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9.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0.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1.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threadedComments/threadedComment4.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5.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6.xml" ContentType="application/vnd.ms-excel.threadedcomments+xml"/>
  <Override PartName="/xl/comments12.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pprceu.sharepoint.com/sites/PPRC/Shared Documents/Klanten/Binnenlands Bestuur/VNG/Standaard rekentool jeugdhulp 2025/14. Opleveringen/1. april 26/"/>
    </mc:Choice>
  </mc:AlternateContent>
  <xr:revisionPtr revIDLastSave="0" documentId="13_ncr:1_{51D841D1-D52D-47D0-9838-C4B8A2C7E7CA}" xr6:coauthVersionLast="47" xr6:coauthVersionMax="47" xr10:uidLastSave="{00000000-0000-0000-0000-000000000000}"/>
  <workbookProtection workbookAlgorithmName="SHA-512" workbookHashValue="aCkHm68fNd+DEs5LZZI8OfA2Hsibkf+U5GHkRttal7OLl9af8Tf9/VcqYuEXautLEu89O3MXwT8Ya0WJOqwYyw==" workbookSaltValue="Ebd/BOHhNjDcFQJtSPWfvg==" workbookSpinCount="100000" lockStructure="1"/>
  <bookViews>
    <workbookView xWindow="43080" yWindow="-120" windowWidth="51840" windowHeight="21120" tabRatio="822" activeTab="21" xr2:uid="{00000000-000D-0000-FFFF-FFFF00000000}"/>
  </bookViews>
  <sheets>
    <sheet name="0. Introductie input" sheetId="23" r:id="rId1"/>
    <sheet name="1a. Input organisatieniveau" sheetId="32" r:id="rId2"/>
    <sheet name="1b. Input productniveau" sheetId="21" r:id="rId3"/>
    <sheet name="1c. Input functiemix" sheetId="31" r:id="rId4"/>
    <sheet name="1c. Input functiemix oud4" sheetId="37" state="hidden" r:id="rId5"/>
    <sheet name="1p. Input pleegzorg oud" sheetId="39" state="hidden" r:id="rId6"/>
    <sheet name="2. Output kostprijs" sheetId="22" r:id="rId7"/>
    <sheet name="3. Gezinshuis producten" sheetId="27" r:id="rId8"/>
    <sheet name="2g. Output gezinshuis" sheetId="35" state="hidden" r:id="rId9"/>
    <sheet name="1a. Input organisatieniveau oud" sheetId="20" state="hidden" r:id="rId10"/>
    <sheet name="1c. Input functiemix oud" sheetId="5" state="hidden" r:id="rId11"/>
    <sheet name="1c. Input functiemix oud2" sheetId="25" state="hidden" r:id="rId12"/>
    <sheet name="1c. Input functiemix oud3" sheetId="26" state="hidden" r:id="rId13"/>
    <sheet name="2p. Output pleegzorg oud" sheetId="30" state="hidden" r:id="rId14"/>
    <sheet name="2p. Output pleegzorg" sheetId="41" state="hidden" r:id="rId15"/>
    <sheet name="4. Pleegzorg producten" sheetId="40" state="hidden" r:id="rId16"/>
    <sheet name="1t. Toelichting input" sheetId="33" state="hidden" r:id="rId17"/>
    <sheet name="2t. Toelichting output" sheetId="36" state="hidden" r:id="rId18"/>
    <sheet name="4. Toelichtingen" sheetId="43" r:id="rId19"/>
    <sheet name="5. Data export" sheetId="46" r:id="rId20"/>
    <sheet name="6. Definities" sheetId="64" r:id="rId21"/>
    <sheet name="Introductie initialisatie" sheetId="24" r:id="rId22"/>
    <sheet name="Initialisatie" sheetId="9" r:id="rId23"/>
    <sheet name="Hulp (definities)" sheetId="63" state="hidden" r:id="rId24"/>
    <sheet name="Hulp (data export)" sheetId="45" state="hidden" r:id="rId25"/>
    <sheet name="Hulp (overig)" sheetId="38" state="hidden" r:id="rId26"/>
    <sheet name="Hulp (bronnen)" sheetId="65" state="hidden" r:id="rId27"/>
    <sheet name="6. Overzicht oud" sheetId="42" state="hidden" r:id="rId28"/>
    <sheet name="Hulp (CAO's)" sheetId="16" state="hidden" r:id="rId29"/>
    <sheet name="Hulp (control forms)" sheetId="7" state="hidden" r:id="rId30"/>
    <sheet name="COA (Jeugdzorg)" sheetId="51" state="hidden" r:id="rId31"/>
    <sheet name="CAO (Jeugdzorg) oud" sheetId="17" state="hidden" r:id="rId32"/>
    <sheet name="CAO (Jeugdzorg), gewogen oud" sheetId="47" state="hidden" r:id="rId33"/>
    <sheet name="CAO (GGZ)" sheetId="54" state="hidden" r:id="rId34"/>
    <sheet name="CAO (Jeugdzorg), gewogen" sheetId="52" state="hidden" r:id="rId35"/>
    <sheet name="CAO (GGZ) oud" sheetId="12" state="hidden" r:id="rId36"/>
    <sheet name="CAO (GGZ), gewogen oud" sheetId="48" state="hidden" r:id="rId37"/>
    <sheet name="CAO (GGZ), gewogen" sheetId="55" state="hidden" r:id="rId38"/>
    <sheet name="CAO (Sociaal Werk)" sheetId="60" state="hidden" r:id="rId39"/>
    <sheet name="CAO (Sociaal Werk), gewogen" sheetId="62" state="hidden" r:id="rId40"/>
    <sheet name="CAO (Sociaal Werk) oud" sheetId="13" state="hidden" r:id="rId41"/>
    <sheet name="CAO (Sociaal Werk), gewogen oud" sheetId="49" state="hidden" r:id="rId42"/>
    <sheet name="CAO (GHZ)" sheetId="58" state="hidden" r:id="rId43"/>
    <sheet name="CAO (GHZ), gewogen" sheetId="59" state="hidden" r:id="rId44"/>
    <sheet name="CAO (GHZ) oud" sheetId="14" state="hidden" r:id="rId45"/>
    <sheet name="CAO (GHZ), gewogen oud" sheetId="50" state="hidden" r:id="rId46"/>
    <sheet name="CAO (VVT, HBH)" sheetId="71" state="hidden" r:id="rId47"/>
    <sheet name="CAO (VVT, HBH), gewogen" sheetId="68" state="hidden" r:id="rId48"/>
    <sheet name="CAO (VVT)" sheetId="70" state="hidden" r:id="rId49"/>
    <sheet name="CAO (VVT), gewogen" sheetId="69" state="hidden" r:id="rId5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281" i="31" l="1" a="1"/>
  <c r="BG281" i="31" s="1"/>
  <c r="BG274" i="31" a="1"/>
  <c r="BG274" i="31" s="1"/>
  <c r="BG267" i="31" a="1"/>
  <c r="BG267" i="31" s="1"/>
  <c r="BG260" i="31" a="1"/>
  <c r="BG260" i="31" s="1"/>
  <c r="BG253" i="31" a="1"/>
  <c r="BG253" i="31" s="1"/>
  <c r="BG246" i="31" a="1"/>
  <c r="BG246" i="31" s="1"/>
  <c r="BG239" i="31" a="1"/>
  <c r="BG239" i="31" s="1"/>
  <c r="BG232" i="31" a="1"/>
  <c r="BG232" i="31" s="1"/>
  <c r="BG225" i="31" a="1"/>
  <c r="BG225" i="31" s="1"/>
  <c r="BG218" i="31" a="1"/>
  <c r="BG218" i="31" s="1"/>
  <c r="BG211" i="31" a="1"/>
  <c r="BG211" i="31" s="1"/>
  <c r="BG204" i="31" a="1"/>
  <c r="BG204" i="31" s="1"/>
  <c r="BG197" i="31" a="1"/>
  <c r="BG197" i="31" s="1"/>
  <c r="BG190" i="31" a="1"/>
  <c r="BG190" i="31" s="1"/>
  <c r="BG183" i="31" a="1"/>
  <c r="BG183" i="31" s="1"/>
  <c r="BG176" i="31" a="1"/>
  <c r="BG176" i="31" s="1"/>
  <c r="BG169" i="31" a="1"/>
  <c r="BG169" i="31" s="1"/>
  <c r="BG162" i="31" a="1"/>
  <c r="BG162" i="31" s="1"/>
  <c r="BG155" i="31" a="1"/>
  <c r="BG155" i="31" s="1"/>
  <c r="BG148" i="31" a="1"/>
  <c r="BG148" i="31" s="1"/>
  <c r="BG141" i="31" a="1"/>
  <c r="BG141" i="31" s="1"/>
  <c r="BG134" i="31" a="1"/>
  <c r="BG134" i="31" s="1"/>
  <c r="BG127" i="31" a="1"/>
  <c r="BG127" i="31" s="1"/>
  <c r="BG120" i="31" a="1"/>
  <c r="BG120" i="31" s="1"/>
  <c r="BG113" i="31" a="1"/>
  <c r="BG113" i="31" s="1"/>
  <c r="BG106" i="31" a="1"/>
  <c r="BG106" i="31" s="1"/>
  <c r="BG99" i="31" a="1"/>
  <c r="BG99" i="31" s="1"/>
  <c r="BG92" i="31" a="1"/>
  <c r="BG92" i="31" s="1"/>
  <c r="BG85" i="31" a="1"/>
  <c r="BG85" i="31" s="1"/>
  <c r="BG78" i="31" a="1"/>
  <c r="BG78" i="31" s="1"/>
  <c r="BG71" i="31" a="1"/>
  <c r="BG71" i="31" s="1"/>
  <c r="BG64" i="31" a="1"/>
  <c r="BG64" i="31" s="1"/>
  <c r="BG57" i="31" a="1"/>
  <c r="BG57" i="31" s="1"/>
  <c r="BG50" i="31" a="1"/>
  <c r="BG50" i="31" s="1"/>
  <c r="BG43" i="31" a="1"/>
  <c r="BG43" i="31" s="1"/>
  <c r="BG36" i="31" a="1"/>
  <c r="BG36" i="31" s="1"/>
  <c r="BG29" i="31" a="1"/>
  <c r="BG29" i="31" s="1"/>
  <c r="BG22" i="31" a="1"/>
  <c r="BG22" i="31" s="1"/>
  <c r="BG15" i="31" a="1"/>
  <c r="BG15" i="31" s="1"/>
  <c r="BG8" i="31" a="1"/>
  <c r="BG8" i="31"/>
  <c r="K7" i="52" l="1"/>
  <c r="L7" i="52"/>
  <c r="K8" i="52"/>
  <c r="L8" i="52"/>
  <c r="K9" i="52"/>
  <c r="L9" i="52"/>
  <c r="K10" i="52"/>
  <c r="L10" i="52"/>
  <c r="K11" i="52"/>
  <c r="L11" i="52"/>
  <c r="K12" i="52"/>
  <c r="L12" i="52"/>
  <c r="K13" i="52"/>
  <c r="L13" i="52"/>
  <c r="K14" i="52"/>
  <c r="L14" i="52"/>
  <c r="K15" i="52"/>
  <c r="L15" i="52"/>
  <c r="K16" i="52"/>
  <c r="L16" i="52"/>
  <c r="K17" i="52"/>
  <c r="L17" i="52"/>
  <c r="K18" i="52"/>
  <c r="L18" i="52"/>
  <c r="K19" i="52"/>
  <c r="L19" i="52"/>
  <c r="K20" i="52"/>
  <c r="L20" i="52"/>
  <c r="K21" i="52"/>
  <c r="L21" i="52"/>
  <c r="K22" i="52"/>
  <c r="L22" i="52"/>
  <c r="K23" i="52"/>
  <c r="L23" i="52"/>
  <c r="K24" i="52"/>
  <c r="L24" i="52"/>
  <c r="K25" i="52"/>
  <c r="L25" i="52"/>
  <c r="K26" i="52"/>
  <c r="L26" i="52"/>
  <c r="K27" i="52"/>
  <c r="L27" i="52"/>
  <c r="K28" i="52"/>
  <c r="L28" i="52"/>
  <c r="K29" i="52"/>
  <c r="L29" i="52"/>
  <c r="K30" i="52"/>
  <c r="L30" i="52"/>
  <c r="K31" i="52"/>
  <c r="L31" i="52"/>
  <c r="K32" i="52"/>
  <c r="L32" i="52"/>
  <c r="K33" i="52"/>
  <c r="L33" i="52"/>
  <c r="K34" i="52"/>
  <c r="L34" i="52"/>
  <c r="K35" i="52"/>
  <c r="L35" i="52"/>
  <c r="K36" i="52"/>
  <c r="L36" i="52"/>
  <c r="K37" i="52"/>
  <c r="L37" i="52"/>
  <c r="K38" i="52"/>
  <c r="L38" i="52"/>
  <c r="K39" i="52"/>
  <c r="L39" i="52"/>
  <c r="K40" i="52"/>
  <c r="L40" i="52"/>
  <c r="K41" i="52"/>
  <c r="L41" i="52"/>
  <c r="K42" i="52"/>
  <c r="L42" i="52"/>
  <c r="K43" i="52"/>
  <c r="L43" i="52"/>
  <c r="K44" i="52"/>
  <c r="L44" i="52"/>
  <c r="K45" i="52"/>
  <c r="L45" i="52"/>
  <c r="K46" i="52"/>
  <c r="L46" i="52"/>
  <c r="K47" i="52"/>
  <c r="L47" i="52"/>
  <c r="K48" i="52"/>
  <c r="L48" i="52"/>
  <c r="K49" i="52"/>
  <c r="L49" i="52"/>
  <c r="K50" i="52"/>
  <c r="L50" i="52"/>
  <c r="K51" i="52"/>
  <c r="L51" i="52"/>
  <c r="K52" i="52"/>
  <c r="L52" i="52"/>
  <c r="K53" i="52"/>
  <c r="L53" i="52"/>
  <c r="K54" i="52"/>
  <c r="L54" i="52"/>
  <c r="K55" i="52"/>
  <c r="L55" i="52"/>
  <c r="K56" i="52"/>
  <c r="L56" i="52"/>
  <c r="K57" i="52"/>
  <c r="L57" i="52"/>
  <c r="K58" i="52"/>
  <c r="L58" i="52"/>
  <c r="K59" i="52"/>
  <c r="L59" i="52"/>
  <c r="K60" i="52"/>
  <c r="L60" i="52"/>
  <c r="K61" i="52"/>
  <c r="L61" i="52"/>
  <c r="K62" i="52"/>
  <c r="L62" i="52"/>
  <c r="K63" i="52"/>
  <c r="L63" i="52"/>
  <c r="K64" i="52"/>
  <c r="L64" i="52"/>
  <c r="K65" i="52"/>
  <c r="L65" i="52"/>
  <c r="K66" i="52"/>
  <c r="L66" i="52"/>
  <c r="K67" i="52"/>
  <c r="L67" i="52"/>
  <c r="K68" i="52"/>
  <c r="L68" i="52"/>
  <c r="K69" i="52"/>
  <c r="L69" i="52"/>
  <c r="K70" i="52"/>
  <c r="L70" i="52"/>
  <c r="K71" i="52"/>
  <c r="L71" i="52"/>
  <c r="K72" i="52"/>
  <c r="L72" i="52"/>
  <c r="K73" i="52"/>
  <c r="L73" i="52"/>
  <c r="K74" i="52"/>
  <c r="L74" i="52"/>
  <c r="K75" i="52"/>
  <c r="L75" i="52"/>
  <c r="K76" i="52"/>
  <c r="L76" i="52"/>
  <c r="K77" i="52"/>
  <c r="L77" i="52"/>
  <c r="K78" i="52"/>
  <c r="L78" i="52"/>
  <c r="K79" i="52"/>
  <c r="L79" i="52"/>
  <c r="K80" i="52"/>
  <c r="L80" i="52"/>
  <c r="K81" i="52"/>
  <c r="L81" i="52"/>
  <c r="K82" i="52"/>
  <c r="L82" i="52"/>
  <c r="K83" i="52"/>
  <c r="L83" i="52"/>
  <c r="K84" i="52"/>
  <c r="L84" i="52"/>
  <c r="K85" i="52"/>
  <c r="L85" i="52"/>
  <c r="K86" i="52"/>
  <c r="L86" i="52"/>
  <c r="K87" i="52"/>
  <c r="L87" i="52"/>
  <c r="K88" i="52"/>
  <c r="L88" i="52"/>
  <c r="K89" i="52"/>
  <c r="L89" i="52"/>
  <c r="K90" i="52"/>
  <c r="L90" i="52"/>
  <c r="K91" i="52"/>
  <c r="L91" i="52"/>
  <c r="K92" i="52"/>
  <c r="L92" i="52"/>
  <c r="K93" i="52"/>
  <c r="L93" i="52"/>
  <c r="K94" i="52"/>
  <c r="L94" i="52"/>
  <c r="K95" i="52"/>
  <c r="L95" i="52"/>
  <c r="K96" i="52"/>
  <c r="L96" i="52"/>
  <c r="K97" i="52"/>
  <c r="L97" i="52"/>
  <c r="K98" i="52"/>
  <c r="L98" i="52"/>
  <c r="K99" i="52"/>
  <c r="L99" i="52"/>
  <c r="K100" i="52"/>
  <c r="L100" i="52"/>
  <c r="K101" i="52"/>
  <c r="L101" i="52"/>
  <c r="K102" i="52"/>
  <c r="L102" i="52"/>
  <c r="K103" i="52"/>
  <c r="L103" i="52"/>
  <c r="K104" i="52"/>
  <c r="L104" i="52"/>
  <c r="K105" i="52"/>
  <c r="L105" i="52"/>
  <c r="K106" i="52"/>
  <c r="L106" i="52"/>
  <c r="K107" i="52"/>
  <c r="L107" i="52"/>
  <c r="K108" i="52"/>
  <c r="L108" i="52"/>
  <c r="K109" i="52"/>
  <c r="L109" i="52"/>
  <c r="K110" i="52"/>
  <c r="L110" i="52"/>
  <c r="K111" i="52"/>
  <c r="L111" i="52"/>
  <c r="K112" i="52"/>
  <c r="L112" i="52"/>
  <c r="K113" i="52"/>
  <c r="L113" i="52"/>
  <c r="K114" i="52"/>
  <c r="L114" i="52"/>
  <c r="K115" i="52"/>
  <c r="L115" i="52"/>
  <c r="K116" i="52"/>
  <c r="L116" i="52"/>
  <c r="K117" i="52"/>
  <c r="L117" i="52"/>
  <c r="K118" i="52"/>
  <c r="L118" i="52"/>
  <c r="K119" i="52"/>
  <c r="L119" i="52"/>
  <c r="K120" i="52"/>
  <c r="L120" i="52"/>
  <c r="K121" i="52"/>
  <c r="L121" i="52"/>
  <c r="K122" i="52"/>
  <c r="L122" i="52"/>
  <c r="K123" i="52"/>
  <c r="L123" i="52"/>
  <c r="K124" i="52"/>
  <c r="L124" i="52"/>
  <c r="K125" i="52"/>
  <c r="L125" i="52"/>
  <c r="K126" i="52"/>
  <c r="L126" i="52"/>
  <c r="K127" i="52"/>
  <c r="L127" i="52"/>
  <c r="K128" i="52"/>
  <c r="L128" i="52"/>
  <c r="K129" i="52"/>
  <c r="L129" i="52"/>
  <c r="K130" i="52"/>
  <c r="L130" i="52"/>
  <c r="K131" i="52"/>
  <c r="L131" i="52"/>
  <c r="K132" i="52"/>
  <c r="L132" i="52"/>
  <c r="K133" i="52"/>
  <c r="L133" i="52"/>
  <c r="K134" i="52"/>
  <c r="L134" i="52"/>
  <c r="K135" i="52"/>
  <c r="L135" i="52"/>
  <c r="K136" i="52"/>
  <c r="L136" i="52"/>
  <c r="K137" i="52"/>
  <c r="L137" i="52"/>
  <c r="K138" i="52"/>
  <c r="L138" i="52"/>
  <c r="K139" i="52"/>
  <c r="L139" i="52"/>
  <c r="K140" i="52"/>
  <c r="L140" i="52"/>
  <c r="K141" i="52"/>
  <c r="L141" i="52"/>
  <c r="K142" i="52"/>
  <c r="L142" i="52"/>
  <c r="K143" i="52"/>
  <c r="L143" i="52"/>
  <c r="K144" i="52"/>
  <c r="L144" i="52"/>
  <c r="K145" i="52"/>
  <c r="L145" i="52"/>
  <c r="K146" i="52"/>
  <c r="L146" i="52"/>
  <c r="K147" i="52"/>
  <c r="L147" i="52"/>
  <c r="K148" i="52"/>
  <c r="L148" i="52"/>
  <c r="K149" i="52"/>
  <c r="L149" i="52"/>
  <c r="K150" i="52"/>
  <c r="L150" i="52"/>
  <c r="K151" i="52"/>
  <c r="L151" i="52"/>
  <c r="K152" i="52"/>
  <c r="L152" i="52"/>
  <c r="K153" i="52"/>
  <c r="L153" i="52"/>
  <c r="K154" i="52"/>
  <c r="L154" i="52"/>
  <c r="K155" i="52"/>
  <c r="L155" i="52"/>
  <c r="K156" i="52"/>
  <c r="L156" i="52"/>
  <c r="K157" i="52"/>
  <c r="L157" i="52"/>
  <c r="K158" i="52"/>
  <c r="L158" i="52"/>
  <c r="K159" i="52"/>
  <c r="L159" i="52"/>
  <c r="K160" i="52"/>
  <c r="L160" i="52"/>
  <c r="K161" i="52"/>
  <c r="L161" i="52"/>
  <c r="K162" i="52"/>
  <c r="L162" i="52"/>
  <c r="K163" i="52"/>
  <c r="L163" i="52"/>
  <c r="K164" i="52"/>
  <c r="L164" i="52"/>
  <c r="K165" i="52"/>
  <c r="L165" i="52"/>
  <c r="K166" i="52"/>
  <c r="L166" i="52"/>
  <c r="K167" i="52"/>
  <c r="L167" i="52"/>
  <c r="K168" i="52"/>
  <c r="L168" i="52"/>
  <c r="K169" i="52"/>
  <c r="L169" i="52"/>
  <c r="K170" i="52"/>
  <c r="L170" i="52"/>
  <c r="K171" i="52"/>
  <c r="L171" i="52"/>
  <c r="K172" i="52"/>
  <c r="L172" i="52"/>
  <c r="K173" i="52"/>
  <c r="L173" i="52"/>
  <c r="K174" i="52"/>
  <c r="L174" i="52"/>
  <c r="K175" i="52"/>
  <c r="L175" i="52"/>
  <c r="K176" i="52"/>
  <c r="L176" i="52"/>
  <c r="K177" i="52"/>
  <c r="L177" i="52"/>
  <c r="K178" i="52"/>
  <c r="L178" i="52"/>
  <c r="K179" i="52"/>
  <c r="L179" i="52"/>
  <c r="K180" i="52"/>
  <c r="L180" i="52"/>
  <c r="K181" i="52"/>
  <c r="L181" i="52"/>
  <c r="K182" i="52"/>
  <c r="L182" i="52"/>
  <c r="K183" i="52"/>
  <c r="L183" i="52"/>
  <c r="K184" i="52"/>
  <c r="L184" i="52"/>
  <c r="K185" i="52"/>
  <c r="L185" i="52"/>
  <c r="K186" i="52"/>
  <c r="L186" i="52"/>
  <c r="K187" i="52"/>
  <c r="L187" i="52"/>
  <c r="K188" i="52"/>
  <c r="L188" i="52"/>
  <c r="K189" i="52"/>
  <c r="L189" i="52"/>
  <c r="K190" i="52"/>
  <c r="L190" i="52"/>
  <c r="K191" i="52"/>
  <c r="L191" i="52"/>
  <c r="K192" i="52"/>
  <c r="L192" i="52"/>
  <c r="K193" i="52"/>
  <c r="L193" i="52"/>
  <c r="K194" i="52"/>
  <c r="L194" i="52"/>
  <c r="K195" i="52"/>
  <c r="L195" i="52"/>
  <c r="K196" i="52"/>
  <c r="L196" i="52"/>
  <c r="K197" i="52"/>
  <c r="L197" i="52"/>
  <c r="K6" i="52"/>
  <c r="L6" i="52"/>
  <c r="I1" i="52" l="1"/>
  <c r="H1" i="52"/>
  <c r="O10" i="21" l="1"/>
  <c r="O9" i="21"/>
  <c r="O8" i="21"/>
  <c r="O7" i="21"/>
  <c r="O6" i="21"/>
  <c r="O5" i="21"/>
  <c r="O14" i="21"/>
  <c r="O13" i="21"/>
  <c r="K7" i="32"/>
  <c r="K16" i="32"/>
  <c r="K15" i="32"/>
  <c r="K13" i="32"/>
  <c r="K12" i="32"/>
  <c r="K11" i="32"/>
  <c r="K9" i="32"/>
  <c r="H25" i="32"/>
  <c r="H24" i="32"/>
  <c r="H23" i="32"/>
  <c r="H21" i="32"/>
  <c r="H20" i="32"/>
  <c r="H19" i="32"/>
  <c r="H17" i="32"/>
  <c r="H16" i="32"/>
  <c r="H15" i="32"/>
  <c r="H14" i="32"/>
  <c r="H13" i="32"/>
  <c r="H11" i="32"/>
  <c r="B16" i="24" l="1"/>
  <c r="AC5" i="31"/>
  <c r="J5" i="59"/>
  <c r="J6" i="59"/>
  <c r="J7" i="59"/>
  <c r="J8" i="59"/>
  <c r="J9" i="59"/>
  <c r="J10" i="59"/>
  <c r="J11" i="59"/>
  <c r="J12" i="59"/>
  <c r="J13" i="59"/>
  <c r="J14" i="59"/>
  <c r="J15" i="59"/>
  <c r="J16" i="59"/>
  <c r="J17" i="59"/>
  <c r="J18" i="59"/>
  <c r="J19" i="59"/>
  <c r="J20" i="59"/>
  <c r="J21" i="59"/>
  <c r="J22" i="59"/>
  <c r="J23" i="59"/>
  <c r="J24" i="59"/>
  <c r="J25" i="59"/>
  <c r="J26" i="59"/>
  <c r="J27" i="59"/>
  <c r="J28" i="59"/>
  <c r="J29" i="59"/>
  <c r="J30" i="59"/>
  <c r="J31" i="59"/>
  <c r="J32" i="59"/>
  <c r="J33" i="59"/>
  <c r="J34" i="59"/>
  <c r="J35" i="59"/>
  <c r="J36" i="59"/>
  <c r="J37" i="59"/>
  <c r="J38" i="59"/>
  <c r="J39" i="59"/>
  <c r="J40" i="59"/>
  <c r="J41" i="59"/>
  <c r="J42" i="59"/>
  <c r="J43" i="59"/>
  <c r="J44" i="59"/>
  <c r="J45" i="59"/>
  <c r="J46" i="59"/>
  <c r="J47" i="59"/>
  <c r="J48" i="59"/>
  <c r="J49" i="59"/>
  <c r="J50" i="59"/>
  <c r="J51" i="59"/>
  <c r="J52" i="59"/>
  <c r="J53" i="59"/>
  <c r="J54" i="59"/>
  <c r="J55" i="59"/>
  <c r="J56" i="59"/>
  <c r="J57" i="59"/>
  <c r="J58" i="59"/>
  <c r="J59" i="59"/>
  <c r="J60" i="59"/>
  <c r="J61" i="59"/>
  <c r="J62" i="59"/>
  <c r="J63" i="59"/>
  <c r="J64" i="59"/>
  <c r="J65" i="59"/>
  <c r="J66" i="59"/>
  <c r="J67" i="59"/>
  <c r="J68" i="59"/>
  <c r="J69" i="59"/>
  <c r="J70" i="59"/>
  <c r="J71" i="59"/>
  <c r="J72" i="59"/>
  <c r="J73" i="59"/>
  <c r="J74" i="59"/>
  <c r="J75" i="59"/>
  <c r="J76" i="59"/>
  <c r="J77" i="59"/>
  <c r="J78" i="59"/>
  <c r="J79" i="59"/>
  <c r="J80" i="59"/>
  <c r="J81" i="59"/>
  <c r="J82" i="59"/>
  <c r="J83" i="59"/>
  <c r="J84" i="59"/>
  <c r="J85" i="59"/>
  <c r="J86" i="59"/>
  <c r="J87" i="59"/>
  <c r="J88" i="59"/>
  <c r="J89" i="59"/>
  <c r="J90" i="59"/>
  <c r="J91" i="59"/>
  <c r="J92" i="59"/>
  <c r="J93" i="59"/>
  <c r="J94" i="59"/>
  <c r="J95" i="59"/>
  <c r="J96" i="59"/>
  <c r="J97" i="59"/>
  <c r="J98" i="59"/>
  <c r="J99" i="59"/>
  <c r="J100" i="59"/>
  <c r="J101" i="59"/>
  <c r="J102" i="59"/>
  <c r="J103" i="59"/>
  <c r="J104" i="59"/>
  <c r="J105" i="59"/>
  <c r="J106" i="59"/>
  <c r="J107" i="59"/>
  <c r="J108" i="59"/>
  <c r="J109" i="59"/>
  <c r="J110" i="59"/>
  <c r="J111" i="59"/>
  <c r="J112" i="59"/>
  <c r="J113" i="59"/>
  <c r="J114" i="59"/>
  <c r="J115" i="59"/>
  <c r="J116" i="59"/>
  <c r="J117" i="59"/>
  <c r="J118" i="59"/>
  <c r="J119" i="59"/>
  <c r="J120" i="59"/>
  <c r="J121" i="59"/>
  <c r="J122" i="59"/>
  <c r="J123" i="59"/>
  <c r="J124" i="59"/>
  <c r="J125" i="59"/>
  <c r="J126" i="59"/>
  <c r="J127" i="59"/>
  <c r="J128" i="59"/>
  <c r="J129" i="59"/>
  <c r="J130" i="59"/>
  <c r="J131" i="59"/>
  <c r="J132" i="59"/>
  <c r="J133" i="59"/>
  <c r="J134" i="59"/>
  <c r="J135" i="59"/>
  <c r="J136" i="59"/>
  <c r="J137" i="59"/>
  <c r="J138" i="59"/>
  <c r="J139" i="59"/>
  <c r="J140" i="59"/>
  <c r="J141" i="59"/>
  <c r="J142" i="59"/>
  <c r="J143" i="59"/>
  <c r="J144" i="59"/>
  <c r="J145" i="59"/>
  <c r="J146" i="59"/>
  <c r="J147" i="59"/>
  <c r="J148" i="59"/>
  <c r="J149" i="59"/>
  <c r="J150" i="59"/>
  <c r="J151" i="59"/>
  <c r="J152" i="59"/>
  <c r="J153" i="59"/>
  <c r="J154" i="59"/>
  <c r="J155" i="59"/>
  <c r="J156" i="59"/>
  <c r="J157" i="59"/>
  <c r="J158" i="59"/>
  <c r="J159" i="59"/>
  <c r="J160" i="59"/>
  <c r="J161" i="59"/>
  <c r="J162" i="59"/>
  <c r="J163" i="59"/>
  <c r="J164" i="59"/>
  <c r="J165" i="59"/>
  <c r="J166" i="59"/>
  <c r="J167" i="59"/>
  <c r="J168" i="59"/>
  <c r="J169" i="59"/>
  <c r="J170" i="59"/>
  <c r="J171" i="59"/>
  <c r="J172" i="59"/>
  <c r="J173" i="59"/>
  <c r="J174" i="59"/>
  <c r="J175" i="59"/>
  <c r="J176" i="59"/>
  <c r="J177" i="59"/>
  <c r="J178" i="59"/>
  <c r="J179" i="59"/>
  <c r="J180" i="59"/>
  <c r="J181" i="59"/>
  <c r="J182" i="59"/>
  <c r="J183" i="59"/>
  <c r="J184" i="59"/>
  <c r="J185" i="59"/>
  <c r="J186" i="59"/>
  <c r="J187" i="59"/>
  <c r="J188" i="59"/>
  <c r="J189" i="59"/>
  <c r="J190" i="59"/>
  <c r="J191" i="59"/>
  <c r="J192" i="59"/>
  <c r="J193" i="59"/>
  <c r="J194" i="59"/>
  <c r="J195" i="59"/>
  <c r="J196" i="59"/>
  <c r="J197" i="59"/>
  <c r="J198" i="59"/>
  <c r="J199" i="59"/>
  <c r="J200" i="59"/>
  <c r="J201" i="59"/>
  <c r="J202" i="59"/>
  <c r="J203" i="59"/>
  <c r="J204" i="59"/>
  <c r="J205" i="59"/>
  <c r="J206" i="59"/>
  <c r="J207" i="59"/>
  <c r="J208" i="59"/>
  <c r="J209" i="59"/>
  <c r="J210" i="59"/>
  <c r="J211" i="59"/>
  <c r="J212" i="59"/>
  <c r="J4" i="59"/>
  <c r="H5" i="62"/>
  <c r="H6" i="62"/>
  <c r="H7" i="62"/>
  <c r="H8" i="62"/>
  <c r="H9" i="62"/>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140" i="62"/>
  <c r="H141" i="62"/>
  <c r="H142" i="62"/>
  <c r="H143" i="62"/>
  <c r="H144" i="62"/>
  <c r="H145" i="62"/>
  <c r="H146" i="62"/>
  <c r="H147" i="62"/>
  <c r="H148" i="62"/>
  <c r="H149" i="62"/>
  <c r="H150" i="62"/>
  <c r="H151" i="62"/>
  <c r="H152" i="62"/>
  <c r="H153" i="62"/>
  <c r="H154" i="62"/>
  <c r="H155" i="62"/>
  <c r="H156" i="62"/>
  <c r="H157" i="62"/>
  <c r="H158" i="62"/>
  <c r="H159" i="62"/>
  <c r="H160" i="62"/>
  <c r="H161" i="62"/>
  <c r="H162" i="62"/>
  <c r="H163" i="62"/>
  <c r="H164" i="62"/>
  <c r="H165" i="62"/>
  <c r="H166" i="62"/>
  <c r="H167" i="62"/>
  <c r="H168" i="62"/>
  <c r="H169" i="62"/>
  <c r="H170" i="62"/>
  <c r="H171" i="62"/>
  <c r="H172" i="62"/>
  <c r="H173" i="62"/>
  <c r="H174" i="62"/>
  <c r="H175" i="62"/>
  <c r="H176" i="62"/>
  <c r="H177" i="62"/>
  <c r="H178" i="62"/>
  <c r="H179" i="62"/>
  <c r="H180" i="62"/>
  <c r="H181" i="62"/>
  <c r="H182" i="62"/>
  <c r="H183" i="62"/>
  <c r="H184" i="62"/>
  <c r="H185" i="62"/>
  <c r="H186" i="62"/>
  <c r="H187" i="62"/>
  <c r="H188" i="62"/>
  <c r="H189" i="62"/>
  <c r="H190" i="62"/>
  <c r="H191" i="62"/>
  <c r="H192" i="62"/>
  <c r="H193" i="62"/>
  <c r="H194" i="62"/>
  <c r="H195" i="62"/>
  <c r="H196" i="62"/>
  <c r="H197" i="62"/>
  <c r="H198" i="62"/>
  <c r="H199" i="62"/>
  <c r="H200" i="62"/>
  <c r="H201" i="62"/>
  <c r="H202" i="62"/>
  <c r="H203" i="62"/>
  <c r="H204" i="62"/>
  <c r="H205" i="62"/>
  <c r="H206" i="62"/>
  <c r="H207" i="62"/>
  <c r="H208" i="62"/>
  <c r="H209" i="62"/>
  <c r="H210" i="62"/>
  <c r="H211" i="62"/>
  <c r="H212" i="62"/>
  <c r="H213" i="62"/>
  <c r="H214" i="62"/>
  <c r="H215" i="62"/>
  <c r="H216" i="62"/>
  <c r="H217" i="62"/>
  <c r="H218" i="62"/>
  <c r="H219" i="62"/>
  <c r="H220" i="62"/>
  <c r="H221" i="62"/>
  <c r="H222" i="62"/>
  <c r="H223" i="62"/>
  <c r="H224" i="62"/>
  <c r="H225" i="62"/>
  <c r="H226" i="62"/>
  <c r="H227" i="62"/>
  <c r="H228" i="62"/>
  <c r="H229" i="62"/>
  <c r="H230" i="62"/>
  <c r="H231" i="62"/>
  <c r="H232" i="62"/>
  <c r="H233" i="62"/>
  <c r="H234" i="62"/>
  <c r="H235" i="62"/>
  <c r="H236" i="62"/>
  <c r="H237" i="62"/>
  <c r="H238" i="62"/>
  <c r="H239" i="62"/>
  <c r="H240" i="62"/>
  <c r="H241" i="62"/>
  <c r="H242" i="62"/>
  <c r="H243" i="62"/>
  <c r="H244" i="62"/>
  <c r="H245" i="62"/>
  <c r="H246" i="62"/>
  <c r="H247" i="62"/>
  <c r="H248" i="62"/>
  <c r="H249" i="62"/>
  <c r="H250" i="62"/>
  <c r="H251" i="62"/>
  <c r="H252" i="62"/>
  <c r="H253" i="62"/>
  <c r="H254" i="62"/>
  <c r="H255" i="62"/>
  <c r="H256" i="62"/>
  <c r="H257" i="62"/>
  <c r="H258" i="62"/>
  <c r="H4" i="62"/>
  <c r="K6" i="55"/>
  <c r="K7" i="55"/>
  <c r="K8" i="55"/>
  <c r="K9" i="55"/>
  <c r="K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5" i="55"/>
  <c r="V267" i="31" l="1" a="1"/>
  <c r="V267" i="31" s="1"/>
  <c r="V253" i="31" a="1"/>
  <c r="V253" i="31" s="1"/>
  <c r="V239" i="31" a="1"/>
  <c r="V239" i="31" s="1"/>
  <c r="V225" i="31" a="1"/>
  <c r="V225" i="31" s="1"/>
  <c r="V211" i="31" a="1"/>
  <c r="V211" i="31" s="1"/>
  <c r="V197" i="31" a="1"/>
  <c r="V197" i="31" s="1"/>
  <c r="V183" i="31" a="1"/>
  <c r="V183" i="31" s="1"/>
  <c r="V169" i="31" a="1"/>
  <c r="V169" i="31" s="1"/>
  <c r="V155" i="31" a="1"/>
  <c r="V155" i="31" s="1"/>
  <c r="V141" i="31" a="1"/>
  <c r="V141" i="31" s="1"/>
  <c r="V127" i="31" a="1"/>
  <c r="V127" i="31" s="1"/>
  <c r="V113" i="31" a="1"/>
  <c r="V113" i="31" s="1"/>
  <c r="V99" i="31" a="1"/>
  <c r="V99" i="31" s="1"/>
  <c r="V85" i="31" a="1"/>
  <c r="V85" i="31" s="1"/>
  <c r="V71" i="31" a="1"/>
  <c r="V71" i="31" s="1"/>
  <c r="V57" i="31" a="1"/>
  <c r="V57" i="31" s="1"/>
  <c r="V43" i="31" a="1"/>
  <c r="V43" i="31" s="1"/>
  <c r="AB5" i="9" a="1"/>
  <c r="AB5" i="9"/>
  <c r="AA5" i="9"/>
  <c r="C12" i="38" a="1"/>
  <c r="C12" i="38"/>
  <c r="G1" i="68"/>
  <c r="F1" i="68"/>
  <c r="G1" i="69"/>
  <c r="F1" i="69"/>
  <c r="D7" i="16"/>
  <c r="D1" i="69"/>
  <c r="C1" i="69"/>
  <c r="D1" i="68"/>
  <c r="C1" i="68"/>
  <c r="B66" i="23"/>
  <c r="B61" i="23"/>
  <c r="B71" i="23"/>
  <c r="B55" i="23"/>
  <c r="J185" i="55"/>
  <c r="J186" i="55"/>
  <c r="J187" i="55"/>
  <c r="J188" i="55"/>
  <c r="J189" i="55"/>
  <c r="J190" i="55"/>
  <c r="J191" i="55"/>
  <c r="AM5" i="16"/>
  <c r="AM4" i="16"/>
  <c r="J212" i="50"/>
  <c r="J211" i="50"/>
  <c r="J210" i="50"/>
  <c r="J209" i="50"/>
  <c r="J208" i="50"/>
  <c r="J207" i="50"/>
  <c r="J206" i="50"/>
  <c r="J205" i="50"/>
  <c r="J204" i="50"/>
  <c r="J203" i="50"/>
  <c r="J202" i="50"/>
  <c r="J201" i="50"/>
  <c r="J200" i="50"/>
  <c r="J199" i="50"/>
  <c r="J198" i="50"/>
  <c r="J197" i="50"/>
  <c r="J196" i="50"/>
  <c r="J195" i="50"/>
  <c r="J194" i="50"/>
  <c r="J193" i="50"/>
  <c r="J192" i="50"/>
  <c r="J191" i="50"/>
  <c r="J190" i="50"/>
  <c r="J189" i="50"/>
  <c r="J188" i="50"/>
  <c r="J187" i="50"/>
  <c r="J186" i="50"/>
  <c r="J185" i="50"/>
  <c r="J184" i="50"/>
  <c r="J183" i="50"/>
  <c r="J182" i="50"/>
  <c r="J181" i="50"/>
  <c r="J180" i="50"/>
  <c r="J179" i="50"/>
  <c r="J178" i="50"/>
  <c r="J177"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J139" i="50"/>
  <c r="J138" i="50"/>
  <c r="J137" i="50"/>
  <c r="J136"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J94" i="50"/>
  <c r="J93" i="50"/>
  <c r="J92" i="50"/>
  <c r="J91"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J4" i="50"/>
  <c r="H1" i="50"/>
  <c r="G1" i="50"/>
  <c r="F1" i="50"/>
  <c r="G1" i="59"/>
  <c r="F1" i="59"/>
  <c r="E1" i="59"/>
  <c r="D1" i="59"/>
  <c r="L330" i="49"/>
  <c r="L329" i="49"/>
  <c r="L328" i="49"/>
  <c r="L327" i="49"/>
  <c r="L326" i="49"/>
  <c r="L325" i="49"/>
  <c r="L324" i="49"/>
  <c r="L323" i="49"/>
  <c r="L322" i="49"/>
  <c r="L321" i="49"/>
  <c r="L320"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L274" i="49"/>
  <c r="L273" i="49"/>
  <c r="L272" i="49"/>
  <c r="L271" i="49"/>
  <c r="L270" i="49"/>
  <c r="L269" i="49"/>
  <c r="L268" i="49"/>
  <c r="L267" i="49"/>
  <c r="L266" i="49"/>
  <c r="L265" i="49"/>
  <c r="L264" i="49"/>
  <c r="L263" i="49"/>
  <c r="L262" i="49"/>
  <c r="L261" i="49"/>
  <c r="L260" i="49"/>
  <c r="L259" i="49"/>
  <c r="L258" i="49"/>
  <c r="L257" i="49"/>
  <c r="L256" i="49"/>
  <c r="L255" i="49"/>
  <c r="L254" i="49"/>
  <c r="L253" i="49"/>
  <c r="L252" i="49"/>
  <c r="L251" i="49"/>
  <c r="L250" i="49"/>
  <c r="L249" i="49"/>
  <c r="L248" i="49"/>
  <c r="L247" i="49"/>
  <c r="L246" i="49"/>
  <c r="L245" i="49"/>
  <c r="L244" i="49"/>
  <c r="L243" i="49"/>
  <c r="L242" i="49"/>
  <c r="L241" i="49"/>
  <c r="L240" i="49"/>
  <c r="L239" i="49"/>
  <c r="L238" i="49"/>
  <c r="L237" i="49"/>
  <c r="L236" i="49"/>
  <c r="L235" i="49"/>
  <c r="L234" i="49"/>
  <c r="L233" i="49"/>
  <c r="L232" i="49"/>
  <c r="L231" i="49"/>
  <c r="L230"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L4" i="49"/>
  <c r="J1" i="49"/>
  <c r="I1" i="49"/>
  <c r="H1" i="49"/>
  <c r="G1" i="49"/>
  <c r="F1" i="49"/>
  <c r="E1" i="49"/>
  <c r="G258" i="62"/>
  <c r="G257" i="62"/>
  <c r="G256" i="62"/>
  <c r="G255" i="62"/>
  <c r="G254" i="62"/>
  <c r="G253" i="62"/>
  <c r="G252" i="62"/>
  <c r="G251" i="62"/>
  <c r="G250" i="62"/>
  <c r="G249" i="62"/>
  <c r="G248" i="62"/>
  <c r="G247" i="62"/>
  <c r="G246" i="62"/>
  <c r="G245" i="62"/>
  <c r="G244" i="62"/>
  <c r="G243" i="62"/>
  <c r="G242" i="62"/>
  <c r="G241" i="62"/>
  <c r="G240" i="62"/>
  <c r="G239" i="62"/>
  <c r="G238" i="62"/>
  <c r="G237" i="62"/>
  <c r="G236" i="62"/>
  <c r="G235" i="62"/>
  <c r="G234" i="62"/>
  <c r="G233" i="62"/>
  <c r="G232" i="62"/>
  <c r="G231" i="62"/>
  <c r="G230" i="62"/>
  <c r="G229" i="62"/>
  <c r="G228" i="62"/>
  <c r="G227" i="62"/>
  <c r="G226" i="62"/>
  <c r="G225" i="62"/>
  <c r="G224" i="62"/>
  <c r="G223" i="62"/>
  <c r="G222" i="62"/>
  <c r="G221" i="62"/>
  <c r="G220" i="62"/>
  <c r="G219" i="62"/>
  <c r="G218" i="62"/>
  <c r="G217" i="62"/>
  <c r="G216" i="62"/>
  <c r="G215" i="62"/>
  <c r="G214" i="62"/>
  <c r="G213" i="62"/>
  <c r="G212" i="62"/>
  <c r="G211" i="62"/>
  <c r="G210" i="62"/>
  <c r="G209" i="62"/>
  <c r="G208" i="62"/>
  <c r="G207" i="62"/>
  <c r="G206" i="62"/>
  <c r="G205" i="62"/>
  <c r="G204" i="62"/>
  <c r="G203" i="62"/>
  <c r="G202" i="62"/>
  <c r="G201" i="62"/>
  <c r="G200" i="62"/>
  <c r="G199" i="62"/>
  <c r="G198" i="62"/>
  <c r="G197" i="62"/>
  <c r="G196" i="62"/>
  <c r="G195" i="62"/>
  <c r="G194" i="62"/>
  <c r="G193" i="62"/>
  <c r="G192" i="62"/>
  <c r="G191" i="62"/>
  <c r="G190" i="62"/>
  <c r="G189" i="62"/>
  <c r="G188" i="62"/>
  <c r="G187" i="62"/>
  <c r="G186" i="62"/>
  <c r="G185" i="62"/>
  <c r="G184" i="62"/>
  <c r="G183" i="62"/>
  <c r="G182" i="62"/>
  <c r="G181" i="62"/>
  <c r="G180" i="62"/>
  <c r="G179" i="62"/>
  <c r="G178" i="62"/>
  <c r="G177" i="62"/>
  <c r="G176" i="62"/>
  <c r="G175" i="62"/>
  <c r="G174" i="62"/>
  <c r="G173" i="62"/>
  <c r="G172" i="62"/>
  <c r="G171" i="62"/>
  <c r="G170" i="62"/>
  <c r="G169" i="62"/>
  <c r="G168" i="62"/>
  <c r="G167" i="62"/>
  <c r="G166" i="62"/>
  <c r="G165" i="62"/>
  <c r="G164" i="62"/>
  <c r="G163" i="62"/>
  <c r="G162" i="62"/>
  <c r="G161" i="62"/>
  <c r="G160" i="62"/>
  <c r="G159" i="62"/>
  <c r="G158" i="62"/>
  <c r="G157" i="62"/>
  <c r="G156" i="62"/>
  <c r="G155" i="62"/>
  <c r="G154" i="62"/>
  <c r="G153" i="62"/>
  <c r="G152" i="62"/>
  <c r="G151" i="62"/>
  <c r="G150" i="62"/>
  <c r="G149" i="62"/>
  <c r="G148" i="62"/>
  <c r="G147" i="62"/>
  <c r="G146" i="62"/>
  <c r="G145" i="62"/>
  <c r="G144" i="62"/>
  <c r="G143" i="62"/>
  <c r="G142" i="62"/>
  <c r="G141" i="62"/>
  <c r="G140" i="62"/>
  <c r="G139" i="62"/>
  <c r="G138" i="62"/>
  <c r="G137" i="62"/>
  <c r="G136" i="62"/>
  <c r="G135" i="62"/>
  <c r="G134" i="62"/>
  <c r="G133" i="62"/>
  <c r="G132" i="62"/>
  <c r="G131" i="62"/>
  <c r="G130" i="62"/>
  <c r="G129" i="62"/>
  <c r="G128" i="62"/>
  <c r="G127" i="62"/>
  <c r="G126" i="62"/>
  <c r="G125" i="62"/>
  <c r="G124" i="62"/>
  <c r="G123" i="62"/>
  <c r="G122" i="62"/>
  <c r="G121" i="62"/>
  <c r="G120" i="62"/>
  <c r="G119" i="62"/>
  <c r="G118" i="62"/>
  <c r="G117" i="62"/>
  <c r="G116" i="62"/>
  <c r="G115" i="62"/>
  <c r="G114" i="62"/>
  <c r="G113" i="62"/>
  <c r="G112" i="62"/>
  <c r="G111" i="62"/>
  <c r="G110" i="62"/>
  <c r="G109" i="62"/>
  <c r="G108" i="62"/>
  <c r="G107" i="62"/>
  <c r="G106" i="62"/>
  <c r="G105" i="62"/>
  <c r="G104" i="62"/>
  <c r="G103" i="62"/>
  <c r="G102" i="62"/>
  <c r="G101" i="62"/>
  <c r="G100" i="62"/>
  <c r="G99" i="62"/>
  <c r="G98" i="62"/>
  <c r="G97" i="62"/>
  <c r="G96" i="62"/>
  <c r="G95" i="62"/>
  <c r="G94" i="62"/>
  <c r="G93" i="62"/>
  <c r="G92" i="62"/>
  <c r="G91" i="62"/>
  <c r="G90" i="62"/>
  <c r="G89" i="62"/>
  <c r="G88" i="62"/>
  <c r="G87" i="62"/>
  <c r="G86" i="62"/>
  <c r="G85" i="62"/>
  <c r="G84" i="62"/>
  <c r="G83" i="62"/>
  <c r="G82" i="62"/>
  <c r="G81" i="62"/>
  <c r="G80" i="62"/>
  <c r="G79" i="62"/>
  <c r="G78" i="62"/>
  <c r="G77" i="62"/>
  <c r="G76" i="62"/>
  <c r="G75" i="62"/>
  <c r="G74" i="62"/>
  <c r="G73" i="62"/>
  <c r="G72" i="62"/>
  <c r="G71" i="62"/>
  <c r="G70" i="62"/>
  <c r="G69" i="62"/>
  <c r="G68" i="62"/>
  <c r="G67" i="62"/>
  <c r="G66" i="62"/>
  <c r="G65" i="62"/>
  <c r="G64" i="62"/>
  <c r="G63" i="62"/>
  <c r="G62" i="62"/>
  <c r="G61" i="62"/>
  <c r="G60" i="62"/>
  <c r="G59" i="62"/>
  <c r="G58" i="62"/>
  <c r="G57" i="62"/>
  <c r="G56" i="62"/>
  <c r="G55" i="62"/>
  <c r="G54" i="62"/>
  <c r="G53" i="62"/>
  <c r="G52" i="62"/>
  <c r="G51" i="62"/>
  <c r="G50" i="62"/>
  <c r="G49" i="62"/>
  <c r="G48" i="62"/>
  <c r="G47" i="62"/>
  <c r="G46" i="62"/>
  <c r="G45" i="62"/>
  <c r="G44" i="62"/>
  <c r="G43" i="62"/>
  <c r="G42" i="62"/>
  <c r="G41" i="62"/>
  <c r="G40" i="62"/>
  <c r="G39" i="62"/>
  <c r="G38" i="62"/>
  <c r="G37" i="62"/>
  <c r="G36" i="62"/>
  <c r="G35" i="62"/>
  <c r="G34" i="62"/>
  <c r="G33" i="62"/>
  <c r="G32" i="62"/>
  <c r="G31" i="62"/>
  <c r="G30" i="62"/>
  <c r="G29" i="62"/>
  <c r="G28" i="62"/>
  <c r="G27" i="62"/>
  <c r="G26" i="62"/>
  <c r="G25" i="62"/>
  <c r="G24" i="62"/>
  <c r="G23" i="62"/>
  <c r="G22" i="62"/>
  <c r="G21" i="62"/>
  <c r="G20" i="62"/>
  <c r="G19" i="62"/>
  <c r="G18" i="62"/>
  <c r="G17" i="62"/>
  <c r="G16" i="62"/>
  <c r="G15" i="62"/>
  <c r="G14" i="62"/>
  <c r="G13" i="62"/>
  <c r="G12" i="62"/>
  <c r="G11" i="62"/>
  <c r="G10" i="62"/>
  <c r="G9" i="62"/>
  <c r="G8" i="62"/>
  <c r="G7" i="62"/>
  <c r="G6" i="62"/>
  <c r="G5" i="62"/>
  <c r="G4" i="62"/>
  <c r="E1" i="62"/>
  <c r="D1" i="62"/>
  <c r="C1" i="62"/>
  <c r="J184" i="55"/>
  <c r="J183" i="55"/>
  <c r="J182" i="55"/>
  <c r="J181" i="55"/>
  <c r="J180" i="55"/>
  <c r="J179" i="55"/>
  <c r="J178" i="55"/>
  <c r="J177" i="55"/>
  <c r="J176" i="55"/>
  <c r="J175" i="55"/>
  <c r="J174" i="55"/>
  <c r="J173" i="55"/>
  <c r="J172" i="55"/>
  <c r="J171" i="55"/>
  <c r="J170" i="55"/>
  <c r="J169" i="55"/>
  <c r="J168" i="55"/>
  <c r="J167" i="55"/>
  <c r="J166" i="55"/>
  <c r="J165" i="55"/>
  <c r="J164" i="55"/>
  <c r="J163" i="55"/>
  <c r="J162" i="55"/>
  <c r="J161" i="55"/>
  <c r="J160" i="55"/>
  <c r="J159" i="55"/>
  <c r="J158" i="55"/>
  <c r="J157" i="55"/>
  <c r="J156" i="55"/>
  <c r="J155" i="55"/>
  <c r="J154" i="55"/>
  <c r="J153" i="55"/>
  <c r="J152" i="55"/>
  <c r="J151" i="55"/>
  <c r="J150" i="55"/>
  <c r="J149" i="55"/>
  <c r="J148" i="55"/>
  <c r="J147" i="55"/>
  <c r="J146" i="55"/>
  <c r="J145" i="55"/>
  <c r="J144" i="55"/>
  <c r="J143" i="55"/>
  <c r="J142" i="55"/>
  <c r="J141" i="55"/>
  <c r="J140" i="55"/>
  <c r="J139" i="55"/>
  <c r="J138" i="55"/>
  <c r="J137" i="55"/>
  <c r="J136" i="55"/>
  <c r="J135" i="55"/>
  <c r="J134" i="55"/>
  <c r="J133" i="55"/>
  <c r="J132" i="55"/>
  <c r="J131" i="55"/>
  <c r="J130" i="55"/>
  <c r="J129" i="55"/>
  <c r="J128" i="55"/>
  <c r="J127" i="55"/>
  <c r="J126" i="55"/>
  <c r="J125" i="55"/>
  <c r="J124" i="55"/>
  <c r="J123" i="55"/>
  <c r="J122" i="55"/>
  <c r="J121" i="55"/>
  <c r="J120" i="55"/>
  <c r="J119" i="55"/>
  <c r="J118" i="55"/>
  <c r="J117" i="55"/>
  <c r="J116" i="55"/>
  <c r="J115" i="55"/>
  <c r="J114" i="55"/>
  <c r="J113" i="55"/>
  <c r="J112" i="55"/>
  <c r="J111" i="55"/>
  <c r="J110" i="55"/>
  <c r="J109" i="55"/>
  <c r="J108" i="55"/>
  <c r="J107" i="55"/>
  <c r="J106" i="55"/>
  <c r="J105" i="55"/>
  <c r="J104" i="55"/>
  <c r="J103" i="55"/>
  <c r="J102" i="55"/>
  <c r="J101" i="55"/>
  <c r="J100" i="55"/>
  <c r="J99" i="55"/>
  <c r="J98" i="55"/>
  <c r="J97" i="55"/>
  <c r="J96" i="55"/>
  <c r="J95" i="55"/>
  <c r="J94" i="55"/>
  <c r="J93" i="55"/>
  <c r="J92" i="55"/>
  <c r="J91" i="55"/>
  <c r="J90" i="55"/>
  <c r="J89" i="55"/>
  <c r="J88" i="55"/>
  <c r="J87" i="55"/>
  <c r="J86" i="55"/>
  <c r="J85" i="55"/>
  <c r="J84" i="55"/>
  <c r="J83" i="55"/>
  <c r="J82" i="55"/>
  <c r="J81" i="55"/>
  <c r="J80" i="55"/>
  <c r="J79" i="55"/>
  <c r="J78" i="55"/>
  <c r="J77" i="55"/>
  <c r="J76" i="55"/>
  <c r="J75" i="55"/>
  <c r="J74" i="55"/>
  <c r="J73" i="55"/>
  <c r="J72" i="55"/>
  <c r="J71" i="55"/>
  <c r="J70" i="55"/>
  <c r="J69" i="55"/>
  <c r="J68" i="55"/>
  <c r="J67" i="55"/>
  <c r="J66" i="55"/>
  <c r="J65" i="55"/>
  <c r="J64" i="55"/>
  <c r="J63" i="55"/>
  <c r="J62" i="55"/>
  <c r="J61" i="55"/>
  <c r="J60" i="55"/>
  <c r="J59" i="55"/>
  <c r="J58" i="55"/>
  <c r="J57" i="55"/>
  <c r="J56" i="55"/>
  <c r="J55" i="55"/>
  <c r="J54" i="55"/>
  <c r="J53" i="55"/>
  <c r="J52" i="55"/>
  <c r="J51" i="55"/>
  <c r="J50" i="55"/>
  <c r="J49" i="55"/>
  <c r="J48" i="55"/>
  <c r="J47" i="55"/>
  <c r="J46" i="55"/>
  <c r="J45" i="55"/>
  <c r="J44" i="55"/>
  <c r="J43" i="55"/>
  <c r="J42" i="55"/>
  <c r="J41" i="55"/>
  <c r="J40" i="55"/>
  <c r="J39" i="55"/>
  <c r="J38" i="55"/>
  <c r="J37" i="55"/>
  <c r="J36" i="55"/>
  <c r="J35" i="55"/>
  <c r="J34" i="55"/>
  <c r="J33" i="55"/>
  <c r="J32" i="55"/>
  <c r="J31" i="55"/>
  <c r="J30" i="55"/>
  <c r="J29" i="55"/>
  <c r="J28" i="55"/>
  <c r="J27" i="55"/>
  <c r="J26" i="55"/>
  <c r="J25" i="55"/>
  <c r="J24" i="55"/>
  <c r="J23" i="55"/>
  <c r="J22" i="55"/>
  <c r="J21" i="55"/>
  <c r="J20" i="55"/>
  <c r="J19" i="55"/>
  <c r="J18" i="55"/>
  <c r="J17" i="55"/>
  <c r="J16" i="55"/>
  <c r="J15" i="55"/>
  <c r="J14" i="55"/>
  <c r="J13" i="55"/>
  <c r="J12" i="55"/>
  <c r="J11" i="55"/>
  <c r="J10" i="55"/>
  <c r="J9" i="55"/>
  <c r="J8" i="55"/>
  <c r="J7" i="55"/>
  <c r="J6" i="55"/>
  <c r="J5" i="55"/>
  <c r="H1" i="55"/>
  <c r="G1" i="55"/>
  <c r="F1" i="55"/>
  <c r="E1" i="55"/>
  <c r="D1" i="55"/>
  <c r="I230" i="48"/>
  <c r="I229" i="48"/>
  <c r="I228" i="48"/>
  <c r="I227" i="48"/>
  <c r="I226" i="48"/>
  <c r="I225" i="48"/>
  <c r="I224" i="48"/>
  <c r="I223" i="48"/>
  <c r="I222" i="48"/>
  <c r="I221" i="48"/>
  <c r="I220" i="48"/>
  <c r="I219" i="48"/>
  <c r="I218" i="48"/>
  <c r="I217" i="48"/>
  <c r="I216" i="48"/>
  <c r="I215" i="48"/>
  <c r="I214" i="48"/>
  <c r="I213" i="48"/>
  <c r="I212" i="48"/>
  <c r="I211" i="48"/>
  <c r="I210" i="48"/>
  <c r="I209" i="48"/>
  <c r="I208" i="48"/>
  <c r="I207" i="48"/>
  <c r="I206" i="48"/>
  <c r="I205" i="48"/>
  <c r="I204" i="48"/>
  <c r="I203" i="48"/>
  <c r="I202" i="48"/>
  <c r="I201" i="48"/>
  <c r="I200" i="48"/>
  <c r="I199" i="48"/>
  <c r="I198" i="48"/>
  <c r="I197" i="48"/>
  <c r="I196" i="48"/>
  <c r="I195" i="48"/>
  <c r="I194" i="48"/>
  <c r="I193" i="48"/>
  <c r="I192" i="48"/>
  <c r="I191" i="48"/>
  <c r="I190" i="48"/>
  <c r="I189" i="48"/>
  <c r="I188" i="48"/>
  <c r="I187" i="48"/>
  <c r="I186" i="48"/>
  <c r="I185" i="48"/>
  <c r="I184" i="48"/>
  <c r="I183" i="48"/>
  <c r="I182" i="48"/>
  <c r="I181" i="48"/>
  <c r="I180" i="48"/>
  <c r="I179" i="48"/>
  <c r="I178" i="48"/>
  <c r="I177" i="48"/>
  <c r="I176" i="48"/>
  <c r="I175" i="48"/>
  <c r="I174" i="48"/>
  <c r="I173" i="48"/>
  <c r="I172" i="48"/>
  <c r="I171" i="48"/>
  <c r="I170" i="48"/>
  <c r="I169" i="48"/>
  <c r="I168" i="48"/>
  <c r="I167" i="48"/>
  <c r="I166" i="48"/>
  <c r="I165" i="48"/>
  <c r="I164" i="48"/>
  <c r="I163" i="48"/>
  <c r="I162" i="48"/>
  <c r="I161" i="48"/>
  <c r="I160" i="48"/>
  <c r="I159" i="48"/>
  <c r="I158" i="48"/>
  <c r="I157" i="48"/>
  <c r="I156" i="48"/>
  <c r="I155" i="48"/>
  <c r="I154" i="48"/>
  <c r="I153" i="48"/>
  <c r="I152" i="48"/>
  <c r="I151" i="48"/>
  <c r="I150" i="48"/>
  <c r="I149" i="48"/>
  <c r="I148" i="48"/>
  <c r="I147" i="48"/>
  <c r="I146" i="48"/>
  <c r="I145" i="48"/>
  <c r="I144" i="48"/>
  <c r="I143" i="48"/>
  <c r="I142" i="48"/>
  <c r="I141" i="48"/>
  <c r="I140" i="48"/>
  <c r="I139" i="48"/>
  <c r="I138" i="48"/>
  <c r="I137" i="48"/>
  <c r="I136" i="48"/>
  <c r="I135" i="48"/>
  <c r="I134" i="48"/>
  <c r="I133" i="48"/>
  <c r="I132" i="48"/>
  <c r="I131" i="48"/>
  <c r="I130" i="48"/>
  <c r="I129" i="48"/>
  <c r="I128" i="48"/>
  <c r="I127" i="48"/>
  <c r="I126" i="48"/>
  <c r="I125" i="48"/>
  <c r="I124" i="48"/>
  <c r="I123" i="48"/>
  <c r="I122" i="48"/>
  <c r="I121" i="48"/>
  <c r="I120" i="48"/>
  <c r="I119" i="48"/>
  <c r="I118" i="48"/>
  <c r="I117" i="48"/>
  <c r="I116" i="48"/>
  <c r="I115" i="48"/>
  <c r="I114" i="48"/>
  <c r="I113" i="48"/>
  <c r="I112" i="48"/>
  <c r="I111" i="48"/>
  <c r="I110" i="48"/>
  <c r="I109" i="48"/>
  <c r="I108" i="48"/>
  <c r="I107" i="48"/>
  <c r="I106" i="48"/>
  <c r="I105" i="48"/>
  <c r="I104" i="48"/>
  <c r="I103" i="48"/>
  <c r="I102" i="48"/>
  <c r="I101" i="48"/>
  <c r="I100" i="48"/>
  <c r="I99" i="48"/>
  <c r="I98" i="48"/>
  <c r="I97" i="48"/>
  <c r="I96" i="48"/>
  <c r="I95" i="48"/>
  <c r="I94" i="48"/>
  <c r="I93" i="48"/>
  <c r="I92" i="48"/>
  <c r="I91" i="48"/>
  <c r="I90" i="48"/>
  <c r="I89" i="48"/>
  <c r="I88" i="48"/>
  <c r="I87" i="48"/>
  <c r="I86" i="48"/>
  <c r="I85" i="48"/>
  <c r="I84" i="48"/>
  <c r="I83" i="48"/>
  <c r="I82" i="48"/>
  <c r="I81" i="48"/>
  <c r="I80" i="48"/>
  <c r="I79" i="48"/>
  <c r="I78" i="48"/>
  <c r="I77" i="48"/>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I8" i="48"/>
  <c r="I7" i="48"/>
  <c r="I6" i="48"/>
  <c r="I5" i="48"/>
  <c r="I4" i="48"/>
  <c r="G1" i="48"/>
  <c r="F1" i="48"/>
  <c r="G1" i="52"/>
  <c r="F1" i="52"/>
  <c r="E1" i="52"/>
  <c r="I197" i="47"/>
  <c r="I196" i="47"/>
  <c r="I195" i="47"/>
  <c r="I194" i="47"/>
  <c r="I193" i="47"/>
  <c r="I192" i="47"/>
  <c r="I191" i="47"/>
  <c r="I190" i="47"/>
  <c r="I189" i="47"/>
  <c r="I188" i="47"/>
  <c r="I187" i="47"/>
  <c r="I186" i="47"/>
  <c r="I185" i="47"/>
  <c r="I184" i="47"/>
  <c r="I183" i="47"/>
  <c r="I182" i="47"/>
  <c r="I181" i="47"/>
  <c r="I180" i="47"/>
  <c r="I179" i="47"/>
  <c r="I178" i="47"/>
  <c r="I177" i="47"/>
  <c r="I176" i="47"/>
  <c r="I175" i="47"/>
  <c r="I174" i="47"/>
  <c r="I173" i="47"/>
  <c r="I172" i="47"/>
  <c r="I171" i="47"/>
  <c r="I170" i="47"/>
  <c r="I169" i="47"/>
  <c r="I168" i="47"/>
  <c r="I167" i="47"/>
  <c r="I166" i="47"/>
  <c r="I165" i="47"/>
  <c r="I164" i="47"/>
  <c r="I163" i="47"/>
  <c r="I162" i="47"/>
  <c r="I161" i="47"/>
  <c r="I160" i="47"/>
  <c r="I159" i="47"/>
  <c r="I158" i="47"/>
  <c r="I157" i="47"/>
  <c r="I156" i="47"/>
  <c r="I155" i="47"/>
  <c r="I154" i="47"/>
  <c r="I153" i="47"/>
  <c r="I152" i="47"/>
  <c r="I151" i="47"/>
  <c r="I150" i="47"/>
  <c r="I149" i="47"/>
  <c r="I148" i="47"/>
  <c r="I147" i="47"/>
  <c r="I146" i="47"/>
  <c r="I145" i="47"/>
  <c r="I144" i="47"/>
  <c r="I143" i="47"/>
  <c r="I142" i="47"/>
  <c r="I141" i="47"/>
  <c r="I140" i="47"/>
  <c r="I139" i="47"/>
  <c r="I138" i="47"/>
  <c r="I137" i="47"/>
  <c r="I136" i="47"/>
  <c r="I135" i="47"/>
  <c r="I134" i="47"/>
  <c r="I133" i="47"/>
  <c r="I132" i="47"/>
  <c r="I131" i="47"/>
  <c r="I130" i="47"/>
  <c r="I129" i="47"/>
  <c r="I128" i="47"/>
  <c r="I127" i="47"/>
  <c r="I126" i="47"/>
  <c r="I125" i="47"/>
  <c r="I124" i="47"/>
  <c r="I123" i="47"/>
  <c r="I122" i="47"/>
  <c r="I121" i="47"/>
  <c r="I120" i="47"/>
  <c r="I119" i="47"/>
  <c r="I118" i="47"/>
  <c r="I117" i="47"/>
  <c r="I116" i="47"/>
  <c r="I115" i="47"/>
  <c r="I114" i="47"/>
  <c r="I113" i="47"/>
  <c r="I112" i="47"/>
  <c r="I111" i="47"/>
  <c r="I110" i="47"/>
  <c r="I109" i="47"/>
  <c r="I108" i="47"/>
  <c r="I107" i="47"/>
  <c r="I106" i="47"/>
  <c r="I105" i="47"/>
  <c r="I104" i="47"/>
  <c r="I103" i="47"/>
  <c r="I102" i="47"/>
  <c r="I101" i="47"/>
  <c r="I100" i="47"/>
  <c r="I99" i="47"/>
  <c r="I98" i="47"/>
  <c r="I97" i="47"/>
  <c r="I96" i="47"/>
  <c r="I95" i="47"/>
  <c r="I94" i="47"/>
  <c r="I93" i="47"/>
  <c r="I92" i="47"/>
  <c r="I91" i="47"/>
  <c r="I90" i="47"/>
  <c r="I89" i="47"/>
  <c r="I88" i="47"/>
  <c r="I87" i="47"/>
  <c r="I86" i="47"/>
  <c r="I85" i="47"/>
  <c r="I84" i="47"/>
  <c r="I83" i="47"/>
  <c r="I82" i="47"/>
  <c r="I81" i="47"/>
  <c r="I80" i="47"/>
  <c r="I79" i="47"/>
  <c r="I78" i="47"/>
  <c r="I77" i="47"/>
  <c r="I76" i="47"/>
  <c r="I75" i="47"/>
  <c r="I74" i="47"/>
  <c r="I73" i="47"/>
  <c r="I72" i="47"/>
  <c r="I71" i="47"/>
  <c r="I70" i="47"/>
  <c r="I69" i="47"/>
  <c r="I68" i="47"/>
  <c r="I67" i="47"/>
  <c r="I66" i="47"/>
  <c r="I65" i="47"/>
  <c r="I64"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I25" i="47"/>
  <c r="I24" i="47"/>
  <c r="I23" i="47"/>
  <c r="I22" i="47"/>
  <c r="I21" i="47"/>
  <c r="I20" i="47"/>
  <c r="I19" i="47"/>
  <c r="I18" i="47"/>
  <c r="I17" i="47"/>
  <c r="I16" i="47"/>
  <c r="I15" i="47"/>
  <c r="I14" i="47"/>
  <c r="I13" i="47"/>
  <c r="I12" i="47"/>
  <c r="I11" i="47"/>
  <c r="I10" i="47"/>
  <c r="I9" i="47"/>
  <c r="I8" i="47"/>
  <c r="I7" i="47"/>
  <c r="I6" i="47"/>
  <c r="G1" i="47"/>
  <c r="F1" i="47"/>
  <c r="E1" i="4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D6" i="16"/>
  <c r="G5" i="16"/>
  <c r="D5" i="16"/>
  <c r="G4" i="16"/>
  <c r="D4" i="16"/>
  <c r="D3" i="16"/>
  <c r="C11" i="38"/>
  <c r="C10" i="38"/>
  <c r="C9" i="38"/>
  <c r="C8" i="38"/>
  <c r="C7" i="38"/>
  <c r="C6" i="38"/>
  <c r="C5" i="38"/>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3" i="45"/>
  <c r="A2" i="45"/>
  <c r="E73" i="63"/>
  <c r="B43" i="22" s="1"/>
  <c r="E72" i="63"/>
  <c r="B42" i="22" s="1"/>
  <c r="E69" i="63"/>
  <c r="B38" i="22" s="1"/>
  <c r="E60" i="63"/>
  <c r="B29" i="22" s="1"/>
  <c r="E57" i="63"/>
  <c r="B26" i="22" s="1"/>
  <c r="E56" i="63"/>
  <c r="B25" i="22" s="1"/>
  <c r="E54" i="63"/>
  <c r="B23" i="22" s="1"/>
  <c r="E50" i="63"/>
  <c r="B19" i="22" s="1"/>
  <c r="E49" i="63"/>
  <c r="B18" i="22" s="1"/>
  <c r="E48" i="63"/>
  <c r="E47" i="63"/>
  <c r="B9" i="22" s="1"/>
  <c r="E44" i="63"/>
  <c r="AC9" i="31" s="1"/>
  <c r="E43" i="63"/>
  <c r="AC8" i="31" s="1"/>
  <c r="E42" i="63"/>
  <c r="AC7" i="31" s="1"/>
  <c r="E41" i="63"/>
  <c r="AC6" i="31" s="1"/>
  <c r="E40" i="63"/>
  <c r="E39" i="63"/>
  <c r="AC4" i="31" s="1"/>
  <c r="E38" i="63"/>
  <c r="E37" i="63"/>
  <c r="E36" i="63"/>
  <c r="O12" i="21" s="1"/>
  <c r="E35" i="63"/>
  <c r="O11" i="21" s="1"/>
  <c r="E34" i="63"/>
  <c r="E33" i="63"/>
  <c r="E32" i="63"/>
  <c r="E31" i="63"/>
  <c r="E30" i="63"/>
  <c r="E29" i="63"/>
  <c r="E28" i="63"/>
  <c r="O4" i="21" s="1"/>
  <c r="E27" i="63"/>
  <c r="E26" i="63"/>
  <c r="D26" i="63"/>
  <c r="E25" i="63"/>
  <c r="D25" i="63"/>
  <c r="E24" i="63"/>
  <c r="D24" i="63"/>
  <c r="E23" i="63"/>
  <c r="E22" i="63"/>
  <c r="D22" i="63"/>
  <c r="E21" i="63"/>
  <c r="D21" i="63"/>
  <c r="E20" i="63"/>
  <c r="D20" i="63"/>
  <c r="E19" i="63"/>
  <c r="D19" i="63"/>
  <c r="E18" i="63"/>
  <c r="D18" i="63"/>
  <c r="E17" i="63"/>
  <c r="E16" i="63"/>
  <c r="E15" i="63"/>
  <c r="E14" i="63"/>
  <c r="E13" i="63"/>
  <c r="E12" i="63"/>
  <c r="D12" i="63"/>
  <c r="E11" i="63"/>
  <c r="H10" i="32" s="1"/>
  <c r="E10" i="63"/>
  <c r="H8" i="32" s="1"/>
  <c r="E9" i="63"/>
  <c r="H7" i="32" s="1"/>
  <c r="E8" i="63"/>
  <c r="B14" i="32" s="1"/>
  <c r="E7" i="63"/>
  <c r="B13" i="32" s="1"/>
  <c r="E6" i="63"/>
  <c r="B12" i="32" s="1"/>
  <c r="E5" i="63"/>
  <c r="B11" i="32" s="1"/>
  <c r="E4" i="63"/>
  <c r="B9" i="32" s="1"/>
  <c r="E3" i="63"/>
  <c r="B8" i="32" s="1"/>
  <c r="E2" i="63"/>
  <c r="B7" i="32" s="1"/>
  <c r="A55" i="64"/>
  <c r="A54" i="64"/>
  <c r="A53" i="64"/>
  <c r="A52" i="64"/>
  <c r="A51" i="64"/>
  <c r="A50" i="64"/>
  <c r="A49" i="64"/>
  <c r="A48" i="64"/>
  <c r="A47" i="64"/>
  <c r="A46"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A3" i="64"/>
  <c r="A2" i="64"/>
  <c r="B25" i="36"/>
  <c r="B17" i="36"/>
  <c r="B7" i="36"/>
  <c r="B97" i="33"/>
  <c r="F67" i="33"/>
  <c r="E67" i="33"/>
  <c r="D67" i="33"/>
  <c r="B63" i="33"/>
  <c r="B54" i="33"/>
  <c r="B34" i="33"/>
  <c r="H11" i="33"/>
  <c r="G11" i="33"/>
  <c r="F11" i="33"/>
  <c r="B7" i="33"/>
  <c r="F100" i="40"/>
  <c r="L37" i="40"/>
  <c r="N37" i="40" s="1"/>
  <c r="L36" i="40"/>
  <c r="N36" i="40" s="1"/>
  <c r="L35" i="40"/>
  <c r="N35" i="40" s="1"/>
  <c r="L34" i="40"/>
  <c r="N34" i="40" s="1"/>
  <c r="L33" i="40"/>
  <c r="M22" i="40"/>
  <c r="P22" i="40" s="1"/>
  <c r="N22" i="40" s="1"/>
  <c r="K22" i="40"/>
  <c r="M21" i="40"/>
  <c r="P21" i="40" s="1"/>
  <c r="N21" i="40" s="1"/>
  <c r="K21" i="40"/>
  <c r="M20" i="40"/>
  <c r="P20" i="40" s="1"/>
  <c r="N20" i="40" s="1"/>
  <c r="K20" i="40"/>
  <c r="M19" i="40"/>
  <c r="P19" i="40" s="1"/>
  <c r="N19" i="40" s="1"/>
  <c r="K19" i="40"/>
  <c r="P17" i="40"/>
  <c r="C9" i="40"/>
  <c r="N7" i="40"/>
  <c r="K7" i="40"/>
  <c r="F33" i="41"/>
  <c r="D33" i="41"/>
  <c r="F32" i="41"/>
  <c r="D32" i="41"/>
  <c r="D31" i="41"/>
  <c r="F30" i="41"/>
  <c r="D30" i="41"/>
  <c r="F29" i="41"/>
  <c r="D29" i="41"/>
  <c r="H19" i="41"/>
  <c r="F19" i="41"/>
  <c r="E19" i="41"/>
  <c r="C19" i="41"/>
  <c r="H18" i="41"/>
  <c r="F18" i="41"/>
  <c r="E18" i="41"/>
  <c r="C18" i="41"/>
  <c r="H17" i="41"/>
  <c r="F17" i="41"/>
  <c r="E17" i="41"/>
  <c r="C17" i="41"/>
  <c r="E16" i="41"/>
  <c r="C16" i="41"/>
  <c r="C9" i="41"/>
  <c r="F6" i="41"/>
  <c r="C6" i="41"/>
  <c r="F51" i="30"/>
  <c r="F50" i="30"/>
  <c r="D50" i="30"/>
  <c r="F49" i="30"/>
  <c r="D49" i="30"/>
  <c r="F48" i="30"/>
  <c r="D48" i="30"/>
  <c r="F47" i="30"/>
  <c r="D47" i="30"/>
  <c r="F46" i="30"/>
  <c r="D46" i="30"/>
  <c r="G40" i="30"/>
  <c r="E40" i="30"/>
  <c r="G39" i="30"/>
  <c r="F39" i="30"/>
  <c r="E39" i="30"/>
  <c r="D39" i="30"/>
  <c r="G38" i="30"/>
  <c r="F38" i="30"/>
  <c r="E38" i="30"/>
  <c r="D38" i="30"/>
  <c r="G37" i="30"/>
  <c r="E37" i="30"/>
  <c r="G36" i="30"/>
  <c r="F36" i="30"/>
  <c r="E36" i="30"/>
  <c r="D36" i="30"/>
  <c r="G35" i="30"/>
  <c r="E35" i="30"/>
  <c r="G34" i="30"/>
  <c r="F34" i="30"/>
  <c r="E34" i="30"/>
  <c r="D34" i="30"/>
  <c r="G33" i="30"/>
  <c r="E33" i="30"/>
  <c r="C33" i="30"/>
  <c r="G32" i="30"/>
  <c r="E32" i="30"/>
  <c r="C32" i="30"/>
  <c r="G31" i="30"/>
  <c r="E31" i="30"/>
  <c r="G30" i="30"/>
  <c r="E30" i="30"/>
  <c r="G29" i="30"/>
  <c r="E29" i="30"/>
  <c r="H23" i="30"/>
  <c r="E23" i="30"/>
  <c r="H22" i="30"/>
  <c r="F22" i="30"/>
  <c r="E22" i="30"/>
  <c r="C22" i="30"/>
  <c r="H21" i="30"/>
  <c r="F21" i="30"/>
  <c r="E21" i="30"/>
  <c r="C21" i="30"/>
  <c r="H20" i="30"/>
  <c r="E20" i="30"/>
  <c r="H19" i="30"/>
  <c r="F19" i="30"/>
  <c r="E19" i="30"/>
  <c r="C19" i="30"/>
  <c r="H18" i="30"/>
  <c r="F18" i="30"/>
  <c r="E18" i="30"/>
  <c r="C18" i="30"/>
  <c r="H17" i="30"/>
  <c r="F17" i="30"/>
  <c r="E17" i="30"/>
  <c r="C17" i="30"/>
  <c r="H16" i="30"/>
  <c r="F16" i="30"/>
  <c r="E16" i="30"/>
  <c r="C16" i="30"/>
  <c r="H15" i="30"/>
  <c r="F15" i="30"/>
  <c r="E15" i="30"/>
  <c r="C15" i="30"/>
  <c r="F8" i="30"/>
  <c r="C8" i="30"/>
  <c r="F7" i="30"/>
  <c r="C7" i="30"/>
  <c r="F6" i="30"/>
  <c r="C6" i="30"/>
  <c r="S87" i="26"/>
  <c r="D85" i="26"/>
  <c r="S80" i="26"/>
  <c r="D78" i="26"/>
  <c r="S73" i="26"/>
  <c r="D71" i="26"/>
  <c r="S66" i="26"/>
  <c r="D64" i="26"/>
  <c r="S59" i="26"/>
  <c r="D57" i="26"/>
  <c r="S52" i="26"/>
  <c r="D50" i="26"/>
  <c r="S45" i="26"/>
  <c r="D43" i="26"/>
  <c r="S38" i="26"/>
  <c r="D36" i="26"/>
  <c r="S31" i="26"/>
  <c r="D29" i="26"/>
  <c r="S24" i="26"/>
  <c r="D22" i="26"/>
  <c r="S17" i="26"/>
  <c r="D15" i="26"/>
  <c r="S10" i="26"/>
  <c r="D8" i="26"/>
  <c r="S75" i="25"/>
  <c r="D73" i="25"/>
  <c r="S69" i="25"/>
  <c r="D67" i="25"/>
  <c r="S63" i="25"/>
  <c r="D61" i="25"/>
  <c r="S57" i="25"/>
  <c r="D55" i="25"/>
  <c r="S51" i="25"/>
  <c r="D49" i="25"/>
  <c r="S45" i="25"/>
  <c r="D43" i="25"/>
  <c r="S39" i="25"/>
  <c r="D37" i="25"/>
  <c r="S33" i="25"/>
  <c r="D31" i="25"/>
  <c r="S27" i="25"/>
  <c r="D25" i="25"/>
  <c r="S21" i="25"/>
  <c r="D19" i="25"/>
  <c r="S15" i="25"/>
  <c r="D13" i="25"/>
  <c r="S9" i="25"/>
  <c r="D7" i="25"/>
  <c r="S75" i="5"/>
  <c r="D73" i="5"/>
  <c r="S69" i="5"/>
  <c r="D67" i="5"/>
  <c r="S63" i="5"/>
  <c r="D61" i="5"/>
  <c r="S57" i="5"/>
  <c r="D55" i="5"/>
  <c r="S51" i="5"/>
  <c r="D49" i="5"/>
  <c r="S45" i="5"/>
  <c r="D43" i="5"/>
  <c r="S39" i="5"/>
  <c r="D37" i="5"/>
  <c r="S33" i="5"/>
  <c r="D31" i="5"/>
  <c r="S27" i="5"/>
  <c r="D25" i="5"/>
  <c r="S21" i="5"/>
  <c r="D19" i="5"/>
  <c r="S15" i="5"/>
  <c r="D13" i="5"/>
  <c r="S9" i="5"/>
  <c r="D7" i="5"/>
  <c r="E46" i="20"/>
  <c r="E45" i="20"/>
  <c r="E43" i="20"/>
  <c r="E42" i="20"/>
  <c r="E41" i="20"/>
  <c r="D36" i="20"/>
  <c r="E33" i="20"/>
  <c r="E25" i="20"/>
  <c r="D25" i="20"/>
  <c r="C25" i="20"/>
  <c r="E24" i="20"/>
  <c r="D24" i="20"/>
  <c r="C24" i="20"/>
  <c r="E23" i="20"/>
  <c r="D23" i="20"/>
  <c r="C23" i="20"/>
  <c r="E22" i="20"/>
  <c r="D22" i="20"/>
  <c r="C22" i="20"/>
  <c r="E21" i="20"/>
  <c r="D21" i="20"/>
  <c r="C21" i="20"/>
  <c r="E20" i="20"/>
  <c r="D20" i="20"/>
  <c r="C20" i="20"/>
  <c r="E19" i="20"/>
  <c r="D19" i="20"/>
  <c r="C19" i="20"/>
  <c r="M18" i="20" a="1"/>
  <c r="M18" i="20" s="1"/>
  <c r="E18" i="20"/>
  <c r="D18" i="20"/>
  <c r="C18" i="20"/>
  <c r="E17" i="20"/>
  <c r="D17" i="20"/>
  <c r="C17" i="20"/>
  <c r="E16" i="20"/>
  <c r="D16" i="20"/>
  <c r="C16" i="20"/>
  <c r="E15" i="20"/>
  <c r="D15" i="20"/>
  <c r="C15" i="20"/>
  <c r="M14" i="20"/>
  <c r="E14" i="20"/>
  <c r="D14" i="20"/>
  <c r="C14" i="20"/>
  <c r="D6" i="20"/>
  <c r="B26" i="35"/>
  <c r="G12" i="35"/>
  <c r="E12" i="35"/>
  <c r="C12" i="35"/>
  <c r="C8" i="35"/>
  <c r="B7" i="35"/>
  <c r="D6" i="35"/>
  <c r="G5" i="35"/>
  <c r="H19" i="36" s="1"/>
  <c r="E5" i="35"/>
  <c r="F19" i="36" s="1"/>
  <c r="C5" i="35"/>
  <c r="D19" i="36" s="1"/>
  <c r="K100" i="27"/>
  <c r="J100" i="27"/>
  <c r="I100" i="27"/>
  <c r="D23" i="27"/>
  <c r="R15" i="27"/>
  <c r="P15" i="27"/>
  <c r="Q28" i="27" s="1"/>
  <c r="N15" i="27"/>
  <c r="C9" i="27"/>
  <c r="S7" i="27"/>
  <c r="O7" i="27"/>
  <c r="R6" i="27"/>
  <c r="N6" i="27"/>
  <c r="K6" i="27"/>
  <c r="J6" i="27"/>
  <c r="I6" i="27"/>
  <c r="C74" i="22"/>
  <c r="C71" i="22"/>
  <c r="C70" i="22"/>
  <c r="C60" i="22"/>
  <c r="C56" i="22"/>
  <c r="C35" i="22"/>
  <c r="C34" i="22"/>
  <c r="C33" i="22"/>
  <c r="C32" i="22"/>
  <c r="D8" i="39"/>
  <c r="E85" i="37"/>
  <c r="E78" i="37"/>
  <c r="E71" i="37"/>
  <c r="E64" i="37"/>
  <c r="E57" i="37"/>
  <c r="E50" i="37"/>
  <c r="E43" i="37"/>
  <c r="E36" i="37"/>
  <c r="E29" i="37"/>
  <c r="E22" i="37"/>
  <c r="E15" i="37"/>
  <c r="E8" i="37"/>
  <c r="Z4" i="37"/>
  <c r="F46" i="32"/>
  <c r="E46" i="32"/>
  <c r="AB45" i="32" a="1"/>
  <c r="AB45" i="32" s="1"/>
  <c r="F45" i="32"/>
  <c r="E45" i="32"/>
  <c r="F44" i="32"/>
  <c r="E44" i="32"/>
  <c r="F43" i="32"/>
  <c r="E43" i="32"/>
  <c r="AB42" i="32" a="1"/>
  <c r="AB42" i="32" s="1"/>
  <c r="F42" i="32"/>
  <c r="E42" i="32"/>
  <c r="F41" i="32"/>
  <c r="E41" i="32"/>
  <c r="F40" i="32"/>
  <c r="E40" i="32"/>
  <c r="AB39" i="32" a="1"/>
  <c r="AB39" i="32" s="1"/>
  <c r="F39" i="32"/>
  <c r="E39" i="32"/>
  <c r="F38" i="32"/>
  <c r="E38" i="32"/>
  <c r="F37" i="32"/>
  <c r="E37" i="32"/>
  <c r="AB36" i="32" a="1"/>
  <c r="AB36" i="32" s="1"/>
  <c r="F36" i="32"/>
  <c r="E36" i="32"/>
  <c r="F35" i="32"/>
  <c r="E35" i="32"/>
  <c r="F34" i="32"/>
  <c r="E34" i="32"/>
  <c r="AB33" i="32" a="1"/>
  <c r="AB33" i="32" s="1"/>
  <c r="F33" i="32"/>
  <c r="E33" i="32"/>
  <c r="F32" i="32"/>
  <c r="E32" i="32"/>
  <c r="F31" i="32"/>
  <c r="E31" i="32"/>
  <c r="AB30" i="32" a="1"/>
  <c r="AB30" i="32" s="1"/>
  <c r="F30" i="32"/>
  <c r="E30" i="32"/>
  <c r="I29" i="32"/>
  <c r="C28" i="22" s="1"/>
  <c r="F29" i="32"/>
  <c r="E29" i="32"/>
  <c r="AA28" i="32" a="1"/>
  <c r="AA28" i="32" s="1"/>
  <c r="F28" i="32"/>
  <c r="E28" i="32"/>
  <c r="F27" i="32"/>
  <c r="E27" i="32"/>
  <c r="F26" i="32"/>
  <c r="E26" i="32"/>
  <c r="AB25" i="32" a="1"/>
  <c r="AB25" i="32" s="1"/>
  <c r="F25" i="32"/>
  <c r="E25" i="32"/>
  <c r="F24" i="32"/>
  <c r="E24" i="32"/>
  <c r="AA23" i="32" a="1"/>
  <c r="AA23" i="32" s="1"/>
  <c r="F23" i="32"/>
  <c r="E23" i="32"/>
  <c r="F22" i="32"/>
  <c r="E22" i="32"/>
  <c r="F21" i="32"/>
  <c r="E21" i="32"/>
  <c r="AB20" i="32" a="1"/>
  <c r="AB20" i="32" s="1"/>
  <c r="N20" i="32"/>
  <c r="M20" i="32"/>
  <c r="L20" i="32"/>
  <c r="F20" i="32"/>
  <c r="E20" i="32"/>
  <c r="F19" i="32"/>
  <c r="E19" i="32"/>
  <c r="F18" i="32"/>
  <c r="E18" i="32"/>
  <c r="F17" i="32"/>
  <c r="E17" i="32"/>
  <c r="F16" i="32"/>
  <c r="E16" i="32"/>
  <c r="I15" i="32"/>
  <c r="F15" i="32"/>
  <c r="E15" i="32"/>
  <c r="I14" i="32"/>
  <c r="F14" i="32"/>
  <c r="E14" i="32"/>
  <c r="F13" i="32"/>
  <c r="E13" i="32"/>
  <c r="F12" i="32"/>
  <c r="E12" i="32"/>
  <c r="AA11" i="32" a="1"/>
  <c r="AA11" i="32" s="1"/>
  <c r="F11" i="32"/>
  <c r="E11" i="32"/>
  <c r="F10" i="32"/>
  <c r="E10" i="32"/>
  <c r="AA9" i="32" a="1"/>
  <c r="AA9" i="32" s="1"/>
  <c r="F9" i="32"/>
  <c r="E9" i="32"/>
  <c r="C9" i="32"/>
  <c r="F8" i="32"/>
  <c r="E8" i="32"/>
  <c r="AB7" i="32" a="1"/>
  <c r="AB7" i="32" s="1"/>
  <c r="AA7" i="32" a="1"/>
  <c r="AA7" i="32" s="1"/>
  <c r="F7" i="32"/>
  <c r="E7" i="32"/>
  <c r="B87" i="23"/>
  <c r="B81" i="23"/>
  <c r="B77" i="23"/>
  <c r="B48" i="23"/>
  <c r="B40" i="23"/>
  <c r="B37" i="23"/>
  <c r="B29" i="23"/>
  <c r="L8" i="16" a="1"/>
  <c r="P7" i="16" a="1"/>
  <c r="V7" i="16" a="1"/>
  <c r="BH3" i="46"/>
  <c r="BD1" i="46"/>
  <c r="AI3" i="46"/>
  <c r="AE1" i="46"/>
  <c r="J3" i="46"/>
  <c r="R1" i="46"/>
  <c r="BO2" i="46"/>
  <c r="E1" i="46"/>
  <c r="BN2" i="46"/>
  <c r="D1" i="46"/>
  <c r="BN3" i="46"/>
  <c r="D2" i="46"/>
  <c r="K3" i="16" a="1"/>
  <c r="O2" i="46"/>
  <c r="J5" i="16" a="1"/>
  <c r="AX2" i="46"/>
  <c r="U5" i="16" a="1"/>
  <c r="Y3" i="46"/>
  <c r="AG1" i="46"/>
  <c r="BA2" i="46"/>
  <c r="O3" i="46"/>
  <c r="AA1" i="46"/>
  <c r="AK2" i="46"/>
  <c r="B47" i="25"/>
  <c r="BM2" i="46"/>
  <c r="AU1" i="46"/>
  <c r="G132" i="21"/>
  <c r="BR1" i="46"/>
  <c r="B40" i="26"/>
  <c r="K6" i="16" a="1"/>
  <c r="B53" i="25"/>
  <c r="N4" i="16" a="1"/>
  <c r="T4" i="16" a="1"/>
  <c r="J4" i="16" a="1"/>
  <c r="AV3" i="46"/>
  <c r="AR1" i="46"/>
  <c r="W3" i="46"/>
  <c r="S1" i="46"/>
  <c r="BP2" i="46"/>
  <c r="F1" i="46"/>
  <c r="BC2" i="46"/>
  <c r="B68" i="26"/>
  <c r="BB2" i="46"/>
  <c r="T6" i="16" a="1"/>
  <c r="BB3" i="46"/>
  <c r="BV1" i="46"/>
  <c r="BY3" i="46"/>
  <c r="C2" i="46"/>
  <c r="V3" i="16" a="1"/>
  <c r="AL2" i="46"/>
  <c r="U3" i="16" a="1"/>
  <c r="M3" i="46"/>
  <c r="AW2" i="46"/>
  <c r="B61" i="26"/>
  <c r="B47" i="5"/>
  <c r="L3" i="46"/>
  <c r="N3" i="16" a="1"/>
  <c r="B2" i="46"/>
  <c r="M8" i="16" a="1"/>
  <c r="K7" i="16" a="1"/>
  <c r="Q7" i="16" a="1"/>
  <c r="W7" i="16" a="1"/>
  <c r="B152" i="31"/>
  <c r="B117" i="31"/>
  <c r="B19" i="31"/>
  <c r="AJ3" i="46"/>
  <c r="AF1" i="46"/>
  <c r="K3" i="46"/>
  <c r="G1" i="46"/>
  <c r="BD2" i="46"/>
  <c r="V6" i="16" a="1"/>
  <c r="AQ2" i="46"/>
  <c r="U6" i="16" a="1"/>
  <c r="AP2" i="46"/>
  <c r="Y5" i="16" a="1"/>
  <c r="AP3" i="46"/>
  <c r="BJ1" i="46"/>
  <c r="BM3" i="46"/>
  <c r="BU1" i="46"/>
  <c r="J3" i="16" a="1"/>
  <c r="I1" i="46"/>
  <c r="AX3" i="46"/>
  <c r="C1" i="46"/>
  <c r="BE2" i="46"/>
  <c r="S2" i="46"/>
  <c r="AO3" i="46"/>
  <c r="T3" i="16" a="1"/>
  <c r="B23" i="5"/>
  <c r="O4" i="16" a="1"/>
  <c r="U4" i="16" a="1"/>
  <c r="X3" i="46"/>
  <c r="T1" i="46"/>
  <c r="BQ2" i="46"/>
  <c r="W6" i="16" a="1"/>
  <c r="AR2" i="46"/>
  <c r="J6" i="16" a="1"/>
  <c r="AE2" i="46"/>
  <c r="N5" i="16" a="1"/>
  <c r="AD2" i="46"/>
  <c r="M5" i="16" a="1"/>
  <c r="AD3" i="46"/>
  <c r="AX1" i="46"/>
  <c r="BA3" i="46"/>
  <c r="BI1" i="46"/>
  <c r="BX3" i="46"/>
  <c r="N2" i="46"/>
  <c r="T5" i="16" a="1"/>
  <c r="BS2" i="46"/>
  <c r="B75" i="26"/>
  <c r="N8" i="16" a="1"/>
  <c r="L7" i="16" a="1"/>
  <c r="R7" i="16" a="1"/>
  <c r="X7" i="16" a="1"/>
  <c r="P4" i="16" a="1"/>
  <c r="V4" i="16" a="1"/>
  <c r="BR2" i="46"/>
  <c r="X6" i="16" a="1"/>
  <c r="AS2" i="46"/>
  <c r="P5" i="16" a="1"/>
  <c r="T2" i="46"/>
  <c r="O3" i="16" a="1"/>
  <c r="G2" i="46"/>
  <c r="BP3" i="46"/>
  <c r="F2" i="46"/>
  <c r="M3" i="16" a="1"/>
  <c r="F3" i="46"/>
  <c r="Z1" i="46"/>
  <c r="Q3" i="46"/>
  <c r="AK1" i="46"/>
  <c r="AZ3" i="46"/>
  <c r="BT1" i="46"/>
  <c r="N6" i="16" a="1"/>
  <c r="AU2" i="46"/>
  <c r="Z3" i="46"/>
  <c r="B59" i="25"/>
  <c r="N3" i="46"/>
  <c r="B29" i="25"/>
  <c r="BY2" i="46"/>
  <c r="B33" i="37"/>
  <c r="B19" i="26"/>
  <c r="V1" i="46"/>
  <c r="Y2" i="46"/>
  <c r="B19" i="21"/>
  <c r="BQ1" i="46"/>
  <c r="BF1" i="46"/>
  <c r="K1" i="46"/>
  <c r="AA3" i="46"/>
  <c r="B5" i="21"/>
  <c r="A2" i="46"/>
  <c r="AI1" i="46"/>
  <c r="G188" i="21"/>
  <c r="AL1" i="46"/>
  <c r="BJ3" i="46"/>
  <c r="B117" i="21"/>
  <c r="O8" i="16" a="1"/>
  <c r="M7" i="16" a="1"/>
  <c r="S7" i="16" a="1"/>
  <c r="Y7" i="16" a="1"/>
  <c r="BF2" i="46"/>
  <c r="L6" i="16" a="1"/>
  <c r="AG2" i="46"/>
  <c r="P3" i="16" a="1"/>
  <c r="H2" i="46"/>
  <c r="BQ3" i="46"/>
  <c r="BY1" i="46"/>
  <c r="BD3" i="46"/>
  <c r="BX1" i="46"/>
  <c r="S6" i="16" a="1"/>
  <c r="BX2" i="46"/>
  <c r="N1" i="46"/>
  <c r="E3" i="46"/>
  <c r="Y1" i="46"/>
  <c r="AN3" i="46"/>
  <c r="BH1" i="46"/>
  <c r="S5" i="16" a="1"/>
  <c r="AI2" i="46"/>
  <c r="BH2" i="46"/>
  <c r="B35" i="25"/>
  <c r="AV2" i="46"/>
  <c r="B5" i="25"/>
  <c r="AC2" i="46"/>
  <c r="AL3" i="46"/>
  <c r="B65" i="25"/>
  <c r="G209" i="21"/>
  <c r="BI3" i="46"/>
  <c r="B65" i="5"/>
  <c r="O6" i="16" a="1"/>
  <c r="B71" i="5"/>
  <c r="G6" i="21"/>
  <c r="R3" i="46"/>
  <c r="B152" i="21"/>
  <c r="K4" i="16" a="1"/>
  <c r="Q4" i="16" a="1"/>
  <c r="W4" i="16" a="1"/>
  <c r="Y6" i="16" a="1"/>
  <c r="AT2" i="46"/>
  <c r="Q5" i="16" a="1"/>
  <c r="U2" i="46"/>
  <c r="BR3" i="46"/>
  <c r="BZ1" i="46"/>
  <c r="BE3" i="46"/>
  <c r="BM1" i="46"/>
  <c r="AR3" i="46"/>
  <c r="BL1" i="46"/>
  <c r="X5" i="16" a="1"/>
  <c r="BL2" i="46"/>
  <c r="B1" i="46"/>
  <c r="BW2" i="46"/>
  <c r="M1" i="46"/>
  <c r="AB3" i="46"/>
  <c r="AV1" i="46"/>
  <c r="S3" i="16" a="1"/>
  <c r="W2" i="46"/>
  <c r="L2" i="46"/>
  <c r="B11" i="25"/>
  <c r="AH1" i="46"/>
  <c r="B53" i="5"/>
  <c r="BK1" i="46"/>
  <c r="BT2" i="46"/>
  <c r="B41" i="25"/>
  <c r="AM3" i="46"/>
  <c r="BW3" i="46"/>
  <c r="M2" i="46"/>
  <c r="W5" i="16" a="1"/>
  <c r="X1" i="46"/>
  <c r="G3" i="46"/>
  <c r="B5" i="5"/>
  <c r="AJ2" i="46"/>
  <c r="B33" i="26"/>
  <c r="G251" i="21"/>
  <c r="O5" i="16" a="1"/>
  <c r="BG2" i="46"/>
  <c r="B47" i="26"/>
  <c r="J8" i="16" a="1"/>
  <c r="N7" i="16" a="1"/>
  <c r="T7" i="16" a="1"/>
  <c r="J7" i="16" a="1"/>
  <c r="M6" i="16" a="1"/>
  <c r="AH2" i="46"/>
  <c r="Q3" i="16" a="1"/>
  <c r="I2" i="46"/>
  <c r="BF3" i="46"/>
  <c r="BN1" i="46"/>
  <c r="AS3" i="46"/>
  <c r="BA1" i="46"/>
  <c r="AF3" i="46"/>
  <c r="AZ1" i="46"/>
  <c r="L5" i="16" a="1"/>
  <c r="AZ2" i="46"/>
  <c r="R6" i="16" a="1"/>
  <c r="BK2" i="46"/>
  <c r="A1" i="46"/>
  <c r="P3" i="46"/>
  <c r="AJ1" i="46"/>
  <c r="BU3" i="46"/>
  <c r="K2" i="46"/>
  <c r="AT1" i="46"/>
  <c r="B59" i="5"/>
  <c r="BC3" i="46"/>
  <c r="B29" i="5"/>
  <c r="O1" i="46"/>
  <c r="X2" i="46"/>
  <c r="B17" i="25"/>
  <c r="BU2" i="46"/>
  <c r="AY2" i="46"/>
  <c r="D3" i="46"/>
  <c r="B19" i="37"/>
  <c r="B54" i="26"/>
  <c r="Z2" i="46"/>
  <c r="AM1" i="46"/>
  <c r="G272" i="21"/>
  <c r="AF2" i="46"/>
  <c r="BL3" i="46"/>
  <c r="B12" i="26"/>
  <c r="L4" i="16" a="1"/>
  <c r="R4" i="16" a="1"/>
  <c r="X4" i="16" a="1"/>
  <c r="B33" i="31"/>
  <c r="B5" i="31"/>
  <c r="R5" i="16" a="1"/>
  <c r="V2" i="46"/>
  <c r="BS3" i="46"/>
  <c r="BO1" i="46"/>
  <c r="AT3" i="46"/>
  <c r="BB1" i="46"/>
  <c r="AG3" i="46"/>
  <c r="AO1" i="46"/>
  <c r="T3" i="46"/>
  <c r="AN1" i="46"/>
  <c r="X3" i="16" a="1"/>
  <c r="AN2" i="46"/>
  <c r="B82" i="26"/>
  <c r="B35" i="5"/>
  <c r="A3" i="46"/>
  <c r="BG1" i="46"/>
  <c r="B5" i="37"/>
  <c r="H1" i="46"/>
  <c r="Y3" i="16" a="1"/>
  <c r="BV3" i="46"/>
  <c r="K8" i="16" a="1"/>
  <c r="O7" i="16" a="1"/>
  <c r="U7" i="16" a="1"/>
  <c r="R3" i="16" a="1"/>
  <c r="J2" i="46"/>
  <c r="BG3" i="46"/>
  <c r="BC1" i="46"/>
  <c r="AH3" i="46"/>
  <c r="AP1" i="46"/>
  <c r="U3" i="46"/>
  <c r="AC1" i="46"/>
  <c r="H3" i="46"/>
  <c r="AB1" i="46"/>
  <c r="L3" i="16" a="1"/>
  <c r="AB2" i="46"/>
  <c r="K5" i="16" a="1"/>
  <c r="AM2" i="46"/>
  <c r="Q6" i="16" a="1"/>
  <c r="BV2" i="46"/>
  <c r="L1" i="46"/>
  <c r="AW3" i="46"/>
  <c r="BE1" i="46"/>
  <c r="BO3" i="46"/>
  <c r="B11" i="5"/>
  <c r="AO2" i="46"/>
  <c r="AY3" i="46"/>
  <c r="B26" i="26"/>
  <c r="J1" i="46"/>
  <c r="B41" i="5"/>
  <c r="BI2" i="46"/>
  <c r="G97" i="21"/>
  <c r="E2" i="46"/>
  <c r="BS1" i="46"/>
  <c r="Q2" i="46"/>
  <c r="G230" i="21"/>
  <c r="AY1" i="46"/>
  <c r="B5" i="26"/>
  <c r="R2" i="46"/>
  <c r="G167" i="21"/>
  <c r="M4" i="16" a="1"/>
  <c r="S4" i="16" a="1"/>
  <c r="Y4" i="16" a="1"/>
  <c r="BT3" i="46"/>
  <c r="BP1" i="46"/>
  <c r="AU3" i="46"/>
  <c r="AQ1" i="46"/>
  <c r="V3" i="46"/>
  <c r="AD1" i="46"/>
  <c r="I3" i="46"/>
  <c r="Q1" i="46"/>
  <c r="BZ2" i="46"/>
  <c r="P1" i="46"/>
  <c r="BZ3" i="46"/>
  <c r="P2" i="46"/>
  <c r="W3" i="16" a="1"/>
  <c r="AA2" i="46"/>
  <c r="V5" i="16" a="1"/>
  <c r="BJ2" i="46"/>
  <c r="P6" i="16" a="1"/>
  <c r="AK3" i="46"/>
  <c r="AS1" i="46"/>
  <c r="S3" i="46"/>
  <c r="BK3" i="46"/>
  <c r="BW1" i="46"/>
  <c r="C3" i="46"/>
  <c r="B71" i="25"/>
  <c r="AE3" i="46"/>
  <c r="B17" i="5"/>
  <c r="B33" i="21"/>
  <c r="B3" i="46"/>
  <c r="U1" i="46"/>
  <c r="B23" i="25"/>
  <c r="W1" i="46"/>
  <c r="AW1" i="46"/>
  <c r="AQ3" i="46"/>
  <c r="Y4" i="16" l="1"/>
  <c r="S4" i="16"/>
  <c r="M4" i="16"/>
  <c r="U7" i="16"/>
  <c r="O7" i="16"/>
  <c r="K8" i="16"/>
  <c r="X4" i="16"/>
  <c r="R4" i="16"/>
  <c r="L4" i="16"/>
  <c r="J7" i="16"/>
  <c r="T7" i="16"/>
  <c r="N7" i="16"/>
  <c r="J8" i="16"/>
  <c r="W4" i="16"/>
  <c r="Q4" i="16"/>
  <c r="K4" i="16"/>
  <c r="Y7" i="16"/>
  <c r="S7" i="16"/>
  <c r="M7" i="16"/>
  <c r="O8" i="16"/>
  <c r="V4" i="16"/>
  <c r="P4" i="16"/>
  <c r="X7" i="16"/>
  <c r="R7" i="16"/>
  <c r="L7" i="16"/>
  <c r="N8" i="16"/>
  <c r="U4" i="16"/>
  <c r="O4" i="16"/>
  <c r="W7" i="16"/>
  <c r="Q7" i="16"/>
  <c r="K7" i="16"/>
  <c r="M8" i="16"/>
  <c r="J4" i="16"/>
  <c r="T4" i="16"/>
  <c r="N4" i="16"/>
  <c r="V7" i="16"/>
  <c r="P7" i="16"/>
  <c r="L8" i="16"/>
  <c r="AC7" i="32"/>
  <c r="AC20" i="32"/>
  <c r="AC25" i="32"/>
  <c r="AC30" i="32"/>
  <c r="AC33" i="32"/>
  <c r="AC36" i="32"/>
  <c r="AC39" i="32"/>
  <c r="AC42" i="32"/>
  <c r="AC45" i="32"/>
  <c r="D25" i="35"/>
  <c r="C23" i="35"/>
  <c r="C22" i="35"/>
  <c r="D20" i="35"/>
  <c r="D19" i="35"/>
  <c r="D18" i="35"/>
  <c r="D17" i="35"/>
  <c r="D16" i="35"/>
  <c r="D15" i="35"/>
  <c r="D14" i="35"/>
  <c r="D13" i="35"/>
  <c r="D21" i="35" s="1"/>
  <c r="N29" i="27"/>
  <c r="N8" i="27" s="1"/>
  <c r="O28" i="27"/>
  <c r="O27" i="27"/>
  <c r="O26" i="27"/>
  <c r="N26" i="27"/>
  <c r="O25" i="27"/>
  <c r="N25" i="27"/>
  <c r="O24" i="27"/>
  <c r="O23" i="27"/>
  <c r="O22" i="27"/>
  <c r="O21" i="27"/>
  <c r="O20" i="27"/>
  <c r="O19" i="27"/>
  <c r="O18" i="27"/>
  <c r="O17" i="27"/>
  <c r="O16" i="27"/>
  <c r="S28" i="27"/>
  <c r="R26" i="27"/>
  <c r="R25" i="27"/>
  <c r="S23" i="27"/>
  <c r="S22" i="27"/>
  <c r="S21" i="27"/>
  <c r="S20" i="27"/>
  <c r="S19" i="27"/>
  <c r="S18" i="27"/>
  <c r="S17" i="27"/>
  <c r="S16" i="27"/>
  <c r="S24" i="27" s="1"/>
  <c r="H25" i="35"/>
  <c r="G23" i="35"/>
  <c r="G22" i="35"/>
  <c r="H20" i="35"/>
  <c r="H19" i="35"/>
  <c r="H18" i="35"/>
  <c r="H17" i="35"/>
  <c r="H16" i="35"/>
  <c r="H15" i="35"/>
  <c r="H6" i="35" s="1"/>
  <c r="H14" i="35"/>
  <c r="H13" i="35"/>
  <c r="F25" i="35"/>
  <c r="E22" i="35"/>
  <c r="F19" i="35"/>
  <c r="F17" i="35"/>
  <c r="F15" i="35"/>
  <c r="F6" i="35" s="1"/>
  <c r="F14" i="35"/>
  <c r="F13" i="35"/>
  <c r="H27" i="32"/>
  <c r="K18" i="32"/>
  <c r="H28" i="32"/>
  <c r="K19" i="32"/>
  <c r="H29" i="32"/>
  <c r="K20" i="32"/>
  <c r="B17" i="22"/>
  <c r="B6" i="22"/>
  <c r="C25" i="22"/>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I10" i="59"/>
  <c r="I9" i="59"/>
  <c r="I8" i="59"/>
  <c r="I7" i="59"/>
  <c r="I6" i="59"/>
  <c r="I5" i="59"/>
  <c r="I4" i="59"/>
  <c r="E281" i="31"/>
  <c r="E274" i="31"/>
  <c r="E267" i="31"/>
  <c r="E260" i="31"/>
  <c r="E253" i="31"/>
  <c r="E246" i="31"/>
  <c r="E239" i="31"/>
  <c r="E232" i="31"/>
  <c r="E225" i="31"/>
  <c r="E218" i="31"/>
  <c r="E211" i="31"/>
  <c r="E204" i="31"/>
  <c r="E197" i="31"/>
  <c r="E190" i="31"/>
  <c r="E183" i="31"/>
  <c r="E176" i="31"/>
  <c r="E169" i="31"/>
  <c r="E162" i="31"/>
  <c r="E155" i="31"/>
  <c r="E148" i="31"/>
  <c r="E141" i="31"/>
  <c r="E134" i="31"/>
  <c r="E127" i="31"/>
  <c r="E120" i="31"/>
  <c r="E113" i="31"/>
  <c r="E106" i="31"/>
  <c r="E99" i="31"/>
  <c r="E92" i="31"/>
  <c r="E85" i="31"/>
  <c r="E78" i="31"/>
  <c r="E71" i="31"/>
  <c r="E64" i="31"/>
  <c r="E57" i="31"/>
  <c r="E50" i="31"/>
  <c r="E43" i="31"/>
  <c r="E36" i="31"/>
  <c r="V156" i="31"/>
  <c r="Y155" i="31"/>
  <c r="V121" i="31"/>
  <c r="V37" i="31"/>
  <c r="AD8" i="32" a="1"/>
  <c r="AD8" i="32" s="1"/>
  <c r="AD9" i="32" a="1"/>
  <c r="AD9" i="32" s="1"/>
  <c r="AD10" i="32" a="1"/>
  <c r="AD10" i="32" s="1"/>
  <c r="AD11" i="32" a="1"/>
  <c r="AD11" i="32" s="1"/>
  <c r="AD12" i="32" a="1"/>
  <c r="AD12" i="32" s="1"/>
  <c r="AD13" i="32" a="1"/>
  <c r="AD13" i="32" s="1"/>
  <c r="AD14" i="32" a="1"/>
  <c r="AD14" i="32" s="1"/>
  <c r="AD15" i="32" a="1"/>
  <c r="AD15" i="32" s="1"/>
  <c r="AD16" i="32" a="1"/>
  <c r="AD16" i="32" s="1"/>
  <c r="AD17" i="32" a="1"/>
  <c r="AD17" i="32" s="1"/>
  <c r="AD18" i="32" a="1"/>
  <c r="AD18" i="32" s="1"/>
  <c r="AD19" i="32" a="1"/>
  <c r="AD19" i="32" s="1"/>
  <c r="AD20" i="32" a="1"/>
  <c r="AD20" i="32" s="1"/>
  <c r="AD21" i="32" a="1"/>
  <c r="AD21" i="32" s="1"/>
  <c r="AD22" i="32" a="1"/>
  <c r="AD22" i="32" s="1"/>
  <c r="AD23" i="32" a="1"/>
  <c r="AD23" i="32" s="1"/>
  <c r="AD24" i="32" a="1"/>
  <c r="AD24" i="32" s="1"/>
  <c r="AD25" i="32" a="1"/>
  <c r="AD25" i="32" s="1"/>
  <c r="AD26" i="32" a="1"/>
  <c r="AD26" i="32" s="1"/>
  <c r="AD27" i="32" a="1"/>
  <c r="AD27" i="32" s="1"/>
  <c r="AD28" i="32" a="1"/>
  <c r="AD28" i="32" s="1"/>
  <c r="AD29" i="32" a="1"/>
  <c r="AD29" i="32" s="1"/>
  <c r="AD30" i="32" a="1"/>
  <c r="AD30" i="32" s="1"/>
  <c r="AD31" i="32" a="1"/>
  <c r="AD31" i="32" s="1"/>
  <c r="AD32" i="32" a="1"/>
  <c r="AD32" i="32" s="1"/>
  <c r="AD33" i="32" a="1"/>
  <c r="AD33" i="32" s="1"/>
  <c r="AD34" i="32" a="1"/>
  <c r="AD34" i="32" s="1"/>
  <c r="AD35" i="32" a="1"/>
  <c r="AD35" i="32" s="1"/>
  <c r="AD36" i="32" a="1"/>
  <c r="AD36" i="32" s="1"/>
  <c r="AD37" i="32" a="1"/>
  <c r="AD37" i="32" s="1"/>
  <c r="AD38" i="32" a="1"/>
  <c r="AD38" i="32" s="1"/>
  <c r="AD39" i="32" a="1"/>
  <c r="AD39" i="32" s="1"/>
  <c r="AD40" i="32" a="1"/>
  <c r="AD40" i="32" s="1"/>
  <c r="AD41" i="32" a="1"/>
  <c r="AD41" i="32" s="1"/>
  <c r="AD42" i="32" a="1"/>
  <c r="AD42" i="32" s="1"/>
  <c r="AD43" i="32" a="1"/>
  <c r="AD43" i="32" s="1"/>
  <c r="AD44" i="32" a="1"/>
  <c r="AD44" i="32" s="1"/>
  <c r="AD45" i="32" a="1"/>
  <c r="AD45" i="32" s="1"/>
  <c r="AD46" i="32" a="1"/>
  <c r="AD46" i="32" s="1"/>
  <c r="AD7" i="32" a="1"/>
  <c r="AD7" i="32" s="1"/>
  <c r="D17" i="38"/>
  <c r="H17" i="38"/>
  <c r="G17" i="38"/>
  <c r="F17" i="38"/>
  <c r="E17" i="38"/>
  <c r="E29" i="31"/>
  <c r="E22" i="31"/>
  <c r="E15" i="31"/>
  <c r="E8" i="31"/>
  <c r="F5" i="69"/>
  <c r="G5" i="69"/>
  <c r="F6" i="69"/>
  <c r="G6" i="69"/>
  <c r="F7" i="69"/>
  <c r="G7" i="69"/>
  <c r="F8" i="69"/>
  <c r="G8" i="69"/>
  <c r="F9" i="69"/>
  <c r="G9" i="69"/>
  <c r="F10" i="69"/>
  <c r="G10" i="69"/>
  <c r="F11" i="69"/>
  <c r="G11" i="69"/>
  <c r="F12" i="69"/>
  <c r="G12" i="69"/>
  <c r="F13" i="69"/>
  <c r="G13" i="69"/>
  <c r="F14" i="69"/>
  <c r="G14" i="69"/>
  <c r="F15" i="69"/>
  <c r="G15" i="69"/>
  <c r="F16" i="69"/>
  <c r="G16" i="69"/>
  <c r="F17" i="69"/>
  <c r="G17" i="69"/>
  <c r="F18" i="69"/>
  <c r="G18" i="69"/>
  <c r="F19" i="69"/>
  <c r="G19" i="69"/>
  <c r="F20" i="69"/>
  <c r="G20" i="69"/>
  <c r="F21" i="69"/>
  <c r="G21" i="69"/>
  <c r="F22" i="69"/>
  <c r="G22" i="69"/>
  <c r="F23" i="69"/>
  <c r="G23" i="69"/>
  <c r="F24" i="69"/>
  <c r="G24" i="69"/>
  <c r="F25" i="69"/>
  <c r="G25" i="69"/>
  <c r="F26" i="69"/>
  <c r="G26" i="69"/>
  <c r="F27" i="69"/>
  <c r="G27" i="69"/>
  <c r="F28" i="69"/>
  <c r="G28" i="69"/>
  <c r="F29" i="69"/>
  <c r="G29" i="69"/>
  <c r="F30" i="69"/>
  <c r="G30" i="69"/>
  <c r="F31" i="69"/>
  <c r="G31" i="69"/>
  <c r="F32" i="69"/>
  <c r="G32" i="69"/>
  <c r="F33" i="69"/>
  <c r="G33" i="69"/>
  <c r="F34" i="69"/>
  <c r="G34" i="69"/>
  <c r="F35" i="69"/>
  <c r="G35" i="69"/>
  <c r="F36" i="69"/>
  <c r="G36" i="69"/>
  <c r="F37" i="69"/>
  <c r="G37" i="69"/>
  <c r="F38" i="69"/>
  <c r="G38" i="69"/>
  <c r="F39" i="69"/>
  <c r="G39" i="69"/>
  <c r="F40" i="69"/>
  <c r="G40" i="69"/>
  <c r="F41" i="69"/>
  <c r="G41" i="69"/>
  <c r="F42" i="69"/>
  <c r="G42" i="69"/>
  <c r="F43" i="69"/>
  <c r="G43" i="69"/>
  <c r="F44" i="69"/>
  <c r="G44" i="69"/>
  <c r="F45" i="69"/>
  <c r="G45" i="69"/>
  <c r="F46" i="69"/>
  <c r="G46" i="69"/>
  <c r="F47" i="69"/>
  <c r="G47" i="69"/>
  <c r="F48" i="69"/>
  <c r="G48" i="69"/>
  <c r="F49" i="69"/>
  <c r="G49" i="69"/>
  <c r="F50" i="69"/>
  <c r="G50" i="69"/>
  <c r="F51" i="69"/>
  <c r="G51" i="69"/>
  <c r="F52" i="69"/>
  <c r="G52" i="69"/>
  <c r="F53" i="69"/>
  <c r="G53" i="69"/>
  <c r="F54" i="69"/>
  <c r="G54" i="69"/>
  <c r="F55" i="69"/>
  <c r="G55" i="69"/>
  <c r="F56" i="69"/>
  <c r="G56" i="69"/>
  <c r="F57" i="69"/>
  <c r="G57" i="69"/>
  <c r="F58" i="69"/>
  <c r="G58" i="69"/>
  <c r="F59" i="69"/>
  <c r="G59" i="69"/>
  <c r="F60" i="69"/>
  <c r="G60" i="69"/>
  <c r="F61" i="69"/>
  <c r="G61" i="69"/>
  <c r="F62" i="69"/>
  <c r="G62" i="69"/>
  <c r="F63" i="69"/>
  <c r="G63" i="69"/>
  <c r="F64" i="69"/>
  <c r="G64" i="69"/>
  <c r="F65" i="69"/>
  <c r="G65" i="69"/>
  <c r="F66" i="69"/>
  <c r="G66" i="69"/>
  <c r="F67" i="69"/>
  <c r="G67" i="69"/>
  <c r="F68" i="69"/>
  <c r="G68" i="69"/>
  <c r="F69" i="69"/>
  <c r="G69" i="69"/>
  <c r="F70" i="69"/>
  <c r="G70" i="69"/>
  <c r="F71" i="69"/>
  <c r="G71" i="69"/>
  <c r="F72" i="69"/>
  <c r="G72" i="69"/>
  <c r="F73" i="69"/>
  <c r="G73" i="69"/>
  <c r="F74" i="69"/>
  <c r="G74" i="69"/>
  <c r="F75" i="69"/>
  <c r="G75" i="69"/>
  <c r="F76" i="69"/>
  <c r="G76" i="69"/>
  <c r="F77" i="69"/>
  <c r="G77" i="69"/>
  <c r="F78" i="69"/>
  <c r="G78" i="69"/>
  <c r="F79" i="69"/>
  <c r="G79" i="69"/>
  <c r="F80" i="69"/>
  <c r="G80" i="69"/>
  <c r="F81" i="69"/>
  <c r="G81" i="69"/>
  <c r="F82" i="69"/>
  <c r="G82" i="69"/>
  <c r="F83" i="69"/>
  <c r="G83" i="69"/>
  <c r="F84" i="69"/>
  <c r="G84" i="69"/>
  <c r="F85" i="69"/>
  <c r="G85" i="69"/>
  <c r="F86" i="69"/>
  <c r="G86" i="69"/>
  <c r="F87" i="69"/>
  <c r="G87" i="69"/>
  <c r="F88" i="69"/>
  <c r="G88" i="69"/>
  <c r="F89" i="69"/>
  <c r="G89" i="69"/>
  <c r="F90" i="69"/>
  <c r="G90" i="69"/>
  <c r="F91" i="69"/>
  <c r="G91" i="69"/>
  <c r="F92" i="69"/>
  <c r="G92" i="69"/>
  <c r="F93" i="69"/>
  <c r="G93" i="69"/>
  <c r="F94" i="69"/>
  <c r="G94" i="69"/>
  <c r="F95" i="69"/>
  <c r="G95" i="69"/>
  <c r="F96" i="69"/>
  <c r="G96" i="69"/>
  <c r="F97" i="69"/>
  <c r="G97" i="69"/>
  <c r="F98" i="69"/>
  <c r="G98" i="69"/>
  <c r="F99" i="69"/>
  <c r="G99" i="69"/>
  <c r="F100" i="69"/>
  <c r="G100" i="69"/>
  <c r="F101" i="69"/>
  <c r="G101" i="69"/>
  <c r="F102" i="69"/>
  <c r="G102" i="69"/>
  <c r="F103" i="69"/>
  <c r="G103" i="69"/>
  <c r="F104" i="69"/>
  <c r="G104" i="69"/>
  <c r="F105" i="69"/>
  <c r="G105" i="69"/>
  <c r="F106" i="69"/>
  <c r="G106" i="69"/>
  <c r="F107" i="69"/>
  <c r="G107" i="69"/>
  <c r="F108" i="69"/>
  <c r="G108" i="69"/>
  <c r="F109" i="69"/>
  <c r="G109" i="69"/>
  <c r="F110" i="69"/>
  <c r="G110" i="69"/>
  <c r="F111" i="69"/>
  <c r="G111" i="69"/>
  <c r="F112" i="69"/>
  <c r="G112" i="69"/>
  <c r="F113" i="69"/>
  <c r="G113" i="69"/>
  <c r="F114" i="69"/>
  <c r="G114" i="69"/>
  <c r="F115" i="69"/>
  <c r="G115" i="69"/>
  <c r="F116" i="69"/>
  <c r="G116" i="69"/>
  <c r="F117" i="69"/>
  <c r="G117" i="69"/>
  <c r="F118" i="69"/>
  <c r="G118" i="69"/>
  <c r="F119" i="69"/>
  <c r="G119" i="69"/>
  <c r="F120" i="69"/>
  <c r="G120" i="69"/>
  <c r="F121" i="69"/>
  <c r="G121" i="69"/>
  <c r="F122" i="69"/>
  <c r="G122" i="69"/>
  <c r="F123" i="69"/>
  <c r="G123" i="69"/>
  <c r="F124" i="69"/>
  <c r="G124" i="69"/>
  <c r="F125" i="69"/>
  <c r="G125" i="69"/>
  <c r="F126" i="69"/>
  <c r="G126" i="69"/>
  <c r="F127" i="69"/>
  <c r="G127" i="69"/>
  <c r="F128" i="69"/>
  <c r="G128" i="69"/>
  <c r="F129" i="69"/>
  <c r="G129" i="69"/>
  <c r="F130" i="69"/>
  <c r="G130" i="69"/>
  <c r="F131" i="69"/>
  <c r="G131" i="69"/>
  <c r="F132" i="69"/>
  <c r="G132" i="69"/>
  <c r="F133" i="69"/>
  <c r="G133" i="69"/>
  <c r="F134" i="69"/>
  <c r="G134" i="69"/>
  <c r="F135" i="69"/>
  <c r="G135" i="69"/>
  <c r="F136" i="69"/>
  <c r="G136" i="69"/>
  <c r="F137" i="69"/>
  <c r="G137" i="69"/>
  <c r="F138" i="69"/>
  <c r="G138" i="69"/>
  <c r="F139" i="69"/>
  <c r="G139" i="69"/>
  <c r="F140" i="69"/>
  <c r="G140" i="69"/>
  <c r="F141" i="69"/>
  <c r="G141" i="69"/>
  <c r="F142" i="69"/>
  <c r="G142" i="69"/>
  <c r="F143" i="69"/>
  <c r="G143" i="69"/>
  <c r="F144" i="69"/>
  <c r="G144" i="69"/>
  <c r="F145" i="69"/>
  <c r="G145" i="69"/>
  <c r="F146" i="69"/>
  <c r="G146" i="69"/>
  <c r="F147" i="69"/>
  <c r="G147" i="69"/>
  <c r="F148" i="69"/>
  <c r="G148" i="69"/>
  <c r="F149" i="69"/>
  <c r="G149" i="69"/>
  <c r="F150" i="69"/>
  <c r="G150" i="69"/>
  <c r="F151" i="69"/>
  <c r="G151" i="69"/>
  <c r="F152" i="69"/>
  <c r="G152" i="69"/>
  <c r="F153" i="69"/>
  <c r="G153" i="69"/>
  <c r="F154" i="69"/>
  <c r="G154" i="69"/>
  <c r="F155" i="69"/>
  <c r="G155" i="69"/>
  <c r="F156" i="69"/>
  <c r="G156" i="69"/>
  <c r="F157" i="69"/>
  <c r="G157" i="69"/>
  <c r="F158" i="69"/>
  <c r="G158" i="69"/>
  <c r="F159" i="69"/>
  <c r="G159" i="69"/>
  <c r="F160" i="69"/>
  <c r="G160" i="69"/>
  <c r="F161" i="69"/>
  <c r="G161" i="69"/>
  <c r="F162" i="69"/>
  <c r="G162" i="69"/>
  <c r="F163" i="69"/>
  <c r="G163" i="69"/>
  <c r="F164" i="69"/>
  <c r="G164" i="69"/>
  <c r="F165" i="69"/>
  <c r="G165" i="69"/>
  <c r="F166" i="69"/>
  <c r="G166" i="69"/>
  <c r="F167" i="69"/>
  <c r="G167" i="69"/>
  <c r="F168" i="69"/>
  <c r="G168" i="69"/>
  <c r="F169" i="69"/>
  <c r="G169" i="69"/>
  <c r="F170" i="69"/>
  <c r="G170" i="69"/>
  <c r="F171" i="69"/>
  <c r="G171" i="69"/>
  <c r="F172" i="69"/>
  <c r="G172" i="69"/>
  <c r="F173" i="69"/>
  <c r="G173" i="69"/>
  <c r="F174" i="69"/>
  <c r="G174" i="69"/>
  <c r="F175" i="69"/>
  <c r="G175" i="69"/>
  <c r="F176" i="69"/>
  <c r="G176" i="69"/>
  <c r="F177" i="69"/>
  <c r="G177" i="69"/>
  <c r="F178" i="69"/>
  <c r="G178" i="69"/>
  <c r="F179" i="69"/>
  <c r="G179" i="69"/>
  <c r="F180" i="69"/>
  <c r="G180" i="69"/>
  <c r="F181" i="69"/>
  <c r="G181" i="69"/>
  <c r="F182" i="69"/>
  <c r="G182" i="69"/>
  <c r="F183" i="69"/>
  <c r="G183" i="69"/>
  <c r="F184" i="69"/>
  <c r="G184" i="69"/>
  <c r="F185" i="69"/>
  <c r="G185" i="69"/>
  <c r="F186" i="69"/>
  <c r="G186" i="69"/>
  <c r="F187" i="69"/>
  <c r="G187" i="69"/>
  <c r="F188" i="69"/>
  <c r="G188" i="69"/>
  <c r="F189" i="69"/>
  <c r="G189" i="69"/>
  <c r="F190" i="69"/>
  <c r="G190" i="69"/>
  <c r="F191" i="69"/>
  <c r="G191" i="69"/>
  <c r="F192" i="69"/>
  <c r="G192" i="69"/>
  <c r="F193" i="69"/>
  <c r="G193" i="69"/>
  <c r="F194" i="69"/>
  <c r="G194" i="69"/>
  <c r="G4" i="69"/>
  <c r="F4" i="69"/>
  <c r="J4" i="69" s="1"/>
  <c r="F5" i="68"/>
  <c r="G5" i="68"/>
  <c r="F6" i="68"/>
  <c r="G6" i="68"/>
  <c r="F7" i="68"/>
  <c r="G7" i="68"/>
  <c r="F8" i="68"/>
  <c r="G8" i="68"/>
  <c r="F9" i="68"/>
  <c r="G9" i="68"/>
  <c r="G4" i="68"/>
  <c r="F4" i="68"/>
  <c r="M22" i="20" a="1"/>
  <c r="M22" i="20" s="1"/>
  <c r="F25" i="38"/>
  <c r="C25" i="38" s="1"/>
  <c r="F24" i="38"/>
  <c r="C24" i="38" s="1"/>
  <c r="F23" i="38"/>
  <c r="E14" i="38"/>
  <c r="E13" i="38"/>
  <c r="F13" i="38"/>
  <c r="C13" i="38" s="1"/>
  <c r="C21" i="22" s="1"/>
  <c r="F14" i="38"/>
  <c r="C14" i="38" s="1"/>
  <c r="C20" i="22" s="1"/>
  <c r="F15" i="38"/>
  <c r="E15" i="38"/>
  <c r="E16" i="38"/>
  <c r="C16" i="38" s="1" a="1"/>
  <c r="C16" i="38" s="1"/>
  <c r="E23" i="38"/>
  <c r="F22" i="38"/>
  <c r="E22" i="38"/>
  <c r="F21" i="38"/>
  <c r="E21" i="38"/>
  <c r="F20" i="38"/>
  <c r="E20" i="38"/>
  <c r="F19" i="38"/>
  <c r="E19" i="38"/>
  <c r="E18" i="38"/>
  <c r="C18" i="38" s="1"/>
  <c r="J5" i="68"/>
  <c r="J6" i="68"/>
  <c r="J7" i="68"/>
  <c r="J8" i="68"/>
  <c r="J9" i="68"/>
  <c r="J4" i="68"/>
  <c r="F31" i="41"/>
  <c r="F34" i="41" s="1"/>
  <c r="E15" i="41" s="1"/>
  <c r="E20" i="41"/>
  <c r="H16" i="41"/>
  <c r="N33" i="40"/>
  <c r="N38" i="40" s="1"/>
  <c r="M18" i="40" s="1"/>
  <c r="N18" i="20" a="1"/>
  <c r="N18" i="20" s="1"/>
  <c r="N14" i="20" a="1"/>
  <c r="N14" i="20" s="1"/>
  <c r="N16" i="20" a="1"/>
  <c r="N16" i="20" s="1"/>
  <c r="N24" i="20" a="1"/>
  <c r="N24" i="20" s="1"/>
  <c r="N22" i="20" a="1"/>
  <c r="N22" i="20" s="1"/>
  <c r="M16" i="20" a="1"/>
  <c r="M16" i="20" s="1"/>
  <c r="M20" i="20" a="1"/>
  <c r="M20" i="20" s="1"/>
  <c r="N20" i="20" a="1"/>
  <c r="N20" i="20" s="1"/>
  <c r="M24" i="20" a="1"/>
  <c r="M24" i="20" s="1"/>
  <c r="J8" i="38" a="1"/>
  <c r="J8" i="38" s="1"/>
  <c r="K7" i="38"/>
  <c r="K9" i="38"/>
  <c r="J9" i="38" a="1"/>
  <c r="J9" i="38" s="1"/>
  <c r="K6" i="38"/>
  <c r="AB28" i="32" a="1"/>
  <c r="AB28" i="32" s="1"/>
  <c r="O14" i="20" a="1"/>
  <c r="O14" i="20" s="1"/>
  <c r="O16" i="20" a="1"/>
  <c r="O16" i="20" s="1"/>
  <c r="O18" i="20" a="1"/>
  <c r="O18" i="20" s="1"/>
  <c r="O20" i="20" a="1"/>
  <c r="O20" i="20" s="1"/>
  <c r="O22" i="20" a="1"/>
  <c r="O22" i="20" s="1"/>
  <c r="O24" i="20" a="1"/>
  <c r="O24" i="20" s="1"/>
  <c r="K8" i="38"/>
  <c r="AB23" i="32" a="1"/>
  <c r="AB23" i="32" s="1"/>
  <c r="AB19" i="32" a="1"/>
  <c r="AB19" i="32" s="1"/>
  <c r="AA26" i="32" a="1"/>
  <c r="AA26" i="32" s="1"/>
  <c r="AA31" i="32" a="1"/>
  <c r="AA31" i="32" s="1"/>
  <c r="AA34" i="32" a="1"/>
  <c r="AA34" i="32" s="1"/>
  <c r="AA37" i="32" a="1"/>
  <c r="AA37" i="32" s="1"/>
  <c r="AA40" i="32" a="1"/>
  <c r="AA40" i="32" s="1"/>
  <c r="AA43" i="32" a="1"/>
  <c r="AA43" i="32" s="1"/>
  <c r="AA46" i="32" a="1"/>
  <c r="AA46" i="32" s="1"/>
  <c r="AA13" i="32" a="1"/>
  <c r="AA13" i="32" s="1"/>
  <c r="AA15" i="32" a="1"/>
  <c r="AA15" i="32" s="1"/>
  <c r="AB26" i="32" a="1"/>
  <c r="AB26" i="32" s="1"/>
  <c r="AB31" i="32" a="1"/>
  <c r="AB31" i="32" s="1"/>
  <c r="AB34" i="32" a="1"/>
  <c r="AB34" i="32" s="1"/>
  <c r="AB37" i="32" a="1"/>
  <c r="AB37" i="32" s="1"/>
  <c r="AB40" i="32" a="1"/>
  <c r="AB40" i="32" s="1"/>
  <c r="AB43" i="32" a="1"/>
  <c r="AB43" i="32" s="1"/>
  <c r="AB46" i="32" a="1"/>
  <c r="AB46" i="32" s="1"/>
  <c r="AB9" i="32" a="1"/>
  <c r="AB9" i="32" s="1"/>
  <c r="AA19" i="32" a="1"/>
  <c r="AA19" i="32" s="1"/>
  <c r="AB13" i="32" a="1"/>
  <c r="AB13" i="32" s="1"/>
  <c r="AB17" i="32" a="1"/>
  <c r="AB17" i="32" s="1"/>
  <c r="AB21" i="32" a="1"/>
  <c r="AB21" i="32" s="1"/>
  <c r="AB11" i="32" a="1"/>
  <c r="AB11" i="32" s="1"/>
  <c r="AA17" i="32" a="1"/>
  <c r="AA17" i="32" s="1"/>
  <c r="AA21" i="32" a="1"/>
  <c r="AA21" i="32" s="1"/>
  <c r="AB15" i="32" a="1"/>
  <c r="AB15" i="32" s="1"/>
  <c r="AA8" i="32" a="1"/>
  <c r="AA8" i="32" s="1"/>
  <c r="AA10" i="32" a="1"/>
  <c r="AA10" i="32" s="1"/>
  <c r="AA24" i="32" a="1"/>
  <c r="AA24" i="32" s="1"/>
  <c r="M15" i="20" a="1"/>
  <c r="M15" i="20" s="1"/>
  <c r="M17" i="20" a="1"/>
  <c r="M17" i="20" s="1"/>
  <c r="M19" i="20" a="1"/>
  <c r="M19" i="20" s="1"/>
  <c r="M21" i="20" a="1"/>
  <c r="M21" i="20" s="1"/>
  <c r="M23" i="20" a="1"/>
  <c r="M23" i="20" s="1"/>
  <c r="M25" i="20" a="1"/>
  <c r="M25" i="20" s="1"/>
  <c r="AB10" i="32" a="1"/>
  <c r="AB10" i="32" s="1"/>
  <c r="AA29" i="32" a="1"/>
  <c r="AA29" i="32" s="1"/>
  <c r="AA32" i="32" a="1"/>
  <c r="AA32" i="32" s="1"/>
  <c r="AA35" i="32" a="1"/>
  <c r="AA35" i="32" s="1"/>
  <c r="AA38" i="32" a="1"/>
  <c r="AA38" i="32" s="1"/>
  <c r="AA41" i="32" a="1"/>
  <c r="AA41" i="32" s="1"/>
  <c r="AA44" i="32" a="1"/>
  <c r="AA44" i="32" s="1"/>
  <c r="N15" i="20" a="1"/>
  <c r="N15" i="20" s="1"/>
  <c r="N17" i="20" a="1"/>
  <c r="N17" i="20" s="1"/>
  <c r="N19" i="20" a="1"/>
  <c r="N19" i="20" s="1"/>
  <c r="N21" i="20" a="1"/>
  <c r="N21" i="20" s="1"/>
  <c r="N23" i="20" a="1"/>
  <c r="N23" i="20" s="1"/>
  <c r="N25" i="20" a="1"/>
  <c r="N25" i="20" s="1"/>
  <c r="K5" i="38"/>
  <c r="AB24" i="32" a="1"/>
  <c r="AB24" i="32" s="1"/>
  <c r="AA22" i="32" a="1"/>
  <c r="AA22" i="32" s="1"/>
  <c r="AB38" i="32" a="1"/>
  <c r="AB38" i="32" s="1"/>
  <c r="O17" i="20" a="1"/>
  <c r="O17" i="20" s="1"/>
  <c r="O21" i="20" a="1"/>
  <c r="O21" i="20" s="1"/>
  <c r="O23" i="20" a="1"/>
  <c r="O23" i="20" s="1"/>
  <c r="O25" i="20" a="1"/>
  <c r="O25" i="20" s="1"/>
  <c r="AA12" i="32" a="1"/>
  <c r="AA12" i="32" s="1"/>
  <c r="AB29" i="32" a="1"/>
  <c r="AB29" i="32" s="1"/>
  <c r="AB41" i="32" a="1"/>
  <c r="AB41" i="32" s="1"/>
  <c r="O19" i="20" a="1"/>
  <c r="O19" i="20" s="1"/>
  <c r="AB18" i="32" a="1"/>
  <c r="AB18" i="32" s="1"/>
  <c r="AB22" i="32" a="1"/>
  <c r="AB22" i="32" s="1"/>
  <c r="AB27" i="32" a="1"/>
  <c r="AB27" i="32" s="1"/>
  <c r="AB8" i="32" a="1"/>
  <c r="AB8" i="32" s="1"/>
  <c r="AA18" i="32" a="1"/>
  <c r="AA18" i="32" s="1"/>
  <c r="AB32" i="32" a="1"/>
  <c r="AB32" i="32" s="1"/>
  <c r="AB44" i="32" a="1"/>
  <c r="AB44" i="32" s="1"/>
  <c r="O15" i="20" a="1"/>
  <c r="O15" i="20" s="1"/>
  <c r="AA14" i="32" a="1"/>
  <c r="AA14" i="32" s="1"/>
  <c r="AB14" i="32" a="1"/>
  <c r="AB14" i="32" s="1"/>
  <c r="AA16" i="32" a="1"/>
  <c r="AA16" i="32" s="1"/>
  <c r="AB12" i="32" a="1"/>
  <c r="AB12" i="32" s="1"/>
  <c r="AA27" i="32" a="1"/>
  <c r="AA27" i="32" s="1"/>
  <c r="AB35" i="32" a="1"/>
  <c r="AB35" i="32" s="1"/>
  <c r="AB16" i="32" a="1"/>
  <c r="AB16" i="32" s="1"/>
  <c r="AA20" i="32" a="1"/>
  <c r="AA20" i="32" s="1"/>
  <c r="AA25" i="32" a="1"/>
  <c r="AA25" i="32" s="1"/>
  <c r="AA30" i="32" a="1"/>
  <c r="AA30" i="32" s="1"/>
  <c r="AA33" i="32" a="1"/>
  <c r="AA33" i="32" s="1"/>
  <c r="AA36" i="32" a="1"/>
  <c r="AA36" i="32" s="1"/>
  <c r="AA39" i="32" a="1"/>
  <c r="AA39" i="32" s="1"/>
  <c r="AA42" i="32" a="1"/>
  <c r="AA42" i="32" s="1"/>
  <c r="AA45" i="32" a="1"/>
  <c r="AA45" i="32" s="1"/>
  <c r="H21" i="35"/>
  <c r="E23" i="35"/>
  <c r="F18" i="35"/>
  <c r="D23" i="35"/>
  <c r="D22" i="35"/>
  <c r="D24" i="35" s="1"/>
  <c r="C26" i="35" s="1"/>
  <c r="C7" i="35" s="1"/>
  <c r="H23" i="35"/>
  <c r="H22" i="35"/>
  <c r="H24" i="35" s="1"/>
  <c r="G26" i="35" s="1"/>
  <c r="G7" i="35" s="1"/>
  <c r="Q19" i="27"/>
  <c r="Q23" i="27"/>
  <c r="P6" i="27"/>
  <c r="P26" i="27"/>
  <c r="Q16" i="27"/>
  <c r="Q20" i="27"/>
  <c r="Q7" i="27"/>
  <c r="Q17" i="27"/>
  <c r="Q21" i="27"/>
  <c r="F16" i="35"/>
  <c r="F20" i="35"/>
  <c r="P25" i="27"/>
  <c r="Q18" i="27"/>
  <c r="Q22" i="27"/>
  <c r="AA6" i="42" a="1"/>
  <c r="AA6" i="42" s="1"/>
  <c r="G2" i="42" s="1"/>
  <c r="M8" i="38" a="1"/>
  <c r="M8" i="38" s="1"/>
  <c r="O8" i="38" a="1"/>
  <c r="O8" i="38" s="1"/>
  <c r="P8" i="38"/>
  <c r="AA5" i="42" a="1"/>
  <c r="AA5" i="42" s="1"/>
  <c r="F2" i="42" s="1"/>
  <c r="Q8" i="38"/>
  <c r="D52" i="20" a="1"/>
  <c r="D52" i="20" s="1"/>
  <c r="Q9" i="38"/>
  <c r="B64" i="5"/>
  <c r="B64" i="25"/>
  <c r="B22" i="5"/>
  <c r="B46" i="5"/>
  <c r="B70" i="5"/>
  <c r="B22" i="25"/>
  <c r="B46" i="25"/>
  <c r="B70" i="25"/>
  <c r="B25" i="26"/>
  <c r="B53" i="26"/>
  <c r="B4" i="5"/>
  <c r="B52" i="5"/>
  <c r="B4" i="25"/>
  <c r="B52" i="25"/>
  <c r="B4" i="26"/>
  <c r="B60" i="26"/>
  <c r="B58" i="5"/>
  <c r="B58" i="25"/>
  <c r="B74" i="26"/>
  <c r="S3" i="16"/>
  <c r="S5" i="16"/>
  <c r="N6" i="16"/>
  <c r="T3" i="16"/>
  <c r="T5" i="16"/>
  <c r="O6" i="16"/>
  <c r="U3" i="16"/>
  <c r="U5" i="16"/>
  <c r="P6" i="16"/>
  <c r="J3" i="16"/>
  <c r="V3" i="16"/>
  <c r="J5" i="16"/>
  <c r="V5" i="16"/>
  <c r="Q6" i="16"/>
  <c r="B81" i="26"/>
  <c r="K3" i="16"/>
  <c r="W3" i="16"/>
  <c r="K5" i="16"/>
  <c r="W5" i="16"/>
  <c r="R6" i="16"/>
  <c r="L3" i="16"/>
  <c r="X3" i="16"/>
  <c r="L5" i="16"/>
  <c r="X5" i="16"/>
  <c r="S6" i="16"/>
  <c r="M3" i="16"/>
  <c r="Y3" i="16"/>
  <c r="M5" i="16"/>
  <c r="Y5" i="16"/>
  <c r="T6" i="16"/>
  <c r="N3" i="16"/>
  <c r="O29" i="5" a="1"/>
  <c r="O29" i="5" s="1"/>
  <c r="N5" i="16"/>
  <c r="U6" i="16"/>
  <c r="B67" i="26"/>
  <c r="O3" i="16"/>
  <c r="P11" i="5" a="1"/>
  <c r="P11" i="5" s="1"/>
  <c r="O5" i="16"/>
  <c r="J6" i="16"/>
  <c r="V6" i="16"/>
  <c r="P3" i="16"/>
  <c r="E17" i="25" a="1"/>
  <c r="E17" i="25" s="1"/>
  <c r="Q35" i="5" a="1"/>
  <c r="Q35" i="5" s="1"/>
  <c r="P5" i="16"/>
  <c r="K6" i="16"/>
  <c r="W6" i="16"/>
  <c r="Q3" i="16"/>
  <c r="F17" i="5" a="1"/>
  <c r="F17" i="5" s="1"/>
  <c r="Q5" i="16"/>
  <c r="L6" i="16"/>
  <c r="X6" i="16"/>
  <c r="R3" i="16"/>
  <c r="T5" i="37" a="1"/>
  <c r="T5" i="37" s="1"/>
  <c r="R5" i="16"/>
  <c r="M6" i="16"/>
  <c r="Y6" i="16"/>
  <c r="V9" i="31"/>
  <c r="V23" i="31"/>
  <c r="BE155" i="31"/>
  <c r="V9" i="37"/>
  <c r="V23" i="37"/>
  <c r="V37" i="37"/>
  <c r="J33" i="37" a="1"/>
  <c r="J33" i="37" s="1"/>
  <c r="V8" i="5"/>
  <c r="T5" i="5" a="1"/>
  <c r="T5" i="5" s="1"/>
  <c r="S5" i="5" a="1"/>
  <c r="S5" i="5" s="1"/>
  <c r="R5" i="5" a="1"/>
  <c r="R5" i="5" s="1"/>
  <c r="Q5" i="5" a="1"/>
  <c r="Q5" i="5" s="1"/>
  <c r="P5" i="5" a="1"/>
  <c r="P5" i="5" s="1"/>
  <c r="O5" i="5" a="1"/>
  <c r="O5" i="5" s="1"/>
  <c r="N5" i="5" a="1"/>
  <c r="N5" i="5" s="1"/>
  <c r="M5" i="5" a="1"/>
  <c r="M5" i="5" s="1"/>
  <c r="L5" i="5" a="1"/>
  <c r="L5" i="5" s="1"/>
  <c r="K5" i="5" a="1"/>
  <c r="K5" i="5" s="1"/>
  <c r="J5" i="5" a="1"/>
  <c r="J5" i="5" s="1"/>
  <c r="I5" i="5" a="1"/>
  <c r="I5" i="5" s="1"/>
  <c r="H5" i="5" a="1"/>
  <c r="H5" i="5" s="1"/>
  <c r="G5" i="5" a="1"/>
  <c r="G5" i="5" s="1"/>
  <c r="F5" i="5" a="1"/>
  <c r="F5" i="5" s="1"/>
  <c r="E5" i="5" a="1"/>
  <c r="E5" i="5" s="1"/>
  <c r="V26" i="5"/>
  <c r="T23" i="5" a="1"/>
  <c r="T23" i="5" s="1"/>
  <c r="S23" i="5" a="1"/>
  <c r="S23" i="5" s="1"/>
  <c r="R23" i="5" a="1"/>
  <c r="R23" i="5" s="1"/>
  <c r="Q23" i="5" a="1"/>
  <c r="Q23" i="5" s="1"/>
  <c r="P23" i="5" a="1"/>
  <c r="P23" i="5" s="1"/>
  <c r="O23" i="5" a="1"/>
  <c r="O23" i="5" s="1"/>
  <c r="N23" i="5" a="1"/>
  <c r="N23" i="5" s="1"/>
  <c r="M23" i="5" a="1"/>
  <c r="M23" i="5" s="1"/>
  <c r="L23" i="5" a="1"/>
  <c r="L23" i="5" s="1"/>
  <c r="K23" i="5" a="1"/>
  <c r="K23" i="5" s="1"/>
  <c r="J23" i="5" a="1"/>
  <c r="J23" i="5" s="1"/>
  <c r="I23" i="5" a="1"/>
  <c r="I23" i="5" s="1"/>
  <c r="H23" i="5" a="1"/>
  <c r="H23" i="5" s="1"/>
  <c r="G23" i="5" a="1"/>
  <c r="G23" i="5" s="1"/>
  <c r="F23" i="5" a="1"/>
  <c r="F23" i="5" s="1"/>
  <c r="E23" i="5" a="1"/>
  <c r="E23" i="5" s="1"/>
  <c r="V50" i="5"/>
  <c r="T47" i="5" a="1"/>
  <c r="T47" i="5" s="1"/>
  <c r="S47" i="5" a="1"/>
  <c r="S47" i="5" s="1"/>
  <c r="R47" i="5" a="1"/>
  <c r="R47" i="5" s="1"/>
  <c r="Q47" i="5" a="1"/>
  <c r="Q47" i="5" s="1"/>
  <c r="P47" i="5" a="1"/>
  <c r="P47" i="5" s="1"/>
  <c r="O47" i="5" a="1"/>
  <c r="O47" i="5" s="1"/>
  <c r="N47" i="5" a="1"/>
  <c r="N47" i="5" s="1"/>
  <c r="M47" i="5" a="1"/>
  <c r="M47" i="5" s="1"/>
  <c r="L47" i="5" a="1"/>
  <c r="L47" i="5" s="1"/>
  <c r="K47" i="5" a="1"/>
  <c r="K47" i="5" s="1"/>
  <c r="J47" i="5" a="1"/>
  <c r="J47" i="5" s="1"/>
  <c r="I47" i="5" a="1"/>
  <c r="I47" i="5" s="1"/>
  <c r="H47" i="5" a="1"/>
  <c r="H47" i="5" s="1"/>
  <c r="G47" i="5" a="1"/>
  <c r="G47" i="5" s="1"/>
  <c r="F47" i="5" a="1"/>
  <c r="F47" i="5" s="1"/>
  <c r="E47" i="5" a="1"/>
  <c r="E47" i="5" s="1"/>
  <c r="V56" i="5"/>
  <c r="T53" i="5" a="1"/>
  <c r="T53" i="5" s="1"/>
  <c r="S53" i="5" a="1"/>
  <c r="S53" i="5" s="1"/>
  <c r="R53" i="5" a="1"/>
  <c r="R53" i="5" s="1"/>
  <c r="Q53" i="5" a="1"/>
  <c r="Q53" i="5" s="1"/>
  <c r="P53" i="5" a="1"/>
  <c r="P53" i="5" s="1"/>
  <c r="O53" i="5" a="1"/>
  <c r="O53" i="5" s="1"/>
  <c r="N53" i="5" a="1"/>
  <c r="N53" i="5" s="1"/>
  <c r="M53" i="5" a="1"/>
  <c r="M53" i="5" s="1"/>
  <c r="L53" i="5" a="1"/>
  <c r="L53" i="5" s="1"/>
  <c r="K53" i="5" a="1"/>
  <c r="K53" i="5" s="1"/>
  <c r="J53" i="5" a="1"/>
  <c r="J53" i="5" s="1"/>
  <c r="I53" i="5" a="1"/>
  <c r="I53" i="5" s="1"/>
  <c r="H53" i="5" a="1"/>
  <c r="H53" i="5" s="1"/>
  <c r="G53" i="5" a="1"/>
  <c r="G53" i="5" s="1"/>
  <c r="F53" i="5" a="1"/>
  <c r="F53" i="5" s="1"/>
  <c r="E53" i="5" a="1"/>
  <c r="E53" i="5" s="1"/>
  <c r="V62" i="5"/>
  <c r="T59" i="5" a="1"/>
  <c r="T59" i="5" s="1"/>
  <c r="S59" i="5" a="1"/>
  <c r="S59" i="5" s="1"/>
  <c r="R59" i="5" a="1"/>
  <c r="R59" i="5" s="1"/>
  <c r="Q59" i="5" a="1"/>
  <c r="Q59" i="5" s="1"/>
  <c r="P59" i="5" a="1"/>
  <c r="P59" i="5" s="1"/>
  <c r="O59" i="5" a="1"/>
  <c r="O59" i="5" s="1"/>
  <c r="N59" i="5" a="1"/>
  <c r="N59" i="5" s="1"/>
  <c r="M59" i="5" a="1"/>
  <c r="M59" i="5" s="1"/>
  <c r="L59" i="5" a="1"/>
  <c r="L59" i="5" s="1"/>
  <c r="K59" i="5" a="1"/>
  <c r="K59" i="5" s="1"/>
  <c r="J59" i="5" a="1"/>
  <c r="J59" i="5" s="1"/>
  <c r="I59" i="5" a="1"/>
  <c r="I59" i="5" s="1"/>
  <c r="H59" i="5" a="1"/>
  <c r="H59" i="5" s="1"/>
  <c r="G59" i="5" a="1"/>
  <c r="G59" i="5" s="1"/>
  <c r="F59" i="5" a="1"/>
  <c r="F59" i="5" s="1"/>
  <c r="E59" i="5" a="1"/>
  <c r="E59" i="5" s="1"/>
  <c r="V68" i="5"/>
  <c r="T65" i="5" a="1"/>
  <c r="T65" i="5" s="1"/>
  <c r="S65" i="5" a="1"/>
  <c r="S65" i="5" s="1"/>
  <c r="R65" i="5" a="1"/>
  <c r="R65" i="5" s="1"/>
  <c r="Q65" i="5" a="1"/>
  <c r="Q65" i="5" s="1"/>
  <c r="P65" i="5" a="1"/>
  <c r="P65" i="5" s="1"/>
  <c r="O65" i="5" a="1"/>
  <c r="O65" i="5" s="1"/>
  <c r="N65" i="5" a="1"/>
  <c r="N65" i="5" s="1"/>
  <c r="M65" i="5" a="1"/>
  <c r="M65" i="5" s="1"/>
  <c r="L65" i="5" a="1"/>
  <c r="L65" i="5" s="1"/>
  <c r="K65" i="5" a="1"/>
  <c r="K65" i="5" s="1"/>
  <c r="J65" i="5" a="1"/>
  <c r="J65" i="5" s="1"/>
  <c r="I65" i="5" a="1"/>
  <c r="I65" i="5" s="1"/>
  <c r="H65" i="5" a="1"/>
  <c r="H65" i="5" s="1"/>
  <c r="G65" i="5" a="1"/>
  <c r="G65" i="5" s="1"/>
  <c r="F65" i="5" a="1"/>
  <c r="F65" i="5" s="1"/>
  <c r="E65" i="5" a="1"/>
  <c r="E65" i="5" s="1"/>
  <c r="V74" i="5"/>
  <c r="T71" i="5" a="1"/>
  <c r="T71" i="5" s="1"/>
  <c r="S71" i="5" a="1"/>
  <c r="S71" i="5" s="1"/>
  <c r="R71" i="5" a="1"/>
  <c r="R71" i="5" s="1"/>
  <c r="Q71" i="5" a="1"/>
  <c r="Q71" i="5" s="1"/>
  <c r="P71" i="5" a="1"/>
  <c r="P71" i="5" s="1"/>
  <c r="O71" i="5" a="1"/>
  <c r="O71" i="5" s="1"/>
  <c r="N71" i="5" a="1"/>
  <c r="N71" i="5" s="1"/>
  <c r="M71" i="5" a="1"/>
  <c r="M71" i="5" s="1"/>
  <c r="L71" i="5" a="1"/>
  <c r="L71" i="5" s="1"/>
  <c r="K71" i="5" a="1"/>
  <c r="K71" i="5" s="1"/>
  <c r="J71" i="5" a="1"/>
  <c r="J71" i="5" s="1"/>
  <c r="I71" i="5" a="1"/>
  <c r="I71" i="5" s="1"/>
  <c r="H71" i="5" a="1"/>
  <c r="H71" i="5" s="1"/>
  <c r="G71" i="5" a="1"/>
  <c r="G71" i="5" s="1"/>
  <c r="F71" i="5" a="1"/>
  <c r="F71" i="5" s="1"/>
  <c r="E71" i="5" a="1"/>
  <c r="E71" i="5" s="1"/>
  <c r="V8" i="25"/>
  <c r="T5" i="25" a="1"/>
  <c r="T5" i="25" s="1"/>
  <c r="S5" i="25" a="1"/>
  <c r="S5" i="25" s="1"/>
  <c r="R5" i="25" a="1"/>
  <c r="R5" i="25" s="1"/>
  <c r="Q5" i="25" a="1"/>
  <c r="Q5" i="25" s="1"/>
  <c r="P5" i="25" a="1"/>
  <c r="P5" i="25" s="1"/>
  <c r="O5" i="25" a="1"/>
  <c r="O5" i="25" s="1"/>
  <c r="N5" i="25" a="1"/>
  <c r="N5" i="25" s="1"/>
  <c r="M5" i="25" a="1"/>
  <c r="M5" i="25" s="1"/>
  <c r="L5" i="25" a="1"/>
  <c r="L5" i="25" s="1"/>
  <c r="K5" i="25" a="1"/>
  <c r="K5" i="25" s="1"/>
  <c r="J5" i="25" a="1"/>
  <c r="J5" i="25" s="1"/>
  <c r="I5" i="25" a="1"/>
  <c r="I5" i="25" s="1"/>
  <c r="H5" i="25" a="1"/>
  <c r="H5" i="25" s="1"/>
  <c r="G5" i="25" a="1"/>
  <c r="G5" i="25" s="1"/>
  <c r="F5" i="25" a="1"/>
  <c r="F5" i="25" s="1"/>
  <c r="E5" i="25" a="1"/>
  <c r="E5" i="25" s="1"/>
  <c r="V26" i="25"/>
  <c r="T23" i="25" a="1"/>
  <c r="T23" i="25" s="1"/>
  <c r="S23" i="25" a="1"/>
  <c r="S23" i="25" s="1"/>
  <c r="R23" i="25" a="1"/>
  <c r="R23" i="25" s="1"/>
  <c r="Q23" i="25" a="1"/>
  <c r="Q23" i="25" s="1"/>
  <c r="P23" i="25" a="1"/>
  <c r="P23" i="25" s="1"/>
  <c r="O23" i="25" a="1"/>
  <c r="O23" i="25" s="1"/>
  <c r="N23" i="25" a="1"/>
  <c r="N23" i="25" s="1"/>
  <c r="M23" i="25" a="1"/>
  <c r="M23" i="25" s="1"/>
  <c r="L23" i="25" a="1"/>
  <c r="L23" i="25" s="1"/>
  <c r="K23" i="25" a="1"/>
  <c r="K23" i="25" s="1"/>
  <c r="J23" i="25" a="1"/>
  <c r="J23" i="25" s="1"/>
  <c r="I23" i="25" a="1"/>
  <c r="I23" i="25" s="1"/>
  <c r="H23" i="25" a="1"/>
  <c r="H23" i="25" s="1"/>
  <c r="G23" i="25" a="1"/>
  <c r="G23" i="25" s="1"/>
  <c r="F23" i="25" a="1"/>
  <c r="F23" i="25" s="1"/>
  <c r="E23" i="25" a="1"/>
  <c r="E23" i="25" s="1"/>
  <c r="V50" i="25"/>
  <c r="T47" i="25" a="1"/>
  <c r="T47" i="25" s="1"/>
  <c r="S47" i="25" a="1"/>
  <c r="S47" i="25" s="1"/>
  <c r="R47" i="25" a="1"/>
  <c r="R47" i="25" s="1"/>
  <c r="Q47" i="25" a="1"/>
  <c r="Q47" i="25" s="1"/>
  <c r="P47" i="25" a="1"/>
  <c r="P47" i="25" s="1"/>
  <c r="O47" i="25" a="1"/>
  <c r="O47" i="25" s="1"/>
  <c r="N47" i="25" a="1"/>
  <c r="N47" i="25" s="1"/>
  <c r="M47" i="25" a="1"/>
  <c r="M47" i="25" s="1"/>
  <c r="L47" i="25" a="1"/>
  <c r="L47" i="25" s="1"/>
  <c r="K47" i="25" a="1"/>
  <c r="K47" i="25" s="1"/>
  <c r="J47" i="25" a="1"/>
  <c r="J47" i="25" s="1"/>
  <c r="I47" i="25" a="1"/>
  <c r="I47" i="25" s="1"/>
  <c r="H47" i="25" a="1"/>
  <c r="H47" i="25" s="1"/>
  <c r="G47" i="25" a="1"/>
  <c r="G47" i="25" s="1"/>
  <c r="F47" i="25" a="1"/>
  <c r="F47" i="25" s="1"/>
  <c r="E47" i="25" a="1"/>
  <c r="E47" i="25" s="1"/>
  <c r="V56" i="25"/>
  <c r="T53" i="25" a="1"/>
  <c r="T53" i="25" s="1"/>
  <c r="S53" i="25" a="1"/>
  <c r="S53" i="25" s="1"/>
  <c r="R53" i="25" a="1"/>
  <c r="R53" i="25" s="1"/>
  <c r="Q53" i="25" a="1"/>
  <c r="Q53" i="25" s="1"/>
  <c r="P53" i="25" a="1"/>
  <c r="P53" i="25" s="1"/>
  <c r="O53" i="25" a="1"/>
  <c r="O53" i="25" s="1"/>
  <c r="N53" i="25" a="1"/>
  <c r="N53" i="25" s="1"/>
  <c r="M53" i="25" a="1"/>
  <c r="M53" i="25" s="1"/>
  <c r="L53" i="25" a="1"/>
  <c r="L53" i="25" s="1"/>
  <c r="K53" i="25" a="1"/>
  <c r="K53" i="25" s="1"/>
  <c r="J53" i="25" a="1"/>
  <c r="J53" i="25" s="1"/>
  <c r="I53" i="25" a="1"/>
  <c r="I53" i="25" s="1"/>
  <c r="H53" i="25" a="1"/>
  <c r="H53" i="25" s="1"/>
  <c r="G53" i="25" a="1"/>
  <c r="G53" i="25" s="1"/>
  <c r="F53" i="25" a="1"/>
  <c r="F53" i="25" s="1"/>
  <c r="E53" i="25" a="1"/>
  <c r="E53" i="25" s="1"/>
  <c r="V62" i="25"/>
  <c r="T59" i="25" a="1"/>
  <c r="T59" i="25" s="1"/>
  <c r="S59" i="25" a="1"/>
  <c r="S59" i="25" s="1"/>
  <c r="R59" i="25" a="1"/>
  <c r="R59" i="25" s="1"/>
  <c r="Q59" i="25" a="1"/>
  <c r="Q59" i="25" s="1"/>
  <c r="P59" i="25" a="1"/>
  <c r="P59" i="25" s="1"/>
  <c r="O59" i="25" a="1"/>
  <c r="O59" i="25" s="1"/>
  <c r="N59" i="25" a="1"/>
  <c r="N59" i="25" s="1"/>
  <c r="M59" i="25" a="1"/>
  <c r="M59" i="25" s="1"/>
  <c r="L59" i="25" a="1"/>
  <c r="L59" i="25" s="1"/>
  <c r="K59" i="25" a="1"/>
  <c r="K59" i="25" s="1"/>
  <c r="J59" i="25" a="1"/>
  <c r="J59" i="25" s="1"/>
  <c r="I59" i="25" a="1"/>
  <c r="I59" i="25" s="1"/>
  <c r="H59" i="25" a="1"/>
  <c r="H59" i="25" s="1"/>
  <c r="G59" i="25" a="1"/>
  <c r="G59" i="25" s="1"/>
  <c r="F59" i="25" a="1"/>
  <c r="F59" i="25" s="1"/>
  <c r="E59" i="25" a="1"/>
  <c r="E59" i="25" s="1"/>
  <c r="V68" i="25"/>
  <c r="T65" i="25" a="1"/>
  <c r="T65" i="25" s="1"/>
  <c r="S65" i="25" a="1"/>
  <c r="S65" i="25" s="1"/>
  <c r="R65" i="25" a="1"/>
  <c r="R65" i="25" s="1"/>
  <c r="Q65" i="25" a="1"/>
  <c r="Q65" i="25" s="1"/>
  <c r="P65" i="25" a="1"/>
  <c r="P65" i="25" s="1"/>
  <c r="O65" i="25" a="1"/>
  <c r="O65" i="25" s="1"/>
  <c r="N65" i="25" a="1"/>
  <c r="N65" i="25" s="1"/>
  <c r="M65" i="25" a="1"/>
  <c r="M65" i="25" s="1"/>
  <c r="L65" i="25" a="1"/>
  <c r="L65" i="25" s="1"/>
  <c r="K65" i="25" a="1"/>
  <c r="K65" i="25" s="1"/>
  <c r="J65" i="25" a="1"/>
  <c r="J65" i="25" s="1"/>
  <c r="I65" i="25" a="1"/>
  <c r="I65" i="25" s="1"/>
  <c r="H65" i="25" a="1"/>
  <c r="H65" i="25" s="1"/>
  <c r="G65" i="25" a="1"/>
  <c r="G65" i="25" s="1"/>
  <c r="F65" i="25" a="1"/>
  <c r="F65" i="25" s="1"/>
  <c r="E65" i="25" a="1"/>
  <c r="E65" i="25" s="1"/>
  <c r="V74" i="25"/>
  <c r="T71" i="25" a="1"/>
  <c r="T71" i="25" s="1"/>
  <c r="S71" i="25" a="1"/>
  <c r="S71" i="25" s="1"/>
  <c r="R71" i="25" a="1"/>
  <c r="R71" i="25" s="1"/>
  <c r="Q71" i="25" a="1"/>
  <c r="Q71" i="25" s="1"/>
  <c r="P71" i="25" a="1"/>
  <c r="P71" i="25" s="1"/>
  <c r="O71" i="25" a="1"/>
  <c r="O71" i="25" s="1"/>
  <c r="N71" i="25" a="1"/>
  <c r="N71" i="25" s="1"/>
  <c r="M71" i="25" a="1"/>
  <c r="M71" i="25" s="1"/>
  <c r="L71" i="25" a="1"/>
  <c r="L71" i="25" s="1"/>
  <c r="K71" i="25" a="1"/>
  <c r="K71" i="25" s="1"/>
  <c r="J71" i="25" a="1"/>
  <c r="J71" i="25" s="1"/>
  <c r="I71" i="25" a="1"/>
  <c r="I71" i="25" s="1"/>
  <c r="H71" i="25" a="1"/>
  <c r="H71" i="25" s="1"/>
  <c r="G71" i="25" a="1"/>
  <c r="G71" i="25" s="1"/>
  <c r="F71" i="25" a="1"/>
  <c r="F71" i="25" s="1"/>
  <c r="E71" i="25" a="1"/>
  <c r="E71" i="25" s="1"/>
  <c r="V9" i="26"/>
  <c r="T5" i="26" a="1"/>
  <c r="T5" i="26" s="1"/>
  <c r="S5" i="26" a="1"/>
  <c r="S5" i="26" s="1"/>
  <c r="R5" i="26" a="1"/>
  <c r="R5" i="26" s="1"/>
  <c r="Q5" i="26" a="1"/>
  <c r="Q5" i="26" s="1"/>
  <c r="P5" i="26" a="1"/>
  <c r="P5" i="26" s="1"/>
  <c r="O5" i="26" a="1"/>
  <c r="O5" i="26" s="1"/>
  <c r="N5" i="26" a="1"/>
  <c r="N5" i="26" s="1"/>
  <c r="M5" i="26" a="1"/>
  <c r="M5" i="26" s="1"/>
  <c r="L5" i="26" a="1"/>
  <c r="L5" i="26" s="1"/>
  <c r="K5" i="26" a="1"/>
  <c r="K5" i="26" s="1"/>
  <c r="J5" i="26" a="1"/>
  <c r="J5" i="26" s="1"/>
  <c r="I5" i="26" a="1"/>
  <c r="I5" i="26" s="1"/>
  <c r="H5" i="26" a="1"/>
  <c r="H5" i="26" s="1"/>
  <c r="G5" i="26" a="1"/>
  <c r="G5" i="26" s="1"/>
  <c r="F5" i="26" a="1"/>
  <c r="F5" i="26" s="1"/>
  <c r="E5" i="26" a="1"/>
  <c r="E5" i="26" s="1"/>
  <c r="V30" i="26"/>
  <c r="T26" i="26" a="1"/>
  <c r="T26" i="26" s="1"/>
  <c r="S26" i="26" a="1"/>
  <c r="S26" i="26" s="1"/>
  <c r="R26" i="26" a="1"/>
  <c r="R26" i="26" s="1"/>
  <c r="Q26" i="26" a="1"/>
  <c r="Q26" i="26" s="1"/>
  <c r="P26" i="26" a="1"/>
  <c r="P26" i="26" s="1"/>
  <c r="O26" i="26" a="1"/>
  <c r="O26" i="26" s="1"/>
  <c r="N26" i="26" a="1"/>
  <c r="N26" i="26" s="1"/>
  <c r="M26" i="26" a="1"/>
  <c r="M26" i="26" s="1"/>
  <c r="L26" i="26" a="1"/>
  <c r="L26" i="26" s="1"/>
  <c r="K26" i="26" a="1"/>
  <c r="K26" i="26" s="1"/>
  <c r="J26" i="26" a="1"/>
  <c r="J26" i="26" s="1"/>
  <c r="I26" i="26" a="1"/>
  <c r="I26" i="26" s="1"/>
  <c r="H26" i="26" a="1"/>
  <c r="H26" i="26" s="1"/>
  <c r="G26" i="26" a="1"/>
  <c r="G26" i="26" s="1"/>
  <c r="F26" i="26" a="1"/>
  <c r="F26" i="26" s="1"/>
  <c r="E26" i="26" a="1"/>
  <c r="E26" i="26" s="1"/>
  <c r="V58" i="26"/>
  <c r="T54" i="26" a="1"/>
  <c r="T54" i="26" s="1"/>
  <c r="S54" i="26" a="1"/>
  <c r="S54" i="26" s="1"/>
  <c r="R54" i="26" a="1"/>
  <c r="R54" i="26" s="1"/>
  <c r="Q54" i="26" a="1"/>
  <c r="Q54" i="26" s="1"/>
  <c r="P54" i="26" a="1"/>
  <c r="P54" i="26" s="1"/>
  <c r="O54" i="26" a="1"/>
  <c r="O54" i="26" s="1"/>
  <c r="N54" i="26" a="1"/>
  <c r="N54" i="26" s="1"/>
  <c r="M54" i="26" a="1"/>
  <c r="M54" i="26" s="1"/>
  <c r="L54" i="26" a="1"/>
  <c r="L54" i="26" s="1"/>
  <c r="K54" i="26" a="1"/>
  <c r="K54" i="26" s="1"/>
  <c r="J54" i="26" a="1"/>
  <c r="J54" i="26" s="1"/>
  <c r="I54" i="26" a="1"/>
  <c r="I54" i="26" s="1"/>
  <c r="H54" i="26" a="1"/>
  <c r="H54" i="26" s="1"/>
  <c r="G54" i="26" a="1"/>
  <c r="G54" i="26" s="1"/>
  <c r="F54" i="26" a="1"/>
  <c r="F54" i="26" s="1"/>
  <c r="E54" i="26" a="1"/>
  <c r="E54" i="26" s="1"/>
  <c r="V65" i="26"/>
  <c r="T61" i="26" a="1"/>
  <c r="T61" i="26" s="1"/>
  <c r="S61" i="26" a="1"/>
  <c r="S61" i="26" s="1"/>
  <c r="R61" i="26" a="1"/>
  <c r="R61" i="26" s="1"/>
  <c r="Q61" i="26" a="1"/>
  <c r="Q61" i="26" s="1"/>
  <c r="P61" i="26" a="1"/>
  <c r="P61" i="26" s="1"/>
  <c r="O61" i="26" a="1"/>
  <c r="O61" i="26" s="1"/>
  <c r="N61" i="26" a="1"/>
  <c r="N61" i="26" s="1"/>
  <c r="M61" i="26" a="1"/>
  <c r="M61" i="26" s="1"/>
  <c r="L61" i="26" a="1"/>
  <c r="L61" i="26" s="1"/>
  <c r="K61" i="26" a="1"/>
  <c r="K61" i="26" s="1"/>
  <c r="J61" i="26" a="1"/>
  <c r="J61" i="26" s="1"/>
  <c r="I61" i="26" a="1"/>
  <c r="I61" i="26" s="1"/>
  <c r="H61" i="26" a="1"/>
  <c r="H61" i="26" s="1"/>
  <c r="G61" i="26" a="1"/>
  <c r="G61" i="26" s="1"/>
  <c r="F61" i="26" a="1"/>
  <c r="F61" i="26" s="1"/>
  <c r="E61" i="26" a="1"/>
  <c r="E61" i="26" s="1"/>
  <c r="V72" i="26"/>
  <c r="T68" i="26" a="1"/>
  <c r="T68" i="26" s="1"/>
  <c r="S68" i="26" a="1"/>
  <c r="S68" i="26" s="1"/>
  <c r="R68" i="26" a="1"/>
  <c r="R68" i="26" s="1"/>
  <c r="Q68" i="26" a="1"/>
  <c r="Q68" i="26" s="1"/>
  <c r="P68" i="26" a="1"/>
  <c r="P68" i="26" s="1"/>
  <c r="O68" i="26" a="1"/>
  <c r="O68" i="26" s="1"/>
  <c r="N68" i="26" a="1"/>
  <c r="N68" i="26" s="1"/>
  <c r="M68" i="26" a="1"/>
  <c r="M68" i="26" s="1"/>
  <c r="L68" i="26" a="1"/>
  <c r="L68" i="26" s="1"/>
  <c r="K68" i="26" a="1"/>
  <c r="K68" i="26" s="1"/>
  <c r="J68" i="26" a="1"/>
  <c r="J68" i="26" s="1"/>
  <c r="I68" i="26" a="1"/>
  <c r="I68" i="26" s="1"/>
  <c r="H68" i="26" a="1"/>
  <c r="H68" i="26" s="1"/>
  <c r="G68" i="26" a="1"/>
  <c r="G68" i="26" s="1"/>
  <c r="F68" i="26" a="1"/>
  <c r="F68" i="26" s="1"/>
  <c r="E68" i="26" a="1"/>
  <c r="E68" i="26" s="1"/>
  <c r="V79" i="26"/>
  <c r="T75" i="26" a="1"/>
  <c r="T75" i="26" s="1"/>
  <c r="S75" i="26" a="1"/>
  <c r="S75" i="26" s="1"/>
  <c r="R75" i="26" a="1"/>
  <c r="R75" i="26" s="1"/>
  <c r="Q75" i="26" a="1"/>
  <c r="Q75" i="26" s="1"/>
  <c r="P75" i="26" a="1"/>
  <c r="P75" i="26" s="1"/>
  <c r="O75" i="26" a="1"/>
  <c r="O75" i="26" s="1"/>
  <c r="N75" i="26" a="1"/>
  <c r="N75" i="26" s="1"/>
  <c r="M75" i="26" a="1"/>
  <c r="M75" i="26" s="1"/>
  <c r="L75" i="26" a="1"/>
  <c r="L75" i="26" s="1"/>
  <c r="K75" i="26" a="1"/>
  <c r="K75" i="26" s="1"/>
  <c r="J75" i="26" a="1"/>
  <c r="J75" i="26" s="1"/>
  <c r="I75" i="26" a="1"/>
  <c r="I75" i="26" s="1"/>
  <c r="H75" i="26" a="1"/>
  <c r="H75" i="26" s="1"/>
  <c r="G75" i="26" a="1"/>
  <c r="G75" i="26" s="1"/>
  <c r="F75" i="26" a="1"/>
  <c r="F75" i="26" s="1"/>
  <c r="E75" i="26" a="1"/>
  <c r="E75" i="26" s="1"/>
  <c r="V86" i="26"/>
  <c r="T82" i="26" a="1"/>
  <c r="T82" i="26" s="1"/>
  <c r="S82" i="26" a="1"/>
  <c r="S82" i="26" s="1"/>
  <c r="R82" i="26" a="1"/>
  <c r="R82" i="26" s="1"/>
  <c r="Q82" i="26" a="1"/>
  <c r="Q82" i="26" s="1"/>
  <c r="P82" i="26" a="1"/>
  <c r="P82" i="26" s="1"/>
  <c r="O82" i="26" a="1"/>
  <c r="O82" i="26" s="1"/>
  <c r="N82" i="26" a="1"/>
  <c r="N82" i="26" s="1"/>
  <c r="M82" i="26" a="1"/>
  <c r="M82" i="26" s="1"/>
  <c r="L82" i="26" a="1"/>
  <c r="L82" i="26" s="1"/>
  <c r="K82" i="26" a="1"/>
  <c r="K82" i="26" s="1"/>
  <c r="J82" i="26" a="1"/>
  <c r="J82" i="26" s="1"/>
  <c r="I82" i="26" a="1"/>
  <c r="I82" i="26" s="1"/>
  <c r="H82" i="26" a="1"/>
  <c r="H82" i="26" s="1"/>
  <c r="G82" i="26" a="1"/>
  <c r="G82" i="26" s="1"/>
  <c r="F82" i="26" a="1"/>
  <c r="F82" i="26" s="1"/>
  <c r="E82" i="26" a="1"/>
  <c r="E82" i="26" s="1"/>
  <c r="B46" i="26"/>
  <c r="B28" i="5"/>
  <c r="B10" i="5"/>
  <c r="B4" i="31"/>
  <c r="B34" i="5"/>
  <c r="B18" i="26"/>
  <c r="B16" i="5"/>
  <c r="B28" i="25"/>
  <c r="B4" i="21"/>
  <c r="D9" i="21" s="1"/>
  <c r="B40" i="5"/>
  <c r="B10" i="25"/>
  <c r="B34" i="25"/>
  <c r="B16" i="25"/>
  <c r="B32" i="26"/>
  <c r="B40" i="25"/>
  <c r="B11" i="26"/>
  <c r="B4" i="37"/>
  <c r="B39" i="26"/>
  <c r="G170" i="21"/>
  <c r="G254" i="21"/>
  <c r="BF50" i="31" a="1"/>
  <c r="BF134" i="31" a="1"/>
  <c r="BF218" i="31" a="1"/>
  <c r="B103" i="31"/>
  <c r="B159" i="31"/>
  <c r="B145" i="31"/>
  <c r="G237" i="21"/>
  <c r="G279" i="21"/>
  <c r="B40" i="21"/>
  <c r="B47" i="37"/>
  <c r="B222" i="21"/>
  <c r="B250" i="21"/>
  <c r="G216" i="21"/>
  <c r="G125" i="21"/>
  <c r="H7" i="46"/>
  <c r="B159" i="21"/>
  <c r="G169" i="21"/>
  <c r="G253" i="21"/>
  <c r="BF57" i="31" a="1"/>
  <c r="BF141" i="31" a="1"/>
  <c r="BF225" i="31" a="1"/>
  <c r="B138" i="31"/>
  <c r="B180" i="31"/>
  <c r="G34" i="21"/>
  <c r="B103" i="21"/>
  <c r="B40" i="37"/>
  <c r="B89" i="21"/>
  <c r="B110" i="21"/>
  <c r="B138" i="21"/>
  <c r="B145" i="21"/>
  <c r="B278" i="21"/>
  <c r="B229" i="21"/>
  <c r="BF64" i="31" a="1"/>
  <c r="BF148" i="31" a="1"/>
  <c r="BF232" i="31" a="1"/>
  <c r="B173" i="31"/>
  <c r="B12" i="31"/>
  <c r="B201" i="31"/>
  <c r="B110" i="31"/>
  <c r="G13" i="21"/>
  <c r="G181" i="21"/>
  <c r="B166" i="21"/>
  <c r="B124" i="21"/>
  <c r="B68" i="37"/>
  <c r="G174" i="21"/>
  <c r="J7" i="46"/>
  <c r="B236" i="21"/>
  <c r="B264" i="21"/>
  <c r="B215" i="21"/>
  <c r="G9" i="21"/>
  <c r="G191" i="21"/>
  <c r="G275" i="21"/>
  <c r="BF71" i="31" a="1"/>
  <c r="BF155" i="31" a="1"/>
  <c r="BF239" i="31" a="1"/>
  <c r="B194" i="31"/>
  <c r="B26" i="31"/>
  <c r="B222" i="31"/>
  <c r="B96" i="31"/>
  <c r="G202" i="21"/>
  <c r="B96" i="21"/>
  <c r="G20" i="21"/>
  <c r="B201" i="21"/>
  <c r="B68" i="21"/>
  <c r="G104" i="21"/>
  <c r="K7" i="46"/>
  <c r="B26" i="21"/>
  <c r="B257" i="21"/>
  <c r="G8" i="21"/>
  <c r="G190" i="21"/>
  <c r="G274" i="21"/>
  <c r="BF78" i="31" a="1"/>
  <c r="BF162" i="31" a="1"/>
  <c r="BF246" i="31" a="1"/>
  <c r="B215" i="31"/>
  <c r="B124" i="31"/>
  <c r="B243" i="31"/>
  <c r="B82" i="31"/>
  <c r="B131" i="31"/>
  <c r="BF85" i="31" a="1"/>
  <c r="BF169" i="31" a="1"/>
  <c r="BF253" i="31" a="1"/>
  <c r="B236" i="31"/>
  <c r="B264" i="31"/>
  <c r="B166" i="31"/>
  <c r="G258" i="21"/>
  <c r="G62" i="21"/>
  <c r="B26" i="37"/>
  <c r="G244" i="21"/>
  <c r="G153" i="21"/>
  <c r="G111" i="21"/>
  <c r="L7" i="46"/>
  <c r="BF211" i="31" a="1"/>
  <c r="B47" i="21"/>
  <c r="G100" i="21"/>
  <c r="G212" i="21"/>
  <c r="BF92" i="31" a="1"/>
  <c r="BF176" i="31" a="1"/>
  <c r="BF260" i="31" a="1"/>
  <c r="B257" i="31"/>
  <c r="B89" i="31"/>
  <c r="B187" i="31"/>
  <c r="B75" i="21"/>
  <c r="G27" i="21"/>
  <c r="B180" i="21"/>
  <c r="G55" i="21"/>
  <c r="G90" i="21"/>
  <c r="B271" i="21"/>
  <c r="L8" i="46"/>
  <c r="B194" i="21"/>
  <c r="G99" i="21"/>
  <c r="G211" i="21"/>
  <c r="BF15" i="31" a="1"/>
  <c r="BF99" i="31" a="1"/>
  <c r="BF183" i="31" a="1"/>
  <c r="BF267" i="31" a="1"/>
  <c r="B278" i="31"/>
  <c r="B208" i="31"/>
  <c r="B75" i="37"/>
  <c r="G265" i="21"/>
  <c r="G160" i="21"/>
  <c r="B208" i="21"/>
  <c r="G139" i="21"/>
  <c r="B173" i="21"/>
  <c r="BF127" i="31" a="1"/>
  <c r="BF22" i="31" a="1"/>
  <c r="BF106" i="31" a="1"/>
  <c r="BF190" i="31" a="1"/>
  <c r="BF274" i="31" a="1"/>
  <c r="B47" i="31"/>
  <c r="B40" i="31"/>
  <c r="B54" i="31"/>
  <c r="B229" i="31"/>
  <c r="B82" i="21"/>
  <c r="B131" i="21"/>
  <c r="B54" i="21"/>
  <c r="G118" i="21"/>
  <c r="G76" i="21"/>
  <c r="G195" i="21"/>
  <c r="G83" i="21"/>
  <c r="G135" i="21"/>
  <c r="G233" i="21"/>
  <c r="BF29" i="31" a="1"/>
  <c r="BF113" i="31" a="1"/>
  <c r="BF197" i="31" a="1"/>
  <c r="BF281" i="31" a="1"/>
  <c r="B61" i="31"/>
  <c r="B250" i="31"/>
  <c r="B82" i="37"/>
  <c r="B12" i="21"/>
  <c r="B54" i="37"/>
  <c r="B61" i="21"/>
  <c r="B243" i="21"/>
  <c r="G146" i="21"/>
  <c r="BF43" i="31" a="1"/>
  <c r="G48" i="21"/>
  <c r="G134" i="21"/>
  <c r="G232" i="21"/>
  <c r="BF36" i="31" a="1"/>
  <c r="BF120" i="31" a="1"/>
  <c r="BF204" i="31" a="1"/>
  <c r="BF8" i="31" a="1"/>
  <c r="B68" i="31"/>
  <c r="B271" i="31"/>
  <c r="G69" i="21"/>
  <c r="B12" i="37"/>
  <c r="B187" i="21"/>
  <c r="B61" i="37"/>
  <c r="G223" i="21"/>
  <c r="G41" i="21"/>
  <c r="B75" i="31"/>
  <c r="BF8" i="31" l="1"/>
  <c r="BF204" i="31"/>
  <c r="BF120" i="31"/>
  <c r="BF36" i="31"/>
  <c r="BF43" i="31"/>
  <c r="BF281" i="31"/>
  <c r="BF197" i="31"/>
  <c r="BF113" i="31"/>
  <c r="BF29" i="31"/>
  <c r="BF274" i="31"/>
  <c r="E273" i="31" s="1"/>
  <c r="BF190" i="31"/>
  <c r="E189" i="31" s="1"/>
  <c r="BF106" i="31"/>
  <c r="BF22" i="31"/>
  <c r="BF127" i="31"/>
  <c r="BF267" i="31"/>
  <c r="BF183" i="31"/>
  <c r="BF99" i="31"/>
  <c r="BF15" i="31"/>
  <c r="BF260" i="31"/>
  <c r="E258" i="31" s="1"/>
  <c r="BF176" i="31"/>
  <c r="BF92" i="31"/>
  <c r="E90" i="31" s="1"/>
  <c r="BF211" i="31"/>
  <c r="E209" i="31" s="1"/>
  <c r="BF253" i="31"/>
  <c r="E251" i="31" s="1"/>
  <c r="BF169" i="31"/>
  <c r="E167" i="31" s="1"/>
  <c r="BF85" i="31"/>
  <c r="BF246" i="31"/>
  <c r="BF162" i="31"/>
  <c r="BF78" i="31"/>
  <c r="BF239" i="31"/>
  <c r="BF155" i="31"/>
  <c r="BF71" i="31"/>
  <c r="BF232" i="31"/>
  <c r="BF148" i="31"/>
  <c r="BF64" i="31"/>
  <c r="E62" i="31" s="1"/>
  <c r="BF225" i="31"/>
  <c r="E224" i="31" s="1"/>
  <c r="BF141" i="31"/>
  <c r="BF57" i="31"/>
  <c r="BF218" i="31"/>
  <c r="BF134" i="31"/>
  <c r="BF50" i="31"/>
  <c r="S26" i="27"/>
  <c r="S25" i="27"/>
  <c r="S27" i="27" s="1"/>
  <c r="R29" i="27" s="1"/>
  <c r="R8" i="27" s="1"/>
  <c r="F21" i="35"/>
  <c r="E6" i="31"/>
  <c r="E279" i="31"/>
  <c r="E265" i="31"/>
  <c r="E244" i="31"/>
  <c r="E237" i="31"/>
  <c r="E230" i="31"/>
  <c r="E216" i="31"/>
  <c r="E202" i="31"/>
  <c r="E195" i="31"/>
  <c r="E181" i="31"/>
  <c r="E174" i="31"/>
  <c r="E160" i="31"/>
  <c r="E153" i="31"/>
  <c r="E146" i="31"/>
  <c r="E139" i="31"/>
  <c r="E132" i="31"/>
  <c r="E125" i="31"/>
  <c r="E118" i="31"/>
  <c r="E111" i="31"/>
  <c r="E104" i="31"/>
  <c r="E97" i="31"/>
  <c r="E83" i="31"/>
  <c r="E76" i="31"/>
  <c r="E69" i="31"/>
  <c r="E55" i="31"/>
  <c r="E48" i="31"/>
  <c r="E41" i="31"/>
  <c r="E34" i="31"/>
  <c r="E27" i="31"/>
  <c r="E20" i="31"/>
  <c r="E13" i="31"/>
  <c r="B270" i="31"/>
  <c r="V275" i="31"/>
  <c r="B249" i="31"/>
  <c r="V254" i="31"/>
  <c r="Y253" i="31"/>
  <c r="B228" i="31"/>
  <c r="V233" i="31"/>
  <c r="B207" i="31"/>
  <c r="V212" i="31"/>
  <c r="Y211" i="31"/>
  <c r="BE211" i="31" s="1"/>
  <c r="B186" i="31"/>
  <c r="V191" i="31"/>
  <c r="B165" i="31"/>
  <c r="V170" i="31"/>
  <c r="Y169" i="31"/>
  <c r="B130" i="31"/>
  <c r="V135" i="31"/>
  <c r="B95" i="31"/>
  <c r="V100" i="31"/>
  <c r="Y99" i="31"/>
  <c r="V149" i="31"/>
  <c r="V72" i="31"/>
  <c r="Y71" i="31"/>
  <c r="V58" i="31"/>
  <c r="Y57" i="31"/>
  <c r="V86" i="31"/>
  <c r="Y85" i="31"/>
  <c r="V44" i="31"/>
  <c r="Y43" i="31"/>
  <c r="V114" i="31"/>
  <c r="Y113" i="31"/>
  <c r="V268" i="31"/>
  <c r="Y267" i="31"/>
  <c r="V247" i="31"/>
  <c r="V226" i="31"/>
  <c r="Y225" i="31"/>
  <c r="V205" i="31"/>
  <c r="V184" i="31"/>
  <c r="Y183" i="31"/>
  <c r="V163" i="31"/>
  <c r="V128" i="31"/>
  <c r="Y127" i="31"/>
  <c r="V107" i="31"/>
  <c r="V79" i="31"/>
  <c r="V93" i="31"/>
  <c r="V65" i="31"/>
  <c r="V51" i="31"/>
  <c r="V282" i="31"/>
  <c r="V261" i="31"/>
  <c r="V240" i="31"/>
  <c r="Y239" i="31"/>
  <c r="V219" i="31"/>
  <c r="V198" i="31"/>
  <c r="Y197" i="31"/>
  <c r="V177" i="31"/>
  <c r="V142" i="31"/>
  <c r="Y141" i="31"/>
  <c r="E280" i="31"/>
  <c r="U278" i="31"/>
  <c r="T278" i="31"/>
  <c r="S278" i="31"/>
  <c r="R278" i="31"/>
  <c r="Q278" i="31"/>
  <c r="P278" i="31"/>
  <c r="O278" i="31"/>
  <c r="N278" i="31"/>
  <c r="M278" i="31"/>
  <c r="L278" i="31"/>
  <c r="K278" i="31"/>
  <c r="J278" i="31"/>
  <c r="I278" i="31"/>
  <c r="H278" i="31"/>
  <c r="G278" i="31"/>
  <c r="F278" i="31"/>
  <c r="U271" i="31"/>
  <c r="T271" i="31"/>
  <c r="S271" i="31"/>
  <c r="R271" i="31"/>
  <c r="Q271" i="31"/>
  <c r="P271" i="31"/>
  <c r="O271" i="31"/>
  <c r="N271" i="31"/>
  <c r="M271" i="31"/>
  <c r="L271" i="31"/>
  <c r="K271" i="31"/>
  <c r="J271" i="31"/>
  <c r="I271" i="31"/>
  <c r="H271" i="31"/>
  <c r="G271" i="31"/>
  <c r="F271" i="31"/>
  <c r="E266" i="31"/>
  <c r="U264" i="31"/>
  <c r="T264" i="31"/>
  <c r="S264" i="31"/>
  <c r="R264" i="31"/>
  <c r="Q264" i="31"/>
  <c r="P264" i="31"/>
  <c r="O264" i="31"/>
  <c r="N264" i="31"/>
  <c r="M264" i="31"/>
  <c r="L264" i="31"/>
  <c r="K264" i="31"/>
  <c r="J264" i="31"/>
  <c r="I264" i="31"/>
  <c r="H264" i="31"/>
  <c r="G264" i="31"/>
  <c r="F264" i="31"/>
  <c r="E259" i="31"/>
  <c r="U257" i="31"/>
  <c r="T257" i="31"/>
  <c r="S257" i="31"/>
  <c r="R257" i="31"/>
  <c r="Q257" i="31"/>
  <c r="P257" i="31"/>
  <c r="O257" i="31"/>
  <c r="N257" i="31"/>
  <c r="M257" i="31"/>
  <c r="L257" i="31"/>
  <c r="K257" i="31"/>
  <c r="J257" i="31"/>
  <c r="I257" i="31"/>
  <c r="H257" i="31"/>
  <c r="G257" i="31"/>
  <c r="F257" i="31"/>
  <c r="U250" i="31"/>
  <c r="T250" i="31"/>
  <c r="S250" i="31"/>
  <c r="R250" i="31"/>
  <c r="Q250" i="31"/>
  <c r="P250" i="31"/>
  <c r="O250" i="31"/>
  <c r="N250" i="31"/>
  <c r="M250" i="31"/>
  <c r="L250" i="31"/>
  <c r="K250" i="31"/>
  <c r="J250" i="31"/>
  <c r="I250" i="31"/>
  <c r="H250" i="31"/>
  <c r="G250" i="31"/>
  <c r="F250" i="31"/>
  <c r="U243" i="31"/>
  <c r="T243" i="31"/>
  <c r="S243" i="31"/>
  <c r="R243" i="31"/>
  <c r="Q243" i="31"/>
  <c r="P243" i="31"/>
  <c r="O243" i="31"/>
  <c r="N243" i="31"/>
  <c r="M243" i="31"/>
  <c r="L243" i="31"/>
  <c r="K243" i="31"/>
  <c r="J243" i="31"/>
  <c r="I243" i="31"/>
  <c r="H243" i="31"/>
  <c r="G243" i="31"/>
  <c r="F243" i="31"/>
  <c r="V246" i="31" a="1"/>
  <c r="V246" i="31" s="1"/>
  <c r="Y246" i="31" s="1"/>
  <c r="E245" i="31"/>
  <c r="E238" i="31"/>
  <c r="U236" i="31"/>
  <c r="T236" i="31"/>
  <c r="S236" i="31"/>
  <c r="R236" i="31"/>
  <c r="Q236" i="31"/>
  <c r="P236" i="31"/>
  <c r="O236" i="31"/>
  <c r="N236" i="31"/>
  <c r="M236" i="31"/>
  <c r="L236" i="31"/>
  <c r="K236" i="31"/>
  <c r="J236" i="31"/>
  <c r="I236" i="31"/>
  <c r="H236" i="31"/>
  <c r="G236" i="31"/>
  <c r="F236" i="31"/>
  <c r="E231" i="31"/>
  <c r="U229" i="31"/>
  <c r="T229" i="31"/>
  <c r="S229" i="31"/>
  <c r="R229" i="31"/>
  <c r="Q229" i="31"/>
  <c r="P229" i="31"/>
  <c r="O229" i="31"/>
  <c r="N229" i="31"/>
  <c r="M229" i="31"/>
  <c r="L229" i="31"/>
  <c r="K229" i="31"/>
  <c r="J229" i="31"/>
  <c r="I229" i="31"/>
  <c r="H229" i="31"/>
  <c r="G229" i="31"/>
  <c r="F229" i="31"/>
  <c r="U222" i="31"/>
  <c r="T222" i="31"/>
  <c r="S222" i="31"/>
  <c r="R222" i="31"/>
  <c r="Q222" i="31"/>
  <c r="P222" i="31"/>
  <c r="O222" i="31"/>
  <c r="N222" i="31"/>
  <c r="M222" i="31"/>
  <c r="L222" i="31"/>
  <c r="K222" i="31"/>
  <c r="J222" i="31"/>
  <c r="I222" i="31"/>
  <c r="H222" i="31"/>
  <c r="G222" i="31"/>
  <c r="F222" i="31"/>
  <c r="E217" i="31"/>
  <c r="U215" i="31"/>
  <c r="T215" i="31"/>
  <c r="S215" i="31"/>
  <c r="R215" i="31"/>
  <c r="Q215" i="31"/>
  <c r="P215" i="31"/>
  <c r="O215" i="31"/>
  <c r="N215" i="31"/>
  <c r="M215" i="31"/>
  <c r="L215" i="31"/>
  <c r="K215" i="31"/>
  <c r="J215" i="31"/>
  <c r="I215" i="31"/>
  <c r="H215" i="31"/>
  <c r="G215" i="31"/>
  <c r="F215" i="31"/>
  <c r="E210" i="31"/>
  <c r="U208" i="31"/>
  <c r="T208" i="31"/>
  <c r="S208" i="31"/>
  <c r="R208" i="31"/>
  <c r="Q208" i="31"/>
  <c r="P208" i="31"/>
  <c r="O208" i="31"/>
  <c r="N208" i="31"/>
  <c r="M208" i="31"/>
  <c r="L208" i="31"/>
  <c r="K208" i="31"/>
  <c r="J208" i="31"/>
  <c r="I208" i="31"/>
  <c r="H208" i="31"/>
  <c r="G208" i="31"/>
  <c r="F208" i="31"/>
  <c r="E203" i="31"/>
  <c r="U201" i="31"/>
  <c r="T201" i="31"/>
  <c r="S201" i="31"/>
  <c r="R201" i="31"/>
  <c r="Q201" i="31"/>
  <c r="P201" i="31"/>
  <c r="O201" i="31"/>
  <c r="N201" i="31"/>
  <c r="M201" i="31"/>
  <c r="L201" i="31"/>
  <c r="K201" i="31"/>
  <c r="J201" i="31"/>
  <c r="I201" i="31"/>
  <c r="H201" i="31"/>
  <c r="G201" i="31"/>
  <c r="F201" i="31"/>
  <c r="E196" i="31"/>
  <c r="U194" i="31"/>
  <c r="T194" i="31"/>
  <c r="S194" i="31"/>
  <c r="R194" i="31"/>
  <c r="Q194" i="31"/>
  <c r="P194" i="31"/>
  <c r="O194" i="31"/>
  <c r="N194" i="31"/>
  <c r="M194" i="31"/>
  <c r="L194" i="31"/>
  <c r="K194" i="31"/>
  <c r="J194" i="31"/>
  <c r="I194" i="31"/>
  <c r="H194" i="31"/>
  <c r="G194" i="31"/>
  <c r="F194" i="31"/>
  <c r="U187" i="31"/>
  <c r="T187" i="31"/>
  <c r="S187" i="31"/>
  <c r="R187" i="31"/>
  <c r="Q187" i="31"/>
  <c r="P187" i="31"/>
  <c r="O187" i="31"/>
  <c r="N187" i="31"/>
  <c r="M187" i="31"/>
  <c r="L187" i="31"/>
  <c r="K187" i="31"/>
  <c r="J187" i="31"/>
  <c r="I187" i="31"/>
  <c r="H187" i="31"/>
  <c r="G187" i="31"/>
  <c r="F187" i="31"/>
  <c r="E182" i="31"/>
  <c r="U180" i="31"/>
  <c r="T180" i="31"/>
  <c r="S180" i="31"/>
  <c r="R180" i="31"/>
  <c r="Q180" i="31"/>
  <c r="P180" i="31"/>
  <c r="O180" i="31"/>
  <c r="N180" i="31"/>
  <c r="M180" i="31"/>
  <c r="L180" i="31"/>
  <c r="K180" i="31"/>
  <c r="J180" i="31"/>
  <c r="I180" i="31"/>
  <c r="H180" i="31"/>
  <c r="G180" i="31"/>
  <c r="F180" i="31"/>
  <c r="E175" i="31"/>
  <c r="U173" i="31"/>
  <c r="T173" i="31"/>
  <c r="S173" i="31"/>
  <c r="R173" i="31"/>
  <c r="Q173" i="31"/>
  <c r="P173" i="31"/>
  <c r="O173" i="31"/>
  <c r="N173" i="31"/>
  <c r="M173" i="31"/>
  <c r="L173" i="31"/>
  <c r="K173" i="31"/>
  <c r="J173" i="31"/>
  <c r="I173" i="31"/>
  <c r="H173" i="31"/>
  <c r="G173" i="31"/>
  <c r="F173" i="31"/>
  <c r="E168" i="31"/>
  <c r="U166" i="31"/>
  <c r="T166" i="31"/>
  <c r="S166" i="31"/>
  <c r="R166" i="31"/>
  <c r="Q166" i="31"/>
  <c r="P166" i="31"/>
  <c r="O166" i="31"/>
  <c r="N166" i="31"/>
  <c r="M166" i="31"/>
  <c r="L166" i="31"/>
  <c r="K166" i="31"/>
  <c r="J166" i="31"/>
  <c r="I166" i="31"/>
  <c r="H166" i="31"/>
  <c r="G166" i="31"/>
  <c r="F166" i="31"/>
  <c r="E161" i="31"/>
  <c r="U159" i="31"/>
  <c r="T159" i="31"/>
  <c r="S159" i="31"/>
  <c r="R159" i="31"/>
  <c r="Q159" i="31"/>
  <c r="P159" i="31"/>
  <c r="O159" i="31"/>
  <c r="N159" i="31"/>
  <c r="M159" i="31"/>
  <c r="L159" i="31"/>
  <c r="K159" i="31"/>
  <c r="J159" i="31"/>
  <c r="I159" i="31"/>
  <c r="H159" i="31"/>
  <c r="G159" i="31"/>
  <c r="F159" i="31"/>
  <c r="E154" i="31"/>
  <c r="U152" i="31"/>
  <c r="T152" i="31"/>
  <c r="S152" i="31"/>
  <c r="R152" i="31"/>
  <c r="Q152" i="31"/>
  <c r="P152" i="31"/>
  <c r="O152" i="31"/>
  <c r="N152" i="31"/>
  <c r="M152" i="31"/>
  <c r="L152" i="31"/>
  <c r="K152" i="31"/>
  <c r="J152" i="31"/>
  <c r="I152" i="31"/>
  <c r="H152" i="31"/>
  <c r="G152" i="31"/>
  <c r="F152" i="31"/>
  <c r="E147" i="31"/>
  <c r="U145" i="31"/>
  <c r="T145" i="31"/>
  <c r="S145" i="31"/>
  <c r="R145" i="31"/>
  <c r="Q145" i="31"/>
  <c r="P145" i="31"/>
  <c r="O145" i="31"/>
  <c r="N145" i="31"/>
  <c r="M145" i="31"/>
  <c r="L145" i="31"/>
  <c r="K145" i="31"/>
  <c r="J145" i="31"/>
  <c r="I145" i="31"/>
  <c r="H145" i="31"/>
  <c r="G145" i="31"/>
  <c r="F145" i="31"/>
  <c r="E140" i="31"/>
  <c r="U138" i="31"/>
  <c r="T138" i="31"/>
  <c r="S138" i="31"/>
  <c r="R138" i="31"/>
  <c r="Q138" i="31"/>
  <c r="P138" i="31"/>
  <c r="O138" i="31"/>
  <c r="N138" i="31"/>
  <c r="M138" i="31"/>
  <c r="L138" i="31"/>
  <c r="K138" i="31"/>
  <c r="J138" i="31"/>
  <c r="I138" i="31"/>
  <c r="H138" i="31"/>
  <c r="G138" i="31"/>
  <c r="F138" i="31"/>
  <c r="E133" i="31"/>
  <c r="U131" i="31"/>
  <c r="T131" i="31"/>
  <c r="S131" i="31"/>
  <c r="R131" i="31"/>
  <c r="Q131" i="31"/>
  <c r="P131" i="31"/>
  <c r="O131" i="31"/>
  <c r="N131" i="31"/>
  <c r="M131" i="31"/>
  <c r="L131" i="31"/>
  <c r="K131" i="31"/>
  <c r="J131" i="31"/>
  <c r="I131" i="31"/>
  <c r="H131" i="31"/>
  <c r="G131" i="31"/>
  <c r="F131" i="31"/>
  <c r="E126" i="31"/>
  <c r="U124" i="31"/>
  <c r="T124" i="31"/>
  <c r="S124" i="31"/>
  <c r="R124" i="31"/>
  <c r="Q124" i="31"/>
  <c r="P124" i="31"/>
  <c r="O124" i="31"/>
  <c r="N124" i="31"/>
  <c r="M124" i="31"/>
  <c r="L124" i="31"/>
  <c r="K124" i="31"/>
  <c r="J124" i="31"/>
  <c r="I124" i="31"/>
  <c r="H124" i="31"/>
  <c r="G124" i="31"/>
  <c r="F124" i="31"/>
  <c r="E119" i="31"/>
  <c r="U117" i="31"/>
  <c r="T117" i="31"/>
  <c r="S117" i="31"/>
  <c r="R117" i="31"/>
  <c r="Q117" i="31"/>
  <c r="P117" i="31"/>
  <c r="O117" i="31"/>
  <c r="N117" i="31"/>
  <c r="M117" i="31"/>
  <c r="L117" i="31"/>
  <c r="K117" i="31"/>
  <c r="J117" i="31"/>
  <c r="I117" i="31"/>
  <c r="H117" i="31"/>
  <c r="G117" i="31"/>
  <c r="F117" i="31"/>
  <c r="E112" i="31"/>
  <c r="U110" i="31"/>
  <c r="T110" i="31"/>
  <c r="S110" i="31"/>
  <c r="R110" i="31"/>
  <c r="Q110" i="31"/>
  <c r="P110" i="31"/>
  <c r="O110" i="31"/>
  <c r="N110" i="31"/>
  <c r="M110" i="31"/>
  <c r="L110" i="31"/>
  <c r="K110" i="31"/>
  <c r="J110" i="31"/>
  <c r="I110" i="31"/>
  <c r="H110" i="31"/>
  <c r="G110" i="31"/>
  <c r="F110" i="31"/>
  <c r="E105" i="31"/>
  <c r="U103" i="31"/>
  <c r="T103" i="31"/>
  <c r="S103" i="31"/>
  <c r="R103" i="31"/>
  <c r="Q103" i="31"/>
  <c r="P103" i="31"/>
  <c r="O103" i="31"/>
  <c r="N103" i="31"/>
  <c r="M103" i="31"/>
  <c r="L103" i="31"/>
  <c r="K103" i="31"/>
  <c r="J103" i="31"/>
  <c r="I103" i="31"/>
  <c r="H103" i="31"/>
  <c r="G103" i="31"/>
  <c r="F103" i="31"/>
  <c r="E98" i="31"/>
  <c r="U96" i="31"/>
  <c r="T96" i="31"/>
  <c r="S96" i="31"/>
  <c r="R96" i="31"/>
  <c r="Q96" i="31"/>
  <c r="P96" i="31"/>
  <c r="O96" i="31"/>
  <c r="N96" i="31"/>
  <c r="M96" i="31"/>
  <c r="L96" i="31"/>
  <c r="K96" i="31"/>
  <c r="J96" i="31"/>
  <c r="I96" i="31"/>
  <c r="H96" i="31"/>
  <c r="G96" i="31"/>
  <c r="F96" i="31"/>
  <c r="E91" i="31"/>
  <c r="U89" i="31"/>
  <c r="T89" i="31"/>
  <c r="S89" i="31"/>
  <c r="R89" i="31"/>
  <c r="Q89" i="31"/>
  <c r="P89" i="31"/>
  <c r="O89" i="31"/>
  <c r="N89" i="31"/>
  <c r="M89" i="31"/>
  <c r="L89" i="31"/>
  <c r="K89" i="31"/>
  <c r="J89" i="31"/>
  <c r="I89" i="31"/>
  <c r="H89" i="31"/>
  <c r="G89" i="31"/>
  <c r="F89" i="31"/>
  <c r="E84" i="31"/>
  <c r="U82" i="31"/>
  <c r="T82" i="31"/>
  <c r="S82" i="31"/>
  <c r="R82" i="31"/>
  <c r="Q82" i="31"/>
  <c r="P82" i="31"/>
  <c r="O82" i="31"/>
  <c r="N82" i="31"/>
  <c r="M82" i="31"/>
  <c r="L82" i="31"/>
  <c r="K82" i="31"/>
  <c r="J82" i="31"/>
  <c r="I82" i="31"/>
  <c r="H82" i="31"/>
  <c r="G82" i="31"/>
  <c r="F82" i="31"/>
  <c r="E77" i="31"/>
  <c r="U75" i="31"/>
  <c r="T75" i="31"/>
  <c r="S75" i="31"/>
  <c r="R75" i="31"/>
  <c r="Q75" i="31"/>
  <c r="P75" i="31"/>
  <c r="O75" i="31"/>
  <c r="N75" i="31"/>
  <c r="M75" i="31"/>
  <c r="L75" i="31"/>
  <c r="K75" i="31"/>
  <c r="J75" i="31"/>
  <c r="I75" i="31"/>
  <c r="H75" i="31"/>
  <c r="G75" i="31"/>
  <c r="F75" i="31"/>
  <c r="E70" i="31"/>
  <c r="U68" i="31"/>
  <c r="T68" i="31"/>
  <c r="S68" i="31"/>
  <c r="R68" i="31"/>
  <c r="Q68" i="31"/>
  <c r="P68" i="31"/>
  <c r="O68" i="31"/>
  <c r="N68" i="31"/>
  <c r="M68" i="31"/>
  <c r="L68" i="31"/>
  <c r="K68" i="31"/>
  <c r="J68" i="31"/>
  <c r="I68" i="31"/>
  <c r="H68" i="31"/>
  <c r="G68" i="31"/>
  <c r="F68" i="31"/>
  <c r="E63" i="31"/>
  <c r="U61" i="31"/>
  <c r="T61" i="31"/>
  <c r="S61" i="31"/>
  <c r="R61" i="31"/>
  <c r="Q61" i="31"/>
  <c r="P61" i="31"/>
  <c r="O61" i="31"/>
  <c r="N61" i="31"/>
  <c r="M61" i="31"/>
  <c r="L61" i="31"/>
  <c r="K61" i="31"/>
  <c r="J61" i="31"/>
  <c r="I61" i="31"/>
  <c r="H61" i="31"/>
  <c r="G61" i="31"/>
  <c r="F61" i="31"/>
  <c r="E56" i="31"/>
  <c r="U54" i="31"/>
  <c r="T54" i="31"/>
  <c r="S54" i="31"/>
  <c r="R54" i="31"/>
  <c r="Q54" i="31"/>
  <c r="P54" i="31"/>
  <c r="O54" i="31"/>
  <c r="N54" i="31"/>
  <c r="M54" i="31"/>
  <c r="L54" i="31"/>
  <c r="K54" i="31"/>
  <c r="J54" i="31"/>
  <c r="I54" i="31"/>
  <c r="H54" i="31"/>
  <c r="G54" i="31"/>
  <c r="F54" i="31"/>
  <c r="E49" i="31"/>
  <c r="U47" i="31"/>
  <c r="T47" i="31"/>
  <c r="S47" i="31"/>
  <c r="R47" i="31"/>
  <c r="Q47" i="31"/>
  <c r="P47" i="31"/>
  <c r="O47" i="31"/>
  <c r="N47" i="31"/>
  <c r="M47" i="31"/>
  <c r="L47" i="31"/>
  <c r="K47" i="31"/>
  <c r="J47" i="31"/>
  <c r="I47" i="31"/>
  <c r="H47" i="31"/>
  <c r="G47" i="31"/>
  <c r="F47" i="31"/>
  <c r="E42" i="31"/>
  <c r="U40" i="31"/>
  <c r="T40" i="31"/>
  <c r="S40" i="31"/>
  <c r="R40" i="31"/>
  <c r="Q40" i="31"/>
  <c r="P40" i="31"/>
  <c r="O40" i="31"/>
  <c r="N40" i="31"/>
  <c r="M40" i="31"/>
  <c r="L40" i="31"/>
  <c r="K40" i="31"/>
  <c r="J40" i="31"/>
  <c r="I40" i="31"/>
  <c r="H40" i="31"/>
  <c r="G40" i="31"/>
  <c r="F40" i="31"/>
  <c r="E35" i="31"/>
  <c r="U33" i="31"/>
  <c r="T33" i="31"/>
  <c r="S33" i="31"/>
  <c r="R33" i="31"/>
  <c r="Q33" i="31"/>
  <c r="P33" i="31"/>
  <c r="O33" i="31"/>
  <c r="N33" i="31"/>
  <c r="M33" i="31"/>
  <c r="L33" i="31"/>
  <c r="K33" i="31"/>
  <c r="J33" i="31"/>
  <c r="I33" i="31"/>
  <c r="H33" i="31"/>
  <c r="G33" i="31"/>
  <c r="F33" i="31"/>
  <c r="E7" i="31"/>
  <c r="U5" i="31"/>
  <c r="T5" i="31"/>
  <c r="S5" i="31"/>
  <c r="R5" i="31"/>
  <c r="Q5" i="31"/>
  <c r="P5" i="31"/>
  <c r="O5" i="31"/>
  <c r="N5" i="31"/>
  <c r="M5" i="31"/>
  <c r="L5" i="31"/>
  <c r="K5" i="31"/>
  <c r="J5" i="31"/>
  <c r="H5" i="31"/>
  <c r="I5" i="31"/>
  <c r="F5" i="31"/>
  <c r="G5" i="31"/>
  <c r="E28" i="31"/>
  <c r="E21" i="31"/>
  <c r="U19" i="31"/>
  <c r="T19" i="31"/>
  <c r="S19" i="31"/>
  <c r="R19" i="31"/>
  <c r="Q19" i="31"/>
  <c r="P19" i="31"/>
  <c r="O19" i="31"/>
  <c r="N19" i="31"/>
  <c r="M19" i="31"/>
  <c r="L19" i="31"/>
  <c r="K19" i="31"/>
  <c r="J19" i="31"/>
  <c r="I19" i="31"/>
  <c r="H19" i="31"/>
  <c r="G19" i="31"/>
  <c r="F19" i="31"/>
  <c r="E14" i="31"/>
  <c r="U26" i="31"/>
  <c r="T26" i="31"/>
  <c r="S26" i="31"/>
  <c r="R26" i="31"/>
  <c r="Q26" i="31"/>
  <c r="P26" i="31"/>
  <c r="O26" i="31"/>
  <c r="N26" i="31"/>
  <c r="M26" i="31"/>
  <c r="L26" i="31"/>
  <c r="K26" i="31"/>
  <c r="J26" i="31"/>
  <c r="I26" i="31"/>
  <c r="H26" i="31"/>
  <c r="G26" i="31"/>
  <c r="F26" i="31"/>
  <c r="F29" i="31" s="1" a="1"/>
  <c r="F29" i="31" s="1"/>
  <c r="U12" i="31"/>
  <c r="T12" i="31"/>
  <c r="S12" i="31"/>
  <c r="R12" i="31"/>
  <c r="Q12" i="31"/>
  <c r="P12" i="31"/>
  <c r="O12" i="31"/>
  <c r="N12" i="31"/>
  <c r="M12" i="31"/>
  <c r="L12" i="31"/>
  <c r="K12" i="31"/>
  <c r="J12" i="31"/>
  <c r="I12" i="31"/>
  <c r="H12" i="31"/>
  <c r="G12" i="31"/>
  <c r="F12" i="31"/>
  <c r="K29" i="5" a="1"/>
  <c r="K29" i="5" s="1"/>
  <c r="I47" i="26" a="1"/>
  <c r="I47" i="26" s="1"/>
  <c r="T33" i="26" a="1"/>
  <c r="T33" i="26" s="1"/>
  <c r="C19" i="38"/>
  <c r="C18" i="22" s="1"/>
  <c r="C20" i="38"/>
  <c r="C55" i="22" s="1"/>
  <c r="C21" i="38"/>
  <c r="C58" i="22" s="1"/>
  <c r="C22" i="38"/>
  <c r="C59" i="22" s="1"/>
  <c r="C15" i="38"/>
  <c r="C23" i="22" s="1"/>
  <c r="C23" i="38"/>
  <c r="C62" i="22" s="1"/>
  <c r="C17" i="38"/>
  <c r="J194" i="69"/>
  <c r="J193" i="69"/>
  <c r="J192" i="69"/>
  <c r="J191" i="69"/>
  <c r="J190" i="69"/>
  <c r="J189" i="69"/>
  <c r="J188" i="69"/>
  <c r="J187" i="69"/>
  <c r="J186" i="69"/>
  <c r="J185" i="69"/>
  <c r="J184" i="69"/>
  <c r="J183" i="69"/>
  <c r="J182" i="69"/>
  <c r="J181" i="69"/>
  <c r="J180" i="69"/>
  <c r="J179" i="69"/>
  <c r="J178" i="69"/>
  <c r="J177" i="69"/>
  <c r="J176" i="69"/>
  <c r="J175" i="69"/>
  <c r="J174" i="69"/>
  <c r="J173" i="69"/>
  <c r="J172" i="69"/>
  <c r="J171" i="69"/>
  <c r="J170" i="69"/>
  <c r="J169" i="69"/>
  <c r="J168" i="69"/>
  <c r="J167" i="69"/>
  <c r="J166" i="69"/>
  <c r="J165" i="69"/>
  <c r="J164" i="69"/>
  <c r="J163" i="69"/>
  <c r="J162" i="69"/>
  <c r="J161" i="69"/>
  <c r="J160" i="69"/>
  <c r="J159" i="69"/>
  <c r="J158" i="69"/>
  <c r="J157" i="69"/>
  <c r="J156" i="69"/>
  <c r="J155" i="69"/>
  <c r="J154" i="69"/>
  <c r="J153" i="69"/>
  <c r="J152" i="69"/>
  <c r="J151" i="69"/>
  <c r="J150" i="69"/>
  <c r="J149" i="69"/>
  <c r="J148" i="69"/>
  <c r="J147" i="69"/>
  <c r="J146" i="69"/>
  <c r="J145" i="69"/>
  <c r="J144" i="69"/>
  <c r="J143" i="69"/>
  <c r="J142" i="69"/>
  <c r="J141" i="69"/>
  <c r="J140" i="69"/>
  <c r="J139" i="69"/>
  <c r="J138" i="69"/>
  <c r="J137" i="69"/>
  <c r="J136" i="69"/>
  <c r="J135" i="69"/>
  <c r="J134" i="69"/>
  <c r="J133" i="69"/>
  <c r="J132" i="69"/>
  <c r="J131" i="69"/>
  <c r="J130" i="69"/>
  <c r="J129" i="69"/>
  <c r="J128" i="69"/>
  <c r="J127" i="69"/>
  <c r="J126" i="69"/>
  <c r="J125" i="69"/>
  <c r="J124" i="69"/>
  <c r="J123" i="69"/>
  <c r="J122" i="69"/>
  <c r="J121" i="69"/>
  <c r="J120" i="69"/>
  <c r="J119" i="69"/>
  <c r="J118" i="69"/>
  <c r="J117" i="69"/>
  <c r="J116" i="69"/>
  <c r="J115" i="69"/>
  <c r="J114" i="69"/>
  <c r="J113" i="69"/>
  <c r="J112" i="69"/>
  <c r="J111" i="69"/>
  <c r="J110" i="69"/>
  <c r="J109" i="69"/>
  <c r="J108" i="69"/>
  <c r="J107" i="69"/>
  <c r="J106" i="69"/>
  <c r="J105" i="69"/>
  <c r="J104" i="69"/>
  <c r="J103" i="69"/>
  <c r="J102" i="69"/>
  <c r="J101" i="69"/>
  <c r="J100" i="69"/>
  <c r="J99" i="69"/>
  <c r="J98" i="69"/>
  <c r="J97" i="69"/>
  <c r="J96" i="69"/>
  <c r="J95" i="69"/>
  <c r="J94" i="69"/>
  <c r="J93" i="69"/>
  <c r="J92" i="69"/>
  <c r="J91" i="69"/>
  <c r="J90" i="69"/>
  <c r="J89" i="69"/>
  <c r="J88" i="69"/>
  <c r="J87" i="69"/>
  <c r="J86" i="69"/>
  <c r="J85" i="69"/>
  <c r="J84" i="69"/>
  <c r="J83" i="69"/>
  <c r="J82" i="69"/>
  <c r="J81" i="69"/>
  <c r="J80" i="69"/>
  <c r="J79" i="69"/>
  <c r="J78" i="69"/>
  <c r="J77" i="69"/>
  <c r="J76" i="69"/>
  <c r="J75" i="69"/>
  <c r="J74" i="69"/>
  <c r="J73" i="69"/>
  <c r="J72" i="69"/>
  <c r="J71" i="69"/>
  <c r="J70" i="69"/>
  <c r="J69" i="69"/>
  <c r="J68" i="69"/>
  <c r="J67" i="69"/>
  <c r="J66" i="69"/>
  <c r="J65" i="69"/>
  <c r="J64" i="69"/>
  <c r="J63" i="69"/>
  <c r="J62" i="69"/>
  <c r="J61" i="69"/>
  <c r="J60" i="69"/>
  <c r="J59" i="69"/>
  <c r="J58" i="69"/>
  <c r="J57" i="69"/>
  <c r="J56" i="69"/>
  <c r="J55" i="69"/>
  <c r="J54" i="69"/>
  <c r="J53" i="69"/>
  <c r="J52" i="69"/>
  <c r="J51" i="69"/>
  <c r="J50" i="69"/>
  <c r="J49" i="69"/>
  <c r="J48" i="69"/>
  <c r="J47" i="69"/>
  <c r="J46" i="69"/>
  <c r="J45" i="69"/>
  <c r="J44" i="69"/>
  <c r="J43" i="69"/>
  <c r="J42" i="69"/>
  <c r="J41" i="69"/>
  <c r="J40" i="69"/>
  <c r="J39" i="69"/>
  <c r="J38" i="69"/>
  <c r="J37" i="69"/>
  <c r="J36" i="69"/>
  <c r="J35" i="69"/>
  <c r="J34" i="69"/>
  <c r="J33" i="69"/>
  <c r="J32" i="69"/>
  <c r="J31" i="69"/>
  <c r="J30" i="69"/>
  <c r="J29" i="69"/>
  <c r="J28" i="69"/>
  <c r="J27" i="69"/>
  <c r="J26" i="69"/>
  <c r="J25" i="69"/>
  <c r="J24" i="69"/>
  <c r="J23" i="69"/>
  <c r="J22" i="69"/>
  <c r="J21" i="69"/>
  <c r="J20" i="69"/>
  <c r="J19" i="69"/>
  <c r="J18" i="69"/>
  <c r="J17" i="69"/>
  <c r="J16" i="69"/>
  <c r="J15" i="69"/>
  <c r="J14" i="69"/>
  <c r="J13" i="69"/>
  <c r="J12" i="69"/>
  <c r="J11" i="69"/>
  <c r="J10" i="69"/>
  <c r="J9" i="69"/>
  <c r="J8" i="69"/>
  <c r="J7" i="69"/>
  <c r="J6" i="69"/>
  <c r="J5" i="69"/>
  <c r="H15" i="41"/>
  <c r="F15" i="41" s="1"/>
  <c r="C15" i="41"/>
  <c r="M23" i="40"/>
  <c r="P18" i="40"/>
  <c r="H20" i="41"/>
  <c r="F16" i="41"/>
  <c r="E22" i="41"/>
  <c r="C22" i="41" s="1"/>
  <c r="E21" i="41"/>
  <c r="R19" i="26" a="1"/>
  <c r="R19" i="26" s="1"/>
  <c r="R40" i="26" a="1"/>
  <c r="R40" i="26" s="1"/>
  <c r="I5" i="37" a="1"/>
  <c r="I5" i="37" s="1"/>
  <c r="I35" i="25" a="1"/>
  <c r="I35" i="25" s="1"/>
  <c r="I29" i="25" a="1"/>
  <c r="I29" i="25" s="1"/>
  <c r="J5" i="37" a="1"/>
  <c r="J5" i="37" s="1"/>
  <c r="I12" i="26" a="1"/>
  <c r="I12" i="26" s="1"/>
  <c r="T41" i="5" a="1"/>
  <c r="T41" i="5" s="1"/>
  <c r="I33" i="26" a="1"/>
  <c r="I33" i="26" s="1"/>
  <c r="I35" i="5" a="1"/>
  <c r="I35" i="5" s="1"/>
  <c r="I11" i="25" a="1"/>
  <c r="I11" i="25" s="1"/>
  <c r="I40" i="26" a="1"/>
  <c r="I40" i="26" s="1"/>
  <c r="I43" i="26" s="1" a="1"/>
  <c r="I29" i="5" a="1"/>
  <c r="I29" i="5" s="1"/>
  <c r="R41" i="25" a="1"/>
  <c r="R41" i="25" s="1"/>
  <c r="Q19" i="37" a="1"/>
  <c r="Q19" i="37" s="1"/>
  <c r="R35" i="25" a="1"/>
  <c r="R35" i="25" s="1"/>
  <c r="R11" i="5" a="1"/>
  <c r="R11" i="5" s="1"/>
  <c r="R29" i="25" a="1"/>
  <c r="R29" i="25" s="1"/>
  <c r="R12" i="26" a="1"/>
  <c r="R12" i="26" s="1"/>
  <c r="R41" i="5" a="1"/>
  <c r="R41" i="5" s="1"/>
  <c r="R29" i="5" a="1"/>
  <c r="R29" i="5" s="1"/>
  <c r="R11" i="25" a="1"/>
  <c r="R11" i="25" s="1"/>
  <c r="H17" i="5" a="1"/>
  <c r="H17" i="5" s="1"/>
  <c r="G17" i="25" a="1"/>
  <c r="G17" i="25" s="1"/>
  <c r="H35" i="5" a="1"/>
  <c r="H35" i="5" s="1"/>
  <c r="H11" i="25" a="1"/>
  <c r="H11" i="25" s="1"/>
  <c r="H35" i="25" a="1"/>
  <c r="H35" i="25" s="1"/>
  <c r="H47" i="26" a="1"/>
  <c r="H47" i="26" s="1"/>
  <c r="H12" i="26" a="1"/>
  <c r="H12" i="26" s="1"/>
  <c r="H29" i="25" a="1"/>
  <c r="H29" i="25" s="1"/>
  <c r="F33" i="37" a="1"/>
  <c r="F33" i="37" s="1"/>
  <c r="I33" i="37" a="1"/>
  <c r="I33" i="37" s="1"/>
  <c r="H33" i="26" a="1"/>
  <c r="H33" i="26" s="1"/>
  <c r="BE197" i="31"/>
  <c r="B270" i="21"/>
  <c r="D275" i="21" s="1"/>
  <c r="BE267" i="31"/>
  <c r="BE141" i="31"/>
  <c r="BE253" i="31"/>
  <c r="B249" i="21"/>
  <c r="D254" i="21" s="1"/>
  <c r="B228" i="21"/>
  <c r="D233" i="21" s="1"/>
  <c r="BE71" i="31"/>
  <c r="O68" i="37" a="1"/>
  <c r="O68" i="37" s="1"/>
  <c r="H68" i="37" a="1"/>
  <c r="H68" i="37" s="1"/>
  <c r="N68" i="37" a="1"/>
  <c r="N68" i="37" s="1"/>
  <c r="M68" i="37" a="1"/>
  <c r="M68" i="37" s="1"/>
  <c r="M71" i="37" s="1" a="1"/>
  <c r="M71" i="37" s="1"/>
  <c r="M67" i="37" s="1"/>
  <c r="L68" i="37" a="1"/>
  <c r="L68" i="37" s="1"/>
  <c r="L71" i="37" s="1" a="1"/>
  <c r="L71" i="37" s="1"/>
  <c r="L67" i="37" s="1"/>
  <c r="T68" i="37" a="1"/>
  <c r="T68" i="37" s="1"/>
  <c r="V72" i="37"/>
  <c r="K68" i="37" a="1"/>
  <c r="K68" i="37" s="1"/>
  <c r="K71" i="37" s="1" a="1"/>
  <c r="K71" i="37" s="1"/>
  <c r="K67" i="37" s="1"/>
  <c r="J68" i="37" a="1"/>
  <c r="J68" i="37" s="1"/>
  <c r="J71" i="37" s="1" a="1"/>
  <c r="J71" i="37" s="1"/>
  <c r="J67" i="37" s="1"/>
  <c r="U68" i="37" a="1"/>
  <c r="U68" i="37" s="1"/>
  <c r="I68" i="37" a="1"/>
  <c r="I68" i="37" s="1"/>
  <c r="I71" i="37" s="1" a="1"/>
  <c r="I71" i="37" s="1"/>
  <c r="I67" i="37" s="1"/>
  <c r="R68" i="37" a="1"/>
  <c r="R68" i="37" s="1"/>
  <c r="F68" i="37" a="1"/>
  <c r="F68" i="37" s="1"/>
  <c r="Q68" i="37" a="1"/>
  <c r="Q68" i="37" s="1"/>
  <c r="G68" i="37" a="1"/>
  <c r="G68" i="37" s="1"/>
  <c r="S68" i="37" a="1"/>
  <c r="S68" i="37" s="1"/>
  <c r="S71" i="37" s="1" a="1"/>
  <c r="S71" i="37" s="1"/>
  <c r="S67" i="37" s="1"/>
  <c r="P68" i="37" a="1"/>
  <c r="P68" i="37" s="1"/>
  <c r="BE113" i="31"/>
  <c r="BE225" i="31"/>
  <c r="U61" i="37" a="1"/>
  <c r="U61" i="37" s="1"/>
  <c r="U64" i="37" s="1" a="1"/>
  <c r="U64" i="37" s="1"/>
  <c r="U60" i="37" s="1"/>
  <c r="I61" i="37" a="1"/>
  <c r="I61" i="37" s="1"/>
  <c r="N61" i="37" a="1"/>
  <c r="N61" i="37" s="1"/>
  <c r="T61" i="37" a="1"/>
  <c r="T61" i="37" s="1"/>
  <c r="H61" i="37" a="1"/>
  <c r="H61" i="37" s="1"/>
  <c r="S61" i="37" a="1"/>
  <c r="S61" i="37" s="1"/>
  <c r="G61" i="37" a="1"/>
  <c r="G61" i="37" s="1"/>
  <c r="G64" i="37" s="1" a="1"/>
  <c r="G64" i="37" s="1"/>
  <c r="G60" i="37" s="1"/>
  <c r="R61" i="37" a="1"/>
  <c r="R61" i="37" s="1"/>
  <c r="R64" i="37" s="1" a="1"/>
  <c r="R64" i="37" s="1"/>
  <c r="R60" i="37" s="1"/>
  <c r="F61" i="37" a="1"/>
  <c r="F61" i="37" s="1"/>
  <c r="Q61" i="37" a="1"/>
  <c r="Q61" i="37" s="1"/>
  <c r="Q64" i="37" s="1" a="1"/>
  <c r="Q64" i="37" s="1"/>
  <c r="Q60" i="37" s="1"/>
  <c r="P61" i="37" a="1"/>
  <c r="P61" i="37" s="1"/>
  <c r="P64" i="37" s="1" a="1"/>
  <c r="P64" i="37" s="1"/>
  <c r="P60" i="37" s="1"/>
  <c r="O61" i="37" a="1"/>
  <c r="O61" i="37" s="1"/>
  <c r="O64" i="37" s="1" a="1"/>
  <c r="O64" i="37" s="1"/>
  <c r="O60" i="37" s="1"/>
  <c r="L61" i="37" a="1"/>
  <c r="L61" i="37" s="1"/>
  <c r="V65" i="37"/>
  <c r="K61" i="37" a="1"/>
  <c r="K61" i="37" s="1"/>
  <c r="K64" i="37" s="1" a="1"/>
  <c r="K64" i="37" s="1"/>
  <c r="K60" i="37" s="1"/>
  <c r="M61" i="37" a="1"/>
  <c r="M61" i="37" s="1"/>
  <c r="J61" i="37" a="1"/>
  <c r="J61" i="37" s="1"/>
  <c r="B207" i="21"/>
  <c r="D212" i="21" s="1"/>
  <c r="BE127" i="31"/>
  <c r="U47" i="37" a="1"/>
  <c r="U47" i="37" s="1"/>
  <c r="I47" i="37" a="1"/>
  <c r="I47" i="37" s="1"/>
  <c r="T47" i="37" a="1"/>
  <c r="T47" i="37" s="1"/>
  <c r="T50" i="37" s="1" a="1"/>
  <c r="T50" i="37" s="1"/>
  <c r="T46" i="37" s="1"/>
  <c r="H47" i="37" a="1"/>
  <c r="H47" i="37" s="1"/>
  <c r="H50" i="37" s="1" a="1"/>
  <c r="H50" i="37" s="1"/>
  <c r="H46" i="37" s="1"/>
  <c r="S47" i="37" a="1"/>
  <c r="S47" i="37" s="1"/>
  <c r="G47" i="37" a="1"/>
  <c r="G47" i="37" s="1"/>
  <c r="R47" i="37" a="1"/>
  <c r="R47" i="37" s="1"/>
  <c r="R50" i="37" s="1" a="1"/>
  <c r="R50" i="37" s="1"/>
  <c r="R46" i="37" s="1"/>
  <c r="F47" i="37" a="1"/>
  <c r="F47" i="37" s="1"/>
  <c r="F50" i="37" s="1" a="1"/>
  <c r="F50" i="37" s="1"/>
  <c r="F46" i="37" s="1"/>
  <c r="Q47" i="37" a="1"/>
  <c r="Q47" i="37" s="1"/>
  <c r="P47" i="37" a="1"/>
  <c r="P47" i="37" s="1"/>
  <c r="P50" i="37" s="1" a="1"/>
  <c r="P50" i="37" s="1"/>
  <c r="P46" i="37" s="1"/>
  <c r="N47" i="37" a="1"/>
  <c r="N47" i="37" s="1"/>
  <c r="O47" i="37" a="1"/>
  <c r="O47" i="37" s="1"/>
  <c r="L47" i="37" a="1"/>
  <c r="L47" i="37" s="1"/>
  <c r="V51" i="37"/>
  <c r="K47" i="37" a="1"/>
  <c r="K47" i="37" s="1"/>
  <c r="K50" i="37" s="1" a="1"/>
  <c r="K50" i="37" s="1"/>
  <c r="K46" i="37" s="1"/>
  <c r="M47" i="37" a="1"/>
  <c r="M47" i="37" s="1"/>
  <c r="M50" i="37" s="1" a="1"/>
  <c r="M50" i="37" s="1"/>
  <c r="M46" i="37" s="1"/>
  <c r="J47" i="37" a="1"/>
  <c r="J47" i="37" s="1"/>
  <c r="B186" i="21"/>
  <c r="D191" i="21" s="1"/>
  <c r="O54" i="37" a="1"/>
  <c r="O54" i="37" s="1"/>
  <c r="N54" i="37" a="1"/>
  <c r="N54" i="37" s="1"/>
  <c r="N57" i="37" s="1" a="1"/>
  <c r="N57" i="37" s="1"/>
  <c r="N53" i="37" s="1"/>
  <c r="T54" i="37" a="1"/>
  <c r="T54" i="37" s="1"/>
  <c r="M54" i="37" a="1"/>
  <c r="M54" i="37" s="1"/>
  <c r="M57" i="37" s="1" a="1"/>
  <c r="M57" i="37" s="1"/>
  <c r="M53" i="37" s="1"/>
  <c r="L54" i="37" a="1"/>
  <c r="L54" i="37" s="1"/>
  <c r="V58" i="37"/>
  <c r="K54" i="37" a="1"/>
  <c r="K54" i="37" s="1"/>
  <c r="H54" i="37" a="1"/>
  <c r="H54" i="37" s="1"/>
  <c r="J54" i="37" a="1"/>
  <c r="J54" i="37" s="1"/>
  <c r="J57" i="37" s="1" a="1"/>
  <c r="J57" i="37" s="1"/>
  <c r="J53" i="37" s="1"/>
  <c r="U54" i="37" a="1"/>
  <c r="U54" i="37" s="1"/>
  <c r="U57" i="37" s="1" a="1"/>
  <c r="U57" i="37" s="1"/>
  <c r="U53" i="37" s="1"/>
  <c r="I54" i="37" a="1"/>
  <c r="I54" i="37" s="1"/>
  <c r="R54" i="37" a="1"/>
  <c r="R54" i="37" s="1"/>
  <c r="F54" i="37" a="1"/>
  <c r="F54" i="37" s="1"/>
  <c r="Q54" i="37" a="1"/>
  <c r="Q54" i="37" s="1"/>
  <c r="S54" i="37" a="1"/>
  <c r="S54" i="37" s="1"/>
  <c r="P54" i="37" a="1"/>
  <c r="P54" i="37" s="1"/>
  <c r="G54" i="37" a="1"/>
  <c r="G54" i="37" s="1"/>
  <c r="G57" i="37" s="1" a="1"/>
  <c r="G57" i="37" s="1"/>
  <c r="G53" i="37" s="1"/>
  <c r="BE57" i="31"/>
  <c r="BE183" i="31"/>
  <c r="U26" i="37" a="1"/>
  <c r="U26" i="37" s="1"/>
  <c r="V30" i="37"/>
  <c r="Q26" i="37" a="1"/>
  <c r="Q26" i="37" s="1"/>
  <c r="G26" i="37" a="1"/>
  <c r="G26" i="37" s="1"/>
  <c r="S26" i="37" a="1"/>
  <c r="S26" i="37" s="1"/>
  <c r="F26" i="37" a="1"/>
  <c r="F26" i="37" s="1"/>
  <c r="V30" i="31"/>
  <c r="B165" i="21"/>
  <c r="D170" i="21" s="1"/>
  <c r="BE169" i="31"/>
  <c r="O40" i="37" a="1"/>
  <c r="O40" i="37" s="1"/>
  <c r="N40" i="37" a="1"/>
  <c r="N40" i="37" s="1"/>
  <c r="M40" i="37" a="1"/>
  <c r="M40" i="37" s="1"/>
  <c r="L40" i="37" a="1"/>
  <c r="L40" i="37" s="1"/>
  <c r="L43" i="37" s="1" a="1"/>
  <c r="L43" i="37" s="1"/>
  <c r="L39" i="37" s="1"/>
  <c r="T40" i="37" a="1"/>
  <c r="T40" i="37" s="1"/>
  <c r="V44" i="37"/>
  <c r="K40" i="37" a="1"/>
  <c r="K40" i="37" s="1"/>
  <c r="J40" i="37" a="1"/>
  <c r="J40" i="37" s="1"/>
  <c r="J43" i="37" s="1" a="1"/>
  <c r="J43" i="37" s="1"/>
  <c r="J39" i="37" s="1"/>
  <c r="U40" i="37" a="1"/>
  <c r="U40" i="37" s="1"/>
  <c r="I40" i="37" a="1"/>
  <c r="I40" i="37" s="1"/>
  <c r="I43" i="37" s="1" a="1"/>
  <c r="I43" i="37" s="1"/>
  <c r="I39" i="37" s="1"/>
  <c r="H40" i="37" a="1"/>
  <c r="H40" i="37" s="1"/>
  <c r="H43" i="37" s="1" a="1"/>
  <c r="H43" i="37" s="1"/>
  <c r="H39" i="37" s="1"/>
  <c r="R40" i="37" a="1"/>
  <c r="R40" i="37" s="1"/>
  <c r="F40" i="37" a="1"/>
  <c r="F40" i="37" s="1"/>
  <c r="Q40" i="37" a="1"/>
  <c r="Q40" i="37" s="1"/>
  <c r="S40" i="37" a="1"/>
  <c r="S40" i="37" s="1"/>
  <c r="S43" i="37" s="1" a="1"/>
  <c r="S43" i="37" s="1"/>
  <c r="S39" i="37" s="1"/>
  <c r="P40" i="37" a="1"/>
  <c r="P40" i="37" s="1"/>
  <c r="P43" i="37" s="1" a="1"/>
  <c r="P43" i="37" s="1"/>
  <c r="P39" i="37" s="1"/>
  <c r="G40" i="37" a="1"/>
  <c r="G40" i="37" s="1"/>
  <c r="BE43" i="31"/>
  <c r="V16" i="37"/>
  <c r="V16" i="31"/>
  <c r="B130" i="21"/>
  <c r="D135" i="21" s="1"/>
  <c r="BE99" i="31"/>
  <c r="B95" i="21"/>
  <c r="D100" i="21" s="1"/>
  <c r="O82" i="37" a="1"/>
  <c r="O82" i="37" s="1"/>
  <c r="N82" i="37" a="1"/>
  <c r="N82" i="37" s="1"/>
  <c r="N85" i="37" s="1" a="1"/>
  <c r="N85" i="37" s="1"/>
  <c r="N81" i="37" s="1"/>
  <c r="M82" i="37" a="1"/>
  <c r="M82" i="37" s="1"/>
  <c r="M85" i="37" s="1" a="1"/>
  <c r="M85" i="37" s="1"/>
  <c r="M81" i="37" s="1"/>
  <c r="L82" i="37" a="1"/>
  <c r="L82" i="37" s="1"/>
  <c r="H82" i="37" a="1"/>
  <c r="H82" i="37" s="1"/>
  <c r="V86" i="37"/>
  <c r="K82" i="37" a="1"/>
  <c r="K82" i="37" s="1"/>
  <c r="K85" i="37" s="1" a="1"/>
  <c r="K85" i="37" s="1"/>
  <c r="K81" i="37" s="1"/>
  <c r="J82" i="37" a="1"/>
  <c r="J82" i="37" s="1"/>
  <c r="T82" i="37" a="1"/>
  <c r="T82" i="37" s="1"/>
  <c r="U82" i="37" a="1"/>
  <c r="U82" i="37" s="1"/>
  <c r="I82" i="37" a="1"/>
  <c r="I82" i="37" s="1"/>
  <c r="I85" i="37" s="1" a="1"/>
  <c r="I85" i="37" s="1"/>
  <c r="I81" i="37" s="1"/>
  <c r="R82" i="37" a="1"/>
  <c r="R82" i="37" s="1"/>
  <c r="F82" i="37" a="1"/>
  <c r="F82" i="37" s="1"/>
  <c r="Q82" i="37" a="1"/>
  <c r="Q82" i="37" s="1"/>
  <c r="Q85" i="37" s="1" a="1"/>
  <c r="Q85" i="37" s="1"/>
  <c r="Q81" i="37" s="1"/>
  <c r="S82" i="37" a="1"/>
  <c r="S82" i="37" s="1"/>
  <c r="P82" i="37" a="1"/>
  <c r="P82" i="37" s="1"/>
  <c r="P85" i="37" s="1" a="1"/>
  <c r="P85" i="37" s="1"/>
  <c r="P81" i="37" s="1"/>
  <c r="G82" i="37" a="1"/>
  <c r="G82" i="37" s="1"/>
  <c r="BE85" i="31"/>
  <c r="U75" i="37" a="1"/>
  <c r="U75" i="37" s="1"/>
  <c r="U78" i="37" s="1" a="1"/>
  <c r="U78" i="37" s="1"/>
  <c r="U74" i="37" s="1"/>
  <c r="I75" i="37" a="1"/>
  <c r="I75" i="37" s="1"/>
  <c r="T75" i="37" a="1"/>
  <c r="T75" i="37" s="1"/>
  <c r="H75" i="37" a="1"/>
  <c r="H75" i="37" s="1"/>
  <c r="H78" i="37" s="1" a="1"/>
  <c r="H78" i="37" s="1"/>
  <c r="H74" i="37" s="1"/>
  <c r="S75" i="37" a="1"/>
  <c r="S75" i="37" s="1"/>
  <c r="G75" i="37" a="1"/>
  <c r="G75" i="37" s="1"/>
  <c r="G78" i="37" s="1" a="1"/>
  <c r="G78" i="37" s="1"/>
  <c r="G74" i="37" s="1"/>
  <c r="R75" i="37" a="1"/>
  <c r="R75" i="37" s="1"/>
  <c r="R78" i="37" s="1" a="1"/>
  <c r="R78" i="37" s="1"/>
  <c r="R74" i="37" s="1"/>
  <c r="F75" i="37" a="1"/>
  <c r="F75" i="37" s="1"/>
  <c r="Q75" i="37" a="1"/>
  <c r="Q75" i="37" s="1"/>
  <c r="Q78" i="37" s="1" a="1"/>
  <c r="Q78" i="37" s="1"/>
  <c r="Q74" i="37" s="1"/>
  <c r="N75" i="37" a="1"/>
  <c r="N75" i="37" s="1"/>
  <c r="P75" i="37" a="1"/>
  <c r="P75" i="37" s="1"/>
  <c r="P78" i="37" s="1" a="1"/>
  <c r="P78" i="37" s="1"/>
  <c r="P74" i="37" s="1"/>
  <c r="O75" i="37" a="1"/>
  <c r="O75" i="37" s="1"/>
  <c r="L75" i="37" a="1"/>
  <c r="L75" i="37" s="1"/>
  <c r="L78" i="37" s="1" a="1"/>
  <c r="L78" i="37" s="1"/>
  <c r="L74" i="37" s="1"/>
  <c r="V79" i="37"/>
  <c r="K75" i="37" a="1"/>
  <c r="K75" i="37" s="1"/>
  <c r="J75" i="37" a="1"/>
  <c r="J75" i="37" s="1"/>
  <c r="M75" i="37" a="1"/>
  <c r="M75" i="37" s="1"/>
  <c r="M78" i="37" s="1" a="1"/>
  <c r="M78" i="37" s="1"/>
  <c r="M74" i="37" s="1"/>
  <c r="BE239" i="31"/>
  <c r="N26" i="37" a="1"/>
  <c r="N26" i="37" s="1"/>
  <c r="O12" i="37" a="1"/>
  <c r="O12" i="37" s="1"/>
  <c r="AC37" i="32"/>
  <c r="B214" i="31" s="1"/>
  <c r="M9" i="38" a="1"/>
  <c r="M9" i="38" s="1"/>
  <c r="O9" i="38" a="1"/>
  <c r="O9" i="38" s="1"/>
  <c r="E52" i="20" a="1"/>
  <c r="E52" i="20" s="1"/>
  <c r="F52" i="20" s="1" a="1"/>
  <c r="F52" i="20" s="1"/>
  <c r="J26" i="37" a="1"/>
  <c r="J26" i="37" s="1"/>
  <c r="P9" i="38"/>
  <c r="AC12" i="32"/>
  <c r="AC27" i="32"/>
  <c r="B144" i="31" s="1"/>
  <c r="AC34" i="32"/>
  <c r="B193" i="31" s="1"/>
  <c r="AC22" i="32"/>
  <c r="B109" i="31" s="1"/>
  <c r="AC21" i="32"/>
  <c r="B102" i="31" s="1"/>
  <c r="AC31" i="32"/>
  <c r="B172" i="31" s="1"/>
  <c r="AC18" i="32"/>
  <c r="B81" i="31" s="1"/>
  <c r="AC38" i="32"/>
  <c r="B221" i="31" s="1"/>
  <c r="AC17" i="32"/>
  <c r="B74" i="31" s="1"/>
  <c r="AC26" i="32"/>
  <c r="B137" i="31" s="1"/>
  <c r="AC19" i="32"/>
  <c r="B88" i="31" s="1"/>
  <c r="AC28" i="32"/>
  <c r="B151" i="31" s="1"/>
  <c r="AC13" i="32"/>
  <c r="B46" i="31" s="1"/>
  <c r="AC23" i="32"/>
  <c r="B116" i="31" s="1"/>
  <c r="AC14" i="32"/>
  <c r="B53" i="31" s="1"/>
  <c r="AC41" i="32"/>
  <c r="B242" i="31" s="1"/>
  <c r="AC24" i="32"/>
  <c r="B123" i="31" s="1"/>
  <c r="AC29" i="32"/>
  <c r="B158" i="31" s="1"/>
  <c r="AC9" i="32"/>
  <c r="AC44" i="32"/>
  <c r="B263" i="31" s="1"/>
  <c r="AC10" i="32"/>
  <c r="AC15" i="32"/>
  <c r="B60" i="31" s="1"/>
  <c r="AC32" i="32"/>
  <c r="B179" i="31" s="1"/>
  <c r="AC46" i="32"/>
  <c r="B277" i="31" s="1"/>
  <c r="AC16" i="32"/>
  <c r="B67" i="31" s="1"/>
  <c r="AC43" i="32"/>
  <c r="B256" i="31" s="1"/>
  <c r="AC35" i="32"/>
  <c r="B200" i="31" s="1"/>
  <c r="AC8" i="32"/>
  <c r="AC11" i="32"/>
  <c r="B32" i="31" s="1"/>
  <c r="AC40" i="32"/>
  <c r="B235" i="31" s="1"/>
  <c r="I17" i="5" a="1"/>
  <c r="I17" i="5" s="1"/>
  <c r="J19" i="37" a="1"/>
  <c r="J19" i="37" s="1"/>
  <c r="I11" i="5" a="1"/>
  <c r="I11" i="5" s="1"/>
  <c r="F22" i="35"/>
  <c r="F23" i="35"/>
  <c r="Q24" i="27"/>
  <c r="R33" i="26" a="1"/>
  <c r="R33" i="26" s="1"/>
  <c r="S35" i="25" a="1"/>
  <c r="S35" i="25" s="1"/>
  <c r="I17" i="25" a="1"/>
  <c r="I17" i="25" s="1"/>
  <c r="H41" i="5" a="1"/>
  <c r="H41" i="5" s="1"/>
  <c r="L33" i="37" a="1"/>
  <c r="L33" i="37" s="1"/>
  <c r="G19" i="37" a="1"/>
  <c r="G19" i="37" s="1"/>
  <c r="H17" i="25" a="1"/>
  <c r="H17" i="25" s="1"/>
  <c r="G29" i="25" a="1"/>
  <c r="G29" i="25" s="1"/>
  <c r="R17" i="25" a="1"/>
  <c r="R17" i="25" s="1"/>
  <c r="I41" i="5" a="1"/>
  <c r="I41" i="5" s="1"/>
  <c r="S33" i="37" a="1"/>
  <c r="S33" i="37" s="1"/>
  <c r="I19" i="37" a="1"/>
  <c r="I19" i="37" s="1"/>
  <c r="I12" i="37" a="1"/>
  <c r="I12" i="37" s="1"/>
  <c r="T11" i="25" a="1"/>
  <c r="T11" i="25" s="1"/>
  <c r="T13" i="25" s="1"/>
  <c r="T10" i="25" s="1"/>
  <c r="R17" i="5" a="1"/>
  <c r="R17" i="5" s="1"/>
  <c r="H26" i="37" a="1"/>
  <c r="H26" i="37" s="1"/>
  <c r="R47" i="26" a="1"/>
  <c r="R47" i="26" s="1"/>
  <c r="H19" i="26" a="1"/>
  <c r="H19" i="26" s="1"/>
  <c r="H41" i="25" a="1"/>
  <c r="H41" i="25" s="1"/>
  <c r="R35" i="5" a="1"/>
  <c r="R35" i="5" s="1"/>
  <c r="T17" i="5" a="1"/>
  <c r="T17" i="5" s="1"/>
  <c r="I26" i="37" a="1"/>
  <c r="I26" i="37" s="1"/>
  <c r="J12" i="37" a="1"/>
  <c r="J12" i="37" s="1"/>
  <c r="H40" i="26" a="1"/>
  <c r="H40" i="26" s="1"/>
  <c r="I19" i="26" a="1"/>
  <c r="I19" i="26" s="1"/>
  <c r="I41" i="25" a="1"/>
  <c r="I41" i="25" s="1"/>
  <c r="H29" i="5" a="1"/>
  <c r="H29" i="5" s="1"/>
  <c r="H11" i="5" a="1"/>
  <c r="H11" i="5" s="1"/>
  <c r="U33" i="37" a="1"/>
  <c r="U33" i="37" s="1"/>
  <c r="U36" i="37" s="1" a="1"/>
  <c r="U36" i="37" s="1"/>
  <c r="U32" i="37" s="1"/>
  <c r="G33" i="37" a="1"/>
  <c r="G33" i="37" s="1"/>
  <c r="H33" i="37" a="1"/>
  <c r="H33" i="37" s="1"/>
  <c r="Q33" i="37" a="1"/>
  <c r="Q33" i="37" s="1"/>
  <c r="K17" i="25" a="1"/>
  <c r="K17" i="25" s="1"/>
  <c r="S12" i="37" a="1"/>
  <c r="S12" i="37" s="1"/>
  <c r="S47" i="26" a="1"/>
  <c r="S47" i="26" s="1"/>
  <c r="S5" i="37" a="1"/>
  <c r="S5" i="37" s="1"/>
  <c r="K11" i="25" a="1"/>
  <c r="K11" i="25" s="1"/>
  <c r="S40" i="26" a="1"/>
  <c r="S40" i="26" s="1"/>
  <c r="S41" i="25" a="1"/>
  <c r="S41" i="25" s="1"/>
  <c r="S29" i="25" a="1"/>
  <c r="S29" i="25" s="1"/>
  <c r="S35" i="5" a="1"/>
  <c r="S35" i="5" s="1"/>
  <c r="E35" i="5" a="1"/>
  <c r="E35" i="5" s="1"/>
  <c r="T29" i="5" a="1"/>
  <c r="T29" i="5" s="1"/>
  <c r="E11" i="5" a="1"/>
  <c r="E11" i="5" s="1"/>
  <c r="F19" i="37" a="1"/>
  <c r="F19" i="37" s="1"/>
  <c r="G35" i="5" a="1"/>
  <c r="G35" i="5" s="1"/>
  <c r="G11" i="5" a="1"/>
  <c r="G11" i="5" s="1"/>
  <c r="E47" i="26" a="1"/>
  <c r="E47" i="26" s="1"/>
  <c r="E19" i="26" a="1"/>
  <c r="E19" i="26" s="1"/>
  <c r="T40" i="26" a="1"/>
  <c r="T40" i="26" s="1"/>
  <c r="E33" i="26" a="1"/>
  <c r="E33" i="26" s="1"/>
  <c r="T12" i="26" a="1"/>
  <c r="T12" i="26" s="1"/>
  <c r="T41" i="25" a="1"/>
  <c r="T41" i="25" s="1"/>
  <c r="T43" i="25" s="1"/>
  <c r="T40" i="25" s="1"/>
  <c r="G35" i="25" a="1"/>
  <c r="G35" i="25" s="1"/>
  <c r="T29" i="25" a="1"/>
  <c r="T29" i="25" s="1"/>
  <c r="T31" i="25" s="1"/>
  <c r="T28" i="25" s="1"/>
  <c r="T17" i="25" a="1"/>
  <c r="T17" i="25" s="1"/>
  <c r="T19" i="25" s="1"/>
  <c r="T16" i="25" s="1"/>
  <c r="F5" i="37" a="1"/>
  <c r="F5" i="37" s="1"/>
  <c r="U12" i="37" a="1"/>
  <c r="U12" i="37" s="1"/>
  <c r="E35" i="25" a="1"/>
  <c r="E35" i="25" s="1"/>
  <c r="T11" i="5" a="1"/>
  <c r="T11" i="5" s="1"/>
  <c r="H5" i="37" a="1"/>
  <c r="H5" i="37" s="1"/>
  <c r="G19" i="26" a="1"/>
  <c r="G19" i="26" s="1"/>
  <c r="G33" i="26" a="1"/>
  <c r="G33" i="26" s="1"/>
  <c r="E11" i="25" a="1"/>
  <c r="E11" i="25" s="1"/>
  <c r="G11" i="25" a="1"/>
  <c r="G11" i="25" s="1"/>
  <c r="E41" i="5" a="1"/>
  <c r="E41" i="5" s="1"/>
  <c r="T35" i="5" a="1"/>
  <c r="T35" i="5" s="1"/>
  <c r="E17" i="5" a="1"/>
  <c r="E17" i="5" s="1"/>
  <c r="S19" i="37" a="1"/>
  <c r="S19" i="37" s="1"/>
  <c r="H19" i="37" a="1"/>
  <c r="H19" i="37" s="1"/>
  <c r="T47" i="26" a="1"/>
  <c r="T47" i="26" s="1"/>
  <c r="T50" i="26" s="1" a="1"/>
  <c r="T50" i="26" s="1"/>
  <c r="T46" i="26" s="1"/>
  <c r="T19" i="26" a="1"/>
  <c r="T19" i="26" s="1"/>
  <c r="T22" i="26" s="1" a="1"/>
  <c r="T22" i="26" s="1"/>
  <c r="T18" i="26" s="1"/>
  <c r="G41" i="5" a="1"/>
  <c r="G41" i="5" s="1"/>
  <c r="E29" i="5" a="1"/>
  <c r="E29" i="5" s="1"/>
  <c r="G17" i="5" a="1"/>
  <c r="G17" i="5" s="1"/>
  <c r="U19" i="37" a="1"/>
  <c r="U19" i="37" s="1"/>
  <c r="U22" i="37" s="1" a="1"/>
  <c r="U22" i="37" s="1"/>
  <c r="U18" i="37" s="1"/>
  <c r="G29" i="5" a="1"/>
  <c r="G29" i="5" s="1"/>
  <c r="E40" i="26" a="1"/>
  <c r="E40" i="26" s="1"/>
  <c r="E12" i="26" a="1"/>
  <c r="E12" i="26" s="1"/>
  <c r="E41" i="25" a="1"/>
  <c r="E41" i="25" s="1"/>
  <c r="T35" i="25" a="1"/>
  <c r="T35" i="25" s="1"/>
  <c r="T37" i="25" s="1"/>
  <c r="T34" i="25" s="1"/>
  <c r="F12" i="37" a="1"/>
  <c r="F12" i="37" s="1"/>
  <c r="U5" i="37" a="1"/>
  <c r="U5" i="37" s="1"/>
  <c r="U8" i="37" s="1" a="1"/>
  <c r="U8" i="37" s="1"/>
  <c r="U4" i="37" s="1"/>
  <c r="G47" i="26" a="1"/>
  <c r="G47" i="26" s="1"/>
  <c r="G40" i="26" a="1"/>
  <c r="G40" i="26" s="1"/>
  <c r="G12" i="26" a="1"/>
  <c r="G12" i="26" s="1"/>
  <c r="G41" i="25" a="1"/>
  <c r="G41" i="25" s="1"/>
  <c r="E29" i="25" a="1"/>
  <c r="E29" i="25" s="1"/>
  <c r="H12" i="37" a="1"/>
  <c r="H12" i="37" s="1"/>
  <c r="AD167" i="21"/>
  <c r="F40" i="26" a="1"/>
  <c r="F40" i="26" s="1"/>
  <c r="P41" i="25" a="1"/>
  <c r="P41" i="25" s="1"/>
  <c r="F35" i="5" a="1"/>
  <c r="F35" i="5" s="1"/>
  <c r="P33" i="26" a="1"/>
  <c r="P33" i="26" s="1"/>
  <c r="F11" i="25" a="1"/>
  <c r="F11" i="25" s="1"/>
  <c r="P29" i="5" a="1"/>
  <c r="P29" i="5" s="1"/>
  <c r="G5" i="37" a="1"/>
  <c r="G5" i="37" s="1"/>
  <c r="F29" i="25" a="1"/>
  <c r="F29" i="25" s="1"/>
  <c r="F47" i="26" a="1"/>
  <c r="F47" i="26" s="1"/>
  <c r="F41" i="5" a="1"/>
  <c r="F41" i="5" s="1"/>
  <c r="AD230" i="21"/>
  <c r="P19" i="26" a="1"/>
  <c r="P19" i="26" s="1"/>
  <c r="F35" i="25" a="1"/>
  <c r="F35" i="25" s="1"/>
  <c r="G12" i="37" a="1"/>
  <c r="G12" i="37" s="1"/>
  <c r="AE230" i="21"/>
  <c r="P40" i="26" a="1"/>
  <c r="P40" i="26" s="1"/>
  <c r="F17" i="25" a="1"/>
  <c r="F17" i="25" s="1"/>
  <c r="P35" i="5" a="1"/>
  <c r="P35" i="5" s="1"/>
  <c r="F12" i="26" a="1"/>
  <c r="F12" i="26" s="1"/>
  <c r="P29" i="25" a="1"/>
  <c r="P29" i="25" s="1"/>
  <c r="P11" i="25" a="1"/>
  <c r="P11" i="25" s="1"/>
  <c r="F11" i="5" a="1"/>
  <c r="F11" i="5" s="1"/>
  <c r="Q5" i="37" a="1"/>
  <c r="Q5" i="37" s="1"/>
  <c r="P17" i="5" a="1"/>
  <c r="P17" i="5" s="1"/>
  <c r="P47" i="26" a="1"/>
  <c r="P47" i="26" s="1"/>
  <c r="P41" i="5" a="1"/>
  <c r="P41" i="5" s="1"/>
  <c r="F41" i="25" a="1"/>
  <c r="F41" i="25" s="1"/>
  <c r="F33" i="26" a="1"/>
  <c r="F33" i="26" s="1"/>
  <c r="F29" i="5" a="1"/>
  <c r="F29" i="5" s="1"/>
  <c r="Q12" i="37" a="1"/>
  <c r="Q12" i="37" s="1"/>
  <c r="P35" i="25" a="1"/>
  <c r="P35" i="25" s="1"/>
  <c r="P17" i="25" a="1"/>
  <c r="P17" i="25" s="1"/>
  <c r="F19" i="26" a="1"/>
  <c r="F19" i="26" s="1"/>
  <c r="P12" i="26" a="1"/>
  <c r="P12" i="26" s="1"/>
  <c r="J29" i="5" a="1"/>
  <c r="J29" i="5" s="1"/>
  <c r="N35" i="5" a="1"/>
  <c r="N35" i="5" s="1"/>
  <c r="K5" i="37" a="1"/>
  <c r="K5" i="37" s="1"/>
  <c r="L33" i="26" a="1"/>
  <c r="L33" i="26" s="1"/>
  <c r="Q33" i="26" a="1"/>
  <c r="Q33" i="26" s="1"/>
  <c r="S41" i="5" a="1"/>
  <c r="S41" i="5" s="1"/>
  <c r="Q29" i="5" a="1"/>
  <c r="Q29" i="5" s="1"/>
  <c r="S33" i="26" a="1"/>
  <c r="S33" i="26" s="1"/>
  <c r="K19" i="26" a="1"/>
  <c r="K19" i="26" s="1"/>
  <c r="K12" i="26" a="1"/>
  <c r="K12" i="26" s="1"/>
  <c r="O17" i="25" a="1"/>
  <c r="O17" i="25" s="1"/>
  <c r="O11" i="25" a="1"/>
  <c r="O11" i="25" s="1"/>
  <c r="S29" i="5" a="1"/>
  <c r="S29" i="5" s="1"/>
  <c r="K17" i="5" a="1"/>
  <c r="K17" i="5" s="1"/>
  <c r="K11" i="5" a="1"/>
  <c r="K11" i="5" s="1"/>
  <c r="P33" i="37" a="1"/>
  <c r="P33" i="37" s="1"/>
  <c r="L26" i="37" a="1"/>
  <c r="L26" i="37" s="1"/>
  <c r="O19" i="26" a="1"/>
  <c r="O19" i="26" s="1"/>
  <c r="O12" i="26" a="1"/>
  <c r="O12" i="26" s="1"/>
  <c r="O17" i="5" a="1"/>
  <c r="O17" i="5" s="1"/>
  <c r="O11" i="5" a="1"/>
  <c r="O11" i="5" s="1"/>
  <c r="P26" i="37" a="1"/>
  <c r="P26" i="37" s="1"/>
  <c r="L19" i="37" a="1"/>
  <c r="L19" i="37" s="1"/>
  <c r="Q17" i="25" a="1"/>
  <c r="Q17" i="25" s="1"/>
  <c r="Q11" i="25" a="1"/>
  <c r="Q11" i="25" s="1"/>
  <c r="R33" i="37" a="1"/>
  <c r="R33" i="37" s="1"/>
  <c r="P19" i="37" a="1"/>
  <c r="P19" i="37" s="1"/>
  <c r="L12" i="37" a="1"/>
  <c r="L12" i="37" s="1"/>
  <c r="Q19" i="26" a="1"/>
  <c r="Q19" i="26" s="1"/>
  <c r="Q12" i="26" a="1"/>
  <c r="Q12" i="26" s="1"/>
  <c r="Q17" i="5" a="1"/>
  <c r="Q17" i="5" s="1"/>
  <c r="Q11" i="5" a="1"/>
  <c r="Q11" i="5" s="1"/>
  <c r="R26" i="37" a="1"/>
  <c r="R26" i="37" s="1"/>
  <c r="P12" i="37" a="1"/>
  <c r="P12" i="37" s="1"/>
  <c r="S17" i="25" a="1"/>
  <c r="S17" i="25" s="1"/>
  <c r="S11" i="25" a="1"/>
  <c r="S11" i="25" s="1"/>
  <c r="T33" i="37" a="1"/>
  <c r="T33" i="37" s="1"/>
  <c r="R19" i="37" a="1"/>
  <c r="R19" i="37" s="1"/>
  <c r="L5" i="37" a="1"/>
  <c r="L5" i="37" s="1"/>
  <c r="S19" i="26" a="1"/>
  <c r="S19" i="26" s="1"/>
  <c r="S12" i="26" a="1"/>
  <c r="S12" i="26" s="1"/>
  <c r="K41" i="5" a="1"/>
  <c r="K41" i="5" s="1"/>
  <c r="K35" i="5" a="1"/>
  <c r="K35" i="5" s="1"/>
  <c r="S17" i="5" a="1"/>
  <c r="S17" i="5" s="1"/>
  <c r="S11" i="5" a="1"/>
  <c r="S11" i="5" s="1"/>
  <c r="T26" i="37" a="1"/>
  <c r="T26" i="37" s="1"/>
  <c r="R12" i="37" a="1"/>
  <c r="R12" i="37" s="1"/>
  <c r="P5" i="37" a="1"/>
  <c r="P5" i="37" s="1"/>
  <c r="K47" i="26" a="1"/>
  <c r="K47" i="26" s="1"/>
  <c r="K40" i="26" a="1"/>
  <c r="K40" i="26" s="1"/>
  <c r="K33" i="26" a="1"/>
  <c r="K33" i="26" s="1"/>
  <c r="K41" i="25" a="1"/>
  <c r="K41" i="25" s="1"/>
  <c r="K35" i="25" a="1"/>
  <c r="K35" i="25" s="1"/>
  <c r="K29" i="25" a="1"/>
  <c r="K29" i="25" s="1"/>
  <c r="O41" i="5" a="1"/>
  <c r="O41" i="5" s="1"/>
  <c r="T19" i="37" a="1"/>
  <c r="T19" i="37" s="1"/>
  <c r="O47" i="26" a="1"/>
  <c r="O47" i="26" s="1"/>
  <c r="O40" i="26" a="1"/>
  <c r="O40" i="26" s="1"/>
  <c r="O41" i="25" a="1"/>
  <c r="O41" i="25" s="1"/>
  <c r="O35" i="25" a="1"/>
  <c r="O35" i="25" s="1"/>
  <c r="O29" i="25" a="1"/>
  <c r="O29" i="25" s="1"/>
  <c r="O35" i="5" a="1"/>
  <c r="O35" i="5" s="1"/>
  <c r="T12" i="37" a="1"/>
  <c r="T12" i="37" s="1"/>
  <c r="R5" i="37" a="1"/>
  <c r="R5" i="37" s="1"/>
  <c r="O33" i="26" a="1"/>
  <c r="O33" i="26" s="1"/>
  <c r="Q41" i="5" a="1"/>
  <c r="Q41" i="5" s="1"/>
  <c r="Q47" i="26" a="1"/>
  <c r="Q47" i="26" s="1"/>
  <c r="Q50" i="26" s="1" a="1"/>
  <c r="Q40" i="26" a="1"/>
  <c r="Q40" i="26" s="1"/>
  <c r="Q41" i="25" a="1"/>
  <c r="Q41" i="25" s="1"/>
  <c r="Q35" i="25" a="1"/>
  <c r="Q35" i="25" s="1"/>
  <c r="Q29" i="25" a="1"/>
  <c r="Q29" i="25" s="1"/>
  <c r="M47" i="26" a="1"/>
  <c r="M47" i="26" s="1"/>
  <c r="N19" i="37" a="1"/>
  <c r="N19" i="37" s="1"/>
  <c r="M40" i="26" a="1"/>
  <c r="M40" i="26" s="1"/>
  <c r="M17" i="25" a="1"/>
  <c r="M17" i="25" s="1"/>
  <c r="M29" i="5" a="1"/>
  <c r="M29" i="5" s="1"/>
  <c r="M11" i="25" a="1"/>
  <c r="M11" i="25" s="1"/>
  <c r="N12" i="37" a="1"/>
  <c r="N12" i="37" s="1"/>
  <c r="M41" i="25" a="1"/>
  <c r="M41" i="25" s="1"/>
  <c r="N5" i="37" a="1"/>
  <c r="N5" i="37" s="1"/>
  <c r="M35" i="25" a="1"/>
  <c r="M35" i="25" s="1"/>
  <c r="M33" i="26" a="1"/>
  <c r="M33" i="26" s="1"/>
  <c r="M29" i="25" a="1"/>
  <c r="M29" i="25" s="1"/>
  <c r="M17" i="5" a="1"/>
  <c r="M17" i="5" s="1"/>
  <c r="M11" i="5" a="1"/>
  <c r="M11" i="5" s="1"/>
  <c r="N33" i="37" a="1"/>
  <c r="N33" i="37" s="1"/>
  <c r="M19" i="26" a="1"/>
  <c r="M19" i="26" s="1"/>
  <c r="M41" i="5" a="1"/>
  <c r="M41" i="5" s="1"/>
  <c r="M12" i="26" a="1"/>
  <c r="M12" i="26" s="1"/>
  <c r="M35" i="5" a="1"/>
  <c r="M35" i="5" s="1"/>
  <c r="AE6" i="21"/>
  <c r="AD6" i="21"/>
  <c r="L12" i="26" a="1"/>
  <c r="L12" i="26" s="1"/>
  <c r="N41" i="25" a="1"/>
  <c r="N41" i="25" s="1"/>
  <c r="J35" i="25" a="1"/>
  <c r="J35" i="25" s="1"/>
  <c r="N17" i="5" a="1"/>
  <c r="N17" i="5" s="1"/>
  <c r="J11" i="5" a="1"/>
  <c r="J11" i="5" s="1"/>
  <c r="O26" i="37" a="1"/>
  <c r="O26" i="37" s="1"/>
  <c r="J47" i="26" a="1"/>
  <c r="J47" i="26" s="1"/>
  <c r="N33" i="26" a="1"/>
  <c r="N33" i="26" s="1"/>
  <c r="J17" i="25" a="1"/>
  <c r="J17" i="25" s="1"/>
  <c r="L29" i="5" a="1"/>
  <c r="L29" i="5" s="1"/>
  <c r="K19" i="37" a="1"/>
  <c r="K19" i="37" s="1"/>
  <c r="M5" i="37" a="1"/>
  <c r="M5" i="37" s="1"/>
  <c r="N12" i="26" a="1"/>
  <c r="N12" i="26" s="1"/>
  <c r="L35" i="25" a="1"/>
  <c r="L35" i="25" s="1"/>
  <c r="L11" i="5" a="1"/>
  <c r="L11" i="5" s="1"/>
  <c r="AD97" i="21"/>
  <c r="L47" i="26" a="1"/>
  <c r="L47" i="26" s="1"/>
  <c r="L17" i="25" a="1"/>
  <c r="L17" i="25" s="1"/>
  <c r="J41" i="5" a="1"/>
  <c r="J41" i="5" s="1"/>
  <c r="N29" i="5" a="1"/>
  <c r="N29" i="5" s="1"/>
  <c r="K33" i="37" a="1"/>
  <c r="K33" i="37" s="1"/>
  <c r="M19" i="37" a="1"/>
  <c r="M19" i="37" s="1"/>
  <c r="O5" i="37" a="1"/>
  <c r="O5" i="37" s="1"/>
  <c r="AE97" i="21"/>
  <c r="N35" i="25" a="1"/>
  <c r="N35" i="25" s="1"/>
  <c r="J29" i="25" a="1"/>
  <c r="J29" i="25" s="1"/>
  <c r="N11" i="5" a="1"/>
  <c r="N11" i="5" s="1"/>
  <c r="N47" i="26" a="1"/>
  <c r="N47" i="26" s="1"/>
  <c r="J40" i="26" a="1"/>
  <c r="J40" i="26" s="1"/>
  <c r="N17" i="25" a="1"/>
  <c r="N17" i="25" s="1"/>
  <c r="J11" i="25" a="1"/>
  <c r="J11" i="25" s="1"/>
  <c r="L41" i="5" a="1"/>
  <c r="L41" i="5" s="1"/>
  <c r="M33" i="37" a="1"/>
  <c r="M33" i="37" s="1"/>
  <c r="O19" i="37" a="1"/>
  <c r="O19" i="37" s="1"/>
  <c r="J19" i="26" a="1"/>
  <c r="J19" i="26" s="1"/>
  <c r="L29" i="25" a="1"/>
  <c r="L29" i="25" s="1"/>
  <c r="K12" i="37" a="1"/>
  <c r="K12" i="37" s="1"/>
  <c r="L40" i="26" a="1"/>
  <c r="L40" i="26" s="1"/>
  <c r="L11" i="25" a="1"/>
  <c r="L11" i="25" s="1"/>
  <c r="N41" i="5" a="1"/>
  <c r="N41" i="5" s="1"/>
  <c r="J35" i="5" a="1"/>
  <c r="J35" i="5" s="1"/>
  <c r="O33" i="37" a="1"/>
  <c r="O33" i="37" s="1"/>
  <c r="L19" i="26" a="1"/>
  <c r="L19" i="26" s="1"/>
  <c r="J41" i="25" a="1"/>
  <c r="J41" i="25" s="1"/>
  <c r="N29" i="25" a="1"/>
  <c r="N29" i="25" s="1"/>
  <c r="J17" i="5" a="1"/>
  <c r="J17" i="5" s="1"/>
  <c r="K26" i="37" a="1"/>
  <c r="K26" i="37" s="1"/>
  <c r="M12" i="37" a="1"/>
  <c r="M12" i="37" s="1"/>
  <c r="J33" i="26" a="1"/>
  <c r="J33" i="26" s="1"/>
  <c r="N11" i="25" a="1"/>
  <c r="N11" i="25" s="1"/>
  <c r="L35" i="5" a="1"/>
  <c r="L35" i="5" s="1"/>
  <c r="N40" i="26" a="1"/>
  <c r="N40" i="26" s="1"/>
  <c r="N19" i="26" a="1"/>
  <c r="N19" i="26" s="1"/>
  <c r="J12" i="26" a="1"/>
  <c r="J12" i="26" s="1"/>
  <c r="L41" i="25" a="1"/>
  <c r="L41" i="25" s="1"/>
  <c r="L17" i="5" a="1"/>
  <c r="L17" i="5" s="1"/>
  <c r="M26" i="37" a="1"/>
  <c r="M26" i="37" s="1"/>
  <c r="BB267" i="31" a="1"/>
  <c r="BB267" i="31" s="1"/>
  <c r="BA267" i="31" a="1"/>
  <c r="BA267" i="31" s="1"/>
  <c r="BB225" i="31" a="1"/>
  <c r="BB225" i="31" s="1"/>
  <c r="BA225" i="31" a="1"/>
  <c r="BA225" i="31" s="1"/>
  <c r="BB183" i="31" a="1"/>
  <c r="BB183" i="31" s="1"/>
  <c r="BA183" i="31" a="1"/>
  <c r="BA183" i="31" s="1"/>
  <c r="BB155" i="31" a="1"/>
  <c r="BB155" i="31" s="1"/>
  <c r="BA155" i="31" a="1"/>
  <c r="BA155" i="31" s="1"/>
  <c r="BB141" i="31" a="1"/>
  <c r="BB141" i="31" s="1"/>
  <c r="BA141" i="31" a="1"/>
  <c r="BA141" i="31" s="1"/>
  <c r="BB127" i="31" a="1"/>
  <c r="BB127" i="31" s="1"/>
  <c r="BA127" i="31" a="1"/>
  <c r="BA127" i="31" s="1"/>
  <c r="BB113" i="31" a="1"/>
  <c r="BB113" i="31" s="1"/>
  <c r="BA113" i="31" a="1"/>
  <c r="BA113" i="31" s="1"/>
  <c r="BB99" i="31" a="1"/>
  <c r="BB99" i="31" s="1"/>
  <c r="BA99" i="31" a="1"/>
  <c r="BA99" i="31" s="1"/>
  <c r="BB85" i="31" a="1"/>
  <c r="BB85" i="31" s="1"/>
  <c r="BA85" i="31" a="1"/>
  <c r="BA85" i="31" s="1"/>
  <c r="BB43" i="31" a="1"/>
  <c r="BB43" i="31" s="1"/>
  <c r="BA43" i="31" a="1"/>
  <c r="BA43" i="31" s="1"/>
  <c r="E85" i="26" a="1"/>
  <c r="E85" i="26" s="1"/>
  <c r="E81" i="26" s="1"/>
  <c r="F85" i="26" a="1"/>
  <c r="F85" i="26" s="1"/>
  <c r="F81" i="26" s="1"/>
  <c r="G85" i="26" a="1"/>
  <c r="G85" i="26" s="1"/>
  <c r="G81" i="26" s="1"/>
  <c r="H85" i="26" a="1"/>
  <c r="H85" i="26" s="1"/>
  <c r="H81" i="26" s="1"/>
  <c r="I85" i="26" a="1"/>
  <c r="I85" i="26" s="1"/>
  <c r="I81" i="26" s="1"/>
  <c r="J85" i="26" a="1"/>
  <c r="J85" i="26" s="1"/>
  <c r="J81" i="26" s="1"/>
  <c r="K85" i="26" a="1"/>
  <c r="K85" i="26" s="1"/>
  <c r="K81" i="26" s="1"/>
  <c r="L85" i="26" a="1"/>
  <c r="L85" i="26" s="1"/>
  <c r="L81" i="26" s="1"/>
  <c r="M85" i="26" a="1"/>
  <c r="M85" i="26" s="1"/>
  <c r="M81" i="26" s="1"/>
  <c r="N85" i="26" a="1"/>
  <c r="N85" i="26" s="1"/>
  <c r="N81" i="26" s="1"/>
  <c r="O85" i="26" a="1"/>
  <c r="O85" i="26" s="1"/>
  <c r="O81" i="26" s="1"/>
  <c r="P85" i="26" a="1"/>
  <c r="P85" i="26" s="1"/>
  <c r="P81" i="26" s="1"/>
  <c r="Q85" i="26" a="1"/>
  <c r="Q85" i="26" s="1"/>
  <c r="Q81" i="26" s="1"/>
  <c r="R85" i="26" a="1"/>
  <c r="R85" i="26" s="1"/>
  <c r="R81" i="26" s="1"/>
  <c r="S85" i="26" a="1"/>
  <c r="S85" i="26" s="1"/>
  <c r="S81" i="26" s="1"/>
  <c r="T85" i="26" a="1"/>
  <c r="T85" i="26" s="1"/>
  <c r="T81" i="26" s="1"/>
  <c r="E78" i="26" a="1"/>
  <c r="E78" i="26" s="1"/>
  <c r="E74" i="26" s="1"/>
  <c r="F78" i="26" a="1"/>
  <c r="F78" i="26" s="1"/>
  <c r="F74" i="26" s="1"/>
  <c r="G78" i="26" a="1"/>
  <c r="G78" i="26" s="1"/>
  <c r="G74" i="26" s="1"/>
  <c r="H78" i="26" a="1"/>
  <c r="H78" i="26" s="1"/>
  <c r="H74" i="26" s="1"/>
  <c r="I78" i="26" a="1"/>
  <c r="I78" i="26" s="1"/>
  <c r="I74" i="26" s="1"/>
  <c r="J78" i="26" a="1"/>
  <c r="J78" i="26" s="1"/>
  <c r="J74" i="26" s="1"/>
  <c r="K78" i="26" a="1"/>
  <c r="K78" i="26" s="1"/>
  <c r="K74" i="26" s="1"/>
  <c r="L78" i="26" a="1"/>
  <c r="L78" i="26" s="1"/>
  <c r="L74" i="26" s="1"/>
  <c r="M78" i="26" a="1"/>
  <c r="M78" i="26" s="1"/>
  <c r="M74" i="26" s="1"/>
  <c r="N78" i="26" a="1"/>
  <c r="N78" i="26" s="1"/>
  <c r="N74" i="26" s="1"/>
  <c r="O78" i="26" a="1"/>
  <c r="O78" i="26" s="1"/>
  <c r="O74" i="26" s="1"/>
  <c r="P78" i="26" a="1"/>
  <c r="P78" i="26" s="1"/>
  <c r="P74" i="26" s="1"/>
  <c r="Q78" i="26" a="1"/>
  <c r="Q78" i="26" s="1"/>
  <c r="Q74" i="26" s="1"/>
  <c r="R78" i="26" a="1"/>
  <c r="R78" i="26" s="1"/>
  <c r="R74" i="26" s="1"/>
  <c r="S78" i="26" a="1"/>
  <c r="S78" i="26" s="1"/>
  <c r="S74" i="26" s="1"/>
  <c r="T78" i="26" a="1"/>
  <c r="T78" i="26" s="1"/>
  <c r="T74" i="26" s="1"/>
  <c r="E71" i="26" a="1"/>
  <c r="E71" i="26" s="1"/>
  <c r="E67" i="26" s="1"/>
  <c r="F71" i="26" a="1"/>
  <c r="F71" i="26" s="1"/>
  <c r="F67" i="26" s="1"/>
  <c r="G71" i="26" a="1"/>
  <c r="G71" i="26" s="1"/>
  <c r="G67" i="26" s="1"/>
  <c r="H71" i="26" a="1"/>
  <c r="H71" i="26" s="1"/>
  <c r="H67" i="26" s="1"/>
  <c r="I71" i="26" a="1"/>
  <c r="I71" i="26" s="1"/>
  <c r="I67" i="26" s="1"/>
  <c r="J71" i="26" a="1"/>
  <c r="J71" i="26" s="1"/>
  <c r="J67" i="26" s="1"/>
  <c r="K71" i="26" a="1"/>
  <c r="K71" i="26" s="1"/>
  <c r="K67" i="26" s="1"/>
  <c r="L71" i="26" a="1"/>
  <c r="L71" i="26" s="1"/>
  <c r="L67" i="26" s="1"/>
  <c r="M71" i="26" a="1"/>
  <c r="M71" i="26" s="1"/>
  <c r="M67" i="26" s="1"/>
  <c r="N71" i="26" a="1"/>
  <c r="N71" i="26" s="1"/>
  <c r="N67" i="26" s="1"/>
  <c r="O71" i="26" a="1"/>
  <c r="O71" i="26" s="1"/>
  <c r="O67" i="26" s="1"/>
  <c r="P71" i="26" a="1"/>
  <c r="P71" i="26" s="1"/>
  <c r="P67" i="26" s="1"/>
  <c r="Q71" i="26" a="1"/>
  <c r="Q71" i="26" s="1"/>
  <c r="Q67" i="26" s="1"/>
  <c r="R71" i="26" a="1"/>
  <c r="R71" i="26" s="1"/>
  <c r="R67" i="26" s="1"/>
  <c r="S71" i="26" a="1"/>
  <c r="S71" i="26" s="1"/>
  <c r="S67" i="26" s="1"/>
  <c r="T71" i="26" a="1"/>
  <c r="T71" i="26" s="1"/>
  <c r="T67" i="26" s="1"/>
  <c r="E64" i="26" a="1"/>
  <c r="E64" i="26" s="1"/>
  <c r="E60" i="26" s="1"/>
  <c r="F64" i="26" a="1"/>
  <c r="F64" i="26" s="1"/>
  <c r="F60" i="26" s="1"/>
  <c r="G64" i="26" a="1"/>
  <c r="G64" i="26" s="1"/>
  <c r="G60" i="26" s="1"/>
  <c r="H64" i="26" a="1"/>
  <c r="H64" i="26" s="1"/>
  <c r="H60" i="26" s="1"/>
  <c r="I64" i="26" a="1"/>
  <c r="I64" i="26" s="1"/>
  <c r="I60" i="26" s="1"/>
  <c r="J64" i="26" a="1"/>
  <c r="J64" i="26" s="1"/>
  <c r="J60" i="26" s="1"/>
  <c r="K64" i="26" a="1"/>
  <c r="K64" i="26" s="1"/>
  <c r="K60" i="26" s="1"/>
  <c r="L64" i="26" a="1"/>
  <c r="L64" i="26" s="1"/>
  <c r="L60" i="26" s="1"/>
  <c r="M64" i="26" a="1"/>
  <c r="M64" i="26" s="1"/>
  <c r="M60" i="26" s="1"/>
  <c r="N64" i="26" a="1"/>
  <c r="N64" i="26" s="1"/>
  <c r="N60" i="26" s="1"/>
  <c r="O64" i="26" a="1"/>
  <c r="O64" i="26" s="1"/>
  <c r="O60" i="26" s="1"/>
  <c r="P64" i="26" a="1"/>
  <c r="P64" i="26" s="1"/>
  <c r="P60" i="26" s="1"/>
  <c r="Q64" i="26" a="1"/>
  <c r="Q64" i="26" s="1"/>
  <c r="Q60" i="26" s="1"/>
  <c r="R64" i="26" a="1"/>
  <c r="R64" i="26" s="1"/>
  <c r="R60" i="26" s="1"/>
  <c r="S64" i="26" a="1"/>
  <c r="S64" i="26" s="1"/>
  <c r="S60" i="26" s="1"/>
  <c r="T64" i="26" a="1"/>
  <c r="T64" i="26" s="1"/>
  <c r="T60" i="26" s="1"/>
  <c r="E57" i="26" a="1"/>
  <c r="E57" i="26" s="1"/>
  <c r="E53" i="26" s="1"/>
  <c r="F57" i="26" a="1"/>
  <c r="F57" i="26" s="1"/>
  <c r="F53" i="26" s="1"/>
  <c r="G57" i="26" a="1"/>
  <c r="G57" i="26" s="1"/>
  <c r="G53" i="26" s="1"/>
  <c r="H57" i="26" a="1"/>
  <c r="H57" i="26" s="1"/>
  <c r="H53" i="26" s="1"/>
  <c r="I57" i="26" a="1"/>
  <c r="I57" i="26" s="1"/>
  <c r="I53" i="26" s="1"/>
  <c r="J57" i="26" a="1"/>
  <c r="J57" i="26" s="1"/>
  <c r="J53" i="26" s="1"/>
  <c r="K57" i="26" a="1"/>
  <c r="K57" i="26" s="1"/>
  <c r="K53" i="26" s="1"/>
  <c r="L57" i="26" a="1"/>
  <c r="L57" i="26" s="1"/>
  <c r="L53" i="26" s="1"/>
  <c r="M57" i="26" a="1"/>
  <c r="M57" i="26" s="1"/>
  <c r="M53" i="26" s="1"/>
  <c r="N57" i="26" a="1"/>
  <c r="N57" i="26" s="1"/>
  <c r="N53" i="26" s="1"/>
  <c r="O57" i="26" a="1"/>
  <c r="O57" i="26" s="1"/>
  <c r="O53" i="26" s="1"/>
  <c r="P57" i="26" a="1"/>
  <c r="P57" i="26" s="1"/>
  <c r="P53" i="26" s="1"/>
  <c r="Q57" i="26" a="1"/>
  <c r="Q57" i="26" s="1"/>
  <c r="Q53" i="26" s="1"/>
  <c r="R57" i="26" a="1"/>
  <c r="R57" i="26" s="1"/>
  <c r="R53" i="26" s="1"/>
  <c r="S57" i="26" a="1"/>
  <c r="S57" i="26" s="1"/>
  <c r="S53" i="26" s="1"/>
  <c r="T57" i="26" a="1"/>
  <c r="T57" i="26" s="1"/>
  <c r="T53" i="26" s="1"/>
  <c r="T43" i="26" a="1"/>
  <c r="T43" i="26" s="1"/>
  <c r="T39" i="26" s="1"/>
  <c r="T36" i="26" a="1"/>
  <c r="T36" i="26" s="1"/>
  <c r="T32" i="26" s="1"/>
  <c r="E8" i="26" a="1"/>
  <c r="E8" i="26" s="1"/>
  <c r="E4" i="26" s="1"/>
  <c r="F8" i="26" a="1"/>
  <c r="F8" i="26" s="1"/>
  <c r="F4" i="26" s="1"/>
  <c r="G8" i="26" a="1"/>
  <c r="G8" i="26" s="1"/>
  <c r="G4" i="26" s="1"/>
  <c r="H8" i="26" a="1"/>
  <c r="H8" i="26" s="1"/>
  <c r="H4" i="26" s="1"/>
  <c r="I8" i="26" a="1"/>
  <c r="I8" i="26" s="1"/>
  <c r="I4" i="26" s="1"/>
  <c r="J8" i="26" a="1"/>
  <c r="J8" i="26" s="1"/>
  <c r="J4" i="26" s="1"/>
  <c r="K8" i="26" a="1"/>
  <c r="K8" i="26" s="1"/>
  <c r="K4" i="26" s="1"/>
  <c r="L8" i="26" a="1"/>
  <c r="L8" i="26" s="1"/>
  <c r="L4" i="26" s="1"/>
  <c r="M8" i="26" a="1"/>
  <c r="M8" i="26" s="1"/>
  <c r="M4" i="26" s="1"/>
  <c r="N8" i="26" a="1"/>
  <c r="N8" i="26" s="1"/>
  <c r="N4" i="26" s="1"/>
  <c r="O8" i="26" a="1"/>
  <c r="O8" i="26" s="1"/>
  <c r="O4" i="26" s="1"/>
  <c r="P8" i="26" a="1"/>
  <c r="P8" i="26" s="1"/>
  <c r="P4" i="26" s="1"/>
  <c r="Q8" i="26" a="1"/>
  <c r="Q8" i="26" s="1"/>
  <c r="Q4" i="26" s="1"/>
  <c r="R8" i="26" a="1"/>
  <c r="R8" i="26" s="1"/>
  <c r="R4" i="26" s="1"/>
  <c r="S8" i="26" a="1"/>
  <c r="S8" i="26" s="1"/>
  <c r="S4" i="26" s="1"/>
  <c r="T8" i="26" a="1"/>
  <c r="T8" i="26" s="1"/>
  <c r="T4" i="26" s="1"/>
  <c r="E73" i="25"/>
  <c r="E70" i="25" s="1"/>
  <c r="F73" i="25"/>
  <c r="F70" i="25" s="1"/>
  <c r="G73" i="25"/>
  <c r="G70" i="25" s="1"/>
  <c r="H73" i="25"/>
  <c r="H70" i="25" s="1"/>
  <c r="I73" i="25"/>
  <c r="I70" i="25" s="1"/>
  <c r="J73" i="25"/>
  <c r="J70" i="25" s="1"/>
  <c r="K73" i="25"/>
  <c r="K70" i="25" s="1"/>
  <c r="L73" i="25"/>
  <c r="L70" i="25" s="1"/>
  <c r="M73" i="25"/>
  <c r="M70" i="25" s="1"/>
  <c r="N73" i="25"/>
  <c r="N70" i="25" s="1"/>
  <c r="O73" i="25"/>
  <c r="O70" i="25" s="1"/>
  <c r="P73" i="25"/>
  <c r="P70" i="25" s="1"/>
  <c r="Q73" i="25"/>
  <c r="Q70" i="25" s="1"/>
  <c r="R73" i="25"/>
  <c r="R70" i="25" s="1"/>
  <c r="S73" i="25"/>
  <c r="S70" i="25" s="1"/>
  <c r="T73" i="25"/>
  <c r="T70" i="25" s="1"/>
  <c r="E67" i="25"/>
  <c r="E64" i="25" s="1"/>
  <c r="F67" i="25"/>
  <c r="F64" i="25" s="1"/>
  <c r="G67" i="25"/>
  <c r="G64" i="25" s="1"/>
  <c r="H67" i="25"/>
  <c r="H64" i="25" s="1"/>
  <c r="I67" i="25"/>
  <c r="I64" i="25" s="1"/>
  <c r="J67" i="25"/>
  <c r="J64" i="25" s="1"/>
  <c r="K67" i="25"/>
  <c r="K64" i="25" s="1"/>
  <c r="L67" i="25"/>
  <c r="L64" i="25" s="1"/>
  <c r="M67" i="25"/>
  <c r="M64" i="25" s="1"/>
  <c r="N67" i="25"/>
  <c r="N64" i="25" s="1"/>
  <c r="O67" i="25"/>
  <c r="O64" i="25" s="1"/>
  <c r="P67" i="25"/>
  <c r="P64" i="25" s="1"/>
  <c r="Q67" i="25"/>
  <c r="Q64" i="25" s="1"/>
  <c r="R67" i="25"/>
  <c r="R64" i="25" s="1"/>
  <c r="S67" i="25"/>
  <c r="S64" i="25" s="1"/>
  <c r="T67" i="25"/>
  <c r="T64" i="25" s="1"/>
  <c r="E61" i="25"/>
  <c r="E58" i="25" s="1"/>
  <c r="F61" i="25"/>
  <c r="F58" i="25" s="1"/>
  <c r="G61" i="25"/>
  <c r="G58" i="25" s="1"/>
  <c r="H61" i="25"/>
  <c r="H58" i="25" s="1"/>
  <c r="I61" i="25"/>
  <c r="I58" i="25" s="1"/>
  <c r="J61" i="25"/>
  <c r="J58" i="25" s="1"/>
  <c r="K61" i="25"/>
  <c r="K58" i="25" s="1"/>
  <c r="L61" i="25"/>
  <c r="L58" i="25" s="1"/>
  <c r="M61" i="25"/>
  <c r="M58" i="25" s="1"/>
  <c r="N61" i="25"/>
  <c r="N58" i="25" s="1"/>
  <c r="O61" i="25"/>
  <c r="O58" i="25" s="1"/>
  <c r="P61" i="25"/>
  <c r="P58" i="25" s="1"/>
  <c r="Q61" i="25"/>
  <c r="Q58" i="25" s="1"/>
  <c r="R61" i="25"/>
  <c r="R58" i="25" s="1"/>
  <c r="S61" i="25"/>
  <c r="S58" i="25" s="1"/>
  <c r="T61" i="25"/>
  <c r="T58" i="25" s="1"/>
  <c r="E55" i="25"/>
  <c r="E52" i="25" s="1"/>
  <c r="F55" i="25"/>
  <c r="F52" i="25" s="1"/>
  <c r="G55" i="25"/>
  <c r="G52" i="25" s="1"/>
  <c r="H55" i="25"/>
  <c r="H52" i="25" s="1"/>
  <c r="I55" i="25"/>
  <c r="I52" i="25" s="1"/>
  <c r="J55" i="25"/>
  <c r="J52" i="25" s="1"/>
  <c r="K55" i="25"/>
  <c r="K52" i="25" s="1"/>
  <c r="L55" i="25"/>
  <c r="L52" i="25" s="1"/>
  <c r="M55" i="25"/>
  <c r="M52" i="25" s="1"/>
  <c r="N55" i="25"/>
  <c r="N52" i="25" s="1"/>
  <c r="O55" i="25"/>
  <c r="O52" i="25" s="1"/>
  <c r="P55" i="25"/>
  <c r="P52" i="25" s="1"/>
  <c r="Q55" i="25"/>
  <c r="Q52" i="25" s="1"/>
  <c r="R55" i="25"/>
  <c r="R52" i="25" s="1"/>
  <c r="S55" i="25"/>
  <c r="S52" i="25" s="1"/>
  <c r="T55" i="25"/>
  <c r="T52" i="25" s="1"/>
  <c r="E49" i="25"/>
  <c r="E46" i="25" s="1"/>
  <c r="F49" i="25"/>
  <c r="F46" i="25" s="1"/>
  <c r="G49" i="25"/>
  <c r="G46" i="25" s="1"/>
  <c r="H49" i="25"/>
  <c r="H46" i="25" s="1"/>
  <c r="I49" i="25"/>
  <c r="I46" i="25" s="1"/>
  <c r="J49" i="25"/>
  <c r="J46" i="25" s="1"/>
  <c r="K49" i="25"/>
  <c r="K46" i="25" s="1"/>
  <c r="L49" i="25"/>
  <c r="L46" i="25" s="1"/>
  <c r="M49" i="25"/>
  <c r="M46" i="25" s="1"/>
  <c r="N49" i="25"/>
  <c r="N46" i="25" s="1"/>
  <c r="O49" i="25"/>
  <c r="O46" i="25" s="1"/>
  <c r="P49" i="25"/>
  <c r="P46" i="25" s="1"/>
  <c r="Q49" i="25"/>
  <c r="Q46" i="25" s="1"/>
  <c r="R49" i="25"/>
  <c r="R46" i="25" s="1"/>
  <c r="S49" i="25"/>
  <c r="S46" i="25" s="1"/>
  <c r="T49" i="25"/>
  <c r="T46" i="25" s="1"/>
  <c r="E25" i="25"/>
  <c r="E22" i="25" s="1"/>
  <c r="F25" i="25"/>
  <c r="F22" i="25" s="1"/>
  <c r="G25" i="25"/>
  <c r="G22" i="25" s="1"/>
  <c r="H25" i="25"/>
  <c r="H22" i="25" s="1"/>
  <c r="I25" i="25"/>
  <c r="I22" i="25" s="1"/>
  <c r="J25" i="25"/>
  <c r="J22" i="25" s="1"/>
  <c r="K25" i="25"/>
  <c r="K22" i="25" s="1"/>
  <c r="L25" i="25"/>
  <c r="L22" i="25" s="1"/>
  <c r="M25" i="25"/>
  <c r="M22" i="25" s="1"/>
  <c r="N25" i="25"/>
  <c r="N22" i="25" s="1"/>
  <c r="O25" i="25"/>
  <c r="O22" i="25" s="1"/>
  <c r="P25" i="25"/>
  <c r="P22" i="25" s="1"/>
  <c r="Q25" i="25"/>
  <c r="Q22" i="25" s="1"/>
  <c r="R25" i="25"/>
  <c r="R22" i="25" s="1"/>
  <c r="S25" i="25"/>
  <c r="S22" i="25" s="1"/>
  <c r="T25" i="25"/>
  <c r="T22" i="25" s="1"/>
  <c r="E7" i="25"/>
  <c r="E4" i="25" s="1"/>
  <c r="F7" i="25"/>
  <c r="F4" i="25" s="1"/>
  <c r="G7" i="25"/>
  <c r="G4" i="25" s="1"/>
  <c r="H7" i="25"/>
  <c r="H4" i="25" s="1"/>
  <c r="I7" i="25"/>
  <c r="I4" i="25" s="1"/>
  <c r="J7" i="25"/>
  <c r="J4" i="25" s="1"/>
  <c r="K7" i="25"/>
  <c r="K4" i="25" s="1"/>
  <c r="L7" i="25"/>
  <c r="L4" i="25" s="1"/>
  <c r="M7" i="25"/>
  <c r="M4" i="25" s="1"/>
  <c r="N7" i="25"/>
  <c r="N4" i="25" s="1"/>
  <c r="O7" i="25"/>
  <c r="O4" i="25" s="1"/>
  <c r="P7" i="25"/>
  <c r="P4" i="25" s="1"/>
  <c r="Q7" i="25"/>
  <c r="Q4" i="25" s="1"/>
  <c r="R7" i="25"/>
  <c r="R4" i="25" s="1"/>
  <c r="S7" i="25"/>
  <c r="S4" i="25" s="1"/>
  <c r="T7" i="25"/>
  <c r="T4" i="25" s="1"/>
  <c r="G85" i="37" a="1"/>
  <c r="G85" i="37" s="1"/>
  <c r="G81" i="37" s="1"/>
  <c r="J85" i="37" a="1"/>
  <c r="J85" i="37" s="1"/>
  <c r="J81" i="37" s="1"/>
  <c r="L85" i="37" a="1"/>
  <c r="L85" i="37" s="1"/>
  <c r="L81" i="37" s="1"/>
  <c r="O85" i="37" a="1"/>
  <c r="O85" i="37" s="1"/>
  <c r="O81" i="37" s="1"/>
  <c r="R85" i="37" a="1"/>
  <c r="R85" i="37" s="1"/>
  <c r="R81" i="37" s="1"/>
  <c r="S85" i="37" a="1"/>
  <c r="S85" i="37" s="1"/>
  <c r="S81" i="37" s="1"/>
  <c r="U85" i="37" a="1"/>
  <c r="U85" i="37" s="1"/>
  <c r="U81" i="37" s="1"/>
  <c r="F78" i="37" a="1"/>
  <c r="F78" i="37" s="1"/>
  <c r="F74" i="37" s="1"/>
  <c r="J78" i="37" a="1"/>
  <c r="J78" i="37" s="1"/>
  <c r="J74" i="37" s="1"/>
  <c r="K78" i="37" a="1"/>
  <c r="K78" i="37" s="1"/>
  <c r="K74" i="37" s="1"/>
  <c r="N78" i="37" a="1"/>
  <c r="N78" i="37" s="1"/>
  <c r="N74" i="37" s="1"/>
  <c r="O78" i="37" a="1"/>
  <c r="O78" i="37" s="1"/>
  <c r="O74" i="37" s="1"/>
  <c r="S78" i="37" a="1"/>
  <c r="S78" i="37" s="1"/>
  <c r="S74" i="37" s="1"/>
  <c r="T78" i="37" a="1"/>
  <c r="T78" i="37" s="1"/>
  <c r="T74" i="37" s="1"/>
  <c r="F71" i="37" a="1"/>
  <c r="F71" i="37" s="1"/>
  <c r="F67" i="37" s="1"/>
  <c r="G71" i="37" a="1"/>
  <c r="G71" i="37" s="1"/>
  <c r="G67" i="37" s="1"/>
  <c r="H71" i="37" a="1"/>
  <c r="H71" i="37" s="1"/>
  <c r="H67" i="37" s="1"/>
  <c r="N71" i="37" a="1"/>
  <c r="N71" i="37" s="1"/>
  <c r="N67" i="37" s="1"/>
  <c r="O71" i="37" a="1"/>
  <c r="O71" i="37" s="1"/>
  <c r="O67" i="37" s="1"/>
  <c r="P71" i="37" a="1"/>
  <c r="P71" i="37" s="1"/>
  <c r="P67" i="37" s="1"/>
  <c r="Q71" i="37" a="1"/>
  <c r="Q71" i="37" s="1"/>
  <c r="Q67" i="37" s="1"/>
  <c r="R71" i="37" a="1"/>
  <c r="R71" i="37" s="1"/>
  <c r="R67" i="37" s="1"/>
  <c r="T71" i="37" a="1"/>
  <c r="T71" i="37" s="1"/>
  <c r="T67" i="37" s="1"/>
  <c r="U71" i="37" a="1"/>
  <c r="U71" i="37" s="1"/>
  <c r="U67" i="37" s="1"/>
  <c r="F64" i="37" a="1"/>
  <c r="F64" i="37" s="1"/>
  <c r="F60" i="37" s="1"/>
  <c r="H64" i="37" a="1"/>
  <c r="H64" i="37" s="1"/>
  <c r="H60" i="37" s="1"/>
  <c r="I64" i="37" a="1"/>
  <c r="I64" i="37" s="1"/>
  <c r="I60" i="37" s="1"/>
  <c r="J64" i="37" a="1"/>
  <c r="J64" i="37" s="1"/>
  <c r="J60" i="37" s="1"/>
  <c r="M64" i="37" a="1"/>
  <c r="M64" i="37" s="1"/>
  <c r="M60" i="37" s="1"/>
  <c r="S64" i="37" a="1"/>
  <c r="S64" i="37" s="1"/>
  <c r="S60" i="37" s="1"/>
  <c r="T64" i="37" a="1"/>
  <c r="T64" i="37" s="1"/>
  <c r="T60" i="37" s="1"/>
  <c r="H57" i="37" a="1"/>
  <c r="H57" i="37" s="1"/>
  <c r="H53" i="37" s="1"/>
  <c r="I57" i="37" a="1"/>
  <c r="I57" i="37" s="1"/>
  <c r="I53" i="37" s="1"/>
  <c r="K57" i="37" a="1"/>
  <c r="K57" i="37" s="1"/>
  <c r="K53" i="37" s="1"/>
  <c r="L57" i="37" a="1"/>
  <c r="L57" i="37" s="1"/>
  <c r="L53" i="37" s="1"/>
  <c r="P57" i="37" a="1"/>
  <c r="P57" i="37" s="1"/>
  <c r="P53" i="37" s="1"/>
  <c r="Q57" i="37" a="1"/>
  <c r="Q57" i="37" s="1"/>
  <c r="Q53" i="37" s="1"/>
  <c r="S57" i="37" a="1"/>
  <c r="S57" i="37" s="1"/>
  <c r="S53" i="37" s="1"/>
  <c r="T57" i="37" a="1"/>
  <c r="T57" i="37" s="1"/>
  <c r="T53" i="37" s="1"/>
  <c r="G50" i="37" a="1"/>
  <c r="G50" i="37" s="1"/>
  <c r="G46" i="37" s="1"/>
  <c r="J50" i="37" a="1"/>
  <c r="J50" i="37" s="1"/>
  <c r="J46" i="37" s="1"/>
  <c r="O50" i="37" a="1"/>
  <c r="O50" i="37" s="1"/>
  <c r="O46" i="37" s="1"/>
  <c r="Q50" i="37" a="1"/>
  <c r="Q50" i="37" s="1"/>
  <c r="Q46" i="37" s="1"/>
  <c r="S50" i="37" a="1"/>
  <c r="S50" i="37" s="1"/>
  <c r="S46" i="37" s="1"/>
  <c r="U50" i="37" a="1"/>
  <c r="U50" i="37" s="1"/>
  <c r="U46" i="37" s="1"/>
  <c r="F43" i="37" a="1"/>
  <c r="F43" i="37" s="1"/>
  <c r="F39" i="37" s="1"/>
  <c r="G43" i="37" a="1"/>
  <c r="G43" i="37" s="1"/>
  <c r="G39" i="37" s="1"/>
  <c r="K43" i="37" a="1"/>
  <c r="K43" i="37" s="1"/>
  <c r="K39" i="37" s="1"/>
  <c r="M43" i="37" a="1"/>
  <c r="M43" i="37" s="1"/>
  <c r="M39" i="37" s="1"/>
  <c r="N43" i="37" a="1"/>
  <c r="N43" i="37" s="1"/>
  <c r="N39" i="37" s="1"/>
  <c r="O43" i="37" a="1"/>
  <c r="O43" i="37" s="1"/>
  <c r="O39" i="37" s="1"/>
  <c r="Q43" i="37" a="1"/>
  <c r="Q43" i="37" s="1"/>
  <c r="Q39" i="37" s="1"/>
  <c r="T43" i="37" a="1"/>
  <c r="T43" i="37" s="1"/>
  <c r="T39" i="37" s="1"/>
  <c r="U43" i="37" a="1"/>
  <c r="U43" i="37" s="1"/>
  <c r="U39" i="37" s="1"/>
  <c r="U29" i="37" a="1"/>
  <c r="U29" i="37" s="1"/>
  <c r="U25" i="37" s="1"/>
  <c r="U15" i="37" a="1"/>
  <c r="U15" i="37" s="1"/>
  <c r="U11" i="37" s="1"/>
  <c r="B11" i="37"/>
  <c r="B11" i="31"/>
  <c r="B11" i="21"/>
  <c r="D16" i="21" s="1"/>
  <c r="B32" i="21"/>
  <c r="D37" i="21" s="1"/>
  <c r="B32" i="37"/>
  <c r="B25" i="21"/>
  <c r="D30" i="21" s="1"/>
  <c r="B25" i="31"/>
  <c r="B25" i="37"/>
  <c r="B18" i="31"/>
  <c r="B18" i="37"/>
  <c r="B18" i="21"/>
  <c r="D23" i="21" s="1"/>
  <c r="E50" i="26" a="1"/>
  <c r="K50" i="26" a="1"/>
  <c r="G43" i="26" a="1"/>
  <c r="M43" i="26" a="1"/>
  <c r="S43" i="26" a="1"/>
  <c r="I36" i="26" a="1"/>
  <c r="O36" i="26" a="1"/>
  <c r="G22" i="26" a="1"/>
  <c r="M22" i="26" a="1"/>
  <c r="S22" i="26" a="1"/>
  <c r="F50" i="26" a="1"/>
  <c r="L50" i="26" a="1"/>
  <c r="R50" i="26" a="1"/>
  <c r="H43" i="26" a="1"/>
  <c r="G50" i="26" a="1"/>
  <c r="M50" i="26" a="1"/>
  <c r="S50" i="26" a="1"/>
  <c r="O43" i="26" a="1"/>
  <c r="E36" i="26" a="1"/>
  <c r="K36" i="26" a="1"/>
  <c r="Q36" i="26" a="1"/>
  <c r="I22" i="26" a="1"/>
  <c r="O22" i="26" a="1"/>
  <c r="H50" i="26" a="1"/>
  <c r="N50" i="26" a="1"/>
  <c r="J43" i="26" a="1"/>
  <c r="P43" i="26" a="1"/>
  <c r="F36" i="26" a="1"/>
  <c r="L36" i="26" a="1"/>
  <c r="R36" i="26" a="1"/>
  <c r="J22" i="26" a="1"/>
  <c r="P22" i="26" a="1"/>
  <c r="I50" i="26" a="1"/>
  <c r="O50" i="26" a="1"/>
  <c r="E43" i="26" a="1"/>
  <c r="K43" i="26" a="1"/>
  <c r="Q43" i="26" a="1"/>
  <c r="G36" i="26" a="1"/>
  <c r="M36" i="26" a="1"/>
  <c r="S36" i="26" a="1"/>
  <c r="E22" i="26" a="1"/>
  <c r="K22" i="26" a="1"/>
  <c r="J50" i="26" a="1"/>
  <c r="P50" i="26" a="1"/>
  <c r="F43" i="26" a="1"/>
  <c r="L43" i="26" a="1"/>
  <c r="R43" i="26" a="1"/>
  <c r="H36" i="26" a="1"/>
  <c r="N36" i="26" a="1"/>
  <c r="F22" i="26" a="1"/>
  <c r="R22" i="26" a="1"/>
  <c r="P36" i="26" a="1"/>
  <c r="Q22" i="26" a="1"/>
  <c r="J43" i="25"/>
  <c r="S43" i="25"/>
  <c r="L37" i="25"/>
  <c r="L19" i="25"/>
  <c r="S37" i="25"/>
  <c r="G22" i="37" a="1"/>
  <c r="E31" i="25"/>
  <c r="M31" i="25"/>
  <c r="E19" i="25"/>
  <c r="E13" i="25"/>
  <c r="M13" i="25"/>
  <c r="J36" i="37" a="1"/>
  <c r="P36" i="37" a="1"/>
  <c r="F29" i="37" a="1"/>
  <c r="L29" i="37" a="1"/>
  <c r="R29" i="37" a="1"/>
  <c r="H22" i="37" a="1"/>
  <c r="N22" i="37" a="1"/>
  <c r="T22" i="37" a="1"/>
  <c r="J15" i="37" a="1"/>
  <c r="P15" i="37" a="1"/>
  <c r="F8" i="37" a="1"/>
  <c r="L8" i="37" a="1"/>
  <c r="R8" i="37" a="1"/>
  <c r="L31" i="25"/>
  <c r="K43" i="25"/>
  <c r="E37" i="25"/>
  <c r="M37" i="25"/>
  <c r="F31" i="25"/>
  <c r="M19" i="25"/>
  <c r="F13" i="25"/>
  <c r="L13" i="25"/>
  <c r="Q29" i="37" a="1"/>
  <c r="L43" i="25"/>
  <c r="N37" i="25"/>
  <c r="N31" i="25"/>
  <c r="F19" i="25"/>
  <c r="N19" i="25"/>
  <c r="N13" i="25"/>
  <c r="K36" i="37" a="1"/>
  <c r="Q36" i="37" a="1"/>
  <c r="G29" i="37" a="1"/>
  <c r="M29" i="37" a="1"/>
  <c r="S29" i="37" a="1"/>
  <c r="I22" i="37" a="1"/>
  <c r="K15" i="37" a="1"/>
  <c r="Q15" i="37" a="1"/>
  <c r="G8" i="37" a="1"/>
  <c r="M8" i="37" a="1"/>
  <c r="S8" i="37" a="1"/>
  <c r="K8" i="37" a="1"/>
  <c r="M43" i="25"/>
  <c r="F37" i="25"/>
  <c r="O37" i="25"/>
  <c r="G31" i="25"/>
  <c r="O19" i="25"/>
  <c r="G13" i="25"/>
  <c r="I15" i="37" a="1"/>
  <c r="N43" i="25"/>
  <c r="P37" i="25"/>
  <c r="O31" i="25"/>
  <c r="G19" i="25"/>
  <c r="P19" i="25"/>
  <c r="O13" i="25"/>
  <c r="F36" i="37" a="1"/>
  <c r="L36" i="37" a="1"/>
  <c r="R36" i="37" a="1"/>
  <c r="H29" i="37" a="1"/>
  <c r="N29" i="37" a="1"/>
  <c r="T29" i="37" a="1"/>
  <c r="J22" i="37" a="1"/>
  <c r="P22" i="37" a="1"/>
  <c r="F15" i="37" a="1"/>
  <c r="L15" i="37" a="1"/>
  <c r="R15" i="37" a="1"/>
  <c r="H8" i="37" a="1"/>
  <c r="N8" i="37" a="1"/>
  <c r="T8" i="37" a="1"/>
  <c r="M22" i="37" a="1"/>
  <c r="N43" i="26" a="1"/>
  <c r="E43" i="25"/>
  <c r="O43" i="25"/>
  <c r="G37" i="25"/>
  <c r="H31" i="25"/>
  <c r="P31" i="25"/>
  <c r="H19" i="25"/>
  <c r="H13" i="25"/>
  <c r="P13" i="25"/>
  <c r="L22" i="26" a="1"/>
  <c r="R43" i="25"/>
  <c r="O15" i="37" a="1"/>
  <c r="F43" i="25"/>
  <c r="H37" i="25"/>
  <c r="Q37" i="25"/>
  <c r="Q31" i="25"/>
  <c r="I19" i="25"/>
  <c r="Q19" i="25"/>
  <c r="Q13" i="25"/>
  <c r="G36" i="37" a="1"/>
  <c r="M36" i="37" a="1"/>
  <c r="S36" i="37" a="1"/>
  <c r="I29" i="37" a="1"/>
  <c r="O29" i="37" a="1"/>
  <c r="K22" i="37" a="1"/>
  <c r="Q22" i="37" a="1"/>
  <c r="G15" i="37" a="1"/>
  <c r="M15" i="37" a="1"/>
  <c r="S15" i="37" a="1"/>
  <c r="I8" i="37" a="1"/>
  <c r="O8" i="37" a="1"/>
  <c r="S22" i="37" a="1"/>
  <c r="G43" i="25"/>
  <c r="P43" i="25"/>
  <c r="I37" i="25"/>
  <c r="I31" i="25"/>
  <c r="R31" i="25"/>
  <c r="J19" i="25"/>
  <c r="I13" i="25"/>
  <c r="R13" i="25"/>
  <c r="P8" i="37" a="1"/>
  <c r="S19" i="25"/>
  <c r="O36" i="37" a="1"/>
  <c r="Q8" i="37" a="1"/>
  <c r="H22" i="26" a="1"/>
  <c r="H43" i="25"/>
  <c r="J37" i="25"/>
  <c r="R37" i="25"/>
  <c r="J31" i="25"/>
  <c r="R19" i="25"/>
  <c r="J13" i="25"/>
  <c r="H36" i="37" a="1"/>
  <c r="N36" i="37" a="1"/>
  <c r="T36" i="37" a="1"/>
  <c r="J29" i="37" a="1"/>
  <c r="P29" i="37" a="1"/>
  <c r="F22" i="37" a="1"/>
  <c r="L22" i="37" a="1"/>
  <c r="R22" i="37" a="1"/>
  <c r="H15" i="37" a="1"/>
  <c r="N15" i="37" a="1"/>
  <c r="T15" i="37" a="1"/>
  <c r="J8" i="37" a="1"/>
  <c r="I36" i="37" a="1"/>
  <c r="J36" i="26" a="1"/>
  <c r="I43" i="25"/>
  <c r="Q43" i="25"/>
  <c r="K37" i="25"/>
  <c r="K31" i="25"/>
  <c r="S31" i="25"/>
  <c r="K19" i="25"/>
  <c r="K13" i="25"/>
  <c r="S13" i="25"/>
  <c r="K29" i="37" a="1"/>
  <c r="O22" i="37" a="1"/>
  <c r="G268" i="21"/>
  <c r="G247" i="21"/>
  <c r="G37" i="21"/>
  <c r="G261" i="21"/>
  <c r="G93" i="21"/>
  <c r="Q29" i="26" a="1"/>
  <c r="G267" i="21"/>
  <c r="G246" i="21"/>
  <c r="G36" i="21"/>
  <c r="G260" i="21"/>
  <c r="G92" i="21"/>
  <c r="J8" i="46"/>
  <c r="F15" i="26" a="1"/>
  <c r="T67" i="5" a="1"/>
  <c r="M43" i="5" a="1"/>
  <c r="K7" i="5" a="1"/>
  <c r="M73" i="5" a="1"/>
  <c r="N73" i="5" a="1"/>
  <c r="H19" i="5" a="1"/>
  <c r="O43" i="5" a="1"/>
  <c r="G37" i="5" a="1"/>
  <c r="S7" i="5" a="1"/>
  <c r="H37" i="5" a="1"/>
  <c r="I37" i="5" a="1"/>
  <c r="N7" i="5" a="1"/>
  <c r="R31" i="5" a="1"/>
  <c r="J31" i="5" a="1"/>
  <c r="K67" i="5" a="1"/>
  <c r="T15" i="26" a="1"/>
  <c r="M31" i="5" a="1"/>
  <c r="N61" i="5" a="1"/>
  <c r="J13" i="5" a="1"/>
  <c r="H25" i="5" a="1"/>
  <c r="G184" i="21"/>
  <c r="G163" i="21"/>
  <c r="G107" i="21"/>
  <c r="G240" i="21"/>
  <c r="G121" i="21"/>
  <c r="L15" i="26" a="1"/>
  <c r="H15" i="26" a="1"/>
  <c r="L61" i="5" a="1"/>
  <c r="E37" i="5" a="1"/>
  <c r="Q7" i="5" a="1"/>
  <c r="F67" i="5" a="1"/>
  <c r="L19" i="5" a="1"/>
  <c r="N67" i="5" a="1"/>
  <c r="N19" i="5" a="1"/>
  <c r="O37" i="5" a="1"/>
  <c r="P37" i="5" a="1"/>
  <c r="H31" i="5" a="1"/>
  <c r="Q37" i="5" a="1"/>
  <c r="T7" i="5" a="1"/>
  <c r="I25" i="5" a="1"/>
  <c r="S67" i="5" a="1"/>
  <c r="T55" i="5" a="1"/>
  <c r="F55" i="5" a="1"/>
  <c r="F25" i="5" a="1"/>
  <c r="E19" i="5" a="1"/>
  <c r="G183" i="21"/>
  <c r="G162" i="21"/>
  <c r="G106" i="21"/>
  <c r="G239" i="21"/>
  <c r="G120" i="21"/>
  <c r="N15" i="26" a="1"/>
  <c r="L55" i="5" a="1"/>
  <c r="E31" i="5" a="1"/>
  <c r="E61" i="5" a="1"/>
  <c r="F61" i="5" a="1"/>
  <c r="T19" i="5" a="1"/>
  <c r="G31" i="5" a="1"/>
  <c r="O31" i="5" a="1"/>
  <c r="P31" i="5" a="1"/>
  <c r="Q31" i="5" a="1"/>
  <c r="T61" i="5" a="1"/>
  <c r="J73" i="5" a="1"/>
  <c r="O25" i="5" a="1"/>
  <c r="R15" i="26" a="1"/>
  <c r="S61" i="5" a="1"/>
  <c r="F29" i="26" a="1"/>
  <c r="G25" i="5" a="1"/>
  <c r="G72" i="21"/>
  <c r="G16" i="21"/>
  <c r="G226" i="21"/>
  <c r="G79" i="21"/>
  <c r="G219" i="21"/>
  <c r="G156" i="21"/>
  <c r="I15" i="26" a="1"/>
  <c r="G71" i="21"/>
  <c r="G15" i="21"/>
  <c r="G225" i="21"/>
  <c r="G78" i="21"/>
  <c r="G218" i="21"/>
  <c r="G155" i="21"/>
  <c r="K8" i="46"/>
  <c r="O15" i="26" a="1"/>
  <c r="T49" i="5" a="1"/>
  <c r="K25" i="5" a="1"/>
  <c r="K61" i="5" a="1"/>
  <c r="M55" i="5" a="1"/>
  <c r="G15" i="26" a="1"/>
  <c r="N55" i="5" a="1"/>
  <c r="P13" i="5" a="1"/>
  <c r="S73" i="5" a="1"/>
  <c r="G73" i="5" a="1"/>
  <c r="S25" i="5" a="1"/>
  <c r="N13" i="5" a="1"/>
  <c r="H73" i="5" a="1"/>
  <c r="I73" i="5" a="1"/>
  <c r="N25" i="5" a="1"/>
  <c r="R67" i="5" a="1"/>
  <c r="J7" i="5" a="1"/>
  <c r="J67" i="5" a="1"/>
  <c r="K19" i="5" a="1"/>
  <c r="K49" i="5" a="1"/>
  <c r="K15" i="26" a="1"/>
  <c r="H43" i="5" a="1"/>
  <c r="G205" i="21"/>
  <c r="G149" i="21"/>
  <c r="G128" i="21"/>
  <c r="G51" i="21"/>
  <c r="G198" i="21"/>
  <c r="G29" i="26" a="1"/>
  <c r="L43" i="5" a="1"/>
  <c r="E73" i="5" a="1"/>
  <c r="Q25" i="5" a="1"/>
  <c r="P25" i="5" a="1"/>
  <c r="F49" i="5" a="1"/>
  <c r="N49" i="5" a="1"/>
  <c r="F7" i="5" a="1"/>
  <c r="O73" i="5" a="1"/>
  <c r="L31" i="5" a="1"/>
  <c r="P73" i="5" a="1"/>
  <c r="I19" i="5" a="1"/>
  <c r="H67" i="5" a="1"/>
  <c r="Q73" i="5" a="1"/>
  <c r="T25" i="5" a="1"/>
  <c r="P15" i="26" a="1"/>
  <c r="Q61" i="5" a="1"/>
  <c r="J61" i="5" a="1"/>
  <c r="Q19" i="5" a="1"/>
  <c r="S49" i="5" a="1"/>
  <c r="E7" i="5" a="1"/>
  <c r="M7" i="5" a="1"/>
  <c r="R19" i="5" a="1"/>
  <c r="L49" i="5" a="1"/>
  <c r="K43" i="5" a="1"/>
  <c r="G204" i="21"/>
  <c r="G148" i="21"/>
  <c r="G127" i="21"/>
  <c r="G50" i="21"/>
  <c r="G197" i="21"/>
  <c r="M29" i="26" a="1"/>
  <c r="L37" i="5" a="1"/>
  <c r="E67" i="5" a="1"/>
  <c r="G19" i="5" a="1"/>
  <c r="E43" i="5" a="1"/>
  <c r="F43" i="5" a="1"/>
  <c r="L7" i="5" a="1"/>
  <c r="G67" i="5" a="1"/>
  <c r="H13" i="5" a="1"/>
  <c r="O67" i="5" a="1"/>
  <c r="O19" i="5" a="1"/>
  <c r="P67" i="5" a="1"/>
  <c r="S37" i="5" a="1"/>
  <c r="Q67" i="5" a="1"/>
  <c r="J19" i="5" a="1"/>
  <c r="J55" i="5" a="1"/>
  <c r="R61" i="5" a="1"/>
  <c r="G13" i="5" a="1"/>
  <c r="S43" i="5" a="1"/>
  <c r="K31" i="5" a="1"/>
  <c r="O7" i="5" a="1"/>
  <c r="M49" i="5" a="1"/>
  <c r="P43" i="5" a="1"/>
  <c r="I31" i="5" a="1"/>
  <c r="K73" i="5" a="1"/>
  <c r="G44" i="21"/>
  <c r="G114" i="21"/>
  <c r="G30" i="21"/>
  <c r="G23" i="21"/>
  <c r="G177" i="21"/>
  <c r="S29" i="26" a="1"/>
  <c r="H29" i="26" a="1"/>
  <c r="T37" i="5" a="1"/>
  <c r="M67" i="5" a="1"/>
  <c r="M19" i="5" a="1"/>
  <c r="N43" i="5" a="1"/>
  <c r="F37" i="5" a="1"/>
  <c r="R7" i="5" a="1"/>
  <c r="L67" i="5" a="1"/>
  <c r="G61" i="5" a="1"/>
  <c r="H61" i="5" a="1"/>
  <c r="E13" i="5" a="1"/>
  <c r="M15" i="26" a="1"/>
  <c r="P61" i="5" a="1"/>
  <c r="I61" i="5" a="1"/>
  <c r="P19" i="5" a="1"/>
  <c r="I49" i="5" a="1"/>
  <c r="R55" i="5" a="1"/>
  <c r="M13" i="5" a="1"/>
  <c r="K37" i="5" a="1"/>
  <c r="R25" i="5" a="1"/>
  <c r="I43" i="5" a="1"/>
  <c r="R73" i="5" a="1"/>
  <c r="G43" i="21"/>
  <c r="G113" i="21"/>
  <c r="G29" i="21"/>
  <c r="G22" i="21"/>
  <c r="G176" i="21"/>
  <c r="H8" i="46"/>
  <c r="N29" i="26" a="1"/>
  <c r="T31" i="5" a="1"/>
  <c r="M61" i="5" a="1"/>
  <c r="S19" i="5" a="1"/>
  <c r="M37" i="5" a="1"/>
  <c r="N37" i="5" a="1"/>
  <c r="T43" i="5" a="1"/>
  <c r="O61" i="5" a="1"/>
  <c r="L29" i="26" a="1"/>
  <c r="G55" i="5" a="1"/>
  <c r="K13" i="5" a="1"/>
  <c r="H55" i="5" a="1"/>
  <c r="R29" i="26" a="1"/>
  <c r="I55" i="5" a="1"/>
  <c r="F13" i="5" a="1"/>
  <c r="R49" i="5" a="1"/>
  <c r="Q15" i="26" a="1"/>
  <c r="J49" i="5" a="1"/>
  <c r="S13" i="5" a="1"/>
  <c r="O29" i="26" a="1"/>
  <c r="F73" i="5" a="1"/>
  <c r="J25" i="5" a="1"/>
  <c r="G58" i="21"/>
  <c r="G86" i="21"/>
  <c r="G65" i="21"/>
  <c r="G282" i="21"/>
  <c r="G142" i="21"/>
  <c r="E29" i="26" a="1"/>
  <c r="T29" i="26" a="1"/>
  <c r="J29" i="26" a="1"/>
  <c r="E55" i="5" a="1"/>
  <c r="I13" i="5" a="1"/>
  <c r="F31" i="5" a="1"/>
  <c r="N31" i="5" a="1"/>
  <c r="T13" i="5" a="1"/>
  <c r="O55" i="5" a="1"/>
  <c r="J15" i="26" a="1"/>
  <c r="P55" i="5" a="1"/>
  <c r="Q13" i="5" a="1"/>
  <c r="H49" i="5" a="1"/>
  <c r="Q55" i="5" a="1"/>
  <c r="L13" i="5" a="1"/>
  <c r="Q43" i="5" a="1"/>
  <c r="J43" i="5" a="1"/>
  <c r="I7" i="5" a="1"/>
  <c r="S31" i="5" a="1"/>
  <c r="R43" i="5" a="1"/>
  <c r="S55" i="5" a="1"/>
  <c r="S15" i="26" a="1"/>
  <c r="G43" i="5" a="1"/>
  <c r="R37" i="5" a="1"/>
  <c r="M25" i="5" a="1"/>
  <c r="P7" i="5" a="1"/>
  <c r="K55" i="5" a="1"/>
  <c r="G57" i="21"/>
  <c r="G85" i="21"/>
  <c r="G64" i="21"/>
  <c r="G281" i="21"/>
  <c r="G141" i="21"/>
  <c r="K29" i="26" a="1"/>
  <c r="E15" i="26" a="1"/>
  <c r="I29" i="26" a="1"/>
  <c r="P29" i="26" a="1"/>
  <c r="L73" i="5" a="1"/>
  <c r="F19" i="5" a="1"/>
  <c r="E49" i="5" a="1"/>
  <c r="O13" i="5" a="1"/>
  <c r="E25" i="5" a="1"/>
  <c r="L25" i="5" a="1"/>
  <c r="G49" i="5" a="1"/>
  <c r="O49" i="5" a="1"/>
  <c r="G7" i="5" a="1"/>
  <c r="P49" i="5" a="1"/>
  <c r="Q49" i="5" a="1"/>
  <c r="R13" i="5" a="1"/>
  <c r="J37" i="5" a="1"/>
  <c r="T73" i="5" a="1"/>
  <c r="H7" i="5" a="1"/>
  <c r="I67" i="5" a="1"/>
  <c r="E188" i="31" l="1"/>
  <c r="E272" i="31"/>
  <c r="E223" i="31"/>
  <c r="E252" i="31"/>
  <c r="F36" i="31" a="1"/>
  <c r="F36" i="31" s="1"/>
  <c r="F32" i="31" s="1"/>
  <c r="G36" i="31" a="1"/>
  <c r="G36" i="31" s="1"/>
  <c r="G32" i="31" s="1"/>
  <c r="H36" i="31" a="1"/>
  <c r="H36" i="31" s="1"/>
  <c r="H32" i="31" s="1"/>
  <c r="I36" i="31" a="1"/>
  <c r="I36" i="31" s="1"/>
  <c r="I32" i="31" s="1"/>
  <c r="J36" i="31" a="1"/>
  <c r="J36" i="31" s="1"/>
  <c r="J32" i="31" s="1"/>
  <c r="K36" i="31" a="1"/>
  <c r="K36" i="31" s="1"/>
  <c r="K32" i="31" s="1"/>
  <c r="L36" i="31" a="1"/>
  <c r="L36" i="31" s="1"/>
  <c r="L32" i="31" s="1"/>
  <c r="M36" i="31" a="1"/>
  <c r="M36" i="31" s="1"/>
  <c r="M32" i="31" s="1"/>
  <c r="N36" i="31" a="1"/>
  <c r="N36" i="31" s="1"/>
  <c r="N32" i="31" s="1"/>
  <c r="O36" i="31" a="1"/>
  <c r="O36" i="31" s="1"/>
  <c r="O32" i="31" s="1"/>
  <c r="P36" i="31" a="1"/>
  <c r="P36" i="31" s="1"/>
  <c r="P32" i="31" s="1"/>
  <c r="Q36" i="31" a="1"/>
  <c r="Q36" i="31" s="1"/>
  <c r="Q32" i="31" s="1"/>
  <c r="R36" i="31" a="1"/>
  <c r="R36" i="31" s="1"/>
  <c r="R32" i="31" s="1"/>
  <c r="S36" i="31" a="1"/>
  <c r="S36" i="31" s="1"/>
  <c r="S32" i="31" s="1"/>
  <c r="T36" i="31" a="1"/>
  <c r="T36" i="31" s="1"/>
  <c r="T32" i="31" s="1"/>
  <c r="U36" i="31" a="1"/>
  <c r="U36" i="31" s="1"/>
  <c r="U32" i="31" s="1"/>
  <c r="F43" i="31" a="1"/>
  <c r="F43" i="31" s="1"/>
  <c r="F39" i="31" s="1"/>
  <c r="G43" i="31" a="1"/>
  <c r="G43" i="31" s="1"/>
  <c r="G39" i="31" s="1"/>
  <c r="H43" i="31" a="1"/>
  <c r="H43" i="31" s="1"/>
  <c r="H39" i="31" s="1"/>
  <c r="I43" i="31" a="1"/>
  <c r="I43" i="31" s="1"/>
  <c r="I39" i="31" s="1"/>
  <c r="J43" i="31" a="1"/>
  <c r="J43" i="31" s="1"/>
  <c r="J39" i="31" s="1"/>
  <c r="K43" i="31" a="1"/>
  <c r="K43" i="31" s="1"/>
  <c r="K39" i="31" s="1"/>
  <c r="L43" i="31" a="1"/>
  <c r="L43" i="31" s="1"/>
  <c r="L39" i="31" s="1"/>
  <c r="M43" i="31" a="1"/>
  <c r="M43" i="31" s="1"/>
  <c r="M39" i="31" s="1"/>
  <c r="N43" i="31" a="1"/>
  <c r="N43" i="31" s="1"/>
  <c r="N39" i="31" s="1"/>
  <c r="O43" i="31" a="1"/>
  <c r="O43" i="31" s="1"/>
  <c r="O39" i="31" s="1"/>
  <c r="P43" i="31" a="1"/>
  <c r="P43" i="31" s="1"/>
  <c r="P39" i="31" s="1"/>
  <c r="Q43" i="31" a="1"/>
  <c r="Q43" i="31" s="1"/>
  <c r="Q39" i="31" s="1"/>
  <c r="R43" i="31" a="1"/>
  <c r="R43" i="31" s="1"/>
  <c r="R39" i="31" s="1"/>
  <c r="S43" i="31" a="1"/>
  <c r="S43" i="31" s="1"/>
  <c r="S39" i="31" s="1"/>
  <c r="T43" i="31" a="1"/>
  <c r="T43" i="31" s="1"/>
  <c r="T39" i="31" s="1"/>
  <c r="U43" i="31" a="1"/>
  <c r="U43" i="31" s="1"/>
  <c r="U39" i="31" s="1"/>
  <c r="F50" i="31" a="1"/>
  <c r="F50" i="31" s="1"/>
  <c r="F46" i="31" s="1"/>
  <c r="G50" i="31" a="1"/>
  <c r="G50" i="31" s="1"/>
  <c r="G46" i="31" s="1"/>
  <c r="H50" i="31" a="1"/>
  <c r="H50" i="31" s="1"/>
  <c r="H46" i="31" s="1"/>
  <c r="I50" i="31" a="1"/>
  <c r="I50" i="31" s="1"/>
  <c r="I46" i="31" s="1"/>
  <c r="J50" i="31" a="1"/>
  <c r="J50" i="31" s="1"/>
  <c r="J46" i="31" s="1"/>
  <c r="K50" i="31" a="1"/>
  <c r="K50" i="31" s="1"/>
  <c r="K46" i="31" s="1"/>
  <c r="L50" i="31" a="1"/>
  <c r="L50" i="31" s="1"/>
  <c r="L46" i="31" s="1"/>
  <c r="M50" i="31" a="1"/>
  <c r="M50" i="31" s="1"/>
  <c r="M46" i="31" s="1"/>
  <c r="N50" i="31" a="1"/>
  <c r="N50" i="31" s="1"/>
  <c r="N46" i="31" s="1"/>
  <c r="O50" i="31" a="1"/>
  <c r="O50" i="31" s="1"/>
  <c r="O46" i="31" s="1"/>
  <c r="P50" i="31" a="1"/>
  <c r="P50" i="31" s="1"/>
  <c r="P46" i="31" s="1"/>
  <c r="Q50" i="31" a="1"/>
  <c r="Q50" i="31" s="1"/>
  <c r="Q46" i="31" s="1"/>
  <c r="R50" i="31" a="1"/>
  <c r="R50" i="31" s="1"/>
  <c r="R46" i="31" s="1"/>
  <c r="S50" i="31" a="1"/>
  <c r="S50" i="31" s="1"/>
  <c r="S46" i="31" s="1"/>
  <c r="T50" i="31" a="1"/>
  <c r="T50" i="31" s="1"/>
  <c r="T46" i="31" s="1"/>
  <c r="U50" i="31" a="1"/>
  <c r="U50" i="31" s="1"/>
  <c r="U46" i="31" s="1"/>
  <c r="F57" i="31" a="1"/>
  <c r="F57" i="31" s="1"/>
  <c r="F53" i="31" s="1"/>
  <c r="G57" i="31" a="1"/>
  <c r="G57" i="31" s="1"/>
  <c r="G53" i="31" s="1"/>
  <c r="H57" i="31" a="1"/>
  <c r="H57" i="31" s="1"/>
  <c r="H53" i="31" s="1"/>
  <c r="I57" i="31" a="1"/>
  <c r="I57" i="31" s="1"/>
  <c r="I53" i="31" s="1"/>
  <c r="J57" i="31" a="1"/>
  <c r="J57" i="31" s="1"/>
  <c r="J53" i="31" s="1"/>
  <c r="K57" i="31" a="1"/>
  <c r="K57" i="31" s="1"/>
  <c r="K53" i="31" s="1"/>
  <c r="L57" i="31" a="1"/>
  <c r="L57" i="31" s="1"/>
  <c r="L53" i="31" s="1"/>
  <c r="M57" i="31" a="1"/>
  <c r="M57" i="31" s="1"/>
  <c r="M53" i="31" s="1"/>
  <c r="N57" i="31" a="1"/>
  <c r="N57" i="31" s="1"/>
  <c r="N53" i="31" s="1"/>
  <c r="O57" i="31" a="1"/>
  <c r="O57" i="31" s="1"/>
  <c r="O53" i="31" s="1"/>
  <c r="P57" i="31" a="1"/>
  <c r="P57" i="31" s="1"/>
  <c r="P53" i="31" s="1"/>
  <c r="Q57" i="31" a="1"/>
  <c r="Q57" i="31" s="1"/>
  <c r="Q53" i="31" s="1"/>
  <c r="R57" i="31" a="1"/>
  <c r="R57" i="31" s="1"/>
  <c r="R53" i="31" s="1"/>
  <c r="S57" i="31" a="1"/>
  <c r="S57" i="31" s="1"/>
  <c r="S53" i="31" s="1"/>
  <c r="T57" i="31" a="1"/>
  <c r="T57" i="31" s="1"/>
  <c r="T53" i="31" s="1"/>
  <c r="U57" i="31" a="1"/>
  <c r="U57" i="31" s="1"/>
  <c r="U53" i="31" s="1"/>
  <c r="F64" i="31" a="1"/>
  <c r="F64" i="31" s="1"/>
  <c r="F60" i="31" s="1"/>
  <c r="G64" i="31" a="1"/>
  <c r="G64" i="31" s="1"/>
  <c r="G60" i="31" s="1"/>
  <c r="H64" i="31" a="1"/>
  <c r="H64" i="31" s="1"/>
  <c r="H60" i="31" s="1"/>
  <c r="I64" i="31" a="1"/>
  <c r="I64" i="31" s="1"/>
  <c r="I60" i="31" s="1"/>
  <c r="J64" i="31" a="1"/>
  <c r="J64" i="31" s="1"/>
  <c r="J60" i="31" s="1"/>
  <c r="K64" i="31" a="1"/>
  <c r="K64" i="31" s="1"/>
  <c r="K60" i="31" s="1"/>
  <c r="L64" i="31" a="1"/>
  <c r="L64" i="31" s="1"/>
  <c r="L60" i="31" s="1"/>
  <c r="M64" i="31" a="1"/>
  <c r="M64" i="31" s="1"/>
  <c r="M60" i="31" s="1"/>
  <c r="N64" i="31" a="1"/>
  <c r="N64" i="31" s="1"/>
  <c r="N60" i="31" s="1"/>
  <c r="O64" i="31" a="1"/>
  <c r="O64" i="31" s="1"/>
  <c r="O60" i="31" s="1"/>
  <c r="P64" i="31" a="1"/>
  <c r="P64" i="31" s="1"/>
  <c r="P60" i="31" s="1"/>
  <c r="Q64" i="31" a="1"/>
  <c r="Q64" i="31" s="1"/>
  <c r="Q60" i="31" s="1"/>
  <c r="R64" i="31" a="1"/>
  <c r="R64" i="31" s="1"/>
  <c r="R60" i="31" s="1"/>
  <c r="S64" i="31" a="1"/>
  <c r="S64" i="31" s="1"/>
  <c r="S60" i="31" s="1"/>
  <c r="T64" i="31" a="1"/>
  <c r="T64" i="31" s="1"/>
  <c r="T60" i="31" s="1"/>
  <c r="U64" i="31" a="1"/>
  <c r="U64" i="31" s="1"/>
  <c r="U60" i="31" s="1"/>
  <c r="F71" i="31" a="1"/>
  <c r="F71" i="31" s="1"/>
  <c r="F67" i="31" s="1"/>
  <c r="G71" i="31" a="1"/>
  <c r="G71" i="31" s="1"/>
  <c r="G67" i="31" s="1"/>
  <c r="H71" i="31" a="1"/>
  <c r="H71" i="31" s="1"/>
  <c r="H67" i="31" s="1"/>
  <c r="I71" i="31" a="1"/>
  <c r="I71" i="31" s="1"/>
  <c r="I67" i="31" s="1"/>
  <c r="J71" i="31" a="1"/>
  <c r="J71" i="31" s="1"/>
  <c r="J67" i="31" s="1"/>
  <c r="K71" i="31" a="1"/>
  <c r="K71" i="31" s="1"/>
  <c r="K67" i="31" s="1"/>
  <c r="L71" i="31" a="1"/>
  <c r="L71" i="31" s="1"/>
  <c r="L67" i="31" s="1"/>
  <c r="M71" i="31" a="1"/>
  <c r="M71" i="31" s="1"/>
  <c r="M67" i="31" s="1"/>
  <c r="N71" i="31" a="1"/>
  <c r="N71" i="31" s="1"/>
  <c r="N67" i="31" s="1"/>
  <c r="O71" i="31" a="1"/>
  <c r="O71" i="31" s="1"/>
  <c r="O67" i="31" s="1"/>
  <c r="P71" i="31" a="1"/>
  <c r="P71" i="31" s="1"/>
  <c r="P67" i="31" s="1"/>
  <c r="Q71" i="31" a="1"/>
  <c r="Q71" i="31" s="1"/>
  <c r="Q67" i="31" s="1"/>
  <c r="R71" i="31" a="1"/>
  <c r="R71" i="31" s="1"/>
  <c r="R67" i="31" s="1"/>
  <c r="S71" i="31" a="1"/>
  <c r="S71" i="31" s="1"/>
  <c r="S67" i="31" s="1"/>
  <c r="T71" i="31" a="1"/>
  <c r="T71" i="31" s="1"/>
  <c r="T67" i="31" s="1"/>
  <c r="U71" i="31" a="1"/>
  <c r="U71" i="31" s="1"/>
  <c r="U67" i="31" s="1"/>
  <c r="F78" i="31" a="1"/>
  <c r="F78" i="31" s="1"/>
  <c r="F74" i="31" s="1"/>
  <c r="G78" i="31" a="1"/>
  <c r="G78" i="31" s="1"/>
  <c r="G74" i="31" s="1"/>
  <c r="H78" i="31" a="1"/>
  <c r="H78" i="31" s="1"/>
  <c r="H74" i="31" s="1"/>
  <c r="I78" i="31" a="1"/>
  <c r="I78" i="31" s="1"/>
  <c r="I74" i="31" s="1"/>
  <c r="J78" i="31" a="1"/>
  <c r="J78" i="31" s="1"/>
  <c r="J74" i="31" s="1"/>
  <c r="K78" i="31" a="1"/>
  <c r="K78" i="31" s="1"/>
  <c r="K74" i="31" s="1"/>
  <c r="L78" i="31" a="1"/>
  <c r="L78" i="31" s="1"/>
  <c r="L74" i="31" s="1"/>
  <c r="M78" i="31" a="1"/>
  <c r="M78" i="31" s="1"/>
  <c r="M74" i="31" s="1"/>
  <c r="N78" i="31" a="1"/>
  <c r="N78" i="31" s="1"/>
  <c r="N74" i="31" s="1"/>
  <c r="O78" i="31" a="1"/>
  <c r="O78" i="31" s="1"/>
  <c r="O74" i="31" s="1"/>
  <c r="P78" i="31" a="1"/>
  <c r="P78" i="31" s="1"/>
  <c r="P74" i="31" s="1"/>
  <c r="Q78" i="31" a="1"/>
  <c r="Q78" i="31" s="1"/>
  <c r="Q74" i="31" s="1"/>
  <c r="R78" i="31" a="1"/>
  <c r="R78" i="31" s="1"/>
  <c r="R74" i="31" s="1"/>
  <c r="S78" i="31" a="1"/>
  <c r="S78" i="31" s="1"/>
  <c r="S74" i="31" s="1"/>
  <c r="T78" i="31" a="1"/>
  <c r="T78" i="31" s="1"/>
  <c r="T74" i="31" s="1"/>
  <c r="U78" i="31" a="1"/>
  <c r="U78" i="31" s="1"/>
  <c r="U74" i="31" s="1"/>
  <c r="F85" i="31" a="1"/>
  <c r="F85" i="31" s="1"/>
  <c r="F81" i="31" s="1"/>
  <c r="G85" i="31" a="1"/>
  <c r="G85" i="31" s="1"/>
  <c r="G81" i="31" s="1"/>
  <c r="H85" i="31" a="1"/>
  <c r="H85" i="31" s="1"/>
  <c r="H81" i="31" s="1"/>
  <c r="I85" i="31" a="1"/>
  <c r="I85" i="31" s="1"/>
  <c r="I81" i="31" s="1"/>
  <c r="J85" i="31" a="1"/>
  <c r="J85" i="31" s="1"/>
  <c r="J81" i="31" s="1"/>
  <c r="K85" i="31" a="1"/>
  <c r="K85" i="31" s="1"/>
  <c r="K81" i="31" s="1"/>
  <c r="L85" i="31" a="1"/>
  <c r="L85" i="31" s="1"/>
  <c r="L81" i="31" s="1"/>
  <c r="M85" i="31" a="1"/>
  <c r="M85" i="31" s="1"/>
  <c r="M81" i="31" s="1"/>
  <c r="N85" i="31" a="1"/>
  <c r="N85" i="31" s="1"/>
  <c r="N81" i="31" s="1"/>
  <c r="O85" i="31" a="1"/>
  <c r="O85" i="31" s="1"/>
  <c r="O81" i="31" s="1"/>
  <c r="P85" i="31" a="1"/>
  <c r="P85" i="31" s="1"/>
  <c r="P81" i="31" s="1"/>
  <c r="Q85" i="31" a="1"/>
  <c r="Q85" i="31" s="1"/>
  <c r="Q81" i="31" s="1"/>
  <c r="R85" i="31" a="1"/>
  <c r="R85" i="31" s="1"/>
  <c r="R81" i="31" s="1"/>
  <c r="S85" i="31" a="1"/>
  <c r="S85" i="31" s="1"/>
  <c r="S81" i="31" s="1"/>
  <c r="T85" i="31" a="1"/>
  <c r="T85" i="31" s="1"/>
  <c r="T81" i="31" s="1"/>
  <c r="U85" i="31" a="1"/>
  <c r="U85" i="31" s="1"/>
  <c r="U81" i="31" s="1"/>
  <c r="F92" i="31" a="1"/>
  <c r="F92" i="31" s="1"/>
  <c r="F88" i="31" s="1"/>
  <c r="G92" i="31" a="1"/>
  <c r="G92" i="31" s="1"/>
  <c r="G88" i="31" s="1"/>
  <c r="H92" i="31" a="1"/>
  <c r="H92" i="31" s="1"/>
  <c r="H88" i="31" s="1"/>
  <c r="I92" i="31" a="1"/>
  <c r="I92" i="31" s="1"/>
  <c r="I88" i="31" s="1"/>
  <c r="J92" i="31" a="1"/>
  <c r="J92" i="31" s="1"/>
  <c r="J88" i="31" s="1"/>
  <c r="K92" i="31" a="1"/>
  <c r="K92" i="31" s="1"/>
  <c r="K88" i="31" s="1"/>
  <c r="L92" i="31" a="1"/>
  <c r="L92" i="31" s="1"/>
  <c r="L88" i="31" s="1"/>
  <c r="M92" i="31" a="1"/>
  <c r="M92" i="31" s="1"/>
  <c r="M88" i="31" s="1"/>
  <c r="N92" i="31" a="1"/>
  <c r="N92" i="31" s="1"/>
  <c r="N88" i="31" s="1"/>
  <c r="O92" i="31" a="1"/>
  <c r="O92" i="31" s="1"/>
  <c r="O88" i="31" s="1"/>
  <c r="P92" i="31" a="1"/>
  <c r="P92" i="31" s="1"/>
  <c r="P88" i="31" s="1"/>
  <c r="Q92" i="31" a="1"/>
  <c r="Q92" i="31" s="1"/>
  <c r="Q88" i="31" s="1"/>
  <c r="R92" i="31" a="1"/>
  <c r="R92" i="31" s="1"/>
  <c r="R88" i="31" s="1"/>
  <c r="S92" i="31" a="1"/>
  <c r="S92" i="31" s="1"/>
  <c r="S88" i="31" s="1"/>
  <c r="T92" i="31" a="1"/>
  <c r="T92" i="31" s="1"/>
  <c r="T88" i="31" s="1"/>
  <c r="U92" i="31" a="1"/>
  <c r="U92" i="31" s="1"/>
  <c r="U88" i="31" s="1"/>
  <c r="F99" i="31" a="1"/>
  <c r="F99" i="31" s="1"/>
  <c r="F95" i="31" s="1"/>
  <c r="G99" i="31" a="1"/>
  <c r="G99" i="31" s="1"/>
  <c r="G95" i="31" s="1"/>
  <c r="H99" i="31" a="1"/>
  <c r="H99" i="31" s="1"/>
  <c r="H95" i="31" s="1"/>
  <c r="I99" i="31" a="1"/>
  <c r="I99" i="31" s="1"/>
  <c r="I95" i="31" s="1"/>
  <c r="J99" i="31" a="1"/>
  <c r="J99" i="31" s="1"/>
  <c r="J95" i="31" s="1"/>
  <c r="K99" i="31" a="1"/>
  <c r="K99" i="31" s="1"/>
  <c r="K95" i="31" s="1"/>
  <c r="L99" i="31" a="1"/>
  <c r="L99" i="31" s="1"/>
  <c r="L95" i="31" s="1"/>
  <c r="M99" i="31" a="1"/>
  <c r="M99" i="31" s="1"/>
  <c r="M95" i="31" s="1"/>
  <c r="N99" i="31" a="1"/>
  <c r="N99" i="31" s="1"/>
  <c r="N95" i="31" s="1"/>
  <c r="O99" i="31" a="1"/>
  <c r="O99" i="31" s="1"/>
  <c r="O95" i="31" s="1"/>
  <c r="P99" i="31" a="1"/>
  <c r="P99" i="31" s="1"/>
  <c r="P95" i="31" s="1"/>
  <c r="Q99" i="31" a="1"/>
  <c r="Q99" i="31" s="1"/>
  <c r="Q95" i="31" s="1"/>
  <c r="R99" i="31" a="1"/>
  <c r="R99" i="31" s="1"/>
  <c r="R95" i="31" s="1"/>
  <c r="S99" i="31" a="1"/>
  <c r="S99" i="31" s="1"/>
  <c r="S95" i="31" s="1"/>
  <c r="T99" i="31" a="1"/>
  <c r="T99" i="31" s="1"/>
  <c r="T95" i="31" s="1"/>
  <c r="U99" i="31" a="1"/>
  <c r="U99" i="31" s="1"/>
  <c r="U95" i="31" s="1"/>
  <c r="F106" i="31" a="1"/>
  <c r="F106" i="31" s="1"/>
  <c r="F102" i="31" s="1"/>
  <c r="G106" i="31" a="1"/>
  <c r="G106" i="31" s="1"/>
  <c r="G102" i="31" s="1"/>
  <c r="H106" i="31" a="1"/>
  <c r="H106" i="31" s="1"/>
  <c r="H102" i="31" s="1"/>
  <c r="I106" i="31" a="1"/>
  <c r="I106" i="31" s="1"/>
  <c r="I102" i="31" s="1"/>
  <c r="J106" i="31" a="1"/>
  <c r="J106" i="31" s="1"/>
  <c r="J102" i="31" s="1"/>
  <c r="K106" i="31" a="1"/>
  <c r="K106" i="31" s="1"/>
  <c r="K102" i="31" s="1"/>
  <c r="L106" i="31" a="1"/>
  <c r="L106" i="31" s="1"/>
  <c r="L102" i="31" s="1"/>
  <c r="M106" i="31" a="1"/>
  <c r="M106" i="31" s="1"/>
  <c r="M102" i="31" s="1"/>
  <c r="N106" i="31" a="1"/>
  <c r="N106" i="31" s="1"/>
  <c r="N102" i="31" s="1"/>
  <c r="O106" i="31" a="1"/>
  <c r="O106" i="31" s="1"/>
  <c r="O102" i="31" s="1"/>
  <c r="P106" i="31" a="1"/>
  <c r="P106" i="31" s="1"/>
  <c r="P102" i="31" s="1"/>
  <c r="Q106" i="31" a="1"/>
  <c r="Q106" i="31" s="1"/>
  <c r="Q102" i="31" s="1"/>
  <c r="R106" i="31" a="1"/>
  <c r="R106" i="31" s="1"/>
  <c r="R102" i="31" s="1"/>
  <c r="S106" i="31" a="1"/>
  <c r="S106" i="31" s="1"/>
  <c r="S102" i="31" s="1"/>
  <c r="T106" i="31" a="1"/>
  <c r="T106" i="31" s="1"/>
  <c r="T102" i="31" s="1"/>
  <c r="U106" i="31" a="1"/>
  <c r="U106" i="31" s="1"/>
  <c r="U102" i="31" s="1"/>
  <c r="F113" i="31" a="1"/>
  <c r="F113" i="31" s="1"/>
  <c r="F109" i="31" s="1"/>
  <c r="G113" i="31" a="1"/>
  <c r="G113" i="31" s="1"/>
  <c r="G109" i="31" s="1"/>
  <c r="H113" i="31" a="1"/>
  <c r="H113" i="31" s="1"/>
  <c r="H109" i="31" s="1"/>
  <c r="I113" i="31" a="1"/>
  <c r="I113" i="31" s="1"/>
  <c r="I109" i="31" s="1"/>
  <c r="J113" i="31" a="1"/>
  <c r="J113" i="31" s="1"/>
  <c r="J109" i="31" s="1"/>
  <c r="K113" i="31" a="1"/>
  <c r="K113" i="31" s="1"/>
  <c r="K109" i="31" s="1"/>
  <c r="L113" i="31" a="1"/>
  <c r="L113" i="31" s="1"/>
  <c r="L109" i="31" s="1"/>
  <c r="M113" i="31" a="1"/>
  <c r="M113" i="31" s="1"/>
  <c r="M109" i="31" s="1"/>
  <c r="N113" i="31" a="1"/>
  <c r="N113" i="31" s="1"/>
  <c r="N109" i="31" s="1"/>
  <c r="O113" i="31" a="1"/>
  <c r="O113" i="31" s="1"/>
  <c r="O109" i="31" s="1"/>
  <c r="P113" i="31" a="1"/>
  <c r="P113" i="31" s="1"/>
  <c r="P109" i="31" s="1"/>
  <c r="Q113" i="31" a="1"/>
  <c r="Q113" i="31" s="1"/>
  <c r="Q109" i="31" s="1"/>
  <c r="R113" i="31" a="1"/>
  <c r="R113" i="31" s="1"/>
  <c r="R109" i="31" s="1"/>
  <c r="S113" i="31" a="1"/>
  <c r="S113" i="31" s="1"/>
  <c r="S109" i="31" s="1"/>
  <c r="T113" i="31" a="1"/>
  <c r="T113" i="31" s="1"/>
  <c r="T109" i="31" s="1"/>
  <c r="U113" i="31" a="1"/>
  <c r="U113" i="31" s="1"/>
  <c r="U109" i="31" s="1"/>
  <c r="F120" i="31" a="1"/>
  <c r="F120" i="31" s="1"/>
  <c r="F116" i="31" s="1"/>
  <c r="G120" i="31" a="1"/>
  <c r="G120" i="31" s="1"/>
  <c r="G116" i="31" s="1"/>
  <c r="H120" i="31" a="1"/>
  <c r="H120" i="31" s="1"/>
  <c r="H116" i="31" s="1"/>
  <c r="I120" i="31" a="1"/>
  <c r="I120" i="31" s="1"/>
  <c r="I116" i="31" s="1"/>
  <c r="J120" i="31" a="1"/>
  <c r="J120" i="31" s="1"/>
  <c r="J116" i="31" s="1"/>
  <c r="K120" i="31" a="1"/>
  <c r="K120" i="31" s="1"/>
  <c r="K116" i="31" s="1"/>
  <c r="L120" i="31" a="1"/>
  <c r="L120" i="31" s="1"/>
  <c r="L116" i="31" s="1"/>
  <c r="M120" i="31" a="1"/>
  <c r="M120" i="31" s="1"/>
  <c r="M116" i="31" s="1"/>
  <c r="N120" i="31" a="1"/>
  <c r="N120" i="31" s="1"/>
  <c r="N116" i="31" s="1"/>
  <c r="O120" i="31" a="1"/>
  <c r="O120" i="31" s="1"/>
  <c r="O116" i="31" s="1"/>
  <c r="P120" i="31" a="1"/>
  <c r="P120" i="31" s="1"/>
  <c r="P116" i="31" s="1"/>
  <c r="Q120" i="31" a="1"/>
  <c r="Q120" i="31" s="1"/>
  <c r="Q116" i="31" s="1"/>
  <c r="R120" i="31" a="1"/>
  <c r="R120" i="31" s="1"/>
  <c r="R116" i="31" s="1"/>
  <c r="S120" i="31" a="1"/>
  <c r="S120" i="31" s="1"/>
  <c r="S116" i="31" s="1"/>
  <c r="T120" i="31" a="1"/>
  <c r="T120" i="31" s="1"/>
  <c r="T116" i="31" s="1"/>
  <c r="U120" i="31" a="1"/>
  <c r="U120" i="31" s="1"/>
  <c r="U116" i="31" s="1"/>
  <c r="F127" i="31" a="1"/>
  <c r="F127" i="31" s="1"/>
  <c r="F123" i="31" s="1"/>
  <c r="G127" i="31" a="1"/>
  <c r="G127" i="31" s="1"/>
  <c r="G123" i="31" s="1"/>
  <c r="H127" i="31" a="1"/>
  <c r="H127" i="31" s="1"/>
  <c r="H123" i="31" s="1"/>
  <c r="I127" i="31" a="1"/>
  <c r="I127" i="31" s="1"/>
  <c r="I123" i="31" s="1"/>
  <c r="J127" i="31" a="1"/>
  <c r="J127" i="31" s="1"/>
  <c r="J123" i="31" s="1"/>
  <c r="K127" i="31" a="1"/>
  <c r="K127" i="31" s="1"/>
  <c r="K123" i="31" s="1"/>
  <c r="L127" i="31" a="1"/>
  <c r="L127" i="31" s="1"/>
  <c r="L123" i="31" s="1"/>
  <c r="M127" i="31" a="1"/>
  <c r="M127" i="31" s="1"/>
  <c r="M123" i="31" s="1"/>
  <c r="N127" i="31" a="1"/>
  <c r="N127" i="31" s="1"/>
  <c r="N123" i="31" s="1"/>
  <c r="O127" i="31" a="1"/>
  <c r="O127" i="31" s="1"/>
  <c r="O123" i="31" s="1"/>
  <c r="P127" i="31" a="1"/>
  <c r="P127" i="31" s="1"/>
  <c r="P123" i="31" s="1"/>
  <c r="Q127" i="31" a="1"/>
  <c r="Q127" i="31" s="1"/>
  <c r="Q123" i="31" s="1"/>
  <c r="R127" i="31" a="1"/>
  <c r="R127" i="31" s="1"/>
  <c r="R123" i="31" s="1"/>
  <c r="S127" i="31" a="1"/>
  <c r="S127" i="31" s="1"/>
  <c r="S123" i="31" s="1"/>
  <c r="T127" i="31" a="1"/>
  <c r="T127" i="31" s="1"/>
  <c r="T123" i="31" s="1"/>
  <c r="U127" i="31" a="1"/>
  <c r="U127" i="31" s="1"/>
  <c r="U123" i="31" s="1"/>
  <c r="F134" i="31" a="1"/>
  <c r="F134" i="31" s="1"/>
  <c r="F130" i="31" s="1"/>
  <c r="G134" i="31" a="1"/>
  <c r="G134" i="31" s="1"/>
  <c r="G130" i="31" s="1"/>
  <c r="H134" i="31" a="1"/>
  <c r="H134" i="31" s="1"/>
  <c r="H130" i="31" s="1"/>
  <c r="I134" i="31" a="1"/>
  <c r="I134" i="31" s="1"/>
  <c r="I130" i="31" s="1"/>
  <c r="J134" i="31" a="1"/>
  <c r="J134" i="31" s="1"/>
  <c r="J130" i="31" s="1"/>
  <c r="K134" i="31" a="1"/>
  <c r="K134" i="31" s="1"/>
  <c r="K130" i="31" s="1"/>
  <c r="L134" i="31" a="1"/>
  <c r="L134" i="31" s="1"/>
  <c r="L130" i="31" s="1"/>
  <c r="M134" i="31" a="1"/>
  <c r="M134" i="31" s="1"/>
  <c r="M130" i="31" s="1"/>
  <c r="N134" i="31" a="1"/>
  <c r="N134" i="31" s="1"/>
  <c r="N130" i="31" s="1"/>
  <c r="O134" i="31" a="1"/>
  <c r="O134" i="31" s="1"/>
  <c r="O130" i="31" s="1"/>
  <c r="P134" i="31" a="1"/>
  <c r="P134" i="31" s="1"/>
  <c r="P130" i="31" s="1"/>
  <c r="Q134" i="31" a="1"/>
  <c r="Q134" i="31" s="1"/>
  <c r="Q130" i="31" s="1"/>
  <c r="R134" i="31" a="1"/>
  <c r="R134" i="31" s="1"/>
  <c r="R130" i="31" s="1"/>
  <c r="S134" i="31" a="1"/>
  <c r="S134" i="31" s="1"/>
  <c r="S130" i="31" s="1"/>
  <c r="T134" i="31" a="1"/>
  <c r="T134" i="31" s="1"/>
  <c r="T130" i="31" s="1"/>
  <c r="U134" i="31" a="1"/>
  <c r="U134" i="31" s="1"/>
  <c r="U130" i="31" s="1"/>
  <c r="F141" i="31" a="1"/>
  <c r="F141" i="31" s="1"/>
  <c r="F137" i="31" s="1"/>
  <c r="G141" i="31" a="1"/>
  <c r="G141" i="31" s="1"/>
  <c r="G137" i="31" s="1"/>
  <c r="H141" i="31" a="1"/>
  <c r="H141" i="31" s="1"/>
  <c r="H137" i="31" s="1"/>
  <c r="I141" i="31" a="1"/>
  <c r="I141" i="31" s="1"/>
  <c r="I137" i="31" s="1"/>
  <c r="J141" i="31" a="1"/>
  <c r="J141" i="31" s="1"/>
  <c r="J137" i="31" s="1"/>
  <c r="K141" i="31" a="1"/>
  <c r="K141" i="31" s="1"/>
  <c r="K137" i="31" s="1"/>
  <c r="L141" i="31" a="1"/>
  <c r="L141" i="31" s="1"/>
  <c r="L137" i="31" s="1"/>
  <c r="M141" i="31" a="1"/>
  <c r="M141" i="31" s="1"/>
  <c r="M137" i="31" s="1"/>
  <c r="N141" i="31" a="1"/>
  <c r="N141" i="31" s="1"/>
  <c r="N137" i="31" s="1"/>
  <c r="O141" i="31" a="1"/>
  <c r="O141" i="31" s="1"/>
  <c r="O137" i="31" s="1"/>
  <c r="P141" i="31" a="1"/>
  <c r="P141" i="31" s="1"/>
  <c r="P137" i="31" s="1"/>
  <c r="Q141" i="31" a="1"/>
  <c r="Q141" i="31" s="1"/>
  <c r="Q137" i="31" s="1"/>
  <c r="R141" i="31" a="1"/>
  <c r="R141" i="31" s="1"/>
  <c r="R137" i="31" s="1"/>
  <c r="S141" i="31" a="1"/>
  <c r="S141" i="31" s="1"/>
  <c r="S137" i="31" s="1"/>
  <c r="T141" i="31" a="1"/>
  <c r="T141" i="31" s="1"/>
  <c r="T137" i="31" s="1"/>
  <c r="U141" i="31" a="1"/>
  <c r="U141" i="31" s="1"/>
  <c r="U137" i="31" s="1"/>
  <c r="F148" i="31" a="1"/>
  <c r="F148" i="31" s="1"/>
  <c r="F144" i="31" s="1"/>
  <c r="G148" i="31" a="1"/>
  <c r="G148" i="31" s="1"/>
  <c r="G144" i="31" s="1"/>
  <c r="H148" i="31" a="1"/>
  <c r="H148" i="31" s="1"/>
  <c r="H144" i="31" s="1"/>
  <c r="I148" i="31" a="1"/>
  <c r="I148" i="31" s="1"/>
  <c r="I144" i="31" s="1"/>
  <c r="J148" i="31" a="1"/>
  <c r="J148" i="31" s="1"/>
  <c r="J144" i="31" s="1"/>
  <c r="K148" i="31" a="1"/>
  <c r="K148" i="31" s="1"/>
  <c r="K144" i="31" s="1"/>
  <c r="L148" i="31" a="1"/>
  <c r="L148" i="31" s="1"/>
  <c r="L144" i="31" s="1"/>
  <c r="M148" i="31" a="1"/>
  <c r="M148" i="31" s="1"/>
  <c r="M144" i="31" s="1"/>
  <c r="N148" i="31" a="1"/>
  <c r="N148" i="31" s="1"/>
  <c r="N144" i="31" s="1"/>
  <c r="O148" i="31" a="1"/>
  <c r="O148" i="31" s="1"/>
  <c r="O144" i="31" s="1"/>
  <c r="P148" i="31" a="1"/>
  <c r="P148" i="31" s="1"/>
  <c r="P144" i="31" s="1"/>
  <c r="Q148" i="31" a="1"/>
  <c r="Q148" i="31" s="1"/>
  <c r="Q144" i="31" s="1"/>
  <c r="R148" i="31" a="1"/>
  <c r="R148" i="31" s="1"/>
  <c r="R144" i="31" s="1"/>
  <c r="S148" i="31" a="1"/>
  <c r="S148" i="31" s="1"/>
  <c r="S144" i="31" s="1"/>
  <c r="T148" i="31" a="1"/>
  <c r="T148" i="31" s="1"/>
  <c r="T144" i="31" s="1"/>
  <c r="U148" i="31" a="1"/>
  <c r="U148" i="31" s="1"/>
  <c r="U144" i="31" s="1"/>
  <c r="F155" i="31" a="1"/>
  <c r="F155" i="31" s="1"/>
  <c r="F151" i="31" s="1"/>
  <c r="G155" i="31" a="1"/>
  <c r="G155" i="31" s="1"/>
  <c r="G151" i="31" s="1"/>
  <c r="H155" i="31" a="1"/>
  <c r="H155" i="31" s="1"/>
  <c r="H151" i="31" s="1"/>
  <c r="I155" i="31" a="1"/>
  <c r="I155" i="31" s="1"/>
  <c r="I151" i="31" s="1"/>
  <c r="J155" i="31" a="1"/>
  <c r="J155" i="31" s="1"/>
  <c r="J151" i="31" s="1"/>
  <c r="K155" i="31" a="1"/>
  <c r="K155" i="31" s="1"/>
  <c r="K151" i="31" s="1"/>
  <c r="L155" i="31" a="1"/>
  <c r="L155" i="31" s="1"/>
  <c r="L151" i="31" s="1"/>
  <c r="M155" i="31" a="1"/>
  <c r="M155" i="31" s="1"/>
  <c r="M151" i="31" s="1"/>
  <c r="N155" i="31" a="1"/>
  <c r="N155" i="31" s="1"/>
  <c r="N151" i="31" s="1"/>
  <c r="O155" i="31" a="1"/>
  <c r="O155" i="31" s="1"/>
  <c r="O151" i="31" s="1"/>
  <c r="P155" i="31" a="1"/>
  <c r="P155" i="31" s="1"/>
  <c r="P151" i="31" s="1"/>
  <c r="Q155" i="31" a="1"/>
  <c r="Q155" i="31" s="1"/>
  <c r="Q151" i="31" s="1"/>
  <c r="R155" i="31" a="1"/>
  <c r="R155" i="31" s="1"/>
  <c r="R151" i="31" s="1"/>
  <c r="S155" i="31" a="1"/>
  <c r="S155" i="31" s="1"/>
  <c r="S151" i="31" s="1"/>
  <c r="T155" i="31" a="1"/>
  <c r="T155" i="31" s="1"/>
  <c r="T151" i="31" s="1"/>
  <c r="U155" i="31" a="1"/>
  <c r="U155" i="31" s="1"/>
  <c r="U151" i="31" s="1"/>
  <c r="F162" i="31" a="1"/>
  <c r="F162" i="31" s="1"/>
  <c r="F158" i="31" s="1"/>
  <c r="G162" i="31" a="1"/>
  <c r="G162" i="31" s="1"/>
  <c r="G158" i="31" s="1"/>
  <c r="H162" i="31" a="1"/>
  <c r="H162" i="31" s="1"/>
  <c r="H158" i="31" s="1"/>
  <c r="I162" i="31" a="1"/>
  <c r="I162" i="31" s="1"/>
  <c r="I158" i="31" s="1"/>
  <c r="J162" i="31" a="1"/>
  <c r="J162" i="31" s="1"/>
  <c r="J158" i="31" s="1"/>
  <c r="K162" i="31" a="1"/>
  <c r="K162" i="31" s="1"/>
  <c r="K158" i="31" s="1"/>
  <c r="L162" i="31" a="1"/>
  <c r="L162" i="31" s="1"/>
  <c r="L158" i="31" s="1"/>
  <c r="M162" i="31" a="1"/>
  <c r="M162" i="31" s="1"/>
  <c r="M158" i="31" s="1"/>
  <c r="N162" i="31" a="1"/>
  <c r="N162" i="31" s="1"/>
  <c r="N158" i="31" s="1"/>
  <c r="O162" i="31" a="1"/>
  <c r="O162" i="31" s="1"/>
  <c r="O158" i="31" s="1"/>
  <c r="P162" i="31" a="1"/>
  <c r="P162" i="31" s="1"/>
  <c r="P158" i="31" s="1"/>
  <c r="Q162" i="31" a="1"/>
  <c r="Q162" i="31" s="1"/>
  <c r="Q158" i="31" s="1"/>
  <c r="R162" i="31" a="1"/>
  <c r="R162" i="31" s="1"/>
  <c r="R158" i="31" s="1"/>
  <c r="S162" i="31" a="1"/>
  <c r="S162" i="31" s="1"/>
  <c r="S158" i="31" s="1"/>
  <c r="T162" i="31" a="1"/>
  <c r="T162" i="31" s="1"/>
  <c r="T158" i="31" s="1"/>
  <c r="U162" i="31" a="1"/>
  <c r="U162" i="31" s="1"/>
  <c r="U158" i="31" s="1"/>
  <c r="F169" i="31" a="1"/>
  <c r="F169" i="31" s="1"/>
  <c r="F165" i="31" s="1"/>
  <c r="G169" i="31" a="1"/>
  <c r="G169" i="31" s="1"/>
  <c r="G165" i="31" s="1"/>
  <c r="H169" i="31" a="1"/>
  <c r="H169" i="31" s="1"/>
  <c r="H165" i="31" s="1"/>
  <c r="I169" i="31" a="1"/>
  <c r="I169" i="31" s="1"/>
  <c r="I165" i="31" s="1"/>
  <c r="J169" i="31" a="1"/>
  <c r="J169" i="31" s="1"/>
  <c r="J165" i="31" s="1"/>
  <c r="K169" i="31" a="1"/>
  <c r="K169" i="31" s="1"/>
  <c r="K165" i="31" s="1"/>
  <c r="L169" i="31" a="1"/>
  <c r="L169" i="31" s="1"/>
  <c r="L165" i="31" s="1"/>
  <c r="M169" i="31" a="1"/>
  <c r="M169" i="31" s="1"/>
  <c r="M165" i="31" s="1"/>
  <c r="N169" i="31" a="1"/>
  <c r="N169" i="31" s="1"/>
  <c r="N165" i="31" s="1"/>
  <c r="O169" i="31" a="1"/>
  <c r="O169" i="31" s="1"/>
  <c r="O165" i="31" s="1"/>
  <c r="P169" i="31" a="1"/>
  <c r="P169" i="31" s="1"/>
  <c r="P165" i="31" s="1"/>
  <c r="Q169" i="31" a="1"/>
  <c r="Q169" i="31" s="1"/>
  <c r="Q165" i="31" s="1"/>
  <c r="R169" i="31" a="1"/>
  <c r="R169" i="31" s="1"/>
  <c r="R165" i="31" s="1"/>
  <c r="S169" i="31" a="1"/>
  <c r="S169" i="31" s="1"/>
  <c r="S165" i="31" s="1"/>
  <c r="T169" i="31" a="1"/>
  <c r="T169" i="31" s="1"/>
  <c r="T165" i="31" s="1"/>
  <c r="U169" i="31" a="1"/>
  <c r="U169" i="31" s="1"/>
  <c r="U165" i="31" s="1"/>
  <c r="F176" i="31" a="1"/>
  <c r="F176" i="31" s="1"/>
  <c r="F172" i="31" s="1"/>
  <c r="G176" i="31" a="1"/>
  <c r="G176" i="31" s="1"/>
  <c r="G172" i="31" s="1"/>
  <c r="H176" i="31" a="1"/>
  <c r="H176" i="31" s="1"/>
  <c r="H172" i="31" s="1"/>
  <c r="I176" i="31" a="1"/>
  <c r="I176" i="31" s="1"/>
  <c r="I172" i="31" s="1"/>
  <c r="J176" i="31" a="1"/>
  <c r="J176" i="31" s="1"/>
  <c r="J172" i="31" s="1"/>
  <c r="K176" i="31" a="1"/>
  <c r="K176" i="31" s="1"/>
  <c r="K172" i="31" s="1"/>
  <c r="L176" i="31" a="1"/>
  <c r="L176" i="31" s="1"/>
  <c r="L172" i="31" s="1"/>
  <c r="M176" i="31" a="1"/>
  <c r="M176" i="31" s="1"/>
  <c r="M172" i="31" s="1"/>
  <c r="N176" i="31" a="1"/>
  <c r="N176" i="31" s="1"/>
  <c r="N172" i="31" s="1"/>
  <c r="O176" i="31" a="1"/>
  <c r="O176" i="31" s="1"/>
  <c r="O172" i="31" s="1"/>
  <c r="P176" i="31" a="1"/>
  <c r="P176" i="31" s="1"/>
  <c r="P172" i="31" s="1"/>
  <c r="Q176" i="31" a="1"/>
  <c r="Q176" i="31" s="1"/>
  <c r="Q172" i="31" s="1"/>
  <c r="R176" i="31" a="1"/>
  <c r="R176" i="31" s="1"/>
  <c r="R172" i="31" s="1"/>
  <c r="S176" i="31" a="1"/>
  <c r="S176" i="31" s="1"/>
  <c r="S172" i="31" s="1"/>
  <c r="T176" i="31" a="1"/>
  <c r="T176" i="31" s="1"/>
  <c r="T172" i="31" s="1"/>
  <c r="U176" i="31" a="1"/>
  <c r="U176" i="31" s="1"/>
  <c r="U172" i="31" s="1"/>
  <c r="F183" i="31" a="1"/>
  <c r="F183" i="31" s="1"/>
  <c r="F179" i="31" s="1"/>
  <c r="G183" i="31" a="1"/>
  <c r="G183" i="31" s="1"/>
  <c r="G179" i="31" s="1"/>
  <c r="H183" i="31" a="1"/>
  <c r="H183" i="31" s="1"/>
  <c r="H179" i="31" s="1"/>
  <c r="I183" i="31" a="1"/>
  <c r="I183" i="31" s="1"/>
  <c r="I179" i="31" s="1"/>
  <c r="J183" i="31" a="1"/>
  <c r="J183" i="31" s="1"/>
  <c r="J179" i="31" s="1"/>
  <c r="K183" i="31" a="1"/>
  <c r="K183" i="31" s="1"/>
  <c r="K179" i="31" s="1"/>
  <c r="L183" i="31" a="1"/>
  <c r="L183" i="31" s="1"/>
  <c r="L179" i="31" s="1"/>
  <c r="M183" i="31" a="1"/>
  <c r="M183" i="31" s="1"/>
  <c r="M179" i="31" s="1"/>
  <c r="N183" i="31" a="1"/>
  <c r="N183" i="31" s="1"/>
  <c r="N179" i="31" s="1"/>
  <c r="O183" i="31" a="1"/>
  <c r="O183" i="31" s="1"/>
  <c r="O179" i="31" s="1"/>
  <c r="P183" i="31" a="1"/>
  <c r="P183" i="31" s="1"/>
  <c r="P179" i="31" s="1"/>
  <c r="Q183" i="31" a="1"/>
  <c r="Q183" i="31" s="1"/>
  <c r="Q179" i="31" s="1"/>
  <c r="R183" i="31" a="1"/>
  <c r="R183" i="31" s="1"/>
  <c r="R179" i="31" s="1"/>
  <c r="S183" i="31" a="1"/>
  <c r="S183" i="31" s="1"/>
  <c r="S179" i="31" s="1"/>
  <c r="T183" i="31" a="1"/>
  <c r="T183" i="31" s="1"/>
  <c r="T179" i="31" s="1"/>
  <c r="U183" i="31" a="1"/>
  <c r="U183" i="31" s="1"/>
  <c r="U179" i="31" s="1"/>
  <c r="F190" i="31" a="1"/>
  <c r="F190" i="31" s="1"/>
  <c r="F186" i="31" s="1"/>
  <c r="G190" i="31" a="1"/>
  <c r="G190" i="31" s="1"/>
  <c r="G186" i="31" s="1"/>
  <c r="H190" i="31" a="1"/>
  <c r="H190" i="31" s="1"/>
  <c r="H186" i="31" s="1"/>
  <c r="I190" i="31" a="1"/>
  <c r="I190" i="31" s="1"/>
  <c r="I186" i="31" s="1"/>
  <c r="J190" i="31" a="1"/>
  <c r="J190" i="31" s="1"/>
  <c r="J186" i="31" s="1"/>
  <c r="K190" i="31" a="1"/>
  <c r="K190" i="31" s="1"/>
  <c r="K186" i="31" s="1"/>
  <c r="L190" i="31" a="1"/>
  <c r="L190" i="31" s="1"/>
  <c r="L186" i="31" s="1"/>
  <c r="M190" i="31" a="1"/>
  <c r="M190" i="31" s="1"/>
  <c r="M186" i="31" s="1"/>
  <c r="N190" i="31" a="1"/>
  <c r="N190" i="31" s="1"/>
  <c r="N186" i="31" s="1"/>
  <c r="O190" i="31" a="1"/>
  <c r="O190" i="31" s="1"/>
  <c r="O186" i="31" s="1"/>
  <c r="P190" i="31" a="1"/>
  <c r="P190" i="31" s="1"/>
  <c r="P186" i="31" s="1"/>
  <c r="Q190" i="31" a="1"/>
  <c r="Q190" i="31" s="1"/>
  <c r="Q186" i="31" s="1"/>
  <c r="R190" i="31" a="1"/>
  <c r="R190" i="31" s="1"/>
  <c r="R186" i="31" s="1"/>
  <c r="S190" i="31" a="1"/>
  <c r="S190" i="31" s="1"/>
  <c r="S186" i="31" s="1"/>
  <c r="T190" i="31" a="1"/>
  <c r="T190" i="31" s="1"/>
  <c r="T186" i="31" s="1"/>
  <c r="U190" i="31" a="1"/>
  <c r="U190" i="31" s="1"/>
  <c r="U186" i="31" s="1"/>
  <c r="F197" i="31" a="1"/>
  <c r="F197" i="31" s="1"/>
  <c r="F193" i="31" s="1"/>
  <c r="G197" i="31" a="1"/>
  <c r="G197" i="31" s="1"/>
  <c r="G193" i="31" s="1"/>
  <c r="H197" i="31" a="1"/>
  <c r="H197" i="31" s="1"/>
  <c r="H193" i="31" s="1"/>
  <c r="I197" i="31" a="1"/>
  <c r="I197" i="31" s="1"/>
  <c r="I193" i="31" s="1"/>
  <c r="J197" i="31" a="1"/>
  <c r="J197" i="31" s="1"/>
  <c r="J193" i="31" s="1"/>
  <c r="K197" i="31" a="1"/>
  <c r="K197" i="31" s="1"/>
  <c r="K193" i="31" s="1"/>
  <c r="L197" i="31" a="1"/>
  <c r="L197" i="31" s="1"/>
  <c r="L193" i="31" s="1"/>
  <c r="M197" i="31" a="1"/>
  <c r="M197" i="31" s="1"/>
  <c r="M193" i="31" s="1"/>
  <c r="N197" i="31" a="1"/>
  <c r="N197" i="31" s="1"/>
  <c r="N193" i="31" s="1"/>
  <c r="O197" i="31" a="1"/>
  <c r="O197" i="31" s="1"/>
  <c r="O193" i="31" s="1"/>
  <c r="P197" i="31" a="1"/>
  <c r="P197" i="31" s="1"/>
  <c r="P193" i="31" s="1"/>
  <c r="Q197" i="31" a="1"/>
  <c r="Q197" i="31" s="1"/>
  <c r="Q193" i="31" s="1"/>
  <c r="R197" i="31" a="1"/>
  <c r="R197" i="31" s="1"/>
  <c r="R193" i="31" s="1"/>
  <c r="S197" i="31" a="1"/>
  <c r="S197" i="31" s="1"/>
  <c r="S193" i="31" s="1"/>
  <c r="T197" i="31" a="1"/>
  <c r="T197" i="31" s="1"/>
  <c r="T193" i="31" s="1"/>
  <c r="U197" i="31" a="1"/>
  <c r="U197" i="31" s="1"/>
  <c r="U193" i="31" s="1"/>
  <c r="F204" i="31" a="1"/>
  <c r="F204" i="31" s="1"/>
  <c r="F200" i="31" s="1"/>
  <c r="G204" i="31" a="1"/>
  <c r="G204" i="31" s="1"/>
  <c r="G200" i="31" s="1"/>
  <c r="H204" i="31" a="1"/>
  <c r="H204" i="31" s="1"/>
  <c r="H200" i="31" s="1"/>
  <c r="I204" i="31" a="1"/>
  <c r="I204" i="31" s="1"/>
  <c r="I200" i="31" s="1"/>
  <c r="J204" i="31" a="1"/>
  <c r="J204" i="31" s="1"/>
  <c r="J200" i="31" s="1"/>
  <c r="K204" i="31" a="1"/>
  <c r="K204" i="31" s="1"/>
  <c r="K200" i="31" s="1"/>
  <c r="L204" i="31" a="1"/>
  <c r="L204" i="31" s="1"/>
  <c r="L200" i="31" s="1"/>
  <c r="M204" i="31" a="1"/>
  <c r="M204" i="31" s="1"/>
  <c r="M200" i="31" s="1"/>
  <c r="N204" i="31" a="1"/>
  <c r="N204" i="31" s="1"/>
  <c r="N200" i="31" s="1"/>
  <c r="O204" i="31" a="1"/>
  <c r="O204" i="31" s="1"/>
  <c r="O200" i="31" s="1"/>
  <c r="P204" i="31" a="1"/>
  <c r="P204" i="31" s="1"/>
  <c r="P200" i="31" s="1"/>
  <c r="Q204" i="31" a="1"/>
  <c r="Q204" i="31" s="1"/>
  <c r="Q200" i="31" s="1"/>
  <c r="R204" i="31" a="1"/>
  <c r="R204" i="31" s="1"/>
  <c r="R200" i="31" s="1"/>
  <c r="S204" i="31" a="1"/>
  <c r="S204" i="31" s="1"/>
  <c r="S200" i="31" s="1"/>
  <c r="T204" i="31" a="1"/>
  <c r="T204" i="31" s="1"/>
  <c r="T200" i="31" s="1"/>
  <c r="U204" i="31" a="1"/>
  <c r="U204" i="31" s="1"/>
  <c r="U200" i="31" s="1"/>
  <c r="F211" i="31" a="1"/>
  <c r="F211" i="31" s="1"/>
  <c r="F207" i="31" s="1"/>
  <c r="G211" i="31" a="1"/>
  <c r="G211" i="31" s="1"/>
  <c r="G207" i="31" s="1"/>
  <c r="H211" i="31" a="1"/>
  <c r="H211" i="31" s="1"/>
  <c r="H207" i="31" s="1"/>
  <c r="I211" i="31" a="1"/>
  <c r="I211" i="31" s="1"/>
  <c r="I207" i="31" s="1"/>
  <c r="J211" i="31" a="1"/>
  <c r="J211" i="31" s="1"/>
  <c r="J207" i="31" s="1"/>
  <c r="K211" i="31" a="1"/>
  <c r="K211" i="31" s="1"/>
  <c r="K207" i="31" s="1"/>
  <c r="L211" i="31" a="1"/>
  <c r="L211" i="31" s="1"/>
  <c r="L207" i="31" s="1"/>
  <c r="M211" i="31" a="1"/>
  <c r="M211" i="31" s="1"/>
  <c r="M207" i="31" s="1"/>
  <c r="N211" i="31" a="1"/>
  <c r="N211" i="31" s="1"/>
  <c r="N207" i="31" s="1"/>
  <c r="O211" i="31" a="1"/>
  <c r="O211" i="31" s="1"/>
  <c r="O207" i="31" s="1"/>
  <c r="P211" i="31" a="1"/>
  <c r="P211" i="31" s="1"/>
  <c r="P207" i="31" s="1"/>
  <c r="Q211" i="31" a="1"/>
  <c r="Q211" i="31" s="1"/>
  <c r="Q207" i="31" s="1"/>
  <c r="R211" i="31" a="1"/>
  <c r="R211" i="31" s="1"/>
  <c r="R207" i="31" s="1"/>
  <c r="S211" i="31" a="1"/>
  <c r="S211" i="31" s="1"/>
  <c r="S207" i="31" s="1"/>
  <c r="T211" i="31" a="1"/>
  <c r="T211" i="31" s="1"/>
  <c r="T207" i="31" s="1"/>
  <c r="U211" i="31" a="1"/>
  <c r="U211" i="31" s="1"/>
  <c r="U207" i="31" s="1"/>
  <c r="F225" i="31" a="1"/>
  <c r="F225" i="31" s="1"/>
  <c r="F221" i="31" s="1"/>
  <c r="G225" i="31" a="1"/>
  <c r="G225" i="31" s="1"/>
  <c r="G221" i="31" s="1"/>
  <c r="H225" i="31" a="1"/>
  <c r="H225" i="31" s="1"/>
  <c r="H221" i="31" s="1"/>
  <c r="I225" i="31" a="1"/>
  <c r="I225" i="31" s="1"/>
  <c r="I221" i="31" s="1"/>
  <c r="J225" i="31" a="1"/>
  <c r="J225" i="31" s="1"/>
  <c r="J221" i="31" s="1"/>
  <c r="K225" i="31" a="1"/>
  <c r="K225" i="31" s="1"/>
  <c r="K221" i="31" s="1"/>
  <c r="L225" i="31" a="1"/>
  <c r="L225" i="31" s="1"/>
  <c r="L221" i="31" s="1"/>
  <c r="M225" i="31" a="1"/>
  <c r="M225" i="31" s="1"/>
  <c r="M221" i="31" s="1"/>
  <c r="N225" i="31" a="1"/>
  <c r="N225" i="31" s="1"/>
  <c r="N221" i="31" s="1"/>
  <c r="O225" i="31" a="1"/>
  <c r="O225" i="31" s="1"/>
  <c r="O221" i="31" s="1"/>
  <c r="P225" i="31" a="1"/>
  <c r="P225" i="31" s="1"/>
  <c r="P221" i="31" s="1"/>
  <c r="Q225" i="31" a="1"/>
  <c r="Q225" i="31" s="1"/>
  <c r="Q221" i="31" s="1"/>
  <c r="R225" i="31" a="1"/>
  <c r="R225" i="31" s="1"/>
  <c r="R221" i="31" s="1"/>
  <c r="S225" i="31" a="1"/>
  <c r="S225" i="31" s="1"/>
  <c r="S221" i="31" s="1"/>
  <c r="T225" i="31" a="1"/>
  <c r="T225" i="31" s="1"/>
  <c r="T221" i="31" s="1"/>
  <c r="U225" i="31" a="1"/>
  <c r="U225" i="31" s="1"/>
  <c r="U221" i="31" s="1"/>
  <c r="F232" i="31" a="1"/>
  <c r="F232" i="31" s="1"/>
  <c r="F228" i="31" s="1"/>
  <c r="G232" i="31" a="1"/>
  <c r="G232" i="31" s="1"/>
  <c r="G228" i="31" s="1"/>
  <c r="H232" i="31" a="1"/>
  <c r="H232" i="31" s="1"/>
  <c r="H228" i="31" s="1"/>
  <c r="I232" i="31" a="1"/>
  <c r="I232" i="31" s="1"/>
  <c r="I228" i="31" s="1"/>
  <c r="J232" i="31" a="1"/>
  <c r="J232" i="31" s="1"/>
  <c r="J228" i="31" s="1"/>
  <c r="K232" i="31" a="1"/>
  <c r="K232" i="31" s="1"/>
  <c r="K228" i="31" s="1"/>
  <c r="L232" i="31" a="1"/>
  <c r="L232" i="31" s="1"/>
  <c r="L228" i="31" s="1"/>
  <c r="M232" i="31" a="1"/>
  <c r="M232" i="31" s="1"/>
  <c r="M228" i="31" s="1"/>
  <c r="N232" i="31" a="1"/>
  <c r="N232" i="31" s="1"/>
  <c r="N228" i="31" s="1"/>
  <c r="O232" i="31" a="1"/>
  <c r="O232" i="31" s="1"/>
  <c r="O228" i="31" s="1"/>
  <c r="P232" i="31" a="1"/>
  <c r="P232" i="31" s="1"/>
  <c r="P228" i="31" s="1"/>
  <c r="Q232" i="31" a="1"/>
  <c r="Q232" i="31" s="1"/>
  <c r="Q228" i="31" s="1"/>
  <c r="R232" i="31" a="1"/>
  <c r="R232" i="31" s="1"/>
  <c r="R228" i="31" s="1"/>
  <c r="S232" i="31" a="1"/>
  <c r="S232" i="31" s="1"/>
  <c r="S228" i="31" s="1"/>
  <c r="T232" i="31" a="1"/>
  <c r="T232" i="31" s="1"/>
  <c r="T228" i="31" s="1"/>
  <c r="U232" i="31" a="1"/>
  <c r="U232" i="31" s="1"/>
  <c r="U228" i="31" s="1"/>
  <c r="F239" i="31" a="1"/>
  <c r="F239" i="31" s="1"/>
  <c r="F235" i="31" s="1"/>
  <c r="G239" i="31" a="1"/>
  <c r="G239" i="31" s="1"/>
  <c r="G235" i="31" s="1"/>
  <c r="H239" i="31" a="1"/>
  <c r="H239" i="31" s="1"/>
  <c r="H235" i="31" s="1"/>
  <c r="I239" i="31" a="1"/>
  <c r="I239" i="31" s="1"/>
  <c r="I235" i="31" s="1"/>
  <c r="J239" i="31" a="1"/>
  <c r="J239" i="31" s="1"/>
  <c r="J235" i="31" s="1"/>
  <c r="K239" i="31" a="1"/>
  <c r="K239" i="31" s="1"/>
  <c r="K235" i="31" s="1"/>
  <c r="L239" i="31" a="1"/>
  <c r="L239" i="31" s="1"/>
  <c r="L235" i="31" s="1"/>
  <c r="M239" i="31" a="1"/>
  <c r="M239" i="31" s="1"/>
  <c r="M235" i="31" s="1"/>
  <c r="N239" i="31" a="1"/>
  <c r="N239" i="31" s="1"/>
  <c r="N235" i="31" s="1"/>
  <c r="O239" i="31" a="1"/>
  <c r="O239" i="31" s="1"/>
  <c r="O235" i="31" s="1"/>
  <c r="P239" i="31" a="1"/>
  <c r="P239" i="31" s="1"/>
  <c r="P235" i="31" s="1"/>
  <c r="Q239" i="31" a="1"/>
  <c r="Q239" i="31" s="1"/>
  <c r="Q235" i="31" s="1"/>
  <c r="R239" i="31" a="1"/>
  <c r="R239" i="31" s="1"/>
  <c r="R235" i="31" s="1"/>
  <c r="S239" i="31" a="1"/>
  <c r="S239" i="31" s="1"/>
  <c r="S235" i="31" s="1"/>
  <c r="T239" i="31" a="1"/>
  <c r="T239" i="31" s="1"/>
  <c r="T235" i="31" s="1"/>
  <c r="U239" i="31" a="1"/>
  <c r="U239" i="31" s="1"/>
  <c r="U235" i="31" s="1"/>
  <c r="F246" i="31" a="1"/>
  <c r="F246" i="31" s="1"/>
  <c r="F242" i="31" s="1"/>
  <c r="G246" i="31" a="1"/>
  <c r="G246" i="31" s="1"/>
  <c r="G242" i="31" s="1"/>
  <c r="H246" i="31" a="1"/>
  <c r="H246" i="31" s="1"/>
  <c r="H242" i="31" s="1"/>
  <c r="I246" i="31" a="1"/>
  <c r="I246" i="31" s="1"/>
  <c r="I242" i="31" s="1"/>
  <c r="J246" i="31" a="1"/>
  <c r="J246" i="31" s="1"/>
  <c r="J242" i="31" s="1"/>
  <c r="K246" i="31" a="1"/>
  <c r="K246" i="31" s="1"/>
  <c r="K242" i="31" s="1"/>
  <c r="L246" i="31" a="1"/>
  <c r="L246" i="31" s="1"/>
  <c r="L242" i="31" s="1"/>
  <c r="M246" i="31" a="1"/>
  <c r="M246" i="31" s="1"/>
  <c r="M242" i="31" s="1"/>
  <c r="N246" i="31" a="1"/>
  <c r="N246" i="31" s="1"/>
  <c r="N242" i="31" s="1"/>
  <c r="O246" i="31" a="1"/>
  <c r="O246" i="31" s="1"/>
  <c r="O242" i="31" s="1"/>
  <c r="P246" i="31" a="1"/>
  <c r="P246" i="31" s="1"/>
  <c r="P242" i="31" s="1"/>
  <c r="Q246" i="31" a="1"/>
  <c r="Q246" i="31" s="1"/>
  <c r="Q242" i="31" s="1"/>
  <c r="R246" i="31" a="1"/>
  <c r="R246" i="31" s="1"/>
  <c r="R242" i="31" s="1"/>
  <c r="S246" i="31" a="1"/>
  <c r="S246" i="31" s="1"/>
  <c r="S242" i="31" s="1"/>
  <c r="T246" i="31" a="1"/>
  <c r="T246" i="31" s="1"/>
  <c r="T242" i="31" s="1"/>
  <c r="U246" i="31" a="1"/>
  <c r="U246" i="31" s="1"/>
  <c r="U242" i="31" s="1"/>
  <c r="F253" i="31" a="1"/>
  <c r="F253" i="31" s="1"/>
  <c r="F249" i="31" s="1"/>
  <c r="G253" i="31" a="1"/>
  <c r="G253" i="31" s="1"/>
  <c r="G249" i="31" s="1"/>
  <c r="H253" i="31" a="1"/>
  <c r="H253" i="31" s="1"/>
  <c r="H249" i="31" s="1"/>
  <c r="I253" i="31" a="1"/>
  <c r="I253" i="31" s="1"/>
  <c r="I249" i="31" s="1"/>
  <c r="J253" i="31" a="1"/>
  <c r="J253" i="31" s="1"/>
  <c r="J249" i="31" s="1"/>
  <c r="K253" i="31" a="1"/>
  <c r="K253" i="31" s="1"/>
  <c r="K249" i="31" s="1"/>
  <c r="L253" i="31" a="1"/>
  <c r="L253" i="31" s="1"/>
  <c r="L249" i="31" s="1"/>
  <c r="M253" i="31" a="1"/>
  <c r="M253" i="31" s="1"/>
  <c r="M249" i="31" s="1"/>
  <c r="N253" i="31" a="1"/>
  <c r="N253" i="31" s="1"/>
  <c r="N249" i="31" s="1"/>
  <c r="O253" i="31" a="1"/>
  <c r="O253" i="31" s="1"/>
  <c r="O249" i="31" s="1"/>
  <c r="P253" i="31" a="1"/>
  <c r="P253" i="31" s="1"/>
  <c r="P249" i="31" s="1"/>
  <c r="Q253" i="31" a="1"/>
  <c r="Q253" i="31" s="1"/>
  <c r="Q249" i="31" s="1"/>
  <c r="R253" i="31" a="1"/>
  <c r="R253" i="31" s="1"/>
  <c r="R249" i="31" s="1"/>
  <c r="S253" i="31" a="1"/>
  <c r="S253" i="31" s="1"/>
  <c r="S249" i="31" s="1"/>
  <c r="T253" i="31" a="1"/>
  <c r="T253" i="31" s="1"/>
  <c r="T249" i="31" s="1"/>
  <c r="U253" i="31" a="1"/>
  <c r="U253" i="31" s="1"/>
  <c r="U249" i="31" s="1"/>
  <c r="F260" i="31" a="1"/>
  <c r="F260" i="31" s="1"/>
  <c r="F256" i="31" s="1"/>
  <c r="G260" i="31" a="1"/>
  <c r="G260" i="31" s="1"/>
  <c r="G256" i="31" s="1"/>
  <c r="H260" i="31" a="1"/>
  <c r="H260" i="31" s="1"/>
  <c r="H256" i="31" s="1"/>
  <c r="I260" i="31" a="1"/>
  <c r="I260" i="31" s="1"/>
  <c r="I256" i="31" s="1"/>
  <c r="J260" i="31" a="1"/>
  <c r="J260" i="31" s="1"/>
  <c r="J256" i="31" s="1"/>
  <c r="K260" i="31" a="1"/>
  <c r="K260" i="31" s="1"/>
  <c r="K256" i="31" s="1"/>
  <c r="L260" i="31" a="1"/>
  <c r="L260" i="31" s="1"/>
  <c r="L256" i="31" s="1"/>
  <c r="M260" i="31" a="1"/>
  <c r="M260" i="31" s="1"/>
  <c r="M256" i="31" s="1"/>
  <c r="N260" i="31" a="1"/>
  <c r="N260" i="31" s="1"/>
  <c r="N256" i="31" s="1"/>
  <c r="O260" i="31" a="1"/>
  <c r="O260" i="31" s="1"/>
  <c r="O256" i="31" s="1"/>
  <c r="P260" i="31" a="1"/>
  <c r="P260" i="31" s="1"/>
  <c r="P256" i="31" s="1"/>
  <c r="Q260" i="31" a="1"/>
  <c r="Q260" i="31" s="1"/>
  <c r="Q256" i="31" s="1"/>
  <c r="R260" i="31" a="1"/>
  <c r="R260" i="31" s="1"/>
  <c r="R256" i="31" s="1"/>
  <c r="S260" i="31" a="1"/>
  <c r="S260" i="31" s="1"/>
  <c r="S256" i="31" s="1"/>
  <c r="T260" i="31" a="1"/>
  <c r="T260" i="31" s="1"/>
  <c r="T256" i="31" s="1"/>
  <c r="U260" i="31" a="1"/>
  <c r="U260" i="31" s="1"/>
  <c r="U256" i="31" s="1"/>
  <c r="F267" i="31" a="1"/>
  <c r="F267" i="31" s="1"/>
  <c r="F263" i="31" s="1"/>
  <c r="G267" i="31" a="1"/>
  <c r="G267" i="31" s="1"/>
  <c r="G263" i="31" s="1"/>
  <c r="H267" i="31" a="1"/>
  <c r="H267" i="31" s="1"/>
  <c r="H263" i="31" s="1"/>
  <c r="I267" i="31" a="1"/>
  <c r="I267" i="31" s="1"/>
  <c r="I263" i="31" s="1"/>
  <c r="J267" i="31" a="1"/>
  <c r="J267" i="31" s="1"/>
  <c r="J263" i="31" s="1"/>
  <c r="K267" i="31" a="1"/>
  <c r="K267" i="31" s="1"/>
  <c r="K263" i="31" s="1"/>
  <c r="L267" i="31" a="1"/>
  <c r="L267" i="31" s="1"/>
  <c r="L263" i="31" s="1"/>
  <c r="M267" i="31" a="1"/>
  <c r="M267" i="31" s="1"/>
  <c r="M263" i="31" s="1"/>
  <c r="N267" i="31" a="1"/>
  <c r="N267" i="31" s="1"/>
  <c r="N263" i="31" s="1"/>
  <c r="O267" i="31" a="1"/>
  <c r="O267" i="31" s="1"/>
  <c r="O263" i="31" s="1"/>
  <c r="P267" i="31" a="1"/>
  <c r="P267" i="31" s="1"/>
  <c r="P263" i="31" s="1"/>
  <c r="Q267" i="31" a="1"/>
  <c r="Q267" i="31" s="1"/>
  <c r="Q263" i="31" s="1"/>
  <c r="R267" i="31" a="1"/>
  <c r="R267" i="31" s="1"/>
  <c r="R263" i="31" s="1"/>
  <c r="S267" i="31" a="1"/>
  <c r="S267" i="31" s="1"/>
  <c r="S263" i="31" s="1"/>
  <c r="T267" i="31" a="1"/>
  <c r="T267" i="31" s="1"/>
  <c r="T263" i="31" s="1"/>
  <c r="U267" i="31" a="1"/>
  <c r="U267" i="31" s="1"/>
  <c r="U263" i="31" s="1"/>
  <c r="F274" i="31" a="1"/>
  <c r="F274" i="31" s="1"/>
  <c r="F270" i="31" s="1"/>
  <c r="G274" i="31" a="1"/>
  <c r="G274" i="31" s="1"/>
  <c r="G270" i="31" s="1"/>
  <c r="H274" i="31" a="1"/>
  <c r="H274" i="31" s="1"/>
  <c r="H270" i="31" s="1"/>
  <c r="I274" i="31" a="1"/>
  <c r="I274" i="31" s="1"/>
  <c r="I270" i="31" s="1"/>
  <c r="J274" i="31" a="1"/>
  <c r="J274" i="31" s="1"/>
  <c r="J270" i="31" s="1"/>
  <c r="K274" i="31" a="1"/>
  <c r="K274" i="31" s="1"/>
  <c r="K270" i="31" s="1"/>
  <c r="L274" i="31" a="1"/>
  <c r="L274" i="31" s="1"/>
  <c r="L270" i="31" s="1"/>
  <c r="M274" i="31" a="1"/>
  <c r="M274" i="31" s="1"/>
  <c r="M270" i="31" s="1"/>
  <c r="N274" i="31" a="1"/>
  <c r="N274" i="31" s="1"/>
  <c r="N270" i="31" s="1"/>
  <c r="O274" i="31" a="1"/>
  <c r="O274" i="31" s="1"/>
  <c r="O270" i="31" s="1"/>
  <c r="P274" i="31" a="1"/>
  <c r="P274" i="31" s="1"/>
  <c r="P270" i="31" s="1"/>
  <c r="Q274" i="31" a="1"/>
  <c r="Q274" i="31" s="1"/>
  <c r="Q270" i="31" s="1"/>
  <c r="R274" i="31" a="1"/>
  <c r="R274" i="31" s="1"/>
  <c r="R270" i="31" s="1"/>
  <c r="S274" i="31" a="1"/>
  <c r="S274" i="31" s="1"/>
  <c r="S270" i="31" s="1"/>
  <c r="T274" i="31" a="1"/>
  <c r="T274" i="31" s="1"/>
  <c r="T270" i="31" s="1"/>
  <c r="U274" i="31" a="1"/>
  <c r="U274" i="31" s="1"/>
  <c r="U270" i="31" s="1"/>
  <c r="F281" i="31" a="1"/>
  <c r="F281" i="31" s="1"/>
  <c r="F277" i="31" s="1"/>
  <c r="G281" i="31" a="1"/>
  <c r="G281" i="31" s="1"/>
  <c r="G277" i="31" s="1"/>
  <c r="H281" i="31" a="1"/>
  <c r="H281" i="31" s="1"/>
  <c r="H277" i="31" s="1"/>
  <c r="I281" i="31" a="1"/>
  <c r="I281" i="31" s="1"/>
  <c r="I277" i="31" s="1"/>
  <c r="J281" i="31" a="1"/>
  <c r="J281" i="31" s="1"/>
  <c r="J277" i="31" s="1"/>
  <c r="K281" i="31" a="1"/>
  <c r="K281" i="31" s="1"/>
  <c r="K277" i="31" s="1"/>
  <c r="L281" i="31" a="1"/>
  <c r="L281" i="31" s="1"/>
  <c r="L277" i="31" s="1"/>
  <c r="M281" i="31" a="1"/>
  <c r="M281" i="31" s="1"/>
  <c r="M277" i="31" s="1"/>
  <c r="N281" i="31" a="1"/>
  <c r="N281" i="31" s="1"/>
  <c r="N277" i="31" s="1"/>
  <c r="O281" i="31" a="1"/>
  <c r="O281" i="31" s="1"/>
  <c r="O277" i="31" s="1"/>
  <c r="P281" i="31" a="1"/>
  <c r="P281" i="31" s="1"/>
  <c r="P277" i="31" s="1"/>
  <c r="Q281" i="31" a="1"/>
  <c r="Q281" i="31" s="1"/>
  <c r="Q277" i="31" s="1"/>
  <c r="R281" i="31" a="1"/>
  <c r="R281" i="31" s="1"/>
  <c r="R277" i="31" s="1"/>
  <c r="S281" i="31" a="1"/>
  <c r="S281" i="31" s="1"/>
  <c r="S277" i="31" s="1"/>
  <c r="T281" i="31" a="1"/>
  <c r="T281" i="31" s="1"/>
  <c r="T277" i="31" s="1"/>
  <c r="U281" i="31" a="1"/>
  <c r="U281" i="31" s="1"/>
  <c r="U277" i="31" s="1"/>
  <c r="F218" i="31" a="1"/>
  <c r="F218" i="31" s="1"/>
  <c r="F214" i="31" s="1"/>
  <c r="G218" i="31" a="1"/>
  <c r="G218" i="31" s="1"/>
  <c r="G214" i="31" s="1"/>
  <c r="H218" i="31" a="1"/>
  <c r="H218" i="31" s="1"/>
  <c r="H214" i="31" s="1"/>
  <c r="I218" i="31" a="1"/>
  <c r="I218" i="31" s="1"/>
  <c r="I214" i="31" s="1"/>
  <c r="J218" i="31" a="1"/>
  <c r="J218" i="31" s="1"/>
  <c r="J214" i="31" s="1"/>
  <c r="K218" i="31" a="1"/>
  <c r="K218" i="31" s="1"/>
  <c r="K214" i="31" s="1"/>
  <c r="L218" i="31" a="1"/>
  <c r="L218" i="31" s="1"/>
  <c r="L214" i="31" s="1"/>
  <c r="M218" i="31" a="1"/>
  <c r="M218" i="31" s="1"/>
  <c r="M214" i="31" s="1"/>
  <c r="N218" i="31" a="1"/>
  <c r="N218" i="31" s="1"/>
  <c r="N214" i="31" s="1"/>
  <c r="O218" i="31" a="1"/>
  <c r="O218" i="31" s="1"/>
  <c r="O214" i="31" s="1"/>
  <c r="P218" i="31" a="1"/>
  <c r="P218" i="31" s="1"/>
  <c r="P214" i="31" s="1"/>
  <c r="Q218" i="31" a="1"/>
  <c r="Q218" i="31" s="1"/>
  <c r="Q214" i="31" s="1"/>
  <c r="R218" i="31" a="1"/>
  <c r="R218" i="31" s="1"/>
  <c r="R214" i="31" s="1"/>
  <c r="S218" i="31" a="1"/>
  <c r="S218" i="31" s="1"/>
  <c r="S214" i="31" s="1"/>
  <c r="T218" i="31" a="1"/>
  <c r="T218" i="31" s="1"/>
  <c r="T214" i="31" s="1"/>
  <c r="U218" i="31" a="1"/>
  <c r="U218" i="31" s="1"/>
  <c r="U214" i="31" s="1"/>
  <c r="F22" i="31" a="1"/>
  <c r="F22" i="31" s="1"/>
  <c r="F18" i="31" s="1"/>
  <c r="G22" i="31" a="1"/>
  <c r="G22" i="31" s="1"/>
  <c r="G18" i="31" s="1"/>
  <c r="H22" i="31" a="1"/>
  <c r="H22" i="31" s="1"/>
  <c r="H18" i="31" s="1"/>
  <c r="I22" i="31" a="1"/>
  <c r="I22" i="31" s="1"/>
  <c r="I18" i="31" s="1"/>
  <c r="J22" i="31" a="1"/>
  <c r="J22" i="31" s="1"/>
  <c r="J18" i="31" s="1"/>
  <c r="K22" i="31" a="1"/>
  <c r="K22" i="31" s="1"/>
  <c r="K18" i="31" s="1"/>
  <c r="L22" i="31" a="1"/>
  <c r="L22" i="31" s="1"/>
  <c r="L18" i="31" s="1"/>
  <c r="O22" i="31" a="1"/>
  <c r="O22" i="31" s="1"/>
  <c r="O18" i="31" s="1"/>
  <c r="P22" i="31" a="1"/>
  <c r="P22" i="31" s="1"/>
  <c r="P18" i="31" s="1"/>
  <c r="R22" i="31" a="1"/>
  <c r="R22" i="31" s="1"/>
  <c r="R18" i="31" s="1"/>
  <c r="S22" i="31" a="1"/>
  <c r="S22" i="31" s="1"/>
  <c r="S18" i="31" s="1"/>
  <c r="T22" i="31" a="1"/>
  <c r="T22" i="31" s="1"/>
  <c r="T18" i="31" s="1"/>
  <c r="U22" i="31" a="1"/>
  <c r="U22" i="31" s="1"/>
  <c r="U18" i="31" s="1"/>
  <c r="G29" i="31" a="1"/>
  <c r="G29" i="31" s="1"/>
  <c r="G25" i="31" s="1"/>
  <c r="H29" i="31" a="1"/>
  <c r="H29" i="31" s="1"/>
  <c r="H25" i="31" s="1"/>
  <c r="I29" i="31" a="1"/>
  <c r="I29" i="31" s="1"/>
  <c r="I25" i="31" s="1"/>
  <c r="J29" i="31" a="1"/>
  <c r="J29" i="31" s="1"/>
  <c r="J25" i="31" s="1"/>
  <c r="K29" i="31" a="1"/>
  <c r="K29" i="31" s="1"/>
  <c r="K25" i="31" s="1"/>
  <c r="L29" i="31" a="1"/>
  <c r="L29" i="31" s="1"/>
  <c r="L25" i="31" s="1"/>
  <c r="M29" i="31" a="1"/>
  <c r="M29" i="31" s="1"/>
  <c r="M25" i="31" s="1"/>
  <c r="N29" i="31" a="1"/>
  <c r="N29" i="31" s="1"/>
  <c r="N25" i="31" s="1"/>
  <c r="O29" i="31" a="1"/>
  <c r="O29" i="31" s="1"/>
  <c r="O25" i="31" s="1"/>
  <c r="P29" i="31" a="1"/>
  <c r="P29" i="31" s="1"/>
  <c r="P25" i="31" s="1"/>
  <c r="Q29" i="31" a="1"/>
  <c r="Q29" i="31" s="1"/>
  <c r="Q25" i="31" s="1"/>
  <c r="R29" i="31" a="1"/>
  <c r="R29" i="31" s="1"/>
  <c r="R25" i="31" s="1"/>
  <c r="S29" i="31" a="1"/>
  <c r="S29" i="31" s="1"/>
  <c r="S25" i="31" s="1"/>
  <c r="T29" i="31" a="1"/>
  <c r="T29" i="31" s="1"/>
  <c r="T25" i="31" s="1"/>
  <c r="U29" i="31" a="1"/>
  <c r="U29" i="31" s="1"/>
  <c r="U25" i="31" s="1"/>
  <c r="F15" i="31" a="1"/>
  <c r="F15" i="31" s="1"/>
  <c r="F11" i="31" s="1"/>
  <c r="G15" i="31" a="1"/>
  <c r="G15" i="31" s="1"/>
  <c r="G11" i="31" s="1"/>
  <c r="H15" i="31" a="1"/>
  <c r="H15" i="31" s="1"/>
  <c r="H11" i="31" s="1"/>
  <c r="I15" i="31" a="1"/>
  <c r="I15" i="31" s="1"/>
  <c r="I11" i="31" s="1"/>
  <c r="J15" i="31" a="1"/>
  <c r="J15" i="31" s="1"/>
  <c r="J11" i="31" s="1"/>
  <c r="K15" i="31" a="1"/>
  <c r="K15" i="31" s="1"/>
  <c r="K11" i="31" s="1"/>
  <c r="L15" i="31" a="1"/>
  <c r="L15" i="31" s="1"/>
  <c r="L11" i="31" s="1"/>
  <c r="M15" i="31" a="1"/>
  <c r="M15" i="31" s="1"/>
  <c r="M11" i="31" s="1"/>
  <c r="N15" i="31" a="1"/>
  <c r="N15" i="31" s="1"/>
  <c r="N11" i="31" s="1"/>
  <c r="O15" i="31" a="1"/>
  <c r="O15" i="31" s="1"/>
  <c r="O11" i="31" s="1"/>
  <c r="P15" i="31" a="1"/>
  <c r="P15" i="31" s="1"/>
  <c r="P11" i="31" s="1"/>
  <c r="Q15" i="31" a="1"/>
  <c r="Q15" i="31" s="1"/>
  <c r="Q11" i="31" s="1"/>
  <c r="R15" i="31" a="1"/>
  <c r="R15" i="31" s="1"/>
  <c r="R11" i="31" s="1"/>
  <c r="S15" i="31" a="1"/>
  <c r="S15" i="31" s="1"/>
  <c r="S11" i="31" s="1"/>
  <c r="T15" i="31" a="1"/>
  <c r="T15" i="31" s="1"/>
  <c r="T11" i="31" s="1"/>
  <c r="U15" i="31" a="1"/>
  <c r="U15" i="31" s="1"/>
  <c r="U11" i="31" s="1"/>
  <c r="V29" i="31" a="1"/>
  <c r="V29" i="31" s="1"/>
  <c r="Y29" i="31" s="1"/>
  <c r="F25" i="31"/>
  <c r="M22" i="31" a="1"/>
  <c r="M22" i="31" s="1"/>
  <c r="M18" i="31" s="1"/>
  <c r="N22" i="31" a="1"/>
  <c r="N22" i="31" s="1"/>
  <c r="N18" i="31" s="1"/>
  <c r="Q22" i="31" a="1"/>
  <c r="Q22" i="31" s="1"/>
  <c r="Q18" i="31" s="1"/>
  <c r="G8" i="31" a="1"/>
  <c r="G8" i="31" s="1"/>
  <c r="G4" i="31" s="1"/>
  <c r="F8" i="31" a="1"/>
  <c r="F8" i="31" s="1"/>
  <c r="F4" i="31" s="1"/>
  <c r="I8" i="31" a="1"/>
  <c r="I8" i="31" s="1"/>
  <c r="I4" i="31" s="1"/>
  <c r="H8" i="31" a="1"/>
  <c r="H8" i="31" s="1"/>
  <c r="H4" i="31" s="1"/>
  <c r="J8" i="31" a="1"/>
  <c r="J8" i="31" s="1"/>
  <c r="J4" i="31" s="1"/>
  <c r="K8" i="31" a="1"/>
  <c r="K8" i="31" s="1"/>
  <c r="K4" i="31" s="1"/>
  <c r="L8" i="31" a="1"/>
  <c r="L8" i="31" s="1"/>
  <c r="L4" i="31" s="1"/>
  <c r="M8" i="31" a="1"/>
  <c r="M8" i="31" s="1"/>
  <c r="M4" i="31" s="1"/>
  <c r="N8" i="31" a="1"/>
  <c r="N8" i="31" s="1"/>
  <c r="N4" i="31" s="1"/>
  <c r="O8" i="31" a="1"/>
  <c r="O8" i="31" s="1"/>
  <c r="O4" i="31" s="1"/>
  <c r="P8" i="31" a="1"/>
  <c r="P8" i="31" s="1"/>
  <c r="P4" i="31" s="1"/>
  <c r="Q8" i="31" a="1"/>
  <c r="Q8" i="31" s="1"/>
  <c r="Q4" i="31" s="1"/>
  <c r="R8" i="31" a="1"/>
  <c r="R8" i="31" s="1"/>
  <c r="R4" i="31" s="1"/>
  <c r="S8" i="31" a="1"/>
  <c r="S8" i="31" s="1"/>
  <c r="S4" i="31" s="1"/>
  <c r="T8" i="31" a="1"/>
  <c r="T8" i="31" s="1"/>
  <c r="T4" i="31" s="1"/>
  <c r="U8" i="31" a="1"/>
  <c r="U8" i="31" s="1"/>
  <c r="U4" i="31" s="1"/>
  <c r="B39" i="21"/>
  <c r="D44" i="21" s="1"/>
  <c r="B39" i="31"/>
  <c r="V274" i="31" a="1"/>
  <c r="V274" i="31" s="1"/>
  <c r="Y274" i="31" s="1"/>
  <c r="V260" i="31" a="1"/>
  <c r="V260" i="31" s="1"/>
  <c r="Y260" i="31" s="1"/>
  <c r="V232" i="31" a="1"/>
  <c r="V232" i="31" s="1"/>
  <c r="Y232" i="31" s="1"/>
  <c r="V218" i="31" a="1"/>
  <c r="V218" i="31" s="1"/>
  <c r="Y218" i="31" s="1"/>
  <c r="V204" i="31" a="1"/>
  <c r="V204" i="31" s="1"/>
  <c r="Y204" i="31" s="1"/>
  <c r="V190" i="31" a="1"/>
  <c r="V190" i="31" s="1"/>
  <c r="Y190" i="31" s="1"/>
  <c r="V176" i="31" a="1"/>
  <c r="V176" i="31" s="1"/>
  <c r="Y176" i="31" s="1"/>
  <c r="V162" i="31" a="1"/>
  <c r="V162" i="31" s="1"/>
  <c r="Y162" i="31" s="1"/>
  <c r="V148" i="31" a="1"/>
  <c r="V148" i="31" s="1"/>
  <c r="Y148" i="31" s="1"/>
  <c r="BE148" i="31" s="1"/>
  <c r="V134" i="31" a="1"/>
  <c r="V134" i="31" s="1"/>
  <c r="Y134" i="31" s="1"/>
  <c r="V120" i="31" a="1"/>
  <c r="V120" i="31" s="1"/>
  <c r="Y120" i="31" s="1"/>
  <c r="V106" i="31" a="1"/>
  <c r="V106" i="31" s="1"/>
  <c r="Y106" i="31" s="1"/>
  <c r="V92" i="31" a="1"/>
  <c r="V92" i="31" s="1"/>
  <c r="Y92" i="31" s="1"/>
  <c r="BE92" i="31" s="1"/>
  <c r="V64" i="31" a="1"/>
  <c r="V64" i="31" s="1"/>
  <c r="Y64" i="31" s="1"/>
  <c r="V50" i="31" a="1"/>
  <c r="V50" i="31" s="1"/>
  <c r="Y50" i="31" s="1"/>
  <c r="V36" i="31" a="1"/>
  <c r="V36" i="31" s="1"/>
  <c r="Y36" i="31" s="1"/>
  <c r="BE260" i="31"/>
  <c r="BE232" i="31"/>
  <c r="BE218" i="31"/>
  <c r="BE204" i="31"/>
  <c r="BE162" i="31"/>
  <c r="BE134" i="31"/>
  <c r="B277" i="21"/>
  <c r="D282" i="21" s="1"/>
  <c r="B263" i="21"/>
  <c r="D268" i="21" s="1"/>
  <c r="B256" i="21"/>
  <c r="D261" i="21" s="1"/>
  <c r="B242" i="21"/>
  <c r="D247" i="21" s="1"/>
  <c r="B235" i="21"/>
  <c r="D240" i="21" s="1"/>
  <c r="B221" i="21"/>
  <c r="D226" i="21" s="1"/>
  <c r="B214" i="21"/>
  <c r="D219" i="21" s="1"/>
  <c r="B200" i="21"/>
  <c r="D205" i="21" s="1"/>
  <c r="B193" i="21"/>
  <c r="D198" i="21" s="1"/>
  <c r="B179" i="21"/>
  <c r="D184" i="21" s="1"/>
  <c r="B172" i="21"/>
  <c r="D177" i="21" s="1"/>
  <c r="B158" i="21"/>
  <c r="D163" i="21" s="1"/>
  <c r="B151" i="21"/>
  <c r="D156" i="21" s="1"/>
  <c r="B144" i="21"/>
  <c r="D149" i="21" s="1"/>
  <c r="B137" i="21"/>
  <c r="D142" i="21" s="1"/>
  <c r="B123" i="21"/>
  <c r="D128" i="21" s="1"/>
  <c r="B116" i="21"/>
  <c r="D121" i="21" s="1"/>
  <c r="B109" i="21"/>
  <c r="D114" i="21" s="1"/>
  <c r="B102" i="21"/>
  <c r="D107" i="21" s="1"/>
  <c r="B88" i="21"/>
  <c r="D93" i="21" s="1"/>
  <c r="B81" i="37"/>
  <c r="B81" i="21"/>
  <c r="D86" i="21" s="1"/>
  <c r="F85" i="37" a="1"/>
  <c r="F85" i="37" s="1"/>
  <c r="F81" i="37" s="1"/>
  <c r="T85" i="37" a="1"/>
  <c r="T85" i="37" s="1"/>
  <c r="T81" i="37" s="1"/>
  <c r="H85" i="37" a="1"/>
  <c r="H85" i="37" s="1"/>
  <c r="H81" i="37" s="1"/>
  <c r="B74" i="37"/>
  <c r="B74" i="21"/>
  <c r="D79" i="21" s="1"/>
  <c r="I78" i="37" a="1"/>
  <c r="I78" i="37" s="1"/>
  <c r="I74" i="37" s="1"/>
  <c r="B67" i="21"/>
  <c r="D72" i="21" s="1"/>
  <c r="B67" i="37"/>
  <c r="B60" i="37"/>
  <c r="B60" i="21"/>
  <c r="D65" i="21" s="1"/>
  <c r="L64" i="37" a="1"/>
  <c r="L64" i="37" s="1"/>
  <c r="L60" i="37" s="1"/>
  <c r="N64" i="37" a="1"/>
  <c r="N64" i="37" s="1"/>
  <c r="N60" i="37" s="1"/>
  <c r="B53" i="37"/>
  <c r="B53" i="21"/>
  <c r="D58" i="21" s="1"/>
  <c r="F57" i="37" a="1"/>
  <c r="F57" i="37" s="1"/>
  <c r="F53" i="37" s="1"/>
  <c r="R57" i="37" a="1"/>
  <c r="R57" i="37" s="1"/>
  <c r="R53" i="37" s="1"/>
  <c r="O57" i="37" a="1"/>
  <c r="O57" i="37" s="1"/>
  <c r="O53" i="37" s="1"/>
  <c r="B46" i="37"/>
  <c r="B46" i="21"/>
  <c r="D51" i="21" s="1"/>
  <c r="L50" i="37" a="1"/>
  <c r="L50" i="37" s="1"/>
  <c r="L46" i="37" s="1"/>
  <c r="N50" i="37" a="1"/>
  <c r="N50" i="37" s="1"/>
  <c r="N46" i="37" s="1"/>
  <c r="I50" i="37" a="1"/>
  <c r="I50" i="37" s="1"/>
  <c r="I46" i="37" s="1"/>
  <c r="B39" i="37"/>
  <c r="R43" i="37" a="1"/>
  <c r="R43" i="37" s="1"/>
  <c r="R39" i="37" s="1"/>
  <c r="H21" i="41"/>
  <c r="C21" i="41"/>
  <c r="C7" i="41"/>
  <c r="E23" i="41"/>
  <c r="C8" i="41" s="1"/>
  <c r="H22" i="41"/>
  <c r="P23" i="40"/>
  <c r="N18" i="40"/>
  <c r="M25" i="40"/>
  <c r="K25" i="40" s="1"/>
  <c r="M24" i="40"/>
  <c r="BA239" i="31" a="1"/>
  <c r="BA239" i="31" s="1"/>
  <c r="BB239" i="31" a="1"/>
  <c r="BB239" i="31" s="1"/>
  <c r="AE139" i="21"/>
  <c r="AE251" i="21"/>
  <c r="AD139" i="21"/>
  <c r="AD251" i="21"/>
  <c r="AE160" i="21"/>
  <c r="BA197" i="31" a="1"/>
  <c r="BA197" i="31" s="1"/>
  <c r="BB197" i="31" a="1"/>
  <c r="BB197" i="31" s="1"/>
  <c r="BA211" i="31" a="1"/>
  <c r="BA211" i="31" s="1"/>
  <c r="BB211" i="31" a="1"/>
  <c r="BB211" i="31" s="1"/>
  <c r="AE41" i="21"/>
  <c r="AD132" i="21"/>
  <c r="AE132" i="21"/>
  <c r="AE83" i="21"/>
  <c r="AD83" i="21"/>
  <c r="AE202" i="21"/>
  <c r="BA57" i="31" a="1"/>
  <c r="BA57" i="31" s="1"/>
  <c r="AD202" i="21"/>
  <c r="BB57" i="31" a="1"/>
  <c r="BB57" i="31" s="1"/>
  <c r="AD265" i="21"/>
  <c r="AE265" i="21"/>
  <c r="BA71" i="31" a="1"/>
  <c r="BA71" i="31" s="1"/>
  <c r="BB71" i="31" a="1"/>
  <c r="BB71" i="31" s="1"/>
  <c r="AE146" i="21"/>
  <c r="AE209" i="21"/>
  <c r="AD188" i="21"/>
  <c r="AE167" i="21"/>
  <c r="AE188" i="21"/>
  <c r="AD272" i="21"/>
  <c r="BA169" i="31" a="1"/>
  <c r="BA169" i="31" s="1"/>
  <c r="BA253" i="31" a="1"/>
  <c r="BA253" i="31" s="1"/>
  <c r="BB169" i="31" a="1"/>
  <c r="BB169" i="31" s="1"/>
  <c r="BB253" i="31" a="1"/>
  <c r="BB253" i="31" s="1"/>
  <c r="AE272" i="21"/>
  <c r="AD209" i="21"/>
  <c r="AE104" i="21"/>
  <c r="AE69" i="21"/>
  <c r="AE55" i="21"/>
  <c r="AD216" i="21"/>
  <c r="AE216" i="21"/>
  <c r="AD69" i="21"/>
  <c r="AD20" i="21"/>
  <c r="AE20" i="21"/>
  <c r="AE27" i="21"/>
  <c r="AD27" i="21"/>
  <c r="AE34" i="21"/>
  <c r="AD34" i="21"/>
  <c r="AD13" i="21"/>
  <c r="AE13" i="21"/>
  <c r="AE258" i="21"/>
  <c r="AE7" i="32"/>
  <c r="AD258" i="21"/>
  <c r="AD146" i="21"/>
  <c r="Q26" i="27"/>
  <c r="Q25" i="27"/>
  <c r="F24" i="35"/>
  <c r="E26" i="35" s="1"/>
  <c r="E7" i="35" s="1"/>
  <c r="O22" i="37"/>
  <c r="O18" i="37" s="1"/>
  <c r="K29" i="37"/>
  <c r="K25" i="37" s="1"/>
  <c r="J25" i="5"/>
  <c r="J22" i="5" s="1"/>
  <c r="S55" i="5"/>
  <c r="S52" i="5" s="1"/>
  <c r="S31" i="5"/>
  <c r="S28" i="5" s="1"/>
  <c r="K31" i="5"/>
  <c r="K28" i="5" s="1"/>
  <c r="K37" i="5"/>
  <c r="K34" i="5" s="1"/>
  <c r="S43" i="5"/>
  <c r="S40" i="5" s="1"/>
  <c r="S49" i="5"/>
  <c r="S46" i="5" s="1"/>
  <c r="K49" i="5"/>
  <c r="K46" i="5" s="1"/>
  <c r="K55" i="5"/>
  <c r="K52" i="5" s="1"/>
  <c r="S61" i="5"/>
  <c r="S58" i="5" s="1"/>
  <c r="S67" i="5"/>
  <c r="S64" i="5" s="1"/>
  <c r="K67" i="5"/>
  <c r="K64" i="5" s="1"/>
  <c r="K73" i="5"/>
  <c r="K70" i="5" s="1"/>
  <c r="S10" i="25"/>
  <c r="K10" i="25"/>
  <c r="K16" i="25"/>
  <c r="S28" i="25"/>
  <c r="K28" i="25"/>
  <c r="K34" i="25"/>
  <c r="Q40" i="25"/>
  <c r="I40" i="25"/>
  <c r="R15" i="26"/>
  <c r="R11" i="26" s="1"/>
  <c r="J36" i="26"/>
  <c r="J32" i="26" s="1"/>
  <c r="I36" i="37"/>
  <c r="I32" i="37" s="1"/>
  <c r="R19" i="5"/>
  <c r="R16" i="5" s="1"/>
  <c r="J8" i="37"/>
  <c r="J4" i="37" s="1"/>
  <c r="T15" i="37"/>
  <c r="T11" i="37" s="1"/>
  <c r="N15" i="37"/>
  <c r="N11" i="37" s="1"/>
  <c r="H15" i="37"/>
  <c r="H11" i="37" s="1"/>
  <c r="R22" i="37"/>
  <c r="R18" i="37" s="1"/>
  <c r="L22" i="37"/>
  <c r="L18" i="37" s="1"/>
  <c r="F22" i="37"/>
  <c r="P29" i="37"/>
  <c r="P25" i="37" s="1"/>
  <c r="J29" i="37"/>
  <c r="J25" i="37" s="1"/>
  <c r="T36" i="37"/>
  <c r="T32" i="37" s="1"/>
  <c r="N36" i="37"/>
  <c r="N32" i="37" s="1"/>
  <c r="H36" i="37"/>
  <c r="H32" i="37" s="1"/>
  <c r="O7" i="5"/>
  <c r="O4" i="5" s="1"/>
  <c r="I7" i="5"/>
  <c r="I4" i="5" s="1"/>
  <c r="S13" i="5"/>
  <c r="S10" i="5" s="1"/>
  <c r="M13" i="5"/>
  <c r="M10" i="5" s="1"/>
  <c r="G13" i="5"/>
  <c r="G10" i="5" s="1"/>
  <c r="Q19" i="5"/>
  <c r="Q16" i="5" s="1"/>
  <c r="K19" i="5"/>
  <c r="K16" i="5" s="1"/>
  <c r="E19" i="5"/>
  <c r="E16" i="5" s="1"/>
  <c r="O25" i="5"/>
  <c r="O22" i="5" s="1"/>
  <c r="I25" i="5"/>
  <c r="I22" i="5" s="1"/>
  <c r="J31" i="5"/>
  <c r="J28" i="5" s="1"/>
  <c r="R37" i="5"/>
  <c r="R34" i="5" s="1"/>
  <c r="R43" i="5"/>
  <c r="R40" i="5" s="1"/>
  <c r="J43" i="5"/>
  <c r="J40" i="5" s="1"/>
  <c r="J49" i="5"/>
  <c r="J46" i="5" s="1"/>
  <c r="R55" i="5"/>
  <c r="R52" i="5" s="1"/>
  <c r="R61" i="5"/>
  <c r="R58" i="5" s="1"/>
  <c r="J61" i="5"/>
  <c r="J58" i="5" s="1"/>
  <c r="J67" i="5"/>
  <c r="J64" i="5" s="1"/>
  <c r="R73" i="5"/>
  <c r="R70" i="5" s="1"/>
  <c r="J10" i="25"/>
  <c r="R16" i="25"/>
  <c r="J28" i="25"/>
  <c r="R34" i="25"/>
  <c r="J34" i="25"/>
  <c r="H40" i="25"/>
  <c r="Q15" i="26"/>
  <c r="Q11" i="26" s="1"/>
  <c r="H22" i="26"/>
  <c r="H18" i="26" s="1"/>
  <c r="Q8" i="37"/>
  <c r="Q4" i="37" s="1"/>
  <c r="O36" i="37"/>
  <c r="O32" i="37" s="1"/>
  <c r="J7" i="5"/>
  <c r="J4" i="5" s="1"/>
  <c r="K43" i="5"/>
  <c r="K40" i="5" s="1"/>
  <c r="S16" i="25"/>
  <c r="P8" i="37"/>
  <c r="P4" i="37" s="1"/>
  <c r="R31" i="5"/>
  <c r="R28" i="5" s="1"/>
  <c r="I31" i="5"/>
  <c r="I28" i="5" s="1"/>
  <c r="J37" i="5"/>
  <c r="J34" i="5" s="1"/>
  <c r="Q43" i="5"/>
  <c r="Q40" i="5" s="1"/>
  <c r="R49" i="5"/>
  <c r="R46" i="5" s="1"/>
  <c r="I49" i="5"/>
  <c r="I46" i="5" s="1"/>
  <c r="J55" i="5"/>
  <c r="J52" i="5" s="1"/>
  <c r="Q61" i="5"/>
  <c r="Q58" i="5" s="1"/>
  <c r="R67" i="5"/>
  <c r="R64" i="5" s="1"/>
  <c r="I67" i="5"/>
  <c r="I64" i="5" s="1"/>
  <c r="J73" i="5"/>
  <c r="J70" i="5" s="1"/>
  <c r="R10" i="25"/>
  <c r="I10" i="25"/>
  <c r="J16" i="25"/>
  <c r="R28" i="25"/>
  <c r="I28" i="25"/>
  <c r="I34" i="25"/>
  <c r="P40" i="25"/>
  <c r="G40" i="25"/>
  <c r="P15" i="26"/>
  <c r="P11" i="26" s="1"/>
  <c r="S22" i="37"/>
  <c r="S18" i="37" s="1"/>
  <c r="P7" i="5"/>
  <c r="P4" i="5" s="1"/>
  <c r="T61" i="5"/>
  <c r="T58" i="5" s="1"/>
  <c r="O8" i="37"/>
  <c r="O4" i="37" s="1"/>
  <c r="I8" i="37"/>
  <c r="I4" i="37" s="1"/>
  <c r="S15" i="37"/>
  <c r="S11" i="37" s="1"/>
  <c r="M15" i="37"/>
  <c r="M11" i="37" s="1"/>
  <c r="G15" i="37"/>
  <c r="G11" i="37" s="1"/>
  <c r="Q22" i="37"/>
  <c r="Q18" i="37" s="1"/>
  <c r="K22" i="37"/>
  <c r="K18" i="37" s="1"/>
  <c r="O29" i="37"/>
  <c r="O25" i="37" s="1"/>
  <c r="I29" i="37"/>
  <c r="I25" i="37" s="1"/>
  <c r="S36" i="37"/>
  <c r="S32" i="37" s="1"/>
  <c r="M36" i="37"/>
  <c r="M32" i="37" s="1"/>
  <c r="G36" i="37"/>
  <c r="G32" i="37" s="1"/>
  <c r="T7" i="5"/>
  <c r="T4" i="5" s="1"/>
  <c r="N7" i="5"/>
  <c r="N4" i="5" s="1"/>
  <c r="H7" i="5"/>
  <c r="H4" i="5" s="1"/>
  <c r="R13" i="5"/>
  <c r="R10" i="5" s="1"/>
  <c r="L13" i="5"/>
  <c r="L10" i="5" s="1"/>
  <c r="F13" i="5"/>
  <c r="F10" i="5" s="1"/>
  <c r="P19" i="5"/>
  <c r="P16" i="5" s="1"/>
  <c r="J19" i="5"/>
  <c r="J16" i="5" s="1"/>
  <c r="T25" i="5"/>
  <c r="T22" i="5" s="1"/>
  <c r="N25" i="5"/>
  <c r="N22" i="5" s="1"/>
  <c r="H25" i="5"/>
  <c r="H22" i="5" s="1"/>
  <c r="Q31" i="5"/>
  <c r="Q28" i="5" s="1"/>
  <c r="Q37" i="5"/>
  <c r="Q34" i="5" s="1"/>
  <c r="I37" i="5"/>
  <c r="I34" i="5" s="1"/>
  <c r="I43" i="5"/>
  <c r="I40" i="5" s="1"/>
  <c r="Q49" i="5"/>
  <c r="Q46" i="5" s="1"/>
  <c r="Q55" i="5"/>
  <c r="Q52" i="5" s="1"/>
  <c r="I55" i="5"/>
  <c r="I52" i="5" s="1"/>
  <c r="I61" i="5"/>
  <c r="I58" i="5" s="1"/>
  <c r="Q67" i="5"/>
  <c r="Q64" i="5" s="1"/>
  <c r="Q73" i="5"/>
  <c r="Q70" i="5" s="1"/>
  <c r="I73" i="5"/>
  <c r="I70" i="5" s="1"/>
  <c r="Q10" i="25"/>
  <c r="Q16" i="25"/>
  <c r="I16" i="25"/>
  <c r="Q28" i="25"/>
  <c r="Q34" i="25"/>
  <c r="H34" i="25"/>
  <c r="F40" i="25"/>
  <c r="R29" i="26"/>
  <c r="R25" i="26" s="1"/>
  <c r="O15" i="37"/>
  <c r="O11" i="37" s="1"/>
  <c r="S37" i="5"/>
  <c r="S34" i="5" s="1"/>
  <c r="R40" i="25"/>
  <c r="L22" i="26"/>
  <c r="L18" i="26" s="1"/>
  <c r="G25" i="5"/>
  <c r="G22" i="5" s="1"/>
  <c r="P31" i="5"/>
  <c r="P28" i="5" s="1"/>
  <c r="H31" i="5"/>
  <c r="H28" i="5" s="1"/>
  <c r="H37" i="5"/>
  <c r="H34" i="5" s="1"/>
  <c r="P43" i="5"/>
  <c r="P40" i="5" s="1"/>
  <c r="P49" i="5"/>
  <c r="P46" i="5" s="1"/>
  <c r="H49" i="5"/>
  <c r="H46" i="5" s="1"/>
  <c r="H55" i="5"/>
  <c r="H52" i="5" s="1"/>
  <c r="P61" i="5"/>
  <c r="P58" i="5" s="1"/>
  <c r="P67" i="5"/>
  <c r="P64" i="5" s="1"/>
  <c r="H67" i="5"/>
  <c r="H64" i="5" s="1"/>
  <c r="H73" i="5"/>
  <c r="H70" i="5" s="1"/>
  <c r="P10" i="25"/>
  <c r="H10" i="25"/>
  <c r="H16" i="25"/>
  <c r="P28" i="25"/>
  <c r="H28" i="25"/>
  <c r="G34" i="25"/>
  <c r="O40" i="25"/>
  <c r="V43" i="25" a="1"/>
  <c r="V43" i="25" s="1"/>
  <c r="E40" i="25"/>
  <c r="M15" i="26"/>
  <c r="M11" i="26" s="1"/>
  <c r="N43" i="26"/>
  <c r="N39" i="26" s="1"/>
  <c r="M22" i="37"/>
  <c r="M18" i="37" s="1"/>
  <c r="N13" i="5"/>
  <c r="N10" i="5" s="1"/>
  <c r="L49" i="5"/>
  <c r="L46" i="5" s="1"/>
  <c r="T8" i="37"/>
  <c r="T4" i="37" s="1"/>
  <c r="N8" i="37"/>
  <c r="N4" i="37" s="1"/>
  <c r="H8" i="37"/>
  <c r="H4" i="37" s="1"/>
  <c r="R15" i="37"/>
  <c r="R11" i="37" s="1"/>
  <c r="L15" i="37"/>
  <c r="L11" i="37" s="1"/>
  <c r="F15" i="37"/>
  <c r="P22" i="37"/>
  <c r="P18" i="37" s="1"/>
  <c r="J22" i="37"/>
  <c r="J18" i="37" s="1"/>
  <c r="T29" i="37"/>
  <c r="T25" i="37" s="1"/>
  <c r="N29" i="37"/>
  <c r="N25" i="37" s="1"/>
  <c r="H29" i="37"/>
  <c r="H25" i="37" s="1"/>
  <c r="R36" i="37"/>
  <c r="R32" i="37" s="1"/>
  <c r="L36" i="37"/>
  <c r="L32" i="37" s="1"/>
  <c r="F36" i="37"/>
  <c r="S7" i="5"/>
  <c r="S4" i="5" s="1"/>
  <c r="M7" i="5"/>
  <c r="M4" i="5" s="1"/>
  <c r="G7" i="5"/>
  <c r="G4" i="5" s="1"/>
  <c r="Q13" i="5"/>
  <c r="Q10" i="5" s="1"/>
  <c r="K13" i="5"/>
  <c r="K10" i="5" s="1"/>
  <c r="E13" i="5"/>
  <c r="E10" i="5" s="1"/>
  <c r="O19" i="5"/>
  <c r="O16" i="5" s="1"/>
  <c r="I19" i="5"/>
  <c r="I16" i="5" s="1"/>
  <c r="S25" i="5"/>
  <c r="S22" i="5" s="1"/>
  <c r="M25" i="5"/>
  <c r="M22" i="5" s="1"/>
  <c r="O31" i="5"/>
  <c r="O28" i="5" s="1"/>
  <c r="P37" i="5"/>
  <c r="P34" i="5" s="1"/>
  <c r="G37" i="5"/>
  <c r="G34" i="5" s="1"/>
  <c r="H43" i="5"/>
  <c r="H40" i="5" s="1"/>
  <c r="O49" i="5"/>
  <c r="O46" i="5" s="1"/>
  <c r="P55" i="5"/>
  <c r="P52" i="5" s="1"/>
  <c r="G55" i="5"/>
  <c r="G52" i="5" s="1"/>
  <c r="H61" i="5"/>
  <c r="H58" i="5" s="1"/>
  <c r="O67" i="5"/>
  <c r="O64" i="5" s="1"/>
  <c r="P73" i="5"/>
  <c r="P70" i="5" s="1"/>
  <c r="G73" i="5"/>
  <c r="G70" i="5" s="1"/>
  <c r="O10" i="25"/>
  <c r="P16" i="25"/>
  <c r="G16" i="25"/>
  <c r="O28" i="25"/>
  <c r="P34" i="25"/>
  <c r="N40" i="25"/>
  <c r="J15" i="26"/>
  <c r="J11" i="26" s="1"/>
  <c r="L29" i="26"/>
  <c r="L25" i="26" s="1"/>
  <c r="I15" i="37"/>
  <c r="I11" i="37" s="1"/>
  <c r="H13" i="5"/>
  <c r="H10" i="5" s="1"/>
  <c r="L31" i="5"/>
  <c r="L28" i="5" s="1"/>
  <c r="S73" i="5"/>
  <c r="S70" i="5" s="1"/>
  <c r="F25" i="5"/>
  <c r="F22" i="5" s="1"/>
  <c r="G31" i="5"/>
  <c r="G28" i="5" s="1"/>
  <c r="O37" i="5"/>
  <c r="O34" i="5" s="1"/>
  <c r="O43" i="5"/>
  <c r="O40" i="5" s="1"/>
  <c r="G43" i="5"/>
  <c r="G40" i="5" s="1"/>
  <c r="G49" i="5"/>
  <c r="G46" i="5" s="1"/>
  <c r="O55" i="5"/>
  <c r="O52" i="5" s="1"/>
  <c r="O61" i="5"/>
  <c r="O58" i="5" s="1"/>
  <c r="G61" i="5"/>
  <c r="G58" i="5" s="1"/>
  <c r="G67" i="5"/>
  <c r="G64" i="5" s="1"/>
  <c r="O73" i="5"/>
  <c r="O70" i="5" s="1"/>
  <c r="G10" i="25"/>
  <c r="O16" i="25"/>
  <c r="G28" i="25"/>
  <c r="O34" i="25"/>
  <c r="F34" i="25"/>
  <c r="M40" i="25"/>
  <c r="K8" i="37"/>
  <c r="K4" i="37" s="1"/>
  <c r="T13" i="5"/>
  <c r="T10" i="5" s="1"/>
  <c r="T43" i="5"/>
  <c r="T40" i="5" s="1"/>
  <c r="L67" i="5"/>
  <c r="L64" i="5" s="1"/>
  <c r="S8" i="37"/>
  <c r="S4" i="37" s="1"/>
  <c r="M8" i="37"/>
  <c r="M4" i="37" s="1"/>
  <c r="G8" i="37"/>
  <c r="G4" i="37" s="1"/>
  <c r="Q15" i="37"/>
  <c r="Q11" i="37" s="1"/>
  <c r="K15" i="37"/>
  <c r="K11" i="37" s="1"/>
  <c r="I22" i="37"/>
  <c r="I18" i="37" s="1"/>
  <c r="S29" i="37"/>
  <c r="S25" i="37" s="1"/>
  <c r="M29" i="37"/>
  <c r="M25" i="37" s="1"/>
  <c r="G29" i="37"/>
  <c r="G25" i="37" s="1"/>
  <c r="Q36" i="37"/>
  <c r="Q32" i="37" s="1"/>
  <c r="K36" i="37"/>
  <c r="K32" i="37" s="1"/>
  <c r="R7" i="5"/>
  <c r="R4" i="5" s="1"/>
  <c r="L7" i="5"/>
  <c r="L4" i="5" s="1"/>
  <c r="F7" i="5"/>
  <c r="F4" i="5" s="1"/>
  <c r="P13" i="5"/>
  <c r="P10" i="5" s="1"/>
  <c r="J13" i="5"/>
  <c r="J10" i="5" s="1"/>
  <c r="T19" i="5"/>
  <c r="T16" i="5" s="1"/>
  <c r="N19" i="5"/>
  <c r="N16" i="5" s="1"/>
  <c r="H19" i="5"/>
  <c r="H16" i="5" s="1"/>
  <c r="R25" i="5"/>
  <c r="R22" i="5" s="1"/>
  <c r="L25" i="5"/>
  <c r="L22" i="5" s="1"/>
  <c r="N31" i="5"/>
  <c r="N28" i="5" s="1"/>
  <c r="N37" i="5"/>
  <c r="N34" i="5" s="1"/>
  <c r="F37" i="5"/>
  <c r="F34" i="5" s="1"/>
  <c r="F43" i="5"/>
  <c r="F40" i="5" s="1"/>
  <c r="N49" i="5"/>
  <c r="N46" i="5" s="1"/>
  <c r="N55" i="5"/>
  <c r="N52" i="5" s="1"/>
  <c r="F55" i="5"/>
  <c r="F52" i="5" s="1"/>
  <c r="F61" i="5"/>
  <c r="F58" i="5" s="1"/>
  <c r="N67" i="5"/>
  <c r="N64" i="5" s="1"/>
  <c r="N73" i="5"/>
  <c r="N70" i="5" s="1"/>
  <c r="F73" i="5"/>
  <c r="F70" i="5" s="1"/>
  <c r="N10" i="25"/>
  <c r="N16" i="25"/>
  <c r="F16" i="25"/>
  <c r="N28" i="25"/>
  <c r="N34" i="25"/>
  <c r="L40" i="25"/>
  <c r="G15" i="26"/>
  <c r="G11" i="26" s="1"/>
  <c r="F29" i="26"/>
  <c r="F25" i="26" s="1"/>
  <c r="Q29" i="37"/>
  <c r="Q25" i="37" s="1"/>
  <c r="L19" i="5"/>
  <c r="L16" i="5" s="1"/>
  <c r="L10" i="25"/>
  <c r="S15" i="26"/>
  <c r="S11" i="26" s="1"/>
  <c r="E25" i="5"/>
  <c r="E22" i="5" s="1"/>
  <c r="F31" i="5"/>
  <c r="F28" i="5" s="1"/>
  <c r="M37" i="5"/>
  <c r="M34" i="5" s="1"/>
  <c r="N43" i="5"/>
  <c r="N40" i="5" s="1"/>
  <c r="E43" i="5"/>
  <c r="E40" i="5" s="1"/>
  <c r="F49" i="5"/>
  <c r="F46" i="5" s="1"/>
  <c r="M55" i="5"/>
  <c r="M52" i="5" s="1"/>
  <c r="N61" i="5"/>
  <c r="N58" i="5" s="1"/>
  <c r="E61" i="5"/>
  <c r="E58" i="5" s="1"/>
  <c r="F67" i="5"/>
  <c r="F64" i="5" s="1"/>
  <c r="M73" i="5"/>
  <c r="M70" i="5" s="1"/>
  <c r="F10" i="25"/>
  <c r="M16" i="25"/>
  <c r="F28" i="25"/>
  <c r="M34" i="25"/>
  <c r="V37" i="25" a="1"/>
  <c r="V37" i="25" s="1"/>
  <c r="E34" i="25"/>
  <c r="K40" i="25"/>
  <c r="P25" i="5"/>
  <c r="P22" i="5" s="1"/>
  <c r="K61" i="5"/>
  <c r="K58" i="5" s="1"/>
  <c r="L28" i="25"/>
  <c r="R8" i="37"/>
  <c r="R4" i="37" s="1"/>
  <c r="L8" i="37"/>
  <c r="L4" i="37" s="1"/>
  <c r="F8" i="37"/>
  <c r="P15" i="37"/>
  <c r="P11" i="37" s="1"/>
  <c r="J15" i="37"/>
  <c r="J11" i="37" s="1"/>
  <c r="T22" i="37"/>
  <c r="T18" i="37" s="1"/>
  <c r="N22" i="37"/>
  <c r="N18" i="37" s="1"/>
  <c r="H22" i="37"/>
  <c r="H18" i="37" s="1"/>
  <c r="R29" i="37"/>
  <c r="R25" i="37" s="1"/>
  <c r="L29" i="37"/>
  <c r="L25" i="37" s="1"/>
  <c r="F29" i="37"/>
  <c r="P36" i="37"/>
  <c r="P32" i="37" s="1"/>
  <c r="J36" i="37"/>
  <c r="J32" i="37" s="1"/>
  <c r="Q7" i="5"/>
  <c r="Q4" i="5" s="1"/>
  <c r="K7" i="5"/>
  <c r="K4" i="5" s="1"/>
  <c r="E7" i="5"/>
  <c r="E4" i="5" s="1"/>
  <c r="O13" i="5"/>
  <c r="O10" i="5" s="1"/>
  <c r="I13" i="5"/>
  <c r="I10" i="5" s="1"/>
  <c r="S19" i="5"/>
  <c r="S16" i="5" s="1"/>
  <c r="M19" i="5"/>
  <c r="M16" i="5" s="1"/>
  <c r="G19" i="5"/>
  <c r="G16" i="5" s="1"/>
  <c r="Q25" i="5"/>
  <c r="Q22" i="5" s="1"/>
  <c r="K25" i="5"/>
  <c r="K22" i="5" s="1"/>
  <c r="M31" i="5"/>
  <c r="M28" i="5" s="1"/>
  <c r="E31" i="5"/>
  <c r="E28" i="5" s="1"/>
  <c r="E37" i="5"/>
  <c r="E34" i="5" s="1"/>
  <c r="M43" i="5"/>
  <c r="M40" i="5" s="1"/>
  <c r="M49" i="5"/>
  <c r="M46" i="5" s="1"/>
  <c r="E49" i="5"/>
  <c r="E46" i="5" s="1"/>
  <c r="E55" i="5"/>
  <c r="E52" i="5" s="1"/>
  <c r="M61" i="5"/>
  <c r="M58" i="5" s="1"/>
  <c r="M67" i="5"/>
  <c r="M64" i="5" s="1"/>
  <c r="E67" i="5"/>
  <c r="E64" i="5" s="1"/>
  <c r="E73" i="5"/>
  <c r="E70" i="5" s="1"/>
  <c r="M10" i="25"/>
  <c r="V13" i="25" a="1"/>
  <c r="V13" i="25" s="1"/>
  <c r="E10" i="25"/>
  <c r="V19" i="25" a="1"/>
  <c r="V19" i="25" s="1"/>
  <c r="E16" i="25"/>
  <c r="M28" i="25"/>
  <c r="V31" i="25" a="1"/>
  <c r="V31" i="25" s="1"/>
  <c r="E28" i="25"/>
  <c r="G22" i="37"/>
  <c r="G18" i="37" s="1"/>
  <c r="F19" i="5"/>
  <c r="F16" i="5" s="1"/>
  <c r="S34" i="25"/>
  <c r="T31" i="5"/>
  <c r="T28" i="5" s="1"/>
  <c r="T37" i="5"/>
  <c r="T34" i="5" s="1"/>
  <c r="L37" i="5"/>
  <c r="L34" i="5" s="1"/>
  <c r="L43" i="5"/>
  <c r="L40" i="5" s="1"/>
  <c r="T49" i="5"/>
  <c r="T46" i="5" s="1"/>
  <c r="T55" i="5"/>
  <c r="T52" i="5" s="1"/>
  <c r="L55" i="5"/>
  <c r="L52" i="5" s="1"/>
  <c r="L61" i="5"/>
  <c r="L58" i="5" s="1"/>
  <c r="T67" i="5"/>
  <c r="T64" i="5" s="1"/>
  <c r="T73" i="5"/>
  <c r="T70" i="5" s="1"/>
  <c r="L73" i="5"/>
  <c r="L70" i="5" s="1"/>
  <c r="L16" i="25"/>
  <c r="L34" i="25"/>
  <c r="S40" i="25"/>
  <c r="J40" i="25"/>
  <c r="Q22" i="26"/>
  <c r="Q18" i="26" s="1"/>
  <c r="P36" i="26"/>
  <c r="P32" i="26" s="1"/>
  <c r="T15" i="26"/>
  <c r="T11" i="26" s="1"/>
  <c r="N15" i="26"/>
  <c r="N11" i="26" s="1"/>
  <c r="H15" i="26"/>
  <c r="H11" i="26" s="1"/>
  <c r="R22" i="26"/>
  <c r="R18" i="26" s="1"/>
  <c r="F22" i="26"/>
  <c r="F18" i="26" s="1"/>
  <c r="P29" i="26"/>
  <c r="P25" i="26" s="1"/>
  <c r="J29" i="26"/>
  <c r="J25" i="26" s="1"/>
  <c r="N36" i="26"/>
  <c r="N32" i="26" s="1"/>
  <c r="H36" i="26"/>
  <c r="H32" i="26" s="1"/>
  <c r="R43" i="26"/>
  <c r="R39" i="26" s="1"/>
  <c r="L43" i="26"/>
  <c r="L39" i="26" s="1"/>
  <c r="F43" i="26"/>
  <c r="F39" i="26" s="1"/>
  <c r="P50" i="26"/>
  <c r="P46" i="26" s="1"/>
  <c r="J50" i="26"/>
  <c r="J46" i="26" s="1"/>
  <c r="K22" i="26"/>
  <c r="K18" i="26" s="1"/>
  <c r="E22" i="26"/>
  <c r="O29" i="26"/>
  <c r="O25" i="26" s="1"/>
  <c r="I29" i="26"/>
  <c r="I25" i="26" s="1"/>
  <c r="S36" i="26"/>
  <c r="S32" i="26" s="1"/>
  <c r="M36" i="26"/>
  <c r="M32" i="26" s="1"/>
  <c r="G36" i="26"/>
  <c r="G32" i="26" s="1"/>
  <c r="Q43" i="26"/>
  <c r="Q39" i="26" s="1"/>
  <c r="K43" i="26"/>
  <c r="K39" i="26" s="1"/>
  <c r="E43" i="26"/>
  <c r="O50" i="26"/>
  <c r="O46" i="26" s="1"/>
  <c r="I50" i="26"/>
  <c r="I46" i="26" s="1"/>
  <c r="L15" i="26"/>
  <c r="L11" i="26" s="1"/>
  <c r="F15" i="26"/>
  <c r="F11" i="26" s="1"/>
  <c r="P22" i="26"/>
  <c r="P18" i="26" s="1"/>
  <c r="J22" i="26"/>
  <c r="J18" i="26" s="1"/>
  <c r="T29" i="26"/>
  <c r="T25" i="26" s="1"/>
  <c r="N29" i="26"/>
  <c r="N25" i="26" s="1"/>
  <c r="H29" i="26"/>
  <c r="H25" i="26" s="1"/>
  <c r="R36" i="26"/>
  <c r="R32" i="26" s="1"/>
  <c r="L36" i="26"/>
  <c r="L32" i="26" s="1"/>
  <c r="F36" i="26"/>
  <c r="F32" i="26" s="1"/>
  <c r="P43" i="26"/>
  <c r="P39" i="26" s="1"/>
  <c r="J43" i="26"/>
  <c r="J39" i="26" s="1"/>
  <c r="N50" i="26"/>
  <c r="N46" i="26" s="1"/>
  <c r="H50" i="26"/>
  <c r="H46" i="26" s="1"/>
  <c r="K15" i="26"/>
  <c r="K11" i="26" s="1"/>
  <c r="E15" i="26"/>
  <c r="E11" i="26" s="1"/>
  <c r="O22" i="26"/>
  <c r="O18" i="26" s="1"/>
  <c r="I22" i="26"/>
  <c r="I18" i="26" s="1"/>
  <c r="S29" i="26"/>
  <c r="S25" i="26" s="1"/>
  <c r="M29" i="26"/>
  <c r="M25" i="26" s="1"/>
  <c r="G29" i="26"/>
  <c r="G25" i="26" s="1"/>
  <c r="Q36" i="26"/>
  <c r="Q32" i="26" s="1"/>
  <c r="K36" i="26"/>
  <c r="K32" i="26" s="1"/>
  <c r="E36" i="26"/>
  <c r="O43" i="26"/>
  <c r="O39" i="26" s="1"/>
  <c r="I43" i="26"/>
  <c r="I39" i="26" s="1"/>
  <c r="S50" i="26"/>
  <c r="S46" i="26" s="1"/>
  <c r="M50" i="26"/>
  <c r="M46" i="26" s="1"/>
  <c r="G50" i="26"/>
  <c r="G46" i="26" s="1"/>
  <c r="H43" i="26"/>
  <c r="H39" i="26" s="1"/>
  <c r="R50" i="26"/>
  <c r="R46" i="26" s="1"/>
  <c r="L50" i="26"/>
  <c r="L46" i="26" s="1"/>
  <c r="F50" i="26"/>
  <c r="F46" i="26" s="1"/>
  <c r="O15" i="26"/>
  <c r="O11" i="26" s="1"/>
  <c r="I15" i="26"/>
  <c r="I11" i="26" s="1"/>
  <c r="S22" i="26"/>
  <c r="S18" i="26" s="1"/>
  <c r="M22" i="26"/>
  <c r="M18" i="26" s="1"/>
  <c r="G22" i="26"/>
  <c r="G18" i="26" s="1"/>
  <c r="Q29" i="26"/>
  <c r="Q25" i="26" s="1"/>
  <c r="K29" i="26"/>
  <c r="K25" i="26" s="1"/>
  <c r="E29" i="26"/>
  <c r="E25" i="26" s="1"/>
  <c r="O36" i="26"/>
  <c r="O32" i="26" s="1"/>
  <c r="I36" i="26"/>
  <c r="I32" i="26" s="1"/>
  <c r="S43" i="26"/>
  <c r="S39" i="26" s="1"/>
  <c r="M43" i="26"/>
  <c r="M39" i="26" s="1"/>
  <c r="G43" i="26"/>
  <c r="G39" i="26" s="1"/>
  <c r="Q50" i="26"/>
  <c r="Q46" i="26" s="1"/>
  <c r="K50" i="26"/>
  <c r="K46" i="26" s="1"/>
  <c r="E50" i="26"/>
  <c r="V43" i="37" a="1"/>
  <c r="V43" i="37" s="1"/>
  <c r="W43" i="37" s="1"/>
  <c r="X43" i="37" s="1"/>
  <c r="V50" i="37" a="1"/>
  <c r="V50" i="37" s="1"/>
  <c r="W50" i="37" s="1"/>
  <c r="X50" i="37" s="1"/>
  <c r="V64" i="37" a="1"/>
  <c r="V64" i="37" s="1"/>
  <c r="W64" i="37" s="1"/>
  <c r="X64" i="37" s="1"/>
  <c r="V71" i="37" a="1"/>
  <c r="V71" i="37" s="1"/>
  <c r="W71" i="37" s="1"/>
  <c r="X71" i="37" s="1"/>
  <c r="V78" i="37" a="1"/>
  <c r="V78" i="37" s="1"/>
  <c r="W78" i="37" s="1"/>
  <c r="X78" i="37" s="1"/>
  <c r="V7" i="25" a="1"/>
  <c r="V7" i="25" s="1"/>
  <c r="V25" i="25" a="1"/>
  <c r="V25" i="25" s="1"/>
  <c r="V49" i="25" a="1"/>
  <c r="V49" i="25" s="1"/>
  <c r="V55" i="25" a="1"/>
  <c r="V55" i="25" s="1"/>
  <c r="V61" i="25" a="1"/>
  <c r="V61" i="25" s="1"/>
  <c r="V67" i="25" a="1"/>
  <c r="V67" i="25" s="1"/>
  <c r="V73" i="25" a="1"/>
  <c r="V73" i="25" s="1"/>
  <c r="V8" i="26" a="1"/>
  <c r="V8" i="26" s="1"/>
  <c r="V57" i="26" a="1"/>
  <c r="V57" i="26" s="1"/>
  <c r="V64" i="26" a="1"/>
  <c r="V64" i="26" s="1"/>
  <c r="V71" i="26" a="1"/>
  <c r="V71" i="26" s="1"/>
  <c r="V78" i="26" a="1"/>
  <c r="V78" i="26" s="1"/>
  <c r="V85" i="26" a="1"/>
  <c r="V85" i="26" s="1"/>
  <c r="V44" i="25"/>
  <c r="V14" i="25"/>
  <c r="V20" i="25"/>
  <c r="V38" i="25"/>
  <c r="V32" i="25"/>
  <c r="N22" i="26" a="1"/>
  <c r="AE223" i="21" l="1"/>
  <c r="AD55" i="21"/>
  <c r="AE111" i="21"/>
  <c r="AD279" i="21"/>
  <c r="AD160" i="21"/>
  <c r="AE279" i="21"/>
  <c r="AD90" i="21"/>
  <c r="AD174" i="21"/>
  <c r="AE90" i="21"/>
  <c r="V85" i="37" a="1"/>
  <c r="V85" i="37" s="1"/>
  <c r="W85" i="37" s="1"/>
  <c r="X85" i="37" s="1"/>
  <c r="AD41" i="21"/>
  <c r="N16" i="22" s="1"/>
  <c r="AD111" i="21"/>
  <c r="AH16" i="22" s="1"/>
  <c r="V57" i="37" a="1"/>
  <c r="V57" i="37" s="1"/>
  <c r="W57" i="37" s="1"/>
  <c r="X57" i="37" s="1"/>
  <c r="AE174" i="21"/>
  <c r="AD223" i="21"/>
  <c r="BE29" i="31"/>
  <c r="BB29" i="31" a="1"/>
  <c r="BB29" i="31" s="1"/>
  <c r="BA29" i="31" a="1"/>
  <c r="BA29" i="31" s="1"/>
  <c r="V281" i="31" a="1"/>
  <c r="V281" i="31" s="1"/>
  <c r="Y281" i="31" s="1"/>
  <c r="V78" i="31" a="1"/>
  <c r="V78" i="31" s="1"/>
  <c r="Y78" i="31" s="1"/>
  <c r="BE78" i="31" s="1"/>
  <c r="BE274" i="31"/>
  <c r="BE246" i="31"/>
  <c r="BE190" i="31"/>
  <c r="BD16" i="22" s="1"/>
  <c r="BE176" i="31"/>
  <c r="AZ16" i="22" s="1"/>
  <c r="BE120" i="31"/>
  <c r="BE106" i="31"/>
  <c r="BE64" i="31"/>
  <c r="BE50" i="31"/>
  <c r="BE36" i="31"/>
  <c r="L16" i="22" s="1"/>
  <c r="M35" i="22" s="1"/>
  <c r="AD244" i="21"/>
  <c r="AE244" i="21"/>
  <c r="AD237" i="21"/>
  <c r="AE237" i="21"/>
  <c r="AD195" i="21"/>
  <c r="AE195" i="21"/>
  <c r="BF68" i="22" s="1"/>
  <c r="AE181" i="21"/>
  <c r="BB68" i="22" s="1"/>
  <c r="AD181" i="21"/>
  <c r="AE153" i="21"/>
  <c r="AD153" i="21"/>
  <c r="AD125" i="21"/>
  <c r="AE125" i="21"/>
  <c r="AL68" i="22" s="1"/>
  <c r="AD118" i="21"/>
  <c r="AE118" i="21"/>
  <c r="AD104" i="21"/>
  <c r="AF16" i="22" s="1"/>
  <c r="AD76" i="21"/>
  <c r="AE76" i="21"/>
  <c r="X68" i="22" s="1"/>
  <c r="AD62" i="21"/>
  <c r="T16" i="22" s="1"/>
  <c r="AE62" i="21"/>
  <c r="T68" i="22" s="1"/>
  <c r="AD48" i="21"/>
  <c r="AE48" i="21"/>
  <c r="P24" i="40"/>
  <c r="K24" i="40"/>
  <c r="K8" i="40"/>
  <c r="M26" i="40"/>
  <c r="P25" i="40"/>
  <c r="F22" i="41"/>
  <c r="H23" i="41"/>
  <c r="F8" i="41" s="1"/>
  <c r="F21" i="41"/>
  <c r="F7" i="41"/>
  <c r="BH16" i="22"/>
  <c r="BP68" i="22"/>
  <c r="BH68" i="22"/>
  <c r="BZ68" i="22"/>
  <c r="AD68" i="22"/>
  <c r="F68" i="22"/>
  <c r="F71" i="22" s="1" a="1"/>
  <c r="F71" i="22" s="1"/>
  <c r="BR68" i="22"/>
  <c r="BL68" i="22"/>
  <c r="BN68" i="22"/>
  <c r="BV68" i="22"/>
  <c r="AZ68" i="22"/>
  <c r="BX68" i="22"/>
  <c r="BT68" i="22"/>
  <c r="BV16" i="22"/>
  <c r="L68" i="22"/>
  <c r="L71" i="22" s="1" a="1"/>
  <c r="L71" i="22" s="1"/>
  <c r="AT16" i="22"/>
  <c r="R68" i="22"/>
  <c r="N68" i="22"/>
  <c r="V68" i="22"/>
  <c r="Z68" i="22"/>
  <c r="AJ68" i="22"/>
  <c r="BJ68" i="22"/>
  <c r="AB68" i="22"/>
  <c r="D68" i="22"/>
  <c r="D71" i="22" s="1" a="1"/>
  <c r="D71" i="22" s="1"/>
  <c r="P68" i="22"/>
  <c r="J68" i="22"/>
  <c r="J71" i="22" s="1" a="1"/>
  <c r="J71" i="22" s="1"/>
  <c r="AN68" i="22"/>
  <c r="AT68" i="22"/>
  <c r="AV68" i="22"/>
  <c r="H68" i="22"/>
  <c r="H71" i="22" s="1" a="1"/>
  <c r="H71" i="22" s="1"/>
  <c r="AX68" i="22"/>
  <c r="AR68" i="22"/>
  <c r="AR16" i="22"/>
  <c r="Z16" i="22"/>
  <c r="AF68" i="22"/>
  <c r="BD68" i="22"/>
  <c r="BN16" i="22"/>
  <c r="BB16" i="22"/>
  <c r="AL16" i="22"/>
  <c r="CB16" i="22"/>
  <c r="BL16" i="22"/>
  <c r="BF16" i="22"/>
  <c r="AP16" i="22"/>
  <c r="AJ16" i="22"/>
  <c r="X16" i="22"/>
  <c r="AB16" i="22"/>
  <c r="BZ16" i="22"/>
  <c r="BR16" i="22"/>
  <c r="V16" i="22"/>
  <c r="BT16" i="22"/>
  <c r="BX16" i="22"/>
  <c r="AX16" i="22"/>
  <c r="AV16" i="22"/>
  <c r="CD68" i="22"/>
  <c r="BP16" i="22"/>
  <c r="BJ16" i="22"/>
  <c r="AN16" i="22"/>
  <c r="R16" i="22"/>
  <c r="P16" i="22"/>
  <c r="AP68" i="22"/>
  <c r="AD16" i="22"/>
  <c r="J16" i="22"/>
  <c r="CB68" i="22"/>
  <c r="AH68" i="22"/>
  <c r="Q27" i="27"/>
  <c r="V73" i="5" a="1"/>
  <c r="V73" i="5" s="1"/>
  <c r="V37" i="5" a="1"/>
  <c r="V37" i="5" s="1"/>
  <c r="V15" i="26" a="1"/>
  <c r="V15" i="26" s="1"/>
  <c r="V13" i="5" a="1"/>
  <c r="V13" i="5" s="1"/>
  <c r="V55" i="5" a="1"/>
  <c r="V55" i="5" s="1"/>
  <c r="N22" i="26"/>
  <c r="N18" i="26" s="1"/>
  <c r="V67" i="5" a="1"/>
  <c r="V67" i="5" s="1"/>
  <c r="V61" i="5" a="1"/>
  <c r="V61" i="5" s="1"/>
  <c r="V36" i="37" a="1"/>
  <c r="V36" i="37" s="1"/>
  <c r="F32" i="37"/>
  <c r="V49" i="5" a="1"/>
  <c r="V49" i="5" s="1"/>
  <c r="E18" i="26"/>
  <c r="V29" i="26" a="1"/>
  <c r="V29" i="26" s="1"/>
  <c r="V43" i="5" a="1"/>
  <c r="V43" i="5" s="1"/>
  <c r="V50" i="26" a="1"/>
  <c r="V50" i="26" s="1"/>
  <c r="E46" i="26"/>
  <c r="V29" i="37" a="1"/>
  <c r="V29" i="37" s="1"/>
  <c r="F25" i="37"/>
  <c r="V36" i="26" a="1"/>
  <c r="V36" i="26" s="1"/>
  <c r="E32" i="26"/>
  <c r="V31" i="5" a="1"/>
  <c r="V31" i="5" s="1"/>
  <c r="V25" i="5" a="1"/>
  <c r="V25" i="5" s="1"/>
  <c r="V43" i="26" a="1"/>
  <c r="V43" i="26" s="1"/>
  <c r="E39" i="26"/>
  <c r="V8" i="37" a="1"/>
  <c r="V8" i="37" s="1"/>
  <c r="F4" i="37"/>
  <c r="V19" i="5" a="1"/>
  <c r="V19" i="5" s="1"/>
  <c r="V7" i="5" a="1"/>
  <c r="V7" i="5" s="1"/>
  <c r="V15" i="37" a="1"/>
  <c r="V15" i="37" s="1"/>
  <c r="F11" i="37"/>
  <c r="V22" i="37" a="1"/>
  <c r="V22" i="37" s="1"/>
  <c r="F18" i="37"/>
  <c r="V16" i="26"/>
  <c r="V14" i="5"/>
  <c r="V38" i="5"/>
  <c r="W8" i="37"/>
  <c r="V44" i="5"/>
  <c r="V51" i="26"/>
  <c r="V20" i="5"/>
  <c r="W29" i="37"/>
  <c r="W15" i="37"/>
  <c r="V37" i="26"/>
  <c r="W22" i="37"/>
  <c r="W36" i="37"/>
  <c r="V32" i="5"/>
  <c r="V23" i="26"/>
  <c r="V44" i="26"/>
  <c r="V22" i="26" l="1" a="1"/>
  <c r="V22" i="26" s="1"/>
  <c r="J79" i="22" a="1"/>
  <c r="J79" i="22" s="1"/>
  <c r="J64" i="22" a="1"/>
  <c r="J64" i="22" s="1"/>
  <c r="J49" i="22" a="1"/>
  <c r="J49" i="22" s="1"/>
  <c r="J12" i="22" a="1"/>
  <c r="J12" i="22" s="1"/>
  <c r="AD79" i="22" a="1"/>
  <c r="AD79" i="22" s="1"/>
  <c r="AD64" i="22" a="1"/>
  <c r="AD64" i="22" s="1"/>
  <c r="AD49" i="22" a="1"/>
  <c r="AD49" i="22" s="1"/>
  <c r="AD12" i="22" a="1"/>
  <c r="AD12" i="22" s="1"/>
  <c r="P79" i="22" a="1"/>
  <c r="P79" i="22" s="1"/>
  <c r="P64" i="22" a="1"/>
  <c r="P64" i="22" s="1"/>
  <c r="P49" i="22" a="1"/>
  <c r="P49" i="22" s="1"/>
  <c r="P12" i="22" a="1"/>
  <c r="P12" i="22" s="1"/>
  <c r="R79" i="22" a="1"/>
  <c r="R79" i="22" s="1"/>
  <c r="R64" i="22" a="1"/>
  <c r="R64" i="22" s="1"/>
  <c r="R49" i="22" a="1"/>
  <c r="R49" i="22" s="1"/>
  <c r="R12" i="22" a="1"/>
  <c r="R12" i="22" s="1"/>
  <c r="AN79" i="22" a="1"/>
  <c r="AN79" i="22" s="1"/>
  <c r="AN64" i="22" a="1"/>
  <c r="AN64" i="22" s="1"/>
  <c r="AN49" i="22" a="1"/>
  <c r="AN49" i="22" s="1"/>
  <c r="AN12" i="22" a="1"/>
  <c r="AN12" i="22" s="1"/>
  <c r="BD79" i="22" a="1"/>
  <c r="BD79" i="22" s="1"/>
  <c r="BD64" i="22" a="1"/>
  <c r="BD64" i="22" s="1"/>
  <c r="BD49" i="22" a="1"/>
  <c r="BD49" i="22" s="1"/>
  <c r="BD12" i="22" a="1"/>
  <c r="BD12" i="22" s="1"/>
  <c r="BJ79" i="22" a="1"/>
  <c r="BJ79" i="22" s="1"/>
  <c r="BJ64" i="22" a="1"/>
  <c r="BJ64" i="22" s="1"/>
  <c r="BJ49" i="22" a="1"/>
  <c r="BJ49" i="22" s="1"/>
  <c r="BJ12" i="22" a="1"/>
  <c r="BJ12" i="22" s="1"/>
  <c r="BP79" i="22" a="1"/>
  <c r="BP79" i="22" s="1"/>
  <c r="BP64" i="22" a="1"/>
  <c r="BP64" i="22" s="1"/>
  <c r="BP49" i="22" a="1"/>
  <c r="BP49" i="22" s="1"/>
  <c r="BP12" i="22" a="1"/>
  <c r="BP12" i="22" s="1"/>
  <c r="AV79" i="22" a="1"/>
  <c r="AV79" i="22" s="1"/>
  <c r="AV64" i="22" a="1"/>
  <c r="AV64" i="22" s="1"/>
  <c r="AV49" i="22" a="1"/>
  <c r="AV49" i="22" s="1"/>
  <c r="AV12" i="22" a="1"/>
  <c r="AV12" i="22" s="1"/>
  <c r="AX79" i="22" a="1"/>
  <c r="AX79" i="22" s="1"/>
  <c r="AX64" i="22" a="1"/>
  <c r="AX64" i="22" s="1"/>
  <c r="AX49" i="22" a="1"/>
  <c r="AX49" i="22" s="1"/>
  <c r="AX12" i="22" a="1"/>
  <c r="AX12" i="22" s="1"/>
  <c r="BX79" i="22" a="1"/>
  <c r="BX79" i="22" s="1"/>
  <c r="BX64" i="22" a="1"/>
  <c r="BX64" i="22" s="1"/>
  <c r="BX49" i="22" a="1"/>
  <c r="BX49" i="22" s="1"/>
  <c r="BX12" i="22" a="1"/>
  <c r="BX12" i="22" s="1"/>
  <c r="BT79" i="22" a="1"/>
  <c r="BT79" i="22" s="1"/>
  <c r="BT64" i="22" a="1"/>
  <c r="BT64" i="22" s="1"/>
  <c r="BT49" i="22" a="1"/>
  <c r="BT49" i="22" s="1"/>
  <c r="BT12" i="22" a="1"/>
  <c r="BT12" i="22" s="1"/>
  <c r="V79" i="22" a="1"/>
  <c r="V79" i="22" s="1"/>
  <c r="V64" i="22" a="1"/>
  <c r="V64" i="22" s="1"/>
  <c r="V49" i="22" a="1"/>
  <c r="V49" i="22" s="1"/>
  <c r="V12" i="22" a="1"/>
  <c r="V12" i="22" s="1"/>
  <c r="AZ79" i="22" a="1"/>
  <c r="AZ79" i="22" s="1"/>
  <c r="AZ64" i="22" a="1"/>
  <c r="AZ64" i="22" s="1"/>
  <c r="AZ49" i="22" a="1"/>
  <c r="AZ49" i="22" s="1"/>
  <c r="AZ12" i="22" a="1"/>
  <c r="AZ12" i="22" s="1"/>
  <c r="BR79" i="22" a="1"/>
  <c r="BR79" i="22" s="1"/>
  <c r="BR64" i="22" a="1"/>
  <c r="BR64" i="22" s="1"/>
  <c r="BR49" i="22" a="1"/>
  <c r="BR49" i="22" s="1"/>
  <c r="BR12" i="22" a="1"/>
  <c r="BR12" i="22" s="1"/>
  <c r="BZ79" i="22" a="1"/>
  <c r="BZ79" i="22" s="1"/>
  <c r="BZ64" i="22" a="1"/>
  <c r="BZ64" i="22" s="1"/>
  <c r="BZ49" i="22" a="1"/>
  <c r="BZ49" i="22" s="1"/>
  <c r="BZ12" i="22" a="1"/>
  <c r="BZ12" i="22" s="1"/>
  <c r="AB79" i="22" a="1"/>
  <c r="AB79" i="22" s="1"/>
  <c r="AB64" i="22" a="1"/>
  <c r="AB64" i="22" s="1"/>
  <c r="AB49" i="22" a="1"/>
  <c r="AB49" i="22" s="1"/>
  <c r="AB12" i="22" a="1"/>
  <c r="AB12" i="22" s="1"/>
  <c r="X79" i="22" a="1"/>
  <c r="X79" i="22" s="1"/>
  <c r="X64" i="22" a="1"/>
  <c r="X64" i="22" s="1"/>
  <c r="X49" i="22" a="1"/>
  <c r="X49" i="22" s="1"/>
  <c r="X12" i="22" a="1"/>
  <c r="X12" i="22" s="1"/>
  <c r="AJ79" i="22" a="1"/>
  <c r="AJ79" i="22" s="1"/>
  <c r="AJ64" i="22" a="1"/>
  <c r="AJ64" i="22" s="1"/>
  <c r="AJ49" i="22" a="1"/>
  <c r="AJ49" i="22" s="1"/>
  <c r="AJ12" i="22" a="1"/>
  <c r="AJ12" i="22" s="1"/>
  <c r="AP79" i="22" a="1"/>
  <c r="AP79" i="22" s="1"/>
  <c r="AP64" i="22" a="1"/>
  <c r="AP64" i="22" s="1"/>
  <c r="AP49" i="22" a="1"/>
  <c r="AP49" i="22" s="1"/>
  <c r="AP12" i="22" a="1"/>
  <c r="AP12" i="22" s="1"/>
  <c r="BF79" i="22" a="1"/>
  <c r="BF79" i="22" s="1"/>
  <c r="BF64" i="22" a="1"/>
  <c r="BF64" i="22" s="1"/>
  <c r="BF49" i="22" a="1"/>
  <c r="BF49" i="22" s="1"/>
  <c r="BF12" i="22" a="1"/>
  <c r="BF12" i="22" s="1"/>
  <c r="BL79" i="22" a="1"/>
  <c r="BL79" i="22" s="1"/>
  <c r="BL64" i="22" a="1"/>
  <c r="BL64" i="22" s="1"/>
  <c r="BL49" i="22" a="1"/>
  <c r="BL49" i="22" s="1"/>
  <c r="BL12" i="22" a="1"/>
  <c r="BL12" i="22" s="1"/>
  <c r="N79" i="22" a="1"/>
  <c r="N79" i="22" s="1"/>
  <c r="N64" i="22" a="1"/>
  <c r="N64" i="22" s="1"/>
  <c r="N49" i="22" a="1"/>
  <c r="N49" i="22" s="1"/>
  <c r="N12" i="22" a="1"/>
  <c r="N12" i="22" s="1"/>
  <c r="CB79" i="22" a="1"/>
  <c r="CB79" i="22" s="1"/>
  <c r="CB64" i="22" a="1"/>
  <c r="CB64" i="22" s="1"/>
  <c r="CB49" i="22" a="1"/>
  <c r="CB49" i="22" s="1"/>
  <c r="CB12" i="22" a="1"/>
  <c r="CB12" i="22" s="1"/>
  <c r="AL79" i="22" a="1"/>
  <c r="AL79" i="22" s="1"/>
  <c r="AL64" i="22" a="1"/>
  <c r="AL64" i="22" s="1"/>
  <c r="AL49" i="22" a="1"/>
  <c r="AL49" i="22" s="1"/>
  <c r="AL12" i="22" a="1"/>
  <c r="AL12" i="22" s="1"/>
  <c r="BB79" i="22" a="1"/>
  <c r="BB79" i="22" s="1"/>
  <c r="BB64" i="22" a="1"/>
  <c r="BB64" i="22" s="1"/>
  <c r="BB49" i="22" a="1"/>
  <c r="BB49" i="22" s="1"/>
  <c r="BB12" i="22" a="1"/>
  <c r="BB12" i="22" s="1"/>
  <c r="BN79" i="22" a="1"/>
  <c r="BN79" i="22" s="1"/>
  <c r="BN64" i="22" a="1"/>
  <c r="BN64" i="22" s="1"/>
  <c r="BN49" i="22" a="1"/>
  <c r="BN49" i="22" s="1"/>
  <c r="BN12" i="22" a="1"/>
  <c r="BN12" i="22" s="1"/>
  <c r="T79" i="22" a="1"/>
  <c r="T79" i="22" s="1"/>
  <c r="T64" i="22" a="1"/>
  <c r="T64" i="22" s="1"/>
  <c r="T49" i="22" a="1"/>
  <c r="T49" i="22" s="1"/>
  <c r="T12" i="22" a="1"/>
  <c r="T12" i="22" s="1"/>
  <c r="Z79" i="22" a="1"/>
  <c r="Z79" i="22" s="1"/>
  <c r="Z64" i="22" a="1"/>
  <c r="Z64" i="22" s="1"/>
  <c r="Z49" i="22" a="1"/>
  <c r="Z49" i="22" s="1"/>
  <c r="Z12" i="22" a="1"/>
  <c r="Z12" i="22" s="1"/>
  <c r="AF79" i="22" a="1"/>
  <c r="AF79" i="22" s="1"/>
  <c r="AF64" i="22" a="1"/>
  <c r="AF64" i="22" s="1"/>
  <c r="AF49" i="22" a="1"/>
  <c r="AF49" i="22" s="1"/>
  <c r="AF12" i="22" a="1"/>
  <c r="AF12" i="22" s="1"/>
  <c r="AR79" i="22" a="1"/>
  <c r="AR79" i="22" s="1"/>
  <c r="AR64" i="22" a="1"/>
  <c r="AR64" i="22" s="1"/>
  <c r="AR49" i="22" a="1"/>
  <c r="AR49" i="22" s="1"/>
  <c r="AR12" i="22" a="1"/>
  <c r="AR12" i="22" s="1"/>
  <c r="AT79" i="22" a="1"/>
  <c r="AT79" i="22" s="1"/>
  <c r="AT64" i="22" a="1"/>
  <c r="AT64" i="22" s="1"/>
  <c r="AT49" i="22" a="1"/>
  <c r="AT49" i="22" s="1"/>
  <c r="AT12" i="22" a="1"/>
  <c r="AT12" i="22" s="1"/>
  <c r="BV79" i="22" a="1"/>
  <c r="BV79" i="22" s="1"/>
  <c r="BV64" i="22" a="1"/>
  <c r="BV64" i="22" s="1"/>
  <c r="BV49" i="22" a="1"/>
  <c r="BV49" i="22" s="1"/>
  <c r="BV12" i="22" a="1"/>
  <c r="BV12" i="22" s="1"/>
  <c r="AH79" i="22" a="1"/>
  <c r="AH79" i="22" s="1"/>
  <c r="AH64" i="22" a="1"/>
  <c r="AH64" i="22" s="1"/>
  <c r="AH49" i="22" a="1"/>
  <c r="AH49" i="22" s="1"/>
  <c r="AH12" i="22" a="1"/>
  <c r="AH12" i="22" s="1"/>
  <c r="L79" i="22" a="1"/>
  <c r="L79" i="22" s="1"/>
  <c r="L64" i="22" a="1"/>
  <c r="L64" i="22" s="1"/>
  <c r="L49" i="22" a="1"/>
  <c r="L49" i="22" s="1"/>
  <c r="L12" i="22" a="1"/>
  <c r="L12" i="22" s="1"/>
  <c r="BH79" i="22" a="1"/>
  <c r="BH79" i="22" s="1"/>
  <c r="BH64" i="22" a="1"/>
  <c r="BH64" i="22" s="1"/>
  <c r="BH49" i="22" a="1"/>
  <c r="BH49" i="22" s="1"/>
  <c r="BH12" i="22" a="1"/>
  <c r="BH12" i="22" s="1"/>
  <c r="BE281" i="31"/>
  <c r="CD16" i="22" s="1"/>
  <c r="CC71" i="22"/>
  <c r="CB71" i="22" a="1"/>
  <c r="CB71" i="22" s="1"/>
  <c r="CE71" i="22"/>
  <c r="CD71" i="22" a="1"/>
  <c r="CD71" i="22" s="1"/>
  <c r="CA71" i="22"/>
  <c r="BZ71" i="22" a="1"/>
  <c r="BZ71" i="22" s="1"/>
  <c r="BY71" i="22"/>
  <c r="BX71" i="22" a="1"/>
  <c r="BX71" i="22" s="1"/>
  <c r="BW71" i="22"/>
  <c r="BV71" i="22" a="1"/>
  <c r="BV71" i="22" s="1"/>
  <c r="BU71" i="22"/>
  <c r="BT71" i="22" a="1"/>
  <c r="BT71" i="22" s="1"/>
  <c r="BS71" i="22"/>
  <c r="BR71" i="22" a="1"/>
  <c r="BR71" i="22" s="1"/>
  <c r="BO71" i="22"/>
  <c r="BN71" i="22" a="1"/>
  <c r="BN71" i="22" s="1"/>
  <c r="BP75" i="22"/>
  <c r="BQ71" i="22"/>
  <c r="BP71" i="22" a="1"/>
  <c r="BP71" i="22" s="1"/>
  <c r="BK71" i="22"/>
  <c r="BJ71" i="22" a="1"/>
  <c r="BJ71" i="22" s="1"/>
  <c r="BM71" i="22"/>
  <c r="BL71" i="22" a="1"/>
  <c r="BL71" i="22" s="1"/>
  <c r="BG71" i="22"/>
  <c r="BF71" i="22" a="1"/>
  <c r="BF71" i="22" s="1"/>
  <c r="BI71" i="22"/>
  <c r="BH71" i="22" a="1"/>
  <c r="BH71" i="22" s="1"/>
  <c r="BE71" i="22"/>
  <c r="BD71" i="22" a="1"/>
  <c r="BD71" i="22" s="1"/>
  <c r="BC71" i="22"/>
  <c r="BB71" i="22" a="1"/>
  <c r="BB71" i="22" s="1"/>
  <c r="AY71" i="22"/>
  <c r="AX71" i="22" a="1"/>
  <c r="AX71" i="22" s="1"/>
  <c r="BA71" i="22"/>
  <c r="AZ71" i="22" a="1"/>
  <c r="AZ71" i="22" s="1"/>
  <c r="AW71" i="22"/>
  <c r="AV71" i="22" a="1"/>
  <c r="AV71" i="22" s="1"/>
  <c r="AU71" i="22"/>
  <c r="AT71" i="22" a="1"/>
  <c r="AT71" i="22" s="1"/>
  <c r="AQ71" i="22"/>
  <c r="AP71" i="22" a="1"/>
  <c r="AP71" i="22" s="1"/>
  <c r="AS71" i="22"/>
  <c r="AR71" i="22" a="1"/>
  <c r="AR71" i="22" s="1"/>
  <c r="AO71" i="22"/>
  <c r="AN71" i="22" a="1"/>
  <c r="AN71" i="22" s="1"/>
  <c r="AM71" i="22"/>
  <c r="AL71" i="22" a="1"/>
  <c r="AL71" i="22" s="1"/>
  <c r="AI71" i="22"/>
  <c r="AH71" i="22" a="1"/>
  <c r="AH71" i="22" s="1"/>
  <c r="AK71" i="22"/>
  <c r="AJ71" i="22" a="1"/>
  <c r="AJ71" i="22" s="1"/>
  <c r="AG71" i="22"/>
  <c r="AF71" i="22" a="1"/>
  <c r="AF71" i="22" s="1"/>
  <c r="AE71" i="22"/>
  <c r="AD71" i="22" a="1"/>
  <c r="AD71" i="22" s="1"/>
  <c r="AC71" i="22"/>
  <c r="AB71" i="22" a="1"/>
  <c r="AB71" i="22" s="1"/>
  <c r="AA71" i="22"/>
  <c r="Z71" i="22" a="1"/>
  <c r="Z71" i="22" s="1"/>
  <c r="W71" i="22"/>
  <c r="V71" i="22" a="1"/>
  <c r="V71" i="22" s="1"/>
  <c r="Y71" i="22"/>
  <c r="X71" i="22" a="1"/>
  <c r="X71" i="22" s="1"/>
  <c r="U71" i="22"/>
  <c r="T71" i="22" a="1"/>
  <c r="T71" i="22" s="1"/>
  <c r="S71" i="22"/>
  <c r="R71" i="22" a="1"/>
  <c r="R71" i="22" s="1"/>
  <c r="Q71" i="22"/>
  <c r="P71" i="22" a="1"/>
  <c r="P71" i="22" s="1"/>
  <c r="O71" i="22"/>
  <c r="N71" i="22" a="1"/>
  <c r="N71" i="22" s="1"/>
  <c r="CE21" i="22"/>
  <c r="CE20" i="22"/>
  <c r="CC21" i="22"/>
  <c r="CC20" i="22"/>
  <c r="CA21" i="22"/>
  <c r="CA20" i="22"/>
  <c r="BY21" i="22"/>
  <c r="BY20" i="22"/>
  <c r="BW21" i="22"/>
  <c r="BW20" i="22"/>
  <c r="BU21" i="22"/>
  <c r="BU20" i="22"/>
  <c r="BS21" i="22"/>
  <c r="BS20" i="22"/>
  <c r="BQ21" i="22"/>
  <c r="BQ20" i="22"/>
  <c r="BO21" i="22"/>
  <c r="BO20" i="22"/>
  <c r="BM21" i="22"/>
  <c r="BM20" i="22"/>
  <c r="BK21" i="22"/>
  <c r="BK20" i="22"/>
  <c r="BI57" i="22" a="1"/>
  <c r="BI57" i="22" s="1"/>
  <c r="BI21" i="22"/>
  <c r="BI20" i="22"/>
  <c r="BG21" i="22"/>
  <c r="BG20" i="22"/>
  <c r="BE21" i="22"/>
  <c r="BE20" i="22"/>
  <c r="BC21" i="22"/>
  <c r="BC20" i="22"/>
  <c r="BA21" i="22"/>
  <c r="BA20" i="22"/>
  <c r="AY21" i="22"/>
  <c r="AY20" i="22"/>
  <c r="AW21" i="22"/>
  <c r="AW20" i="22"/>
  <c r="AU21" i="22"/>
  <c r="AU20" i="22"/>
  <c r="AS21" i="22"/>
  <c r="AS20" i="22"/>
  <c r="AQ21" i="22"/>
  <c r="AQ20" i="22"/>
  <c r="AO21" i="22"/>
  <c r="AO20" i="22"/>
  <c r="AM21" i="22"/>
  <c r="AM20" i="22"/>
  <c r="AK21" i="22"/>
  <c r="AK20" i="22"/>
  <c r="AI21" i="22"/>
  <c r="AI20" i="22"/>
  <c r="AG21" i="22"/>
  <c r="AG20" i="22"/>
  <c r="AE21" i="22"/>
  <c r="AE20" i="22"/>
  <c r="AC21" i="22"/>
  <c r="AC20" i="22"/>
  <c r="AA21" i="22"/>
  <c r="AA20" i="22"/>
  <c r="Y21" i="22"/>
  <c r="Y20" i="22"/>
  <c r="W21" i="22"/>
  <c r="W20" i="22"/>
  <c r="U21" i="22"/>
  <c r="U20" i="22"/>
  <c r="S21" i="22"/>
  <c r="S20" i="22"/>
  <c r="Q21" i="22"/>
  <c r="Q20" i="22"/>
  <c r="O21" i="22"/>
  <c r="O20" i="22"/>
  <c r="M28" i="22"/>
  <c r="M21" i="22"/>
  <c r="M20" i="22"/>
  <c r="J46" i="22"/>
  <c r="K21" i="22"/>
  <c r="K20" i="22"/>
  <c r="N25" i="40"/>
  <c r="P26" i="40"/>
  <c r="N9" i="40" s="1"/>
  <c r="K9" i="40"/>
  <c r="L36" i="38" a="1"/>
  <c r="L36" i="38" s="1"/>
  <c r="L13" i="38" a="1"/>
  <c r="L13" i="38" s="1"/>
  <c r="J45" i="38" a="1"/>
  <c r="J45" i="38" s="1"/>
  <c r="K36" i="38"/>
  <c r="J29" i="38" a="1"/>
  <c r="J29" i="38" s="1"/>
  <c r="K25" i="38"/>
  <c r="L19" i="38" a="1"/>
  <c r="L19" i="38" s="1"/>
  <c r="K17" i="38"/>
  <c r="K13" i="38"/>
  <c r="J5" i="38" a="1"/>
  <c r="J5" i="38" s="1"/>
  <c r="J44" i="38" a="1"/>
  <c r="J44" i="38" s="1"/>
  <c r="J36" i="38" a="1"/>
  <c r="J36" i="38" s="1"/>
  <c r="L28" i="38" a="1"/>
  <c r="L28" i="38" s="1"/>
  <c r="J25" i="38" a="1"/>
  <c r="J25" i="38" s="1"/>
  <c r="L21" i="38" a="1"/>
  <c r="L21" i="38" s="1"/>
  <c r="K19" i="38"/>
  <c r="J17" i="38" a="1"/>
  <c r="J17" i="38" s="1"/>
  <c r="L15" i="38" a="1"/>
  <c r="L15" i="38" s="1"/>
  <c r="J13" i="38" a="1"/>
  <c r="J13" i="38" s="1"/>
  <c r="L10" i="38" a="1"/>
  <c r="L10" i="38" s="1"/>
  <c r="L43" i="38" a="1"/>
  <c r="L43" i="38" s="1"/>
  <c r="L33" i="38" a="1"/>
  <c r="L33" i="38" s="1"/>
  <c r="K28" i="38"/>
  <c r="L24" i="38" a="1"/>
  <c r="L24" i="38" s="1"/>
  <c r="K21" i="38"/>
  <c r="J19" i="38" a="1"/>
  <c r="J19" i="38" s="1"/>
  <c r="K15" i="38"/>
  <c r="K10" i="38"/>
  <c r="L7" i="38" a="1"/>
  <c r="L7" i="38" s="1"/>
  <c r="K43" i="38"/>
  <c r="K33" i="38"/>
  <c r="J28" i="38" a="1"/>
  <c r="J28" i="38" s="1"/>
  <c r="K24" i="38"/>
  <c r="J21" i="38" a="1"/>
  <c r="J21" i="38" s="1"/>
  <c r="J15" i="38" a="1"/>
  <c r="J15" i="38" s="1"/>
  <c r="J10" i="38" a="1"/>
  <c r="J10" i="38" s="1"/>
  <c r="L42" i="38" a="1"/>
  <c r="L42" i="38" s="1"/>
  <c r="J33" i="38" a="1"/>
  <c r="J33" i="38" s="1"/>
  <c r="L27" i="38" a="1"/>
  <c r="L27" i="38" s="1"/>
  <c r="J24" i="38" a="1"/>
  <c r="J24" i="38" s="1"/>
  <c r="L16" i="38" a="1"/>
  <c r="L16" i="38" s="1"/>
  <c r="L12" i="38" a="1"/>
  <c r="L12" i="38" s="1"/>
  <c r="J7" i="38" a="1"/>
  <c r="J7" i="38" s="1"/>
  <c r="L39" i="38" a="1"/>
  <c r="L39" i="38" s="1"/>
  <c r="L32" i="38" a="1"/>
  <c r="L32" i="38" s="1"/>
  <c r="K27" i="38"/>
  <c r="L23" i="38" a="1"/>
  <c r="L23" i="38" s="1"/>
  <c r="K16" i="38"/>
  <c r="K12" i="38"/>
  <c r="L9" i="38" a="1"/>
  <c r="L9" i="38" s="1"/>
  <c r="AC17" i="42" a="1"/>
  <c r="AC17" i="42" s="1"/>
  <c r="K39" i="38"/>
  <c r="K32" i="38"/>
  <c r="J27" i="38" a="1"/>
  <c r="J27" i="38" s="1"/>
  <c r="K23" i="38"/>
  <c r="L18" i="38" a="1"/>
  <c r="L18" i="38" s="1"/>
  <c r="J16" i="38" a="1"/>
  <c r="J16" i="38" s="1"/>
  <c r="L14" i="38" a="1"/>
  <c r="L14" i="38" s="1"/>
  <c r="J12" i="38" a="1"/>
  <c r="J12" i="38" s="1"/>
  <c r="L6" i="38" a="1"/>
  <c r="L6" i="38" s="1"/>
  <c r="AB14" i="42" a="1"/>
  <c r="AB14" i="42" s="1"/>
  <c r="J39" i="38" a="1"/>
  <c r="J39" i="38" s="1"/>
  <c r="J32" i="38" a="1"/>
  <c r="J32" i="38" s="1"/>
  <c r="L26" i="38" a="1"/>
  <c r="L26" i="38" s="1"/>
  <c r="J23" i="38" a="1"/>
  <c r="J23" i="38" s="1"/>
  <c r="L20" i="38" a="1"/>
  <c r="L20" i="38" s="1"/>
  <c r="K18" i="38"/>
  <c r="K14" i="38"/>
  <c r="AA14" i="42" a="1"/>
  <c r="AA14" i="42" s="1"/>
  <c r="O2" i="42" s="1"/>
  <c r="L38" i="38" a="1"/>
  <c r="L38" i="38" s="1"/>
  <c r="L31" i="38" a="1"/>
  <c r="L31" i="38" s="1"/>
  <c r="K26" i="38"/>
  <c r="L22" i="38" a="1"/>
  <c r="L22" i="38" s="1"/>
  <c r="K20" i="38"/>
  <c r="J18" i="38" a="1"/>
  <c r="J18" i="38" s="1"/>
  <c r="J14" i="38" a="1"/>
  <c r="J14" i="38" s="1"/>
  <c r="J6" i="38" a="1"/>
  <c r="J6" i="38" s="1"/>
  <c r="L8" i="38" a="1"/>
  <c r="L8" i="38" s="1"/>
  <c r="L17" i="38" a="1"/>
  <c r="L17" i="38" s="1"/>
  <c r="K38" i="38"/>
  <c r="AC6" i="42" a="1"/>
  <c r="AC6" i="42" s="1"/>
  <c r="J38" i="38" a="1"/>
  <c r="J38" i="38" s="1"/>
  <c r="J22" i="38" a="1"/>
  <c r="J22" i="38" s="1"/>
  <c r="AC8" i="42" a="1"/>
  <c r="AC8" i="42" s="1"/>
  <c r="K22" i="38"/>
  <c r="AC12" i="42" a="1"/>
  <c r="AC12" i="42" s="1"/>
  <c r="J11" i="38" a="1"/>
  <c r="J11" i="38" s="1"/>
  <c r="L25" i="38" a="1"/>
  <c r="L25" i="38" s="1"/>
  <c r="K11" i="38"/>
  <c r="L5" i="38" a="1"/>
  <c r="L5" i="38" s="1"/>
  <c r="L11" i="38" a="1"/>
  <c r="L11" i="38" s="1"/>
  <c r="J26" i="38" a="1"/>
  <c r="J26" i="38" s="1"/>
  <c r="K29" i="38"/>
  <c r="J20" i="38" a="1"/>
  <c r="J20" i="38" s="1"/>
  <c r="K30" i="38"/>
  <c r="K31" i="38"/>
  <c r="AA12" i="42" a="1"/>
  <c r="AA12" i="42" s="1"/>
  <c r="M2" i="42" s="1"/>
  <c r="J49" i="38" a="1"/>
  <c r="J49" i="38" s="1"/>
  <c r="J47" i="38" a="1"/>
  <c r="J47" i="38" s="1"/>
  <c r="K44" i="38"/>
  <c r="L46" i="38" a="1"/>
  <c r="L46" i="38" s="1"/>
  <c r="J48" i="38" a="1"/>
  <c r="J48" i="38" s="1"/>
  <c r="J35" i="38" a="1"/>
  <c r="J35" i="38" s="1"/>
  <c r="J40" i="38" a="1"/>
  <c r="J40" i="38" s="1"/>
  <c r="K48" i="38"/>
  <c r="L29" i="38" a="1"/>
  <c r="L29" i="38" s="1"/>
  <c r="K35" i="38"/>
  <c r="K40" i="38"/>
  <c r="L48" i="38" a="1"/>
  <c r="L48" i="38" s="1"/>
  <c r="J30" i="38" a="1"/>
  <c r="J30" i="38" s="1"/>
  <c r="L35" i="38" a="1"/>
  <c r="L35" i="38" s="1"/>
  <c r="K42" i="38"/>
  <c r="L44" i="38" a="1"/>
  <c r="L44" i="38" s="1"/>
  <c r="AC2" i="42" a="1"/>
  <c r="AC2" i="42" s="1"/>
  <c r="AA3" i="42" a="1"/>
  <c r="AA3" i="42" s="1"/>
  <c r="D2" i="42" s="1"/>
  <c r="AB3" i="42" a="1"/>
  <c r="AB3" i="42" s="1"/>
  <c r="L30" i="38" a="1"/>
  <c r="L30" i="38" s="1"/>
  <c r="J34" i="38" a="1"/>
  <c r="J34" i="38" s="1"/>
  <c r="J37" i="38" a="1"/>
  <c r="J37" i="38" s="1"/>
  <c r="L40" i="38" a="1"/>
  <c r="L40" i="38" s="1"/>
  <c r="L45" i="38" a="1"/>
  <c r="L45" i="38" s="1"/>
  <c r="AC3" i="42" a="1"/>
  <c r="AC3" i="42" s="1"/>
  <c r="J31" i="38" a="1"/>
  <c r="J31" i="38" s="1"/>
  <c r="K34" i="38"/>
  <c r="K37" i="38"/>
  <c r="J41" i="38" a="1"/>
  <c r="J41" i="38" s="1"/>
  <c r="J46" i="38" a="1"/>
  <c r="J46" i="38" s="1"/>
  <c r="L34" i="38" a="1"/>
  <c r="L34" i="38" s="1"/>
  <c r="L37" i="38" a="1"/>
  <c r="L37" i="38" s="1"/>
  <c r="K41" i="38"/>
  <c r="K46" i="38"/>
  <c r="AB6" i="42" a="1"/>
  <c r="AB6" i="42" s="1"/>
  <c r="AB7" i="42" a="1"/>
  <c r="AB7" i="42" s="1"/>
  <c r="AC14" i="42" a="1"/>
  <c r="AC14" i="42" s="1"/>
  <c r="AB8" i="42" a="1"/>
  <c r="AB8" i="42" s="1"/>
  <c r="AB17" i="42" a="1"/>
  <c r="AB17" i="42" s="1"/>
  <c r="K47" i="38"/>
  <c r="K49" i="38"/>
  <c r="AA4" i="42" a="1"/>
  <c r="AA4" i="42" s="1"/>
  <c r="E2" i="42" s="1"/>
  <c r="AA9" i="42" a="1"/>
  <c r="AA9" i="42" s="1"/>
  <c r="J2" i="42" s="1"/>
  <c r="L47" i="38" a="1"/>
  <c r="L47" i="38" s="1"/>
  <c r="L49" i="38" a="1"/>
  <c r="L49" i="38" s="1"/>
  <c r="AB4" i="42" a="1"/>
  <c r="AB4" i="42" s="1"/>
  <c r="AA10" i="42" a="1"/>
  <c r="AA10" i="42" s="1"/>
  <c r="K2" i="42" s="1"/>
  <c r="AA17" i="42" a="1"/>
  <c r="AA17" i="42" s="1"/>
  <c r="R2" i="42" s="1"/>
  <c r="K45" i="38"/>
  <c r="AC4" i="42" a="1"/>
  <c r="AC4" i="42" s="1"/>
  <c r="AB11" i="42" a="1"/>
  <c r="AB11" i="42" s="1"/>
  <c r="AB5" i="42" a="1"/>
  <c r="AB5" i="42" s="1"/>
  <c r="AC11" i="42" a="1"/>
  <c r="AC11" i="42" s="1"/>
  <c r="L41" i="38" a="1"/>
  <c r="L41" i="38" s="1"/>
  <c r="J43" i="38" a="1"/>
  <c r="J43" i="38" s="1"/>
  <c r="AA2" i="42" a="1"/>
  <c r="AA2" i="42" s="1"/>
  <c r="C2" i="42" s="1"/>
  <c r="AC5" i="42" a="1"/>
  <c r="AC5" i="42" s="1"/>
  <c r="J42" i="38" a="1"/>
  <c r="J42" i="38" s="1"/>
  <c r="AB2" i="42" a="1"/>
  <c r="AB2" i="42" s="1"/>
  <c r="AA18" i="42" a="1"/>
  <c r="AA18" i="42" s="1"/>
  <c r="S2" i="42" s="1"/>
  <c r="AB9" i="42" a="1"/>
  <c r="AB9" i="42" s="1"/>
  <c r="AA15" i="42" a="1"/>
  <c r="AA15" i="42" s="1"/>
  <c r="P2" i="42" s="1"/>
  <c r="AB18" i="42" a="1"/>
  <c r="AB18" i="42" s="1"/>
  <c r="AC9" i="42" a="1"/>
  <c r="AC9" i="42" s="1"/>
  <c r="AB12" i="42" a="1"/>
  <c r="AB12" i="42" s="1"/>
  <c r="AB15" i="42" a="1"/>
  <c r="AB15" i="42" s="1"/>
  <c r="AC18" i="42" a="1"/>
  <c r="AC18" i="42" s="1"/>
  <c r="AA7" i="42" a="1"/>
  <c r="AA7" i="42" s="1"/>
  <c r="H2" i="42" s="1"/>
  <c r="AC15" i="42" a="1"/>
  <c r="AC15" i="42" s="1"/>
  <c r="AC7" i="42" a="1"/>
  <c r="AC7" i="42" s="1"/>
  <c r="H23" i="42" s="1"/>
  <c r="AB10" i="42" a="1"/>
  <c r="AB10" i="42" s="1"/>
  <c r="AA13" i="42" a="1"/>
  <c r="AA13" i="42" s="1"/>
  <c r="N2" i="42" s="1"/>
  <c r="AA16" i="42" a="1"/>
  <c r="AA16" i="42" s="1"/>
  <c r="Q2" i="42" s="1"/>
  <c r="AC10" i="42" a="1"/>
  <c r="AC10" i="42" s="1"/>
  <c r="AB13" i="42" a="1"/>
  <c r="AB13" i="42" s="1"/>
  <c r="AB16" i="42" a="1"/>
  <c r="AB16" i="42" s="1"/>
  <c r="AC13" i="42" a="1"/>
  <c r="AC13" i="42" s="1"/>
  <c r="AC16" i="42" a="1"/>
  <c r="AC16" i="42" s="1"/>
  <c r="AA8" i="42" a="1"/>
  <c r="AA8" i="42" s="1"/>
  <c r="I2" i="42" s="1"/>
  <c r="AA11" i="42" a="1"/>
  <c r="AA11" i="42" s="1"/>
  <c r="L2" i="42" s="1"/>
  <c r="N24" i="40"/>
  <c r="N8" i="40"/>
  <c r="L41" i="22"/>
  <c r="M24" i="22"/>
  <c r="L4" i="22"/>
  <c r="L32" i="22"/>
  <c r="M8" i="22" s="1"/>
  <c r="M19" i="22"/>
  <c r="M61" i="22"/>
  <c r="M54" i="22"/>
  <c r="L44" i="22"/>
  <c r="L29" i="22"/>
  <c r="M7" i="22" s="1"/>
  <c r="M25" i="22"/>
  <c r="L5" i="22"/>
  <c r="L9" i="36" s="1"/>
  <c r="M60" i="22"/>
  <c r="H57" i="33"/>
  <c r="M43" i="22"/>
  <c r="M32" i="22"/>
  <c r="G11" i="42" s="1"/>
  <c r="L53" i="22"/>
  <c r="L35" i="22"/>
  <c r="M39" i="22"/>
  <c r="BQ76" i="22"/>
  <c r="BP74" i="22"/>
  <c r="BQ69" i="22"/>
  <c r="BP76" i="22"/>
  <c r="BI56" i="22"/>
  <c r="BH15" i="22"/>
  <c r="BI32" i="22"/>
  <c r="BH53" i="22"/>
  <c r="BH29" i="22"/>
  <c r="BI7" i="22" s="1"/>
  <c r="BI63" i="22"/>
  <c r="BQ78" i="22"/>
  <c r="BP72" i="22"/>
  <c r="BQ72" i="22"/>
  <c r="BH42" i="22"/>
  <c r="BI25" i="22"/>
  <c r="BH46" i="22"/>
  <c r="BH10" i="22" s="1"/>
  <c r="BH44" i="22"/>
  <c r="BI33" i="22"/>
  <c r="BH5" i="22"/>
  <c r="BI37" i="22"/>
  <c r="BI43" i="22"/>
  <c r="BI26" i="22"/>
  <c r="BI31" i="22"/>
  <c r="BH30" i="22"/>
  <c r="BH35" i="22"/>
  <c r="BI28" i="22"/>
  <c r="BI55" i="22"/>
  <c r="BI39" i="22"/>
  <c r="BI62" i="22"/>
  <c r="BI19" i="22"/>
  <c r="BI41" i="22"/>
  <c r="BH32" i="22"/>
  <c r="BI8" i="22" s="1"/>
  <c r="BI44" i="22"/>
  <c r="BI59" i="22"/>
  <c r="BI58" i="22"/>
  <c r="BH33" i="22"/>
  <c r="BI24" i="22"/>
  <c r="BI36" i="22"/>
  <c r="BH43" i="22"/>
  <c r="BI42" i="22"/>
  <c r="BH26" i="22"/>
  <c r="BH4" i="22"/>
  <c r="BI29" i="22"/>
  <c r="BI34" i="22"/>
  <c r="BH34" i="22"/>
  <c r="BI9" i="22"/>
  <c r="BI38" i="22"/>
  <c r="BH28" i="22"/>
  <c r="BI27" i="22"/>
  <c r="BI54" i="22"/>
  <c r="BH48" i="22"/>
  <c r="BI61" i="22"/>
  <c r="BI18" i="22"/>
  <c r="BI17" i="22"/>
  <c r="BI6" i="22" s="1"/>
  <c r="BH41" i="22"/>
  <c r="BI23" i="22"/>
  <c r="BI35" i="22"/>
  <c r="BH38" i="22"/>
  <c r="BI30" i="22"/>
  <c r="BH22" i="22"/>
  <c r="BI60" i="22"/>
  <c r="BH47" i="22"/>
  <c r="BH11" i="22" s="1"/>
  <c r="BQ75" i="22"/>
  <c r="BI22" i="22"/>
  <c r="BQ77" i="22"/>
  <c r="J232" i="21" s="1" a="1"/>
  <c r="J232" i="21" s="1"/>
  <c r="K19" i="22"/>
  <c r="K31" i="22"/>
  <c r="BQ70" i="22"/>
  <c r="K39" i="22"/>
  <c r="BP73" i="22"/>
  <c r="K33" i="22"/>
  <c r="BQ73" i="22"/>
  <c r="BQ74" i="22"/>
  <c r="F5" i="42"/>
  <c r="J10" i="22"/>
  <c r="J15" i="22"/>
  <c r="AO57" i="22" a="1"/>
  <c r="AO57" i="22" s="1"/>
  <c r="AO54" i="22"/>
  <c r="AN41" i="22"/>
  <c r="AO32" i="22"/>
  <c r="AO25" i="22"/>
  <c r="AN5" i="22"/>
  <c r="AN53" i="22"/>
  <c r="AO39" i="22"/>
  <c r="AN32" i="22"/>
  <c r="AO8" i="22" s="1"/>
  <c r="AO24" i="22"/>
  <c r="AN4" i="22"/>
  <c r="AN47" i="22"/>
  <c r="AN11" i="22" s="1"/>
  <c r="AN38" i="22"/>
  <c r="AO30" i="22"/>
  <c r="AO22" i="22"/>
  <c r="AO63" i="22"/>
  <c r="AN46" i="22"/>
  <c r="AN10" i="22" s="1"/>
  <c r="AO37" i="22"/>
  <c r="AN30" i="22"/>
  <c r="AN22" i="22"/>
  <c r="AO62" i="22"/>
  <c r="AO44" i="22"/>
  <c r="AO36" i="22"/>
  <c r="AO29" i="22"/>
  <c r="AO61" i="22"/>
  <c r="AN44" i="22"/>
  <c r="AO35" i="22"/>
  <c r="AN29" i="22"/>
  <c r="AO7" i="22" s="1"/>
  <c r="AO60" i="22"/>
  <c r="AO43" i="22"/>
  <c r="AN35" i="22"/>
  <c r="AO28" i="22"/>
  <c r="AO19" i="22"/>
  <c r="AO59" i="22"/>
  <c r="AN43" i="22"/>
  <c r="AO34" i="22"/>
  <c r="AN28" i="22"/>
  <c r="AO18" i="22"/>
  <c r="AO58" i="22"/>
  <c r="AO42" i="22"/>
  <c r="AN34" i="22"/>
  <c r="AO27" i="22"/>
  <c r="AO17" i="22"/>
  <c r="AO6" i="22" s="1"/>
  <c r="AO56" i="22"/>
  <c r="AN42" i="22"/>
  <c r="AO33" i="22"/>
  <c r="AO26" i="22"/>
  <c r="AN15" i="22"/>
  <c r="AN33" i="22"/>
  <c r="AO31" i="22"/>
  <c r="AN26" i="22"/>
  <c r="AO23" i="22"/>
  <c r="AO9" i="22"/>
  <c r="AO55" i="22"/>
  <c r="AN48" i="22"/>
  <c r="AO41" i="22"/>
  <c r="AO38" i="22"/>
  <c r="CA57" i="22" a="1"/>
  <c r="CA57" i="22" s="1"/>
  <c r="CA59" i="22"/>
  <c r="BZ43" i="22"/>
  <c r="CA34" i="22"/>
  <c r="BZ28" i="22"/>
  <c r="CA18" i="22"/>
  <c r="CA58" i="22"/>
  <c r="CA42" i="22"/>
  <c r="BZ34" i="22"/>
  <c r="CA27" i="22"/>
  <c r="CA17" i="22"/>
  <c r="CA6" i="22" s="1"/>
  <c r="CA56" i="22"/>
  <c r="BZ42" i="22"/>
  <c r="CA33" i="22"/>
  <c r="CA26" i="22"/>
  <c r="BZ15" i="22"/>
  <c r="CA25" i="22"/>
  <c r="CA55" i="22"/>
  <c r="CA41" i="22"/>
  <c r="BZ33" i="22"/>
  <c r="BZ26" i="22"/>
  <c r="CA9" i="22"/>
  <c r="BZ41" i="22"/>
  <c r="BZ5" i="22"/>
  <c r="CA54" i="22"/>
  <c r="CA32" i="22"/>
  <c r="BZ53" i="22"/>
  <c r="CA39" i="22"/>
  <c r="BZ32" i="22"/>
  <c r="CA8" i="22" s="1"/>
  <c r="CA24" i="22"/>
  <c r="BZ4" i="22"/>
  <c r="BZ48" i="22"/>
  <c r="CA38" i="22"/>
  <c r="CA31" i="22"/>
  <c r="CA23" i="22"/>
  <c r="BZ47" i="22"/>
  <c r="BZ11" i="22" s="1"/>
  <c r="BZ38" i="22"/>
  <c r="CA30" i="22"/>
  <c r="CA22" i="22"/>
  <c r="CA63" i="22"/>
  <c r="BZ46" i="22"/>
  <c r="BZ10" i="22" s="1"/>
  <c r="CA37" i="22"/>
  <c r="BZ30" i="22"/>
  <c r="BZ22" i="22"/>
  <c r="CA35" i="22"/>
  <c r="CA62" i="22"/>
  <c r="CA44" i="22"/>
  <c r="CA36" i="22"/>
  <c r="CA29" i="22"/>
  <c r="BZ44" i="22"/>
  <c r="CA61" i="22"/>
  <c r="BZ29" i="22"/>
  <c r="CA7" i="22" s="1"/>
  <c r="CA60" i="22"/>
  <c r="CA43" i="22"/>
  <c r="BZ35" i="22"/>
  <c r="CA28" i="22"/>
  <c r="CA19" i="22"/>
  <c r="BE77" i="22"/>
  <c r="BD74" i="22"/>
  <c r="BD76" i="22"/>
  <c r="BE69" i="22"/>
  <c r="BE75" i="22"/>
  <c r="BD75" i="22"/>
  <c r="BE74" i="22"/>
  <c r="BE73" i="22"/>
  <c r="BD73" i="22"/>
  <c r="BE72" i="22"/>
  <c r="BE76" i="22"/>
  <c r="BD72" i="22"/>
  <c r="BE78" i="22"/>
  <c r="BE70" i="22"/>
  <c r="H75" i="22"/>
  <c r="H76" i="22"/>
  <c r="I69" i="22"/>
  <c r="H73" i="22"/>
  <c r="I70" i="22"/>
  <c r="H72" i="22"/>
  <c r="I72" i="22" s="1"/>
  <c r="H74" i="22"/>
  <c r="Z72" i="22"/>
  <c r="Z75" i="22"/>
  <c r="AA77" i="22"/>
  <c r="AA76" i="22"/>
  <c r="AA70" i="22"/>
  <c r="Z76" i="22"/>
  <c r="AA69" i="22"/>
  <c r="AA75" i="22"/>
  <c r="AA74" i="22"/>
  <c r="AA78" i="22"/>
  <c r="Z74" i="22"/>
  <c r="AA73" i="22"/>
  <c r="Z73" i="22"/>
  <c r="AA72" i="22"/>
  <c r="Y78" i="22"/>
  <c r="Y69" i="22"/>
  <c r="X76" i="22"/>
  <c r="X75" i="22"/>
  <c r="Y77" i="22"/>
  <c r="J78" i="21" s="1" a="1"/>
  <c r="J78" i="21" s="1"/>
  <c r="X72" i="22"/>
  <c r="X74" i="22"/>
  <c r="Y75" i="22"/>
  <c r="Y72" i="22"/>
  <c r="X73" i="22"/>
  <c r="Y74" i="22"/>
  <c r="Y70" i="22"/>
  <c r="Y76" i="22"/>
  <c r="Y73" i="22"/>
  <c r="K59" i="22"/>
  <c r="K62" i="22"/>
  <c r="BE57" i="22" a="1"/>
  <c r="BE57" i="22" s="1"/>
  <c r="BE63" i="22"/>
  <c r="BD46" i="22"/>
  <c r="BD10" i="22" s="1"/>
  <c r="BE37" i="22"/>
  <c r="BD30" i="22"/>
  <c r="BD22" i="22"/>
  <c r="BE62" i="22"/>
  <c r="BE44" i="22"/>
  <c r="BE36" i="22"/>
  <c r="BE29" i="22"/>
  <c r="BE60" i="22"/>
  <c r="BE43" i="22"/>
  <c r="BD35" i="22"/>
  <c r="BE28" i="22"/>
  <c r="BE19" i="22"/>
  <c r="BE59" i="22"/>
  <c r="BD43" i="22"/>
  <c r="BE34" i="22"/>
  <c r="BD28" i="22"/>
  <c r="BE18" i="22"/>
  <c r="BE58" i="22"/>
  <c r="BE42" i="22"/>
  <c r="BD34" i="22"/>
  <c r="BE27" i="22"/>
  <c r="BE17" i="22"/>
  <c r="BE6" i="22" s="1"/>
  <c r="BE56" i="22"/>
  <c r="BD42" i="22"/>
  <c r="BE33" i="22"/>
  <c r="BE26" i="22"/>
  <c r="BD15" i="22"/>
  <c r="BE55" i="22"/>
  <c r="BE41" i="22"/>
  <c r="BD33" i="22"/>
  <c r="BD26" i="22"/>
  <c r="BE9" i="22"/>
  <c r="BE54" i="22"/>
  <c r="BD41" i="22"/>
  <c r="BE32" i="22"/>
  <c r="BE25" i="22"/>
  <c r="BD5" i="22"/>
  <c r="BD53" i="22"/>
  <c r="BE39" i="22"/>
  <c r="BD32" i="22"/>
  <c r="BE8" i="22" s="1"/>
  <c r="BE24" i="22"/>
  <c r="BD4" i="22"/>
  <c r="BD48" i="22"/>
  <c r="BE38" i="22"/>
  <c r="BE31" i="22"/>
  <c r="BE23" i="22"/>
  <c r="BE61" i="22"/>
  <c r="BD47" i="22"/>
  <c r="BD11" i="22" s="1"/>
  <c r="BD44" i="22"/>
  <c r="BD38" i="22"/>
  <c r="BE35" i="22"/>
  <c r="BE30" i="22"/>
  <c r="BD29" i="22"/>
  <c r="BE7" i="22" s="1"/>
  <c r="BE22" i="22"/>
  <c r="AC57" i="22" a="1"/>
  <c r="AC57" i="22" s="1"/>
  <c r="AB47" i="22"/>
  <c r="AB11" i="22" s="1"/>
  <c r="AB38" i="22"/>
  <c r="AC30" i="22"/>
  <c r="AC22" i="22"/>
  <c r="AC62" i="22"/>
  <c r="AC44" i="22"/>
  <c r="AC36" i="22"/>
  <c r="AC29" i="22"/>
  <c r="AC61" i="22"/>
  <c r="AB44" i="22"/>
  <c r="AC35" i="22"/>
  <c r="AB29" i="22"/>
  <c r="AC7" i="22" s="1"/>
  <c r="AC59" i="22"/>
  <c r="AB43" i="22"/>
  <c r="AC34" i="22"/>
  <c r="AB28" i="22"/>
  <c r="AC18" i="22"/>
  <c r="AC58" i="22"/>
  <c r="AC42" i="22"/>
  <c r="AB34" i="22"/>
  <c r="AC27" i="22"/>
  <c r="AC17" i="22"/>
  <c r="AC6" i="22" s="1"/>
  <c r="AC56" i="22"/>
  <c r="AB42" i="22"/>
  <c r="AC33" i="22"/>
  <c r="AC26" i="22"/>
  <c r="AB15" i="22"/>
  <c r="AC55" i="22"/>
  <c r="AC41" i="22"/>
  <c r="AB33" i="22"/>
  <c r="AB26" i="22"/>
  <c r="AC9" i="22"/>
  <c r="AC54" i="22"/>
  <c r="AB41" i="22"/>
  <c r="AC32" i="22"/>
  <c r="AC25" i="22"/>
  <c r="AB5" i="22"/>
  <c r="AB48" i="22"/>
  <c r="AC38" i="22"/>
  <c r="AC31" i="22"/>
  <c r="AC23" i="22"/>
  <c r="BD92" i="31" s="1" a="1"/>
  <c r="BD92" i="31" s="1"/>
  <c r="AB32" i="22"/>
  <c r="AC8" i="22" s="1"/>
  <c r="AB30" i="22"/>
  <c r="AC24" i="22"/>
  <c r="AC63" i="22"/>
  <c r="AB22" i="22"/>
  <c r="AC60" i="22"/>
  <c r="AC19" i="22"/>
  <c r="AB53" i="22"/>
  <c r="AB4" i="22"/>
  <c r="AB46" i="22"/>
  <c r="AB10" i="22" s="1"/>
  <c r="AC43" i="22"/>
  <c r="AC39" i="22"/>
  <c r="AC37" i="22"/>
  <c r="AB35" i="22"/>
  <c r="AC28" i="22"/>
  <c r="U57" i="22" a="1"/>
  <c r="U57" i="22" s="1"/>
  <c r="U63" i="22"/>
  <c r="T46" i="22"/>
  <c r="T10" i="22" s="1"/>
  <c r="U37" i="22"/>
  <c r="T30" i="22"/>
  <c r="T22" i="22"/>
  <c r="U61" i="22"/>
  <c r="T44" i="22"/>
  <c r="U35" i="22"/>
  <c r="T29" i="22"/>
  <c r="U7" i="22" s="1"/>
  <c r="U60" i="22"/>
  <c r="U43" i="22"/>
  <c r="T35" i="22"/>
  <c r="U28" i="22"/>
  <c r="U19" i="22"/>
  <c r="U59" i="22"/>
  <c r="T43" i="22"/>
  <c r="U34" i="22"/>
  <c r="T28" i="22"/>
  <c r="U18" i="22"/>
  <c r="U58" i="22"/>
  <c r="U42" i="22"/>
  <c r="T34" i="22"/>
  <c r="U27" i="22"/>
  <c r="U17" i="22"/>
  <c r="U6" i="22" s="1"/>
  <c r="U56" i="22"/>
  <c r="T42" i="22"/>
  <c r="U33" i="22"/>
  <c r="U26" i="22"/>
  <c r="T15" i="22"/>
  <c r="L36" i="33" s="1"/>
  <c r="U55" i="22"/>
  <c r="U41" i="22"/>
  <c r="T33" i="22"/>
  <c r="T26" i="22"/>
  <c r="U9" i="22"/>
  <c r="U54" i="22"/>
  <c r="T41" i="22"/>
  <c r="U32" i="22"/>
  <c r="U25" i="22"/>
  <c r="T5" i="22"/>
  <c r="T9" i="36" s="1"/>
  <c r="L57" i="33"/>
  <c r="T53" i="22"/>
  <c r="U39" i="22"/>
  <c r="T32" i="22"/>
  <c r="U8" i="22" s="1"/>
  <c r="U24" i="22"/>
  <c r="T4" i="22"/>
  <c r="L45" i="33"/>
  <c r="L37" i="33"/>
  <c r="T47" i="22"/>
  <c r="T11" i="22" s="1"/>
  <c r="T38" i="22"/>
  <c r="U30" i="22"/>
  <c r="U22" i="22"/>
  <c r="U62" i="22"/>
  <c r="T48" i="22"/>
  <c r="U44" i="22"/>
  <c r="U38" i="22"/>
  <c r="U36" i="22"/>
  <c r="U31" i="22"/>
  <c r="U29" i="22"/>
  <c r="U23" i="22"/>
  <c r="AV74" i="22"/>
  <c r="AW74" i="22"/>
  <c r="AW69" i="22"/>
  <c r="AW77" i="22"/>
  <c r="AV72" i="22"/>
  <c r="AV73" i="22"/>
  <c r="AV76" i="22"/>
  <c r="AW73" i="22"/>
  <c r="AV75" i="22"/>
  <c r="AW70" i="22"/>
  <c r="AW76" i="22"/>
  <c r="AW78" i="22"/>
  <c r="AW72" i="22"/>
  <c r="AW75" i="22"/>
  <c r="V76" i="22"/>
  <c r="W69" i="22"/>
  <c r="V75" i="22"/>
  <c r="V73" i="22"/>
  <c r="W74" i="22"/>
  <c r="V74" i="22"/>
  <c r="W73" i="22"/>
  <c r="W72" i="22"/>
  <c r="W75" i="22"/>
  <c r="V72" i="22"/>
  <c r="W78" i="22"/>
  <c r="W77" i="22"/>
  <c r="J71" i="21" s="1" a="1"/>
  <c r="J71" i="21" s="1"/>
  <c r="W76" i="22"/>
  <c r="W70" i="22"/>
  <c r="BW72" i="22"/>
  <c r="BW78" i="22"/>
  <c r="BW75" i="22"/>
  <c r="BW77" i="22"/>
  <c r="J253" i="21" s="1" a="1"/>
  <c r="J253" i="21" s="1"/>
  <c r="BW76" i="22"/>
  <c r="BW70" i="22"/>
  <c r="BV76" i="22"/>
  <c r="BW69" i="22"/>
  <c r="BV75" i="22"/>
  <c r="BW74" i="22"/>
  <c r="BV74" i="22"/>
  <c r="BV72" i="22"/>
  <c r="BW73" i="22"/>
  <c r="BV73" i="22"/>
  <c r="J43" i="22"/>
  <c r="K54" i="22"/>
  <c r="K41" i="22"/>
  <c r="BK57" i="22" a="1"/>
  <c r="BK57" i="22" s="1"/>
  <c r="BK56" i="22"/>
  <c r="BJ42" i="22"/>
  <c r="BK33" i="22"/>
  <c r="BK26" i="22"/>
  <c r="BJ15" i="22"/>
  <c r="BK55" i="22"/>
  <c r="BK41" i="22"/>
  <c r="BJ33" i="22"/>
  <c r="BJ26" i="22"/>
  <c r="BK9" i="22"/>
  <c r="BJ48" i="22"/>
  <c r="BK38" i="22"/>
  <c r="BK31" i="22"/>
  <c r="BK23" i="22"/>
  <c r="BJ47" i="22"/>
  <c r="BJ11" i="22" s="1"/>
  <c r="BJ38" i="22"/>
  <c r="BK30" i="22"/>
  <c r="BK22" i="22"/>
  <c r="BK63" i="22"/>
  <c r="BJ46" i="22"/>
  <c r="BJ10" i="22" s="1"/>
  <c r="BK37" i="22"/>
  <c r="BJ30" i="22"/>
  <c r="BJ22" i="22"/>
  <c r="BK62" i="22"/>
  <c r="BK44" i="22"/>
  <c r="BK36" i="22"/>
  <c r="BK29" i="22"/>
  <c r="BK61" i="22"/>
  <c r="BK59" i="22"/>
  <c r="BJ43" i="22"/>
  <c r="BJ53" i="22"/>
  <c r="BJ29" i="22"/>
  <c r="BK7" i="22" s="1"/>
  <c r="BJ44" i="22"/>
  <c r="BK28" i="22"/>
  <c r="BK43" i="22"/>
  <c r="BJ28" i="22"/>
  <c r="BK42" i="22"/>
  <c r="BK27" i="22"/>
  <c r="BJ41" i="22"/>
  <c r="BK25" i="22"/>
  <c r="BK39" i="22"/>
  <c r="BK24" i="22"/>
  <c r="BK35" i="22"/>
  <c r="BJ35" i="22"/>
  <c r="BK19" i="22"/>
  <c r="BK34" i="22"/>
  <c r="BK18" i="22"/>
  <c r="BK60" i="22"/>
  <c r="BJ34" i="22"/>
  <c r="BK17" i="22"/>
  <c r="BK6" i="22" s="1"/>
  <c r="BK58" i="22"/>
  <c r="BK32" i="22"/>
  <c r="BJ5" i="22"/>
  <c r="BK54" i="22"/>
  <c r="BJ32" i="22"/>
  <c r="BK8" i="22" s="1"/>
  <c r="BJ4" i="22"/>
  <c r="Y57" i="22" a="1"/>
  <c r="Y57" i="22" s="1"/>
  <c r="N45" i="33"/>
  <c r="X48" i="22"/>
  <c r="Y38" i="22"/>
  <c r="Y31" i="22"/>
  <c r="Y23" i="22"/>
  <c r="Y63" i="22"/>
  <c r="X46" i="22"/>
  <c r="X10" i="22" s="1"/>
  <c r="Y37" i="22"/>
  <c r="X30" i="22"/>
  <c r="X22" i="22"/>
  <c r="Y62" i="22"/>
  <c r="Y44" i="22"/>
  <c r="Y36" i="22"/>
  <c r="Y29" i="22"/>
  <c r="Y61" i="22"/>
  <c r="Y60" i="22"/>
  <c r="Y43" i="22"/>
  <c r="X35" i="22"/>
  <c r="Y28" i="22"/>
  <c r="Y19" i="22"/>
  <c r="Y59" i="22"/>
  <c r="X43" i="22"/>
  <c r="Y34" i="22"/>
  <c r="X28" i="22"/>
  <c r="Y18" i="22"/>
  <c r="Y58" i="22"/>
  <c r="Y42" i="22"/>
  <c r="X34" i="22"/>
  <c r="Y27" i="22"/>
  <c r="Y17" i="22"/>
  <c r="Y6" i="22" s="1"/>
  <c r="Y56" i="22"/>
  <c r="X42" i="22"/>
  <c r="Y33" i="22"/>
  <c r="Y26" i="22"/>
  <c r="X15" i="22"/>
  <c r="N36" i="33" s="1"/>
  <c r="Y55" i="22"/>
  <c r="Y41" i="22"/>
  <c r="X33" i="22"/>
  <c r="X26" i="22"/>
  <c r="Y9" i="22"/>
  <c r="N57" i="33"/>
  <c r="X53" i="22"/>
  <c r="Y39" i="22"/>
  <c r="X32" i="22"/>
  <c r="Y8" i="22" s="1"/>
  <c r="Y24" i="22"/>
  <c r="X4" i="22"/>
  <c r="Y54" i="22"/>
  <c r="X5" i="22"/>
  <c r="X9" i="36" s="1"/>
  <c r="X47" i="22"/>
  <c r="X11" i="22" s="1"/>
  <c r="X41" i="22"/>
  <c r="X38" i="22"/>
  <c r="Y35" i="22"/>
  <c r="Y32" i="22"/>
  <c r="Y30" i="22"/>
  <c r="X29" i="22"/>
  <c r="Y7" i="22" s="1"/>
  <c r="Y25" i="22"/>
  <c r="Y22" i="22"/>
  <c r="N37" i="33"/>
  <c r="X44" i="22"/>
  <c r="AF72" i="22"/>
  <c r="AG78" i="22"/>
  <c r="AG77" i="22"/>
  <c r="J106" i="21" s="1" a="1"/>
  <c r="J106" i="21" s="1"/>
  <c r="AG76" i="22"/>
  <c r="AG70" i="22"/>
  <c r="AF76" i="22"/>
  <c r="AG69" i="22"/>
  <c r="AG75" i="22"/>
  <c r="AF75" i="22"/>
  <c r="AG74" i="22"/>
  <c r="AF74" i="22"/>
  <c r="AG73" i="22"/>
  <c r="AF73" i="22"/>
  <c r="AG72" i="22"/>
  <c r="AU75" i="22"/>
  <c r="AU74" i="22"/>
  <c r="AT74" i="22"/>
  <c r="AU73" i="22"/>
  <c r="AT73" i="22"/>
  <c r="AT72" i="22"/>
  <c r="AU78" i="22"/>
  <c r="AT75" i="22"/>
  <c r="AU72" i="22"/>
  <c r="AU77" i="22"/>
  <c r="J155" i="21" s="1" a="1"/>
  <c r="J155" i="21" s="1"/>
  <c r="AU76" i="22"/>
  <c r="AU70" i="22"/>
  <c r="AT76" i="22"/>
  <c r="AU69" i="22"/>
  <c r="CE57" i="22" a="1"/>
  <c r="CE57" i="22" s="1"/>
  <c r="CE54" i="22"/>
  <c r="CD41" i="22"/>
  <c r="CE32" i="22"/>
  <c r="CE25" i="22"/>
  <c r="CD5" i="22"/>
  <c r="CE37" i="22"/>
  <c r="CD53" i="22"/>
  <c r="CE39" i="22"/>
  <c r="CD32" i="22"/>
  <c r="CE8" i="22" s="1"/>
  <c r="CE24" i="22"/>
  <c r="CD4" i="22"/>
  <c r="CD48" i="22"/>
  <c r="CE38" i="22"/>
  <c r="CE31" i="22"/>
  <c r="CE23" i="22"/>
  <c r="CD30" i="22"/>
  <c r="CD47" i="22"/>
  <c r="CD11" i="22" s="1"/>
  <c r="CD38" i="22"/>
  <c r="CE30" i="22"/>
  <c r="CE22" i="22"/>
  <c r="CD22" i="22"/>
  <c r="CE63" i="22"/>
  <c r="CE62" i="22"/>
  <c r="CE44" i="22"/>
  <c r="CE36" i="22"/>
  <c r="CE29" i="22"/>
  <c r="CE61" i="22"/>
  <c r="CD44" i="22"/>
  <c r="CE35" i="22"/>
  <c r="CD29" i="22"/>
  <c r="CE7" i="22" s="1"/>
  <c r="CE33" i="22"/>
  <c r="CE60" i="22"/>
  <c r="CE43" i="22"/>
  <c r="CD35" i="22"/>
  <c r="CE28" i="22"/>
  <c r="CE19" i="22"/>
  <c r="CE59" i="22"/>
  <c r="CD43" i="22"/>
  <c r="CE34" i="22"/>
  <c r="CD28" i="22"/>
  <c r="CE18" i="22"/>
  <c r="CE56" i="22"/>
  <c r="CE26" i="22"/>
  <c r="CE58" i="22"/>
  <c r="CE42" i="22"/>
  <c r="CD34" i="22"/>
  <c r="CE27" i="22"/>
  <c r="CE17" i="22"/>
  <c r="CE6" i="22" s="1"/>
  <c r="CD42" i="22"/>
  <c r="CD15" i="22"/>
  <c r="CE55" i="22"/>
  <c r="CE41" i="22"/>
  <c r="CD33" i="22"/>
  <c r="CD26" i="22"/>
  <c r="CE9" i="22"/>
  <c r="CD46" i="22"/>
  <c r="CD10" i="22" s="1"/>
  <c r="BC73" i="22"/>
  <c r="BC72" i="22"/>
  <c r="BC76" i="22"/>
  <c r="BB72" i="22"/>
  <c r="BC78" i="22"/>
  <c r="BC77" i="22"/>
  <c r="J183" i="21" s="1" a="1"/>
  <c r="J183" i="21" s="1"/>
  <c r="BB76" i="22"/>
  <c r="BC69" i="22"/>
  <c r="BC70" i="22"/>
  <c r="BC75" i="22"/>
  <c r="BB73" i="22"/>
  <c r="BB75" i="22"/>
  <c r="BC74" i="22"/>
  <c r="BB74" i="22"/>
  <c r="K60" i="22"/>
  <c r="K34" i="22"/>
  <c r="K35" i="22"/>
  <c r="K29" i="22"/>
  <c r="BQ57" i="22" a="1"/>
  <c r="BQ57" i="22" s="1"/>
  <c r="BQ63" i="22"/>
  <c r="BP46" i="22"/>
  <c r="BP10" i="22" s="1"/>
  <c r="BQ37" i="22"/>
  <c r="BP30" i="22"/>
  <c r="BQ62" i="22"/>
  <c r="BQ44" i="22"/>
  <c r="BQ36" i="22"/>
  <c r="BQ29" i="22"/>
  <c r="BQ58" i="22"/>
  <c r="BQ42" i="22"/>
  <c r="BP34" i="22"/>
  <c r="BQ27" i="22"/>
  <c r="BQ56" i="22"/>
  <c r="BP42" i="22"/>
  <c r="BQ33" i="22"/>
  <c r="BQ55" i="22"/>
  <c r="BP38" i="22"/>
  <c r="BQ26" i="22"/>
  <c r="BP15" i="22"/>
  <c r="BQ54" i="22"/>
  <c r="BQ35" i="22"/>
  <c r="BP26" i="22"/>
  <c r="BQ9" i="22"/>
  <c r="BP53" i="22"/>
  <c r="BP35" i="22"/>
  <c r="BQ25" i="22"/>
  <c r="BP5" i="22"/>
  <c r="BP48" i="22"/>
  <c r="BQ34" i="22"/>
  <c r="BQ24" i="22"/>
  <c r="BP4" i="22"/>
  <c r="BP47" i="22"/>
  <c r="BP11" i="22" s="1"/>
  <c r="BP33" i="22"/>
  <c r="BQ23" i="22"/>
  <c r="BP44" i="22"/>
  <c r="BQ32" i="22"/>
  <c r="BQ22" i="22"/>
  <c r="BQ43" i="22"/>
  <c r="BP32" i="22"/>
  <c r="BQ8" i="22" s="1"/>
  <c r="BP22" i="22"/>
  <c r="BP43" i="22"/>
  <c r="BQ31" i="22"/>
  <c r="BQ41" i="22"/>
  <c r="BQ30" i="22"/>
  <c r="BQ61" i="22"/>
  <c r="BP41" i="22"/>
  <c r="BP29" i="22"/>
  <c r="BQ7" i="22" s="1"/>
  <c r="BQ19" i="22"/>
  <c r="BQ60" i="22"/>
  <c r="BQ39" i="22"/>
  <c r="BQ28" i="22"/>
  <c r="BQ18" i="22"/>
  <c r="BQ59" i="22"/>
  <c r="BQ38" i="22"/>
  <c r="BP28" i="22"/>
  <c r="BQ17" i="22"/>
  <c r="BQ6" i="22" s="1"/>
  <c r="AK57" i="22" a="1"/>
  <c r="AK57" i="22" s="1"/>
  <c r="AK55" i="22"/>
  <c r="AK41" i="22"/>
  <c r="AJ33" i="22"/>
  <c r="AJ26" i="22"/>
  <c r="AK9" i="22"/>
  <c r="AJ53" i="22"/>
  <c r="AK39" i="22"/>
  <c r="AJ32" i="22"/>
  <c r="AK8" i="22" s="1"/>
  <c r="AK24" i="22"/>
  <c r="AJ4" i="22"/>
  <c r="AJ48" i="22"/>
  <c r="AK38" i="22"/>
  <c r="AK31" i="22"/>
  <c r="AK23" i="22"/>
  <c r="AK63" i="22"/>
  <c r="AJ46" i="22"/>
  <c r="AJ10" i="22" s="1"/>
  <c r="AK37" i="22"/>
  <c r="AJ30" i="22"/>
  <c r="AJ22" i="22"/>
  <c r="AK62" i="22"/>
  <c r="AK44" i="22"/>
  <c r="AK36" i="22"/>
  <c r="AK29" i="22"/>
  <c r="AK60" i="22"/>
  <c r="AK43" i="22"/>
  <c r="AJ35" i="22"/>
  <c r="AK28" i="22"/>
  <c r="AK19" i="22"/>
  <c r="AK59" i="22"/>
  <c r="AJ43" i="22"/>
  <c r="AK34" i="22"/>
  <c r="AJ28" i="22"/>
  <c r="AK18" i="22"/>
  <c r="AK56" i="22"/>
  <c r="AJ42" i="22"/>
  <c r="AK33" i="22"/>
  <c r="AK26" i="22"/>
  <c r="AJ15" i="22"/>
  <c r="AJ34" i="22"/>
  <c r="AK32" i="22"/>
  <c r="AK61" i="22"/>
  <c r="AJ29" i="22"/>
  <c r="AK7" i="22" s="1"/>
  <c r="AK58" i="22"/>
  <c r="AK27" i="22"/>
  <c r="AK54" i="22"/>
  <c r="AK25" i="22"/>
  <c r="AJ47" i="22"/>
  <c r="AJ11" i="22" s="1"/>
  <c r="AK22" i="22"/>
  <c r="AJ44" i="22"/>
  <c r="AK42" i="22"/>
  <c r="AK17" i="22"/>
  <c r="AK6" i="22" s="1"/>
  <c r="AJ41" i="22"/>
  <c r="AJ5" i="22"/>
  <c r="AJ38" i="22"/>
  <c r="AK35" i="22"/>
  <c r="AK30" i="22"/>
  <c r="AA57" i="22" a="1"/>
  <c r="AA57" i="22" s="1"/>
  <c r="O57" i="33"/>
  <c r="Z53" i="22"/>
  <c r="AA39" i="22"/>
  <c r="Z32" i="22"/>
  <c r="AA8" i="22" s="1"/>
  <c r="AA24" i="22"/>
  <c r="Z4" i="22"/>
  <c r="O37" i="33"/>
  <c r="Z47" i="22"/>
  <c r="Z11" i="22" s="1"/>
  <c r="Z38" i="22"/>
  <c r="AA30" i="22"/>
  <c r="AA22" i="22"/>
  <c r="AA63" i="22"/>
  <c r="Z46" i="22"/>
  <c r="Z10" i="22" s="1"/>
  <c r="AA37" i="22"/>
  <c r="Z30" i="22"/>
  <c r="Z22" i="22"/>
  <c r="AA61" i="22"/>
  <c r="Z44" i="22"/>
  <c r="AA35" i="22"/>
  <c r="Z29" i="22"/>
  <c r="AA7" i="22" s="1"/>
  <c r="AA60" i="22"/>
  <c r="AA43" i="22"/>
  <c r="Z35" i="22"/>
  <c r="AA28" i="22"/>
  <c r="AA19" i="22"/>
  <c r="AA59" i="22"/>
  <c r="Z43" i="22"/>
  <c r="AA34" i="22"/>
  <c r="Z28" i="22"/>
  <c r="AA18" i="22"/>
  <c r="AA58" i="22"/>
  <c r="AA42" i="22"/>
  <c r="Z34" i="22"/>
  <c r="AA27" i="22"/>
  <c r="AA17" i="22"/>
  <c r="AA6" i="22" s="1"/>
  <c r="AA56" i="22"/>
  <c r="Z42" i="22"/>
  <c r="AA33" i="22"/>
  <c r="AA26" i="22"/>
  <c r="Z15" i="22"/>
  <c r="O36" i="33" s="1"/>
  <c r="AA54" i="22"/>
  <c r="Z41" i="22"/>
  <c r="AA32" i="22"/>
  <c r="AA25" i="22"/>
  <c r="Z5" i="22"/>
  <c r="Z9" i="36" s="1"/>
  <c r="Z26" i="22"/>
  <c r="O45" i="33"/>
  <c r="AA23" i="22"/>
  <c r="AA55" i="22"/>
  <c r="AA9" i="22"/>
  <c r="Z48" i="22"/>
  <c r="AA44" i="22"/>
  <c r="AA41" i="22"/>
  <c r="AA38" i="22"/>
  <c r="AA36" i="22"/>
  <c r="Z33" i="22"/>
  <c r="AA31" i="22"/>
  <c r="AA29" i="22"/>
  <c r="AA62" i="22"/>
  <c r="AO77" i="22"/>
  <c r="AN76" i="22"/>
  <c r="AO69" i="22"/>
  <c r="AN74" i="22"/>
  <c r="AO75" i="22"/>
  <c r="AN75" i="22"/>
  <c r="AO74" i="22"/>
  <c r="AO73" i="22"/>
  <c r="AO76" i="22"/>
  <c r="AN73" i="22"/>
  <c r="AO72" i="22"/>
  <c r="AN72" i="22"/>
  <c r="AO70" i="22"/>
  <c r="AO78" i="22"/>
  <c r="O76" i="22"/>
  <c r="O77" i="22"/>
  <c r="O78" i="22"/>
  <c r="O75" i="22"/>
  <c r="N74" i="22"/>
  <c r="N73" i="22"/>
  <c r="O69" i="22"/>
  <c r="O74" i="22"/>
  <c r="N76" i="22"/>
  <c r="N75" i="22"/>
  <c r="O73" i="22"/>
  <c r="O72" i="22"/>
  <c r="O70" i="22"/>
  <c r="N72" i="22"/>
  <c r="BO77" i="22"/>
  <c r="BO74" i="22"/>
  <c r="BN72" i="22"/>
  <c r="BN76" i="22"/>
  <c r="BO73" i="22"/>
  <c r="BO75" i="22"/>
  <c r="BO72" i="22"/>
  <c r="BN74" i="22"/>
  <c r="BO70" i="22"/>
  <c r="BO76" i="22"/>
  <c r="BO78" i="22"/>
  <c r="BN73" i="22"/>
  <c r="BO69" i="22"/>
  <c r="BN75" i="22"/>
  <c r="G45" i="33"/>
  <c r="K43" i="22"/>
  <c r="J28" i="22"/>
  <c r="K25" i="22"/>
  <c r="K9" i="22"/>
  <c r="CE78" i="22"/>
  <c r="CE76" i="22"/>
  <c r="CE70" i="22"/>
  <c r="CD76" i="22"/>
  <c r="CE69" i="22"/>
  <c r="CE75" i="22"/>
  <c r="CD75" i="22"/>
  <c r="CD74" i="22"/>
  <c r="CE73" i="22"/>
  <c r="CD73" i="22"/>
  <c r="CE77" i="22"/>
  <c r="J281" i="21" s="1" a="1"/>
  <c r="J281" i="21" s="1"/>
  <c r="CE72" i="22"/>
  <c r="CE74" i="22"/>
  <c r="CD72" i="22"/>
  <c r="AQ57" i="22" a="1"/>
  <c r="AQ57" i="22" s="1"/>
  <c r="AP48" i="22"/>
  <c r="AQ38" i="22"/>
  <c r="AQ31" i="22"/>
  <c r="AQ23" i="22"/>
  <c r="AP47" i="22"/>
  <c r="AP11" i="22" s="1"/>
  <c r="AP38" i="22"/>
  <c r="AQ30" i="22"/>
  <c r="AQ22" i="22"/>
  <c r="AQ62" i="22"/>
  <c r="AQ44" i="22"/>
  <c r="AQ36" i="22"/>
  <c r="AQ29" i="22"/>
  <c r="AQ61" i="22"/>
  <c r="AP44" i="22"/>
  <c r="AQ35" i="22"/>
  <c r="AP29" i="22"/>
  <c r="AQ7" i="22" s="1"/>
  <c r="AQ60" i="22"/>
  <c r="AQ43" i="22"/>
  <c r="AP35" i="22"/>
  <c r="AQ28" i="22"/>
  <c r="AQ19" i="22"/>
  <c r="AQ59" i="22"/>
  <c r="AP43" i="22"/>
  <c r="AQ34" i="22"/>
  <c r="AP28" i="22"/>
  <c r="AQ18" i="22"/>
  <c r="AQ58" i="22"/>
  <c r="AQ42" i="22"/>
  <c r="AP34" i="22"/>
  <c r="AQ27" i="22"/>
  <c r="AQ17" i="22"/>
  <c r="AQ6" i="22" s="1"/>
  <c r="AQ56" i="22"/>
  <c r="AP42" i="22"/>
  <c r="AQ33" i="22"/>
  <c r="AQ26" i="22"/>
  <c r="AP15" i="22"/>
  <c r="AQ55" i="22"/>
  <c r="AQ41" i="22"/>
  <c r="AP33" i="22"/>
  <c r="AP26" i="22"/>
  <c r="AQ9" i="22"/>
  <c r="AQ54" i="22"/>
  <c r="AP41" i="22"/>
  <c r="AQ32" i="22"/>
  <c r="AQ25" i="22"/>
  <c r="AP5" i="22"/>
  <c r="AQ24" i="22"/>
  <c r="BC141" i="31" s="1" a="1"/>
  <c r="BC141" i="31" s="1"/>
  <c r="AP22" i="22"/>
  <c r="AP4" i="22"/>
  <c r="AQ63" i="22"/>
  <c r="AP53" i="22"/>
  <c r="AP46" i="22"/>
  <c r="AP10" i="22" s="1"/>
  <c r="AQ39" i="22"/>
  <c r="AQ37" i="22"/>
  <c r="AP32" i="22"/>
  <c r="AQ8" i="22" s="1"/>
  <c r="AP30" i="22"/>
  <c r="AG57" i="22" a="1"/>
  <c r="AG57" i="22" s="1"/>
  <c r="AG60" i="22"/>
  <c r="AG43" i="22"/>
  <c r="AF35" i="22"/>
  <c r="AG28" i="22"/>
  <c r="AG19" i="22"/>
  <c r="AG58" i="22"/>
  <c r="AG42" i="22"/>
  <c r="AF34" i="22"/>
  <c r="AG27" i="22"/>
  <c r="AG17" i="22"/>
  <c r="AG6" i="22" s="1"/>
  <c r="AG56" i="22"/>
  <c r="AF42" i="22"/>
  <c r="AG33" i="22"/>
  <c r="AG26" i="22"/>
  <c r="AF15" i="22"/>
  <c r="AG54" i="22"/>
  <c r="AF41" i="22"/>
  <c r="AG32" i="22"/>
  <c r="AG25" i="22"/>
  <c r="AF5" i="22"/>
  <c r="AF53" i="22"/>
  <c r="AG39" i="22"/>
  <c r="AF32" i="22"/>
  <c r="AG8" i="22" s="1"/>
  <c r="AG24" i="22"/>
  <c r="AF4" i="22"/>
  <c r="AF47" i="22"/>
  <c r="AF11" i="22" s="1"/>
  <c r="AF38" i="22"/>
  <c r="AG30" i="22"/>
  <c r="AG22" i="22"/>
  <c r="AG63" i="22"/>
  <c r="AF46" i="22"/>
  <c r="AF10" i="22" s="1"/>
  <c r="AG37" i="22"/>
  <c r="AF30" i="22"/>
  <c r="AF22" i="22"/>
  <c r="AG61" i="22"/>
  <c r="AF44" i="22"/>
  <c r="AG35" i="22"/>
  <c r="AF29" i="22"/>
  <c r="AG7" i="22" s="1"/>
  <c r="AG62" i="22"/>
  <c r="AG29" i="22"/>
  <c r="AG59" i="22"/>
  <c r="AF28" i="22"/>
  <c r="AF48" i="22"/>
  <c r="AG23" i="22"/>
  <c r="AG44" i="22"/>
  <c r="AF43" i="22"/>
  <c r="AG18" i="22"/>
  <c r="AG41" i="22"/>
  <c r="AG9" i="22"/>
  <c r="AG38" i="22"/>
  <c r="AG36" i="22"/>
  <c r="AG34" i="22"/>
  <c r="AF33" i="22"/>
  <c r="AG55" i="22"/>
  <c r="AG31" i="22"/>
  <c r="AF26" i="22"/>
  <c r="K72" i="22"/>
  <c r="K78" i="22"/>
  <c r="K71" i="22"/>
  <c r="K77" i="22"/>
  <c r="K70" i="22"/>
  <c r="J76" i="22"/>
  <c r="K76" i="22"/>
  <c r="K69" i="22"/>
  <c r="J75" i="22"/>
  <c r="K75" i="22"/>
  <c r="K74" i="22"/>
  <c r="J74" i="22"/>
  <c r="K73" i="22"/>
  <c r="J73" i="22"/>
  <c r="J72" i="22"/>
  <c r="R75" i="22"/>
  <c r="R74" i="22"/>
  <c r="S73" i="22"/>
  <c r="R72" i="22"/>
  <c r="R73" i="22"/>
  <c r="S72" i="22"/>
  <c r="S78" i="22"/>
  <c r="S74" i="22"/>
  <c r="S77" i="22"/>
  <c r="J57" i="21" s="1" a="1"/>
  <c r="J57" i="21" s="1"/>
  <c r="S70" i="22"/>
  <c r="S76" i="22"/>
  <c r="R76" i="22"/>
  <c r="S69" i="22"/>
  <c r="S75" i="22"/>
  <c r="AI57" i="22" a="1"/>
  <c r="AI57" i="22" s="1"/>
  <c r="AI58" i="22"/>
  <c r="AI42" i="22"/>
  <c r="AH34" i="22"/>
  <c r="AI27" i="22"/>
  <c r="AI17" i="22"/>
  <c r="AI6" i="22" s="1"/>
  <c r="AI55" i="22"/>
  <c r="AI41" i="22"/>
  <c r="AH33" i="22"/>
  <c r="AH26" i="22"/>
  <c r="AI9" i="22"/>
  <c r="AI54" i="22"/>
  <c r="AH41" i="22"/>
  <c r="AI32" i="22"/>
  <c r="AI25" i="22"/>
  <c r="AH5" i="22"/>
  <c r="AH48" i="22"/>
  <c r="AI38" i="22"/>
  <c r="AI31" i="22"/>
  <c r="AI23" i="22"/>
  <c r="AH47" i="22"/>
  <c r="AH11" i="22" s="1"/>
  <c r="AH38" i="22"/>
  <c r="AI30" i="22"/>
  <c r="AI22" i="22"/>
  <c r="AI62" i="22"/>
  <c r="AI44" i="22"/>
  <c r="AI36" i="22"/>
  <c r="AI29" i="22"/>
  <c r="AI61" i="22"/>
  <c r="AH44" i="22"/>
  <c r="AI35" i="22"/>
  <c r="AH29" i="22"/>
  <c r="AI7" i="22" s="1"/>
  <c r="AI59" i="22"/>
  <c r="AH43" i="22"/>
  <c r="AI34" i="22"/>
  <c r="AH28" i="22"/>
  <c r="AI18" i="22"/>
  <c r="AI43" i="22"/>
  <c r="AI19" i="22"/>
  <c r="AH42" i="22"/>
  <c r="AH15" i="22"/>
  <c r="AI37" i="22"/>
  <c r="AH35" i="22"/>
  <c r="AI33" i="22"/>
  <c r="AH32" i="22"/>
  <c r="AI8" i="22" s="1"/>
  <c r="AI63" i="22"/>
  <c r="AH30" i="22"/>
  <c r="AI60" i="22"/>
  <c r="AI28" i="22"/>
  <c r="AI56" i="22"/>
  <c r="AI26" i="22"/>
  <c r="AH53" i="22"/>
  <c r="AI24" i="22"/>
  <c r="AH46" i="22"/>
  <c r="AH10" i="22" s="1"/>
  <c r="AI39" i="22"/>
  <c r="AH22" i="22"/>
  <c r="AH4" i="22"/>
  <c r="G57" i="33"/>
  <c r="J48" i="22"/>
  <c r="J35" i="22"/>
  <c r="K18" i="22"/>
  <c r="AI75" i="22"/>
  <c r="AI74" i="22"/>
  <c r="AH74" i="22"/>
  <c r="AI73" i="22"/>
  <c r="AH73" i="22"/>
  <c r="AH72" i="22"/>
  <c r="AI72" i="22"/>
  <c r="AI78" i="22"/>
  <c r="AI77" i="22"/>
  <c r="J113" i="21" s="1" a="1"/>
  <c r="J113" i="21" s="1"/>
  <c r="AH75" i="22"/>
  <c r="AI76" i="22"/>
  <c r="AI70" i="22"/>
  <c r="AH76" i="22"/>
  <c r="AI69" i="22"/>
  <c r="AW57" i="22" a="1"/>
  <c r="AW57" i="22" s="1"/>
  <c r="AW59" i="22"/>
  <c r="AV43" i="22"/>
  <c r="AW34" i="22"/>
  <c r="AV28" i="22"/>
  <c r="AW18" i="22"/>
  <c r="AW58" i="22"/>
  <c r="AW42" i="22"/>
  <c r="AV34" i="22"/>
  <c r="AW27" i="22"/>
  <c r="AW17" i="22"/>
  <c r="AW6" i="22" s="1"/>
  <c r="AW55" i="22"/>
  <c r="AW41" i="22"/>
  <c r="AV33" i="22"/>
  <c r="AV26" i="22"/>
  <c r="AW9" i="22"/>
  <c r="AW54" i="22"/>
  <c r="AV41" i="22"/>
  <c r="AW32" i="22"/>
  <c r="AW25" i="22"/>
  <c r="AV5" i="22"/>
  <c r="AV53" i="22"/>
  <c r="AW39" i="22"/>
  <c r="AV32" i="22"/>
  <c r="AW8" i="22" s="1"/>
  <c r="AW24" i="22"/>
  <c r="AV4" i="22"/>
  <c r="AV48" i="22"/>
  <c r="AW38" i="22"/>
  <c r="AW31" i="22"/>
  <c r="AW23" i="22"/>
  <c r="BD162" i="31" s="1" a="1"/>
  <c r="BD162" i="31" s="1"/>
  <c r="AV47" i="22"/>
  <c r="AV11" i="22" s="1"/>
  <c r="AV38" i="22"/>
  <c r="AW30" i="22"/>
  <c r="AW22" i="22"/>
  <c r="AW63" i="22"/>
  <c r="AV46" i="22"/>
  <c r="AV10" i="22" s="1"/>
  <c r="AW37" i="22"/>
  <c r="AV30" i="22"/>
  <c r="AV22" i="22"/>
  <c r="AW62" i="22"/>
  <c r="AW44" i="22"/>
  <c r="AW36" i="22"/>
  <c r="AW29" i="22"/>
  <c r="AW61" i="22"/>
  <c r="AV44" i="22"/>
  <c r="AW35" i="22"/>
  <c r="AV29" i="22"/>
  <c r="AW7" i="22" s="1"/>
  <c r="AW43" i="22"/>
  <c r="AV42" i="22"/>
  <c r="AV35" i="22"/>
  <c r="AW33" i="22"/>
  <c r="AW28" i="22"/>
  <c r="AW26" i="22"/>
  <c r="AW19" i="22"/>
  <c r="AV15" i="22"/>
  <c r="AW60" i="22"/>
  <c r="AW56" i="22"/>
  <c r="BG57" i="22" a="1"/>
  <c r="BG57" i="22" s="1"/>
  <c r="BG61" i="22"/>
  <c r="BF44" i="22"/>
  <c r="BG35" i="22"/>
  <c r="BF29" i="22"/>
  <c r="BG7" i="22" s="1"/>
  <c r="BG60" i="22"/>
  <c r="BG43" i="22"/>
  <c r="BF35" i="22"/>
  <c r="BG28" i="22"/>
  <c r="BG19" i="22"/>
  <c r="BG58" i="22"/>
  <c r="BG42" i="22"/>
  <c r="BG56" i="22"/>
  <c r="BF42" i="22"/>
  <c r="BG33" i="22"/>
  <c r="BG26" i="22"/>
  <c r="BF15" i="22"/>
  <c r="BG55" i="22"/>
  <c r="BG41" i="22"/>
  <c r="BF33" i="22"/>
  <c r="BF26" i="22"/>
  <c r="BG9" i="22"/>
  <c r="BG54" i="22"/>
  <c r="BF41" i="22"/>
  <c r="BG32" i="22"/>
  <c r="BG25" i="22"/>
  <c r="BF5" i="22"/>
  <c r="BF53" i="22"/>
  <c r="BG39" i="22"/>
  <c r="BF32" i="22"/>
  <c r="BG8" i="22" s="1"/>
  <c r="BG24" i="22"/>
  <c r="BF4" i="22"/>
  <c r="BF48" i="22"/>
  <c r="BG38" i="22"/>
  <c r="BG31" i="22"/>
  <c r="BG23" i="22"/>
  <c r="BF47" i="22"/>
  <c r="BF11" i="22" s="1"/>
  <c r="BF38" i="22"/>
  <c r="BG30" i="22"/>
  <c r="BG22" i="22"/>
  <c r="BG63" i="22"/>
  <c r="BF46" i="22"/>
  <c r="BF10" i="22" s="1"/>
  <c r="BG37" i="22"/>
  <c r="BF30" i="22"/>
  <c r="BF22" i="22"/>
  <c r="BG44" i="22"/>
  <c r="BF43" i="22"/>
  <c r="BG36" i="22"/>
  <c r="BG34" i="22"/>
  <c r="BF34" i="22"/>
  <c r="BG29" i="22"/>
  <c r="BF28" i="22"/>
  <c r="BG27" i="22"/>
  <c r="BG18" i="22"/>
  <c r="BG62" i="22"/>
  <c r="BG17" i="22"/>
  <c r="BG6" i="22" s="1"/>
  <c r="BG59" i="22"/>
  <c r="AS57" i="22" a="1"/>
  <c r="AS57" i="22" s="1"/>
  <c r="AS63" i="22"/>
  <c r="AR46" i="22"/>
  <c r="AR10" i="22" s="1"/>
  <c r="AS37" i="22"/>
  <c r="AR30" i="22"/>
  <c r="AR22" i="22"/>
  <c r="AS62" i="22"/>
  <c r="AS44" i="22"/>
  <c r="AS36" i="22"/>
  <c r="AS29" i="22"/>
  <c r="AS60" i="22"/>
  <c r="AS43" i="22"/>
  <c r="AR35" i="22"/>
  <c r="AS28" i="22"/>
  <c r="AS19" i="22"/>
  <c r="AS59" i="22"/>
  <c r="AR43" i="22"/>
  <c r="AS34" i="22"/>
  <c r="AR28" i="22"/>
  <c r="AS18" i="22"/>
  <c r="AS58" i="22"/>
  <c r="AS42" i="22"/>
  <c r="AR34" i="22"/>
  <c r="AS27" i="22"/>
  <c r="AS17" i="22"/>
  <c r="AS6" i="22" s="1"/>
  <c r="AS56" i="22"/>
  <c r="AR42" i="22"/>
  <c r="AS33" i="22"/>
  <c r="AS26" i="22"/>
  <c r="AR15" i="22"/>
  <c r="AS55" i="22"/>
  <c r="AS41" i="22"/>
  <c r="AR33" i="22"/>
  <c r="AR26" i="22"/>
  <c r="AS9" i="22"/>
  <c r="AS54" i="22"/>
  <c r="AR41" i="22"/>
  <c r="AS32" i="22"/>
  <c r="AS25" i="22"/>
  <c r="AR5" i="22"/>
  <c r="AR53" i="22"/>
  <c r="AS39" i="22"/>
  <c r="AR32" i="22"/>
  <c r="AS8" i="22" s="1"/>
  <c r="AS24" i="22"/>
  <c r="AR4" i="22"/>
  <c r="AR48" i="22"/>
  <c r="AS38" i="22"/>
  <c r="AS31" i="22"/>
  <c r="AS23" i="22"/>
  <c r="AS61" i="22"/>
  <c r="AR47" i="22"/>
  <c r="AR11" i="22" s="1"/>
  <c r="AR44" i="22"/>
  <c r="AR38" i="22"/>
  <c r="AS35" i="22"/>
  <c r="AS30" i="22"/>
  <c r="AR29" i="22"/>
  <c r="AS7" i="22" s="1"/>
  <c r="AS22" i="22"/>
  <c r="Q78" i="22"/>
  <c r="Q76" i="22"/>
  <c r="Q70" i="22"/>
  <c r="P76" i="22"/>
  <c r="Q69" i="22"/>
  <c r="Q75" i="22"/>
  <c r="P75" i="22"/>
  <c r="P74" i="22"/>
  <c r="Q73" i="22"/>
  <c r="Q74" i="22"/>
  <c r="P73" i="22"/>
  <c r="Q77" i="22"/>
  <c r="J50" i="21" s="1" a="1"/>
  <c r="J50" i="21" s="1"/>
  <c r="Q72" i="22"/>
  <c r="P72" i="22"/>
  <c r="AU57" i="22" a="1"/>
  <c r="AU57" i="22" s="1"/>
  <c r="AU61" i="22"/>
  <c r="AT44" i="22"/>
  <c r="AU35" i="22"/>
  <c r="AT29" i="22"/>
  <c r="AU7" i="22" s="1"/>
  <c r="AU60" i="22"/>
  <c r="AU43" i="22"/>
  <c r="AT35" i="22"/>
  <c r="AU28" i="22"/>
  <c r="AU19" i="22"/>
  <c r="AU58" i="22"/>
  <c r="AU42" i="22"/>
  <c r="AT34" i="22"/>
  <c r="AU27" i="22"/>
  <c r="AU17" i="22"/>
  <c r="AU6" i="22" s="1"/>
  <c r="AU56" i="22"/>
  <c r="AT42" i="22"/>
  <c r="AU33" i="22"/>
  <c r="AU26" i="22"/>
  <c r="AT15" i="22"/>
  <c r="AU55" i="22"/>
  <c r="AU41" i="22"/>
  <c r="AT33" i="22"/>
  <c r="AT26" i="22"/>
  <c r="AU9" i="22"/>
  <c r="AU54" i="22"/>
  <c r="AT41" i="22"/>
  <c r="AU32" i="22"/>
  <c r="AU25" i="22"/>
  <c r="AT5" i="22"/>
  <c r="AT53" i="22"/>
  <c r="AU39" i="22"/>
  <c r="AT32" i="22"/>
  <c r="AU8" i="22" s="1"/>
  <c r="AU24" i="22"/>
  <c r="AT4" i="22"/>
  <c r="AT48" i="22"/>
  <c r="AU38" i="22"/>
  <c r="AU31" i="22"/>
  <c r="AU23" i="22"/>
  <c r="AT47" i="22"/>
  <c r="AT11" i="22" s="1"/>
  <c r="AT38" i="22"/>
  <c r="AU30" i="22"/>
  <c r="AU22" i="22"/>
  <c r="AU63" i="22"/>
  <c r="AT46" i="22"/>
  <c r="AT10" i="22" s="1"/>
  <c r="AU37" i="22"/>
  <c r="AT30" i="22"/>
  <c r="AT22" i="22"/>
  <c r="AU62" i="22"/>
  <c r="AU59" i="22"/>
  <c r="AU44" i="22"/>
  <c r="AT43" i="22"/>
  <c r="AU36" i="22"/>
  <c r="AU34" i="22"/>
  <c r="AU29" i="22"/>
  <c r="AT28" i="22"/>
  <c r="AU18" i="22"/>
  <c r="BM74" i="22"/>
  <c r="BM78" i="22"/>
  <c r="BM73" i="22"/>
  <c r="BL73" i="22"/>
  <c r="BM72" i="22"/>
  <c r="BL72" i="22"/>
  <c r="BM77" i="22"/>
  <c r="J218" i="21" s="1" a="1"/>
  <c r="J218" i="21" s="1"/>
  <c r="BM76" i="22"/>
  <c r="BM70" i="22"/>
  <c r="BL76" i="22"/>
  <c r="BM69" i="22"/>
  <c r="BL74" i="22"/>
  <c r="BM75" i="22"/>
  <c r="BL75" i="22"/>
  <c r="J53" i="22"/>
  <c r="K38" i="22"/>
  <c r="K28" i="22"/>
  <c r="CC73" i="22"/>
  <c r="CB74" i="22"/>
  <c r="CB76" i="22"/>
  <c r="CB73" i="22"/>
  <c r="CC75" i="22"/>
  <c r="CC74" i="22"/>
  <c r="CC70" i="22"/>
  <c r="CB72" i="22"/>
  <c r="CC76" i="22"/>
  <c r="CC77" i="22"/>
  <c r="CB75" i="22"/>
  <c r="CC72" i="22"/>
  <c r="CC69" i="22"/>
  <c r="CC78" i="22"/>
  <c r="AY57" i="22" a="1"/>
  <c r="AY57" i="22" s="1"/>
  <c r="AY56" i="22"/>
  <c r="AX42" i="22"/>
  <c r="AY33" i="22"/>
  <c r="AY26" i="22"/>
  <c r="AX15" i="22"/>
  <c r="AY55" i="22"/>
  <c r="AY41" i="22"/>
  <c r="AX33" i="22"/>
  <c r="AX26" i="22"/>
  <c r="AY9" i="22"/>
  <c r="AX53" i="22"/>
  <c r="AY39" i="22"/>
  <c r="AX32" i="22"/>
  <c r="AY8" i="22" s="1"/>
  <c r="AY24" i="22"/>
  <c r="AX4" i="22"/>
  <c r="AX48" i="22"/>
  <c r="AY38" i="22"/>
  <c r="AY31" i="22"/>
  <c r="AY23" i="22"/>
  <c r="AX47" i="22"/>
  <c r="AX11" i="22" s="1"/>
  <c r="AX38" i="22"/>
  <c r="AY30" i="22"/>
  <c r="AY22" i="22"/>
  <c r="AY63" i="22"/>
  <c r="AX46" i="22"/>
  <c r="AX10" i="22" s="1"/>
  <c r="AY37" i="22"/>
  <c r="AX30" i="22"/>
  <c r="AX22" i="22"/>
  <c r="AY62" i="22"/>
  <c r="AY44" i="22"/>
  <c r="AY36" i="22"/>
  <c r="AY29" i="22"/>
  <c r="AY61" i="22"/>
  <c r="AX44" i="22"/>
  <c r="AY35" i="22"/>
  <c r="AX29" i="22"/>
  <c r="AY7" i="22" s="1"/>
  <c r="AY60" i="22"/>
  <c r="AY43" i="22"/>
  <c r="AX35" i="22"/>
  <c r="AY28" i="22"/>
  <c r="AY19" i="22"/>
  <c r="AY59" i="22"/>
  <c r="AX43" i="22"/>
  <c r="AY34" i="22"/>
  <c r="AX28" i="22"/>
  <c r="AY18" i="22"/>
  <c r="AX34" i="22"/>
  <c r="AY32" i="22"/>
  <c r="AY27" i="22"/>
  <c r="AY25" i="22"/>
  <c r="AY17" i="22"/>
  <c r="AY6" i="22" s="1"/>
  <c r="AX5" i="22"/>
  <c r="AY58" i="22"/>
  <c r="AY54" i="22"/>
  <c r="AY42" i="22"/>
  <c r="AX41" i="22"/>
  <c r="BM57" i="22" a="1"/>
  <c r="BM57" i="22" s="1"/>
  <c r="BM54" i="22"/>
  <c r="BL41" i="22"/>
  <c r="BM32" i="22"/>
  <c r="BM25" i="22"/>
  <c r="BL5" i="22"/>
  <c r="BL53" i="22"/>
  <c r="BM39" i="22"/>
  <c r="BL32" i="22"/>
  <c r="BM8" i="22" s="1"/>
  <c r="BM24" i="22"/>
  <c r="BL4" i="22"/>
  <c r="BM63" i="22"/>
  <c r="BL46" i="22"/>
  <c r="BL10" i="22" s="1"/>
  <c r="BM37" i="22"/>
  <c r="BL30" i="22"/>
  <c r="BL22" i="22"/>
  <c r="BM62" i="22"/>
  <c r="BM44" i="22"/>
  <c r="BM36" i="22"/>
  <c r="BM29" i="22"/>
  <c r="BM61" i="22"/>
  <c r="BL44" i="22"/>
  <c r="BM35" i="22"/>
  <c r="BL29" i="22"/>
  <c r="BM7" i="22" s="1"/>
  <c r="BM60" i="22"/>
  <c r="BM38" i="22"/>
  <c r="BM26" i="22"/>
  <c r="BM59" i="22"/>
  <c r="BL38" i="22"/>
  <c r="BL26" i="22"/>
  <c r="BM58" i="22"/>
  <c r="BL35" i="22"/>
  <c r="BM23" i="22"/>
  <c r="BM56" i="22"/>
  <c r="BM34" i="22"/>
  <c r="BM22" i="22"/>
  <c r="BM55" i="22"/>
  <c r="BL34" i="22"/>
  <c r="BM19" i="22"/>
  <c r="BL48" i="22"/>
  <c r="BM33" i="22"/>
  <c r="BM18" i="22"/>
  <c r="BL47" i="22"/>
  <c r="BL11" i="22" s="1"/>
  <c r="BL33" i="22"/>
  <c r="BM17" i="22"/>
  <c r="BM6" i="22" s="1"/>
  <c r="BM43" i="22"/>
  <c r="BM31" i="22"/>
  <c r="BL15" i="22"/>
  <c r="BL43" i="22"/>
  <c r="BM30" i="22"/>
  <c r="BM9" i="22"/>
  <c r="BM42" i="22"/>
  <c r="BM28" i="22"/>
  <c r="BL42" i="22"/>
  <c r="BL28" i="22"/>
  <c r="BM41" i="22"/>
  <c r="BM27" i="22"/>
  <c r="AR72" i="22"/>
  <c r="AS77" i="22"/>
  <c r="AS76" i="22"/>
  <c r="AS70" i="22"/>
  <c r="AR76" i="22"/>
  <c r="AS69" i="22"/>
  <c r="AS75" i="22"/>
  <c r="AS74" i="22"/>
  <c r="AR74" i="22"/>
  <c r="AS73" i="22"/>
  <c r="AR73" i="22"/>
  <c r="AS72" i="22"/>
  <c r="AS78" i="22"/>
  <c r="AR75" i="22"/>
  <c r="U72" i="22"/>
  <c r="U75" i="22"/>
  <c r="U78" i="22"/>
  <c r="U77" i="22"/>
  <c r="J64" i="21" s="1" a="1"/>
  <c r="J64" i="21" s="1"/>
  <c r="U69" i="22"/>
  <c r="U76" i="22"/>
  <c r="U70" i="22"/>
  <c r="T76" i="22"/>
  <c r="T75" i="22"/>
  <c r="U74" i="22"/>
  <c r="T74" i="22"/>
  <c r="U73" i="22"/>
  <c r="T73" i="22"/>
  <c r="T72" i="22"/>
  <c r="M74" i="22"/>
  <c r="M77" i="22"/>
  <c r="M69" i="22"/>
  <c r="L76" i="22"/>
  <c r="L75" i="22"/>
  <c r="M71" i="22"/>
  <c r="M75" i="22"/>
  <c r="L72" i="22"/>
  <c r="M72" i="22"/>
  <c r="L73" i="22"/>
  <c r="M70" i="22"/>
  <c r="M76" i="22"/>
  <c r="M73" i="22"/>
  <c r="L74" i="22"/>
  <c r="M78" i="22"/>
  <c r="BS73" i="22"/>
  <c r="BR74" i="22"/>
  <c r="BR75" i="22"/>
  <c r="BS70" i="22"/>
  <c r="BS72" i="22"/>
  <c r="BS75" i="22"/>
  <c r="BS76" i="22"/>
  <c r="BS78" i="22"/>
  <c r="BR73" i="22"/>
  <c r="BS74" i="22"/>
  <c r="BS69" i="22"/>
  <c r="BR72" i="22"/>
  <c r="BR76" i="22"/>
  <c r="BS77" i="22"/>
  <c r="J239" i="21" s="1" a="1"/>
  <c r="J239" i="21" s="1"/>
  <c r="K57" i="22" a="1"/>
  <c r="K57" i="22" s="1"/>
  <c r="G37" i="33"/>
  <c r="K36" i="22"/>
  <c r="K17" i="22"/>
  <c r="K58" i="22"/>
  <c r="J33" i="22"/>
  <c r="K56" i="22"/>
  <c r="K32" i="22"/>
  <c r="K55" i="22"/>
  <c r="K30" i="22"/>
  <c r="J47" i="22"/>
  <c r="J29" i="22"/>
  <c r="K7" i="22" s="1"/>
  <c r="K44" i="22"/>
  <c r="K27" i="22"/>
  <c r="J44" i="22"/>
  <c r="K26" i="22"/>
  <c r="K42" i="22"/>
  <c r="J26" i="22"/>
  <c r="J41" i="22"/>
  <c r="K22" i="22"/>
  <c r="J38" i="22"/>
  <c r="K37" i="22"/>
  <c r="K61" i="22"/>
  <c r="J34" i="22"/>
  <c r="J5" i="22"/>
  <c r="J9" i="36" s="1"/>
  <c r="BY57" i="22" a="1"/>
  <c r="BY57" i="22" s="1"/>
  <c r="BY61" i="22"/>
  <c r="BX44" i="22"/>
  <c r="BY35" i="22"/>
  <c r="BX29" i="22"/>
  <c r="BY7" i="22" s="1"/>
  <c r="BY60" i="22"/>
  <c r="BY43" i="22"/>
  <c r="BX35" i="22"/>
  <c r="BY28" i="22"/>
  <c r="BY19" i="22"/>
  <c r="BY59" i="22"/>
  <c r="BX43" i="22"/>
  <c r="BY34" i="22"/>
  <c r="BX28" i="22"/>
  <c r="BY18" i="22"/>
  <c r="BY58" i="22"/>
  <c r="BY42" i="22"/>
  <c r="BX34" i="22"/>
  <c r="BY27" i="22"/>
  <c r="BY17" i="22"/>
  <c r="BY6" i="22" s="1"/>
  <c r="BY56" i="22"/>
  <c r="BX42" i="22"/>
  <c r="BY33" i="22"/>
  <c r="BY26" i="22"/>
  <c r="BX15" i="22"/>
  <c r="BY55" i="22"/>
  <c r="BY41" i="22"/>
  <c r="BX33" i="22"/>
  <c r="BX26" i="22"/>
  <c r="BY9" i="22"/>
  <c r="BY54" i="22"/>
  <c r="BX41" i="22"/>
  <c r="BY32" i="22"/>
  <c r="BY25" i="22"/>
  <c r="BX5" i="22"/>
  <c r="BX53" i="22"/>
  <c r="BY39" i="22"/>
  <c r="BX32" i="22"/>
  <c r="BY8" i="22" s="1"/>
  <c r="BY24" i="22"/>
  <c r="BX4" i="22"/>
  <c r="BX46" i="22"/>
  <c r="BX10" i="22" s="1"/>
  <c r="BX48" i="22"/>
  <c r="BY38" i="22"/>
  <c r="BY31" i="22"/>
  <c r="BY23" i="22"/>
  <c r="BX22" i="22"/>
  <c r="BX47" i="22"/>
  <c r="BX11" i="22" s="1"/>
  <c r="BX38" i="22"/>
  <c r="BY30" i="22"/>
  <c r="BY22" i="22"/>
  <c r="BY63" i="22"/>
  <c r="BY37" i="22"/>
  <c r="BX30" i="22"/>
  <c r="BY62" i="22"/>
  <c r="BY44" i="22"/>
  <c r="BY36" i="22"/>
  <c r="BY29" i="22"/>
  <c r="O57" i="22" a="1"/>
  <c r="O57" i="22" s="1"/>
  <c r="O60" i="22"/>
  <c r="O43" i="22"/>
  <c r="N35" i="22"/>
  <c r="O28" i="22"/>
  <c r="O19" i="22"/>
  <c r="O58" i="22"/>
  <c r="O42" i="22"/>
  <c r="N34" i="22"/>
  <c r="O27" i="22"/>
  <c r="O17" i="22"/>
  <c r="O6" i="22" s="1"/>
  <c r="O56" i="22"/>
  <c r="N42" i="22"/>
  <c r="O33" i="22"/>
  <c r="O26" i="22"/>
  <c r="N15" i="22"/>
  <c r="I36" i="33" s="1"/>
  <c r="O55" i="22"/>
  <c r="O41" i="22"/>
  <c r="N33" i="22"/>
  <c r="N26" i="22"/>
  <c r="O9" i="22"/>
  <c r="O54" i="22"/>
  <c r="N41" i="22"/>
  <c r="O32" i="22"/>
  <c r="O25" i="22"/>
  <c r="N5" i="22"/>
  <c r="N9" i="36" s="1"/>
  <c r="I57" i="33"/>
  <c r="N53" i="22"/>
  <c r="O39" i="22"/>
  <c r="N32" i="22"/>
  <c r="O8" i="22" s="1"/>
  <c r="O24" i="22"/>
  <c r="N4" i="22"/>
  <c r="I45" i="33"/>
  <c r="N48" i="22"/>
  <c r="O38" i="22"/>
  <c r="O31" i="22"/>
  <c r="O23" i="22"/>
  <c r="I37" i="33"/>
  <c r="N47" i="22"/>
  <c r="N11" i="22" s="1"/>
  <c r="N38" i="22"/>
  <c r="O30" i="22"/>
  <c r="O22" i="22"/>
  <c r="O63" i="22"/>
  <c r="N46" i="22"/>
  <c r="N10" i="22" s="1"/>
  <c r="O37" i="22"/>
  <c r="N30" i="22"/>
  <c r="N22" i="22"/>
  <c r="O62" i="22"/>
  <c r="O44" i="22"/>
  <c r="O36" i="22"/>
  <c r="O29" i="22"/>
  <c r="O61" i="22"/>
  <c r="N44" i="22"/>
  <c r="O35" i="22"/>
  <c r="N29" i="22"/>
  <c r="O7" i="22" s="1"/>
  <c r="O59" i="22"/>
  <c r="N43" i="22"/>
  <c r="N28" i="22"/>
  <c r="O18" i="22"/>
  <c r="O34" i="22"/>
  <c r="AY72" i="22"/>
  <c r="AY75" i="22"/>
  <c r="AY78" i="22"/>
  <c r="AY77" i="22"/>
  <c r="J169" i="21" s="1" a="1"/>
  <c r="J169" i="21" s="1"/>
  <c r="AY76" i="22"/>
  <c r="AY70" i="22"/>
  <c r="AX76" i="22"/>
  <c r="AY69" i="22"/>
  <c r="AX75" i="22"/>
  <c r="AX72" i="22"/>
  <c r="AY74" i="22"/>
  <c r="AX74" i="22"/>
  <c r="AY73" i="22"/>
  <c r="AX73" i="22"/>
  <c r="D73" i="22"/>
  <c r="D72" i="22"/>
  <c r="E72" i="22" s="1"/>
  <c r="D74" i="22"/>
  <c r="D76" i="22"/>
  <c r="D75" i="22"/>
  <c r="E69" i="22"/>
  <c r="E70" i="22"/>
  <c r="BG74" i="22"/>
  <c r="BG73" i="22"/>
  <c r="BF73" i="22"/>
  <c r="BG72" i="22"/>
  <c r="BF72" i="22"/>
  <c r="BG77" i="22"/>
  <c r="BF74" i="22"/>
  <c r="BG78" i="22"/>
  <c r="BG76" i="22"/>
  <c r="BG70" i="22"/>
  <c r="BF76" i="22"/>
  <c r="BG69" i="22"/>
  <c r="BG75" i="22"/>
  <c r="BF75" i="22"/>
  <c r="F75" i="22"/>
  <c r="F74" i="22"/>
  <c r="F73" i="22"/>
  <c r="G70" i="22"/>
  <c r="F76" i="22"/>
  <c r="F72" i="22"/>
  <c r="G72" i="22" s="1"/>
  <c r="G69" i="22"/>
  <c r="J32" i="22"/>
  <c r="K8" i="22" s="1"/>
  <c r="K23" i="22"/>
  <c r="J22" i="22"/>
  <c r="AE57" i="22" a="1"/>
  <c r="AE57" i="22" s="1"/>
  <c r="AE62" i="22"/>
  <c r="AE44" i="22"/>
  <c r="AE36" i="22"/>
  <c r="AE29" i="22"/>
  <c r="AE60" i="22"/>
  <c r="AE43" i="22"/>
  <c r="AD35" i="22"/>
  <c r="AE28" i="22"/>
  <c r="AE19" i="22"/>
  <c r="AE59" i="22"/>
  <c r="AD43" i="22"/>
  <c r="AE34" i="22"/>
  <c r="AD28" i="22"/>
  <c r="AE18" i="22"/>
  <c r="AE56" i="22"/>
  <c r="AD42" i="22"/>
  <c r="AE33" i="22"/>
  <c r="AE26" i="22"/>
  <c r="AD15" i="22"/>
  <c r="AE55" i="22"/>
  <c r="AE41" i="22"/>
  <c r="AD33" i="22"/>
  <c r="AD26" i="22"/>
  <c r="AE9" i="22"/>
  <c r="AE54" i="22"/>
  <c r="AD41" i="22"/>
  <c r="AD53" i="22"/>
  <c r="AE39" i="22"/>
  <c r="AD32" i="22"/>
  <c r="AE8" i="22" s="1"/>
  <c r="AE24" i="22"/>
  <c r="AD4" i="22"/>
  <c r="AD48" i="22"/>
  <c r="AE38" i="22"/>
  <c r="AE31" i="22"/>
  <c r="AE23" i="22"/>
  <c r="AE63" i="22"/>
  <c r="AD46" i="22"/>
  <c r="AD10" i="22" s="1"/>
  <c r="AE37" i="22"/>
  <c r="AD30" i="22"/>
  <c r="AD22" i="22"/>
  <c r="AD38" i="22"/>
  <c r="AE35" i="22"/>
  <c r="AE32" i="22"/>
  <c r="AE30" i="22"/>
  <c r="AD29" i="22"/>
  <c r="AE7" i="22" s="1"/>
  <c r="AE27" i="22"/>
  <c r="AE61" i="22"/>
  <c r="AE25" i="22"/>
  <c r="AE58" i="22"/>
  <c r="AE22" i="22"/>
  <c r="AD47" i="22"/>
  <c r="AD11" i="22" s="1"/>
  <c r="AD44" i="22"/>
  <c r="AE17" i="22"/>
  <c r="AE6" i="22" s="1"/>
  <c r="AE42" i="22"/>
  <c r="AD5" i="22"/>
  <c r="AD34" i="22"/>
  <c r="BU57" i="22" a="1"/>
  <c r="BU57" i="22" s="1"/>
  <c r="BT48" i="22"/>
  <c r="BU38" i="22"/>
  <c r="BU31" i="22"/>
  <c r="BU23" i="22"/>
  <c r="BU35" i="22"/>
  <c r="BT47" i="22"/>
  <c r="BT11" i="22" s="1"/>
  <c r="BT38" i="22"/>
  <c r="BU30" i="22"/>
  <c r="BU22" i="22"/>
  <c r="BU63" i="22"/>
  <c r="BT46" i="22"/>
  <c r="BT10" i="22" s="1"/>
  <c r="BU37" i="22"/>
  <c r="BT30" i="22"/>
  <c r="BT22" i="22"/>
  <c r="BU61" i="22"/>
  <c r="BU62" i="22"/>
  <c r="BU44" i="22"/>
  <c r="BU36" i="22"/>
  <c r="BU29" i="22"/>
  <c r="BT44" i="22"/>
  <c r="BT29" i="22"/>
  <c r="BU7" i="22" s="1"/>
  <c r="BU60" i="22"/>
  <c r="BU43" i="22"/>
  <c r="BT35" i="22"/>
  <c r="BU28" i="22"/>
  <c r="BU19" i="22"/>
  <c r="BU59" i="22"/>
  <c r="BT43" i="22"/>
  <c r="BU34" i="22"/>
  <c r="BT28" i="22"/>
  <c r="BU18" i="22"/>
  <c r="BT5" i="22"/>
  <c r="BU58" i="22"/>
  <c r="BU42" i="22"/>
  <c r="BT34" i="22"/>
  <c r="BU27" i="22"/>
  <c r="BU17" i="22"/>
  <c r="BU6" i="22" s="1"/>
  <c r="BU56" i="22"/>
  <c r="BT42" i="22"/>
  <c r="BU33" i="22"/>
  <c r="BU26" i="22"/>
  <c r="BT15" i="22"/>
  <c r="BU55" i="22"/>
  <c r="BU41" i="22"/>
  <c r="BT33" i="22"/>
  <c r="BT26" i="22"/>
  <c r="BU9" i="22"/>
  <c r="BU54" i="22"/>
  <c r="BT41" i="22"/>
  <c r="BU32" i="22"/>
  <c r="BU25" i="22"/>
  <c r="BT53" i="22"/>
  <c r="BU39" i="22"/>
  <c r="BT32" i="22"/>
  <c r="BU8" i="22" s="1"/>
  <c r="BU24" i="22"/>
  <c r="BC246" i="31" s="1" a="1"/>
  <c r="BC246" i="31" s="1"/>
  <c r="BT4" i="22"/>
  <c r="CC57" i="22" a="1"/>
  <c r="CC57" i="22" s="1"/>
  <c r="CC56" i="22"/>
  <c r="CB42" i="22"/>
  <c r="CC33" i="22"/>
  <c r="CC26" i="22"/>
  <c r="CB15" i="22"/>
  <c r="CC55" i="22"/>
  <c r="CC41" i="22"/>
  <c r="CB33" i="22"/>
  <c r="CB26" i="22"/>
  <c r="CC9" i="22"/>
  <c r="CC31" i="22"/>
  <c r="CC54" i="22"/>
  <c r="CB41" i="22"/>
  <c r="CC32" i="22"/>
  <c r="CC25" i="22"/>
  <c r="CB5" i="22"/>
  <c r="CB53" i="22"/>
  <c r="CC39" i="22"/>
  <c r="CB32" i="22"/>
  <c r="CC8" i="22" s="1"/>
  <c r="CC24" i="22"/>
  <c r="CB4" i="22"/>
  <c r="CC38" i="22"/>
  <c r="CC23" i="22"/>
  <c r="CB48" i="22"/>
  <c r="CB47" i="22"/>
  <c r="CB11" i="22" s="1"/>
  <c r="CB38" i="22"/>
  <c r="CC30" i="22"/>
  <c r="CC22" i="22"/>
  <c r="CC63" i="22"/>
  <c r="CB46" i="22"/>
  <c r="CB10" i="22" s="1"/>
  <c r="CC37" i="22"/>
  <c r="CB30" i="22"/>
  <c r="CB22" i="22"/>
  <c r="CC62" i="22"/>
  <c r="CC44" i="22"/>
  <c r="CC36" i="22"/>
  <c r="CC29" i="22"/>
  <c r="CC18" i="22"/>
  <c r="CC61" i="22"/>
  <c r="CB44" i="22"/>
  <c r="CC35" i="22"/>
  <c r="CB29" i="22"/>
  <c r="CC7" i="22" s="1"/>
  <c r="CB43" i="22"/>
  <c r="CC60" i="22"/>
  <c r="CC43" i="22"/>
  <c r="CB35" i="22"/>
  <c r="CC28" i="22"/>
  <c r="CC19" i="22"/>
  <c r="CC59" i="22"/>
  <c r="CB28" i="22"/>
  <c r="CC34" i="22"/>
  <c r="CC58" i="22"/>
  <c r="CC42" i="22"/>
  <c r="CB34" i="22"/>
  <c r="CC27" i="22"/>
  <c r="CC17" i="22"/>
  <c r="CC6" i="22" s="1"/>
  <c r="AC75" i="22"/>
  <c r="AC74" i="22"/>
  <c r="AB74" i="22"/>
  <c r="AC73" i="22"/>
  <c r="AB73" i="22"/>
  <c r="AB72" i="22"/>
  <c r="AC78" i="22"/>
  <c r="AC72" i="22"/>
  <c r="AC77" i="22"/>
  <c r="J92" i="21" s="1" a="1"/>
  <c r="J92" i="21" s="1"/>
  <c r="AC76" i="22"/>
  <c r="AC70" i="22"/>
  <c r="AB76" i="22"/>
  <c r="AC69" i="22"/>
  <c r="AB75" i="22"/>
  <c r="BW57" i="22" a="1"/>
  <c r="BW57" i="22" s="1"/>
  <c r="BW63" i="22"/>
  <c r="BV46" i="22"/>
  <c r="BV10" i="22" s="1"/>
  <c r="BW37" i="22"/>
  <c r="BV30" i="22"/>
  <c r="BV22" i="22"/>
  <c r="BW62" i="22"/>
  <c r="BW44" i="22"/>
  <c r="BW36" i="22"/>
  <c r="BW29" i="22"/>
  <c r="BW61" i="22"/>
  <c r="BV44" i="22"/>
  <c r="BW35" i="22"/>
  <c r="BV29" i="22"/>
  <c r="BW7" i="22" s="1"/>
  <c r="BW60" i="22"/>
  <c r="BW43" i="22"/>
  <c r="BV35" i="22"/>
  <c r="BW28" i="22"/>
  <c r="BW19" i="22"/>
  <c r="BW59" i="22"/>
  <c r="BV43" i="22"/>
  <c r="BW34" i="22"/>
  <c r="BV28" i="22"/>
  <c r="BW18" i="22"/>
  <c r="BW58" i="22"/>
  <c r="BW42" i="22"/>
  <c r="BV34" i="22"/>
  <c r="BW27" i="22"/>
  <c r="BW17" i="22"/>
  <c r="BW6" i="22" s="1"/>
  <c r="BW56" i="22"/>
  <c r="BV42" i="22"/>
  <c r="BW33" i="22"/>
  <c r="BW26" i="22"/>
  <c r="BV15" i="22"/>
  <c r="BW55" i="22"/>
  <c r="BW41" i="22"/>
  <c r="BV33" i="22"/>
  <c r="BV26" i="22"/>
  <c r="BW9" i="22"/>
  <c r="BW54" i="22"/>
  <c r="BV41" i="22"/>
  <c r="BW32" i="22"/>
  <c r="BW25" i="22"/>
  <c r="BV5" i="22"/>
  <c r="BW23" i="22"/>
  <c r="BV53" i="22"/>
  <c r="BW39" i="22"/>
  <c r="BV32" i="22"/>
  <c r="BW8" i="22" s="1"/>
  <c r="BW24" i="22"/>
  <c r="BC253" i="31" s="1" a="1"/>
  <c r="BC253" i="31" s="1"/>
  <c r="BV4" i="22"/>
  <c r="BW31" i="22"/>
  <c r="BV48" i="22"/>
  <c r="BW38" i="22"/>
  <c r="BV47" i="22"/>
  <c r="BV11" i="22" s="1"/>
  <c r="BV38" i="22"/>
  <c r="BW30" i="22"/>
  <c r="BW22" i="22"/>
  <c r="AD76" i="22"/>
  <c r="AE70" i="22"/>
  <c r="AE76" i="22"/>
  <c r="AE75" i="22"/>
  <c r="AD73" i="22"/>
  <c r="AE73" i="22"/>
  <c r="AE77" i="22"/>
  <c r="AD74" i="22"/>
  <c r="AE78" i="22"/>
  <c r="AE74" i="22"/>
  <c r="AD75" i="22"/>
  <c r="AD72" i="22"/>
  <c r="AE72" i="22"/>
  <c r="AE69" i="22"/>
  <c r="K24" i="22"/>
  <c r="BC29" i="31" s="1" a="1"/>
  <c r="BC29" i="31" s="1"/>
  <c r="K63" i="22"/>
  <c r="AQ74" i="22"/>
  <c r="AQ73" i="22"/>
  <c r="AP73" i="22"/>
  <c r="AQ72" i="22"/>
  <c r="AP72" i="22"/>
  <c r="AQ77" i="22"/>
  <c r="AQ78" i="22"/>
  <c r="AQ76" i="22"/>
  <c r="AQ70" i="22"/>
  <c r="AP74" i="22"/>
  <c r="AP76" i="22"/>
  <c r="AQ69" i="22"/>
  <c r="AQ75" i="22"/>
  <c r="AP75" i="22"/>
  <c r="W57" i="22" a="1"/>
  <c r="W57" i="22" s="1"/>
  <c r="M37" i="33"/>
  <c r="V47" i="22"/>
  <c r="V11" i="22" s="1"/>
  <c r="V38" i="22"/>
  <c r="W30" i="22"/>
  <c r="W22" i="22"/>
  <c r="W62" i="22"/>
  <c r="W44" i="22"/>
  <c r="W36" i="22"/>
  <c r="W29" i="22"/>
  <c r="W61" i="22"/>
  <c r="V44" i="22"/>
  <c r="W35" i="22"/>
  <c r="V29" i="22"/>
  <c r="W7" i="22" s="1"/>
  <c r="W60" i="22"/>
  <c r="W43" i="22"/>
  <c r="V35" i="22"/>
  <c r="W28" i="22"/>
  <c r="W19" i="22"/>
  <c r="W59" i="22"/>
  <c r="V43" i="22"/>
  <c r="W34" i="22"/>
  <c r="V28" i="22"/>
  <c r="W18" i="22"/>
  <c r="W58" i="22"/>
  <c r="W42" i="22"/>
  <c r="V34" i="22"/>
  <c r="W27" i="22"/>
  <c r="W17" i="22"/>
  <c r="W6" i="22" s="1"/>
  <c r="W56" i="22"/>
  <c r="V42" i="22"/>
  <c r="W33" i="22"/>
  <c r="W26" i="22"/>
  <c r="V15" i="22"/>
  <c r="M36" i="33" s="1"/>
  <c r="W55" i="22"/>
  <c r="W41" i="22"/>
  <c r="V33" i="22"/>
  <c r="V26" i="22"/>
  <c r="W9" i="22"/>
  <c r="W54" i="22"/>
  <c r="V41" i="22"/>
  <c r="W32" i="22"/>
  <c r="W25" i="22"/>
  <c r="V5" i="22"/>
  <c r="V9" i="36" s="1"/>
  <c r="M45" i="33"/>
  <c r="V48" i="22"/>
  <c r="W38" i="22"/>
  <c r="W31" i="22"/>
  <c r="W23" i="22"/>
  <c r="M57" i="33"/>
  <c r="W63" i="22"/>
  <c r="V46" i="22"/>
  <c r="V10" i="22" s="1"/>
  <c r="W39" i="22"/>
  <c r="W37" i="22"/>
  <c r="V32" i="22"/>
  <c r="W8" i="22" s="1"/>
  <c r="V30" i="22"/>
  <c r="W24" i="22"/>
  <c r="V22" i="22"/>
  <c r="V4" i="22"/>
  <c r="V53" i="22"/>
  <c r="AM57" i="22" a="1"/>
  <c r="AM57" i="22" s="1"/>
  <c r="AM63" i="22"/>
  <c r="AM61" i="22"/>
  <c r="AM60" i="22"/>
  <c r="AM58" i="22"/>
  <c r="AM56" i="22"/>
  <c r="AL42" i="22"/>
  <c r="AM33" i="22"/>
  <c r="AM26" i="22"/>
  <c r="AL15" i="22"/>
  <c r="AM55" i="22"/>
  <c r="AM41" i="22"/>
  <c r="AL33" i="22"/>
  <c r="AL26" i="22"/>
  <c r="AM9" i="22"/>
  <c r="AL53" i="22"/>
  <c r="AM39" i="22"/>
  <c r="AL32" i="22"/>
  <c r="AM8" i="22" s="1"/>
  <c r="AM24" i="22"/>
  <c r="AL4" i="22"/>
  <c r="AL48" i="22"/>
  <c r="AM38" i="22"/>
  <c r="AM31" i="22"/>
  <c r="AM23" i="22"/>
  <c r="AL47" i="22"/>
  <c r="AL11" i="22" s="1"/>
  <c r="AL38" i="22"/>
  <c r="AM30" i="22"/>
  <c r="AM22" i="22"/>
  <c r="AL46" i="22"/>
  <c r="AL10" i="22" s="1"/>
  <c r="AM37" i="22"/>
  <c r="AL30" i="22"/>
  <c r="AL22" i="22"/>
  <c r="AM44" i="22"/>
  <c r="AM36" i="22"/>
  <c r="AM29" i="22"/>
  <c r="AL44" i="22"/>
  <c r="AM35" i="22"/>
  <c r="AL29" i="22"/>
  <c r="AM7" i="22" s="1"/>
  <c r="AM43" i="22"/>
  <c r="AL35" i="22"/>
  <c r="AM28" i="22"/>
  <c r="AM19" i="22"/>
  <c r="AM62" i="22"/>
  <c r="AL43" i="22"/>
  <c r="AM34" i="22"/>
  <c r="AL28" i="22"/>
  <c r="AM18" i="22"/>
  <c r="AM42" i="22"/>
  <c r="AL41" i="22"/>
  <c r="AL34" i="22"/>
  <c r="AM32" i="22"/>
  <c r="AM27" i="22"/>
  <c r="AM25" i="22"/>
  <c r="AM17" i="22"/>
  <c r="AM6" i="22" s="1"/>
  <c r="AL5" i="22"/>
  <c r="AM59" i="22"/>
  <c r="AM54" i="22"/>
  <c r="BK77" i="22"/>
  <c r="BJ74" i="22"/>
  <c r="BK70" i="22"/>
  <c r="BJ76" i="22"/>
  <c r="BK69" i="22"/>
  <c r="BK75" i="22"/>
  <c r="BJ75" i="22"/>
  <c r="BK74" i="22"/>
  <c r="BK73" i="22"/>
  <c r="BJ73" i="22"/>
  <c r="BK72" i="22"/>
  <c r="BJ72" i="22"/>
  <c r="BK78" i="22"/>
  <c r="BK76" i="22"/>
  <c r="BU75" i="22"/>
  <c r="BT73" i="22"/>
  <c r="BU70" i="22"/>
  <c r="BU74" i="22"/>
  <c r="BU76" i="22"/>
  <c r="BT72" i="22"/>
  <c r="BT74" i="22"/>
  <c r="BU77" i="22"/>
  <c r="BU72" i="22"/>
  <c r="BT75" i="22"/>
  <c r="BU69" i="22"/>
  <c r="BT76" i="22"/>
  <c r="BU78" i="22"/>
  <c r="BU73" i="22"/>
  <c r="BZ76" i="22"/>
  <c r="CA76" i="22"/>
  <c r="CA70" i="22"/>
  <c r="BZ72" i="22"/>
  <c r="CA77" i="22"/>
  <c r="BZ73" i="22"/>
  <c r="CA74" i="22"/>
  <c r="CA69" i="22"/>
  <c r="BZ75" i="22"/>
  <c r="CA78" i="22"/>
  <c r="CA73" i="22"/>
  <c r="BZ74" i="22"/>
  <c r="CA72" i="22"/>
  <c r="CA75" i="22"/>
  <c r="J4" i="22"/>
  <c r="J42" i="22"/>
  <c r="Q57" i="22" a="1"/>
  <c r="Q57" i="22" s="1"/>
  <c r="Q61" i="22"/>
  <c r="P44" i="22"/>
  <c r="Q35" i="22"/>
  <c r="P29" i="22"/>
  <c r="Q7" i="22" s="1"/>
  <c r="Q59" i="22"/>
  <c r="P43" i="22"/>
  <c r="Q34" i="22"/>
  <c r="P28" i="22"/>
  <c r="Q18" i="22"/>
  <c r="Q58" i="22"/>
  <c r="Q42" i="22"/>
  <c r="P34" i="22"/>
  <c r="Q27" i="22"/>
  <c r="Q17" i="22"/>
  <c r="Q6" i="22" s="1"/>
  <c r="Q56" i="22"/>
  <c r="P42" i="22"/>
  <c r="Q33" i="22"/>
  <c r="Q26" i="22"/>
  <c r="P15" i="22"/>
  <c r="J36" i="33" s="1"/>
  <c r="Q55" i="22"/>
  <c r="Q41" i="22"/>
  <c r="P33" i="22"/>
  <c r="P26" i="22"/>
  <c r="Q9" i="22"/>
  <c r="Q54" i="22"/>
  <c r="P41" i="22"/>
  <c r="Q32" i="22"/>
  <c r="Q25" i="22"/>
  <c r="P5" i="22"/>
  <c r="P9" i="36" s="1"/>
  <c r="J57" i="33"/>
  <c r="P53" i="22"/>
  <c r="Q39" i="22"/>
  <c r="P32" i="22"/>
  <c r="Q8" i="22" s="1"/>
  <c r="Q24" i="22"/>
  <c r="P4" i="22"/>
  <c r="J45" i="33"/>
  <c r="P48" i="22"/>
  <c r="Q38" i="22"/>
  <c r="Q31" i="22"/>
  <c r="Q23" i="22"/>
  <c r="J37" i="33"/>
  <c r="P47" i="22"/>
  <c r="P11" i="22" s="1"/>
  <c r="P38" i="22"/>
  <c r="Q30" i="22"/>
  <c r="Q22" i="22"/>
  <c r="Q63" i="22"/>
  <c r="P46" i="22"/>
  <c r="P10" i="22" s="1"/>
  <c r="Q37" i="22"/>
  <c r="P30" i="22"/>
  <c r="P22" i="22"/>
  <c r="Q62" i="22"/>
  <c r="Q44" i="22"/>
  <c r="Q36" i="22"/>
  <c r="Q29" i="22"/>
  <c r="Q60" i="22"/>
  <c r="Q43" i="22"/>
  <c r="P35" i="22"/>
  <c r="Q28" i="22"/>
  <c r="Q19" i="22"/>
  <c r="BA57" i="22" a="1"/>
  <c r="BA57" i="22" s="1"/>
  <c r="BA54" i="22"/>
  <c r="AZ41" i="22"/>
  <c r="BA32" i="22"/>
  <c r="BA25" i="22"/>
  <c r="AZ5" i="22"/>
  <c r="AZ53" i="22"/>
  <c r="BA39" i="22"/>
  <c r="AZ32" i="22"/>
  <c r="BA8" i="22" s="1"/>
  <c r="BA24" i="22"/>
  <c r="AZ4" i="22"/>
  <c r="AZ47" i="22"/>
  <c r="AZ11" i="22" s="1"/>
  <c r="AZ38" i="22"/>
  <c r="BA30" i="22"/>
  <c r="BA22" i="22"/>
  <c r="BA63" i="22"/>
  <c r="AZ46" i="22"/>
  <c r="AZ10" i="22" s="1"/>
  <c r="BA37" i="22"/>
  <c r="AZ30" i="22"/>
  <c r="AZ22" i="22"/>
  <c r="BA62" i="22"/>
  <c r="BA44" i="22"/>
  <c r="BA36" i="22"/>
  <c r="BA29" i="22"/>
  <c r="BA61" i="22"/>
  <c r="AZ44" i="22"/>
  <c r="BA35" i="22"/>
  <c r="AZ29" i="22"/>
  <c r="BA7" i="22" s="1"/>
  <c r="BA60" i="22"/>
  <c r="BA43" i="22"/>
  <c r="AZ35" i="22"/>
  <c r="BA28" i="22"/>
  <c r="BA19" i="22"/>
  <c r="BA59" i="22"/>
  <c r="AZ43" i="22"/>
  <c r="BA34" i="22"/>
  <c r="AZ28" i="22"/>
  <c r="BA18" i="22"/>
  <c r="BA58" i="22"/>
  <c r="BA42" i="22"/>
  <c r="AZ34" i="22"/>
  <c r="BA27" i="22"/>
  <c r="BA17" i="22"/>
  <c r="BA6" i="22" s="1"/>
  <c r="BA56" i="22"/>
  <c r="AZ42" i="22"/>
  <c r="BA33" i="22"/>
  <c r="BA26" i="22"/>
  <c r="AZ15" i="22"/>
  <c r="AZ26" i="22"/>
  <c r="BA23" i="22"/>
  <c r="BD176" i="31" s="1" a="1"/>
  <c r="BD176" i="31" s="1"/>
  <c r="BA9" i="22"/>
  <c r="BA55" i="22"/>
  <c r="AZ48" i="22"/>
  <c r="BA41" i="22"/>
  <c r="BA38" i="22"/>
  <c r="AZ33" i="22"/>
  <c r="BA31" i="22"/>
  <c r="BC57" i="22" a="1"/>
  <c r="BC57" i="22" s="1"/>
  <c r="BB48" i="22"/>
  <c r="BC38" i="22"/>
  <c r="BC31" i="22"/>
  <c r="BC23" i="22"/>
  <c r="BB47" i="22"/>
  <c r="BB11" i="22" s="1"/>
  <c r="BB38" i="22"/>
  <c r="BC30" i="22"/>
  <c r="BC22" i="22"/>
  <c r="BC62" i="22"/>
  <c r="BC44" i="22"/>
  <c r="BC36" i="22"/>
  <c r="BC29" i="22"/>
  <c r="BC61" i="22"/>
  <c r="BB44" i="22"/>
  <c r="BC35" i="22"/>
  <c r="BB29" i="22"/>
  <c r="BC7" i="22" s="1"/>
  <c r="BC60" i="22"/>
  <c r="BC43" i="22"/>
  <c r="BB35" i="22"/>
  <c r="BC28" i="22"/>
  <c r="BC19" i="22"/>
  <c r="BC59" i="22"/>
  <c r="BB43" i="22"/>
  <c r="BC34" i="22"/>
  <c r="BB28" i="22"/>
  <c r="BC18" i="22"/>
  <c r="BC58" i="22"/>
  <c r="BC42" i="22"/>
  <c r="BB34" i="22"/>
  <c r="BC27" i="22"/>
  <c r="BC17" i="22"/>
  <c r="BC6" i="22" s="1"/>
  <c r="BC56" i="22"/>
  <c r="BB42" i="22"/>
  <c r="BC33" i="22"/>
  <c r="BC26" i="22"/>
  <c r="BB15" i="22"/>
  <c r="BC55" i="22"/>
  <c r="BC41" i="22"/>
  <c r="BB33" i="22"/>
  <c r="BB26" i="22"/>
  <c r="BC9" i="22"/>
  <c r="BC54" i="22"/>
  <c r="BB41" i="22"/>
  <c r="BC32" i="22"/>
  <c r="BC25" i="22"/>
  <c r="BB5" i="22"/>
  <c r="BB4" i="22"/>
  <c r="BC63" i="22"/>
  <c r="BB53" i="22"/>
  <c r="BB46" i="22"/>
  <c r="BB10" i="22" s="1"/>
  <c r="BC39" i="22"/>
  <c r="BC37" i="22"/>
  <c r="BB32" i="22"/>
  <c r="BC8" i="22" s="1"/>
  <c r="BB30" i="22"/>
  <c r="BC24" i="22"/>
  <c r="BB22" i="22"/>
  <c r="AL74" i="22"/>
  <c r="AM74" i="22"/>
  <c r="AM69" i="22"/>
  <c r="AM77" i="22"/>
  <c r="AL76" i="22"/>
  <c r="AL72" i="22"/>
  <c r="AL73" i="22"/>
  <c r="AM73" i="22"/>
  <c r="AM70" i="22"/>
  <c r="AL75" i="22"/>
  <c r="AM76" i="22"/>
  <c r="AM78" i="22"/>
  <c r="AM72" i="22"/>
  <c r="AM75" i="22"/>
  <c r="BY76" i="22"/>
  <c r="BY70" i="22"/>
  <c r="BY73" i="22"/>
  <c r="BY75" i="22"/>
  <c r="BX75" i="22"/>
  <c r="BY74" i="22"/>
  <c r="BX74" i="22"/>
  <c r="BX73" i="22"/>
  <c r="BY69" i="22"/>
  <c r="BY72" i="22"/>
  <c r="BX76" i="22"/>
  <c r="BX72" i="22"/>
  <c r="BY78" i="22"/>
  <c r="BY77" i="22"/>
  <c r="J260" i="21" s="1" a="1"/>
  <c r="J260" i="21" s="1"/>
  <c r="BH76" i="22"/>
  <c r="BI76" i="22"/>
  <c r="BI70" i="22"/>
  <c r="BI75" i="22"/>
  <c r="BI69" i="22"/>
  <c r="BI77" i="22"/>
  <c r="BI78" i="22"/>
  <c r="BH72" i="22"/>
  <c r="BI72" i="22"/>
  <c r="BH73" i="22"/>
  <c r="BI73" i="22"/>
  <c r="BH74" i="22"/>
  <c r="BI74" i="22"/>
  <c r="BH75" i="22"/>
  <c r="J30" i="22"/>
  <c r="S57" i="22" a="1"/>
  <c r="S57" i="22" s="1"/>
  <c r="S62" i="22"/>
  <c r="S44" i="22"/>
  <c r="S36" i="22"/>
  <c r="S29" i="22"/>
  <c r="S60" i="22"/>
  <c r="S43" i="22"/>
  <c r="R35" i="22"/>
  <c r="S28" i="22"/>
  <c r="S19" i="22"/>
  <c r="S59" i="22"/>
  <c r="R43" i="22"/>
  <c r="S34" i="22"/>
  <c r="R28" i="22"/>
  <c r="S18" i="22"/>
  <c r="S58" i="22"/>
  <c r="S42" i="22"/>
  <c r="R34" i="22"/>
  <c r="S27" i="22"/>
  <c r="S17" i="22"/>
  <c r="S6" i="22" s="1"/>
  <c r="S56" i="22"/>
  <c r="R42" i="22"/>
  <c r="S33" i="22"/>
  <c r="S26" i="22"/>
  <c r="R15" i="22"/>
  <c r="K36" i="33" s="1"/>
  <c r="S55" i="22"/>
  <c r="S41" i="22"/>
  <c r="R33" i="22"/>
  <c r="R26" i="22"/>
  <c r="S9" i="22"/>
  <c r="S54" i="22"/>
  <c r="R41" i="22"/>
  <c r="S32" i="22"/>
  <c r="S25" i="22"/>
  <c r="R5" i="22"/>
  <c r="R9" i="36" s="1"/>
  <c r="K57" i="33"/>
  <c r="R53" i="22"/>
  <c r="S39" i="22"/>
  <c r="R32" i="22"/>
  <c r="S8" i="22" s="1"/>
  <c r="S24" i="22"/>
  <c r="R4" i="22"/>
  <c r="K45" i="33"/>
  <c r="R48" i="22"/>
  <c r="S38" i="22"/>
  <c r="S31" i="22"/>
  <c r="S23" i="22"/>
  <c r="K37" i="33"/>
  <c r="R47" i="22"/>
  <c r="R11" i="22" s="1"/>
  <c r="R38" i="22"/>
  <c r="S30" i="22"/>
  <c r="S22" i="22"/>
  <c r="S63" i="22"/>
  <c r="R46" i="22"/>
  <c r="R10" i="22" s="1"/>
  <c r="S37" i="22"/>
  <c r="R30" i="22"/>
  <c r="R22" i="22"/>
  <c r="S35" i="22"/>
  <c r="R29" i="22"/>
  <c r="S7" i="22" s="1"/>
  <c r="S61" i="22"/>
  <c r="R44" i="22"/>
  <c r="BS57" i="22" a="1"/>
  <c r="BS57" i="22" s="1"/>
  <c r="BS54" i="22"/>
  <c r="BR41" i="22"/>
  <c r="BS32" i="22"/>
  <c r="BS25" i="22"/>
  <c r="BR5" i="22"/>
  <c r="BR53" i="22"/>
  <c r="BS39" i="22"/>
  <c r="BR32" i="22"/>
  <c r="BS8" i="22" s="1"/>
  <c r="BS24" i="22"/>
  <c r="BR4" i="22"/>
  <c r="BS63" i="22"/>
  <c r="BR48" i="22"/>
  <c r="BS38" i="22"/>
  <c r="BS31" i="22"/>
  <c r="BS23" i="22"/>
  <c r="BR47" i="22"/>
  <c r="BR11" i="22" s="1"/>
  <c r="BR38" i="22"/>
  <c r="BS30" i="22"/>
  <c r="BS22" i="22"/>
  <c r="BR46" i="22"/>
  <c r="BR10" i="22" s="1"/>
  <c r="BS37" i="22"/>
  <c r="BR30" i="22"/>
  <c r="BR22" i="22"/>
  <c r="BS62" i="22"/>
  <c r="BS44" i="22"/>
  <c r="BS36" i="22"/>
  <c r="BS29" i="22"/>
  <c r="BS61" i="22"/>
  <c r="BR44" i="22"/>
  <c r="BS35" i="22"/>
  <c r="BR29" i="22"/>
  <c r="BS7" i="22" s="1"/>
  <c r="BS60" i="22"/>
  <c r="BS43" i="22"/>
  <c r="BR35" i="22"/>
  <c r="BS28" i="22"/>
  <c r="BS19" i="22"/>
  <c r="BS59" i="22"/>
  <c r="BR43" i="22"/>
  <c r="BS34" i="22"/>
  <c r="BR28" i="22"/>
  <c r="BS18" i="22"/>
  <c r="BS58" i="22"/>
  <c r="BS42" i="22"/>
  <c r="BR34" i="22"/>
  <c r="BS27" i="22"/>
  <c r="BS17" i="22"/>
  <c r="BS6" i="22" s="1"/>
  <c r="BS56" i="22"/>
  <c r="BR42" i="22"/>
  <c r="BS33" i="22"/>
  <c r="BS26" i="22"/>
  <c r="BR15" i="22"/>
  <c r="BS55" i="22"/>
  <c r="BS41" i="22"/>
  <c r="BR33" i="22"/>
  <c r="BR26" i="22"/>
  <c r="BS9" i="22"/>
  <c r="BO57" i="22" a="1"/>
  <c r="BO57" i="22" s="1"/>
  <c r="BN48" i="22"/>
  <c r="BO38" i="22"/>
  <c r="BO31" i="22"/>
  <c r="BO23" i="22"/>
  <c r="BN47" i="22"/>
  <c r="BN11" i="22" s="1"/>
  <c r="BN38" i="22"/>
  <c r="BO30" i="22"/>
  <c r="BO22" i="22"/>
  <c r="BO61" i="22"/>
  <c r="BN44" i="22"/>
  <c r="BO35" i="22"/>
  <c r="BN29" i="22"/>
  <c r="BO7" i="22" s="1"/>
  <c r="BO60" i="22"/>
  <c r="BO43" i="22"/>
  <c r="BN35" i="22"/>
  <c r="BO28" i="22"/>
  <c r="BO19" i="22"/>
  <c r="BO59" i="22"/>
  <c r="BN43" i="22"/>
  <c r="BO34" i="22"/>
  <c r="BN28" i="22"/>
  <c r="BO18" i="22"/>
  <c r="BO56" i="22"/>
  <c r="BO36" i="22"/>
  <c r="BO24" i="22"/>
  <c r="BO55" i="22"/>
  <c r="BN34" i="22"/>
  <c r="BN22" i="22"/>
  <c r="BO54" i="22"/>
  <c r="BO33" i="22"/>
  <c r="BN53" i="22"/>
  <c r="BN33" i="22"/>
  <c r="BN46" i="22"/>
  <c r="BN10" i="22" s="1"/>
  <c r="BO32" i="22"/>
  <c r="BO17" i="22"/>
  <c r="BO6" i="22" s="1"/>
  <c r="BO44" i="22"/>
  <c r="BN32" i="22"/>
  <c r="BO8" i="22" s="1"/>
  <c r="BN15" i="22"/>
  <c r="BO42" i="22"/>
  <c r="BN30" i="22"/>
  <c r="BO9" i="22"/>
  <c r="BN42" i="22"/>
  <c r="BO29" i="22"/>
  <c r="BN5" i="22"/>
  <c r="BO41" i="22"/>
  <c r="BO27" i="22"/>
  <c r="BN4" i="22"/>
  <c r="BO63" i="22"/>
  <c r="BN41" i="22"/>
  <c r="BO26" i="22"/>
  <c r="BO62" i="22"/>
  <c r="BO39" i="22"/>
  <c r="BN26" i="22"/>
  <c r="BO58" i="22"/>
  <c r="BO37" i="22"/>
  <c r="BO25" i="22"/>
  <c r="AJ76" i="22"/>
  <c r="AK70" i="22"/>
  <c r="AK76" i="22"/>
  <c r="AK77" i="22"/>
  <c r="AJ73" i="22"/>
  <c r="AK74" i="22"/>
  <c r="AK69" i="22"/>
  <c r="AK73" i="22"/>
  <c r="AJ75" i="22"/>
  <c r="AJ74" i="22"/>
  <c r="AK72" i="22"/>
  <c r="AK78" i="22"/>
  <c r="AK75" i="22"/>
  <c r="AJ72" i="22"/>
  <c r="AZ76" i="22"/>
  <c r="BA69" i="22"/>
  <c r="AZ75" i="22"/>
  <c r="BA74" i="22"/>
  <c r="AZ73" i="22"/>
  <c r="AZ74" i="22"/>
  <c r="BA73" i="22"/>
  <c r="BA72" i="22"/>
  <c r="AZ72" i="22"/>
  <c r="BA78" i="22"/>
  <c r="BA77" i="22"/>
  <c r="J176" i="21" s="1" a="1"/>
  <c r="J176" i="21" s="1"/>
  <c r="BA76" i="22"/>
  <c r="BA70" i="22"/>
  <c r="BA75" i="22"/>
  <c r="M57" i="22" a="1"/>
  <c r="M57" i="22" s="1"/>
  <c r="L46" i="22"/>
  <c r="M33" i="22"/>
  <c r="L22" i="22"/>
  <c r="H45" i="33"/>
  <c r="L43" i="22"/>
  <c r="M31" i="22"/>
  <c r="M18" i="22"/>
  <c r="H37" i="33"/>
  <c r="M42" i="22"/>
  <c r="M30" i="22"/>
  <c r="M17" i="22"/>
  <c r="M63" i="22"/>
  <c r="L42" i="22"/>
  <c r="L30" i="22"/>
  <c r="L15" i="22"/>
  <c r="M62" i="22"/>
  <c r="M41" i="22"/>
  <c r="M29" i="22"/>
  <c r="M9" i="22"/>
  <c r="M59" i="22"/>
  <c r="M38" i="22"/>
  <c r="L28" i="22"/>
  <c r="M58" i="22"/>
  <c r="L38" i="22"/>
  <c r="M27" i="22"/>
  <c r="M56" i="22"/>
  <c r="M37" i="22"/>
  <c r="M26" i="22"/>
  <c r="M55" i="22"/>
  <c r="M36" i="22"/>
  <c r="L26" i="22"/>
  <c r="L48" i="22"/>
  <c r="M34" i="22"/>
  <c r="M23" i="22"/>
  <c r="L47" i="22"/>
  <c r="L34" i="22"/>
  <c r="M22" i="22"/>
  <c r="M44" i="22"/>
  <c r="L33" i="22"/>
  <c r="P29" i="27"/>
  <c r="S9" i="38"/>
  <c r="X36" i="37"/>
  <c r="X22" i="37"/>
  <c r="X15" i="37"/>
  <c r="X29" i="37"/>
  <c r="X8" i="37"/>
  <c r="W7" i="46"/>
  <c r="AO7" i="46"/>
  <c r="BH7" i="46" a="1"/>
  <c r="BE7" i="46"/>
  <c r="AK7" i="46"/>
  <c r="AN7" i="46"/>
  <c r="AR7" i="46"/>
  <c r="BR7" i="46"/>
  <c r="AW8" i="46"/>
  <c r="AY8" i="46"/>
  <c r="AF7" i="46"/>
  <c r="BK7" i="46"/>
  <c r="AS4" i="46"/>
  <c r="BB8" i="46"/>
  <c r="E8" i="46"/>
  <c r="AJ7" i="46"/>
  <c r="BN7" i="46"/>
  <c r="AP7" i="46"/>
  <c r="AV8" i="46"/>
  <c r="AJ8" i="46"/>
  <c r="AE8" i="46"/>
  <c r="AA8" i="46"/>
  <c r="BR8" i="46"/>
  <c r="AX7" i="46"/>
  <c r="X7" i="46"/>
  <c r="AZ8" i="46"/>
  <c r="AH7" i="46"/>
  <c r="Y7" i="46"/>
  <c r="BJ8" i="46"/>
  <c r="AG8" i="46"/>
  <c r="AB8" i="46"/>
  <c r="AH8" i="46"/>
  <c r="AW7" i="46"/>
  <c r="AR8" i="46"/>
  <c r="AQ8" i="46"/>
  <c r="AB7" i="46"/>
  <c r="AU5" i="46"/>
  <c r="AO8" i="46"/>
  <c r="BC8" i="46"/>
  <c r="BN8" i="46"/>
  <c r="AK8" i="46"/>
  <c r="AC8" i="46"/>
  <c r="BJ7" i="46"/>
  <c r="AU7" i="46"/>
  <c r="AG7" i="46"/>
  <c r="BI7" i="46"/>
  <c r="X8" i="46"/>
  <c r="AL7" i="46"/>
  <c r="AQ7" i="46"/>
  <c r="AV7" i="46"/>
  <c r="BA7" i="46"/>
  <c r="AA7" i="46"/>
  <c r="AR5" i="46"/>
  <c r="BF7" i="46"/>
  <c r="AT7" i="46"/>
  <c r="AT8" i="46"/>
  <c r="BB7" i="46"/>
  <c r="AU4" i="46"/>
  <c r="BK8" i="46"/>
  <c r="BF8" i="46"/>
  <c r="AR6" i="46"/>
  <c r="BG7" i="46"/>
  <c r="AZ7" i="46"/>
  <c r="AX8" i="46"/>
  <c r="Z7" i="46"/>
  <c r="BA8" i="46"/>
  <c r="V8" i="46"/>
  <c r="AI7" i="46"/>
  <c r="BM7" i="46"/>
  <c r="AM7" i="46"/>
  <c r="AC7" i="46"/>
  <c r="AF8" i="46"/>
  <c r="AD8" i="46"/>
  <c r="BM8" i="46"/>
  <c r="AS7" i="46"/>
  <c r="AU8" i="46"/>
  <c r="AD7" i="46"/>
  <c r="AS5" i="46"/>
  <c r="AI8" i="46"/>
  <c r="BI8" i="46"/>
  <c r="AS6" i="46"/>
  <c r="BL7" i="46"/>
  <c r="BC7" i="46"/>
  <c r="AU6" i="46"/>
  <c r="AY7" i="46"/>
  <c r="AS8" i="46"/>
  <c r="V7" i="46"/>
  <c r="AE7" i="46"/>
  <c r="AR4" i="46"/>
  <c r="BE8" i="46"/>
  <c r="BD8" i="46"/>
  <c r="BC113" i="31" l="1" a="1"/>
  <c r="BC113" i="31" s="1"/>
  <c r="BC183" i="31" a="1"/>
  <c r="BC183" i="31" s="1"/>
  <c r="BC71" i="31" a="1"/>
  <c r="BC71" i="31" s="1"/>
  <c r="BC225" i="31" a="1"/>
  <c r="BC225" i="31" s="1"/>
  <c r="BC78" i="31" a="1"/>
  <c r="BC78" i="31" s="1"/>
  <c r="BC239" i="31" a="1"/>
  <c r="BC239" i="31" s="1"/>
  <c r="BC274" i="31" a="1"/>
  <c r="BC274" i="31" s="1"/>
  <c r="BC260" i="31" a="1"/>
  <c r="BC260" i="31" s="1"/>
  <c r="BC232" i="31" a="1"/>
  <c r="BC232" i="31" s="1"/>
  <c r="BC281" i="31" a="1"/>
  <c r="BC281" i="31" s="1"/>
  <c r="BC267" i="31" a="1"/>
  <c r="BC267" i="31" s="1"/>
  <c r="BC176" i="31" a="1"/>
  <c r="BC176" i="31" s="1"/>
  <c r="BC218" i="31" a="1"/>
  <c r="BC218" i="31" s="1"/>
  <c r="BC197" i="31" a="1"/>
  <c r="BC197" i="31" s="1"/>
  <c r="BC211" i="31" a="1"/>
  <c r="BC211" i="31" s="1"/>
  <c r="BC190" i="31" a="1"/>
  <c r="BC190" i="31" s="1"/>
  <c r="BC204" i="31" a="1"/>
  <c r="BC204" i="31" s="1"/>
  <c r="BC127" i="31" a="1"/>
  <c r="BC127" i="31" s="1"/>
  <c r="BC169" i="31" a="1"/>
  <c r="BC169" i="31" s="1"/>
  <c r="BC155" i="31" a="1"/>
  <c r="BC155" i="31" s="1"/>
  <c r="BC148" i="31" a="1"/>
  <c r="BC148" i="31" s="1"/>
  <c r="BC162" i="31" a="1"/>
  <c r="BC162" i="31" s="1"/>
  <c r="BC120" i="31" a="1"/>
  <c r="BC120" i="31" s="1"/>
  <c r="BC134" i="31" a="1"/>
  <c r="BC134" i="31" s="1"/>
  <c r="BC99" i="31" a="1"/>
  <c r="BC99" i="31" s="1"/>
  <c r="BC106" i="31" a="1"/>
  <c r="BC106" i="31" s="1"/>
  <c r="BC85" i="31" a="1"/>
  <c r="BC85" i="31" s="1"/>
  <c r="BC64" i="31" a="1"/>
  <c r="BC64" i="31" s="1"/>
  <c r="BC92" i="31" a="1"/>
  <c r="BC92" i="31" s="1"/>
  <c r="BC57" i="31" a="1"/>
  <c r="BC57" i="31" s="1"/>
  <c r="BC50" i="31" a="1"/>
  <c r="BC50" i="31" s="1"/>
  <c r="BC43" i="31" a="1"/>
  <c r="BC43" i="31" s="1"/>
  <c r="G8" i="42"/>
  <c r="BC36" i="31" a="1"/>
  <c r="BC36" i="31" s="1"/>
  <c r="CD79" i="22" a="1"/>
  <c r="CD79" i="22" s="1"/>
  <c r="CD64" i="22" a="1"/>
  <c r="CD64" i="22" s="1"/>
  <c r="CD49" i="22" a="1"/>
  <c r="CD49" i="22" s="1"/>
  <c r="CD12" i="22" a="1"/>
  <c r="CD12" i="22" s="1"/>
  <c r="BS4" i="46"/>
  <c r="BT4" i="46"/>
  <c r="BV4" i="46"/>
  <c r="BW4" i="46"/>
  <c r="BX4" i="46"/>
  <c r="BY4" i="46"/>
  <c r="BZ4" i="46"/>
  <c r="BU4" i="46"/>
  <c r="BZ5" i="46"/>
  <c r="BY5" i="46"/>
  <c r="BX5" i="46"/>
  <c r="BW5" i="46"/>
  <c r="BV5" i="46"/>
  <c r="BU5" i="46"/>
  <c r="BT5" i="46"/>
  <c r="BS5" i="46"/>
  <c r="BT6" i="46"/>
  <c r="BU6" i="46"/>
  <c r="BW6" i="46"/>
  <c r="BX6" i="46"/>
  <c r="BY6" i="46"/>
  <c r="BS6" i="46"/>
  <c r="BZ6" i="46"/>
  <c r="BV6" i="46"/>
  <c r="J274" i="21" a="1"/>
  <c r="J274" i="21" s="1"/>
  <c r="J267" i="21" a="1"/>
  <c r="J267" i="21" s="1"/>
  <c r="J246" i="21" a="1"/>
  <c r="J246" i="21" s="1"/>
  <c r="J225" i="21" a="1"/>
  <c r="J225" i="21" s="1"/>
  <c r="J211" i="21" a="1"/>
  <c r="J211" i="21" s="1"/>
  <c r="J204" i="21" a="1"/>
  <c r="J204" i="21" s="1"/>
  <c r="J197" i="21" a="1"/>
  <c r="J197" i="21" s="1"/>
  <c r="J190" i="21" a="1"/>
  <c r="J190" i="21" s="1"/>
  <c r="J162" i="21" a="1"/>
  <c r="J162" i="21" s="1"/>
  <c r="J148" i="21" a="1"/>
  <c r="J148" i="21" s="1"/>
  <c r="J141" i="21" a="1"/>
  <c r="J141" i="21" s="1"/>
  <c r="J134" i="21" a="1"/>
  <c r="J134" i="21" s="1"/>
  <c r="J127" i="21" a="1"/>
  <c r="J127" i="21" s="1"/>
  <c r="J120" i="21" a="1"/>
  <c r="J120" i="21" s="1"/>
  <c r="J99" i="21" a="1"/>
  <c r="J99" i="21" s="1"/>
  <c r="J85" i="21" a="1"/>
  <c r="J85" i="21" s="1"/>
  <c r="J43" i="21" a="1"/>
  <c r="J43" i="21" s="1"/>
  <c r="W9" i="38"/>
  <c r="S8" i="46"/>
  <c r="G8" i="46"/>
  <c r="M8" i="46"/>
  <c r="Q8" i="46"/>
  <c r="F8" i="46"/>
  <c r="R8" i="46"/>
  <c r="T8" i="46"/>
  <c r="U8" i="46"/>
  <c r="X9" i="38"/>
  <c r="R9" i="38"/>
  <c r="BH8" i="46"/>
  <c r="AP8" i="46"/>
  <c r="AM8" i="46"/>
  <c r="BL8" i="46"/>
  <c r="AL8" i="46"/>
  <c r="AN8" i="46"/>
  <c r="Z8" i="46"/>
  <c r="Y8" i="46"/>
  <c r="W8" i="46"/>
  <c r="BG8" i="46"/>
  <c r="R8" i="38"/>
  <c r="X8" i="38"/>
  <c r="M7" i="46"/>
  <c r="Q7" i="46"/>
  <c r="F7" i="46"/>
  <c r="R7" i="46"/>
  <c r="G7" i="46"/>
  <c r="S7" i="46"/>
  <c r="T7" i="46"/>
  <c r="U7" i="46"/>
  <c r="W8" i="38"/>
  <c r="Q8" i="42"/>
  <c r="Q3" i="42"/>
  <c r="Q4" i="42"/>
  <c r="Q21" i="42"/>
  <c r="Q27" i="42"/>
  <c r="Q20" i="42"/>
  <c r="Q18" i="42"/>
  <c r="Q15" i="42"/>
  <c r="Q10" i="42"/>
  <c r="Q5" i="42"/>
  <c r="Q17" i="42"/>
  <c r="Q7" i="42"/>
  <c r="Q29" i="42"/>
  <c r="Q9" i="42"/>
  <c r="Q22" i="42"/>
  <c r="Q30" i="42"/>
  <c r="Q13" i="42"/>
  <c r="Q6" i="42"/>
  <c r="Q16" i="42"/>
  <c r="Q26" i="42"/>
  <c r="Q14" i="42"/>
  <c r="Q24" i="42"/>
  <c r="Q28" i="42"/>
  <c r="Q19" i="42"/>
  <c r="Q25" i="42"/>
  <c r="Q12" i="42"/>
  <c r="Q11" i="42"/>
  <c r="Q23" i="42"/>
  <c r="N19" i="42"/>
  <c r="N16" i="42"/>
  <c r="N24" i="42"/>
  <c r="N3" i="42"/>
  <c r="N8" i="42"/>
  <c r="N23" i="42"/>
  <c r="N9" i="42"/>
  <c r="N28" i="42"/>
  <c r="N18" i="42"/>
  <c r="N27" i="42"/>
  <c r="N26" i="42"/>
  <c r="N4" i="42"/>
  <c r="N11" i="42"/>
  <c r="N5" i="42"/>
  <c r="N10" i="42"/>
  <c r="N20" i="42"/>
  <c r="N12" i="42"/>
  <c r="N14" i="42"/>
  <c r="N15" i="42"/>
  <c r="N6" i="42"/>
  <c r="N29" i="42"/>
  <c r="N13" i="42"/>
  <c r="N25" i="42"/>
  <c r="N17" i="42"/>
  <c r="N21" i="42"/>
  <c r="N30" i="42"/>
  <c r="N22" i="42"/>
  <c r="N7" i="42"/>
  <c r="K5" i="42"/>
  <c r="K25" i="42"/>
  <c r="K16" i="42"/>
  <c r="K18" i="42"/>
  <c r="K21" i="42"/>
  <c r="K3" i="42"/>
  <c r="K23" i="42"/>
  <c r="K17" i="42"/>
  <c r="K14" i="42"/>
  <c r="K24" i="42"/>
  <c r="K4" i="42"/>
  <c r="K15" i="42"/>
  <c r="K28" i="42"/>
  <c r="K22" i="42"/>
  <c r="K26" i="42"/>
  <c r="K27" i="42"/>
  <c r="K6" i="42"/>
  <c r="K7" i="42"/>
  <c r="K10" i="42"/>
  <c r="K9" i="42"/>
  <c r="K19" i="42"/>
  <c r="K11" i="42"/>
  <c r="K8" i="42"/>
  <c r="K30" i="42"/>
  <c r="K12" i="42"/>
  <c r="K20" i="42"/>
  <c r="K13" i="42"/>
  <c r="K29" i="42"/>
  <c r="P18" i="42"/>
  <c r="P14" i="42"/>
  <c r="P26" i="42"/>
  <c r="P8" i="42"/>
  <c r="P12" i="42"/>
  <c r="P11" i="42"/>
  <c r="P10" i="42"/>
  <c r="P9" i="42"/>
  <c r="P15" i="42"/>
  <c r="P6" i="42"/>
  <c r="P5" i="42"/>
  <c r="P29" i="42"/>
  <c r="P13" i="42"/>
  <c r="P17" i="42"/>
  <c r="P21" i="42"/>
  <c r="P3" i="42"/>
  <c r="P19" i="42"/>
  <c r="P4" i="42"/>
  <c r="P28" i="42"/>
  <c r="P23" i="42"/>
  <c r="P27" i="42"/>
  <c r="P30" i="42"/>
  <c r="P22" i="42"/>
  <c r="P25" i="42"/>
  <c r="P16" i="42"/>
  <c r="P7" i="42"/>
  <c r="P24" i="42"/>
  <c r="P20" i="42"/>
  <c r="M15" i="42"/>
  <c r="M28" i="42"/>
  <c r="M29" i="42"/>
  <c r="M14" i="42"/>
  <c r="M22" i="42"/>
  <c r="M18" i="42"/>
  <c r="M11" i="42"/>
  <c r="M16" i="42"/>
  <c r="M26" i="42"/>
  <c r="M9" i="42"/>
  <c r="M19" i="42"/>
  <c r="M7" i="42"/>
  <c r="M17" i="42"/>
  <c r="M12" i="42"/>
  <c r="M23" i="42"/>
  <c r="M5" i="42"/>
  <c r="M27" i="42"/>
  <c r="M10" i="42"/>
  <c r="M13" i="42"/>
  <c r="M8" i="42"/>
  <c r="M20" i="42"/>
  <c r="M6" i="42"/>
  <c r="M24" i="42"/>
  <c r="M4" i="42"/>
  <c r="M21" i="42"/>
  <c r="M25" i="42"/>
  <c r="M30" i="42"/>
  <c r="M3" i="42"/>
  <c r="S20" i="42"/>
  <c r="S13" i="42"/>
  <c r="S28" i="42"/>
  <c r="S23" i="42"/>
  <c r="S22" i="42"/>
  <c r="S9" i="42"/>
  <c r="S16" i="42"/>
  <c r="S5" i="42"/>
  <c r="S8" i="42"/>
  <c r="S10" i="42"/>
  <c r="S21" i="42"/>
  <c r="S19" i="42"/>
  <c r="S30" i="42"/>
  <c r="S24" i="42"/>
  <c r="S11" i="42"/>
  <c r="S12" i="42"/>
  <c r="S7" i="42"/>
  <c r="S6" i="42"/>
  <c r="S27" i="42"/>
  <c r="S3" i="42"/>
  <c r="S4" i="42"/>
  <c r="S15" i="42"/>
  <c r="S29" i="42"/>
  <c r="S18" i="42"/>
  <c r="S14" i="42"/>
  <c r="S26" i="42"/>
  <c r="S17" i="42"/>
  <c r="S25" i="42"/>
  <c r="J21" i="42"/>
  <c r="J26" i="42"/>
  <c r="J29" i="42"/>
  <c r="J24" i="42"/>
  <c r="J12" i="42"/>
  <c r="J27" i="42"/>
  <c r="J7" i="42"/>
  <c r="J25" i="42"/>
  <c r="J30" i="42"/>
  <c r="J28" i="42"/>
  <c r="J4" i="42"/>
  <c r="J10" i="42"/>
  <c r="J19" i="42"/>
  <c r="J3" i="42"/>
  <c r="J22" i="42"/>
  <c r="J11" i="42"/>
  <c r="J14" i="42"/>
  <c r="J13" i="42"/>
  <c r="J5" i="42"/>
  <c r="J16" i="42"/>
  <c r="J8" i="42"/>
  <c r="J20" i="42"/>
  <c r="J17" i="42"/>
  <c r="J23" i="42"/>
  <c r="J18" i="42"/>
  <c r="J9" i="42"/>
  <c r="J6" i="42"/>
  <c r="J15" i="42"/>
  <c r="C19" i="42"/>
  <c r="C20" i="42"/>
  <c r="C29" i="42"/>
  <c r="C17" i="42"/>
  <c r="C24" i="42"/>
  <c r="C26" i="42"/>
  <c r="C13" i="42"/>
  <c r="C3" i="42"/>
  <c r="C15" i="42"/>
  <c r="C21" i="42"/>
  <c r="C30" i="42"/>
  <c r="C18" i="42"/>
  <c r="C25" i="42"/>
  <c r="C22" i="42"/>
  <c r="C28" i="42"/>
  <c r="C27" i="42"/>
  <c r="C4" i="42"/>
  <c r="C23" i="42"/>
  <c r="C16" i="42"/>
  <c r="F29" i="42"/>
  <c r="F17" i="42"/>
  <c r="F24" i="42"/>
  <c r="F3" i="42"/>
  <c r="F4" i="42"/>
  <c r="F26" i="42"/>
  <c r="F13" i="42"/>
  <c r="F28" i="42"/>
  <c r="F23" i="42"/>
  <c r="F30" i="42"/>
  <c r="F25" i="42"/>
  <c r="F27" i="42"/>
  <c r="F22" i="42"/>
  <c r="F15" i="42"/>
  <c r="F16" i="42"/>
  <c r="F19" i="42"/>
  <c r="F20" i="42"/>
  <c r="F21" i="42"/>
  <c r="F18" i="42"/>
  <c r="L22" i="42"/>
  <c r="L5" i="42"/>
  <c r="L20" i="42"/>
  <c r="L14" i="42"/>
  <c r="L29" i="42"/>
  <c r="L24" i="42"/>
  <c r="L3" i="42"/>
  <c r="L19" i="42"/>
  <c r="L12" i="42"/>
  <c r="L26" i="42"/>
  <c r="L13" i="42"/>
  <c r="L28" i="42"/>
  <c r="L27" i="42"/>
  <c r="L15" i="42"/>
  <c r="L6" i="42"/>
  <c r="L9" i="42"/>
  <c r="L8" i="42"/>
  <c r="L11" i="42"/>
  <c r="L10" i="42"/>
  <c r="L7" i="42"/>
  <c r="L16" i="42"/>
  <c r="L18" i="42"/>
  <c r="L30" i="42"/>
  <c r="L23" i="42"/>
  <c r="L21" i="42"/>
  <c r="L17" i="42"/>
  <c r="L25" i="42"/>
  <c r="L4" i="42"/>
  <c r="P45" i="38"/>
  <c r="N45" i="38" a="1"/>
  <c r="N45" i="38" s="1"/>
  <c r="S45" i="38"/>
  <c r="U45" i="38"/>
  <c r="O45" i="38" a="1"/>
  <c r="O45" i="38" s="1"/>
  <c r="M45" i="38" a="1"/>
  <c r="M45" i="38" s="1"/>
  <c r="W45" i="38"/>
  <c r="Q45" i="38"/>
  <c r="R45" i="38"/>
  <c r="X45" i="38"/>
  <c r="V45" i="38"/>
  <c r="T45" i="38" a="1"/>
  <c r="T45" i="38" s="1"/>
  <c r="BY44" i="46"/>
  <c r="BJ44" i="46"/>
  <c r="AW44" i="46"/>
  <c r="AK44" i="46"/>
  <c r="Y44" i="46"/>
  <c r="E44" i="46"/>
  <c r="BX44" i="46"/>
  <c r="BI44" i="46"/>
  <c r="AV44" i="46"/>
  <c r="AJ44" i="46"/>
  <c r="X44" i="46"/>
  <c r="D44" i="46"/>
  <c r="BW44" i="46"/>
  <c r="BH44" i="46"/>
  <c r="AU44" i="46"/>
  <c r="AI44" i="46"/>
  <c r="W44" i="46"/>
  <c r="C44" i="46"/>
  <c r="BV44" i="46"/>
  <c r="BG44" i="46"/>
  <c r="AT44" i="46"/>
  <c r="AH44" i="46"/>
  <c r="V44" i="46"/>
  <c r="B44" i="46"/>
  <c r="BU44" i="46"/>
  <c r="BF44" i="46"/>
  <c r="AS44" i="46"/>
  <c r="AG44" i="46"/>
  <c r="U44" i="46"/>
  <c r="A44" i="46"/>
  <c r="BT44" i="46"/>
  <c r="BE44" i="46"/>
  <c r="AR44" i="46"/>
  <c r="AF44" i="46"/>
  <c r="T44" i="46"/>
  <c r="BS44" i="46"/>
  <c r="BC44" i="46"/>
  <c r="AQ44" i="46"/>
  <c r="AE44" i="46"/>
  <c r="S44" i="46"/>
  <c r="BR44" i="46"/>
  <c r="BB44" i="46"/>
  <c r="AP44" i="46"/>
  <c r="AD44" i="46"/>
  <c r="R44" i="46"/>
  <c r="BN44" i="46"/>
  <c r="BA44" i="46"/>
  <c r="AO44" i="46"/>
  <c r="AC44" i="46"/>
  <c r="Q44" i="46"/>
  <c r="BM44" i="46"/>
  <c r="AZ44" i="46"/>
  <c r="AN44" i="46"/>
  <c r="AB44" i="46"/>
  <c r="M44" i="46"/>
  <c r="BL44" i="46"/>
  <c r="AY44" i="46"/>
  <c r="AM44" i="46"/>
  <c r="AA44" i="46"/>
  <c r="G44" i="46"/>
  <c r="BZ44" i="46"/>
  <c r="BK44" i="46"/>
  <c r="AX44" i="46"/>
  <c r="AL44" i="46"/>
  <c r="Z44" i="46"/>
  <c r="F44" i="46"/>
  <c r="E22" i="42"/>
  <c r="E29" i="42"/>
  <c r="E17" i="42"/>
  <c r="E24" i="42"/>
  <c r="E18" i="42"/>
  <c r="E3" i="42"/>
  <c r="E19" i="42"/>
  <c r="E4" i="42"/>
  <c r="E26" i="42"/>
  <c r="E13" i="42"/>
  <c r="E21" i="42"/>
  <c r="E28" i="42"/>
  <c r="E30" i="42"/>
  <c r="E25" i="42"/>
  <c r="E20" i="42"/>
  <c r="E27" i="42"/>
  <c r="E15" i="42"/>
  <c r="E16" i="42"/>
  <c r="E23" i="42"/>
  <c r="X49" i="38"/>
  <c r="Q49" i="38"/>
  <c r="S49" i="38"/>
  <c r="T49" i="38" a="1"/>
  <c r="T49" i="38" s="1"/>
  <c r="U49" i="38"/>
  <c r="V49" i="38"/>
  <c r="W49" i="38"/>
  <c r="M49" i="38" a="1"/>
  <c r="M49" i="38" s="1"/>
  <c r="N49" i="38" a="1"/>
  <c r="N49" i="38" s="1"/>
  <c r="O49" i="38" a="1"/>
  <c r="O49" i="38" s="1"/>
  <c r="BU48" i="46"/>
  <c r="BF48" i="46"/>
  <c r="AS48" i="46"/>
  <c r="AG48" i="46"/>
  <c r="U48" i="46"/>
  <c r="A48" i="46"/>
  <c r="BT48" i="46"/>
  <c r="BE48" i="46"/>
  <c r="AR48" i="46"/>
  <c r="AF48" i="46"/>
  <c r="T48" i="46"/>
  <c r="R49" i="38"/>
  <c r="BS48" i="46"/>
  <c r="BC48" i="46"/>
  <c r="AQ48" i="46"/>
  <c r="AE48" i="46"/>
  <c r="S48" i="46"/>
  <c r="P49" i="38"/>
  <c r="BR48" i="46"/>
  <c r="BB48" i="46"/>
  <c r="AP48" i="46"/>
  <c r="AD48" i="46"/>
  <c r="R48" i="46"/>
  <c r="BN48" i="46"/>
  <c r="BA48" i="46"/>
  <c r="AO48" i="46"/>
  <c r="AC48" i="46"/>
  <c r="Q48" i="46"/>
  <c r="BM48" i="46"/>
  <c r="AZ48" i="46"/>
  <c r="AN48" i="46"/>
  <c r="AB48" i="46"/>
  <c r="M48" i="46"/>
  <c r="BL48" i="46"/>
  <c r="AY48" i="46"/>
  <c r="AM48" i="46"/>
  <c r="AA48" i="46"/>
  <c r="G48" i="46"/>
  <c r="BZ48" i="46"/>
  <c r="BK48" i="46"/>
  <c r="AX48" i="46"/>
  <c r="AL48" i="46"/>
  <c r="Z48" i="46"/>
  <c r="F48" i="46"/>
  <c r="BY48" i="46"/>
  <c r="BJ48" i="46"/>
  <c r="AW48" i="46"/>
  <c r="AK48" i="46"/>
  <c r="Y48" i="46"/>
  <c r="E48" i="46"/>
  <c r="BX48" i="46"/>
  <c r="BI48" i="46"/>
  <c r="AV48" i="46"/>
  <c r="AJ48" i="46"/>
  <c r="X48" i="46"/>
  <c r="D48" i="46"/>
  <c r="BW48" i="46"/>
  <c r="BH48" i="46"/>
  <c r="AU48" i="46"/>
  <c r="AI48" i="46"/>
  <c r="W48" i="46"/>
  <c r="C48" i="46"/>
  <c r="BV48" i="46"/>
  <c r="BG48" i="46"/>
  <c r="AT48" i="46"/>
  <c r="AH48" i="46"/>
  <c r="V48" i="46"/>
  <c r="B48" i="46"/>
  <c r="Q47" i="38"/>
  <c r="V47" i="38"/>
  <c r="U47" i="38"/>
  <c r="O47" i="38" a="1"/>
  <c r="O47" i="38" s="1"/>
  <c r="T47" i="38" a="1"/>
  <c r="T47" i="38" s="1"/>
  <c r="W47" i="38"/>
  <c r="M47" i="38" a="1"/>
  <c r="M47" i="38" s="1"/>
  <c r="R47" i="38"/>
  <c r="X47" i="38"/>
  <c r="S47" i="38"/>
  <c r="BW46" i="46"/>
  <c r="BH46" i="46"/>
  <c r="AU46" i="46"/>
  <c r="AI46" i="46"/>
  <c r="W46" i="46"/>
  <c r="C46" i="46"/>
  <c r="P47" i="38"/>
  <c r="BV46" i="46"/>
  <c r="BG46" i="46"/>
  <c r="AT46" i="46"/>
  <c r="AH46" i="46"/>
  <c r="V46" i="46"/>
  <c r="B46" i="46"/>
  <c r="N47" i="38" a="1"/>
  <c r="N47" i="38" s="1"/>
  <c r="BU46" i="46"/>
  <c r="BF46" i="46"/>
  <c r="AS46" i="46"/>
  <c r="AG46" i="46"/>
  <c r="U46" i="46"/>
  <c r="A46" i="46"/>
  <c r="BT46" i="46"/>
  <c r="BE46" i="46"/>
  <c r="AR46" i="46"/>
  <c r="AF46" i="46"/>
  <c r="T46" i="46"/>
  <c r="BS46" i="46"/>
  <c r="BC46" i="46"/>
  <c r="AQ46" i="46"/>
  <c r="AE46" i="46"/>
  <c r="S46" i="46"/>
  <c r="BR46" i="46"/>
  <c r="BB46" i="46"/>
  <c r="AP46" i="46"/>
  <c r="AD46" i="46"/>
  <c r="R46" i="46"/>
  <c r="BN46" i="46"/>
  <c r="BA46" i="46"/>
  <c r="AO46" i="46"/>
  <c r="AC46" i="46"/>
  <c r="Q46" i="46"/>
  <c r="BM46" i="46"/>
  <c r="AZ46" i="46"/>
  <c r="AN46" i="46"/>
  <c r="AB46" i="46"/>
  <c r="M46" i="46"/>
  <c r="BL46" i="46"/>
  <c r="AY46" i="46"/>
  <c r="AM46" i="46"/>
  <c r="AA46" i="46"/>
  <c r="G46" i="46"/>
  <c r="BZ46" i="46"/>
  <c r="BK46" i="46"/>
  <c r="AX46" i="46"/>
  <c r="AL46" i="46"/>
  <c r="Z46" i="46"/>
  <c r="F46" i="46"/>
  <c r="BY46" i="46"/>
  <c r="BJ46" i="46"/>
  <c r="AW46" i="46"/>
  <c r="AK46" i="46"/>
  <c r="Y46" i="46"/>
  <c r="E46" i="46"/>
  <c r="BX46" i="46"/>
  <c r="BI46" i="46"/>
  <c r="AV46" i="46"/>
  <c r="AJ46" i="46"/>
  <c r="X46" i="46"/>
  <c r="D46" i="46"/>
  <c r="R7" i="42"/>
  <c r="R14" i="42"/>
  <c r="R8" i="42"/>
  <c r="R15" i="42"/>
  <c r="R22" i="42"/>
  <c r="R27" i="42"/>
  <c r="R20" i="42"/>
  <c r="R25" i="42"/>
  <c r="R30" i="42"/>
  <c r="R23" i="42"/>
  <c r="R28" i="42"/>
  <c r="R21" i="42"/>
  <c r="R13" i="42"/>
  <c r="R26" i="42"/>
  <c r="R10" i="42"/>
  <c r="R12" i="42"/>
  <c r="R19" i="42"/>
  <c r="R18" i="42"/>
  <c r="R24" i="42"/>
  <c r="R17" i="42"/>
  <c r="R9" i="42"/>
  <c r="R29" i="42"/>
  <c r="R11" i="42"/>
  <c r="R3" i="42"/>
  <c r="R4" i="42"/>
  <c r="R16" i="42"/>
  <c r="R5" i="42"/>
  <c r="R6" i="42"/>
  <c r="I13" i="42"/>
  <c r="I26" i="42"/>
  <c r="I10" i="42"/>
  <c r="I12" i="42"/>
  <c r="I20" i="42"/>
  <c r="I19" i="42"/>
  <c r="I5" i="42"/>
  <c r="I3" i="42"/>
  <c r="I7" i="42"/>
  <c r="I18" i="42"/>
  <c r="I9" i="42"/>
  <c r="I24" i="42"/>
  <c r="I11" i="42"/>
  <c r="I17" i="42"/>
  <c r="I25" i="42"/>
  <c r="I29" i="42"/>
  <c r="I30" i="42"/>
  <c r="I16" i="42"/>
  <c r="I23" i="42"/>
  <c r="I4" i="42"/>
  <c r="I22" i="42"/>
  <c r="I28" i="42"/>
  <c r="I6" i="42"/>
  <c r="I15" i="42"/>
  <c r="I8" i="42"/>
  <c r="I27" i="42"/>
  <c r="I21" i="42"/>
  <c r="H4" i="42"/>
  <c r="H12" i="42"/>
  <c r="H10" i="42"/>
  <c r="H8" i="42"/>
  <c r="H26" i="42"/>
  <c r="H13" i="42"/>
  <c r="H30" i="42"/>
  <c r="H7" i="42"/>
  <c r="H5" i="42"/>
  <c r="H27" i="42"/>
  <c r="H3" i="42"/>
  <c r="H29" i="42"/>
  <c r="H9" i="42"/>
  <c r="H25" i="42"/>
  <c r="H28" i="42"/>
  <c r="H24" i="42"/>
  <c r="H6" i="42"/>
  <c r="H14" i="42"/>
  <c r="H20" i="42"/>
  <c r="H18" i="42"/>
  <c r="H11" i="42"/>
  <c r="H19" i="42"/>
  <c r="H17" i="42"/>
  <c r="H16" i="42"/>
  <c r="H22" i="42"/>
  <c r="H15" i="42"/>
  <c r="H21" i="42"/>
  <c r="G13" i="42"/>
  <c r="G29" i="42"/>
  <c r="G26" i="42"/>
  <c r="G16" i="42"/>
  <c r="G4" i="42"/>
  <c r="G22" i="42"/>
  <c r="G19" i="42"/>
  <c r="G3" i="42"/>
  <c r="G15" i="42"/>
  <c r="G18" i="42"/>
  <c r="G27" i="42"/>
  <c r="G24" i="42"/>
  <c r="G20" i="42"/>
  <c r="G25" i="42"/>
  <c r="G30" i="42"/>
  <c r="G23" i="42"/>
  <c r="G28" i="42"/>
  <c r="G21" i="42"/>
  <c r="G17" i="42"/>
  <c r="G7" i="42"/>
  <c r="G12" i="42"/>
  <c r="AN45" i="46"/>
  <c r="U46" i="38"/>
  <c r="S45" i="46"/>
  <c r="BC45" i="46"/>
  <c r="T45" i="46"/>
  <c r="AR45" i="46"/>
  <c r="BT45" i="46"/>
  <c r="U45" i="46"/>
  <c r="AG45" i="46"/>
  <c r="BU45" i="46"/>
  <c r="D45" i="46"/>
  <c r="X45" i="46"/>
  <c r="AJ45" i="46"/>
  <c r="AV45" i="46"/>
  <c r="BI45" i="46"/>
  <c r="BX45" i="46"/>
  <c r="S46" i="38"/>
  <c r="T46" i="38" a="1"/>
  <c r="T46" i="38" s="1"/>
  <c r="W46" i="38"/>
  <c r="V46" i="38"/>
  <c r="X46" i="38"/>
  <c r="N46" i="38" a="1"/>
  <c r="N46" i="38" s="1"/>
  <c r="O46" i="38" a="1"/>
  <c r="O46" i="38" s="1"/>
  <c r="P46" i="38"/>
  <c r="Q46" i="38"/>
  <c r="A45" i="46"/>
  <c r="BE45" i="46"/>
  <c r="BF45" i="46"/>
  <c r="AB45" i="46"/>
  <c r="M46" i="38" a="1"/>
  <c r="M46" i="38" s="1"/>
  <c r="AZ45" i="46"/>
  <c r="BM45" i="46"/>
  <c r="AF45" i="46"/>
  <c r="AS45" i="46"/>
  <c r="AE45" i="46"/>
  <c r="BS45" i="46"/>
  <c r="AQ45" i="46"/>
  <c r="M45" i="46"/>
  <c r="R46" i="38"/>
  <c r="BZ45" i="46"/>
  <c r="BA45" i="46"/>
  <c r="AH45" i="46"/>
  <c r="E45" i="46"/>
  <c r="BY45" i="46"/>
  <c r="AY45" i="46"/>
  <c r="AD45" i="46"/>
  <c r="C45" i="46"/>
  <c r="BW45" i="46"/>
  <c r="AX45" i="46"/>
  <c r="AC45" i="46"/>
  <c r="B45" i="46"/>
  <c r="BV45" i="46"/>
  <c r="AW45" i="46"/>
  <c r="AA45" i="46"/>
  <c r="BR45" i="46"/>
  <c r="AU45" i="46"/>
  <c r="Z45" i="46"/>
  <c r="BN45" i="46"/>
  <c r="AT45" i="46"/>
  <c r="Y45" i="46"/>
  <c r="BL45" i="46"/>
  <c r="AP45" i="46"/>
  <c r="W45" i="46"/>
  <c r="BK45" i="46"/>
  <c r="AO45" i="46"/>
  <c r="V45" i="46"/>
  <c r="BJ45" i="46"/>
  <c r="AM45" i="46"/>
  <c r="R45" i="46"/>
  <c r="BH45" i="46"/>
  <c r="AL45" i="46"/>
  <c r="Q45" i="46"/>
  <c r="BG45" i="46"/>
  <c r="AK45" i="46"/>
  <c r="G45" i="46"/>
  <c r="BB45" i="46"/>
  <c r="AI45" i="46"/>
  <c r="F45" i="46"/>
  <c r="S41" i="38"/>
  <c r="R41" i="38"/>
  <c r="Q41" i="38"/>
  <c r="P41" i="38"/>
  <c r="O41" i="38" a="1"/>
  <c r="O41" i="38" s="1"/>
  <c r="M41" i="38" a="1"/>
  <c r="M41" i="38" s="1"/>
  <c r="W41" i="38"/>
  <c r="N41" i="38" a="1"/>
  <c r="N41" i="38" s="1"/>
  <c r="T41" i="38" a="1"/>
  <c r="T41" i="38" s="1"/>
  <c r="U41" i="38"/>
  <c r="V41" i="38"/>
  <c r="X41" i="38"/>
  <c r="BV40" i="46"/>
  <c r="BG40" i="46"/>
  <c r="AT40" i="46"/>
  <c r="AH40" i="46"/>
  <c r="V40" i="46"/>
  <c r="B40" i="46"/>
  <c r="BU40" i="46"/>
  <c r="BF40" i="46"/>
  <c r="AS40" i="46"/>
  <c r="AG40" i="46"/>
  <c r="U40" i="46"/>
  <c r="A40" i="46"/>
  <c r="BT40" i="46"/>
  <c r="BE40" i="46"/>
  <c r="AR40" i="46"/>
  <c r="AF40" i="46"/>
  <c r="T40" i="46"/>
  <c r="BS40" i="46"/>
  <c r="BC40" i="46"/>
  <c r="AQ40" i="46"/>
  <c r="AE40" i="46"/>
  <c r="S40" i="46"/>
  <c r="BR40" i="46"/>
  <c r="BB40" i="46"/>
  <c r="AP40" i="46"/>
  <c r="AD40" i="46"/>
  <c r="R40" i="46"/>
  <c r="BN40" i="46"/>
  <c r="BA40" i="46"/>
  <c r="AO40" i="46"/>
  <c r="AC40" i="46"/>
  <c r="Q40" i="46"/>
  <c r="BM40" i="46"/>
  <c r="AZ40" i="46"/>
  <c r="AN40" i="46"/>
  <c r="AB40" i="46"/>
  <c r="M40" i="46"/>
  <c r="BL40" i="46"/>
  <c r="AY40" i="46"/>
  <c r="AM40" i="46"/>
  <c r="AA40" i="46"/>
  <c r="G40" i="46"/>
  <c r="BZ40" i="46"/>
  <c r="BK40" i="46"/>
  <c r="AX40" i="46"/>
  <c r="AL40" i="46"/>
  <c r="Z40" i="46"/>
  <c r="F40" i="46"/>
  <c r="BY40" i="46"/>
  <c r="BJ40" i="46"/>
  <c r="AW40" i="46"/>
  <c r="AK40" i="46"/>
  <c r="Y40" i="46"/>
  <c r="E40" i="46"/>
  <c r="BX40" i="46"/>
  <c r="BI40" i="46"/>
  <c r="AV40" i="46"/>
  <c r="AJ40" i="46"/>
  <c r="X40" i="46"/>
  <c r="D40" i="46"/>
  <c r="BW40" i="46"/>
  <c r="BH40" i="46"/>
  <c r="AU40" i="46"/>
  <c r="AI40" i="46"/>
  <c r="W40" i="46"/>
  <c r="C40" i="46"/>
  <c r="N37" i="38" a="1"/>
  <c r="N37" i="38" s="1"/>
  <c r="X37" i="38"/>
  <c r="W37" i="38"/>
  <c r="S37" i="38"/>
  <c r="T37" i="38" a="1"/>
  <c r="T37" i="38" s="1"/>
  <c r="V37" i="38"/>
  <c r="O37" i="38" a="1"/>
  <c r="O37" i="38" s="1"/>
  <c r="P37" i="38"/>
  <c r="M37" i="38" a="1"/>
  <c r="M37" i="38" s="1"/>
  <c r="R37" i="38"/>
  <c r="U37" i="38"/>
  <c r="Q37" i="38"/>
  <c r="BZ36" i="46"/>
  <c r="BK36" i="46"/>
  <c r="AX36" i="46"/>
  <c r="AL36" i="46"/>
  <c r="Z36" i="46"/>
  <c r="F36" i="46"/>
  <c r="BY36" i="46"/>
  <c r="BJ36" i="46"/>
  <c r="AW36" i="46"/>
  <c r="AK36" i="46"/>
  <c r="Y36" i="46"/>
  <c r="E36" i="46"/>
  <c r="BX36" i="46"/>
  <c r="BI36" i="46"/>
  <c r="AV36" i="46"/>
  <c r="AJ36" i="46"/>
  <c r="X36" i="46"/>
  <c r="D36" i="46"/>
  <c r="BW36" i="46"/>
  <c r="BH36" i="46"/>
  <c r="AU36" i="46"/>
  <c r="AI36" i="46"/>
  <c r="W36" i="46"/>
  <c r="C36" i="46"/>
  <c r="BV36" i="46"/>
  <c r="BG36" i="46"/>
  <c r="AT36" i="46"/>
  <c r="AH36" i="46"/>
  <c r="V36" i="46"/>
  <c r="B36" i="46"/>
  <c r="BU36" i="46"/>
  <c r="BF36" i="46"/>
  <c r="AS36" i="46"/>
  <c r="AG36" i="46"/>
  <c r="U36" i="46"/>
  <c r="A36" i="46"/>
  <c r="BT36" i="46"/>
  <c r="BE36" i="46"/>
  <c r="AR36" i="46"/>
  <c r="AF36" i="46"/>
  <c r="T36" i="46"/>
  <c r="BS36" i="46"/>
  <c r="BC36" i="46"/>
  <c r="AQ36" i="46"/>
  <c r="AE36" i="46"/>
  <c r="S36" i="46"/>
  <c r="BR36" i="46"/>
  <c r="BB36" i="46"/>
  <c r="AP36" i="46"/>
  <c r="AD36" i="46"/>
  <c r="R36" i="46"/>
  <c r="BN36" i="46"/>
  <c r="BA36" i="46"/>
  <c r="AO36" i="46"/>
  <c r="AC36" i="46"/>
  <c r="Q36" i="46"/>
  <c r="BM36" i="46"/>
  <c r="AZ36" i="46"/>
  <c r="AN36" i="46"/>
  <c r="AB36" i="46"/>
  <c r="M36" i="46"/>
  <c r="BL36" i="46"/>
  <c r="AY36" i="46"/>
  <c r="AM36" i="46"/>
  <c r="AA36" i="46"/>
  <c r="G36" i="46"/>
  <c r="V34" i="38"/>
  <c r="Q34" i="38"/>
  <c r="P34" i="38"/>
  <c r="O34" i="38" a="1"/>
  <c r="O34" i="38" s="1"/>
  <c r="N34" i="38" a="1"/>
  <c r="N34" i="38" s="1"/>
  <c r="X34" i="38"/>
  <c r="M34" i="38" a="1"/>
  <c r="M34" i="38" s="1"/>
  <c r="R34" i="38"/>
  <c r="S34" i="38"/>
  <c r="T34" i="38" a="1"/>
  <c r="T34" i="38" s="1"/>
  <c r="W34" i="38"/>
  <c r="BX33" i="46"/>
  <c r="BI33" i="46"/>
  <c r="AV33" i="46"/>
  <c r="AJ33" i="46"/>
  <c r="X33" i="46"/>
  <c r="D33" i="46"/>
  <c r="BW33" i="46"/>
  <c r="BH33" i="46"/>
  <c r="AU33" i="46"/>
  <c r="AI33" i="46"/>
  <c r="W33" i="46"/>
  <c r="C33" i="46"/>
  <c r="BV33" i="46"/>
  <c r="BG33" i="46"/>
  <c r="AT33" i="46"/>
  <c r="AH33" i="46"/>
  <c r="V33" i="46"/>
  <c r="B33" i="46"/>
  <c r="BU33" i="46"/>
  <c r="BF33" i="46"/>
  <c r="AS33" i="46"/>
  <c r="AG33" i="46"/>
  <c r="U33" i="46"/>
  <c r="A33" i="46"/>
  <c r="BT33" i="46"/>
  <c r="BE33" i="46"/>
  <c r="AR33" i="46"/>
  <c r="AF33" i="46"/>
  <c r="T33" i="46"/>
  <c r="BS33" i="46"/>
  <c r="BC33" i="46"/>
  <c r="AQ33" i="46"/>
  <c r="AE33" i="46"/>
  <c r="S33" i="46"/>
  <c r="BR33" i="46"/>
  <c r="BB33" i="46"/>
  <c r="AP33" i="46"/>
  <c r="AD33" i="46"/>
  <c r="R33" i="46"/>
  <c r="BN33" i="46"/>
  <c r="BA33" i="46"/>
  <c r="AO33" i="46"/>
  <c r="AC33" i="46"/>
  <c r="Q33" i="46"/>
  <c r="BM33" i="46"/>
  <c r="AZ33" i="46"/>
  <c r="AN33" i="46"/>
  <c r="AB33" i="46"/>
  <c r="M33" i="46"/>
  <c r="BL33" i="46"/>
  <c r="AY33" i="46"/>
  <c r="AM33" i="46"/>
  <c r="AA33" i="46"/>
  <c r="G33" i="46"/>
  <c r="BZ33" i="46"/>
  <c r="BK33" i="46"/>
  <c r="AX33" i="46"/>
  <c r="AL33" i="46"/>
  <c r="Z33" i="46"/>
  <c r="F33" i="46"/>
  <c r="U34" i="38"/>
  <c r="BY33" i="46"/>
  <c r="BJ33" i="46"/>
  <c r="AW33" i="46"/>
  <c r="AK33" i="46"/>
  <c r="Y33" i="46"/>
  <c r="E33" i="46"/>
  <c r="D27" i="42"/>
  <c r="D20" i="42"/>
  <c r="D25" i="42"/>
  <c r="D30" i="42"/>
  <c r="D23" i="42"/>
  <c r="D28" i="42"/>
  <c r="D21" i="42"/>
  <c r="D26" i="42"/>
  <c r="D4" i="42"/>
  <c r="D19" i="42"/>
  <c r="D3" i="42"/>
  <c r="D18" i="42"/>
  <c r="D24" i="42"/>
  <c r="D17" i="42"/>
  <c r="D29" i="42"/>
  <c r="D16" i="42"/>
  <c r="D22" i="42"/>
  <c r="D15" i="42"/>
  <c r="D13" i="42"/>
  <c r="BG41" i="46"/>
  <c r="S42" i="38"/>
  <c r="BM41" i="46"/>
  <c r="Q42" i="38"/>
  <c r="BX41" i="46"/>
  <c r="BE41" i="46"/>
  <c r="A41" i="46"/>
  <c r="BS41" i="46"/>
  <c r="U42" i="38"/>
  <c r="P42" i="38"/>
  <c r="R42" i="38"/>
  <c r="O42" i="38" a="1"/>
  <c r="O42" i="38" s="1"/>
  <c r="M42" i="38" a="1"/>
  <c r="M42" i="38" s="1"/>
  <c r="AT41" i="46"/>
  <c r="V42" i="38"/>
  <c r="BT41" i="46"/>
  <c r="AA41" i="46"/>
  <c r="AZ41" i="46"/>
  <c r="BY41" i="46"/>
  <c r="BI41" i="46"/>
  <c r="AR41" i="46"/>
  <c r="AM41" i="46"/>
  <c r="AN41" i="46"/>
  <c r="BJ41" i="46"/>
  <c r="AV41" i="46"/>
  <c r="BW41" i="46"/>
  <c r="AF41" i="46"/>
  <c r="AB41" i="46"/>
  <c r="AW41" i="46"/>
  <c r="AJ41" i="46"/>
  <c r="BH41" i="46"/>
  <c r="T41" i="46"/>
  <c r="M41" i="46"/>
  <c r="AK41" i="46"/>
  <c r="X41" i="46"/>
  <c r="AU41" i="46"/>
  <c r="D41" i="46"/>
  <c r="AI41" i="46"/>
  <c r="T42" i="38" a="1"/>
  <c r="T42" i="38" s="1"/>
  <c r="W41" i="46"/>
  <c r="N42" i="38" a="1"/>
  <c r="N42" i="38" s="1"/>
  <c r="C41" i="46"/>
  <c r="W42" i="38"/>
  <c r="X42" i="38"/>
  <c r="AY41" i="46"/>
  <c r="Z41" i="46"/>
  <c r="BZ41" i="46"/>
  <c r="AX41" i="46"/>
  <c r="Y41" i="46"/>
  <c r="BV41" i="46"/>
  <c r="AS41" i="46"/>
  <c r="V41" i="46"/>
  <c r="BU41" i="46"/>
  <c r="AQ41" i="46"/>
  <c r="U41" i="46"/>
  <c r="BR41" i="46"/>
  <c r="AP41" i="46"/>
  <c r="R41" i="46"/>
  <c r="BN41" i="46"/>
  <c r="AO41" i="46"/>
  <c r="Q41" i="46"/>
  <c r="BL41" i="46"/>
  <c r="AL41" i="46"/>
  <c r="G41" i="46"/>
  <c r="BK41" i="46"/>
  <c r="AH41" i="46"/>
  <c r="F41" i="46"/>
  <c r="BF41" i="46"/>
  <c r="AG41" i="46"/>
  <c r="E41" i="46"/>
  <c r="BC41" i="46"/>
  <c r="AE41" i="46"/>
  <c r="B41" i="46"/>
  <c r="AC41" i="46"/>
  <c r="BB41" i="46"/>
  <c r="AD41" i="46"/>
  <c r="BA41" i="46"/>
  <c r="S41" i="46"/>
  <c r="Q40" i="38"/>
  <c r="S40" i="38"/>
  <c r="T40" i="38" a="1"/>
  <c r="T40" i="38" s="1"/>
  <c r="X40" i="38"/>
  <c r="M40" i="38" a="1"/>
  <c r="M40" i="38" s="1"/>
  <c r="R40" i="38"/>
  <c r="O40" i="38" a="1"/>
  <c r="O40" i="38" s="1"/>
  <c r="U40" i="38"/>
  <c r="N40" i="38" a="1"/>
  <c r="N40" i="38" s="1"/>
  <c r="P40" i="38"/>
  <c r="W40" i="38"/>
  <c r="V40" i="38"/>
  <c r="BS39" i="46"/>
  <c r="BC39" i="46"/>
  <c r="AQ39" i="46"/>
  <c r="AE39" i="46"/>
  <c r="S39" i="46"/>
  <c r="BR39" i="46"/>
  <c r="BB39" i="46"/>
  <c r="AP39" i="46"/>
  <c r="AD39" i="46"/>
  <c r="R39" i="46"/>
  <c r="BN39" i="46"/>
  <c r="BA39" i="46"/>
  <c r="AO39" i="46"/>
  <c r="AC39" i="46"/>
  <c r="Q39" i="46"/>
  <c r="BM39" i="46"/>
  <c r="AZ39" i="46"/>
  <c r="AN39" i="46"/>
  <c r="AB39" i="46"/>
  <c r="M39" i="46"/>
  <c r="BL39" i="46"/>
  <c r="AY39" i="46"/>
  <c r="AM39" i="46"/>
  <c r="AA39" i="46"/>
  <c r="G39" i="46"/>
  <c r="BZ39" i="46"/>
  <c r="BK39" i="46"/>
  <c r="AX39" i="46"/>
  <c r="AL39" i="46"/>
  <c r="Z39" i="46"/>
  <c r="F39" i="46"/>
  <c r="BY39" i="46"/>
  <c r="BJ39" i="46"/>
  <c r="AW39" i="46"/>
  <c r="AK39" i="46"/>
  <c r="Y39" i="46"/>
  <c r="E39" i="46"/>
  <c r="BX39" i="46"/>
  <c r="BI39" i="46"/>
  <c r="AV39" i="46"/>
  <c r="AJ39" i="46"/>
  <c r="X39" i="46"/>
  <c r="D39" i="46"/>
  <c r="BW39" i="46"/>
  <c r="BH39" i="46"/>
  <c r="AU39" i="46"/>
  <c r="AI39" i="46"/>
  <c r="W39" i="46"/>
  <c r="C39" i="46"/>
  <c r="BV39" i="46"/>
  <c r="BG39" i="46"/>
  <c r="AT39" i="46"/>
  <c r="AH39" i="46"/>
  <c r="V39" i="46"/>
  <c r="B39" i="46"/>
  <c r="BT39" i="46"/>
  <c r="AR39" i="46"/>
  <c r="BU39" i="46"/>
  <c r="BF39" i="46"/>
  <c r="AS39" i="46"/>
  <c r="AG39" i="46"/>
  <c r="U39" i="46"/>
  <c r="A39" i="46"/>
  <c r="BE39" i="46"/>
  <c r="AF39" i="46"/>
  <c r="T39" i="46"/>
  <c r="M35" i="38" a="1"/>
  <c r="M35" i="38" s="1"/>
  <c r="AM34" i="46"/>
  <c r="AY34" i="46"/>
  <c r="P35" i="38"/>
  <c r="T35" i="38" a="1"/>
  <c r="T35" i="38" s="1"/>
  <c r="V35" i="38"/>
  <c r="W35" i="38"/>
  <c r="U35" i="38"/>
  <c r="R35" i="38"/>
  <c r="Q35" i="38"/>
  <c r="BL34" i="46"/>
  <c r="N35" i="38" a="1"/>
  <c r="N35" i="38" s="1"/>
  <c r="AA34" i="46"/>
  <c r="S35" i="38"/>
  <c r="O35" i="38" a="1"/>
  <c r="O35" i="38" s="1"/>
  <c r="X35" i="38"/>
  <c r="BV34" i="46"/>
  <c r="BF34" i="46"/>
  <c r="AR34" i="46"/>
  <c r="AE34" i="46"/>
  <c r="R34" i="46"/>
  <c r="BU34" i="46"/>
  <c r="BE34" i="46"/>
  <c r="AQ34" i="46"/>
  <c r="AD34" i="46"/>
  <c r="Q34" i="46"/>
  <c r="BT34" i="46"/>
  <c r="BC34" i="46"/>
  <c r="AP34" i="46"/>
  <c r="AC34" i="46"/>
  <c r="M34" i="46"/>
  <c r="BS34" i="46"/>
  <c r="BB34" i="46"/>
  <c r="AO34" i="46"/>
  <c r="AB34" i="46"/>
  <c r="G34" i="46"/>
  <c r="BR34" i="46"/>
  <c r="BA34" i="46"/>
  <c r="AN34" i="46"/>
  <c r="Z34" i="46"/>
  <c r="F34" i="46"/>
  <c r="BN34" i="46"/>
  <c r="AZ34" i="46"/>
  <c r="AL34" i="46"/>
  <c r="Y34" i="46"/>
  <c r="E34" i="46"/>
  <c r="BM34" i="46"/>
  <c r="AX34" i="46"/>
  <c r="AK34" i="46"/>
  <c r="X34" i="46"/>
  <c r="D34" i="46"/>
  <c r="BK34" i="46"/>
  <c r="AW34" i="46"/>
  <c r="AJ34" i="46"/>
  <c r="W34" i="46"/>
  <c r="C34" i="46"/>
  <c r="BZ34" i="46"/>
  <c r="BJ34" i="46"/>
  <c r="AV34" i="46"/>
  <c r="AI34" i="46"/>
  <c r="V34" i="46"/>
  <c r="B34" i="46"/>
  <c r="BG34" i="46"/>
  <c r="S34" i="46"/>
  <c r="BY34" i="46"/>
  <c r="BI34" i="46"/>
  <c r="AU34" i="46"/>
  <c r="AH34" i="46"/>
  <c r="U34" i="46"/>
  <c r="A34" i="46"/>
  <c r="AF34" i="46"/>
  <c r="BX34" i="46"/>
  <c r="BH34" i="46"/>
  <c r="AT34" i="46"/>
  <c r="AG34" i="46"/>
  <c r="T34" i="46"/>
  <c r="BW34" i="46"/>
  <c r="AS34" i="46"/>
  <c r="BK47" i="46"/>
  <c r="AL47" i="46"/>
  <c r="AX47" i="46"/>
  <c r="BZ47" i="46"/>
  <c r="O48" i="38" a="1"/>
  <c r="O48" i="38" s="1"/>
  <c r="BM47" i="46"/>
  <c r="AC47" i="46"/>
  <c r="AO47" i="46"/>
  <c r="BA47" i="46"/>
  <c r="BN47" i="46"/>
  <c r="AD47" i="46"/>
  <c r="BB47" i="46"/>
  <c r="BR47" i="46"/>
  <c r="S47" i="46"/>
  <c r="AE47" i="46"/>
  <c r="AQ47" i="46"/>
  <c r="BC47" i="46"/>
  <c r="BS47" i="46"/>
  <c r="B47" i="46"/>
  <c r="V47" i="46"/>
  <c r="AH47" i="46"/>
  <c r="AT47" i="46"/>
  <c r="BG47" i="46"/>
  <c r="BV47" i="46"/>
  <c r="M48" i="38" a="1"/>
  <c r="M48" i="38" s="1"/>
  <c r="U48" i="38"/>
  <c r="V48" i="38"/>
  <c r="X48" i="38"/>
  <c r="N48" i="38" a="1"/>
  <c r="N48" i="38" s="1"/>
  <c r="P48" i="38"/>
  <c r="Q48" i="38"/>
  <c r="R48" i="38"/>
  <c r="S48" i="38"/>
  <c r="F47" i="46"/>
  <c r="AP47" i="46"/>
  <c r="R47" i="46"/>
  <c r="AZ47" i="46"/>
  <c r="Q47" i="46"/>
  <c r="W48" i="38"/>
  <c r="Z47" i="46"/>
  <c r="T48" i="38" a="1"/>
  <c r="T48" i="38" s="1"/>
  <c r="BL47" i="46"/>
  <c r="AN47" i="46"/>
  <c r="U47" i="46"/>
  <c r="BJ47" i="46"/>
  <c r="AM47" i="46"/>
  <c r="T47" i="46"/>
  <c r="BI47" i="46"/>
  <c r="AK47" i="46"/>
  <c r="M47" i="46"/>
  <c r="BH47" i="46"/>
  <c r="AJ47" i="46"/>
  <c r="G47" i="46"/>
  <c r="BF47" i="46"/>
  <c r="AI47" i="46"/>
  <c r="E47" i="46"/>
  <c r="BE47" i="46"/>
  <c r="AG47" i="46"/>
  <c r="D47" i="46"/>
  <c r="AY47" i="46"/>
  <c r="AF47" i="46"/>
  <c r="C47" i="46"/>
  <c r="BY47" i="46"/>
  <c r="AW47" i="46"/>
  <c r="AB47" i="46"/>
  <c r="A47" i="46"/>
  <c r="BX47" i="46"/>
  <c r="AV47" i="46"/>
  <c r="AA47" i="46"/>
  <c r="BW47" i="46"/>
  <c r="AU47" i="46"/>
  <c r="Y47" i="46"/>
  <c r="BT47" i="46"/>
  <c r="W47" i="46"/>
  <c r="BU47" i="46"/>
  <c r="AS47" i="46"/>
  <c r="X47" i="46"/>
  <c r="AR47" i="46"/>
  <c r="S44" i="38"/>
  <c r="U44" i="38"/>
  <c r="W44" i="38"/>
  <c r="P44" i="38"/>
  <c r="Q44" i="38"/>
  <c r="R44" i="38"/>
  <c r="T44" i="38" a="1"/>
  <c r="T44" i="38" s="1"/>
  <c r="V44" i="38"/>
  <c r="X44" i="38"/>
  <c r="M44" i="38" a="1"/>
  <c r="M44" i="38" s="1"/>
  <c r="N44" i="38" a="1"/>
  <c r="N44" i="38" s="1"/>
  <c r="O44" i="38" a="1"/>
  <c r="O44" i="38" s="1"/>
  <c r="BR43" i="46"/>
  <c r="BB43" i="46"/>
  <c r="AP43" i="46"/>
  <c r="AD43" i="46"/>
  <c r="R43" i="46"/>
  <c r="BN43" i="46"/>
  <c r="BA43" i="46"/>
  <c r="AO43" i="46"/>
  <c r="AC43" i="46"/>
  <c r="Q43" i="46"/>
  <c r="BM43" i="46"/>
  <c r="AZ43" i="46"/>
  <c r="AN43" i="46"/>
  <c r="AB43" i="46"/>
  <c r="M43" i="46"/>
  <c r="BL43" i="46"/>
  <c r="AY43" i="46"/>
  <c r="AM43" i="46"/>
  <c r="AA43" i="46"/>
  <c r="G43" i="46"/>
  <c r="BZ43" i="46"/>
  <c r="BK43" i="46"/>
  <c r="AX43" i="46"/>
  <c r="AL43" i="46"/>
  <c r="Z43" i="46"/>
  <c r="F43" i="46"/>
  <c r="BY43" i="46"/>
  <c r="BJ43" i="46"/>
  <c r="AW43" i="46"/>
  <c r="AK43" i="46"/>
  <c r="Y43" i="46"/>
  <c r="E43" i="46"/>
  <c r="BX43" i="46"/>
  <c r="BI43" i="46"/>
  <c r="AV43" i="46"/>
  <c r="AJ43" i="46"/>
  <c r="X43" i="46"/>
  <c r="D43" i="46"/>
  <c r="BW43" i="46"/>
  <c r="BH43" i="46"/>
  <c r="AU43" i="46"/>
  <c r="AI43" i="46"/>
  <c r="W43" i="46"/>
  <c r="C43" i="46"/>
  <c r="BV43" i="46"/>
  <c r="BG43" i="46"/>
  <c r="AT43" i="46"/>
  <c r="AH43" i="46"/>
  <c r="V43" i="46"/>
  <c r="B43" i="46"/>
  <c r="BU43" i="46"/>
  <c r="BF43" i="46"/>
  <c r="AS43" i="46"/>
  <c r="AG43" i="46"/>
  <c r="U43" i="46"/>
  <c r="A43" i="46"/>
  <c r="BT43" i="46"/>
  <c r="BE43" i="46"/>
  <c r="AR43" i="46"/>
  <c r="AF43" i="46"/>
  <c r="T43" i="46"/>
  <c r="BS43" i="46"/>
  <c r="BC43" i="46"/>
  <c r="AQ43" i="46"/>
  <c r="AE43" i="46"/>
  <c r="S43" i="46"/>
  <c r="BN30" i="46"/>
  <c r="X31" i="38"/>
  <c r="U31" i="38"/>
  <c r="V31" i="38"/>
  <c r="T31" i="38" a="1"/>
  <c r="T31" i="38" s="1"/>
  <c r="S31" i="38"/>
  <c r="R31" i="38"/>
  <c r="Q31" i="38"/>
  <c r="M31" i="38" a="1"/>
  <c r="M31" i="38" s="1"/>
  <c r="N31" i="38" a="1"/>
  <c r="N31" i="38" s="1"/>
  <c r="O31" i="38" a="1"/>
  <c r="O31" i="38" s="1"/>
  <c r="P31" i="38"/>
  <c r="W31" i="38"/>
  <c r="BY30" i="46"/>
  <c r="BI30" i="46"/>
  <c r="AV30" i="46"/>
  <c r="AJ30" i="46"/>
  <c r="X30" i="46"/>
  <c r="D30" i="46"/>
  <c r="BX30" i="46"/>
  <c r="BH30" i="46"/>
  <c r="AU30" i="46"/>
  <c r="AI30" i="46"/>
  <c r="W30" i="46"/>
  <c r="C30" i="46"/>
  <c r="BW30" i="46"/>
  <c r="BG30" i="46"/>
  <c r="AT30" i="46"/>
  <c r="AH30" i="46"/>
  <c r="V30" i="46"/>
  <c r="B30" i="46"/>
  <c r="BV30" i="46"/>
  <c r="BF30" i="46"/>
  <c r="AS30" i="46"/>
  <c r="AG30" i="46"/>
  <c r="U30" i="46"/>
  <c r="A30" i="46"/>
  <c r="BU30" i="46"/>
  <c r="BE30" i="46"/>
  <c r="AR30" i="46"/>
  <c r="AF30" i="46"/>
  <c r="T30" i="46"/>
  <c r="BT30" i="46"/>
  <c r="BC30" i="46"/>
  <c r="AQ30" i="46"/>
  <c r="AE30" i="46"/>
  <c r="S30" i="46"/>
  <c r="BS30" i="46"/>
  <c r="BB30" i="46"/>
  <c r="AP30" i="46"/>
  <c r="AD30" i="46"/>
  <c r="R30" i="46"/>
  <c r="BR30" i="46"/>
  <c r="BA30" i="46"/>
  <c r="AO30" i="46"/>
  <c r="AC30" i="46"/>
  <c r="Q30" i="46"/>
  <c r="BM30" i="46"/>
  <c r="AZ30" i="46"/>
  <c r="M30" i="46"/>
  <c r="AY30" i="46"/>
  <c r="G30" i="46"/>
  <c r="AX30" i="46"/>
  <c r="F30" i="46"/>
  <c r="AW30" i="46"/>
  <c r="E30" i="46"/>
  <c r="AN30" i="46"/>
  <c r="AM30" i="46"/>
  <c r="BK30" i="46"/>
  <c r="AL30" i="46"/>
  <c r="AK30" i="46"/>
  <c r="BZ30" i="46"/>
  <c r="AB30" i="46"/>
  <c r="BL30" i="46"/>
  <c r="AA30" i="46"/>
  <c r="Z30" i="46"/>
  <c r="BJ30" i="46"/>
  <c r="Y30" i="46"/>
  <c r="X29" i="46"/>
  <c r="BY29" i="46"/>
  <c r="D29" i="46"/>
  <c r="AK29" i="46"/>
  <c r="AV29" i="46"/>
  <c r="AW29" i="46"/>
  <c r="BJ29" i="46"/>
  <c r="F29" i="46"/>
  <c r="Z29" i="46"/>
  <c r="AL29" i="46"/>
  <c r="AX29" i="46"/>
  <c r="BK29" i="46"/>
  <c r="BZ29" i="46"/>
  <c r="M30" i="38" a="1"/>
  <c r="M30" i="38" s="1"/>
  <c r="G29" i="46"/>
  <c r="AA29" i="46"/>
  <c r="AM29" i="46"/>
  <c r="AY29" i="46"/>
  <c r="BL29" i="46"/>
  <c r="N30" i="38" a="1"/>
  <c r="N30" i="38" s="1"/>
  <c r="M29" i="46"/>
  <c r="AB29" i="46"/>
  <c r="AN29" i="46"/>
  <c r="AZ29" i="46"/>
  <c r="BM29" i="46"/>
  <c r="P30" i="38"/>
  <c r="Q29" i="46"/>
  <c r="AC29" i="46"/>
  <c r="AO29" i="46"/>
  <c r="BA29" i="46"/>
  <c r="BN29" i="46"/>
  <c r="Q30" i="38"/>
  <c r="R29" i="46"/>
  <c r="AD29" i="46"/>
  <c r="AP29" i="46"/>
  <c r="BB29" i="46"/>
  <c r="BR29" i="46"/>
  <c r="R30" i="38"/>
  <c r="S29" i="46"/>
  <c r="AE29" i="46"/>
  <c r="AQ29" i="46"/>
  <c r="BC29" i="46"/>
  <c r="BS29" i="46"/>
  <c r="S30" i="38"/>
  <c r="T29" i="46"/>
  <c r="AF29" i="46"/>
  <c r="AR29" i="46"/>
  <c r="BE29" i="46"/>
  <c r="BT29" i="46"/>
  <c r="T30" i="38" a="1"/>
  <c r="T30" i="38" s="1"/>
  <c r="A29" i="46"/>
  <c r="U29" i="46"/>
  <c r="AG29" i="46"/>
  <c r="AS29" i="46"/>
  <c r="BF29" i="46"/>
  <c r="BU29" i="46"/>
  <c r="U30" i="38"/>
  <c r="B29" i="46"/>
  <c r="V29" i="46"/>
  <c r="AH29" i="46"/>
  <c r="AT29" i="46"/>
  <c r="BG29" i="46"/>
  <c r="BV29" i="46"/>
  <c r="W30" i="38"/>
  <c r="C29" i="46"/>
  <c r="W29" i="46"/>
  <c r="AI29" i="46"/>
  <c r="AU29" i="46"/>
  <c r="BH29" i="46"/>
  <c r="BW29" i="46"/>
  <c r="O30" i="38" a="1"/>
  <c r="O30" i="38" s="1"/>
  <c r="V30" i="38"/>
  <c r="Y29" i="46"/>
  <c r="AJ29" i="46"/>
  <c r="X30" i="38"/>
  <c r="BX29" i="46"/>
  <c r="E29" i="46"/>
  <c r="BI29" i="46"/>
  <c r="P29" i="38"/>
  <c r="U29" i="38"/>
  <c r="X29" i="38"/>
  <c r="AZ28" i="46"/>
  <c r="AS28" i="46"/>
  <c r="M28" i="46"/>
  <c r="A28" i="46"/>
  <c r="BF28" i="46"/>
  <c r="AO28" i="46"/>
  <c r="V28" i="46"/>
  <c r="W28" i="46"/>
  <c r="BX28" i="46"/>
  <c r="AA28" i="46"/>
  <c r="AB28" i="46"/>
  <c r="BA28" i="46"/>
  <c r="AH28" i="46"/>
  <c r="AI28" i="46"/>
  <c r="AM28" i="46"/>
  <c r="O29" i="38" a="1"/>
  <c r="O29" i="38" s="1"/>
  <c r="BM28" i="46"/>
  <c r="AG28" i="46"/>
  <c r="BN28" i="46"/>
  <c r="T28" i="46"/>
  <c r="AT28" i="46"/>
  <c r="AU28" i="46"/>
  <c r="AY28" i="46"/>
  <c r="BU28" i="46"/>
  <c r="AN28" i="46"/>
  <c r="AF28" i="46"/>
  <c r="BG28" i="46"/>
  <c r="BH28" i="46"/>
  <c r="F28" i="46"/>
  <c r="BL28" i="46"/>
  <c r="S28" i="46"/>
  <c r="AR28" i="46"/>
  <c r="BV28" i="46"/>
  <c r="BW28" i="46"/>
  <c r="E28" i="46"/>
  <c r="Z28" i="46"/>
  <c r="AE28" i="46"/>
  <c r="BE28" i="46"/>
  <c r="Y28" i="46"/>
  <c r="AL28" i="46"/>
  <c r="R28" i="46"/>
  <c r="AQ28" i="46"/>
  <c r="BT28" i="46"/>
  <c r="AK28" i="46"/>
  <c r="AX28" i="46"/>
  <c r="AD28" i="46"/>
  <c r="BC28" i="46"/>
  <c r="D28" i="46"/>
  <c r="AW28" i="46"/>
  <c r="BK28" i="46"/>
  <c r="S29" i="38"/>
  <c r="W29" i="38"/>
  <c r="AP28" i="46"/>
  <c r="BS28" i="46"/>
  <c r="X28" i="46"/>
  <c r="BJ28" i="46"/>
  <c r="BZ28" i="46"/>
  <c r="N29" i="38" a="1"/>
  <c r="N29" i="38" s="1"/>
  <c r="V29" i="38"/>
  <c r="BB28" i="46"/>
  <c r="AJ28" i="46"/>
  <c r="BY28" i="46"/>
  <c r="U28" i="46"/>
  <c r="Q28" i="46"/>
  <c r="BR28" i="46"/>
  <c r="AV28" i="46"/>
  <c r="Q29" i="38"/>
  <c r="R29" i="38"/>
  <c r="T29" i="38" a="1"/>
  <c r="T29" i="38" s="1"/>
  <c r="B28" i="46"/>
  <c r="M29" i="38" a="1"/>
  <c r="M29" i="38" s="1"/>
  <c r="BI28" i="46"/>
  <c r="G28" i="46"/>
  <c r="AC28" i="46"/>
  <c r="C28" i="46"/>
  <c r="G4" i="46"/>
  <c r="R4" i="46"/>
  <c r="F4" i="46"/>
  <c r="S4" i="46"/>
  <c r="D4" i="46"/>
  <c r="Q4" i="46"/>
  <c r="T4" i="46"/>
  <c r="U4" i="46"/>
  <c r="M4" i="46"/>
  <c r="A4" i="46"/>
  <c r="C4" i="46"/>
  <c r="W10" i="46"/>
  <c r="AG10" i="46"/>
  <c r="Q10" i="46"/>
  <c r="P11" i="38"/>
  <c r="Q11" i="38"/>
  <c r="T11" i="38" a="1"/>
  <c r="T11" i="38" s="1"/>
  <c r="N11" i="38" a="1"/>
  <c r="N11" i="38" s="1"/>
  <c r="S11" i="38"/>
  <c r="U11" i="38"/>
  <c r="W11" i="38"/>
  <c r="BZ10" i="46"/>
  <c r="A10" i="46"/>
  <c r="B10" i="46"/>
  <c r="C10" i="46"/>
  <c r="D10" i="46"/>
  <c r="E10" i="46"/>
  <c r="AZ10" i="46"/>
  <c r="AW10" i="46"/>
  <c r="AX10" i="46"/>
  <c r="BU10" i="46"/>
  <c r="BX10" i="46"/>
  <c r="BT10" i="46"/>
  <c r="BV10" i="46"/>
  <c r="BM10" i="46"/>
  <c r="BN10" i="46"/>
  <c r="BS10" i="46"/>
  <c r="BW10" i="46"/>
  <c r="G10" i="46"/>
  <c r="BJ10" i="46"/>
  <c r="AE10" i="46"/>
  <c r="AQ10" i="46"/>
  <c r="F10" i="46"/>
  <c r="Y10" i="46"/>
  <c r="M10" i="46"/>
  <c r="AR10" i="46"/>
  <c r="S10" i="46"/>
  <c r="BR10" i="46"/>
  <c r="AF10" i="46"/>
  <c r="BG10" i="46"/>
  <c r="BB10" i="46"/>
  <c r="AU10" i="46"/>
  <c r="T10" i="46"/>
  <c r="AO10" i="46"/>
  <c r="AM10" i="46"/>
  <c r="AY10" i="46"/>
  <c r="AI10" i="46"/>
  <c r="R11" i="38"/>
  <c r="O11" i="38" a="1"/>
  <c r="O11" i="38" s="1"/>
  <c r="AC10" i="46"/>
  <c r="AA10" i="46"/>
  <c r="AK10" i="46"/>
  <c r="X11" i="38"/>
  <c r="U10" i="46"/>
  <c r="AS10" i="46"/>
  <c r="BK10" i="46"/>
  <c r="BH10" i="46"/>
  <c r="BL10" i="46"/>
  <c r="AP10" i="46"/>
  <c r="AV10" i="46"/>
  <c r="AT10" i="46"/>
  <c r="M11" i="38" a="1"/>
  <c r="M11" i="38" s="1"/>
  <c r="AD10" i="46"/>
  <c r="BE10" i="46"/>
  <c r="BA10" i="46"/>
  <c r="AJ10" i="46"/>
  <c r="AH10" i="46"/>
  <c r="BI10" i="46"/>
  <c r="R10" i="46"/>
  <c r="AN10" i="46"/>
  <c r="AL10" i="46"/>
  <c r="X10" i="46"/>
  <c r="V10" i="46"/>
  <c r="AB10" i="46"/>
  <c r="Z10" i="46"/>
  <c r="BF10" i="46"/>
  <c r="BY10" i="46"/>
  <c r="BC10" i="46"/>
  <c r="U22" i="38"/>
  <c r="V22" i="38"/>
  <c r="W22" i="38"/>
  <c r="Q22" i="38"/>
  <c r="P22" i="38"/>
  <c r="N22" i="38" a="1"/>
  <c r="N22" i="38" s="1"/>
  <c r="M22" i="38" a="1"/>
  <c r="M22" i="38" s="1"/>
  <c r="O22" i="38" a="1"/>
  <c r="O22" i="38" s="1"/>
  <c r="R22" i="38"/>
  <c r="S22" i="38"/>
  <c r="T22" i="38" a="1"/>
  <c r="T22" i="38" s="1"/>
  <c r="X22" i="38"/>
  <c r="BW21" i="46"/>
  <c r="BH21" i="46"/>
  <c r="AU21" i="46"/>
  <c r="AI21" i="46"/>
  <c r="W21" i="46"/>
  <c r="C21" i="46"/>
  <c r="BV21" i="46"/>
  <c r="BG21" i="46"/>
  <c r="AT21" i="46"/>
  <c r="AH21" i="46"/>
  <c r="V21" i="46"/>
  <c r="B21" i="46"/>
  <c r="BU21" i="46"/>
  <c r="BF21" i="46"/>
  <c r="AS21" i="46"/>
  <c r="AG21" i="46"/>
  <c r="U21" i="46"/>
  <c r="A21" i="46"/>
  <c r="BT21" i="46"/>
  <c r="BE21" i="46"/>
  <c r="AR21" i="46"/>
  <c r="AF21" i="46"/>
  <c r="T21" i="46"/>
  <c r="BS21" i="46"/>
  <c r="BC21" i="46"/>
  <c r="AQ21" i="46"/>
  <c r="AE21" i="46"/>
  <c r="S21" i="46"/>
  <c r="BR21" i="46"/>
  <c r="BB21" i="46"/>
  <c r="AP21" i="46"/>
  <c r="AD21" i="46"/>
  <c r="R21" i="46"/>
  <c r="BN21" i="46"/>
  <c r="BA21" i="46"/>
  <c r="AO21" i="46"/>
  <c r="AC21" i="46"/>
  <c r="Q21" i="46"/>
  <c r="BM21" i="46"/>
  <c r="AL21" i="46"/>
  <c r="D21" i="46"/>
  <c r="BL21" i="46"/>
  <c r="AK21" i="46"/>
  <c r="BK21" i="46"/>
  <c r="AJ21" i="46"/>
  <c r="BJ21" i="46"/>
  <c r="AB21" i="46"/>
  <c r="BI21" i="46"/>
  <c r="AA21" i="46"/>
  <c r="AZ21" i="46"/>
  <c r="Z21" i="46"/>
  <c r="AY21" i="46"/>
  <c r="Y21" i="46"/>
  <c r="AX21" i="46"/>
  <c r="X21" i="46"/>
  <c r="AW21" i="46"/>
  <c r="M21" i="46"/>
  <c r="BZ21" i="46"/>
  <c r="AV21" i="46"/>
  <c r="G21" i="46"/>
  <c r="BX21" i="46"/>
  <c r="AM21" i="46"/>
  <c r="E21" i="46"/>
  <c r="F21" i="46"/>
  <c r="AN21" i="46"/>
  <c r="BY21" i="46"/>
  <c r="O38" i="38" a="1"/>
  <c r="O38" i="38" s="1"/>
  <c r="M38" i="38" a="1"/>
  <c r="M38" i="38" s="1"/>
  <c r="N38" i="38" a="1"/>
  <c r="N38" i="38" s="1"/>
  <c r="Q38" i="38"/>
  <c r="X38" i="38"/>
  <c r="W38" i="38"/>
  <c r="R38" i="38"/>
  <c r="S38" i="38"/>
  <c r="T38" i="38" a="1"/>
  <c r="T38" i="38" s="1"/>
  <c r="U38" i="38"/>
  <c r="V38" i="38"/>
  <c r="BW37" i="46"/>
  <c r="BH37" i="46"/>
  <c r="AU37" i="46"/>
  <c r="AI37" i="46"/>
  <c r="W37" i="46"/>
  <c r="C37" i="46"/>
  <c r="BV37" i="46"/>
  <c r="BG37" i="46"/>
  <c r="AT37" i="46"/>
  <c r="AH37" i="46"/>
  <c r="V37" i="46"/>
  <c r="B37" i="46"/>
  <c r="BU37" i="46"/>
  <c r="BF37" i="46"/>
  <c r="AS37" i="46"/>
  <c r="AG37" i="46"/>
  <c r="U37" i="46"/>
  <c r="A37" i="46"/>
  <c r="BT37" i="46"/>
  <c r="BE37" i="46"/>
  <c r="AR37" i="46"/>
  <c r="AF37" i="46"/>
  <c r="T37" i="46"/>
  <c r="BS37" i="46"/>
  <c r="BC37" i="46"/>
  <c r="AQ37" i="46"/>
  <c r="AE37" i="46"/>
  <c r="S37" i="46"/>
  <c r="BR37" i="46"/>
  <c r="BB37" i="46"/>
  <c r="AP37" i="46"/>
  <c r="AD37" i="46"/>
  <c r="R37" i="46"/>
  <c r="BN37" i="46"/>
  <c r="BA37" i="46"/>
  <c r="AO37" i="46"/>
  <c r="AC37" i="46"/>
  <c r="Q37" i="46"/>
  <c r="BM37" i="46"/>
  <c r="AZ37" i="46"/>
  <c r="AN37" i="46"/>
  <c r="AB37" i="46"/>
  <c r="M37" i="46"/>
  <c r="BL37" i="46"/>
  <c r="AY37" i="46"/>
  <c r="AM37" i="46"/>
  <c r="AA37" i="46"/>
  <c r="G37" i="46"/>
  <c r="BZ37" i="46"/>
  <c r="Z37" i="46"/>
  <c r="BY37" i="46"/>
  <c r="Y37" i="46"/>
  <c r="BX37" i="46"/>
  <c r="X37" i="46"/>
  <c r="BK37" i="46"/>
  <c r="F37" i="46"/>
  <c r="BJ37" i="46"/>
  <c r="E37" i="46"/>
  <c r="BI37" i="46"/>
  <c r="D37" i="46"/>
  <c r="AX37" i="46"/>
  <c r="AK37" i="46"/>
  <c r="AW37" i="46"/>
  <c r="AV37" i="46"/>
  <c r="AL37" i="46"/>
  <c r="AJ37" i="46"/>
  <c r="P38" i="38"/>
  <c r="N8" i="38" a="1"/>
  <c r="N8" i="38" s="1"/>
  <c r="D7" i="46"/>
  <c r="A7" i="46"/>
  <c r="C7" i="46"/>
  <c r="BS7" i="46"/>
  <c r="BT7" i="46"/>
  <c r="BU7" i="46"/>
  <c r="BV7" i="46"/>
  <c r="BW7" i="46"/>
  <c r="BX7" i="46"/>
  <c r="BY7" i="46"/>
  <c r="BZ7" i="46"/>
  <c r="B7" i="46"/>
  <c r="E7" i="46"/>
  <c r="M20" i="38" a="1"/>
  <c r="M20" i="38" s="1"/>
  <c r="N20" i="38" a="1"/>
  <c r="N20" i="38" s="1"/>
  <c r="O20" i="38" a="1"/>
  <c r="O20" i="38" s="1"/>
  <c r="W20" i="38"/>
  <c r="X20" i="38"/>
  <c r="P20" i="38"/>
  <c r="R20" i="38"/>
  <c r="U20" i="38"/>
  <c r="T20" i="38" a="1"/>
  <c r="T20" i="38" s="1"/>
  <c r="S20" i="38"/>
  <c r="Q20" i="38"/>
  <c r="V20" i="38"/>
  <c r="BY19" i="46"/>
  <c r="BJ19" i="46"/>
  <c r="AW19" i="46"/>
  <c r="AK19" i="46"/>
  <c r="BX19" i="46"/>
  <c r="BI19" i="46"/>
  <c r="AV19" i="46"/>
  <c r="AJ19" i="46"/>
  <c r="X19" i="46"/>
  <c r="D19" i="46"/>
  <c r="BW19" i="46"/>
  <c r="BH19" i="46"/>
  <c r="AU19" i="46"/>
  <c r="AI19" i="46"/>
  <c r="W19" i="46"/>
  <c r="C19" i="46"/>
  <c r="BV19" i="46"/>
  <c r="BG19" i="46"/>
  <c r="AT19" i="46"/>
  <c r="AH19" i="46"/>
  <c r="V19" i="46"/>
  <c r="B19" i="46"/>
  <c r="BU19" i="46"/>
  <c r="BF19" i="46"/>
  <c r="AS19" i="46"/>
  <c r="AG19" i="46"/>
  <c r="U19" i="46"/>
  <c r="A19" i="46"/>
  <c r="BT19" i="46"/>
  <c r="BE19" i="46"/>
  <c r="AR19" i="46"/>
  <c r="AF19" i="46"/>
  <c r="T19" i="46"/>
  <c r="BS19" i="46"/>
  <c r="BC19" i="46"/>
  <c r="AQ19" i="46"/>
  <c r="AE19" i="46"/>
  <c r="S19" i="46"/>
  <c r="BR19" i="46"/>
  <c r="AN19" i="46"/>
  <c r="G19" i="46"/>
  <c r="BN19" i="46"/>
  <c r="AM19" i="46"/>
  <c r="F19" i="46"/>
  <c r="BM19" i="46"/>
  <c r="AL19" i="46"/>
  <c r="E19" i="46"/>
  <c r="BL19" i="46"/>
  <c r="AD19" i="46"/>
  <c r="BK19" i="46"/>
  <c r="AC19" i="46"/>
  <c r="BB19" i="46"/>
  <c r="AB19" i="46"/>
  <c r="BA19" i="46"/>
  <c r="AA19" i="46"/>
  <c r="AZ19" i="46"/>
  <c r="Z19" i="46"/>
  <c r="AY19" i="46"/>
  <c r="Y19" i="46"/>
  <c r="AX19" i="46"/>
  <c r="R19" i="46"/>
  <c r="BZ19" i="46"/>
  <c r="AO19" i="46"/>
  <c r="M19" i="46"/>
  <c r="AP19" i="46"/>
  <c r="Q19" i="46"/>
  <c r="N26" i="38" a="1"/>
  <c r="N26" i="38" s="1"/>
  <c r="Q26" i="38"/>
  <c r="W26" i="38"/>
  <c r="O26" i="38" a="1"/>
  <c r="O26" i="38" s="1"/>
  <c r="P26" i="38"/>
  <c r="V26" i="38"/>
  <c r="U26" i="38"/>
  <c r="T26" i="38" a="1"/>
  <c r="T26" i="38" s="1"/>
  <c r="S26" i="38"/>
  <c r="R26" i="38"/>
  <c r="M26" i="38" a="1"/>
  <c r="M26" i="38" s="1"/>
  <c r="X26" i="38"/>
  <c r="BT25" i="46"/>
  <c r="BE25" i="46"/>
  <c r="AR25" i="46"/>
  <c r="AF25" i="46"/>
  <c r="T25" i="46"/>
  <c r="BS25" i="46"/>
  <c r="BC25" i="46"/>
  <c r="AQ25" i="46"/>
  <c r="AE25" i="46"/>
  <c r="S25" i="46"/>
  <c r="BR25" i="46"/>
  <c r="BB25" i="46"/>
  <c r="AP25" i="46"/>
  <c r="AD25" i="46"/>
  <c r="R25" i="46"/>
  <c r="BN25" i="46"/>
  <c r="BA25" i="46"/>
  <c r="AO25" i="46"/>
  <c r="AC25" i="46"/>
  <c r="Q25" i="46"/>
  <c r="BM25" i="46"/>
  <c r="AZ25" i="46"/>
  <c r="AN25" i="46"/>
  <c r="AB25" i="46"/>
  <c r="M25" i="46"/>
  <c r="BL25" i="46"/>
  <c r="AY25" i="46"/>
  <c r="AM25" i="46"/>
  <c r="AA25" i="46"/>
  <c r="G25" i="46"/>
  <c r="BZ25" i="46"/>
  <c r="BK25" i="46"/>
  <c r="AX25" i="46"/>
  <c r="AL25" i="46"/>
  <c r="Z25" i="46"/>
  <c r="F25" i="46"/>
  <c r="BY25" i="46"/>
  <c r="BJ25" i="46"/>
  <c r="AW25" i="46"/>
  <c r="AV25" i="46"/>
  <c r="V25" i="46"/>
  <c r="AU25" i="46"/>
  <c r="U25" i="46"/>
  <c r="AT25" i="46"/>
  <c r="E25" i="46"/>
  <c r="AS25" i="46"/>
  <c r="D25" i="46"/>
  <c r="BX25" i="46"/>
  <c r="AK25" i="46"/>
  <c r="C25" i="46"/>
  <c r="BW25" i="46"/>
  <c r="AJ25" i="46"/>
  <c r="B25" i="46"/>
  <c r="BV25" i="46"/>
  <c r="AI25" i="46"/>
  <c r="A25" i="46"/>
  <c r="BU25" i="46"/>
  <c r="AH25" i="46"/>
  <c r="X25" i="46"/>
  <c r="BI25" i="46"/>
  <c r="AG25" i="46"/>
  <c r="BG25" i="46"/>
  <c r="BH25" i="46"/>
  <c r="Y25" i="46"/>
  <c r="BF25" i="46"/>
  <c r="W25" i="46"/>
  <c r="U14" i="38"/>
  <c r="W14" i="38"/>
  <c r="P14" i="38"/>
  <c r="R14" i="38"/>
  <c r="S14" i="38"/>
  <c r="T14" i="38" a="1"/>
  <c r="T14" i="38" s="1"/>
  <c r="Q14" i="38"/>
  <c r="V14" i="38"/>
  <c r="X14" i="38"/>
  <c r="M14" i="38" a="1"/>
  <c r="M14" i="38" s="1"/>
  <c r="N14" i="38" a="1"/>
  <c r="N14" i="38" s="1"/>
  <c r="A13" i="46"/>
  <c r="B13" i="46"/>
  <c r="D13" i="46"/>
  <c r="E13" i="46"/>
  <c r="AW13" i="46"/>
  <c r="AX13" i="46"/>
  <c r="AZ13" i="46"/>
  <c r="C13" i="46"/>
  <c r="O14" i="38" a="1"/>
  <c r="O14" i="38" s="1"/>
  <c r="BR13" i="46"/>
  <c r="BB13" i="46"/>
  <c r="AM13" i="46"/>
  <c r="AA13" i="46"/>
  <c r="G13" i="46"/>
  <c r="BN13" i="46"/>
  <c r="BA13" i="46"/>
  <c r="AL13" i="46"/>
  <c r="Z13" i="46"/>
  <c r="F13" i="46"/>
  <c r="BM13" i="46"/>
  <c r="AY13" i="46"/>
  <c r="AK13" i="46"/>
  <c r="Y13" i="46"/>
  <c r="BL13" i="46"/>
  <c r="AV13" i="46"/>
  <c r="AJ13" i="46"/>
  <c r="X13" i="46"/>
  <c r="BZ13" i="46"/>
  <c r="BK13" i="46"/>
  <c r="AU13" i="46"/>
  <c r="AI13" i="46"/>
  <c r="W13" i="46"/>
  <c r="BY13" i="46"/>
  <c r="BJ13" i="46"/>
  <c r="AT13" i="46"/>
  <c r="AH13" i="46"/>
  <c r="V13" i="46"/>
  <c r="BX13" i="46"/>
  <c r="BI13" i="46"/>
  <c r="AS13" i="46"/>
  <c r="AG13" i="46"/>
  <c r="U13" i="46"/>
  <c r="BW13" i="46"/>
  <c r="BH13" i="46"/>
  <c r="AR13" i="46"/>
  <c r="AF13" i="46"/>
  <c r="T13" i="46"/>
  <c r="BV13" i="46"/>
  <c r="BG13" i="46"/>
  <c r="AQ13" i="46"/>
  <c r="AE13" i="46"/>
  <c r="S13" i="46"/>
  <c r="BU13" i="46"/>
  <c r="BF13" i="46"/>
  <c r="AP13" i="46"/>
  <c r="AD13" i="46"/>
  <c r="R13" i="46"/>
  <c r="BS13" i="46"/>
  <c r="BC13" i="46"/>
  <c r="AN13" i="46"/>
  <c r="AB13" i="46"/>
  <c r="M13" i="46"/>
  <c r="Q13" i="46"/>
  <c r="BT13" i="46"/>
  <c r="BE13" i="46"/>
  <c r="AC13" i="46"/>
  <c r="AO13" i="46"/>
  <c r="M18" i="38" a="1"/>
  <c r="M18" i="38" s="1"/>
  <c r="N18" i="38" a="1"/>
  <c r="N18" i="38" s="1"/>
  <c r="O18" i="38" a="1"/>
  <c r="O18" i="38" s="1"/>
  <c r="U18" i="38"/>
  <c r="W18" i="38"/>
  <c r="X18" i="38"/>
  <c r="P18" i="38"/>
  <c r="Q18" i="38"/>
  <c r="R18" i="38"/>
  <c r="S18" i="38"/>
  <c r="T18" i="38" a="1"/>
  <c r="T18" i="38" s="1"/>
  <c r="V18" i="38"/>
  <c r="BT17" i="46"/>
  <c r="BS17" i="46"/>
  <c r="BR17" i="46"/>
  <c r="BB17" i="46"/>
  <c r="BN17" i="46"/>
  <c r="BA17" i="46"/>
  <c r="BH17" i="46"/>
  <c r="AS17" i="46"/>
  <c r="AG17" i="46"/>
  <c r="U17" i="46"/>
  <c r="A17" i="46"/>
  <c r="BZ17" i="46"/>
  <c r="BG17" i="46"/>
  <c r="AR17" i="46"/>
  <c r="AF17" i="46"/>
  <c r="T17" i="46"/>
  <c r="BY17" i="46"/>
  <c r="BF17" i="46"/>
  <c r="AQ17" i="46"/>
  <c r="AE17" i="46"/>
  <c r="S17" i="46"/>
  <c r="BX17" i="46"/>
  <c r="BE17" i="46"/>
  <c r="AP17" i="46"/>
  <c r="AD17" i="46"/>
  <c r="R17" i="46"/>
  <c r="BW17" i="46"/>
  <c r="BC17" i="46"/>
  <c r="AO17" i="46"/>
  <c r="AC17" i="46"/>
  <c r="Q17" i="46"/>
  <c r="BV17" i="46"/>
  <c r="AZ17" i="46"/>
  <c r="AN17" i="46"/>
  <c r="AB17" i="46"/>
  <c r="M17" i="46"/>
  <c r="BU17" i="46"/>
  <c r="AY17" i="46"/>
  <c r="AM17" i="46"/>
  <c r="AA17" i="46"/>
  <c r="G17" i="46"/>
  <c r="BM17" i="46"/>
  <c r="AX17" i="46"/>
  <c r="AL17" i="46"/>
  <c r="Z17" i="46"/>
  <c r="F17" i="46"/>
  <c r="BL17" i="46"/>
  <c r="AW17" i="46"/>
  <c r="AK17" i="46"/>
  <c r="Y17" i="46"/>
  <c r="E17" i="46"/>
  <c r="BK17" i="46"/>
  <c r="AV17" i="46"/>
  <c r="AJ17" i="46"/>
  <c r="X17" i="46"/>
  <c r="D17" i="46"/>
  <c r="BI17" i="46"/>
  <c r="AT17" i="46"/>
  <c r="AH17" i="46"/>
  <c r="V17" i="46"/>
  <c r="B17" i="46"/>
  <c r="C17" i="46"/>
  <c r="W17" i="46"/>
  <c r="BJ17" i="46"/>
  <c r="AI17" i="46"/>
  <c r="AU17" i="46"/>
  <c r="O20" i="42"/>
  <c r="O14" i="42"/>
  <c r="O27" i="42"/>
  <c r="O15" i="42"/>
  <c r="O22" i="42"/>
  <c r="O16" i="42"/>
  <c r="O29" i="42"/>
  <c r="O17" i="42"/>
  <c r="O24" i="42"/>
  <c r="O18" i="42"/>
  <c r="O3" i="42"/>
  <c r="O19" i="42"/>
  <c r="O12" i="42"/>
  <c r="O10" i="42"/>
  <c r="O8" i="42"/>
  <c r="O6" i="42"/>
  <c r="O4" i="42"/>
  <c r="O26" i="42"/>
  <c r="O13" i="42"/>
  <c r="O21" i="42"/>
  <c r="O28" i="42"/>
  <c r="O23" i="42"/>
  <c r="O30" i="42"/>
  <c r="O25" i="42"/>
  <c r="O11" i="42"/>
  <c r="O9" i="42"/>
  <c r="O7" i="42"/>
  <c r="O5" i="42"/>
  <c r="M5" i="46"/>
  <c r="T5" i="46"/>
  <c r="U5" i="46"/>
  <c r="G5" i="46"/>
  <c r="S5" i="46"/>
  <c r="A5" i="46"/>
  <c r="C5" i="46"/>
  <c r="D5" i="46"/>
  <c r="Q5" i="46"/>
  <c r="F5" i="46"/>
  <c r="R5" i="46"/>
  <c r="BS22" i="46"/>
  <c r="A22" i="46"/>
  <c r="AR22" i="46"/>
  <c r="BC22" i="46"/>
  <c r="BE22" i="46"/>
  <c r="BT22" i="46"/>
  <c r="AQ22" i="46"/>
  <c r="X23" i="38"/>
  <c r="BR22" i="46"/>
  <c r="BB22" i="46"/>
  <c r="AP22" i="46"/>
  <c r="AD22" i="46"/>
  <c r="R22" i="46"/>
  <c r="BN22" i="46"/>
  <c r="BA22" i="46"/>
  <c r="AO22" i="46"/>
  <c r="AC22" i="46"/>
  <c r="Q22" i="46"/>
  <c r="BM22" i="46"/>
  <c r="AZ22" i="46"/>
  <c r="AN22" i="46"/>
  <c r="AB22" i="46"/>
  <c r="M22" i="46"/>
  <c r="BL22" i="46"/>
  <c r="AY22" i="46"/>
  <c r="AM22" i="46"/>
  <c r="AA22" i="46"/>
  <c r="G22" i="46"/>
  <c r="BZ22" i="46"/>
  <c r="BK22" i="46"/>
  <c r="AX22" i="46"/>
  <c r="AL22" i="46"/>
  <c r="Z22" i="46"/>
  <c r="F22" i="46"/>
  <c r="BY22" i="46"/>
  <c r="BJ22" i="46"/>
  <c r="AW22" i="46"/>
  <c r="AK22" i="46"/>
  <c r="Y22" i="46"/>
  <c r="E22" i="46"/>
  <c r="BX22" i="46"/>
  <c r="BI22" i="46"/>
  <c r="AV22" i="46"/>
  <c r="AJ22" i="46"/>
  <c r="X22" i="46"/>
  <c r="D22" i="46"/>
  <c r="BW22" i="46"/>
  <c r="BH22" i="46"/>
  <c r="AU22" i="46"/>
  <c r="AI22" i="46"/>
  <c r="W22" i="46"/>
  <c r="C22" i="46"/>
  <c r="O23" i="38" a="1"/>
  <c r="O23" i="38" s="1"/>
  <c r="BV22" i="46"/>
  <c r="BG22" i="46"/>
  <c r="AT22" i="46"/>
  <c r="AH22" i="46"/>
  <c r="V22" i="46"/>
  <c r="B22" i="46"/>
  <c r="BU22" i="46"/>
  <c r="BF22" i="46"/>
  <c r="AS22" i="46"/>
  <c r="AG22" i="46"/>
  <c r="S22" i="46"/>
  <c r="T22" i="46"/>
  <c r="U22" i="46"/>
  <c r="AE22" i="46"/>
  <c r="AF22" i="46"/>
  <c r="P23" i="38"/>
  <c r="Q23" i="38"/>
  <c r="R23" i="38"/>
  <c r="S23" i="38"/>
  <c r="T23" i="38" a="1"/>
  <c r="T23" i="38" s="1"/>
  <c r="M23" i="38" a="1"/>
  <c r="M23" i="38" s="1"/>
  <c r="N23" i="38" a="1"/>
  <c r="N23" i="38" s="1"/>
  <c r="U23" i="38"/>
  <c r="V23" i="38"/>
  <c r="W23" i="38"/>
  <c r="Q31" i="46"/>
  <c r="AC31" i="46"/>
  <c r="AO31" i="46"/>
  <c r="BA31" i="46"/>
  <c r="BN31" i="46"/>
  <c r="R31" i="46"/>
  <c r="AD31" i="46"/>
  <c r="AP31" i="46"/>
  <c r="BB31" i="46"/>
  <c r="BR31" i="46"/>
  <c r="S31" i="46"/>
  <c r="AE31" i="46"/>
  <c r="AQ31" i="46"/>
  <c r="BC31" i="46"/>
  <c r="BS31" i="46"/>
  <c r="T31" i="46"/>
  <c r="AF31" i="46"/>
  <c r="AR31" i="46"/>
  <c r="BE31" i="46"/>
  <c r="BT31" i="46"/>
  <c r="B31" i="46"/>
  <c r="V31" i="46"/>
  <c r="AH31" i="46"/>
  <c r="AT31" i="46"/>
  <c r="BG31" i="46"/>
  <c r="BV31" i="46"/>
  <c r="C31" i="46"/>
  <c r="W31" i="46"/>
  <c r="AI31" i="46"/>
  <c r="AU31" i="46"/>
  <c r="BH31" i="46"/>
  <c r="BW31" i="46"/>
  <c r="D31" i="46"/>
  <c r="X31" i="46"/>
  <c r="AJ31" i="46"/>
  <c r="AV31" i="46"/>
  <c r="BI31" i="46"/>
  <c r="BX31" i="46"/>
  <c r="E31" i="46"/>
  <c r="Y31" i="46"/>
  <c r="AK31" i="46"/>
  <c r="AW31" i="46"/>
  <c r="BJ31" i="46"/>
  <c r="BY31" i="46"/>
  <c r="F31" i="46"/>
  <c r="Z31" i="46"/>
  <c r="AL31" i="46"/>
  <c r="AX31" i="46"/>
  <c r="BK31" i="46"/>
  <c r="BZ31" i="46"/>
  <c r="G31" i="46"/>
  <c r="AA31" i="46"/>
  <c r="AM31" i="46"/>
  <c r="AY31" i="46"/>
  <c r="BL31" i="46"/>
  <c r="U32" i="38"/>
  <c r="P32" i="38"/>
  <c r="Q32" i="38"/>
  <c r="R32" i="38"/>
  <c r="S32" i="38"/>
  <c r="T32" i="38" a="1"/>
  <c r="T32" i="38" s="1"/>
  <c r="W32" i="38"/>
  <c r="V32" i="38"/>
  <c r="X32" i="38"/>
  <c r="M32" i="38" a="1"/>
  <c r="M32" i="38" s="1"/>
  <c r="N32" i="38" a="1"/>
  <c r="N32" i="38" s="1"/>
  <c r="O32" i="38" a="1"/>
  <c r="O32" i="38" s="1"/>
  <c r="AN31" i="46"/>
  <c r="AG31" i="46"/>
  <c r="AB31" i="46"/>
  <c r="U31" i="46"/>
  <c r="M31" i="46"/>
  <c r="A31" i="46"/>
  <c r="BU31" i="46"/>
  <c r="BM31" i="46"/>
  <c r="BF31" i="46"/>
  <c r="AZ31" i="46"/>
  <c r="AS31" i="46"/>
  <c r="E38" i="46"/>
  <c r="Y38" i="46"/>
  <c r="AK38" i="46"/>
  <c r="AW38" i="46"/>
  <c r="BJ38" i="46"/>
  <c r="BY38" i="46"/>
  <c r="F38" i="46"/>
  <c r="Z38" i="46"/>
  <c r="AL38" i="46"/>
  <c r="AX38" i="46"/>
  <c r="BK38" i="46"/>
  <c r="BZ38" i="46"/>
  <c r="G38" i="46"/>
  <c r="AA38" i="46"/>
  <c r="AM38" i="46"/>
  <c r="AY38" i="46"/>
  <c r="BL38" i="46"/>
  <c r="M38" i="46"/>
  <c r="AB38" i="46"/>
  <c r="AN38" i="46"/>
  <c r="AZ38" i="46"/>
  <c r="BM38" i="46"/>
  <c r="R38" i="46"/>
  <c r="AD38" i="46"/>
  <c r="AP38" i="46"/>
  <c r="BB38" i="46"/>
  <c r="BR38" i="46"/>
  <c r="S38" i="46"/>
  <c r="AE38" i="46"/>
  <c r="AQ38" i="46"/>
  <c r="BC38" i="46"/>
  <c r="BS38" i="46"/>
  <c r="T38" i="46"/>
  <c r="AF38" i="46"/>
  <c r="AR38" i="46"/>
  <c r="BE38" i="46"/>
  <c r="BT38" i="46"/>
  <c r="A38" i="46"/>
  <c r="U38" i="46"/>
  <c r="AG38" i="46"/>
  <c r="AS38" i="46"/>
  <c r="BF38" i="46"/>
  <c r="BU38" i="46"/>
  <c r="B38" i="46"/>
  <c r="V38" i="46"/>
  <c r="AH38" i="46"/>
  <c r="AT38" i="46"/>
  <c r="BG38" i="46"/>
  <c r="BV38" i="46"/>
  <c r="C38" i="46"/>
  <c r="W38" i="46"/>
  <c r="AI38" i="46"/>
  <c r="AU38" i="46"/>
  <c r="BH38" i="46"/>
  <c r="BW38" i="46"/>
  <c r="X39" i="38"/>
  <c r="R39" i="38"/>
  <c r="Q39" i="38"/>
  <c r="P39" i="38"/>
  <c r="O39" i="38" a="1"/>
  <c r="O39" i="38" s="1"/>
  <c r="N39" i="38" a="1"/>
  <c r="N39" i="38" s="1"/>
  <c r="M39" i="38" a="1"/>
  <c r="M39" i="38" s="1"/>
  <c r="W39" i="38"/>
  <c r="T39" i="38" a="1"/>
  <c r="T39" i="38" s="1"/>
  <c r="U39" i="38"/>
  <c r="V39" i="38"/>
  <c r="S39" i="38"/>
  <c r="Q38" i="46"/>
  <c r="D38" i="46"/>
  <c r="BX38" i="46"/>
  <c r="BN38" i="46"/>
  <c r="BI38" i="46"/>
  <c r="BA38" i="46"/>
  <c r="AV38" i="46"/>
  <c r="AO38" i="46"/>
  <c r="AJ38" i="46"/>
  <c r="AC38" i="46"/>
  <c r="X38" i="46"/>
  <c r="A8" i="46"/>
  <c r="C8" i="46"/>
  <c r="D8" i="46"/>
  <c r="BT8" i="46"/>
  <c r="BU8" i="46"/>
  <c r="BV8" i="46"/>
  <c r="BW8" i="46"/>
  <c r="BX8" i="46"/>
  <c r="BY8" i="46"/>
  <c r="BZ8" i="46"/>
  <c r="BS8" i="46"/>
  <c r="N9" i="38" a="1"/>
  <c r="N9" i="38" s="1"/>
  <c r="B8" i="46"/>
  <c r="R12" i="38"/>
  <c r="S12" i="38"/>
  <c r="T12" i="38" a="1"/>
  <c r="T12" i="38" s="1"/>
  <c r="U12" i="38"/>
  <c r="V12" i="38"/>
  <c r="W12" i="38"/>
  <c r="X12" i="38"/>
  <c r="M12" i="38" a="1"/>
  <c r="M12" i="38" s="1"/>
  <c r="N12" i="38" a="1"/>
  <c r="N12" i="38" s="1"/>
  <c r="O12" i="38" a="1"/>
  <c r="O12" i="38" s="1"/>
  <c r="P12" i="38"/>
  <c r="E11" i="46"/>
  <c r="AW11" i="46"/>
  <c r="A11" i="46"/>
  <c r="B11" i="46"/>
  <c r="AX11" i="46"/>
  <c r="C11" i="46"/>
  <c r="D11" i="46"/>
  <c r="AZ11" i="46"/>
  <c r="BV11" i="46"/>
  <c r="BW11" i="46"/>
  <c r="BX11" i="46"/>
  <c r="BY11" i="46"/>
  <c r="BZ11" i="46"/>
  <c r="BM11" i="46"/>
  <c r="BN11" i="46"/>
  <c r="BC11" i="46"/>
  <c r="BS11" i="46"/>
  <c r="BT11" i="46"/>
  <c r="BF11" i="46"/>
  <c r="BU11" i="46"/>
  <c r="Q12" i="38"/>
  <c r="BR11" i="46"/>
  <c r="AU11" i="46"/>
  <c r="AI11" i="46"/>
  <c r="W11" i="46"/>
  <c r="BL11" i="46"/>
  <c r="AT11" i="46"/>
  <c r="AH11" i="46"/>
  <c r="V11" i="46"/>
  <c r="BK11" i="46"/>
  <c r="AS11" i="46"/>
  <c r="AG11" i="46"/>
  <c r="U11" i="46"/>
  <c r="BJ11" i="46"/>
  <c r="AR11" i="46"/>
  <c r="AF11" i="46"/>
  <c r="T11" i="46"/>
  <c r="BI11" i="46"/>
  <c r="AQ11" i="46"/>
  <c r="AE11" i="46"/>
  <c r="S11" i="46"/>
  <c r="BH11" i="46"/>
  <c r="AP11" i="46"/>
  <c r="AD11" i="46"/>
  <c r="R11" i="46"/>
  <c r="BG11" i="46"/>
  <c r="AO11" i="46"/>
  <c r="AC11" i="46"/>
  <c r="Q11" i="46"/>
  <c r="BE11" i="46"/>
  <c r="AN11" i="46"/>
  <c r="AB11" i="46"/>
  <c r="M11" i="46" a="1"/>
  <c r="M11" i="46" s="1"/>
  <c r="BB11" i="46"/>
  <c r="AM11" i="46"/>
  <c r="AA11" i="46"/>
  <c r="G11" i="46"/>
  <c r="BA11" i="46"/>
  <c r="AL11" i="46"/>
  <c r="Z11" i="46"/>
  <c r="F11" i="46"/>
  <c r="AV11" i="46"/>
  <c r="AJ11" i="46"/>
  <c r="X11" i="46"/>
  <c r="AY11" i="46"/>
  <c r="AK11" i="46"/>
  <c r="Y11" i="46"/>
  <c r="T16" i="38" a="1"/>
  <c r="T16" i="38" s="1"/>
  <c r="W16" i="38"/>
  <c r="X16" i="38"/>
  <c r="BW15" i="46"/>
  <c r="BH15" i="46"/>
  <c r="AU15" i="46"/>
  <c r="AI15" i="46"/>
  <c r="W15" i="46"/>
  <c r="C15" i="46"/>
  <c r="BV15" i="46"/>
  <c r="BG15" i="46"/>
  <c r="AT15" i="46"/>
  <c r="AH15" i="46"/>
  <c r="V15" i="46"/>
  <c r="B15" i="46"/>
  <c r="BU15" i="46"/>
  <c r="BF15" i="46"/>
  <c r="AS15" i="46"/>
  <c r="AG15" i="46"/>
  <c r="U15" i="46"/>
  <c r="A15" i="46"/>
  <c r="BT15" i="46"/>
  <c r="BE15" i="46"/>
  <c r="AR15" i="46"/>
  <c r="AF15" i="46"/>
  <c r="T15" i="46"/>
  <c r="BS15" i="46"/>
  <c r="BC15" i="46"/>
  <c r="AQ15" i="46"/>
  <c r="AE15" i="46"/>
  <c r="S15" i="46"/>
  <c r="BR15" i="46"/>
  <c r="BB15" i="46"/>
  <c r="AP15" i="46"/>
  <c r="AD15" i="46"/>
  <c r="R15" i="46"/>
  <c r="BN15" i="46"/>
  <c r="BA15" i="46"/>
  <c r="AO15" i="46"/>
  <c r="AC15" i="46"/>
  <c r="Q15" i="46"/>
  <c r="BM15" i="46"/>
  <c r="AZ15" i="46"/>
  <c r="AN15" i="46"/>
  <c r="AB15" i="46"/>
  <c r="M15" i="46"/>
  <c r="BL15" i="46"/>
  <c r="AY15" i="46"/>
  <c r="AM15" i="46"/>
  <c r="AA15" i="46"/>
  <c r="G15" i="46"/>
  <c r="BZ15" i="46"/>
  <c r="BK15" i="46"/>
  <c r="AX15" i="46"/>
  <c r="AL15" i="46"/>
  <c r="Z15" i="46"/>
  <c r="F15" i="46"/>
  <c r="BX15" i="46"/>
  <c r="BI15" i="46"/>
  <c r="AV15" i="46"/>
  <c r="AJ15" i="46"/>
  <c r="X15" i="46"/>
  <c r="D15" i="46"/>
  <c r="E15" i="46"/>
  <c r="AK15" i="46"/>
  <c r="BY15" i="46"/>
  <c r="BJ15" i="46"/>
  <c r="AW15" i="46"/>
  <c r="Y15" i="46"/>
  <c r="P16" i="38"/>
  <c r="U16" i="38"/>
  <c r="V16" i="38"/>
  <c r="Q16" i="38"/>
  <c r="R16" i="38"/>
  <c r="M16" i="38" a="1"/>
  <c r="M16" i="38" s="1"/>
  <c r="N16" i="38" a="1"/>
  <c r="N16" i="38" s="1"/>
  <c r="O16" i="38" a="1"/>
  <c r="O16" i="38" s="1"/>
  <c r="S16" i="38"/>
  <c r="S26" i="46"/>
  <c r="AE26" i="46"/>
  <c r="AQ26" i="46"/>
  <c r="BC26" i="46"/>
  <c r="BS26" i="46"/>
  <c r="E26" i="46"/>
  <c r="Y26" i="46"/>
  <c r="AK26" i="46"/>
  <c r="AW26" i="46"/>
  <c r="BJ26" i="46"/>
  <c r="BY26" i="46"/>
  <c r="BK26" i="46"/>
  <c r="BZ26" i="46"/>
  <c r="T27" i="38" a="1"/>
  <c r="T27" i="38" s="1"/>
  <c r="U27" i="38"/>
  <c r="V27" i="38"/>
  <c r="W27" i="38"/>
  <c r="X27" i="38"/>
  <c r="Q27" i="38"/>
  <c r="R27" i="38"/>
  <c r="P27" i="38"/>
  <c r="O27" i="38" a="1"/>
  <c r="O27" i="38" s="1"/>
  <c r="N27" i="38" a="1"/>
  <c r="N27" i="38" s="1"/>
  <c r="M27" i="38" a="1"/>
  <c r="M27" i="38" s="1"/>
  <c r="S27" i="38"/>
  <c r="BN26" i="46"/>
  <c r="AX26" i="46"/>
  <c r="AI26" i="46"/>
  <c r="U26" i="46"/>
  <c r="BM26" i="46"/>
  <c r="AV26" i="46"/>
  <c r="AH26" i="46"/>
  <c r="T26" i="46"/>
  <c r="BL26" i="46"/>
  <c r="AU26" i="46"/>
  <c r="AG26" i="46"/>
  <c r="R26" i="46"/>
  <c r="BI26" i="46"/>
  <c r="AT26" i="46"/>
  <c r="AF26" i="46"/>
  <c r="Q26" i="46"/>
  <c r="BH26" i="46"/>
  <c r="AS26" i="46"/>
  <c r="AD26" i="46"/>
  <c r="M26" i="46"/>
  <c r="BG26" i="46"/>
  <c r="AR26" i="46"/>
  <c r="AC26" i="46"/>
  <c r="G26" i="46"/>
  <c r="BX26" i="46"/>
  <c r="BF26" i="46"/>
  <c r="AP26" i="46"/>
  <c r="AB26" i="46"/>
  <c r="F26" i="46"/>
  <c r="BW26" i="46"/>
  <c r="BE26" i="46"/>
  <c r="AO26" i="46"/>
  <c r="AA26" i="46"/>
  <c r="D26" i="46"/>
  <c r="BB26" i="46"/>
  <c r="C26" i="46"/>
  <c r="BA26" i="46"/>
  <c r="B26" i="46"/>
  <c r="AZ26" i="46"/>
  <c r="A26" i="46"/>
  <c r="BT26" i="46"/>
  <c r="AY26" i="46"/>
  <c r="AN26" i="46"/>
  <c r="AM26" i="46"/>
  <c r="AL26" i="46"/>
  <c r="AJ26" i="46"/>
  <c r="BV26" i="46"/>
  <c r="Z26" i="46"/>
  <c r="BU26" i="46"/>
  <c r="X26" i="46"/>
  <c r="W26" i="46"/>
  <c r="BR26" i="46"/>
  <c r="V26" i="46"/>
  <c r="T24" i="38" a="1"/>
  <c r="T24" i="38" s="1"/>
  <c r="W24" i="38"/>
  <c r="X24" i="38"/>
  <c r="U24" i="38"/>
  <c r="S24" i="38"/>
  <c r="R24" i="38"/>
  <c r="Q24" i="38"/>
  <c r="P24" i="38"/>
  <c r="M24" i="38" a="1"/>
  <c r="M24" i="38" s="1"/>
  <c r="N24" i="38" a="1"/>
  <c r="N24" i="38" s="1"/>
  <c r="O24" i="38" a="1"/>
  <c r="O24" i="38" s="1"/>
  <c r="V24" i="38"/>
  <c r="BV23" i="46"/>
  <c r="BG23" i="46"/>
  <c r="AT23" i="46"/>
  <c r="AH23" i="46"/>
  <c r="V23" i="46"/>
  <c r="B23" i="46"/>
  <c r="BU23" i="46"/>
  <c r="BF23" i="46"/>
  <c r="AS23" i="46"/>
  <c r="AG23" i="46"/>
  <c r="U23" i="46"/>
  <c r="A23" i="46"/>
  <c r="BT23" i="46"/>
  <c r="BE23" i="46"/>
  <c r="AR23" i="46"/>
  <c r="AF23" i="46"/>
  <c r="T23" i="46"/>
  <c r="BS23" i="46"/>
  <c r="BC23" i="46"/>
  <c r="AQ23" i="46"/>
  <c r="AE23" i="46"/>
  <c r="S23" i="46"/>
  <c r="BR23" i="46"/>
  <c r="BB23" i="46"/>
  <c r="AP23" i="46"/>
  <c r="AD23" i="46"/>
  <c r="R23" i="46"/>
  <c r="BN23" i="46"/>
  <c r="BA23" i="46"/>
  <c r="AO23" i="46"/>
  <c r="AC23" i="46"/>
  <c r="Q23" i="46"/>
  <c r="BM23" i="46"/>
  <c r="AZ23" i="46"/>
  <c r="AN23" i="46"/>
  <c r="AB23" i="46"/>
  <c r="M23" i="46"/>
  <c r="AX23" i="46"/>
  <c r="X23" i="46"/>
  <c r="AW23" i="46"/>
  <c r="W23" i="46"/>
  <c r="BZ23" i="46"/>
  <c r="AV23" i="46"/>
  <c r="G23" i="46"/>
  <c r="BY23" i="46"/>
  <c r="AU23" i="46"/>
  <c r="F23" i="46"/>
  <c r="BX23" i="46"/>
  <c r="AM23" i="46"/>
  <c r="E23" i="46"/>
  <c r="BW23" i="46"/>
  <c r="AL23" i="46"/>
  <c r="D23" i="46"/>
  <c r="BL23" i="46"/>
  <c r="AK23" i="46"/>
  <c r="C23" i="46"/>
  <c r="BK23" i="46"/>
  <c r="AJ23" i="46"/>
  <c r="BJ23" i="46"/>
  <c r="AI23" i="46"/>
  <c r="BI23" i="46"/>
  <c r="AA23" i="46"/>
  <c r="BH23" i="46"/>
  <c r="AY23" i="46"/>
  <c r="Y23" i="46"/>
  <c r="Z23" i="46"/>
  <c r="C32" i="46"/>
  <c r="W32" i="46"/>
  <c r="AI32" i="46"/>
  <c r="AU32" i="46"/>
  <c r="BH32" i="46"/>
  <c r="BW32" i="46"/>
  <c r="M33" i="38" a="1"/>
  <c r="M33" i="38" s="1"/>
  <c r="D32" i="46"/>
  <c r="X32" i="46"/>
  <c r="AJ32" i="46"/>
  <c r="AV32" i="46"/>
  <c r="BI32" i="46"/>
  <c r="BX32" i="46"/>
  <c r="N33" i="38" a="1"/>
  <c r="N33" i="38" s="1"/>
  <c r="E32" i="46"/>
  <c r="Y32" i="46"/>
  <c r="AK32" i="46"/>
  <c r="AW32" i="46"/>
  <c r="BJ32" i="46"/>
  <c r="BY32" i="46"/>
  <c r="O33" i="38" a="1"/>
  <c r="O33" i="38" s="1"/>
  <c r="F32" i="46"/>
  <c r="Z32" i="46"/>
  <c r="AL32" i="46"/>
  <c r="AX32" i="46"/>
  <c r="BK32" i="46"/>
  <c r="BZ32" i="46"/>
  <c r="P33" i="38"/>
  <c r="G32" i="46"/>
  <c r="AA32" i="46"/>
  <c r="AM32" i="46"/>
  <c r="AY32" i="46"/>
  <c r="BL32" i="46"/>
  <c r="Q33" i="38"/>
  <c r="M32" i="46"/>
  <c r="AB32" i="46"/>
  <c r="AN32" i="46"/>
  <c r="AZ32" i="46"/>
  <c r="BM32" i="46"/>
  <c r="R33" i="38"/>
  <c r="Q32" i="46"/>
  <c r="AC32" i="46"/>
  <c r="AO32" i="46"/>
  <c r="BA32" i="46"/>
  <c r="BN32" i="46"/>
  <c r="W33" i="38"/>
  <c r="R32" i="46"/>
  <c r="AD32" i="46"/>
  <c r="AP32" i="46"/>
  <c r="BB32" i="46"/>
  <c r="BR32" i="46"/>
  <c r="X33" i="38"/>
  <c r="S32" i="46"/>
  <c r="AE32" i="46"/>
  <c r="AQ32" i="46"/>
  <c r="BC32" i="46"/>
  <c r="BS32" i="46"/>
  <c r="T32" i="46"/>
  <c r="AF32" i="46"/>
  <c r="AR32" i="46"/>
  <c r="BE32" i="46"/>
  <c r="BT32" i="46"/>
  <c r="T33" i="38" a="1"/>
  <c r="T33" i="38" s="1"/>
  <c r="S33" i="38"/>
  <c r="U33" i="38"/>
  <c r="V33" i="38"/>
  <c r="AG32" i="46"/>
  <c r="V32" i="46"/>
  <c r="U32" i="46"/>
  <c r="B32" i="46"/>
  <c r="A32" i="46"/>
  <c r="BV32" i="46"/>
  <c r="BU32" i="46"/>
  <c r="BG32" i="46"/>
  <c r="BF32" i="46"/>
  <c r="AT32" i="46"/>
  <c r="AS32" i="46"/>
  <c r="AH32" i="46"/>
  <c r="R42" i="46"/>
  <c r="AD42" i="46"/>
  <c r="AP42" i="46"/>
  <c r="BB42" i="46"/>
  <c r="BR42" i="46"/>
  <c r="S42" i="46"/>
  <c r="AE42" i="46"/>
  <c r="AQ42" i="46"/>
  <c r="BC42" i="46"/>
  <c r="BS42" i="46"/>
  <c r="T42" i="46"/>
  <c r="AF42" i="46"/>
  <c r="AR42" i="46"/>
  <c r="BE42" i="46"/>
  <c r="BT42" i="46"/>
  <c r="A42" i="46"/>
  <c r="U42" i="46"/>
  <c r="AG42" i="46"/>
  <c r="AS42" i="46"/>
  <c r="BF42" i="46"/>
  <c r="BU42" i="46"/>
  <c r="B42" i="46"/>
  <c r="V42" i="46"/>
  <c r="AH42" i="46"/>
  <c r="AT42" i="46"/>
  <c r="BG42" i="46"/>
  <c r="BV42" i="46"/>
  <c r="C42" i="46"/>
  <c r="W42" i="46"/>
  <c r="AI42" i="46"/>
  <c r="AU42" i="46"/>
  <c r="BH42" i="46"/>
  <c r="BW42" i="46"/>
  <c r="D42" i="46"/>
  <c r="X42" i="46"/>
  <c r="AJ42" i="46"/>
  <c r="AV42" i="46"/>
  <c r="BI42" i="46"/>
  <c r="BX42" i="46"/>
  <c r="E42" i="46"/>
  <c r="Y42" i="46"/>
  <c r="AK42" i="46"/>
  <c r="AW42" i="46"/>
  <c r="BJ42" i="46"/>
  <c r="BY42" i="46"/>
  <c r="F42" i="46"/>
  <c r="Z42" i="46"/>
  <c r="AL42" i="46"/>
  <c r="AX42" i="46"/>
  <c r="BK42" i="46"/>
  <c r="BZ42" i="46"/>
  <c r="G42" i="46"/>
  <c r="AA42" i="46"/>
  <c r="AM42" i="46"/>
  <c r="AY42" i="46"/>
  <c r="BL42" i="46"/>
  <c r="U43" i="38"/>
  <c r="T43" i="38" a="1"/>
  <c r="T43" i="38" s="1"/>
  <c r="S43" i="38"/>
  <c r="R43" i="38"/>
  <c r="Q43" i="38"/>
  <c r="O43" i="38" a="1"/>
  <c r="O43" i="38" s="1"/>
  <c r="M43" i="38" a="1"/>
  <c r="M43" i="38" s="1"/>
  <c r="N43" i="38" a="1"/>
  <c r="N43" i="38" s="1"/>
  <c r="P43" i="38"/>
  <c r="V43" i="38"/>
  <c r="W43" i="38"/>
  <c r="X43" i="38"/>
  <c r="Q42" i="46"/>
  <c r="M42" i="46"/>
  <c r="BN42" i="46"/>
  <c r="BM42" i="46"/>
  <c r="BA42" i="46"/>
  <c r="AZ42" i="46"/>
  <c r="AO42" i="46"/>
  <c r="AN42" i="46"/>
  <c r="AC42" i="46"/>
  <c r="AB42" i="46"/>
  <c r="A6" i="46"/>
  <c r="U6" i="46"/>
  <c r="M6" i="46"/>
  <c r="C6" i="46"/>
  <c r="D6" i="46"/>
  <c r="Q6" i="46"/>
  <c r="F6" i="46"/>
  <c r="R6" i="46"/>
  <c r="G6" i="46"/>
  <c r="S6" i="46"/>
  <c r="T6" i="46"/>
  <c r="U10" i="38"/>
  <c r="W10" i="38"/>
  <c r="X10" i="38"/>
  <c r="N10" i="38" a="1"/>
  <c r="N10" i="38" s="1"/>
  <c r="S10" i="38"/>
  <c r="T10" i="38" a="1"/>
  <c r="T10" i="38" s="1"/>
  <c r="V10" i="38"/>
  <c r="M10" i="38" a="1"/>
  <c r="M10" i="38" s="1"/>
  <c r="O10" i="38" a="1"/>
  <c r="O10" i="38" s="1"/>
  <c r="P10" i="38"/>
  <c r="Q10" i="38"/>
  <c r="C9" i="46"/>
  <c r="BW9" i="46"/>
  <c r="BC9" i="46"/>
  <c r="B9" i="46"/>
  <c r="BV9" i="46"/>
  <c r="A9" i="46"/>
  <c r="BU9" i="46"/>
  <c r="D9" i="46"/>
  <c r="BX9" i="46"/>
  <c r="E9" i="46"/>
  <c r="BM9" i="46"/>
  <c r="BY9" i="46"/>
  <c r="BN9" i="46"/>
  <c r="BZ9" i="46"/>
  <c r="BF9" i="46"/>
  <c r="BS9" i="46"/>
  <c r="BT9" i="46"/>
  <c r="AZ9" i="46"/>
  <c r="AW9" i="46"/>
  <c r="AX9" i="46"/>
  <c r="R10" i="38"/>
  <c r="AV9" i="46"/>
  <c r="AJ9" i="46"/>
  <c r="X9" i="46"/>
  <c r="BR9" i="46"/>
  <c r="AU9" i="46"/>
  <c r="AI9" i="46"/>
  <c r="W9" i="46"/>
  <c r="BL9" i="46"/>
  <c r="AT9" i="46"/>
  <c r="AH9" i="46"/>
  <c r="V9" i="46"/>
  <c r="BK9" i="46"/>
  <c r="AS9" i="46"/>
  <c r="AG9" i="46"/>
  <c r="U9" i="46"/>
  <c r="BJ9" i="46"/>
  <c r="AR9" i="46"/>
  <c r="AF9" i="46"/>
  <c r="T9" i="46"/>
  <c r="BI9" i="46"/>
  <c r="AQ9" i="46"/>
  <c r="AE9" i="46"/>
  <c r="S9" i="46"/>
  <c r="BH9" i="46"/>
  <c r="AP9" i="46"/>
  <c r="AD9" i="46"/>
  <c r="R9" i="46"/>
  <c r="BG9" i="46"/>
  <c r="AO9" i="46"/>
  <c r="AC9" i="46"/>
  <c r="Q9" i="46"/>
  <c r="BE9" i="46"/>
  <c r="AN9" i="46"/>
  <c r="AB9" i="46"/>
  <c r="M9" i="46"/>
  <c r="BB9" i="46"/>
  <c r="AM9" i="46"/>
  <c r="AA9" i="46"/>
  <c r="G9" i="46"/>
  <c r="AY9" i="46"/>
  <c r="AK9" i="46"/>
  <c r="Y9" i="46"/>
  <c r="F9" i="46"/>
  <c r="Z9" i="46"/>
  <c r="BA9" i="46"/>
  <c r="AL9" i="46"/>
  <c r="X15" i="38"/>
  <c r="M15" i="38" a="1"/>
  <c r="M15" i="38" s="1"/>
  <c r="N15" i="38" a="1"/>
  <c r="N15" i="38" s="1"/>
  <c r="P15" i="38"/>
  <c r="U15" i="38"/>
  <c r="V15" i="38"/>
  <c r="O15" i="38" a="1"/>
  <c r="O15" i="38" s="1"/>
  <c r="Q15" i="38"/>
  <c r="R15" i="38"/>
  <c r="S15" i="38"/>
  <c r="T15" i="38" a="1"/>
  <c r="T15" i="38" s="1"/>
  <c r="W15" i="38"/>
  <c r="BX14" i="46"/>
  <c r="BI14" i="46"/>
  <c r="AV14" i="46"/>
  <c r="AJ14" i="46"/>
  <c r="X14" i="46"/>
  <c r="D14" i="46"/>
  <c r="BW14" i="46"/>
  <c r="BH14" i="46"/>
  <c r="AU14" i="46"/>
  <c r="AI14" i="46"/>
  <c r="W14" i="46"/>
  <c r="C14" i="46"/>
  <c r="BV14" i="46"/>
  <c r="BG14" i="46"/>
  <c r="AT14" i="46"/>
  <c r="AH14" i="46"/>
  <c r="V14" i="46"/>
  <c r="B14" i="46"/>
  <c r="BU14" i="46"/>
  <c r="BF14" i="46"/>
  <c r="AS14" i="46"/>
  <c r="AG14" i="46"/>
  <c r="U14" i="46"/>
  <c r="A14" i="46"/>
  <c r="BT14" i="46"/>
  <c r="BE14" i="46"/>
  <c r="AR14" i="46"/>
  <c r="AF14" i="46"/>
  <c r="T14" i="46"/>
  <c r="BS14" i="46"/>
  <c r="BC14" i="46"/>
  <c r="AQ14" i="46"/>
  <c r="AE14" i="46"/>
  <c r="S14" i="46"/>
  <c r="BR14" i="46"/>
  <c r="BB14" i="46"/>
  <c r="AP14" i="46"/>
  <c r="AD14" i="46"/>
  <c r="R14" i="46"/>
  <c r="BN14" i="46"/>
  <c r="BA14" i="46"/>
  <c r="AO14" i="46"/>
  <c r="AC14" i="46"/>
  <c r="Q14" i="46"/>
  <c r="BM14" i="46"/>
  <c r="AZ14" i="46"/>
  <c r="AN14" i="46"/>
  <c r="AB14" i="46"/>
  <c r="M14" i="46"/>
  <c r="BL14" i="46"/>
  <c r="AY14" i="46"/>
  <c r="AM14" i="46"/>
  <c r="AA14" i="46"/>
  <c r="G14" i="46"/>
  <c r="BY14" i="46"/>
  <c r="BJ14" i="46"/>
  <c r="AW14" i="46"/>
  <c r="AK14" i="46"/>
  <c r="Y14" i="46"/>
  <c r="E14" i="46"/>
  <c r="BZ14" i="46"/>
  <c r="BK14" i="46"/>
  <c r="AX14" i="46"/>
  <c r="AL14" i="46"/>
  <c r="Z14" i="46"/>
  <c r="F14" i="46"/>
  <c r="U21" i="38"/>
  <c r="R21" i="38"/>
  <c r="V21" i="38"/>
  <c r="O21" i="38" a="1"/>
  <c r="O21" i="38" s="1"/>
  <c r="BX20" i="46"/>
  <c r="BI20" i="46"/>
  <c r="AV20" i="46"/>
  <c r="AJ20" i="46"/>
  <c r="X20" i="46"/>
  <c r="D20" i="46"/>
  <c r="BW20" i="46"/>
  <c r="BH20" i="46"/>
  <c r="AU20" i="46"/>
  <c r="AI20" i="46"/>
  <c r="W20" i="46"/>
  <c r="C20" i="46"/>
  <c r="BV20" i="46"/>
  <c r="BG20" i="46"/>
  <c r="AT20" i="46"/>
  <c r="AH20" i="46"/>
  <c r="V20" i="46"/>
  <c r="B20" i="46"/>
  <c r="BU20" i="46"/>
  <c r="BF20" i="46"/>
  <c r="AS20" i="46"/>
  <c r="AG20" i="46"/>
  <c r="U20" i="46"/>
  <c r="A20" i="46"/>
  <c r="BT20" i="46"/>
  <c r="BE20" i="46"/>
  <c r="AR20" i="46"/>
  <c r="AF20" i="46"/>
  <c r="T20" i="46"/>
  <c r="BS20" i="46"/>
  <c r="BC20" i="46"/>
  <c r="AQ20" i="46"/>
  <c r="AE20" i="46"/>
  <c r="S20" i="46"/>
  <c r="BR20" i="46"/>
  <c r="BB20" i="46"/>
  <c r="AP20" i="46"/>
  <c r="AD20" i="46"/>
  <c r="R20" i="46"/>
  <c r="AZ20" i="46"/>
  <c r="Z20" i="46"/>
  <c r="AY20" i="46"/>
  <c r="Y20" i="46"/>
  <c r="AX20" i="46"/>
  <c r="Q20" i="46"/>
  <c r="AW20" i="46"/>
  <c r="M20" i="46"/>
  <c r="BZ20" i="46"/>
  <c r="AO20" i="46"/>
  <c r="G20" i="46"/>
  <c r="BY20" i="46"/>
  <c r="AN20" i="46"/>
  <c r="F20" i="46"/>
  <c r="BN20" i="46"/>
  <c r="AM20" i="46"/>
  <c r="E20" i="46"/>
  <c r="BM20" i="46"/>
  <c r="AL20" i="46"/>
  <c r="BL20" i="46"/>
  <c r="AK20" i="46"/>
  <c r="BK20" i="46"/>
  <c r="AC20" i="46"/>
  <c r="BA20" i="46"/>
  <c r="AA20" i="46"/>
  <c r="BJ20" i="46"/>
  <c r="AB20" i="46"/>
  <c r="M21" i="38" a="1"/>
  <c r="M21" i="38" s="1"/>
  <c r="Q21" i="38"/>
  <c r="X21" i="38"/>
  <c r="P21" i="38"/>
  <c r="S21" i="38"/>
  <c r="T21" i="38" a="1"/>
  <c r="T21" i="38" s="1"/>
  <c r="N21" i="38" a="1"/>
  <c r="N21" i="38" s="1"/>
  <c r="W21" i="38"/>
  <c r="M28" i="38" a="1"/>
  <c r="M28" i="38" s="1"/>
  <c r="R28" i="38"/>
  <c r="S28" i="38"/>
  <c r="Q28" i="38"/>
  <c r="T28" i="38" a="1"/>
  <c r="T28" i="38" s="1"/>
  <c r="N28" i="38" a="1"/>
  <c r="N28" i="38" s="1"/>
  <c r="O28" i="38" a="1"/>
  <c r="O28" i="38" s="1"/>
  <c r="P28" i="38"/>
  <c r="U28" i="38"/>
  <c r="X28" i="38"/>
  <c r="W28" i="38"/>
  <c r="V28" i="38"/>
  <c r="BT27" i="46"/>
  <c r="BE27" i="46"/>
  <c r="AR27" i="46"/>
  <c r="AF27" i="46"/>
  <c r="T27" i="46"/>
  <c r="BS27" i="46"/>
  <c r="BC27" i="46"/>
  <c r="AQ27" i="46"/>
  <c r="AE27" i="46"/>
  <c r="S27" i="46"/>
  <c r="BR27" i="46"/>
  <c r="BB27" i="46"/>
  <c r="AP27" i="46"/>
  <c r="AD27" i="46"/>
  <c r="R27" i="46"/>
  <c r="BN27" i="46"/>
  <c r="BA27" i="46"/>
  <c r="AO27" i="46"/>
  <c r="AC27" i="46"/>
  <c r="Q27" i="46"/>
  <c r="BM27" i="46"/>
  <c r="AZ27" i="46"/>
  <c r="AN27" i="46"/>
  <c r="AB27" i="46"/>
  <c r="M27" i="46"/>
  <c r="BL27" i="46"/>
  <c r="AY27" i="46"/>
  <c r="AM27" i="46"/>
  <c r="AA27" i="46"/>
  <c r="G27" i="46"/>
  <c r="BZ27" i="46"/>
  <c r="BK27" i="46"/>
  <c r="AX27" i="46"/>
  <c r="AL27" i="46"/>
  <c r="Z27" i="46"/>
  <c r="F27" i="46"/>
  <c r="BY27" i="46"/>
  <c r="BJ27" i="46"/>
  <c r="AW27" i="46"/>
  <c r="AK27" i="46"/>
  <c r="Y27" i="46"/>
  <c r="E27" i="46"/>
  <c r="BI27" i="46"/>
  <c r="X27" i="46"/>
  <c r="BH27" i="46"/>
  <c r="W27" i="46"/>
  <c r="BG27" i="46"/>
  <c r="V27" i="46"/>
  <c r="BF27" i="46"/>
  <c r="U27" i="46"/>
  <c r="AV27" i="46"/>
  <c r="D27" i="46"/>
  <c r="AU27" i="46"/>
  <c r="C27" i="46"/>
  <c r="AT27" i="46"/>
  <c r="B27" i="46"/>
  <c r="AS27" i="46"/>
  <c r="A27" i="46"/>
  <c r="AH27" i="46"/>
  <c r="BX27" i="46"/>
  <c r="AJ27" i="46"/>
  <c r="BV27" i="46"/>
  <c r="BW27" i="46"/>
  <c r="AI27" i="46"/>
  <c r="BU27" i="46"/>
  <c r="AG27" i="46"/>
  <c r="W19" i="38"/>
  <c r="BV18" i="46"/>
  <c r="BG18" i="46"/>
  <c r="AT18" i="46"/>
  <c r="AH18" i="46"/>
  <c r="V18" i="46"/>
  <c r="B18" i="46"/>
  <c r="BU18" i="46"/>
  <c r="BF18" i="46"/>
  <c r="AS18" i="46"/>
  <c r="AG18" i="46"/>
  <c r="U18" i="46"/>
  <c r="BS18" i="46"/>
  <c r="BC18" i="46"/>
  <c r="AQ18" i="46"/>
  <c r="AE18" i="46"/>
  <c r="S18" i="46"/>
  <c r="BR18" i="46"/>
  <c r="BB18" i="46"/>
  <c r="AP18" i="46"/>
  <c r="AD18" i="46"/>
  <c r="R18" i="46"/>
  <c r="BN18" i="46"/>
  <c r="BA18" i="46"/>
  <c r="AO18" i="46"/>
  <c r="AC18" i="46"/>
  <c r="Q18" i="46"/>
  <c r="BM18" i="46"/>
  <c r="AZ18" i="46"/>
  <c r="AN18" i="46"/>
  <c r="AB18" i="46"/>
  <c r="M18" i="46"/>
  <c r="BZ18" i="46"/>
  <c r="BK18" i="46"/>
  <c r="AX18" i="46"/>
  <c r="AL18" i="46"/>
  <c r="Z18" i="46"/>
  <c r="F18" i="46"/>
  <c r="T19" i="38" a="1"/>
  <c r="T19" i="38" s="1"/>
  <c r="U19" i="38"/>
  <c r="V19" i="38"/>
  <c r="N19" i="38" a="1"/>
  <c r="N19" i="38" s="1"/>
  <c r="X19" i="38"/>
  <c r="M19" i="38" a="1"/>
  <c r="M19" i="38" s="1"/>
  <c r="O19" i="38" a="1"/>
  <c r="O19" i="38" s="1"/>
  <c r="P19" i="38"/>
  <c r="Q19" i="38"/>
  <c r="R19" i="38"/>
  <c r="S19" i="38"/>
  <c r="BI18" i="46"/>
  <c r="AF18" i="46"/>
  <c r="BH18" i="46"/>
  <c r="AA18" i="46"/>
  <c r="BE18" i="46"/>
  <c r="Y18" i="46"/>
  <c r="AY18" i="46"/>
  <c r="X18" i="46"/>
  <c r="AW18" i="46"/>
  <c r="W18" i="46"/>
  <c r="AM18" i="46"/>
  <c r="AK18" i="46"/>
  <c r="AJ18" i="46"/>
  <c r="BY18" i="46"/>
  <c r="AI18" i="46"/>
  <c r="BX18" i="46"/>
  <c r="T18" i="46"/>
  <c r="BW18" i="46"/>
  <c r="G18" i="46"/>
  <c r="BT18" i="46"/>
  <c r="E18" i="46"/>
  <c r="BL18" i="46"/>
  <c r="D18" i="46"/>
  <c r="BJ18" i="46"/>
  <c r="C18" i="46"/>
  <c r="AV18" i="46"/>
  <c r="A18" i="46"/>
  <c r="AR18" i="46"/>
  <c r="AU18" i="46"/>
  <c r="V13" i="38"/>
  <c r="P13" i="38"/>
  <c r="R13" i="38"/>
  <c r="W13" i="38"/>
  <c r="M13" i="38" a="1"/>
  <c r="M13" i="38" s="1"/>
  <c r="N13" i="38" a="1"/>
  <c r="N13" i="38" s="1"/>
  <c r="O13" i="38" a="1"/>
  <c r="O13" i="38" s="1"/>
  <c r="X13" i="38"/>
  <c r="Q13" i="38"/>
  <c r="S13" i="38"/>
  <c r="T13" i="38" a="1"/>
  <c r="T13" i="38" s="1"/>
  <c r="U13" i="38"/>
  <c r="D12" i="46"/>
  <c r="AZ12" i="46"/>
  <c r="A12" i="46"/>
  <c r="AW12" i="46"/>
  <c r="B12" i="46"/>
  <c r="AX12" i="46"/>
  <c r="C12" i="46"/>
  <c r="E12" i="46"/>
  <c r="BM12" i="46"/>
  <c r="AY12" i="46"/>
  <c r="AK12" i="46"/>
  <c r="Y12" i="46"/>
  <c r="BL12" i="46"/>
  <c r="AV12" i="46"/>
  <c r="AJ12" i="46"/>
  <c r="X12" i="46"/>
  <c r="BZ12" i="46"/>
  <c r="BK12" i="46"/>
  <c r="AU12" i="46"/>
  <c r="AI12" i="46"/>
  <c r="W12" i="46"/>
  <c r="BY12" i="46"/>
  <c r="BJ12" i="46"/>
  <c r="AT12" i="46"/>
  <c r="AH12" i="46"/>
  <c r="V12" i="46"/>
  <c r="BX12" i="46"/>
  <c r="BI12" i="46"/>
  <c r="AS12" i="46"/>
  <c r="AG12" i="46"/>
  <c r="U12" i="46"/>
  <c r="BW12" i="46"/>
  <c r="BH12" i="46"/>
  <c r="AR12" i="46"/>
  <c r="AF12" i="46"/>
  <c r="T12" i="46"/>
  <c r="BV12" i="46"/>
  <c r="BG12" i="46"/>
  <c r="AQ12" i="46"/>
  <c r="AE12" i="46"/>
  <c r="S12" i="46"/>
  <c r="BU12" i="46"/>
  <c r="BF12" i="46"/>
  <c r="AP12" i="46"/>
  <c r="AD12" i="46"/>
  <c r="R12" i="46"/>
  <c r="BT12" i="46"/>
  <c r="BE12" i="46"/>
  <c r="AO12" i="46"/>
  <c r="AC12" i="46"/>
  <c r="Q12" i="46"/>
  <c r="BS12" i="46"/>
  <c r="BC12" i="46"/>
  <c r="AN12" i="46"/>
  <c r="AB12" i="46"/>
  <c r="M12" i="46"/>
  <c r="BN12" i="46"/>
  <c r="BA12" i="46"/>
  <c r="AL12" i="46"/>
  <c r="Z12" i="46"/>
  <c r="F12" i="46"/>
  <c r="BR12" i="46"/>
  <c r="BB12" i="46"/>
  <c r="AM12" i="46"/>
  <c r="AA12" i="46"/>
  <c r="G12" i="46"/>
  <c r="S17" i="38"/>
  <c r="T17" i="38" a="1"/>
  <c r="T17" i="38" s="1"/>
  <c r="U17" i="38"/>
  <c r="V17" i="38"/>
  <c r="W17" i="38"/>
  <c r="X17" i="38"/>
  <c r="M17" i="38" a="1"/>
  <c r="M17" i="38" s="1"/>
  <c r="N17" i="38" a="1"/>
  <c r="N17" i="38" s="1"/>
  <c r="O17" i="38" a="1"/>
  <c r="O17" i="38" s="1"/>
  <c r="P17" i="38"/>
  <c r="R17" i="38"/>
  <c r="Q17" i="38"/>
  <c r="BV16" i="46"/>
  <c r="BG16" i="46"/>
  <c r="AT16" i="46"/>
  <c r="AH16" i="46"/>
  <c r="V16" i="46"/>
  <c r="B16" i="46"/>
  <c r="BU16" i="46"/>
  <c r="BF16" i="46"/>
  <c r="AS16" i="46"/>
  <c r="AG16" i="46"/>
  <c r="U16" i="46"/>
  <c r="A16" i="46"/>
  <c r="BT16" i="46"/>
  <c r="BE16" i="46"/>
  <c r="AR16" i="46"/>
  <c r="AF16" i="46"/>
  <c r="T16" i="46"/>
  <c r="BS16" i="46"/>
  <c r="BC16" i="46"/>
  <c r="AQ16" i="46"/>
  <c r="AE16" i="46"/>
  <c r="S16" i="46"/>
  <c r="BR16" i="46"/>
  <c r="BB16" i="46"/>
  <c r="AP16" i="46"/>
  <c r="AD16" i="46"/>
  <c r="R16" i="46"/>
  <c r="BN16" i="46"/>
  <c r="BA16" i="46"/>
  <c r="AO16" i="46"/>
  <c r="AC16" i="46"/>
  <c r="Q16" i="46"/>
  <c r="BM16" i="46"/>
  <c r="AZ16" i="46"/>
  <c r="AN16" i="46"/>
  <c r="AB16" i="46"/>
  <c r="M16" i="46"/>
  <c r="BL16" i="46"/>
  <c r="AY16" i="46"/>
  <c r="AM16" i="46"/>
  <c r="AA16" i="46"/>
  <c r="G16" i="46"/>
  <c r="BZ16" i="46"/>
  <c r="BK16" i="46"/>
  <c r="AX16" i="46"/>
  <c r="AL16" i="46"/>
  <c r="Z16" i="46"/>
  <c r="F16" i="46"/>
  <c r="BY16" i="46"/>
  <c r="BJ16" i="46"/>
  <c r="AW16" i="46"/>
  <c r="AK16" i="46"/>
  <c r="Y16" i="46"/>
  <c r="E16" i="46"/>
  <c r="BW16" i="46"/>
  <c r="BH16" i="46"/>
  <c r="AU16" i="46"/>
  <c r="AI16" i="46"/>
  <c r="W16" i="46"/>
  <c r="C16" i="46"/>
  <c r="BX16" i="46"/>
  <c r="BI16" i="46"/>
  <c r="AV16" i="46"/>
  <c r="AJ16" i="46"/>
  <c r="X16" i="46"/>
  <c r="D16" i="46"/>
  <c r="Q25" i="38"/>
  <c r="U25" i="38"/>
  <c r="R25" i="38"/>
  <c r="S25" i="38"/>
  <c r="N25" i="38" a="1"/>
  <c r="N25" i="38" s="1"/>
  <c r="M25" i="38" a="1"/>
  <c r="M25" i="38" s="1"/>
  <c r="X25" i="38"/>
  <c r="W25" i="38"/>
  <c r="O25" i="38" a="1"/>
  <c r="O25" i="38" s="1"/>
  <c r="P25" i="38"/>
  <c r="V25" i="38"/>
  <c r="BU24" i="46"/>
  <c r="BF24" i="46"/>
  <c r="AS24" i="46"/>
  <c r="AG24" i="46"/>
  <c r="U24" i="46"/>
  <c r="A24" i="46"/>
  <c r="BT24" i="46"/>
  <c r="BE24" i="46"/>
  <c r="AR24" i="46"/>
  <c r="AF24" i="46"/>
  <c r="T24" i="46"/>
  <c r="BS24" i="46"/>
  <c r="BC24" i="46"/>
  <c r="AQ24" i="46"/>
  <c r="AE24" i="46"/>
  <c r="S24" i="46"/>
  <c r="BR24" i="46"/>
  <c r="BB24" i="46"/>
  <c r="AP24" i="46"/>
  <c r="AD24" i="46"/>
  <c r="R24" i="46"/>
  <c r="BN24" i="46"/>
  <c r="BA24" i="46"/>
  <c r="AO24" i="46"/>
  <c r="AC24" i="46"/>
  <c r="Q24" i="46"/>
  <c r="BM24" i="46"/>
  <c r="AZ24" i="46"/>
  <c r="AN24" i="46"/>
  <c r="AB24" i="46"/>
  <c r="M24" i="46"/>
  <c r="BL24" i="46"/>
  <c r="AY24" i="46"/>
  <c r="AM24" i="46"/>
  <c r="AA24" i="46"/>
  <c r="G24" i="46"/>
  <c r="BK24" i="46"/>
  <c r="AJ24" i="46"/>
  <c r="B24" i="46"/>
  <c r="BJ24" i="46"/>
  <c r="AI24" i="46"/>
  <c r="BI24" i="46"/>
  <c r="AH24" i="46"/>
  <c r="BH24" i="46"/>
  <c r="Z24" i="46"/>
  <c r="T25" i="38" a="1"/>
  <c r="T25" i="38" s="1"/>
  <c r="BG24" i="46"/>
  <c r="Y24" i="46"/>
  <c r="AX24" i="46"/>
  <c r="X24" i="46"/>
  <c r="AW24" i="46"/>
  <c r="W24" i="46"/>
  <c r="BZ24" i="46"/>
  <c r="AV24" i="46"/>
  <c r="V24" i="46"/>
  <c r="BY24" i="46"/>
  <c r="AU24" i="46"/>
  <c r="F24" i="46"/>
  <c r="BX24" i="46"/>
  <c r="AT24" i="46"/>
  <c r="E24" i="46"/>
  <c r="BV24" i="46"/>
  <c r="AK24" i="46"/>
  <c r="C24" i="46"/>
  <c r="BW24" i="46"/>
  <c r="AL24" i="46"/>
  <c r="D24" i="46"/>
  <c r="W36" i="38"/>
  <c r="T36" i="38" a="1"/>
  <c r="T36" i="38" s="1"/>
  <c r="S36" i="38"/>
  <c r="R36" i="38"/>
  <c r="Q36" i="38"/>
  <c r="P36" i="38"/>
  <c r="N36" i="38" a="1"/>
  <c r="N36" i="38" s="1"/>
  <c r="M36" i="38" a="1"/>
  <c r="M36" i="38" s="1"/>
  <c r="O36" i="38" a="1"/>
  <c r="O36" i="38" s="1"/>
  <c r="U36" i="38"/>
  <c r="V36" i="38"/>
  <c r="X36" i="38"/>
  <c r="BX35" i="46"/>
  <c r="BI35" i="46"/>
  <c r="AV35" i="46"/>
  <c r="AJ35" i="46"/>
  <c r="X35" i="46"/>
  <c r="D35" i="46"/>
  <c r="BW35" i="46"/>
  <c r="BH35" i="46"/>
  <c r="AU35" i="46"/>
  <c r="AI35" i="46"/>
  <c r="W35" i="46"/>
  <c r="C35" i="46"/>
  <c r="BV35" i="46"/>
  <c r="BG35" i="46"/>
  <c r="AT35" i="46"/>
  <c r="AH35" i="46"/>
  <c r="V35" i="46"/>
  <c r="B35" i="46"/>
  <c r="BU35" i="46"/>
  <c r="BF35" i="46"/>
  <c r="AS35" i="46"/>
  <c r="AG35" i="46"/>
  <c r="U35" i="46"/>
  <c r="A35" i="46"/>
  <c r="BT35" i="46"/>
  <c r="BE35" i="46"/>
  <c r="AR35" i="46"/>
  <c r="AF35" i="46"/>
  <c r="T35" i="46"/>
  <c r="BS35" i="46"/>
  <c r="BC35" i="46"/>
  <c r="AQ35" i="46"/>
  <c r="AE35" i="46"/>
  <c r="S35" i="46"/>
  <c r="BR35" i="46"/>
  <c r="BB35" i="46"/>
  <c r="AP35" i="46"/>
  <c r="AD35" i="46"/>
  <c r="R35" i="46"/>
  <c r="BN35" i="46"/>
  <c r="BA35" i="46"/>
  <c r="AO35" i="46"/>
  <c r="AC35" i="46"/>
  <c r="Q35" i="46"/>
  <c r="BM35" i="46"/>
  <c r="AZ35" i="46"/>
  <c r="AN35" i="46"/>
  <c r="AB35" i="46"/>
  <c r="M35" i="46"/>
  <c r="AY35" i="46"/>
  <c r="AX35" i="46"/>
  <c r="AW35" i="46"/>
  <c r="AM35" i="46"/>
  <c r="AL35" i="46"/>
  <c r="AK35" i="46"/>
  <c r="AA35" i="46"/>
  <c r="BZ35" i="46"/>
  <c r="Z35" i="46"/>
  <c r="F35" i="46"/>
  <c r="BY35" i="46"/>
  <c r="Y35" i="46"/>
  <c r="BK35" i="46"/>
  <c r="BL35" i="46"/>
  <c r="G35" i="46"/>
  <c r="BJ35" i="46"/>
  <c r="E35" i="46"/>
  <c r="BD148" i="31" a="1"/>
  <c r="BD148" i="31" s="1"/>
  <c r="E75" i="22"/>
  <c r="BD197" i="31" a="1"/>
  <c r="BD197" i="31" s="1"/>
  <c r="BD260" i="31" a="1"/>
  <c r="BD260" i="31" s="1"/>
  <c r="BD204" i="31" a="1"/>
  <c r="BD204" i="31" s="1"/>
  <c r="BD85" i="31" a="1"/>
  <c r="BD85" i="31" s="1"/>
  <c r="BD253" i="31" a="1"/>
  <c r="BD253" i="31" s="1"/>
  <c r="BD78" i="31" a="1"/>
  <c r="BD78" i="31" s="1"/>
  <c r="BD120" i="31" a="1"/>
  <c r="BD120" i="31" s="1"/>
  <c r="BD99" i="31" a="1"/>
  <c r="BD99" i="31" s="1"/>
  <c r="BD113" i="31" a="1"/>
  <c r="BD113" i="31" s="1"/>
  <c r="BD57" i="31" a="1"/>
  <c r="BD57" i="31" s="1"/>
  <c r="BD71" i="31" a="1"/>
  <c r="BD71" i="31" s="1"/>
  <c r="BD134" i="31" a="1"/>
  <c r="BD134" i="31" s="1"/>
  <c r="F7" i="42"/>
  <c r="BH7" i="46"/>
  <c r="BD232" i="31" a="1"/>
  <c r="BD232" i="31" s="1"/>
  <c r="BD211" i="31" a="1"/>
  <c r="BD211" i="31" s="1"/>
  <c r="BD225" i="31" a="1"/>
  <c r="BD225" i="31" s="1"/>
  <c r="G76" i="22"/>
  <c r="BD155" i="31" a="1"/>
  <c r="BD155" i="31" s="1"/>
  <c r="F10" i="42"/>
  <c r="E74" i="22"/>
  <c r="F6" i="42"/>
  <c r="K6" i="22"/>
  <c r="BD43" i="31" a="1"/>
  <c r="BD43" i="31" s="1"/>
  <c r="BD141" i="31" a="1"/>
  <c r="BD141" i="31" s="1"/>
  <c r="BD127" i="31" a="1"/>
  <c r="BD127" i="31" s="1"/>
  <c r="F9" i="42"/>
  <c r="G9" i="42"/>
  <c r="BD29" i="31" a="1"/>
  <c r="BD29" i="31" s="1"/>
  <c r="G6" i="42"/>
  <c r="M6" i="22"/>
  <c r="BD274" i="31" a="1"/>
  <c r="BD274" i="31" s="1"/>
  <c r="E76" i="22"/>
  <c r="J29" i="21" a="1"/>
  <c r="J29" i="21" s="1"/>
  <c r="F12" i="42"/>
  <c r="I75" i="22"/>
  <c r="I73" i="22"/>
  <c r="BD239" i="31" a="1"/>
  <c r="BD239" i="31" s="1"/>
  <c r="E73" i="22"/>
  <c r="J11" i="22"/>
  <c r="F14" i="42"/>
  <c r="BD281" i="31" a="1"/>
  <c r="BD281" i="31" s="1"/>
  <c r="BD183" i="31" a="1"/>
  <c r="BD183" i="31" s="1"/>
  <c r="BD50" i="31" a="1"/>
  <c r="BD50" i="31" s="1"/>
  <c r="G71" i="22"/>
  <c r="BD36" i="31" a="1"/>
  <c r="BD36" i="31" s="1"/>
  <c r="G10" i="42"/>
  <c r="F11" i="42"/>
  <c r="S8" i="38" a="1"/>
  <c r="S8" i="38" s="1"/>
  <c r="J36" i="21" a="1"/>
  <c r="J36" i="21" s="1"/>
  <c r="BD218" i="31" a="1"/>
  <c r="BD218" i="31" s="1"/>
  <c r="BD190" i="31" a="1"/>
  <c r="BD190" i="31" s="1"/>
  <c r="F8" i="42"/>
  <c r="G73" i="22"/>
  <c r="BD106" i="31" a="1"/>
  <c r="BD106" i="31" s="1"/>
  <c r="I74" i="22"/>
  <c r="U8" i="38"/>
  <c r="T8" i="38" a="1"/>
  <c r="T8" i="38" s="1"/>
  <c r="V8" i="38"/>
  <c r="G36" i="33"/>
  <c r="G14" i="42"/>
  <c r="L11" i="22"/>
  <c r="BD246" i="31" a="1"/>
  <c r="BD246" i="31" s="1"/>
  <c r="G74" i="22"/>
  <c r="BD169" i="31" a="1"/>
  <c r="BD169" i="31" s="1"/>
  <c r="L10" i="22"/>
  <c r="G5" i="42"/>
  <c r="H36" i="33"/>
  <c r="V9" i="38"/>
  <c r="U9" i="38"/>
  <c r="T9" i="38" a="1"/>
  <c r="T9" i="38" s="1"/>
  <c r="G75" i="22"/>
  <c r="BD64" i="31" a="1"/>
  <c r="BD64" i="31" s="1"/>
  <c r="I76" i="22"/>
  <c r="BD267" i="31" a="1"/>
  <c r="BD267" i="31" s="1"/>
  <c r="P8" i="27"/>
  <c r="V11" i="38"/>
  <c r="I14" i="42"/>
  <c r="AX4" i="46"/>
  <c r="AY5" i="46"/>
  <c r="AV4" i="46"/>
  <c r="AW4" i="46"/>
  <c r="AT5" i="46"/>
  <c r="AY4" i="46"/>
  <c r="AV5" i="46"/>
  <c r="AX5" i="46"/>
  <c r="AX6" i="46"/>
  <c r="AW5" i="46"/>
  <c r="AV6" i="46"/>
  <c r="AW6" i="46"/>
  <c r="AY6" i="46"/>
  <c r="BO44" i="46"/>
  <c r="BO46" i="46"/>
  <c r="K46" i="46"/>
  <c r="BP40" i="46"/>
  <c r="BD36" i="46"/>
  <c r="BO33" i="46"/>
  <c r="BP41" i="46"/>
  <c r="BO39" i="46"/>
  <c r="P34" i="46"/>
  <c r="BQ47" i="46"/>
  <c r="N47" i="46"/>
  <c r="O43" i="46"/>
  <c r="BP30" i="46"/>
  <c r="BP29" i="46"/>
  <c r="O28" i="46"/>
  <c r="N10" i="46"/>
  <c r="K21" i="46"/>
  <c r="BQ37" i="46"/>
  <c r="J19" i="46"/>
  <c r="BD25" i="46"/>
  <c r="K13" i="46"/>
  <c r="P17" i="46"/>
  <c r="BD22" i="46"/>
  <c r="I31" i="46"/>
  <c r="J38" i="46"/>
  <c r="BQ11" i="46"/>
  <c r="BP15" i="46"/>
  <c r="N26" i="46"/>
  <c r="J23" i="46"/>
  <c r="BP32" i="46"/>
  <c r="BD42" i="46"/>
  <c r="BO9" i="46"/>
  <c r="N14" i="46"/>
  <c r="N20" i="46"/>
  <c r="BQ27" i="46"/>
  <c r="I18" i="46"/>
  <c r="BP12" i="46"/>
  <c r="O16" i="46"/>
  <c r="K35" i="46"/>
  <c r="BO7" i="46"/>
  <c r="K12" i="46"/>
  <c r="I16" i="46"/>
  <c r="L13" i="46"/>
  <c r="I11" i="46"/>
  <c r="H47" i="46"/>
  <c r="O31" i="46"/>
  <c r="BO20" i="46"/>
  <c r="BD12" i="46"/>
  <c r="K44" i="46"/>
  <c r="N46" i="46"/>
  <c r="BD45" i="46"/>
  <c r="BQ40" i="46"/>
  <c r="BO36" i="46"/>
  <c r="N33" i="46"/>
  <c r="K41" i="46"/>
  <c r="O39" i="46"/>
  <c r="L34" i="46"/>
  <c r="O47" i="46"/>
  <c r="H43" i="46"/>
  <c r="BQ30" i="46"/>
  <c r="P10" i="46"/>
  <c r="I21" i="46"/>
  <c r="N19" i="46"/>
  <c r="P25" i="46"/>
  <c r="P13" i="46"/>
  <c r="BD17" i="46"/>
  <c r="BO22" i="46"/>
  <c r="J31" i="46"/>
  <c r="I38" i="46"/>
  <c r="N11" i="46"/>
  <c r="BQ15" i="46"/>
  <c r="O26" i="46"/>
  <c r="BQ23" i="46"/>
  <c r="BQ32" i="46"/>
  <c r="P42" i="46"/>
  <c r="BQ9" i="46"/>
  <c r="O14" i="46"/>
  <c r="H27" i="46"/>
  <c r="O18" i="46"/>
  <c r="BQ12" i="46"/>
  <c r="H16" i="46"/>
  <c r="L24" i="46"/>
  <c r="I35" i="46"/>
  <c r="BQ7" i="46"/>
  <c r="BD7" i="46"/>
  <c r="N28" i="46"/>
  <c r="I25" i="46"/>
  <c r="L31" i="46"/>
  <c r="BO38" i="46"/>
  <c r="O15" i="46"/>
  <c r="J32" i="46"/>
  <c r="H42" i="46"/>
  <c r="L27" i="46"/>
  <c r="K18" i="46"/>
  <c r="BD10" i="46"/>
  <c r="I9" i="46"/>
  <c r="N7" i="46"/>
  <c r="I44" i="46"/>
  <c r="O48" i="46"/>
  <c r="H46" i="46"/>
  <c r="BO45" i="46"/>
  <c r="H45" i="46"/>
  <c r="O40" i="46"/>
  <c r="BQ36" i="46"/>
  <c r="BP33" i="46"/>
  <c r="P41" i="46"/>
  <c r="H39" i="46"/>
  <c r="J47" i="46"/>
  <c r="I47" i="46"/>
  <c r="BO47" i="46"/>
  <c r="I43" i="46"/>
  <c r="BO30" i="46"/>
  <c r="J29" i="46"/>
  <c r="J10" i="46"/>
  <c r="H21" i="46"/>
  <c r="J37" i="46"/>
  <c r="O19" i="46"/>
  <c r="H25" i="46"/>
  <c r="BD13" i="46"/>
  <c r="BO17" i="46"/>
  <c r="H22" i="46"/>
  <c r="BP31" i="46"/>
  <c r="H38" i="46"/>
  <c r="O11" i="46"/>
  <c r="BO15" i="46"/>
  <c r="L15" i="46"/>
  <c r="L26" i="46"/>
  <c r="BO23" i="46"/>
  <c r="H32" i="46"/>
  <c r="L42" i="46"/>
  <c r="H9" i="46"/>
  <c r="P9" i="46"/>
  <c r="H14" i="46"/>
  <c r="P27" i="46"/>
  <c r="H18" i="46"/>
  <c r="P21" i="46"/>
  <c r="K26" i="46"/>
  <c r="BP35" i="46"/>
  <c r="BO43" i="46"/>
  <c r="I28" i="46"/>
  <c r="BP26" i="46"/>
  <c r="K24" i="46"/>
  <c r="BD44" i="46"/>
  <c r="L48" i="46"/>
  <c r="P46" i="46"/>
  <c r="N45" i="46"/>
  <c r="BD40" i="46"/>
  <c r="J36" i="46"/>
  <c r="BQ33" i="46"/>
  <c r="J41" i="46"/>
  <c r="P39" i="46"/>
  <c r="I34" i="46"/>
  <c r="K47" i="46"/>
  <c r="J43" i="46"/>
  <c r="BD30" i="46"/>
  <c r="BQ29" i="46"/>
  <c r="BD28" i="46"/>
  <c r="H10" i="46"/>
  <c r="J21" i="46"/>
  <c r="H37" i="46"/>
  <c r="K19" i="46"/>
  <c r="O25" i="46"/>
  <c r="BO13" i="46"/>
  <c r="BQ17" i="46"/>
  <c r="I22" i="46"/>
  <c r="K31" i="46"/>
  <c r="N38" i="46"/>
  <c r="H11" i="46"/>
  <c r="L11" i="46"/>
  <c r="N15" i="46"/>
  <c r="P15" i="46"/>
  <c r="P26" i="46"/>
  <c r="N23" i="46"/>
  <c r="J42" i="46"/>
  <c r="J9" i="46"/>
  <c r="I14" i="46"/>
  <c r="BD27" i="46"/>
  <c r="J18" i="46"/>
  <c r="P12" i="46"/>
  <c r="J16" i="46"/>
  <c r="P24" i="46"/>
  <c r="J35" i="46"/>
  <c r="BP7" i="46"/>
  <c r="BD43" i="46"/>
  <c r="P30" i="46"/>
  <c r="H15" i="46"/>
  <c r="O23" i="46"/>
  <c r="K9" i="46"/>
  <c r="N12" i="46"/>
  <c r="BD24" i="46"/>
  <c r="N41" i="46"/>
  <c r="N21" i="46"/>
  <c r="BP13" i="46"/>
  <c r="H23" i="46"/>
  <c r="O27" i="46"/>
  <c r="O8" i="46"/>
  <c r="P7" i="46"/>
  <c r="BP44" i="46"/>
  <c r="BD48" i="46"/>
  <c r="O46" i="46"/>
  <c r="BQ45" i="46"/>
  <c r="P40" i="46"/>
  <c r="K36" i="46"/>
  <c r="L33" i="46"/>
  <c r="H41" i="46"/>
  <c r="J39" i="46"/>
  <c r="H34" i="46"/>
  <c r="L47" i="46"/>
  <c r="P8" i="46"/>
  <c r="O7" i="46"/>
  <c r="J44" i="46"/>
  <c r="BO48" i="46"/>
  <c r="K48" i="46"/>
  <c r="BD46" i="46"/>
  <c r="O45" i="46"/>
  <c r="L40" i="46"/>
  <c r="H36" i="46"/>
  <c r="K33" i="46"/>
  <c r="BD41" i="46"/>
  <c r="BP39" i="46"/>
  <c r="BD34" i="46"/>
  <c r="P47" i="46"/>
  <c r="BP43" i="46"/>
  <c r="L30" i="46"/>
  <c r="H29" i="46"/>
  <c r="K29" i="46"/>
  <c r="P29" i="46"/>
  <c r="BO29" i="46"/>
  <c r="BD21" i="46"/>
  <c r="L37" i="46"/>
  <c r="BP19" i="46"/>
  <c r="L25" i="46"/>
  <c r="BQ13" i="46"/>
  <c r="J13" i="46"/>
  <c r="I17" i="46"/>
  <c r="J22" i="46"/>
  <c r="BQ22" i="46"/>
  <c r="P31" i="46"/>
  <c r="BP38" i="46"/>
  <c r="J11" i="46"/>
  <c r="I15" i="46"/>
  <c r="J26" i="46"/>
  <c r="BP23" i="46"/>
  <c r="L32" i="46"/>
  <c r="N32" i="46"/>
  <c r="I42" i="46"/>
  <c r="L9" i="46"/>
  <c r="BP14" i="46"/>
  <c r="H20" i="46"/>
  <c r="BO27" i="46"/>
  <c r="L18" i="46"/>
  <c r="H12" i="46"/>
  <c r="P16" i="46"/>
  <c r="I24" i="46"/>
  <c r="BQ35" i="46"/>
  <c r="BQ10" i="46"/>
  <c r="H26" i="46"/>
  <c r="BQ42" i="46"/>
  <c r="BP20" i="46"/>
  <c r="O20" i="46"/>
  <c r="BD18" i="46"/>
  <c r="N35" i="46"/>
  <c r="BP46" i="46"/>
  <c r="N34" i="46"/>
  <c r="BO37" i="46"/>
  <c r="K17" i="46"/>
  <c r="L22" i="46"/>
  <c r="BP18" i="46"/>
  <c r="H44" i="46"/>
  <c r="BP48" i="46"/>
  <c r="I45" i="46"/>
  <c r="K40" i="46"/>
  <c r="P36" i="46"/>
  <c r="J33" i="46"/>
  <c r="BQ41" i="46"/>
  <c r="BO41" i="46"/>
  <c r="I39" i="46"/>
  <c r="J34" i="46"/>
  <c r="BD47" i="46"/>
  <c r="N43" i="46"/>
  <c r="H30" i="46"/>
  <c r="O29" i="46"/>
  <c r="K10" i="46"/>
  <c r="O10" i="46"/>
  <c r="BO21" i="46"/>
  <c r="O37" i="46"/>
  <c r="BO19" i="46"/>
  <c r="N25" i="46"/>
  <c r="O13" i="46"/>
  <c r="J17" i="46"/>
  <c r="N22" i="46"/>
  <c r="BD31" i="46"/>
  <c r="BQ38" i="46"/>
  <c r="I8" i="46"/>
  <c r="K11" i="46"/>
  <c r="J15" i="46"/>
  <c r="I26" i="46"/>
  <c r="BD23" i="46"/>
  <c r="K42" i="46"/>
  <c r="BQ14" i="46"/>
  <c r="L20" i="46"/>
  <c r="I27" i="46"/>
  <c r="P18" i="46"/>
  <c r="I12" i="46"/>
  <c r="L16" i="46"/>
  <c r="H24" i="46"/>
  <c r="O35" i="46"/>
  <c r="BP8" i="46"/>
  <c r="BD15" i="46"/>
  <c r="P23" i="46"/>
  <c r="BP9" i="46"/>
  <c r="J14" i="46"/>
  <c r="BD16" i="46"/>
  <c r="BO8" i="46"/>
  <c r="BD35" i="46"/>
  <c r="O44" i="46"/>
  <c r="BP45" i="46"/>
  <c r="I40" i="46"/>
  <c r="P33" i="46"/>
  <c r="L39" i="46"/>
  <c r="H19" i="46"/>
  <c r="BP42" i="46"/>
  <c r="J20" i="46"/>
  <c r="N8" i="46"/>
  <c r="N44" i="46"/>
  <c r="BQ48" i="46"/>
  <c r="I46" i="46"/>
  <c r="J45" i="46"/>
  <c r="J40" i="46"/>
  <c r="BP36" i="46"/>
  <c r="I33" i="46"/>
  <c r="L41" i="46"/>
  <c r="K39" i="46"/>
  <c r="K34" i="46"/>
  <c r="O34" i="46"/>
  <c r="K43" i="46"/>
  <c r="I30" i="46"/>
  <c r="N29" i="46"/>
  <c r="L28" i="46"/>
  <c r="L10" i="46"/>
  <c r="O21" i="46"/>
  <c r="N37" i="46"/>
  <c r="K37" i="46"/>
  <c r="BD19" i="46"/>
  <c r="J25" i="46"/>
  <c r="H13" i="46"/>
  <c r="BP17" i="46"/>
  <c r="BO31" i="46"/>
  <c r="BD38" i="46"/>
  <c r="J27" i="46"/>
  <c r="N18" i="46"/>
  <c r="J12" i="46"/>
  <c r="O24" i="46"/>
  <c r="J24" i="46"/>
  <c r="N30" i="46"/>
  <c r="BO11" i="46"/>
  <c r="BQ16" i="46"/>
  <c r="L44" i="46"/>
  <c r="N48" i="46"/>
  <c r="L46" i="46"/>
  <c r="K45" i="46"/>
  <c r="H40" i="46"/>
  <c r="L36" i="46"/>
  <c r="O33" i="46"/>
  <c r="I41" i="46"/>
  <c r="N39" i="46"/>
  <c r="BO34" i="46"/>
  <c r="L43" i="46"/>
  <c r="J30" i="46"/>
  <c r="P28" i="46"/>
  <c r="BO10" i="46"/>
  <c r="BP21" i="46"/>
  <c r="P37" i="46"/>
  <c r="I7" i="46"/>
  <c r="L19" i="46"/>
  <c r="K25" i="46"/>
  <c r="I13" i="46"/>
  <c r="N17" i="46"/>
  <c r="O22" i="46"/>
  <c r="N31" i="46"/>
  <c r="O38" i="46"/>
  <c r="P11" i="46"/>
  <c r="BD26" i="46"/>
  <c r="L23" i="46"/>
  <c r="N42" i="46"/>
  <c r="N9" i="46"/>
  <c r="L14" i="46"/>
  <c r="P20" i="46"/>
  <c r="K20" i="46"/>
  <c r="K27" i="46"/>
  <c r="O12" i="46"/>
  <c r="BO16" i="46"/>
  <c r="N24" i="46"/>
  <c r="BO35" i="46"/>
  <c r="O42" i="46"/>
  <c r="O9" i="46"/>
  <c r="P14" i="46"/>
  <c r="BQ20" i="46"/>
  <c r="BD20" i="46"/>
  <c r="BP27" i="46"/>
  <c r="BO18" i="46"/>
  <c r="L12" i="46"/>
  <c r="BP16" i="46"/>
  <c r="I48" i="46"/>
  <c r="K28" i="46"/>
  <c r="L38" i="46"/>
  <c r="BO32" i="46"/>
  <c r="BD14" i="46"/>
  <c r="P44" i="46"/>
  <c r="H48" i="46"/>
  <c r="BQ46" i="46"/>
  <c r="L45" i="46"/>
  <c r="N40" i="46"/>
  <c r="I36" i="46"/>
  <c r="H33" i="46"/>
  <c r="BQ39" i="46"/>
  <c r="BQ34" i="46"/>
  <c r="P43" i="46"/>
  <c r="K30" i="46"/>
  <c r="BO28" i="46"/>
  <c r="I10" i="46"/>
  <c r="BQ21" i="46"/>
  <c r="BD37" i="46"/>
  <c r="BQ19" i="46"/>
  <c r="BQ25" i="46"/>
  <c r="O17" i="46"/>
  <c r="K22" i="46"/>
  <c r="BQ31" i="46"/>
  <c r="P38" i="46"/>
  <c r="BD11" i="46"/>
  <c r="BO26" i="46"/>
  <c r="K23" i="46"/>
  <c r="I32" i="46"/>
  <c r="BO24" i="46"/>
  <c r="BQ44" i="46"/>
  <c r="J48" i="46"/>
  <c r="P48" i="46"/>
  <c r="J46" i="46"/>
  <c r="P45" i="46"/>
  <c r="BO40" i="46"/>
  <c r="N36" i="46"/>
  <c r="BD33" i="46"/>
  <c r="O41" i="46"/>
  <c r="BD39" i="46"/>
  <c r="BP34" i="46"/>
  <c r="BP47" i="46"/>
  <c r="BQ43" i="46"/>
  <c r="O30" i="46"/>
  <c r="I29" i="46"/>
  <c r="L29" i="46"/>
  <c r="BD29" i="46"/>
  <c r="BP28" i="46"/>
  <c r="BQ28" i="46"/>
  <c r="H28" i="46"/>
  <c r="BP10" i="46"/>
  <c r="L21" i="46"/>
  <c r="BP37" i="46"/>
  <c r="I19" i="46"/>
  <c r="BO25" i="46"/>
  <c r="N13" i="46"/>
  <c r="L17" i="46"/>
  <c r="P22" i="46"/>
  <c r="H31" i="46"/>
  <c r="K38" i="46"/>
  <c r="BP11" i="46"/>
  <c r="K15" i="46"/>
  <c r="BQ26" i="46"/>
  <c r="I23" i="46"/>
  <c r="K32" i="46"/>
  <c r="P32" i="46"/>
  <c r="O32" i="46"/>
  <c r="BD32" i="46"/>
  <c r="BO42" i="46"/>
  <c r="BD9" i="46"/>
  <c r="BO14" i="46"/>
  <c r="I20" i="46"/>
  <c r="N27" i="46"/>
  <c r="BQ18" i="46"/>
  <c r="BO12" i="46"/>
  <c r="N16" i="46"/>
  <c r="BQ24" i="46"/>
  <c r="L35" i="46"/>
  <c r="BP24" i="46"/>
  <c r="H35" i="46"/>
  <c r="J28" i="46"/>
  <c r="I37" i="46"/>
  <c r="P19" i="46"/>
  <c r="H17" i="46"/>
  <c r="BP22" i="46"/>
  <c r="K14" i="46"/>
  <c r="K16" i="46"/>
  <c r="BQ8" i="46"/>
  <c r="O36" i="46"/>
  <c r="BP25" i="46"/>
  <c r="P35" i="46"/>
  <c r="BA281" i="31" l="1" a="1"/>
  <c r="BA281" i="31" s="1"/>
  <c r="BB281" i="31" a="1"/>
  <c r="BB281" i="31" s="1"/>
  <c r="BB274" i="31" a="1"/>
  <c r="BB274" i="31" s="1"/>
  <c r="BA274" i="31" a="1"/>
  <c r="BA274" i="31" s="1"/>
  <c r="BA260" i="31" a="1"/>
  <c r="BA260" i="31" s="1"/>
  <c r="BB260" i="31" a="1"/>
  <c r="BB260" i="31" s="1"/>
  <c r="BB246" i="31" a="1"/>
  <c r="BB246" i="31" s="1"/>
  <c r="BA246" i="31" a="1"/>
  <c r="BA246" i="31" s="1"/>
  <c r="BA232" i="31" a="1"/>
  <c r="BA232" i="31" s="1"/>
  <c r="BB232" i="31" a="1"/>
  <c r="BB232" i="31" s="1"/>
  <c r="BA218" i="31" a="1"/>
  <c r="BA218" i="31" s="1"/>
  <c r="BB218" i="31" a="1"/>
  <c r="BB218" i="31" s="1"/>
  <c r="BA204" i="31" a="1"/>
  <c r="BA204" i="31" s="1"/>
  <c r="BB204" i="31" a="1"/>
  <c r="BB204" i="31" s="1"/>
  <c r="BB190" i="31" a="1"/>
  <c r="BB190" i="31" s="1"/>
  <c r="BA190" i="31" a="1"/>
  <c r="BA190" i="31" s="1"/>
  <c r="BB176" i="31" a="1"/>
  <c r="BB176" i="31" s="1"/>
  <c r="BA176" i="31" a="1"/>
  <c r="BA176" i="31" s="1"/>
  <c r="BA162" i="31" a="1"/>
  <c r="BA162" i="31" s="1"/>
  <c r="BB162" i="31" a="1"/>
  <c r="BB162" i="31" s="1"/>
  <c r="BA148" i="31" a="1"/>
  <c r="BA148" i="31" s="1"/>
  <c r="BB148" i="31" a="1"/>
  <c r="BB148" i="31" s="1"/>
  <c r="BB134" i="31" a="1"/>
  <c r="BB134" i="31" s="1"/>
  <c r="BA134" i="31" a="1"/>
  <c r="BA134" i="31" s="1"/>
  <c r="BB120" i="31" a="1"/>
  <c r="BB120" i="31" s="1"/>
  <c r="BA120" i="31" a="1"/>
  <c r="BA120" i="31" s="1"/>
  <c r="BB106" i="31" a="1"/>
  <c r="BB106" i="31" s="1"/>
  <c r="BA106" i="31" a="1"/>
  <c r="BA106" i="31" s="1"/>
  <c r="BA92" i="31" a="1"/>
  <c r="BA92" i="31" s="1"/>
  <c r="BB92" i="31" a="1"/>
  <c r="BB92" i="31" s="1"/>
  <c r="BA78" i="31" a="1"/>
  <c r="BA78" i="31" s="1"/>
  <c r="BB78" i="31" a="1"/>
  <c r="BB78" i="31" s="1"/>
  <c r="BB64" i="31" a="1"/>
  <c r="BB64" i="31" s="1"/>
  <c r="BA64" i="31" a="1"/>
  <c r="BA64" i="31" s="1"/>
  <c r="BB50" i="31" a="1"/>
  <c r="BB50" i="31" s="1"/>
  <c r="BA50" i="31" a="1"/>
  <c r="BA50" i="31" s="1"/>
  <c r="BB36" i="31" a="1"/>
  <c r="BB36" i="31" s="1"/>
  <c r="BA36" i="31" a="1"/>
  <c r="BA36" i="31" s="1"/>
  <c r="G77" i="22"/>
  <c r="G78" i="22" s="1"/>
  <c r="AZ5" i="46"/>
  <c r="AQ5" i="46"/>
  <c r="J15" i="21" l="1" a="1"/>
  <c r="J15" i="21" s="1"/>
  <c r="V8" i="31" l="1" a="1"/>
  <c r="V8" i="31" s="1"/>
  <c r="Y8" i="31" s="1"/>
  <c r="BE8" i="31" l="1"/>
  <c r="D16" i="22" s="1"/>
  <c r="B4" i="46" l="1"/>
  <c r="E59" i="22"/>
  <c r="AK4" i="46" s="1"/>
  <c r="D45" i="33"/>
  <c r="D57" i="33"/>
  <c r="D46" i="22"/>
  <c r="D37" i="33"/>
  <c r="E18" i="22"/>
  <c r="D22" i="22"/>
  <c r="D32" i="22"/>
  <c r="E8" i="22" s="1"/>
  <c r="D33" i="22"/>
  <c r="D34" i="22"/>
  <c r="D35" i="22"/>
  <c r="D53" i="22"/>
  <c r="E55" i="22"/>
  <c r="AG4" i="46" s="1"/>
  <c r="D5" i="22"/>
  <c r="D9" i="36" s="1"/>
  <c r="E56" i="22"/>
  <c r="AH4" i="46" s="1"/>
  <c r="D15" i="22"/>
  <c r="Q5" i="38" s="1"/>
  <c r="E60" i="22"/>
  <c r="AL4" i="46" s="1"/>
  <c r="E17" i="22"/>
  <c r="D28" i="22"/>
  <c r="D4" i="22"/>
  <c r="D30" i="22"/>
  <c r="E30" i="22" s="1"/>
  <c r="BA4" i="46" s="1"/>
  <c r="D38" i="22"/>
  <c r="D44" i="22"/>
  <c r="E44" i="22" s="1"/>
  <c r="BM4" i="46" s="1"/>
  <c r="D41" i="22"/>
  <c r="E41" i="22" s="1"/>
  <c r="BJ4" i="46" s="1"/>
  <c r="D42" i="22"/>
  <c r="E42" i="22" s="1"/>
  <c r="BK4" i="46" s="1"/>
  <c r="D43" i="22"/>
  <c r="E19" i="22"/>
  <c r="E20" i="22"/>
  <c r="Z4" i="46" s="1"/>
  <c r="E21" i="22"/>
  <c r="AA4" i="46" s="1"/>
  <c r="E22" i="22"/>
  <c r="AB4" i="46" s="1"/>
  <c r="E43" i="22"/>
  <c r="BL4" i="46" s="1"/>
  <c r="E9" i="22"/>
  <c r="BN4" i="46" s="1"/>
  <c r="L4" i="46"/>
  <c r="O5" i="38" l="1" a="1"/>
  <c r="O5" i="38" s="1"/>
  <c r="P5" i="38"/>
  <c r="M5" i="38" a="1"/>
  <c r="M5" i="38" s="1"/>
  <c r="N5" i="38" a="1"/>
  <c r="N5" i="38" s="1"/>
  <c r="W4" i="46"/>
  <c r="C7" i="42"/>
  <c r="E38" i="22"/>
  <c r="BI4" i="46"/>
  <c r="E6" i="22"/>
  <c r="V4" i="46"/>
  <c r="C6" i="42"/>
  <c r="E71" i="22"/>
  <c r="W5" i="38"/>
  <c r="X5" i="38"/>
  <c r="R5" i="38"/>
  <c r="D36" i="33"/>
  <c r="U5" i="38"/>
  <c r="V5" i="38"/>
  <c r="E23" i="22"/>
  <c r="E24" i="22" s="1"/>
  <c r="BC8" i="31" s="1" a="1"/>
  <c r="BC8" i="31" s="1"/>
  <c r="X4" i="46"/>
  <c r="C5" i="42"/>
  <c r="E4" i="46"/>
  <c r="D10" i="22"/>
  <c r="J4" i="46"/>
  <c r="N4" i="46"/>
  <c r="P4" i="46"/>
  <c r="K4" i="46"/>
  <c r="O4" i="46"/>
  <c r="BQ4" i="46"/>
  <c r="H4" i="46"/>
  <c r="I4" i="46"/>
  <c r="BP4" i="46"/>
  <c r="E54" i="22" l="1"/>
  <c r="E61" i="22" s="1"/>
  <c r="Y4" i="46"/>
  <c r="C8" i="42"/>
  <c r="BD8" i="31" a="1"/>
  <c r="BD8" i="31" s="1"/>
  <c r="AC4" i="46"/>
  <c r="AT4" i="46"/>
  <c r="E77" i="22"/>
  <c r="AM4" i="46" l="1"/>
  <c r="E62" i="22"/>
  <c r="BB8" i="31" a="1"/>
  <c r="BB8" i="31" s="1"/>
  <c r="E57" i="22" s="1" a="1"/>
  <c r="E57" i="22" s="1"/>
  <c r="BA8" i="31" a="1"/>
  <c r="BA8" i="31" s="1"/>
  <c r="E25" i="22" s="1"/>
  <c r="E78" i="22"/>
  <c r="D29" i="22" s="1"/>
  <c r="E7" i="22" s="1"/>
  <c r="AZ4" i="46"/>
  <c r="AN4" i="46" l="1"/>
  <c r="AI4" i="46"/>
  <c r="E58" i="22"/>
  <c r="AF4" i="46" s="1"/>
  <c r="AJ4" i="46"/>
  <c r="E63" i="22"/>
  <c r="D26" i="22" s="1"/>
  <c r="E26" i="22" s="1"/>
  <c r="J8" i="21" a="1"/>
  <c r="J8" i="21" s="1"/>
  <c r="AQ4" i="46"/>
  <c r="V15" i="31" a="1"/>
  <c r="V15" i="31"/>
  <c r="Y15" i="31" s="1"/>
  <c r="BE15" i="31" l="1"/>
  <c r="F16" i="22" s="1"/>
  <c r="AE4" i="46"/>
  <c r="E27" i="22"/>
  <c r="F79" i="22" l="1" a="1"/>
  <c r="F79" i="22" s="1"/>
  <c r="F64" i="22" a="1"/>
  <c r="F64" i="22" s="1"/>
  <c r="F49" i="22" a="1"/>
  <c r="F49" i="22" s="1"/>
  <c r="F12" i="22" a="1"/>
  <c r="F12" i="22" s="1"/>
  <c r="E57" i="33"/>
  <c r="E45" i="33"/>
  <c r="E37" i="33"/>
  <c r="G60" i="22"/>
  <c r="AL5" i="46" s="1"/>
  <c r="G59" i="22"/>
  <c r="AK5" i="46" s="1"/>
  <c r="G56" i="22"/>
  <c r="AH5" i="46" s="1"/>
  <c r="G55" i="22"/>
  <c r="AG5" i="46" s="1"/>
  <c r="F53" i="22"/>
  <c r="F46" i="22"/>
  <c r="F35" i="22"/>
  <c r="F34" i="22"/>
  <c r="F33" i="22"/>
  <c r="F32" i="22"/>
  <c r="G8" i="22" s="1"/>
  <c r="F22" i="22"/>
  <c r="G18" i="22"/>
  <c r="G17" i="22"/>
  <c r="F15" i="22"/>
  <c r="Q6" i="38" s="1"/>
  <c r="F5" i="22"/>
  <c r="F9" i="36" s="1"/>
  <c r="B5" i="46"/>
  <c r="F4" i="22"/>
  <c r="F28" i="22"/>
  <c r="F44" i="22"/>
  <c r="G44" i="22" s="1"/>
  <c r="BM5" i="46" s="1"/>
  <c r="F43" i="22"/>
  <c r="F42" i="22"/>
  <c r="G42" i="22" s="1"/>
  <c r="BK5" i="46" s="1"/>
  <c r="F41" i="22"/>
  <c r="G41" i="22" s="1"/>
  <c r="BJ5" i="46" s="1"/>
  <c r="F38" i="22"/>
  <c r="BI5" i="46" s="1"/>
  <c r="F30" i="22"/>
  <c r="G30" i="22" s="1"/>
  <c r="BA5" i="46" s="1"/>
  <c r="G19" i="22"/>
  <c r="G22" i="22"/>
  <c r="AB5" i="46" s="1"/>
  <c r="G21" i="22"/>
  <c r="AA5" i="46" s="1"/>
  <c r="G20" i="22"/>
  <c r="Z5" i="46" s="1"/>
  <c r="G9" i="22"/>
  <c r="BN5" i="46" s="1"/>
  <c r="G43" i="22"/>
  <c r="BL5" i="46" s="1"/>
  <c r="F29" i="22"/>
  <c r="G7" i="22" s="1"/>
  <c r="V22" i="31" a="1"/>
  <c r="V22" i="31" s="1"/>
  <c r="Y22" i="31" s="1"/>
  <c r="E28" i="22"/>
  <c r="AP4" i="46" s="1"/>
  <c r="E29" i="22"/>
  <c r="E31" i="22" s="1"/>
  <c r="C9" i="42"/>
  <c r="AD4" i="46"/>
  <c r="L5" i="46"/>
  <c r="O6" i="38" l="1" a="1"/>
  <c r="O6" i="38" s="1"/>
  <c r="P6" i="38"/>
  <c r="M6" i="38" a="1"/>
  <c r="M6" i="38" s="1"/>
  <c r="N6" i="38" a="1"/>
  <c r="N6" i="38" s="1"/>
  <c r="D7" i="42"/>
  <c r="W5" i="46"/>
  <c r="W6" i="38"/>
  <c r="R6" i="38"/>
  <c r="X6" i="38"/>
  <c r="T6" i="38" a="1"/>
  <c r="T6" i="38" s="1"/>
  <c r="E36" i="33"/>
  <c r="D6" i="42"/>
  <c r="G6" i="22"/>
  <c r="V5" i="46"/>
  <c r="G23" i="22"/>
  <c r="X5" i="46"/>
  <c r="D5" i="42"/>
  <c r="F10" i="22"/>
  <c r="E5" i="46"/>
  <c r="BE22" i="31"/>
  <c r="H16" i="22" s="1"/>
  <c r="E35" i="22"/>
  <c r="E34" i="22"/>
  <c r="BF4" i="46" s="1"/>
  <c r="E33" i="22"/>
  <c r="BE4" i="46" s="1"/>
  <c r="E32" i="22"/>
  <c r="C10" i="42"/>
  <c r="AO4" i="46"/>
  <c r="J5" i="46"/>
  <c r="K5" i="46"/>
  <c r="O5" i="46"/>
  <c r="H5" i="46"/>
  <c r="P5" i="46"/>
  <c r="I5" i="46"/>
  <c r="BO5" i="46"/>
  <c r="N5" i="46"/>
  <c r="D79" i="22" l="1" a="1"/>
  <c r="D79" i="22" s="1"/>
  <c r="D64" i="22" a="1"/>
  <c r="D64" i="22" s="1"/>
  <c r="D49" i="22" a="1"/>
  <c r="D49" i="22" s="1"/>
  <c r="D12" i="22" a="1"/>
  <c r="D12" i="22" s="1"/>
  <c r="H79" i="22" a="1"/>
  <c r="H79" i="22" s="1"/>
  <c r="H64" i="22" a="1"/>
  <c r="H64" i="22" s="1"/>
  <c r="H49" i="22" a="1"/>
  <c r="H49" i="22" s="1"/>
  <c r="H12" i="22" a="1"/>
  <c r="H12" i="22" s="1"/>
  <c r="BD15" i="31" a="1"/>
  <c r="BD15" i="31" s="1"/>
  <c r="AC5" i="46"/>
  <c r="G24" i="22"/>
  <c r="BC15" i="31" s="1" a="1"/>
  <c r="BC15" i="31" s="1"/>
  <c r="B6" i="46"/>
  <c r="I59" i="22"/>
  <c r="AK6" i="46" s="1"/>
  <c r="I18" i="22"/>
  <c r="X6" i="46" s="1"/>
  <c r="H22" i="22"/>
  <c r="H33" i="22"/>
  <c r="H32" i="22"/>
  <c r="I8" i="22" s="1"/>
  <c r="H34" i="22"/>
  <c r="H35" i="22"/>
  <c r="I60" i="22"/>
  <c r="AL6" i="46" s="1"/>
  <c r="F37" i="33"/>
  <c r="F45" i="33"/>
  <c r="F57" i="33"/>
  <c r="I55" i="22"/>
  <c r="AG6" i="46" s="1"/>
  <c r="H46" i="22"/>
  <c r="H53" i="22"/>
  <c r="H5" i="22"/>
  <c r="H9" i="36" s="1"/>
  <c r="H15" i="22"/>
  <c r="Q7" i="38" s="1"/>
  <c r="I56" i="22"/>
  <c r="AH6" i="46" s="1"/>
  <c r="I17" i="22"/>
  <c r="H28" i="22"/>
  <c r="H4" i="22"/>
  <c r="H41" i="22"/>
  <c r="I41" i="22"/>
  <c r="BJ6" i="46" s="1"/>
  <c r="I19" i="22"/>
  <c r="H44" i="22"/>
  <c r="I44" i="22"/>
  <c r="BM6" i="46" s="1"/>
  <c r="H30" i="22"/>
  <c r="I30" i="22"/>
  <c r="BA6" i="46" s="1"/>
  <c r="H38" i="22"/>
  <c r="BI6" i="46" s="1"/>
  <c r="H42" i="22"/>
  <c r="I42" i="22"/>
  <c r="BK6" i="46" s="1"/>
  <c r="H43" i="22"/>
  <c r="I22" i="22"/>
  <c r="AB6" i="46" s="1"/>
  <c r="I21" i="22"/>
  <c r="AA6" i="46" s="1"/>
  <c r="I20" i="22"/>
  <c r="Z6" i="46" s="1"/>
  <c r="I9" i="22"/>
  <c r="BN6" i="46" s="1"/>
  <c r="I43" i="22"/>
  <c r="BL6" i="46" s="1"/>
  <c r="E36" i="22"/>
  <c r="C11" i="42"/>
  <c r="S5" i="38"/>
  <c r="C12" i="42"/>
  <c r="BG4" i="46"/>
  <c r="BD4" i="46"/>
  <c r="L6" i="46"/>
  <c r="O7" i="38" l="1" a="1"/>
  <c r="O7" i="38" s="1"/>
  <c r="P7" i="38"/>
  <c r="M7" i="38" a="1"/>
  <c r="M7" i="38" s="1"/>
  <c r="N7" i="38" a="1"/>
  <c r="N7" i="38" s="1"/>
  <c r="I23" i="22"/>
  <c r="I24" i="22" s="1"/>
  <c r="D8" i="42"/>
  <c r="Y5" i="46"/>
  <c r="G54" i="22"/>
  <c r="G61" i="22" s="1"/>
  <c r="Y6" i="46"/>
  <c r="E8" i="42"/>
  <c r="W6" i="46"/>
  <c r="E7" i="42"/>
  <c r="I6" i="22"/>
  <c r="V6" i="46"/>
  <c r="E6" i="42"/>
  <c r="I71" i="22"/>
  <c r="R7" i="38"/>
  <c r="X7" i="38"/>
  <c r="W7" i="38"/>
  <c r="U7" i="38"/>
  <c r="F36" i="33"/>
  <c r="T7" i="38" a="1"/>
  <c r="T7" i="38" s="1"/>
  <c r="E5" i="42"/>
  <c r="E6" i="46"/>
  <c r="H10" i="22"/>
  <c r="BD22" i="31" a="1"/>
  <c r="BD22" i="31" s="1"/>
  <c r="AC6" i="46"/>
  <c r="BC4" i="46"/>
  <c r="E37" i="22"/>
  <c r="J6" i="46"/>
  <c r="K6" i="46"/>
  <c r="BP6" i="46"/>
  <c r="H6" i="46"/>
  <c r="I6" i="46"/>
  <c r="P6" i="46"/>
  <c r="O6" i="46"/>
  <c r="N6" i="46"/>
  <c r="BO6" i="46"/>
  <c r="I54" i="22" l="1"/>
  <c r="I61" i="22" s="1"/>
  <c r="BC22" i="31" a="1"/>
  <c r="BC22" i="31" s="1"/>
  <c r="AM6" i="46"/>
  <c r="I62" i="22"/>
  <c r="AJ6" i="46" s="1"/>
  <c r="AM5" i="46"/>
  <c r="G62" i="22"/>
  <c r="BB15" i="31" a="1"/>
  <c r="BB15" i="31" s="1"/>
  <c r="G57" i="22" s="1" a="1"/>
  <c r="G57" i="22" s="1"/>
  <c r="BA15" i="31" a="1"/>
  <c r="BA15" i="31" s="1"/>
  <c r="G25" i="22" s="1"/>
  <c r="AT6" i="46"/>
  <c r="I77" i="22"/>
  <c r="BB22" i="31" a="1"/>
  <c r="BB22" i="31" s="1"/>
  <c r="I57" i="22" s="1" a="1"/>
  <c r="I57" i="22" s="1"/>
  <c r="BA22" i="31" a="1"/>
  <c r="BA22" i="31" s="1"/>
  <c r="I25" i="22" s="1"/>
  <c r="BB4" i="46"/>
  <c r="E39" i="22"/>
  <c r="AN5" i="46" l="1"/>
  <c r="G58" i="22"/>
  <c r="AF5" i="46" s="1"/>
  <c r="AI5" i="46"/>
  <c r="AJ5" i="46"/>
  <c r="G63" i="22"/>
  <c r="F26" i="22" s="1"/>
  <c r="G26" i="22" s="1"/>
  <c r="AN6" i="46"/>
  <c r="AI6" i="46"/>
  <c r="I58" i="22"/>
  <c r="AZ6" i="46"/>
  <c r="I78" i="22"/>
  <c r="J22" i="21" a="1"/>
  <c r="J22" i="21" s="1"/>
  <c r="BH4" i="46"/>
  <c r="D47" i="22"/>
  <c r="AE5" i="46" l="1"/>
  <c r="G27" i="22"/>
  <c r="AQ6" i="46"/>
  <c r="H29" i="22"/>
  <c r="I7" i="22" s="1"/>
  <c r="AF6" i="46"/>
  <c r="I63" i="22"/>
  <c r="H26" i="22" s="1"/>
  <c r="I26" i="22" s="1"/>
  <c r="D48" i="22"/>
  <c r="BR4" i="46" s="1"/>
  <c r="C14" i="42"/>
  <c r="D11" i="22"/>
  <c r="T5" i="38" a="1"/>
  <c r="T5" i="38" s="1"/>
  <c r="BO4" i="46"/>
  <c r="D9" i="42" l="1"/>
  <c r="AD5" i="46"/>
  <c r="G28" i="22"/>
  <c r="AP5" i="46" s="1"/>
  <c r="G29" i="22"/>
  <c r="G31" i="22" s="1"/>
  <c r="AE6" i="46"/>
  <c r="I27" i="22"/>
  <c r="D10" i="42" l="1"/>
  <c r="AO5" i="46"/>
  <c r="G35" i="22"/>
  <c r="G34" i="22"/>
  <c r="BF5" i="46" s="1"/>
  <c r="G33" i="22"/>
  <c r="BE5" i="46" s="1"/>
  <c r="G32" i="22"/>
  <c r="E9" i="42"/>
  <c r="AD6" i="46"/>
  <c r="I28" i="22"/>
  <c r="AP6" i="46" s="1"/>
  <c r="I29" i="22"/>
  <c r="I31" i="22" s="1"/>
  <c r="D11" i="42" l="1"/>
  <c r="S6" i="38"/>
  <c r="G36" i="22"/>
  <c r="D12" i="42"/>
  <c r="BG5" i="46"/>
  <c r="E10" i="42"/>
  <c r="I35" i="22"/>
  <c r="I34" i="22"/>
  <c r="BF6" i="46" s="1"/>
  <c r="I33" i="22"/>
  <c r="BE6" i="46" s="1"/>
  <c r="I32" i="22"/>
  <c r="AO6" i="46"/>
  <c r="BD5" i="46"/>
  <c r="BC5" i="46" l="1"/>
  <c r="G37" i="22"/>
  <c r="E11" i="42"/>
  <c r="S7" i="38"/>
  <c r="I36" i="22"/>
  <c r="E12" i="42"/>
  <c r="BG6" i="46"/>
  <c r="BD6" i="46"/>
  <c r="G38" i="22" l="1"/>
  <c r="BB5" i="46"/>
  <c r="G39" i="22"/>
  <c r="BC6" i="46"/>
  <c r="I37" i="22"/>
  <c r="BH5" i="46" l="1"/>
  <c r="F47" i="22"/>
  <c r="I38" i="22"/>
  <c r="I39" i="22"/>
  <c r="BB6" i="46"/>
  <c r="V6" i="38" l="1"/>
  <c r="D14" i="42"/>
  <c r="F11" i="22"/>
  <c r="F48" i="22"/>
  <c r="BR5" i="46" s="1"/>
  <c r="U6" i="38"/>
  <c r="H47" i="22"/>
  <c r="BH6" i="46"/>
  <c r="BQ5" i="46"/>
  <c r="BP5" i="46"/>
  <c r="E14" i="42" l="1"/>
  <c r="H11" i="22"/>
  <c r="V7" i="38"/>
  <c r="H48" i="22"/>
  <c r="BR6" i="46" s="1"/>
  <c r="BQ6"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tc={97E516EA-7D90-4D6D-8DCA-86354A73FCA8}</author>
    <author>Levi Rohring</author>
  </authors>
  <commentList>
    <comment ref="AD6" authorId="0" shapeId="0" xr:uid="{97E516EA-7D90-4D6D-8DCA-86354A73FCA8}">
      <text>
        <t>[Opmerkingenthread]
U kunt deze opmerkingenthread lezen in uw versie van Excel. Eventuele wijzigingen aan de thread gaan echter verloren als het bestand wordt geopend in een nieuwere versie van Excel. Meer informatie: https://go.microsoft.com/fwlink/?linkid=870924
Opmerking:
    Hier zeggen we het volgende: alle producten zijn false m.b.t. HbH, behalve de eerste 3. Deze eerste drie zijn HbH als: (1) de HbH (vanuit 0. Initialisatie) = “Ja”), (2) de cao=VVT (als dubbelcheck), (3) er stata aangegeven (met “Ja”) dat er een Hbh product is (als dubbelcheck), allemaal rekening houdende met welke producten zijn gekozen door de aanbieder.</t>
      </text>
    </comment>
    <comment ref="AE6" authorId="1" shapeId="0" xr:uid="{00000000-0006-0000-0300-000001000000}">
      <text>
        <r>
          <rPr>
            <b/>
            <sz val="9"/>
            <color indexed="81"/>
            <rFont val="Tahoma"/>
            <family val="2"/>
          </rPr>
          <t>Levi Rohring:</t>
        </r>
        <r>
          <rPr>
            <sz val="9"/>
            <color indexed="81"/>
            <rFont val="Tahoma"/>
            <family val="2"/>
          </rPr>
          <t xml:space="preserve">
N.b.: deze is hetzelfde als de conditional formatting logica.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Levi Rohring</author>
  </authors>
  <commentList>
    <comment ref="F13" authorId="0" shapeId="0" xr:uid="{00000000-0006-0000-1C00-000001000000}">
      <text>
        <r>
          <rPr>
            <b/>
            <sz val="9"/>
            <color indexed="81"/>
            <rFont val="Tahoma"/>
            <family val="2"/>
          </rPr>
          <t>Levi Rohring:</t>
        </r>
        <r>
          <rPr>
            <sz val="9"/>
            <color indexed="81"/>
            <rFont val="Tahoma"/>
            <family val="2"/>
          </rPr>
          <t xml:space="preserve">
Hier wordt de Control Form naartoe gestuurd.</t>
        </r>
      </text>
    </comment>
    <comment ref="G13" authorId="0" shapeId="0" xr:uid="{00000000-0006-0000-1C00-000002000000}">
      <text>
        <r>
          <rPr>
            <b/>
            <sz val="9"/>
            <color indexed="81"/>
            <rFont val="Tahoma"/>
            <family val="2"/>
          </rPr>
          <t>Levi Rohring:</t>
        </r>
        <r>
          <rPr>
            <sz val="9"/>
            <color indexed="81"/>
            <rFont val="Tahoma"/>
            <family val="2"/>
          </rPr>
          <t xml:space="preserve">
Dit de de kolom die we daadwerkelijk gebruiken. Is alleen True als én het product is gekozen (links) én het niet leeg is.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tc={15F40321-11A6-4A5F-A1D8-E94A034476CA}</author>
    <author>tc={6D9A8A53-911F-4F16-BBD4-CFD837F9CB18}</author>
  </authors>
  <commentList>
    <comment ref="F3" authorId="0" shapeId="0" xr:uid="{15F40321-11A6-4A5F-A1D8-E94A034476CA}">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Na minimumlooncorrectie
</t>
      </text>
    </comment>
    <comment ref="G3" authorId="1" shapeId="0" xr:uid="{6D9A8A53-911F-4F16-BBD4-CFD837F9CB18}">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Na minimumlooncorrectie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tc={CA60AD35-067E-405D-B3CE-490399039F48}</author>
    <author>tc={1CFDD7AF-6384-4EDE-AB08-77C08DAF840E}</author>
  </authors>
  <commentList>
    <comment ref="F3" authorId="0" shapeId="0" xr:uid="{CA60AD35-067E-405D-B3CE-490399039F48}">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Na minimumlooncorrectie
</t>
      </text>
    </comment>
    <comment ref="G3" authorId="1" shapeId="0" xr:uid="{1CFDD7AF-6384-4EDE-AB08-77C08DAF840E}">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Na minimumlooncorrectie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tc={BD2A3C4D-AB0B-40DC-8486-FAE8CC5776E5}</author>
  </authors>
  <commentList>
    <comment ref="BF8" authorId="0" shapeId="0" xr:uid="{BD2A3C4D-AB0B-40DC-8486-FAE8CC5776E5}">
      <text>
        <t>[Opmerkingenthread]
U kunt deze opmerkingenthread lezen in uw versie van Excel. Eventuele wijzigingen aan de thread gaan echter verloren als het bestand wordt geopend in een nieuwere versie van Excel. Meer informatie: https://go.microsoft.com/fwlink/?linkid=870924
Opmerking:
    Hier een fallback naar FALSE voor het eerste product (omdat dit product altijd wordt getoond).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Levi Rohring</author>
  </authors>
  <commentList>
    <comment ref="B8" authorId="0" shapeId="0" xr:uid="{00000000-0006-0000-0E00-000001000000}">
      <text>
        <r>
          <rPr>
            <b/>
            <sz val="9"/>
            <color indexed="81"/>
            <rFont val="Tahoma"/>
            <family val="2"/>
          </rPr>
          <t>Levi Rohring:</t>
        </r>
        <r>
          <rPr>
            <sz val="9"/>
            <color indexed="81"/>
            <rFont val="Tahoma"/>
            <family val="2"/>
          </rPr>
          <t xml:space="preserve">
We kunnen hier ook i.p.v. een rij per optie er één rij van maken. Nadeel is dat je niet gemakkelijk heen en weer kans switchen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Levi Rohring</author>
  </authors>
  <commentList>
    <comment ref="C1" authorId="0" shapeId="0" xr:uid="{00000000-0006-0000-1700-000001000000}">
      <text>
        <r>
          <rPr>
            <b/>
            <sz val="9"/>
            <color indexed="81"/>
            <rFont val="Tahoma"/>
            <family val="2"/>
          </rPr>
          <t>Levi Rohring:</t>
        </r>
        <r>
          <rPr>
            <sz val="9"/>
            <color indexed="81"/>
            <rFont val="Tahoma"/>
            <family val="2"/>
          </rPr>
          <t xml:space="preserve">
Voor de duidelijkheid: dit gaat over de cel waarnaar we zouden willen terugverwijzen.</t>
        </r>
      </text>
    </comment>
    <comment ref="D1" authorId="0" shapeId="0" xr:uid="{00000000-0006-0000-1700-000002000000}">
      <text>
        <r>
          <rPr>
            <b/>
            <sz val="9"/>
            <color indexed="81"/>
            <rFont val="Tahoma"/>
            <family val="2"/>
          </rPr>
          <t>Levi Rohring:</t>
        </r>
        <r>
          <rPr>
            <sz val="9"/>
            <color indexed="81"/>
            <rFont val="Tahoma"/>
            <family val="2"/>
          </rPr>
          <t xml:space="preserve">
Dit is voor terugverwijzingen waarbij er meerdere mogelijke bestemmingen zijn. In dergelijke gevallen, laten we de waarde in deze kolom het terugsturen regelen.</t>
        </r>
      </text>
    </comment>
    <comment ref="E1" authorId="0" shapeId="0" xr:uid="{00000000-0006-0000-1700-000003000000}">
      <text>
        <r>
          <rPr>
            <b/>
            <sz val="9"/>
            <color indexed="81"/>
            <rFont val="Tahoma"/>
            <family val="2"/>
          </rPr>
          <t>Levi Rohring:</t>
        </r>
        <r>
          <rPr>
            <sz val="9"/>
            <color indexed="81"/>
            <rFont val="Tahoma"/>
            <family val="2"/>
          </rPr>
          <t xml:space="preserve">
Dit is de cellocatie waarnaar we willen toeverwijzen op de definities-sheet. Worden later ingevuld.
Dit is dus vooral ter overzicht/controle, maar misschien kunnen we zelfs de hulptabel gebruiken.</t>
        </r>
      </text>
    </comment>
    <comment ref="A2" authorId="0" shapeId="0" xr:uid="{00000000-0006-0000-1700-000004000000}">
      <text>
        <r>
          <rPr>
            <b/>
            <sz val="9"/>
            <color indexed="81"/>
            <rFont val="Tahoma"/>
            <family val="2"/>
          </rPr>
          <t>Levi Rohring:</t>
        </r>
        <r>
          <rPr>
            <sz val="9"/>
            <color indexed="81"/>
            <rFont val="Tahoma"/>
            <family val="2"/>
          </rPr>
          <t xml:space="preserve">
Vraag is hoe we deze begrippen (die dus hetzelfde zijn over verschillende tabbladen) gaan oplossen.
Een idee (met het oog op dat er waarschijnlijk meestal één tabblad wordt ingevoerd) is om terug te sturen o.b.v. hoeveel informatie is ingevuld op de sheets.</t>
        </r>
      </text>
    </comment>
    <comment ref="D2" authorId="0" shapeId="0" xr:uid="{00000000-0006-0000-1700-000005000000}">
      <text>
        <r>
          <rPr>
            <b/>
            <sz val="9"/>
            <color indexed="81"/>
            <rFont val="Tahoma"/>
            <family val="2"/>
          </rPr>
          <t>Levi Rohring:</t>
        </r>
        <r>
          <rPr>
            <sz val="9"/>
            <color indexed="81"/>
            <rFont val="Tahoma"/>
            <family val="2"/>
          </rPr>
          <t xml:space="preserve">
Voorbeeld van hoe we het probleem (deels) kunnen oplossen.</t>
        </r>
      </text>
    </comment>
    <comment ref="A45" authorId="0" shapeId="0" xr:uid="{00000000-0006-0000-1700-000006000000}">
      <text>
        <r>
          <rPr>
            <b/>
            <sz val="9"/>
            <color indexed="81"/>
            <rFont val="Tahoma"/>
            <family val="2"/>
          </rPr>
          <t>Levi Rohring:</t>
        </r>
        <r>
          <rPr>
            <sz val="9"/>
            <color indexed="81"/>
            <rFont val="Tahoma"/>
            <family val="2"/>
          </rPr>
          <t xml:space="preserve">
Kan er evt. uit.</t>
        </r>
      </text>
    </comment>
    <comment ref="A46" authorId="0" shapeId="0" xr:uid="{00000000-0006-0000-1700-000007000000}">
      <text>
        <r>
          <rPr>
            <b/>
            <sz val="9"/>
            <color indexed="81"/>
            <rFont val="Tahoma"/>
            <family val="2"/>
          </rPr>
          <t>Levi Rohring:</t>
        </r>
        <r>
          <rPr>
            <sz val="9"/>
            <color indexed="81"/>
            <rFont val="Tahoma"/>
            <family val="2"/>
          </rPr>
          <t xml:space="preserve">
Kan er evt. uit.</t>
        </r>
      </text>
    </comment>
    <comment ref="A47" authorId="0" shapeId="0" xr:uid="{00000000-0006-0000-1700-000008000000}">
      <text>
        <r>
          <rPr>
            <b/>
            <sz val="9"/>
            <color indexed="81"/>
            <rFont val="Tahoma"/>
            <family val="2"/>
          </rPr>
          <t>Levi Rohring:</t>
        </r>
        <r>
          <rPr>
            <sz val="9"/>
            <color indexed="81"/>
            <rFont val="Tahoma"/>
            <family val="2"/>
          </rPr>
          <t xml:space="preserve">
Ik heb van de kerngegevens alleen intensiteit overgelaten, omdat op de andere factoren van kerngegegevens al elders op het tabblad worden gevonden (we kunnen dit natuurlijk altijd volledig maken, maar draait vooral om de terugstuur-locatie)</t>
        </r>
      </text>
    </comment>
    <comment ref="A63" authorId="0" shapeId="0" xr:uid="{00000000-0006-0000-1700-000009000000}">
      <text>
        <r>
          <rPr>
            <b/>
            <sz val="9"/>
            <color indexed="81"/>
            <rFont val="Tahoma"/>
            <family val="2"/>
          </rPr>
          <t>Levi Rohring:</t>
        </r>
        <r>
          <rPr>
            <sz val="9"/>
            <color indexed="81"/>
            <rFont val="Tahoma"/>
            <family val="2"/>
          </rPr>
          <t xml:space="preserve">
Even kijken wat je met dit soort dingen doet: % overhead vs. Opslag overhead (zelfde geldt voor risico, etc)</t>
        </r>
      </text>
    </comment>
    <comment ref="A91" authorId="0" shapeId="0" xr:uid="{00000000-0006-0000-1700-00000A000000}">
      <text>
        <r>
          <rPr>
            <b/>
            <sz val="9"/>
            <color indexed="81"/>
            <rFont val="Tahoma"/>
            <family val="2"/>
          </rPr>
          <t>Levi Rohring:</t>
        </r>
        <r>
          <rPr>
            <sz val="9"/>
            <color indexed="81"/>
            <rFont val="Tahoma"/>
            <family val="2"/>
          </rPr>
          <t xml:space="preserve">
Wederom kijken wat je hiermee doet: eerder al % opgegeven, nu staat het in uren.</t>
        </r>
      </text>
    </comment>
    <comment ref="A92" authorId="0" shapeId="0" xr:uid="{00000000-0006-0000-1700-00000B000000}">
      <text>
        <r>
          <rPr>
            <b/>
            <sz val="9"/>
            <color indexed="81"/>
            <rFont val="Tahoma"/>
            <family val="2"/>
          </rPr>
          <t>Levi Rohring:</t>
        </r>
        <r>
          <rPr>
            <sz val="9"/>
            <color indexed="81"/>
            <rFont val="Tahoma"/>
            <family val="2"/>
          </rPr>
          <t xml:space="preserve">
Pas op: ziekteverzuim stond natuurlijk ook al bij 1a.</t>
        </r>
      </text>
    </comment>
    <comment ref="A102" authorId="0" shapeId="0" xr:uid="{00000000-0006-0000-1700-00000C000000}">
      <text>
        <r>
          <rPr>
            <b/>
            <sz val="9"/>
            <color indexed="81"/>
            <rFont val="Tahoma"/>
            <family val="2"/>
          </rPr>
          <t>Levi Rohring:</t>
        </r>
        <r>
          <rPr>
            <sz val="9"/>
            <color indexed="81"/>
            <rFont val="Tahoma"/>
            <family val="2"/>
          </rPr>
          <t xml:space="preserve">
Vanaf hier gezinshuisouder</t>
        </r>
      </text>
    </comment>
    <comment ref="A104" authorId="0" shapeId="0" xr:uid="{00000000-0006-0000-1700-00000D000000}">
      <text>
        <r>
          <rPr>
            <b/>
            <sz val="9"/>
            <color indexed="81"/>
            <rFont val="Tahoma"/>
            <family val="2"/>
          </rPr>
          <t>Levi Rohring:</t>
        </r>
        <r>
          <rPr>
            <sz val="9"/>
            <color indexed="81"/>
            <rFont val="Tahoma"/>
            <family val="2"/>
          </rPr>
          <t xml:space="preserve">
Vanaf hier ondersteuning</t>
        </r>
      </text>
    </comment>
    <comment ref="A107" authorId="0" shapeId="0" xr:uid="{00000000-0006-0000-1700-00000E000000}">
      <text>
        <r>
          <rPr>
            <b/>
            <sz val="9"/>
            <color indexed="81"/>
            <rFont val="Tahoma"/>
            <family val="2"/>
          </rPr>
          <t>Levi Rohring:</t>
        </r>
        <r>
          <rPr>
            <sz val="9"/>
            <color indexed="81"/>
            <rFont val="Tahoma"/>
            <family val="2"/>
          </rPr>
          <t xml:space="preserve">
</t>
        </r>
      </text>
    </comment>
    <comment ref="A114" authorId="0" shapeId="0" xr:uid="{00000000-0006-0000-1700-00000F000000}">
      <text>
        <r>
          <rPr>
            <b/>
            <sz val="9"/>
            <color indexed="81"/>
            <rFont val="Tahoma"/>
            <family val="2"/>
          </rPr>
          <t>Levi Rohring:</t>
        </r>
        <r>
          <rPr>
            <sz val="9"/>
            <color indexed="81"/>
            <rFont val="Tahoma"/>
            <family val="2"/>
          </rPr>
          <t xml:space="preserve">
Gaat over overhead.</t>
        </r>
      </text>
    </comment>
    <comment ref="A115" authorId="0" shapeId="0" xr:uid="{00000000-0006-0000-1700-000010000000}">
      <text>
        <r>
          <rPr>
            <b/>
            <sz val="9"/>
            <color indexed="81"/>
            <rFont val="Tahoma"/>
            <family val="2"/>
          </rPr>
          <t>Levi Rohring:</t>
        </r>
        <r>
          <rPr>
            <sz val="9"/>
            <color indexed="81"/>
            <rFont val="Tahoma"/>
            <family val="2"/>
          </rPr>
          <t xml:space="preserve">
Gaat over overhead.</t>
        </r>
      </text>
    </comment>
    <comment ref="A138" authorId="0" shapeId="0" xr:uid="{00000000-0006-0000-1700-000011000000}">
      <text>
        <r>
          <rPr>
            <b/>
            <sz val="9"/>
            <color indexed="81"/>
            <rFont val="Tahoma"/>
            <family val="2"/>
          </rPr>
          <t>Levi Rohring:</t>
        </r>
        <r>
          <rPr>
            <sz val="9"/>
            <color indexed="81"/>
            <rFont val="Tahoma"/>
            <family val="2"/>
          </rPr>
          <t xml:space="preserve">
Gaat over 'Aandeel (%) pleegkinderen per leeftijdscategorie'.</t>
        </r>
      </text>
    </comment>
    <comment ref="A145" authorId="0" shapeId="0" xr:uid="{00000000-0006-0000-1700-000012000000}">
      <text>
        <r>
          <rPr>
            <b/>
            <sz val="9"/>
            <color indexed="81"/>
            <rFont val="Tahoma"/>
            <family val="2"/>
          </rPr>
          <t>Levi Rohring:</t>
        </r>
        <r>
          <rPr>
            <sz val="9"/>
            <color indexed="81"/>
            <rFont val="Tahoma"/>
            <family val="2"/>
          </rPr>
          <t xml:space="preserve">
Dit wordt opgesplitst in vol- en deeltijd.</t>
        </r>
      </text>
    </comment>
    <comment ref="A146" authorId="0" shapeId="0" xr:uid="{00000000-0006-0000-1700-000013000000}">
      <text>
        <r>
          <rPr>
            <b/>
            <sz val="9"/>
            <color indexed="81"/>
            <rFont val="Tahoma"/>
            <family val="2"/>
          </rPr>
          <t>Levi Rohring:</t>
        </r>
        <r>
          <rPr>
            <sz val="9"/>
            <color indexed="81"/>
            <rFont val="Tahoma"/>
            <family val="2"/>
          </rPr>
          <t xml:space="preserve">
Dit wordt opgesplitst in ondersteuning en gedragswetenschapper.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Levi Rohring</author>
  </authors>
  <commentList>
    <comment ref="M1" authorId="0" shapeId="0" xr:uid="{00000000-0006-0000-1800-000001000000}">
      <text>
        <r>
          <rPr>
            <b/>
            <sz val="9"/>
            <color indexed="81"/>
            <rFont val="Tahoma"/>
            <family val="2"/>
          </rPr>
          <t>Levi Rohring:</t>
        </r>
        <r>
          <rPr>
            <sz val="9"/>
            <color indexed="81"/>
            <rFont val="Tahoma"/>
            <family val="2"/>
          </rPr>
          <t xml:space="preserve">
Aanname is dat we alleen meerdere kandidaat-sheets hebben voor algemene producten, en dus dat één column genoeg is.</t>
        </r>
      </text>
    </comment>
    <comment ref="Q1" authorId="0" shapeId="0" xr:uid="{00000000-0006-0000-1800-000002000000}">
      <text>
        <r>
          <rPr>
            <b/>
            <sz val="9"/>
            <color indexed="81"/>
            <rFont val="Tahoma"/>
            <family val="2"/>
          </rPr>
          <t>Levi Rohring:</t>
        </r>
        <r>
          <rPr>
            <sz val="9"/>
            <color indexed="81"/>
            <rFont val="Tahoma"/>
            <family val="2"/>
          </rPr>
          <t xml:space="preserve">
Aanname is dat we nergens vstep's nodig hebben.</t>
        </r>
      </text>
    </comment>
    <comment ref="T1" authorId="0" shapeId="0" xr:uid="{00000000-0006-0000-1800-000003000000}">
      <text>
        <r>
          <rPr>
            <b/>
            <sz val="9"/>
            <color indexed="81"/>
            <rFont val="Tahoma"/>
            <family val="2"/>
          </rPr>
          <t>Levi Rohring:</t>
        </r>
        <r>
          <rPr>
            <sz val="9"/>
            <color indexed="81"/>
            <rFont val="Tahoma"/>
            <family val="2"/>
          </rPr>
          <t xml:space="preserve">
Dit is voor informatie welke dusdanig ingewikkeld is dat het het niet waard is om de generieke formule er op aan te passen. We berkenen de bijbehorende waarde in Hulp (overig)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Levi Rohring</author>
    <author>tc={5528D6F0-943D-4506-8A24-E0383E1C38BB}</author>
    <author>tc={1C4911D6-078A-47AD-8B76-6EB30430DB81}</author>
    <author>tc={B05C06F2-FD95-48AD-A574-16264DF8DEFD}</author>
    <author>tc={A5E5D92E-7BA4-4A6D-B36C-08BE380C63AE}</author>
    <author>tc={A47B27A6-BCE9-4246-B7E4-5AD403288EBB}</author>
  </authors>
  <commentList>
    <comment ref="C4" authorId="0" shapeId="0" xr:uid="{00000000-0006-0000-1900-000001000000}">
      <text>
        <r>
          <rPr>
            <b/>
            <sz val="9"/>
            <color indexed="81"/>
            <rFont val="Tahoma"/>
            <family val="2"/>
          </rPr>
          <t>Levi Rohring:</t>
        </r>
        <r>
          <rPr>
            <sz val="9"/>
            <color indexed="81"/>
            <rFont val="Tahoma"/>
            <family val="2"/>
          </rPr>
          <t xml:space="preserve">
Hier pakken we met voorkeur vanuit de kolom met het ingevulde jaar, en anders het meest recente jaar.</t>
        </r>
      </text>
    </comment>
    <comment ref="J4" authorId="0" shapeId="0" xr:uid="{00000000-0006-0000-1900-000002000000}">
      <text>
        <r>
          <rPr>
            <b/>
            <sz val="9"/>
            <color indexed="81"/>
            <rFont val="Tahoma"/>
            <family val="2"/>
          </rPr>
          <t>Levi Rohring:</t>
        </r>
        <r>
          <rPr>
            <sz val="9"/>
            <color indexed="81"/>
            <rFont val="Tahoma"/>
            <family val="2"/>
          </rPr>
          <t xml:space="preserve">
Deze gebruiken we niet (we pakken namelijk gewoon uit de output-bladen.</t>
        </r>
      </text>
    </comment>
    <comment ref="L4" authorId="0" shapeId="0" xr:uid="{00000000-0006-0000-1900-000003000000}">
      <text>
        <r>
          <rPr>
            <b/>
            <sz val="9"/>
            <color indexed="81"/>
            <rFont val="Tahoma"/>
            <family val="2"/>
          </rPr>
          <t>Levi Rohring:</t>
        </r>
        <r>
          <rPr>
            <sz val="9"/>
            <color indexed="81"/>
            <rFont val="Tahoma"/>
            <family val="2"/>
          </rPr>
          <t xml:space="preserve">
We hebben een andere manier voor gezinshuizen omdat die 'vast' staan.
Overigens is een belangrijk aanname dat dit nummer ALTIJD correspondeert naar de plek in het bijbehorende (output) sheet.</t>
        </r>
      </text>
    </comment>
    <comment ref="P4" authorId="0" shapeId="0" xr:uid="{00000000-0006-0000-1900-000004000000}">
      <text>
        <r>
          <rPr>
            <b/>
            <sz val="9"/>
            <color indexed="81"/>
            <rFont val="Tahoma"/>
            <family val="2"/>
          </rPr>
          <t>Levi Rohring:</t>
        </r>
        <r>
          <rPr>
            <sz val="9"/>
            <color indexed="81"/>
            <rFont val="Tahoma"/>
            <family val="2"/>
          </rPr>
          <t xml:space="preserve">
Dit zijn de uitzonderingen waarbij we het buiten de generieke formule berekenen.</t>
        </r>
      </text>
    </comment>
    <comment ref="F6" authorId="1" shapeId="0" xr:uid="{5528D6F0-943D-4506-8A24-E0383E1C38BB}">
      <text>
        <t>[Opmerkingenthread]
U kunt deze opmerkingenthread lezen in uw versie van Excel. Eventuele wijzigingen aan de thread gaan echter verloren als het bestand wordt geopend in een nieuwere versie van Excel. Meer informatie: https://go.microsoft.com/fwlink/?linkid=870924
Opmerking:
    Deze hadden we eerst op 79412 staan</t>
      </text>
    </comment>
    <comment ref="E8" authorId="2" shapeId="0" xr:uid="{1C4911D6-078A-47AD-8B76-6EB30430DB81}">
      <text>
        <t>[Opmerkingenthread]
U kunt deze opmerkingenthread lezen in uw versie van Excel. Eventuele wijzigingen aan de thread gaan echter verloren als het bestand wordt geopend in een nieuwere versie van Excel. Meer informatie: https://go.microsoft.com/fwlink/?linkid=870924
Opmerking:
    Deze hadden we eerst op 16555 staan</t>
      </text>
    </comment>
    <comment ref="F9" authorId="3" shapeId="0" xr:uid="{B05C06F2-FD95-48AD-A574-16264DF8DEFD}">
      <text>
        <t>[Opmerkingenthread]
U kunt deze opmerkingenthread lezen in uw versie van Excel. Eventuele wijzigingen aan de thread gaan echter verloren als het bestand wordt geopend in een nieuwere versie van Excel. Meer informatie: https://go.microsoft.com/fwlink/?linkid=870924
Opmerking:
    AP gaat eruit, dus niet meer relevant</t>
      </text>
    </comment>
    <comment ref="B10" authorId="0" shapeId="0" xr:uid="{00000000-0006-0000-1900-000007000000}">
      <text>
        <r>
          <rPr>
            <b/>
            <sz val="9"/>
            <color indexed="81"/>
            <rFont val="Tahoma"/>
            <family val="2"/>
          </rPr>
          <t>Levi Rohring:</t>
        </r>
        <r>
          <rPr>
            <sz val="9"/>
            <color indexed="81"/>
            <rFont val="Tahoma"/>
            <family val="2"/>
          </rPr>
          <t xml:space="preserve">
We doen er in de rekenwaarde al 0,5% bovenop.
</t>
        </r>
      </text>
    </comment>
    <comment ref="B11" authorId="0" shapeId="0" xr:uid="{00000000-0006-0000-1900-000008000000}">
      <text>
        <r>
          <rPr>
            <b/>
            <sz val="9"/>
            <color indexed="81"/>
            <rFont val="Tahoma"/>
            <family val="2"/>
          </rPr>
          <t>Levi Rohring:</t>
        </r>
        <r>
          <rPr>
            <sz val="9"/>
            <color indexed="81"/>
            <rFont val="Tahoma"/>
            <family val="2"/>
          </rPr>
          <t xml:space="preserve">
We doen er in de rekenwaarde al 0,5% bovenop.</t>
        </r>
      </text>
    </comment>
    <comment ref="C15" authorId="0" shapeId="0" xr:uid="{00000000-0006-0000-1900-000009000000}">
      <text>
        <r>
          <rPr>
            <b/>
            <sz val="9"/>
            <color indexed="81"/>
            <rFont val="Tahoma"/>
            <family val="2"/>
          </rPr>
          <t>Levi Rohring:</t>
        </r>
        <r>
          <rPr>
            <sz val="9"/>
            <color indexed="81"/>
            <rFont val="Tahoma"/>
            <family val="2"/>
          </rPr>
          <t xml:space="preserve">
Deze kan NA worden als er niks staat (voor het CAO), maar dit wordt rechtgetrokken in de output. </t>
        </r>
      </text>
    </comment>
    <comment ref="B17" authorId="0" shapeId="0" xr:uid="{00000000-0006-0000-1900-00000A000000}">
      <text>
        <r>
          <rPr>
            <b/>
            <sz val="9"/>
            <color indexed="81"/>
            <rFont val="Tahoma"/>
            <family val="2"/>
          </rPr>
          <t>Levi Rohring:</t>
        </r>
        <r>
          <rPr>
            <sz val="9"/>
            <color indexed="81"/>
            <rFont val="Tahoma"/>
            <family val="2"/>
          </rPr>
          <t xml:space="preserve">
De kolom die gepakt moet worden is (door de nieuwe aanpak) niet meer afhankelijk van het jaar. Vandaar dat de kolom constant is over de jaren, maar we hem wel (voor de makkelijk) gewoon hier laten.</t>
        </r>
      </text>
    </comment>
    <comment ref="F22" authorId="4" shapeId="0" xr:uid="{A5E5D92E-7BA4-4A6D-B36C-08BE380C63AE}">
      <text>
        <t>[Opmerkingenthread]
U kunt deze opmerkingenthread lezen in uw versie van Excel. Eventuele wijzigingen aan de thread gaan echter verloren als het bestand wordt geopend in een nieuwere versie van Excel. Meer informatie: https://go.microsoft.com/fwlink/?linkid=870924
Opmerking:
    AP gaat eruit, dus niet meer relevant</t>
      </text>
    </comment>
    <comment ref="F23" authorId="5" shapeId="0" xr:uid="{A47B27A6-BCE9-4246-B7E4-5AD403288EBB}">
      <text>
        <t>[Opmerkingenthread]
U kunt deze opmerkingenthread lezen in uw versie van Excel. Eventuele wijzigingen aan de thread gaan echter verloren als het bestand wordt geopend in een nieuwere versie van Excel. Meer informatie: https://go.microsoft.com/fwlink/?linkid=870924
Opmerking:
    AP gaat eruit, dus niet meer relevant</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tc={DB883083-11B5-42C7-8FCC-54835567259A}</author>
    <author>tc={446B02FA-2243-42C5-90DD-19D76AD18E62}</author>
  </authors>
  <commentList>
    <comment ref="C7" authorId="0" shapeId="0" xr:uid="{DB883083-11B5-42C7-8FCC-54835567259A}">
      <text>
        <t>[Opmerkingenthread]
U kunt deze opmerkingenthread lezen in uw versie van Excel. Eventuele wijzigingen aan de thread gaan echter verloren als het bestand wordt geopend in een nieuwere versie van Excel. Meer informatie: https://go.microsoft.com/fwlink/?linkid=870924
Opmerking:
    N.b.: er gaan verschillende percentages in de rondte.</t>
      </text>
    </comment>
    <comment ref="C8" authorId="1" shapeId="0" xr:uid="{446B02FA-2243-42C5-90DD-19D76AD18E62}">
      <text>
        <t>[Opmerkingenthread]
U kunt deze opmerkingenthread lezen in uw versie van Excel. Eventuele wijzigingen aan de thread gaan echter verloren als het bestand wordt geopend in een nieuwere versie van Excel. Meer informatie: https://go.microsoft.com/fwlink/?linkid=870924
Opmerking:
    N.b.: er gaan verschillende percentages in de rondte.</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Levi Rohring</author>
  </authors>
  <commentList>
    <comment ref="B2" authorId="0" shapeId="0" xr:uid="{00000000-0006-0000-1A00-000001000000}">
      <text>
        <r>
          <rPr>
            <b/>
            <sz val="9"/>
            <color indexed="81"/>
            <rFont val="Tahoma"/>
            <family val="2"/>
          </rPr>
          <t>Levi Rohring:</t>
        </r>
        <r>
          <rPr>
            <sz val="9"/>
            <color indexed="81"/>
            <rFont val="Tahoma"/>
            <family val="2"/>
          </rPr>
          <t xml:space="preserve">
Heb voor nu alleen de variabelen gedaan zonder subgroep + opslag overhead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Levi Rohring</author>
    <author>tc={15D2826F-EE91-4DE1-8547-283FB535852F}</author>
    <author>tc={FB6F1238-C0EA-4EE5-86FF-475A1A6BB975}</author>
    <author>tc={1DA7EE0B-4992-46D8-8946-DD09A288F844}</author>
    <author>tc={08DF5EE6-6479-4BF3-95CB-9519EBEC3AFA}</author>
    <author>tc={0424EA4C-DBFA-4942-B47B-02FCCFB122B7}</author>
    <author>tc={92342ED7-7838-4617-8168-C44ECE90200B}</author>
    <author>tc={03345228-506D-4EEB-A2D1-38A292823935}</author>
    <author>tc={55FB1263-C0DD-4D01-A48D-C4826349DD82}</author>
  </authors>
  <commentList>
    <comment ref="G2" authorId="0" shapeId="0" xr:uid="{00000000-0006-0000-1B00-000001000000}">
      <text>
        <r>
          <rPr>
            <b/>
            <sz val="9"/>
            <color indexed="81"/>
            <rFont val="Tahoma"/>
            <family val="2"/>
          </rPr>
          <t>Levi Rohring:</t>
        </r>
        <r>
          <rPr>
            <sz val="9"/>
            <color indexed="81"/>
            <rFont val="Tahoma"/>
            <family val="2"/>
          </rPr>
          <t xml:space="preserve">
Deze worden momenteel gehardcode, omdat het anders moeilijk is met % vs. /j/FTE</t>
        </r>
      </text>
    </comment>
    <comment ref="AE2" authorId="0" shapeId="0" xr:uid="{00000000-0006-0000-1B00-000002000000}">
      <text>
        <r>
          <rPr>
            <b/>
            <sz val="9"/>
            <color indexed="81"/>
            <rFont val="Tahoma"/>
            <family val="2"/>
          </rPr>
          <t>Levi Rohring:</t>
        </r>
        <r>
          <rPr>
            <sz val="9"/>
            <color indexed="81"/>
            <rFont val="Tahoma"/>
            <family val="2"/>
          </rPr>
          <t xml:space="preserve">
Dit is het gewogen sheet. Dit is het sheet waarop, voor een gegeven jaar, een gewogen bedrag wordt gepakt van de relevante peildatums.</t>
        </r>
      </text>
    </comment>
    <comment ref="AM2" authorId="0" shapeId="0" xr:uid="{326BEE0F-B0C6-40BB-B16F-F4D752AACB00}">
      <text>
        <r>
          <rPr>
            <b/>
            <sz val="9"/>
            <color indexed="81"/>
            <rFont val="Tahoma"/>
            <family val="2"/>
          </rPr>
          <t>Levi Rohring:</t>
        </r>
        <r>
          <rPr>
            <sz val="9"/>
            <color indexed="81"/>
            <rFont val="Tahoma"/>
            <family val="2"/>
          </rPr>
          <t xml:space="preserve">
Deze worden momenteel gehardcode, omdat het anders moeilijk is met % vs. /j/FTE</t>
        </r>
      </text>
    </comment>
    <comment ref="AI3" authorId="1" shapeId="0" xr:uid="{15D2826F-EE91-4DE1-8547-283FB535852F}">
      <text>
        <t>[Opmerkingenthread]
U kunt deze opmerkingenthread lezen in uw versie van Excel. Eventuele wijzigingen aan de thread gaan echter verloren als het bestand wordt geopend in een nieuwere versie van Excel. Meer informatie: https://go.microsoft.com/fwlink/?linkid=870924
Opmerking:
    Moet volgens mij nog wachten op het officiële cao.</t>
      </text>
    </comment>
    <comment ref="G4" authorId="2" shapeId="0" xr:uid="{FB6F1238-C0EA-4EE5-86FF-475A1A6BB975}">
      <text>
        <t>[Opmerkingenthread]
U kunt deze opmerkingenthread lezen in uw versie van Excel. Eventuele wijzigingen aan de thread gaan echter verloren als het bestand wordt geopend in een nieuwere versie van Excel. Meer informatie: https://go.microsoft.com/fwlink/?linkid=870924
Opmerking:
    Balansbudget</t>
      </text>
    </comment>
    <comment ref="J4" authorId="3" shapeId="0" xr:uid="{1DA7EE0B-4992-46D8-8946-DD09A288F844}">
      <text>
        <t>[Opmerkingenthread]
U kunt deze opmerkingenthread lezen in uw versie van Excel. Eventuele wijzigingen aan de thread gaan echter verloren als het bestand wordt geopend in een nieuwere versie van Excel. Meer informatie: https://go.microsoft.com/fwlink/?linkid=870924
Opmerking:
    We gebruiken hier een speciale formule die (i) tekst ( van minder dan 5 char) toe staat en (ii) waardes eruit filtert als het een nummer deelbaar door 5 is.</t>
      </text>
    </comment>
    <comment ref="AM4" authorId="4" shapeId="0" xr:uid="{08DF5EE6-6479-4BF3-95CB-9519EBEC3AFA}">
      <text>
        <t>[Opmerkingenthread]
U kunt deze opmerkingenthread lezen in uw versie van Excel. Eventuele wijzigingen aan de thread gaan echter verloren als het bestand wordt geopend in een nieuwere versie van Excel. Meer informatie: https://go.microsoft.com/fwlink/?linkid=870924
Opmerking:
    Balansbudget</t>
      </text>
    </comment>
    <comment ref="G5" authorId="5" shapeId="0" xr:uid="{0424EA4C-DBFA-4942-B47B-02FCCFB122B7}">
      <text>
        <t>[Opmerkingenthread]
U kunt deze opmerkingenthread lezen in uw versie van Excel. Eventuele wijzigingen aan de thread gaan echter verloren als het bestand wordt geopend in een nieuwere versie van Excel. Meer informatie: https://go.microsoft.com/fwlink/?linkid=870924
Opmerking:
    Loopbaanbudget</t>
      </text>
    </comment>
    <comment ref="AM5" authorId="6" shapeId="0" xr:uid="{92342ED7-7838-4617-8168-C44ECE90200B}">
      <text>
        <t>[Opmerkingenthread]
U kunt deze opmerkingenthread lezen in uw versie van Excel. Eventuele wijzigingen aan de thread gaan echter verloren als het bestand wordt geopend in een nieuwere versie van Excel. Meer informatie: https://go.microsoft.com/fwlink/?linkid=870924
Opmerking:
    Loopbaanbudget</t>
      </text>
    </comment>
    <comment ref="J8" authorId="7" shapeId="0" xr:uid="{03345228-506D-4EEB-A2D1-38A292823935}">
      <text>
        <t>[Opmerkingenthread]
U kunt deze opmerkingenthread lezen in uw versie van Excel. Eventuele wijzigingen aan de thread gaan echter verloren als het bestand wordt geopend in een nieuwere versie van Excel. Meer informatie: https://go.microsoft.com/fwlink/?linkid=870924
Opmerking:
    Dit zijn de HHH-schalen</t>
      </text>
    </comment>
    <comment ref="AE8" authorId="8" shapeId="0" xr:uid="{55FB1263-C0DD-4D01-A48D-C4826349DD82}">
      <text>
        <t>[Opmerkingenthread]
U kunt deze opmerkingenthread lezen in uw versie van Excel. Eventuele wijzigingen aan de thread gaan echter verloren als het bestand wordt geopend in een nieuwere versie van Excel. Meer informatie: https://go.microsoft.com/fwlink/?linkid=870924
Opmerking:
    Deze gebruiken we voor referenties in de salarisfunctie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<sst xmlns="http://schemas.openxmlformats.org/spreadsheetml/2006/main" count="12705" uniqueCount="2246">
  <si>
    <t>PPRC zorg BV</t>
  </si>
  <si>
    <t>Producten</t>
  </si>
  <si>
    <t>GGZ</t>
  </si>
  <si>
    <t>Organisatie-specifieke parameters</t>
  </si>
  <si>
    <t>Verlof</t>
  </si>
  <si>
    <t>Product</t>
  </si>
  <si>
    <t>Opslag vakantiegeld</t>
  </si>
  <si>
    <t>Opslag eindejaarsuitkering</t>
  </si>
  <si>
    <t>Sociale lasten</t>
  </si>
  <si>
    <t>Totale directe loonkosten</t>
  </si>
  <si>
    <t>Opslag overhead</t>
  </si>
  <si>
    <t>Organisatienaam</t>
  </si>
  <si>
    <t>CAO</t>
  </si>
  <si>
    <t>Referentiejaar</t>
  </si>
  <si>
    <t>Organisationele informatie</t>
  </si>
  <si>
    <t>Overige personeelskosten</t>
  </si>
  <si>
    <t>Productiviteit</t>
  </si>
  <si>
    <t>Ziekteverzuim</t>
  </si>
  <si>
    <t>WAO-WIA premie</t>
  </si>
  <si>
    <t>WW premie</t>
  </si>
  <si>
    <t>ZVW premie</t>
  </si>
  <si>
    <t>WHK premie</t>
  </si>
  <si>
    <t>WGA premie</t>
  </si>
  <si>
    <t>Naam</t>
  </si>
  <si>
    <t>Productgroep</t>
  </si>
  <si>
    <t>Reiskosten woon-werk</t>
  </si>
  <si>
    <t>Reiskosten werk-werk</t>
  </si>
  <si>
    <t>Per etmaal</t>
  </si>
  <si>
    <t>Schaal</t>
  </si>
  <si>
    <t>Trede (gemiddeld)</t>
  </si>
  <si>
    <t>Gewogen bruto maandsalaris</t>
  </si>
  <si>
    <t>Functiemix van product</t>
  </si>
  <si>
    <t>Handmatige invulling</t>
  </si>
  <si>
    <t>Bruto uurloon</t>
  </si>
  <si>
    <t>Onregelmatigheidstoeslag</t>
  </si>
  <si>
    <t>Totaal bruto uurloon</t>
  </si>
  <si>
    <t>Totale sociale lasten</t>
  </si>
  <si>
    <t>AOW franchise 2025</t>
  </si>
  <si>
    <t>Werkgeversdeel OP (obv cao)</t>
  </si>
  <si>
    <t>AP franchise 2025</t>
  </si>
  <si>
    <t>AP premie per jaar</t>
  </si>
  <si>
    <t>Werkgeversdeel AP (obv cao)</t>
  </si>
  <si>
    <t>Totaal werkgeversdeel pensioenpremies</t>
  </si>
  <si>
    <t>Totale pensioenslasten</t>
  </si>
  <si>
    <t>Totale uren (per jaar)</t>
  </si>
  <si>
    <t>Opleidingstijd</t>
  </si>
  <si>
    <t>Zakelijke reistijd</t>
  </si>
  <si>
    <t>Overleg, administratie cliëntgebonden</t>
  </si>
  <si>
    <t>Overleg, administratie niet-cliëntgebonden</t>
  </si>
  <si>
    <t>No show</t>
  </si>
  <si>
    <t>Bruto uren</t>
  </si>
  <si>
    <t>Netto uren</t>
  </si>
  <si>
    <t>Productiviteit (%)</t>
  </si>
  <si>
    <t>Correctie voor productiviteit</t>
  </si>
  <si>
    <t>Opslag risico</t>
  </si>
  <si>
    <t>Opslag marge</t>
  </si>
  <si>
    <t>Opslag innovatie</t>
  </si>
  <si>
    <t>Totaal opslagen</t>
  </si>
  <si>
    <t>Productgroep-specifieke parameters</t>
  </si>
  <si>
    <t>Aandeel in product</t>
  </si>
  <si>
    <t>Aandeel in %</t>
  </si>
  <si>
    <t>Tarievenopbouw</t>
  </si>
  <si>
    <t>Pensioenopbouw</t>
  </si>
  <si>
    <t>Productiviteitsopbouw</t>
  </si>
  <si>
    <t>Control forms</t>
  </si>
  <si>
    <t>Knoppen</t>
  </si>
  <si>
    <t>Ziekteverzuim op productniveau specificeren</t>
  </si>
  <si>
    <t>Opslag PNIL</t>
  </si>
  <si>
    <t>PNIL</t>
  </si>
  <si>
    <t>Overige vergoedingen</t>
  </si>
  <si>
    <t>Opslagen</t>
  </si>
  <si>
    <t>Overhead, meerkosten PNIL en overige personeelskosten</t>
  </si>
  <si>
    <t>Opleidingstijd (in uren)</t>
  </si>
  <si>
    <t>Huisvestings- en cliëntgebonden kosten</t>
  </si>
  <si>
    <t>- waarvan flexibele inzet</t>
  </si>
  <si>
    <t>- waarvan vaste inzet</t>
  </si>
  <si>
    <t>Risico</t>
  </si>
  <si>
    <t>Marge</t>
  </si>
  <si>
    <t>Innovatie</t>
  </si>
  <si>
    <t>Opslagen risico op productniveau specificeren</t>
  </si>
  <si>
    <t>Opslagen marge op productniveau specificeren</t>
  </si>
  <si>
    <t>Opslagen innovatie op productniveau specificeren</t>
  </si>
  <si>
    <t>15_uitloopperiodiek 2</t>
  </si>
  <si>
    <t>uitloopperiodiek 2</t>
  </si>
  <si>
    <t>15_uitloopperiodiek 1</t>
  </si>
  <si>
    <t>uitloopperiodiek 1</t>
  </si>
  <si>
    <t>15_9</t>
  </si>
  <si>
    <t>9</t>
  </si>
  <si>
    <t>15_8</t>
  </si>
  <si>
    <t>8</t>
  </si>
  <si>
    <t>15_7</t>
  </si>
  <si>
    <t>7</t>
  </si>
  <si>
    <t>15_6</t>
  </si>
  <si>
    <t>6</t>
  </si>
  <si>
    <t>15_5</t>
  </si>
  <si>
    <t>5</t>
  </si>
  <si>
    <t>15_4</t>
  </si>
  <si>
    <t>4</t>
  </si>
  <si>
    <t>15_3</t>
  </si>
  <si>
    <t>3</t>
  </si>
  <si>
    <t>15_2</t>
  </si>
  <si>
    <t>2</t>
  </si>
  <si>
    <t>15_13</t>
  </si>
  <si>
    <t>13</t>
  </si>
  <si>
    <t>15_12</t>
  </si>
  <si>
    <t>12</t>
  </si>
  <si>
    <t>15_11</t>
  </si>
  <si>
    <t>11</t>
  </si>
  <si>
    <t>15_10</t>
  </si>
  <si>
    <t>10</t>
  </si>
  <si>
    <t>15_1</t>
  </si>
  <si>
    <t>1</t>
  </si>
  <si>
    <t>15_0</t>
  </si>
  <si>
    <t>0</t>
  </si>
  <si>
    <t>14_uitloopperiodiek 2</t>
  </si>
  <si>
    <t>14_uitloopperiodiek 1</t>
  </si>
  <si>
    <t>14_9</t>
  </si>
  <si>
    <t>14_8</t>
  </si>
  <si>
    <t>14_7</t>
  </si>
  <si>
    <t>14_6</t>
  </si>
  <si>
    <t>14_5</t>
  </si>
  <si>
    <t>14_4</t>
  </si>
  <si>
    <t>14_3</t>
  </si>
  <si>
    <t>14_2</t>
  </si>
  <si>
    <t>14_13</t>
  </si>
  <si>
    <t>14_12</t>
  </si>
  <si>
    <t>14_11</t>
  </si>
  <si>
    <t>14_10</t>
  </si>
  <si>
    <t>14_1</t>
  </si>
  <si>
    <t>14_0</t>
  </si>
  <si>
    <t>13_uitloopperiodiek 2</t>
  </si>
  <si>
    <t>13_uitloopperiodiek 1</t>
  </si>
  <si>
    <t>13_9</t>
  </si>
  <si>
    <t>13_8</t>
  </si>
  <si>
    <t>13_7</t>
  </si>
  <si>
    <t>13_6</t>
  </si>
  <si>
    <t>13_5</t>
  </si>
  <si>
    <t>13_4</t>
  </si>
  <si>
    <t>13_3</t>
  </si>
  <si>
    <t>13_2</t>
  </si>
  <si>
    <t>13_13</t>
  </si>
  <si>
    <t>13_12</t>
  </si>
  <si>
    <t>13_11</t>
  </si>
  <si>
    <t>13_10</t>
  </si>
  <si>
    <t>13_1</t>
  </si>
  <si>
    <t>13_0</t>
  </si>
  <si>
    <t>12_uitloopperiodiek 2</t>
  </si>
  <si>
    <t>12_uitloopperiodiek 1</t>
  </si>
  <si>
    <t>12_9</t>
  </si>
  <si>
    <t>12_8</t>
  </si>
  <si>
    <t>12_7</t>
  </si>
  <si>
    <t>12_6</t>
  </si>
  <si>
    <t>12_5</t>
  </si>
  <si>
    <t>12_4</t>
  </si>
  <si>
    <t>12_3</t>
  </si>
  <si>
    <t>12_2</t>
  </si>
  <si>
    <t>12_13</t>
  </si>
  <si>
    <t>12_12</t>
  </si>
  <si>
    <t>12_11</t>
  </si>
  <si>
    <t>12_10</t>
  </si>
  <si>
    <t>12_1</t>
  </si>
  <si>
    <t>12_0</t>
  </si>
  <si>
    <t>11_uitloopperiodiek 2</t>
  </si>
  <si>
    <t>11_uitloopperiodiek 1</t>
  </si>
  <si>
    <t>11_9</t>
  </si>
  <si>
    <t>11_8</t>
  </si>
  <si>
    <t>11_7</t>
  </si>
  <si>
    <t>11_6</t>
  </si>
  <si>
    <t>11_5</t>
  </si>
  <si>
    <t>11_4</t>
  </si>
  <si>
    <t>11_3</t>
  </si>
  <si>
    <t>11_2</t>
  </si>
  <si>
    <t>11_13</t>
  </si>
  <si>
    <t>11_12</t>
  </si>
  <si>
    <t>11_11</t>
  </si>
  <si>
    <t>11_10</t>
  </si>
  <si>
    <t>11_1</t>
  </si>
  <si>
    <t>11_0</t>
  </si>
  <si>
    <t>10_uitloopperiodiek 2</t>
  </si>
  <si>
    <t>10_uitloopperiodiek 1</t>
  </si>
  <si>
    <t>10_9</t>
  </si>
  <si>
    <t>10_8</t>
  </si>
  <si>
    <t>10_7</t>
  </si>
  <si>
    <t>10_6</t>
  </si>
  <si>
    <t>10_5</t>
  </si>
  <si>
    <t>10_4</t>
  </si>
  <si>
    <t>10_3</t>
  </si>
  <si>
    <t>10_2</t>
  </si>
  <si>
    <t>10_13</t>
  </si>
  <si>
    <t>10_12</t>
  </si>
  <si>
    <t>10_11</t>
  </si>
  <si>
    <t>10_10</t>
  </si>
  <si>
    <t>10_1</t>
  </si>
  <si>
    <t>10_0</t>
  </si>
  <si>
    <t>9_uitloopperiodiek 2</t>
  </si>
  <si>
    <t>9_uitloopperiodiek 1</t>
  </si>
  <si>
    <t>9_9</t>
  </si>
  <si>
    <t>9_8</t>
  </si>
  <si>
    <t>9_7</t>
  </si>
  <si>
    <t>9_6</t>
  </si>
  <si>
    <t>9_5</t>
  </si>
  <si>
    <t>9_4</t>
  </si>
  <si>
    <t>9_3</t>
  </si>
  <si>
    <t>9_2</t>
  </si>
  <si>
    <t>9_13</t>
  </si>
  <si>
    <t>9_12</t>
  </si>
  <si>
    <t>9_11</t>
  </si>
  <si>
    <t>9_10</t>
  </si>
  <si>
    <t>9_1</t>
  </si>
  <si>
    <t>9_0</t>
  </si>
  <si>
    <t>8_uitloopperiodiek 2</t>
  </si>
  <si>
    <t>8_uitloopperiodiek 1</t>
  </si>
  <si>
    <t>8_9</t>
  </si>
  <si>
    <t>8_8</t>
  </si>
  <si>
    <t>8_7</t>
  </si>
  <si>
    <t>8_6</t>
  </si>
  <si>
    <t>8_5</t>
  </si>
  <si>
    <t>8_4</t>
  </si>
  <si>
    <t>8_3</t>
  </si>
  <si>
    <t>8_2</t>
  </si>
  <si>
    <t>8_13</t>
  </si>
  <si>
    <t>8_12</t>
  </si>
  <si>
    <t>8_11</t>
  </si>
  <si>
    <t>8_10</t>
  </si>
  <si>
    <t>8_1</t>
  </si>
  <si>
    <t>8_0</t>
  </si>
  <si>
    <t>7_uitloopperiodiek 2</t>
  </si>
  <si>
    <t>7_uitloopperiodiek 1</t>
  </si>
  <si>
    <t>7_9</t>
  </si>
  <si>
    <t>7_8</t>
  </si>
  <si>
    <t>7_7</t>
  </si>
  <si>
    <t>7_6</t>
  </si>
  <si>
    <t>7_5</t>
  </si>
  <si>
    <t>7_4</t>
  </si>
  <si>
    <t>7_3</t>
  </si>
  <si>
    <t>7_2</t>
  </si>
  <si>
    <t>7_13</t>
  </si>
  <si>
    <t>7_12</t>
  </si>
  <si>
    <t>7_11</t>
  </si>
  <si>
    <t>7_10</t>
  </si>
  <si>
    <t>7_1</t>
  </si>
  <si>
    <t>7_0</t>
  </si>
  <si>
    <t>6_uitloopperiodiek 2</t>
  </si>
  <si>
    <t>6_uitloopperiodiek 1</t>
  </si>
  <si>
    <t>6_9</t>
  </si>
  <si>
    <t>6_8</t>
  </si>
  <si>
    <t>6_7</t>
  </si>
  <si>
    <t>6_6</t>
  </si>
  <si>
    <t>6_5</t>
  </si>
  <si>
    <t>6_4</t>
  </si>
  <si>
    <t>6_3</t>
  </si>
  <si>
    <t>6_2</t>
  </si>
  <si>
    <t>6_13</t>
  </si>
  <si>
    <t>6_12</t>
  </si>
  <si>
    <t>6_11</t>
  </si>
  <si>
    <t>6_10</t>
  </si>
  <si>
    <t>6_1</t>
  </si>
  <si>
    <t>6_0</t>
  </si>
  <si>
    <t>5_uitloopperiodiek 2</t>
  </si>
  <si>
    <t>5_uitloopperiodiek 1</t>
  </si>
  <si>
    <t>5_9</t>
  </si>
  <si>
    <t>5_8</t>
  </si>
  <si>
    <t>5_7</t>
  </si>
  <si>
    <t>5_6</t>
  </si>
  <si>
    <t>5_5</t>
  </si>
  <si>
    <t>5_4</t>
  </si>
  <si>
    <t>5_3</t>
  </si>
  <si>
    <t>5_2</t>
  </si>
  <si>
    <t>5_13</t>
  </si>
  <si>
    <t>5_12</t>
  </si>
  <si>
    <t>5_11</t>
  </si>
  <si>
    <t>5_10</t>
  </si>
  <si>
    <t>5_1</t>
  </si>
  <si>
    <t>5_0</t>
  </si>
  <si>
    <t>4_uitloopperiodiek 2</t>
  </si>
  <si>
    <t>4_uitloopperiodiek 1</t>
  </si>
  <si>
    <t>4_9</t>
  </si>
  <si>
    <t>4_8</t>
  </si>
  <si>
    <t>4_7</t>
  </si>
  <si>
    <t>4_6</t>
  </si>
  <si>
    <t>4_5</t>
  </si>
  <si>
    <t>4_4</t>
  </si>
  <si>
    <t>4_3</t>
  </si>
  <si>
    <t>4_2</t>
  </si>
  <si>
    <t>4_13</t>
  </si>
  <si>
    <t>4_12</t>
  </si>
  <si>
    <t>4_11</t>
  </si>
  <si>
    <t>4_10</t>
  </si>
  <si>
    <t>4_1</t>
  </si>
  <si>
    <t>4_0</t>
  </si>
  <si>
    <t>Sleutel</t>
  </si>
  <si>
    <t>Volgnr.</t>
  </si>
  <si>
    <t>Periodiek</t>
  </si>
  <si>
    <t>Uurloon</t>
  </si>
  <si>
    <t>1 maart 2025</t>
  </si>
  <si>
    <t>1 juli 2024</t>
  </si>
  <si>
    <t>1 januari 2024</t>
  </si>
  <si>
    <t>Datum</t>
  </si>
  <si>
    <t>Func. jr</t>
  </si>
  <si>
    <t>Inpas nr</t>
  </si>
  <si>
    <t>Brutosalaris cao 1 januari 2024</t>
  </si>
  <si>
    <t>Brutosalaris cao 1 december 2024</t>
  </si>
  <si>
    <t>Brutosalaris 2024</t>
  </si>
  <si>
    <t>Uurloon 2024</t>
  </si>
  <si>
    <t>19_0</t>
  </si>
  <si>
    <t>19_1</t>
  </si>
  <si>
    <t>19_2</t>
  </si>
  <si>
    <t>20_0</t>
  </si>
  <si>
    <t>20_1</t>
  </si>
  <si>
    <t>20_2</t>
  </si>
  <si>
    <t>20_3</t>
  </si>
  <si>
    <t>20_4</t>
  </si>
  <si>
    <t>20_5</t>
  </si>
  <si>
    <t>20_6</t>
  </si>
  <si>
    <t>20_7</t>
  </si>
  <si>
    <t>20_8</t>
  </si>
  <si>
    <t>20_9</t>
  </si>
  <si>
    <t>20_10</t>
  </si>
  <si>
    <t>24_0</t>
  </si>
  <si>
    <t>24_1</t>
  </si>
  <si>
    <t>24_2</t>
  </si>
  <si>
    <t>25_0</t>
  </si>
  <si>
    <t>25_1</t>
  </si>
  <si>
    <t>25_2</t>
  </si>
  <si>
    <t>25_3</t>
  </si>
  <si>
    <t>25_4</t>
  </si>
  <si>
    <t>25_5</t>
  </si>
  <si>
    <t>25_6</t>
  </si>
  <si>
    <t>25_7</t>
  </si>
  <si>
    <t>25_8</t>
  </si>
  <si>
    <t>25_9</t>
  </si>
  <si>
    <t>25_10</t>
  </si>
  <si>
    <t>29_0</t>
  </si>
  <si>
    <t>29_1</t>
  </si>
  <si>
    <t>30_0</t>
  </si>
  <si>
    <t>30_1</t>
  </si>
  <si>
    <t>30_2</t>
  </si>
  <si>
    <t>30_3</t>
  </si>
  <si>
    <t>30_4</t>
  </si>
  <si>
    <t>30_5</t>
  </si>
  <si>
    <t>30_6</t>
  </si>
  <si>
    <t>30_7</t>
  </si>
  <si>
    <t>30_8</t>
  </si>
  <si>
    <t>30_9</t>
  </si>
  <si>
    <t>30_10</t>
  </si>
  <si>
    <t>34_1</t>
  </si>
  <si>
    <t>34_2</t>
  </si>
  <si>
    <t>35_1</t>
  </si>
  <si>
    <t>35_2</t>
  </si>
  <si>
    <t>35_3</t>
  </si>
  <si>
    <t>35_4</t>
  </si>
  <si>
    <t>35_5</t>
  </si>
  <si>
    <t>35_6</t>
  </si>
  <si>
    <t>35_7</t>
  </si>
  <si>
    <t>35_8</t>
  </si>
  <si>
    <t>35_9</t>
  </si>
  <si>
    <t>35_10</t>
  </si>
  <si>
    <t>35_11</t>
  </si>
  <si>
    <t>39_1</t>
  </si>
  <si>
    <t>39_2</t>
  </si>
  <si>
    <t>40_1</t>
  </si>
  <si>
    <t>40_2</t>
  </si>
  <si>
    <t>40_3</t>
  </si>
  <si>
    <t>40_4</t>
  </si>
  <si>
    <t>40_5</t>
  </si>
  <si>
    <t>40_6</t>
  </si>
  <si>
    <t>40_7</t>
  </si>
  <si>
    <t>40_8</t>
  </si>
  <si>
    <t>40_9</t>
  </si>
  <si>
    <t>40_10</t>
  </si>
  <si>
    <t>40_11</t>
  </si>
  <si>
    <t>40_12</t>
  </si>
  <si>
    <t>40_13</t>
  </si>
  <si>
    <t>44_1</t>
  </si>
  <si>
    <t>44_2</t>
  </si>
  <si>
    <t>44_3</t>
  </si>
  <si>
    <t>45_1</t>
  </si>
  <si>
    <t>45_2</t>
  </si>
  <si>
    <t>45_3</t>
  </si>
  <si>
    <t>45_4</t>
  </si>
  <si>
    <t>45_5</t>
  </si>
  <si>
    <t>45_6</t>
  </si>
  <si>
    <t>45_7</t>
  </si>
  <si>
    <t>45_8</t>
  </si>
  <si>
    <t>45_9</t>
  </si>
  <si>
    <t>45_10</t>
  </si>
  <si>
    <t>45_11</t>
  </si>
  <si>
    <t>45_12</t>
  </si>
  <si>
    <t>45_13</t>
  </si>
  <si>
    <t>49_1</t>
  </si>
  <si>
    <t>49_2</t>
  </si>
  <si>
    <t>49_3</t>
  </si>
  <si>
    <t>49_4</t>
  </si>
  <si>
    <t>50_1</t>
  </si>
  <si>
    <t>50_2</t>
  </si>
  <si>
    <t>50_3</t>
  </si>
  <si>
    <t>50_4</t>
  </si>
  <si>
    <t>50_5</t>
  </si>
  <si>
    <t>50_6</t>
  </si>
  <si>
    <t>50_7</t>
  </si>
  <si>
    <t>50_8</t>
  </si>
  <si>
    <t>50_9</t>
  </si>
  <si>
    <t>50_10</t>
  </si>
  <si>
    <t>50_11</t>
  </si>
  <si>
    <t>50_12</t>
  </si>
  <si>
    <t>54_1</t>
  </si>
  <si>
    <t>54_2</t>
  </si>
  <si>
    <t>54_3</t>
  </si>
  <si>
    <t>54_4</t>
  </si>
  <si>
    <t>55_1</t>
  </si>
  <si>
    <t>55_2</t>
  </si>
  <si>
    <t>55_3</t>
  </si>
  <si>
    <t>55_4</t>
  </si>
  <si>
    <t>55_5</t>
  </si>
  <si>
    <t>55_6</t>
  </si>
  <si>
    <t>55_7</t>
  </si>
  <si>
    <t>55_8</t>
  </si>
  <si>
    <t>55_9</t>
  </si>
  <si>
    <t>55_10</t>
  </si>
  <si>
    <t>55_11</t>
  </si>
  <si>
    <t>55_12</t>
  </si>
  <si>
    <t>59_1</t>
  </si>
  <si>
    <t>59_2</t>
  </si>
  <si>
    <t>59_3</t>
  </si>
  <si>
    <t>59_4</t>
  </si>
  <si>
    <t>60_1</t>
  </si>
  <si>
    <t>60_2</t>
  </si>
  <si>
    <t>60_3</t>
  </si>
  <si>
    <t>60_4</t>
  </si>
  <si>
    <t>60_5</t>
  </si>
  <si>
    <t>60_6</t>
  </si>
  <si>
    <t>60_7</t>
  </si>
  <si>
    <t>60_8</t>
  </si>
  <si>
    <t>60_9</t>
  </si>
  <si>
    <t>60_10</t>
  </si>
  <si>
    <t>60_11</t>
  </si>
  <si>
    <t>64_1</t>
  </si>
  <si>
    <t>64_2</t>
  </si>
  <si>
    <t>64_3</t>
  </si>
  <si>
    <t>64_4</t>
  </si>
  <si>
    <t>65_1</t>
  </si>
  <si>
    <t>65_2</t>
  </si>
  <si>
    <t>65_3</t>
  </si>
  <si>
    <t>65_4</t>
  </si>
  <si>
    <t>65_5</t>
  </si>
  <si>
    <t>65_6</t>
  </si>
  <si>
    <t>65_7</t>
  </si>
  <si>
    <t>65_8</t>
  </si>
  <si>
    <t>65_9</t>
  </si>
  <si>
    <t>65_10</t>
  </si>
  <si>
    <t>65_11</t>
  </si>
  <si>
    <t>65_12</t>
  </si>
  <si>
    <t>65_13</t>
  </si>
  <si>
    <t>69_0</t>
  </si>
  <si>
    <t>69_1</t>
  </si>
  <si>
    <t>69_2</t>
  </si>
  <si>
    <t>69_3</t>
  </si>
  <si>
    <t>70_0</t>
  </si>
  <si>
    <t>70_1</t>
  </si>
  <si>
    <t>70_2</t>
  </si>
  <si>
    <t>70_3</t>
  </si>
  <si>
    <t>70_4</t>
  </si>
  <si>
    <t>70_5</t>
  </si>
  <si>
    <t>70_6</t>
  </si>
  <si>
    <t>70_7</t>
  </si>
  <si>
    <t>70_8</t>
  </si>
  <si>
    <t>70_9</t>
  </si>
  <si>
    <t>70_10</t>
  </si>
  <si>
    <t>70_11</t>
  </si>
  <si>
    <t>70_12</t>
  </si>
  <si>
    <t>74_0</t>
  </si>
  <si>
    <t>74_1</t>
  </si>
  <si>
    <t>74_2</t>
  </si>
  <si>
    <t>74_3</t>
  </si>
  <si>
    <t>75_0</t>
  </si>
  <si>
    <t>75_1</t>
  </si>
  <si>
    <t>75_2</t>
  </si>
  <si>
    <t>75_3</t>
  </si>
  <si>
    <t>75_4</t>
  </si>
  <si>
    <t>75_5</t>
  </si>
  <si>
    <t>75_6</t>
  </si>
  <si>
    <t>75_7</t>
  </si>
  <si>
    <t>75_8</t>
  </si>
  <si>
    <t>75_9</t>
  </si>
  <si>
    <t>75_10</t>
  </si>
  <si>
    <t>75_11</t>
  </si>
  <si>
    <t>75_12</t>
  </si>
  <si>
    <t>75_13</t>
  </si>
  <si>
    <t>75_14</t>
  </si>
  <si>
    <t>79_0</t>
  </si>
  <si>
    <t>79_1</t>
  </si>
  <si>
    <t>79_2</t>
  </si>
  <si>
    <t>79_3</t>
  </si>
  <si>
    <t>80_0</t>
  </si>
  <si>
    <t>80_1</t>
  </si>
  <si>
    <t>80_2</t>
  </si>
  <si>
    <t>80_3</t>
  </si>
  <si>
    <t>80_4</t>
  </si>
  <si>
    <t>80_5</t>
  </si>
  <si>
    <t>80_6</t>
  </si>
  <si>
    <t>80_7</t>
  </si>
  <si>
    <t>80_8</t>
  </si>
  <si>
    <t>80_9</t>
  </si>
  <si>
    <t>80_10</t>
  </si>
  <si>
    <t>80_11</t>
  </si>
  <si>
    <t>80_12</t>
  </si>
  <si>
    <t>80_13</t>
  </si>
  <si>
    <t>80_14</t>
  </si>
  <si>
    <t>Func. Jr</t>
  </si>
  <si>
    <t>Brutosalaris per 1 januari 2022</t>
  </si>
  <si>
    <t>Brutosalaris per 1 januari 2023</t>
  </si>
  <si>
    <t>Brutosalaris per 1 juli 2023</t>
  </si>
  <si>
    <t>Brutosalaris per 1 januari 2024</t>
  </si>
  <si>
    <t>Brutosalaris per 1 juli 2024</t>
  </si>
  <si>
    <t>Brutosalaris cao 2025 (per 1 jan.)</t>
  </si>
  <si>
    <t>Brutosalaris 2025</t>
  </si>
  <si>
    <t>Uurloon 2025</t>
  </si>
  <si>
    <t>Start</t>
  </si>
  <si>
    <t>1_Start</t>
  </si>
  <si>
    <t>1_0</t>
  </si>
  <si>
    <t>1_1</t>
  </si>
  <si>
    <t>1_2</t>
  </si>
  <si>
    <t>1_3</t>
  </si>
  <si>
    <t>1_4</t>
  </si>
  <si>
    <t>1_5</t>
  </si>
  <si>
    <t>1_6</t>
  </si>
  <si>
    <t>1_7</t>
  </si>
  <si>
    <t>1_8</t>
  </si>
  <si>
    <t>1_9</t>
  </si>
  <si>
    <t>1_10</t>
  </si>
  <si>
    <t>1_11</t>
  </si>
  <si>
    <t>u1</t>
  </si>
  <si>
    <t>1_u1</t>
  </si>
  <si>
    <t>u2</t>
  </si>
  <si>
    <t>1_u2</t>
  </si>
  <si>
    <t>a</t>
  </si>
  <si>
    <t>1_a</t>
  </si>
  <si>
    <t>b</t>
  </si>
  <si>
    <t>1_b</t>
  </si>
  <si>
    <t>c</t>
  </si>
  <si>
    <t>1_c</t>
  </si>
  <si>
    <t>d</t>
  </si>
  <si>
    <t>1_d</t>
  </si>
  <si>
    <t>e</t>
  </si>
  <si>
    <t>1_e</t>
  </si>
  <si>
    <t>2_Start</t>
  </si>
  <si>
    <t>2_0</t>
  </si>
  <si>
    <t>2_1</t>
  </si>
  <si>
    <t>2_2</t>
  </si>
  <si>
    <t>2_3</t>
  </si>
  <si>
    <t>2_4</t>
  </si>
  <si>
    <t>2_5</t>
  </si>
  <si>
    <t>2_6</t>
  </si>
  <si>
    <t>2_7</t>
  </si>
  <si>
    <t>2_8</t>
  </si>
  <si>
    <t>2_9</t>
  </si>
  <si>
    <t>2_10</t>
  </si>
  <si>
    <t>2_11</t>
  </si>
  <si>
    <t>2_12</t>
  </si>
  <si>
    <t>2_u1</t>
  </si>
  <si>
    <t>2_u2</t>
  </si>
  <si>
    <t>2_a</t>
  </si>
  <si>
    <t>2_b</t>
  </si>
  <si>
    <t>2_c</t>
  </si>
  <si>
    <t>2_d</t>
  </si>
  <si>
    <t>2_e</t>
  </si>
  <si>
    <t>3_Start</t>
  </si>
  <si>
    <t>3_0</t>
  </si>
  <si>
    <t>3_1</t>
  </si>
  <si>
    <t>3_2</t>
  </si>
  <si>
    <t>3_3</t>
  </si>
  <si>
    <t>3_4</t>
  </si>
  <si>
    <t>3_5</t>
  </si>
  <si>
    <t>3_6</t>
  </si>
  <si>
    <t>3_7</t>
  </si>
  <si>
    <t>3_8</t>
  </si>
  <si>
    <t>3_9</t>
  </si>
  <si>
    <t>3_10</t>
  </si>
  <si>
    <t>3_11</t>
  </si>
  <si>
    <t>3_12</t>
  </si>
  <si>
    <t>3_13</t>
  </si>
  <si>
    <t>3_u1</t>
  </si>
  <si>
    <t>3_u2</t>
  </si>
  <si>
    <t>3_a</t>
  </si>
  <si>
    <t>3_b</t>
  </si>
  <si>
    <t>3_c</t>
  </si>
  <si>
    <t>3_d</t>
  </si>
  <si>
    <t>3_e</t>
  </si>
  <si>
    <t>4_Start</t>
  </si>
  <si>
    <t>4_u1</t>
  </si>
  <si>
    <t>4_u2</t>
  </si>
  <si>
    <t>4_a</t>
  </si>
  <si>
    <t>4_b</t>
  </si>
  <si>
    <t>4_c</t>
  </si>
  <si>
    <t>4_d</t>
  </si>
  <si>
    <t>4_e</t>
  </si>
  <si>
    <t>5_Start</t>
  </si>
  <si>
    <t>5_u1</t>
  </si>
  <si>
    <t>5_u2</t>
  </si>
  <si>
    <t>5_a</t>
  </si>
  <si>
    <t>5_b</t>
  </si>
  <si>
    <t>5_c</t>
  </si>
  <si>
    <t>5_d</t>
  </si>
  <si>
    <t>5_e</t>
  </si>
  <si>
    <t>6_Start</t>
  </si>
  <si>
    <t>6_u1</t>
  </si>
  <si>
    <t>6_u2</t>
  </si>
  <si>
    <t>6_a</t>
  </si>
  <si>
    <t>6_b</t>
  </si>
  <si>
    <t>6_c</t>
  </si>
  <si>
    <t>6_d</t>
  </si>
  <si>
    <t>6_e</t>
  </si>
  <si>
    <t>7_Start</t>
  </si>
  <si>
    <t>7_u1</t>
  </si>
  <si>
    <t>7_u2</t>
  </si>
  <si>
    <t>7_a</t>
  </si>
  <si>
    <t>7_b</t>
  </si>
  <si>
    <t>7_c</t>
  </si>
  <si>
    <t>7_d</t>
  </si>
  <si>
    <t>7_e</t>
  </si>
  <si>
    <t>8_Start</t>
  </si>
  <si>
    <t>8_u1</t>
  </si>
  <si>
    <t>8_u2</t>
  </si>
  <si>
    <t>8_a</t>
  </si>
  <si>
    <t>8_b</t>
  </si>
  <si>
    <t>8_c</t>
  </si>
  <si>
    <t>8_d</t>
  </si>
  <si>
    <t>8_e</t>
  </si>
  <si>
    <t>9_Start</t>
  </si>
  <si>
    <t>9_u1</t>
  </si>
  <si>
    <t>9_u2</t>
  </si>
  <si>
    <t>9_a</t>
  </si>
  <si>
    <t>9_b</t>
  </si>
  <si>
    <t>9_c</t>
  </si>
  <si>
    <t>9_d</t>
  </si>
  <si>
    <t>9_e</t>
  </si>
  <si>
    <t>10_Start</t>
  </si>
  <si>
    <t>10_u1</t>
  </si>
  <si>
    <t>10_u2</t>
  </si>
  <si>
    <t>10_a</t>
  </si>
  <si>
    <t>10_b</t>
  </si>
  <si>
    <t>10_c</t>
  </si>
  <si>
    <t>10_d</t>
  </si>
  <si>
    <t>10_e</t>
  </si>
  <si>
    <t>11_Start</t>
  </si>
  <si>
    <t>11_u1</t>
  </si>
  <si>
    <t>11_u2</t>
  </si>
  <si>
    <t>11_a</t>
  </si>
  <si>
    <t>11_b</t>
  </si>
  <si>
    <t>11_c</t>
  </si>
  <si>
    <t>11_d</t>
  </si>
  <si>
    <t>11_e</t>
  </si>
  <si>
    <t>12_Start</t>
  </si>
  <si>
    <t>12_u1</t>
  </si>
  <si>
    <t>12_u2</t>
  </si>
  <si>
    <t>12_a</t>
  </si>
  <si>
    <t>12_b</t>
  </si>
  <si>
    <t>12_c</t>
  </si>
  <si>
    <t>12_d</t>
  </si>
  <si>
    <t>12_e</t>
  </si>
  <si>
    <t>13_Start</t>
  </si>
  <si>
    <t>13_u1</t>
  </si>
  <si>
    <t>13_u2</t>
  </si>
  <si>
    <t>13_a</t>
  </si>
  <si>
    <t>13_b</t>
  </si>
  <si>
    <t>13_c</t>
  </si>
  <si>
    <t>13_d</t>
  </si>
  <si>
    <t>13_e</t>
  </si>
  <si>
    <t>14_Start</t>
  </si>
  <si>
    <t>14_u1</t>
  </si>
  <si>
    <t>14_u2</t>
  </si>
  <si>
    <t>14_a</t>
  </si>
  <si>
    <t>14_b</t>
  </si>
  <si>
    <t>14_c</t>
  </si>
  <si>
    <t>14_d</t>
  </si>
  <si>
    <t>14_e</t>
  </si>
  <si>
    <t>15_Start</t>
  </si>
  <si>
    <t>15_u1</t>
  </si>
  <si>
    <t>15_u2</t>
  </si>
  <si>
    <t>15_a</t>
  </si>
  <si>
    <t>15_b</t>
  </si>
  <si>
    <t>15_c</t>
  </si>
  <si>
    <t>15_d</t>
  </si>
  <si>
    <t>15_e</t>
  </si>
  <si>
    <t>Brutosalaris cao 2023 (per 1 december)</t>
  </si>
  <si>
    <t>Brutosalaris cao 2024 (per 1 juni)</t>
  </si>
  <si>
    <t>Brutosalaris cao 2024 (per 1 december)</t>
  </si>
  <si>
    <t>20_11</t>
  </si>
  <si>
    <t>25_11</t>
  </si>
  <si>
    <t>30_11</t>
  </si>
  <si>
    <t>35_12</t>
  </si>
  <si>
    <t>45_14</t>
  </si>
  <si>
    <t>50_13</t>
  </si>
  <si>
    <t>55_0</t>
  </si>
  <si>
    <t>60_0</t>
  </si>
  <si>
    <t>60_12</t>
  </si>
  <si>
    <t>65_0</t>
  </si>
  <si>
    <t>65_14</t>
  </si>
  <si>
    <t>70_13</t>
  </si>
  <si>
    <t>70_14</t>
  </si>
  <si>
    <t>75_15</t>
  </si>
  <si>
    <t>75_16</t>
  </si>
  <si>
    <t>80_15</t>
  </si>
  <si>
    <t>80_16</t>
  </si>
  <si>
    <t>JZ</t>
  </si>
  <si>
    <t>Sociaal Werk</t>
  </si>
  <si>
    <t>GHZ</t>
  </si>
  <si>
    <t>Naam sheet</t>
  </si>
  <si>
    <t>CAO (GGZ)</t>
  </si>
  <si>
    <t>CAO (Sociaal Werk)</t>
  </si>
  <si>
    <t>CAO (GHZ)</t>
  </si>
  <si>
    <t>Gekozen?</t>
  </si>
  <si>
    <t>1e t/m (evt.) 16e schaal</t>
  </si>
  <si>
    <t>Kolom met bedrag</t>
  </si>
  <si>
    <t>Overhead personeel</t>
  </si>
  <si>
    <t>Materiële overhead</t>
  </si>
  <si>
    <t>Materiële overhead op productgroepniveau specificeren</t>
  </si>
  <si>
    <t>Overhead personeel op productgroepniveau specificeren</t>
  </si>
  <si>
    <t>Eindejaarsuitkering</t>
  </si>
  <si>
    <t>Vakantietoeslag</t>
  </si>
  <si>
    <t>Soort van bedrag</t>
  </si>
  <si>
    <t>Bruto maandsalaris</t>
  </si>
  <si>
    <t>Verlof (in uren)</t>
  </si>
  <si>
    <t>Personeelsuren per tariefstype</t>
  </si>
  <si>
    <t>Materiële personeel</t>
  </si>
  <si>
    <t>Type tarief</t>
  </si>
  <si>
    <t>Bezettingsgraad</t>
  </si>
  <si>
    <t>Op premie</t>
  </si>
  <si>
    <t>Ap Premie</t>
  </si>
  <si>
    <t>Werkgeversdeel Op</t>
  </si>
  <si>
    <t>Werkgeversdeel Ap</t>
  </si>
  <si>
    <t>Overhead</t>
  </si>
  <si>
    <t>Meenemen voor organisatie? 1</t>
  </si>
  <si>
    <t>Meenemen voor organisatie? 2</t>
  </si>
  <si>
    <t>Meenemen voor organisatie? 3</t>
  </si>
  <si>
    <t>Meenemen voor organisatie? 4</t>
  </si>
  <si>
    <t>Meenemen voor organisatie? 5</t>
  </si>
  <si>
    <t>Meenemen voor organisatie? 6</t>
  </si>
  <si>
    <t>Meenemen voor organisatie? 7</t>
  </si>
  <si>
    <t>Meenemen voor organisatie? 8</t>
  </si>
  <si>
    <t>Meenemen voor organisatie? 9</t>
  </si>
  <si>
    <t>Meenemen voor organisatie? 10</t>
  </si>
  <si>
    <t>Meenemen voor organisatie? 11</t>
  </si>
  <si>
    <t>Meenemen voor organisatie? 12</t>
  </si>
  <si>
    <t>Product meenmenen?</t>
  </si>
  <si>
    <t>Per productgroep specificeren?</t>
  </si>
  <si>
    <t>Overige vergoedingen (p/u)</t>
  </si>
  <si>
    <t>Handmatige waarde gebruiken?</t>
  </si>
  <si>
    <t>Welke producten?</t>
  </si>
  <si>
    <t>Algemeen</t>
  </si>
  <si>
    <t>Intensiteit</t>
  </si>
  <si>
    <t>Personele omvang (FTE's)</t>
  </si>
  <si>
    <t>Overzicht tabbladen</t>
  </si>
  <si>
    <t>Stappenplan</t>
  </si>
  <si>
    <t>LEGENDA</t>
  </si>
  <si>
    <t>Ingevuld door gemeente of onderzoeksbureau</t>
  </si>
  <si>
    <t>Niet zichtbaar / gebruikt voor berekeningen</t>
  </si>
  <si>
    <t>1a. t/m 1c.</t>
  </si>
  <si>
    <t>De selectie van producten dient hierna NIET te worden veranderd.</t>
  </si>
  <si>
    <t>Contactinformatie invuller</t>
  </si>
  <si>
    <t>Functie</t>
  </si>
  <si>
    <t>E-mailadres</t>
  </si>
  <si>
    <t>Telefoonnummer</t>
  </si>
  <si>
    <t>Levi Rohring</t>
  </si>
  <si>
    <t>levi.rohring@aepb.nl</t>
  </si>
  <si>
    <t>Onderzoeker</t>
  </si>
  <si>
    <t>-</t>
  </si>
  <si>
    <t xml:space="preserve"> !</t>
  </si>
  <si>
    <t>Directe kosten per uur v/d hulpverlener</t>
  </si>
  <si>
    <t>Gecorrigeerde kosten per uur v/d hulpverlener</t>
  </si>
  <si>
    <t>% van maximum trede</t>
  </si>
  <si>
    <t>Gebruik % van maximum trede</t>
  </si>
  <si>
    <t>Gebruik trede (gemiddeld)</t>
  </si>
  <si>
    <t>Kerngegevens</t>
  </si>
  <si>
    <t>Aandeel in uren</t>
  </si>
  <si>
    <t>Invullen functiemix</t>
  </si>
  <si>
    <t>Optie 1: Invullen functiemix</t>
  </si>
  <si>
    <t>Optie 2: Invullen handmatige waarde</t>
  </si>
  <si>
    <t>Overhead, meerkosten PNIL en overige</t>
  </si>
  <si>
    <t xml:space="preserve"> </t>
  </si>
  <si>
    <t>!</t>
  </si>
  <si>
    <t>Groepsgrootte</t>
  </si>
  <si>
    <t>Personeelsuren per jaar</t>
  </si>
  <si>
    <t>Kostprijs</t>
  </si>
  <si>
    <t>OP premie (werkgevers- en werknemersdeel)</t>
  </si>
  <si>
    <t xml:space="preserve">AP premie (werkgevers- en werknemersdeel) </t>
  </si>
  <si>
    <t>Productnaam</t>
  </si>
  <si>
    <t>Reiskosten werk-werk per werkuur</t>
  </si>
  <si>
    <t>Invullen productiviteit</t>
  </si>
  <si>
    <t>Invullen overig</t>
  </si>
  <si>
    <t>Personeelsuren per type tarief</t>
  </si>
  <si>
    <t>Huisvestingskosten per type tarief, per cliënt</t>
  </si>
  <si>
    <t>Cliëntgebonden kosten per type tarief, per cliënt</t>
  </si>
  <si>
    <t>Trede gemiddeld</t>
  </si>
  <si>
    <t>Algemene aanvulling</t>
  </si>
  <si>
    <t>Input aanbieder</t>
  </si>
  <si>
    <t>Opslag voor werk-werk reiskosten (€/uur)</t>
  </si>
  <si>
    <t>Kosten per uur v/d hulpverlener incl. opslagen</t>
  </si>
  <si>
    <t>Gezinshuis, licht</t>
  </si>
  <si>
    <t>Gezinshuis, midden</t>
  </si>
  <si>
    <t>Gezinshuis, zwaar</t>
  </si>
  <si>
    <t>Stap 3: Gezinshuisspecifieke parameters</t>
  </si>
  <si>
    <t>(Gezinshuis) meenemen voor organisatie? 1</t>
  </si>
  <si>
    <t>(Gezinshuis) meenemen voor organisatie? 2</t>
  </si>
  <si>
    <t>(Gezinshuis) meenemen voor organisatie? 3</t>
  </si>
  <si>
    <t>Aantal capaciteitsplaatsen</t>
  </si>
  <si>
    <t>Gedragswetenschapper:</t>
  </si>
  <si>
    <t>Ondersteuning:</t>
  </si>
  <si>
    <t>Gezinshuisouder:</t>
  </si>
  <si>
    <t>Normjaarinkomen, SKJ-geregristeerd</t>
  </si>
  <si>
    <t>Netto uren per jeugdige per week</t>
  </si>
  <si>
    <t>Declarabele uren per jaar</t>
  </si>
  <si>
    <t>Kosten (€ per jeugdige per dag)</t>
  </si>
  <si>
    <t>Verzorgingskosten</t>
  </si>
  <si>
    <t>Huisvestingskosten</t>
  </si>
  <si>
    <t>Gelieerde zorgaanbiederkosten</t>
  </si>
  <si>
    <t>Vervangings-/logeerkosten</t>
  </si>
  <si>
    <t>Per gezinshuisouder per jaar</t>
  </si>
  <si>
    <t>Per gezinshuis per jaar</t>
  </si>
  <si>
    <t>Opslag leegstand (%)</t>
  </si>
  <si>
    <t>Opslag winst/marge (%)</t>
  </si>
  <si>
    <t>(Extra) opslag zorgzwaarte (€)</t>
  </si>
  <si>
    <t>Gezinshuisproduct</t>
  </si>
  <si>
    <t>Intensiteit voor pedagogische inhuur</t>
  </si>
  <si>
    <t>Aantal (fte)</t>
  </si>
  <si>
    <t>Overhead (€)</t>
  </si>
  <si>
    <t>Jaarkosten (€)</t>
  </si>
  <si>
    <t>B3. Ondersteuning</t>
  </si>
  <si>
    <t>B5. Verzorging</t>
  </si>
  <si>
    <t>B4. Vervanging/logeren</t>
  </si>
  <si>
    <t>B2. Gedragswetenschapper</t>
  </si>
  <si>
    <t>B1. Inkomen gezinshuisouders</t>
  </si>
  <si>
    <t>B6. Huisvesting</t>
  </si>
  <si>
    <t>B7. Overhead</t>
  </si>
  <si>
    <t>B8. Gelieerde zorgaanbieder</t>
  </si>
  <si>
    <t>B9. Leegstand</t>
  </si>
  <si>
    <t>B10. Winst/marge</t>
  </si>
  <si>
    <t>B11. Zorgzwaarte</t>
  </si>
  <si>
    <t>Directe kosten per jeugdige</t>
  </si>
  <si>
    <t>Totale opslagen</t>
  </si>
  <si>
    <t>Dit komt omdat wij….</t>
  </si>
  <si>
    <t>1a. Kies het peiljaar waar het onderzoek betrekking op heeft.</t>
  </si>
  <si>
    <t>1b. Kies of indirect cliëntgebonden activiteiten declarabel zijn ("JA") of niet ("NEE").</t>
  </si>
  <si>
    <t>Initialisatie</t>
  </si>
  <si>
    <t>Verplicht invulbaar veld</t>
  </si>
  <si>
    <t xml:space="preserve">Optioneel invulbaar veld </t>
  </si>
  <si>
    <t>Let op: zodra productgegevens zijn ingevuld, dient deze selectie niet meer worden aangepast.</t>
  </si>
  <si>
    <t xml:space="preserve">      - De gemiddelde trede per salarisschaal aangeven.</t>
  </si>
  <si>
    <t xml:space="preserve">      - Het percentage t.o.v. het maximum salaris per schaal aangeven.</t>
  </si>
  <si>
    <t>Na het invullen van alle velden worden alle kerngegevens weergegeven zoals:</t>
  </si>
  <si>
    <t>Handleiding aanbieder</t>
  </si>
  <si>
    <t>Tarievenopbouw per bouwsteen</t>
  </si>
  <si>
    <t>=&gt;</t>
  </si>
  <si>
    <t>Indirecte cliëntgebonden kosten declarabel?</t>
  </si>
  <si>
    <t>Meenemen voor organisatie? 13</t>
  </si>
  <si>
    <t>Meenemen voor organisatie? 14</t>
  </si>
  <si>
    <t>Meenemen voor organisatie? 15</t>
  </si>
  <si>
    <t>Meenemen voor organisatie? 16</t>
  </si>
  <si>
    <t>Meenemen voor organisatie? 17</t>
  </si>
  <si>
    <t>Meenemen voor organisatie? 18</t>
  </si>
  <si>
    <t>Meenemen voor organisatie? 19</t>
  </si>
  <si>
    <t>Meenemen voor organisatie? 20</t>
  </si>
  <si>
    <t>Meenemen voor organisatie? 21</t>
  </si>
  <si>
    <t>Meenemen voor organisatie? 22</t>
  </si>
  <si>
    <t>Meenemen voor organisatie? 23</t>
  </si>
  <si>
    <t>Meenemen voor organisatie? 24</t>
  </si>
  <si>
    <t>Meenemen voor organisatie? 25</t>
  </si>
  <si>
    <t>Meenemen voor organisatie? 26</t>
  </si>
  <si>
    <t>Meenemen voor organisatie? 27</t>
  </si>
  <si>
    <t>Meenemen voor organisatie? 28</t>
  </si>
  <si>
    <t>Meenemen voor organisatie? 29</t>
  </si>
  <si>
    <t>Meenemen voor organisatie? 30</t>
  </si>
  <si>
    <t>Meenemen voor organisatie? 31</t>
  </si>
  <si>
    <t>Meenemen voor organisatie? 32</t>
  </si>
  <si>
    <t>Meenemen voor organisatie? 33</t>
  </si>
  <si>
    <t>Meenemen voor organisatie? 34</t>
  </si>
  <si>
    <t>Meenemen voor organisatie? 35</t>
  </si>
  <si>
    <t>Meenemen voor organisatie? 36</t>
  </si>
  <si>
    <t>Meenemen voor organisatie? 37</t>
  </si>
  <si>
    <t>Meenemen voor organisatie? 38</t>
  </si>
  <si>
    <t>Meenemen voor organisatie? 39</t>
  </si>
  <si>
    <t>Meenemen voor organisatie? 40</t>
  </si>
  <si>
    <t>Vanuit handmatige invulling</t>
  </si>
  <si>
    <t>Gebruikte rekenwaarde</t>
  </si>
  <si>
    <t>Gewogen salaris vanuit functiemix</t>
  </si>
  <si>
    <t>Ambulant</t>
  </si>
  <si>
    <t>Daghulp</t>
  </si>
  <si>
    <t>Verblijf</t>
  </si>
  <si>
    <t>Factor</t>
  </si>
  <si>
    <t>Maximum pensioengevend salaris</t>
  </si>
  <si>
    <t>Maximum premieloon</t>
  </si>
  <si>
    <t/>
  </si>
  <si>
    <t>Rekenwaarde</t>
  </si>
  <si>
    <t>In deze sheet krijgt de aanbieder de mogelijkheid om de ingevulde velden toe te lichten.</t>
  </si>
  <si>
    <r>
      <t xml:space="preserve">Dit kan worden gedaan door het invullen van tekst bij de relevante velden, aangegeven door </t>
    </r>
    <r>
      <rPr>
        <b/>
        <sz val="11"/>
        <color theme="9" tint="0.39997558519241921"/>
        <rFont val="Calibri"/>
        <family val="2"/>
        <scheme val="minor"/>
      </rPr>
      <t>deze</t>
    </r>
    <r>
      <rPr>
        <b/>
        <sz val="11"/>
        <color theme="1"/>
        <rFont val="Calibri"/>
        <family val="2"/>
        <scheme val="minor"/>
      </rPr>
      <t xml:space="preserve"> kleur.</t>
    </r>
  </si>
  <si>
    <t>In deze sheet krijgt de aanbieder de mogelijkheid om de uitgekomen output toe te lichten.</t>
  </si>
  <si>
    <t>Begeleider</t>
  </si>
  <si>
    <t>18 jaar en ouder</t>
  </si>
  <si>
    <t>Toeslag</t>
  </si>
  <si>
    <t>Pleegzorg gerelateerde overhead</t>
  </si>
  <si>
    <t>Algemene overhead</t>
  </si>
  <si>
    <t>Pleegzorgvorm</t>
  </si>
  <si>
    <t>Voltijd</t>
  </si>
  <si>
    <t>Deeltijd</t>
  </si>
  <si>
    <t>Primaire arbeidsvoorwaarden</t>
  </si>
  <si>
    <t>Functietitel</t>
  </si>
  <si>
    <t>Overhead (%)</t>
  </si>
  <si>
    <t>Sociale premies en pensioen (%)</t>
  </si>
  <si>
    <t>Clientgebonden ondersteuning</t>
  </si>
  <si>
    <t>Indirect clientgebonden</t>
  </si>
  <si>
    <t>Team ondersteuning</t>
  </si>
  <si>
    <t>Aandeel pleegkinderen met toeslag (%)</t>
  </si>
  <si>
    <t>%</t>
  </si>
  <si>
    <t>Inzet (uren p/j)</t>
  </si>
  <si>
    <t>Blok 8: Startinformatie</t>
  </si>
  <si>
    <t>Gedragswetenschapper</t>
  </si>
  <si>
    <t>Blok 9: Pleegzorgspecifieke parameters</t>
  </si>
  <si>
    <t>Opbouw loonkosten</t>
  </si>
  <si>
    <t>Opbouw pleegoudervergoeding</t>
  </si>
  <si>
    <t>Bruto jaarsalaris</t>
  </si>
  <si>
    <t>Overige personeelskosten (%)</t>
  </si>
  <si>
    <t>PNIL (%)</t>
  </si>
  <si>
    <t>Declarabele uren p/j</t>
  </si>
  <si>
    <t>Onregelmatigheidstoeslag (%)</t>
  </si>
  <si>
    <t>Totale loonkosten per uur</t>
  </si>
  <si>
    <t>Totale directe loonkosten per uur</t>
  </si>
  <si>
    <t>Aandeel (%) van deze kosten wat geldt voor deeltijd</t>
  </si>
  <si>
    <t>9 t/m 11 jaar</t>
  </si>
  <si>
    <t>12 t/m 15 jaar</t>
  </si>
  <si>
    <t>16 t/m 17 jaar</t>
  </si>
  <si>
    <t>0 t/m 8 jaar</t>
  </si>
  <si>
    <t>Leeftijdscategorie</t>
  </si>
  <si>
    <t>Aandeel (%) pleegkinderen per leeftijdscategorie</t>
  </si>
  <si>
    <t>Aandeel (%) van de pleegkinderen</t>
  </si>
  <si>
    <t>Basisbedrag (per dag)</t>
  </si>
  <si>
    <t>Pleegoudervergoeding per etmaal</t>
  </si>
  <si>
    <t>Pleegoudervergoeding</t>
  </si>
  <si>
    <t>Dagen per jaar</t>
  </si>
  <si>
    <t>Directe kosten per etmaal</t>
  </si>
  <si>
    <t>Berekening deeltijd-factor</t>
  </si>
  <si>
    <t>Berekening voltijd-waarde</t>
  </si>
  <si>
    <t>Kostprijs per etmaal</t>
  </si>
  <si>
    <t>* hier wordt een waarde berekend i.p.v. een factor.</t>
  </si>
  <si>
    <t>Factor premiegevend gewogen salaris</t>
  </si>
  <si>
    <t>Aandeel (%) van deze totale kosten wat geldt voor deeltijd</t>
  </si>
  <si>
    <t>(Begeleidings)intensiteit</t>
  </si>
  <si>
    <t>Ondersteuning</t>
  </si>
  <si>
    <t xml:space="preserve">  </t>
  </si>
  <si>
    <t>Bruto jaarsalaris (€)</t>
  </si>
  <si>
    <t>Functiemix</t>
  </si>
  <si>
    <t>Totale loonkosten p/u (€)</t>
  </si>
  <si>
    <r>
      <t xml:space="preserve">Stappenplan </t>
    </r>
    <r>
      <rPr>
        <b/>
        <u/>
        <sz val="14"/>
        <color theme="1"/>
        <rFont val="Calibri"/>
        <family val="2"/>
        <scheme val="minor"/>
      </rPr>
      <t>gezinshuizen</t>
    </r>
  </si>
  <si>
    <r>
      <t xml:space="preserve">Stappenplan </t>
    </r>
    <r>
      <rPr>
        <b/>
        <u/>
        <sz val="14"/>
        <color theme="1"/>
        <rFont val="Calibri"/>
        <family val="2"/>
        <scheme val="minor"/>
      </rPr>
      <t>pleegzorg</t>
    </r>
  </si>
  <si>
    <t>Stap 0 – Leer de kleuren kennen</t>
  </si>
  <si>
    <t>Op de tabbladen zijn verschillende kleuren gebruikt om aan te geven wat er met dat veld gedaan kan worden.</t>
  </si>
  <si>
    <t>AOW Franchise</t>
  </si>
  <si>
    <t>Ap Franchise</t>
  </si>
  <si>
    <t>Berekening deeltijd-factor*</t>
  </si>
  <si>
    <t>* deze factor wordt toegepast op de voltijd-waarde.</t>
  </si>
  <si>
    <t>** hier wordt een waarde berekend i.p.v. een factor.</t>
  </si>
  <si>
    <t>Blok 1.1: Startinformatie</t>
  </si>
  <si>
    <t>Blok 1.2: Welke producten?</t>
  </si>
  <si>
    <t>Blok 1.4: Productgroep-specifieke parameters</t>
  </si>
  <si>
    <t>Blok 3.1: Startinformatie</t>
  </si>
  <si>
    <t>Blok 3.2: Welke gezinshuisproducten?</t>
  </si>
  <si>
    <t>Blok 3.3: Gezinshuisspecifieke parameters</t>
  </si>
  <si>
    <t>Blok 3.4: Output, kerngegevens</t>
  </si>
  <si>
    <t>Blok 4.1: Startinformatie</t>
  </si>
  <si>
    <t>Blok 4.2: Pleegzorgspecifieke parameters</t>
  </si>
  <si>
    <t>Blok 4.3: Output, kerngegevens</t>
  </si>
  <si>
    <t>Blok 4.5: Opbouw pleegoudervergoeding</t>
  </si>
  <si>
    <t>Invullen productiviteitsfactoren</t>
  </si>
  <si>
    <t>Invullen overige factoren</t>
  </si>
  <si>
    <t>Kostprijs per etmaal, per cliënt</t>
  </si>
  <si>
    <t>Personeelskosten</t>
  </si>
  <si>
    <t>Categorie</t>
  </si>
  <si>
    <t>Toelichting</t>
  </si>
  <si>
    <t xml:space="preserve">   - Blok 4.5: Pleegoudervergoedingopbouw, met de berekening van de pleegoudervergoedingen.</t>
  </si>
  <si>
    <t>Toelichtingen</t>
  </si>
  <si>
    <t>2.</t>
  </si>
  <si>
    <t>3.</t>
  </si>
  <si>
    <t>4.</t>
  </si>
  <si>
    <t>5.</t>
  </si>
  <si>
    <t>6.</t>
  </si>
  <si>
    <t>Een opsomming van alle gegevens</t>
  </si>
  <si>
    <t>Gezinshuis producten</t>
  </si>
  <si>
    <t>Invoer van gegevens door gemeente of onderzoeksbureau</t>
  </si>
  <si>
    <t>De invul en uitkomsten van gezinshuisproducten</t>
  </si>
  <si>
    <t>Gemiddelde salaris</t>
  </si>
  <si>
    <t>Totale bruto uurloon</t>
  </si>
  <si>
    <t>Output</t>
  </si>
  <si>
    <r>
      <t xml:space="preserve">Zie </t>
    </r>
    <r>
      <rPr>
        <b/>
        <sz val="10"/>
        <rFont val="Calibri"/>
        <family val="2"/>
        <scheme val="minor"/>
      </rPr>
      <t>Blok 4.5</t>
    </r>
  </si>
  <si>
    <t>Let op: de selectie van producten 
dient hierna niet te worden veranderd!</t>
  </si>
  <si>
    <t>Blok 1.3: Organisatie-
specifieke parameters</t>
  </si>
  <si>
    <t>Volgorde per soort</t>
  </si>
  <si>
    <t>variabelnaam</t>
  </si>
  <si>
    <t>variabellbl</t>
  </si>
  <si>
    <t>org</t>
  </si>
  <si>
    <t>prod</t>
  </si>
  <si>
    <t>cao</t>
  </si>
  <si>
    <t>tarief_type</t>
  </si>
  <si>
    <t>gem_sal</t>
  </si>
  <si>
    <t>bruto_loon</t>
  </si>
  <si>
    <t>uren_per_jaar</t>
  </si>
  <si>
    <t>tot_bruto_loon</t>
  </si>
  <si>
    <t>vakantie</t>
  </si>
  <si>
    <t>eindjaar</t>
  </si>
  <si>
    <t>ort</t>
  </si>
  <si>
    <t>overig_vergoed</t>
  </si>
  <si>
    <t>tot_dir_loonkost</t>
  </si>
  <si>
    <t>pensioen</t>
  </si>
  <si>
    <t>op_premie</t>
  </si>
  <si>
    <t>aow</t>
  </si>
  <si>
    <t>op_jaar</t>
  </si>
  <si>
    <t>tot_op</t>
  </si>
  <si>
    <t>ap_premie</t>
  </si>
  <si>
    <t>ap_franchise</t>
  </si>
  <si>
    <t>ap_jaar</t>
  </si>
  <si>
    <t>tot_ap</t>
  </si>
  <si>
    <t>tot_soc_lasten</t>
  </si>
  <si>
    <t>wao_wia</t>
  </si>
  <si>
    <t>ww</t>
  </si>
  <si>
    <t>zvw</t>
  </si>
  <si>
    <t>whk</t>
  </si>
  <si>
    <t>wga</t>
  </si>
  <si>
    <t>dir_kost_hv</t>
  </si>
  <si>
    <t>productiviteit</t>
  </si>
  <si>
    <t>bruto_uren</t>
  </si>
  <si>
    <t>verlof</t>
  </si>
  <si>
    <t>ziekteverzuim</t>
  </si>
  <si>
    <t>opleidingstijd</t>
  </si>
  <si>
    <t>zakelijke_reistijd</t>
  </si>
  <si>
    <t>indirect_clientgebonden</t>
  </si>
  <si>
    <t>niet_clientgebonden</t>
  </si>
  <si>
    <t>no_show</t>
  </si>
  <si>
    <t>netto_uren</t>
  </si>
  <si>
    <t>wewe_reis</t>
  </si>
  <si>
    <t>tot_overhead</t>
  </si>
  <si>
    <t>pers_overhead</t>
  </si>
  <si>
    <t>mat_overhead</t>
  </si>
  <si>
    <t>Overig_pers</t>
  </si>
  <si>
    <t>bezetting</t>
  </si>
  <si>
    <t>pers_uren</t>
  </si>
  <si>
    <t>groepsgrootte</t>
  </si>
  <si>
    <t>huisvest</t>
  </si>
  <si>
    <t>ink_ouder</t>
  </si>
  <si>
    <t>ink_gedragwet</t>
  </si>
  <si>
    <t>ondersteuning</t>
  </si>
  <si>
    <t>vervanging</t>
  </si>
  <si>
    <t>verzorging</t>
  </si>
  <si>
    <t>extern_zorgaanbieder</t>
  </si>
  <si>
    <t>leegstand</t>
  </si>
  <si>
    <t>zwaarte</t>
  </si>
  <si>
    <t>pleegvergoeding</t>
  </si>
  <si>
    <t>0_8</t>
  </si>
  <si>
    <t>12_15</t>
  </si>
  <si>
    <t>16_17</t>
  </si>
  <si>
    <t>18_</t>
  </si>
  <si>
    <t>toeslag</t>
  </si>
  <si>
    <t>dir_kost_pz</t>
  </si>
  <si>
    <t>AOW franchise</t>
  </si>
  <si>
    <t>AP franchise</t>
  </si>
  <si>
    <t>jaar</t>
  </si>
  <si>
    <t>tekst</t>
  </si>
  <si>
    <t>euro</t>
  </si>
  <si>
    <t>aantal</t>
  </si>
  <si>
    <t>percentage</t>
  </si>
  <si>
    <t>uren</t>
  </si>
  <si>
    <t>Export data</t>
  </si>
  <si>
    <t>Personeelsuren p/j</t>
  </si>
  <si>
    <t>WAO/WIA Premie, klein</t>
  </si>
  <si>
    <t>WAO/WIA Premie, (middel)groot</t>
  </si>
  <si>
    <t>Op premie 2025</t>
  </si>
  <si>
    <t>Werkgeversdeel Op 2025</t>
  </si>
  <si>
    <t>Ap Premie 2025</t>
  </si>
  <si>
    <t>Werkgeversdeel Ap 2025</t>
  </si>
  <si>
    <t>Pas op: veld moet nog ingevuld worden!</t>
  </si>
  <si>
    <t>intensiteit</t>
  </si>
  <si>
    <t>fte per jeugdige</t>
  </si>
  <si>
    <t>Pas op: nog niet alle velden zijn ingevuld.</t>
  </si>
  <si>
    <t>Pas op: er zijn producten met dezelfde naam!</t>
  </si>
  <si>
    <t>Effectieve groepsgrootte</t>
  </si>
  <si>
    <t>Overige</t>
  </si>
  <si>
    <t>Aantal dagen deeltijd per jaar</t>
  </si>
  <si>
    <t>Volledig ingevuld?</t>
  </si>
  <si>
    <t>Correctie bezettingsgraad</t>
  </si>
  <si>
    <t>Tabel voor parameters selecteren o.b.v. jaar</t>
  </si>
  <si>
    <t>Personeelsuren p/j 2025</t>
  </si>
  <si>
    <t>Eindejaarsuitkering 2025</t>
  </si>
  <si>
    <t>Vakantietoeslag 2025</t>
  </si>
  <si>
    <t>Overige vergoedingen (p/u) 2025</t>
  </si>
  <si>
    <t>Soort van bedrag 2025</t>
  </si>
  <si>
    <t>id</t>
  </si>
  <si>
    <t>hoofdgroep</t>
  </si>
  <si>
    <t>groep</t>
  </si>
  <si>
    <t>subgroep</t>
  </si>
  <si>
    <t>subsubgroep</t>
  </si>
  <si>
    <t>subsubsubgroep</t>
  </si>
  <si>
    <t>naam_output algemeen</t>
  </si>
  <si>
    <t>naam_output_gezinshuis</t>
  </si>
  <si>
    <t>naam_output_pleegzorg</t>
  </si>
  <si>
    <t>eenheid</t>
  </si>
  <si>
    <t>sheet_algemeen</t>
  </si>
  <si>
    <t>Opmerking</t>
  </si>
  <si>
    <t>Leeg</t>
  </si>
  <si>
    <t>Tariefberekening</t>
  </si>
  <si>
    <t>Dit is een berekend veld die mogelijk overbodig is, dit geld eignelijk voor alle groepen in tariefberekening</t>
  </si>
  <si>
    <t>Bij deze kan worden gekozen voor alleen percentage of ook het bedrag, dit geld eigenlijk voor alle subgroepen van tariefberekening</t>
  </si>
  <si>
    <t>Dit is een berekend veld die mogelijk overbodig is</t>
  </si>
  <si>
    <t>Deze zijn op basis van CAO dus weet niet hoe belangrijk</t>
  </si>
  <si>
    <t>Deze zit niet in het rapport maar lijkt me wel hier te horen</t>
  </si>
  <si>
    <t>Deze is nu nog leeg</t>
  </si>
  <si>
    <t>tot_opslagen</t>
  </si>
  <si>
    <t>gecor_kost</t>
  </si>
  <si>
    <t>daghulp/veblijf</t>
  </si>
  <si>
    <t>effec_groepsgrootte</t>
  </si>
  <si>
    <t>daghulp/verblijf</t>
  </si>
  <si>
    <t>Extra gezinswoning</t>
  </si>
  <si>
    <t>Extra pleegzorg</t>
  </si>
  <si>
    <t>Deze kan mogelijk bij overige vergoeding</t>
  </si>
  <si>
    <t>Pleegzorgdagen per jaar</t>
  </si>
  <si>
    <t>dagen_per_jaar_pz</t>
  </si>
  <si>
    <t>Soort jeugdzorg</t>
  </si>
  <si>
    <t>alternative_formula</t>
  </si>
  <si>
    <t>algemeen_pivot</t>
  </si>
  <si>
    <t>gezinshuis_pivot</t>
  </si>
  <si>
    <t>pleegzorg_pivot</t>
  </si>
  <si>
    <t>$D$46</t>
  </si>
  <si>
    <t>$M$29</t>
  </si>
  <si>
    <t>$J$26</t>
  </si>
  <si>
    <t>$E$17</t>
  </si>
  <si>
    <t>algemeen_hstep</t>
  </si>
  <si>
    <t>gezinshuis_hstep</t>
  </si>
  <si>
    <t>pleegzorg_hstep</t>
  </si>
  <si>
    <t>$C$7</t>
  </si>
  <si>
    <t>$C$8</t>
  </si>
  <si>
    <t>$C$9</t>
  </si>
  <si>
    <t>$D$16</t>
  </si>
  <si>
    <t>$N$15</t>
  </si>
  <si>
    <t>$E$19</t>
  </si>
  <si>
    <t>$E$18</t>
  </si>
  <si>
    <t>$E$24</t>
  </si>
  <si>
    <t>$E$27</t>
  </si>
  <si>
    <t>$E$56</t>
  </si>
  <si>
    <t>$E$55</t>
  </si>
  <si>
    <t>$E$57</t>
  </si>
  <si>
    <t>$E$61</t>
  </si>
  <si>
    <t>$E$58</t>
  </si>
  <si>
    <t>$E$59</t>
  </si>
  <si>
    <t>$E$60</t>
  </si>
  <si>
    <t>$I$13</t>
  </si>
  <si>
    <t>$I$14</t>
  </si>
  <si>
    <t>$I$15</t>
  </si>
  <si>
    <t>$I$16</t>
  </si>
  <si>
    <t>$I$17</t>
  </si>
  <si>
    <t>$E$31</t>
  </si>
  <si>
    <t>$E$77</t>
  </si>
  <si>
    <t>$E$69</t>
  </si>
  <si>
    <t>$E$70</t>
  </si>
  <si>
    <t>$E$71</t>
  </si>
  <si>
    <t>$E$72</t>
  </si>
  <si>
    <t>$E$73</t>
  </si>
  <si>
    <t>$E$74</t>
  </si>
  <si>
    <t>$E$75</t>
  </si>
  <si>
    <t>$E$76</t>
  </si>
  <si>
    <t>$F$10</t>
  </si>
  <si>
    <t>$F$11</t>
  </si>
  <si>
    <t>$F$9</t>
  </si>
  <si>
    <t>$E$28</t>
  </si>
  <si>
    <t>$O$28</t>
  </si>
  <si>
    <t>$E$30</t>
  </si>
  <si>
    <t>kost_incl_opsl</t>
  </si>
  <si>
    <t>$E$37</t>
  </si>
  <si>
    <t>$N$37</t>
  </si>
  <si>
    <t>$E$36</t>
  </si>
  <si>
    <t>$N$36</t>
  </si>
  <si>
    <t>$I$25</t>
  </si>
  <si>
    <t>$E$39</t>
  </si>
  <si>
    <t>$D$38</t>
  </si>
  <si>
    <t>$E$41</t>
  </si>
  <si>
    <t>$E$42</t>
  </si>
  <si>
    <t>$E$43</t>
  </si>
  <si>
    <t>$E$44</t>
  </si>
  <si>
    <t>$E$9</t>
  </si>
  <si>
    <t>$O$7</t>
  </si>
  <si>
    <t>opsl_risico</t>
  </si>
  <si>
    <t>opsl_marge</t>
  </si>
  <si>
    <t>opsl_innovatie</t>
  </si>
  <si>
    <t>$E$33</t>
  </si>
  <si>
    <t>$N$33</t>
  </si>
  <si>
    <t>$E$34</t>
  </si>
  <si>
    <t>$E$35</t>
  </si>
  <si>
    <t>$O$26</t>
  </si>
  <si>
    <t>$O$21</t>
  </si>
  <si>
    <t>$O$16</t>
  </si>
  <si>
    <t>$O$17</t>
  </si>
  <si>
    <t>$O$18</t>
  </si>
  <si>
    <t>$O$19</t>
  </si>
  <si>
    <t>$O$20</t>
  </si>
  <si>
    <t>$O$23</t>
  </si>
  <si>
    <t>$O$25</t>
  </si>
  <si>
    <t>$N$34</t>
  </si>
  <si>
    <t>$N$35</t>
  </si>
  <si>
    <t>$M$19</t>
  </si>
  <si>
    <t>$M$23</t>
  </si>
  <si>
    <t>$F$19</t>
  </si>
  <si>
    <t>$M$16</t>
  </si>
  <si>
    <t>M</t>
  </si>
  <si>
    <t>N</t>
  </si>
  <si>
    <t>P</t>
  </si>
  <si>
    <t>J</t>
  </si>
  <si>
    <t>1a. Input organisatieniveau</t>
  </si>
  <si>
    <t>O</t>
  </si>
  <si>
    <t>Hier gebruiken we dus aan gehardcode functie (gevonden in Hulp (overig))</t>
  </si>
  <si>
    <t>V</t>
  </si>
  <si>
    <t>Product volledig ingevuld?</t>
  </si>
  <si>
    <t>Niet-cliëntgebonden tijd</t>
  </si>
  <si>
    <t>Indirect cliëntgebonden tijd</t>
  </si>
  <si>
    <t>Jeugdzorg</t>
  </si>
  <si>
    <t>Naam sheet, gewogen</t>
  </si>
  <si>
    <t>CAO (GGZ), gewogen</t>
  </si>
  <si>
    <t>CAO (Sociaal Werk), gewogen</t>
  </si>
  <si>
    <t>CAO (GHZ), gewogen</t>
  </si>
  <si>
    <t>COA's</t>
  </si>
  <si>
    <t>PNIL op productgroepniveau specificeren</t>
  </si>
  <si>
    <t>Naam (CAO) sheet, gewogen</t>
  </si>
  <si>
    <t>Begin datum</t>
  </si>
  <si>
    <t>Einddatum</t>
  </si>
  <si>
    <t>Begindatum</t>
  </si>
  <si>
    <t>Gewogen</t>
  </si>
  <si>
    <t>CAO (Jeugdzorg)</t>
  </si>
  <si>
    <t>CAO (Jeugdzorg), gewogen</t>
  </si>
  <si>
    <t>Verlofuren (per fte)</t>
  </si>
  <si>
    <t>Toelichtingen van de aanbieder bij de input en output</t>
  </si>
  <si>
    <t>Kostprijs per uur, per cliënt</t>
  </si>
  <si>
    <t>Personeelsuren per declaratieeenheid</t>
  </si>
  <si>
    <t>$E$62</t>
  </si>
  <si>
    <t>$E$78</t>
  </si>
  <si>
    <t>Kostprijs per minuut, per cliënt</t>
  </si>
  <si>
    <t>Kostprijs per dagdeel, per cliënt</t>
  </si>
  <si>
    <t>kostprijs_p_m</t>
  </si>
  <si>
    <t>kostprijs_p_d</t>
  </si>
  <si>
    <t>kostprijs_p_e</t>
  </si>
  <si>
    <t>kostprijs_p_u</t>
  </si>
  <si>
    <t>Q</t>
  </si>
  <si>
    <t>R</t>
  </si>
  <si>
    <t>$D$48</t>
  </si>
  <si>
    <t>Medewerkers loondienst (fte’s)</t>
  </si>
  <si>
    <t>Organisatie specifieke parameters</t>
  </si>
  <si>
    <t>Flexibele inzet</t>
  </si>
  <si>
    <t>Vaste inzet</t>
  </si>
  <si>
    <t>inzet_vast</t>
  </si>
  <si>
    <t>inzet_flex</t>
  </si>
  <si>
    <t>fte</t>
  </si>
  <si>
    <t>$I$8</t>
  </si>
  <si>
    <t>pct_risico</t>
  </si>
  <si>
    <t>pct_marge</t>
  </si>
  <si>
    <t>pct_innovatie</t>
  </si>
  <si>
    <t>opsl_pnil</t>
  </si>
  <si>
    <t>S</t>
  </si>
  <si>
    <t>T</t>
  </si>
  <si>
    <t>U</t>
  </si>
  <si>
    <t>$I$7</t>
  </si>
  <si>
    <t>$O$27</t>
  </si>
  <si>
    <t>Specificeer factor op productgroepniveau?</t>
  </si>
  <si>
    <t>Lijst met alle producten en (hulp)eigenschappen</t>
  </si>
  <si>
    <t>Overhead en overige kosten</t>
  </si>
  <si>
    <t>Aandeel PNIL (%)</t>
  </si>
  <si>
    <t>Meerkosten PNIL (%)</t>
  </si>
  <si>
    <t>Rekenfactor PNIL (%)</t>
  </si>
  <si>
    <t>pct_pnil_rf</t>
  </si>
  <si>
    <t>pct_pnil_mk</t>
  </si>
  <si>
    <t>pct_pnil_ad</t>
  </si>
  <si>
    <t>W</t>
  </si>
  <si>
    <t>X</t>
  </si>
  <si>
    <t>Brutomaandsalaris</t>
  </si>
  <si>
    <t>begindatum</t>
  </si>
  <si>
    <t>einddatum</t>
  </si>
  <si>
    <t>1 oktober 2025</t>
  </si>
  <si>
    <t>1 oktober 2026</t>
  </si>
  <si>
    <t>04</t>
  </si>
  <si>
    <t>05</t>
  </si>
  <si>
    <t>06</t>
  </si>
  <si>
    <t>07</t>
  </si>
  <si>
    <t>08</t>
  </si>
  <si>
    <t>09</t>
  </si>
  <si>
    <t>14</t>
  </si>
  <si>
    <t>15</t>
  </si>
  <si>
    <t>3895</t>
  </si>
  <si>
    <t>10704</t>
  </si>
  <si>
    <t>10598</t>
  </si>
  <si>
    <t>10945</t>
  </si>
  <si>
    <t>100</t>
  </si>
  <si>
    <t>10582</t>
  </si>
  <si>
    <t>10477</t>
  </si>
  <si>
    <t>10820</t>
  </si>
  <si>
    <t>99</t>
  </si>
  <si>
    <t>10457</t>
  </si>
  <si>
    <t>10354</t>
  </si>
  <si>
    <t>10693</t>
  </si>
  <si>
    <t>98</t>
  </si>
  <si>
    <t>10336</t>
  </si>
  <si>
    <t>10233</t>
  </si>
  <si>
    <t>10568</t>
  </si>
  <si>
    <t>97</t>
  </si>
  <si>
    <t>10213</t>
  </si>
  <si>
    <t>10112</t>
  </si>
  <si>
    <t>10443</t>
  </si>
  <si>
    <t>96</t>
  </si>
  <si>
    <t>10090</t>
  </si>
  <si>
    <t>9990</t>
  </si>
  <si>
    <t>10317</t>
  </si>
  <si>
    <t>95</t>
  </si>
  <si>
    <t>9967</t>
  </si>
  <si>
    <t>9868</t>
  </si>
  <si>
    <t>10191</t>
  </si>
  <si>
    <t>94</t>
  </si>
  <si>
    <t>9721</t>
  </si>
  <si>
    <t>9625</t>
  </si>
  <si>
    <t>9940</t>
  </si>
  <si>
    <t>92</t>
  </si>
  <si>
    <t>9477</t>
  </si>
  <si>
    <t>9383</t>
  </si>
  <si>
    <t>9690</t>
  </si>
  <si>
    <t>90</t>
  </si>
  <si>
    <t>9234</t>
  </si>
  <si>
    <t>9143</t>
  </si>
  <si>
    <t>9442</t>
  </si>
  <si>
    <t>88</t>
  </si>
  <si>
    <t>8991</t>
  </si>
  <si>
    <t>8902</t>
  </si>
  <si>
    <t>9193</t>
  </si>
  <si>
    <t>86</t>
  </si>
  <si>
    <t>8639</t>
  </si>
  <si>
    <t>8554</t>
  </si>
  <si>
    <t>8834</t>
  </si>
  <si>
    <t>83</t>
  </si>
  <si>
    <t>8327</t>
  </si>
  <si>
    <t>8244</t>
  </si>
  <si>
    <t>8514</t>
  </si>
  <si>
    <t>80</t>
  </si>
  <si>
    <t>8015</t>
  </si>
  <si>
    <t>7936</t>
  </si>
  <si>
    <t>8195</t>
  </si>
  <si>
    <t>77</t>
  </si>
  <si>
    <t>7735</t>
  </si>
  <si>
    <t>7659</t>
  </si>
  <si>
    <t>7909</t>
  </si>
  <si>
    <t>74</t>
  </si>
  <si>
    <t>9111</t>
  </si>
  <si>
    <t>9020</t>
  </si>
  <si>
    <t>9316</t>
  </si>
  <si>
    <t>87</t>
  </si>
  <si>
    <t>8866</t>
  </si>
  <si>
    <t>8778</t>
  </si>
  <si>
    <t>9066</t>
  </si>
  <si>
    <t>85</t>
  </si>
  <si>
    <t>8744</t>
  </si>
  <si>
    <t>8658</t>
  </si>
  <si>
    <t>8941</t>
  </si>
  <si>
    <t>84</t>
  </si>
  <si>
    <t>8536</t>
  </si>
  <si>
    <t>8452</t>
  </si>
  <si>
    <t>8728</t>
  </si>
  <si>
    <t>82</t>
  </si>
  <si>
    <t>8119</t>
  </si>
  <si>
    <t>8038</t>
  </si>
  <si>
    <t>8301</t>
  </si>
  <si>
    <t>78</t>
  </si>
  <si>
    <t>7923</t>
  </si>
  <si>
    <t>7844</t>
  </si>
  <si>
    <t>8101</t>
  </si>
  <si>
    <t>76</t>
  </si>
  <si>
    <t>7454</t>
  </si>
  <si>
    <t>7380</t>
  </si>
  <si>
    <t>7621</t>
  </si>
  <si>
    <t>71</t>
  </si>
  <si>
    <t>7175</t>
  </si>
  <si>
    <t>7104</t>
  </si>
  <si>
    <t>7336</t>
  </si>
  <si>
    <t>68</t>
  </si>
  <si>
    <t>6894</t>
  </si>
  <si>
    <t>6826</t>
  </si>
  <si>
    <t>7049</t>
  </si>
  <si>
    <t>65</t>
  </si>
  <si>
    <t>6648</t>
  </si>
  <si>
    <t>6583</t>
  </si>
  <si>
    <t>6798</t>
  </si>
  <si>
    <t>62</t>
  </si>
  <si>
    <t>7642</t>
  </si>
  <si>
    <t>7566</t>
  </si>
  <si>
    <t>7814</t>
  </si>
  <si>
    <t>73</t>
  </si>
  <si>
    <t>7549</t>
  </si>
  <si>
    <t>7474</t>
  </si>
  <si>
    <t>7719</t>
  </si>
  <si>
    <t>72</t>
  </si>
  <si>
    <t>7360</t>
  </si>
  <si>
    <t>7288</t>
  </si>
  <si>
    <t>7526</t>
  </si>
  <si>
    <t>70</t>
  </si>
  <si>
    <t>6988</t>
  </si>
  <si>
    <t>6919</t>
  </si>
  <si>
    <t>7146</t>
  </si>
  <si>
    <t>66</t>
  </si>
  <si>
    <t>6803</t>
  </si>
  <si>
    <t>6735</t>
  </si>
  <si>
    <t>6956</t>
  </si>
  <si>
    <t>64</t>
  </si>
  <si>
    <t>6415</t>
  </si>
  <si>
    <t>6351</t>
  </si>
  <si>
    <t>6559</t>
  </si>
  <si>
    <t>59</t>
  </si>
  <si>
    <t>6175</t>
  </si>
  <si>
    <t>6114</t>
  </si>
  <si>
    <t>6314</t>
  </si>
  <si>
    <t>56</t>
  </si>
  <si>
    <t>5932</t>
  </si>
  <si>
    <t>5873</t>
  </si>
  <si>
    <t>6065</t>
  </si>
  <si>
    <t>53</t>
  </si>
  <si>
    <t>5686</t>
  </si>
  <si>
    <t>5629</t>
  </si>
  <si>
    <t>5813</t>
  </si>
  <si>
    <t>50</t>
  </si>
  <si>
    <t>6569</t>
  </si>
  <si>
    <t>6504</t>
  </si>
  <si>
    <t>6716</t>
  </si>
  <si>
    <t>61</t>
  </si>
  <si>
    <t>6492</t>
  </si>
  <si>
    <t>6427</t>
  </si>
  <si>
    <t>6638</t>
  </si>
  <si>
    <t>60</t>
  </si>
  <si>
    <t>6334</t>
  </si>
  <si>
    <t>6271</t>
  </si>
  <si>
    <t>6476</t>
  </si>
  <si>
    <t>58</t>
  </si>
  <si>
    <t>6254</t>
  </si>
  <si>
    <t>6192</t>
  </si>
  <si>
    <t>6395</t>
  </si>
  <si>
    <t>57</t>
  </si>
  <si>
    <t>6011</t>
  </si>
  <si>
    <t>5951</t>
  </si>
  <si>
    <t>6146</t>
  </si>
  <si>
    <t>54</t>
  </si>
  <si>
    <t>5848</t>
  </si>
  <si>
    <t>5790</t>
  </si>
  <si>
    <t>5979</t>
  </si>
  <si>
    <t>52</t>
  </si>
  <si>
    <t>5521</t>
  </si>
  <si>
    <t>5467</t>
  </si>
  <si>
    <t>5646</t>
  </si>
  <si>
    <t>48</t>
  </si>
  <si>
    <t>5360</t>
  </si>
  <si>
    <t>5307</t>
  </si>
  <si>
    <t>5481</t>
  </si>
  <si>
    <t>46</t>
  </si>
  <si>
    <t>5202</t>
  </si>
  <si>
    <t>5151</t>
  </si>
  <si>
    <t>5319</t>
  </si>
  <si>
    <t>44</t>
  </si>
  <si>
    <t>5027</t>
  </si>
  <si>
    <t>4977</t>
  </si>
  <si>
    <t>5140</t>
  </si>
  <si>
    <t>42</t>
  </si>
  <si>
    <t>5604</t>
  </si>
  <si>
    <t>5548</t>
  </si>
  <si>
    <t>5730</t>
  </si>
  <si>
    <t>49</t>
  </si>
  <si>
    <t>5442</t>
  </si>
  <si>
    <t>5388</t>
  </si>
  <si>
    <t>5565</t>
  </si>
  <si>
    <t>47</t>
  </si>
  <si>
    <t>5280</t>
  </si>
  <si>
    <t>5228</t>
  </si>
  <si>
    <t>5399</t>
  </si>
  <si>
    <t>45</t>
  </si>
  <si>
    <t>4843</t>
  </si>
  <si>
    <t>4795</t>
  </si>
  <si>
    <t>4952</t>
  </si>
  <si>
    <t>40</t>
  </si>
  <si>
    <t>4665</t>
  </si>
  <si>
    <t>4619</t>
  </si>
  <si>
    <t>4770</t>
  </si>
  <si>
    <t>38</t>
  </si>
  <si>
    <t>4478</t>
  </si>
  <si>
    <t>4434</t>
  </si>
  <si>
    <t>4579</t>
  </si>
  <si>
    <t>36</t>
  </si>
  <si>
    <t>4315</t>
  </si>
  <si>
    <t>4272</t>
  </si>
  <si>
    <t>4412</t>
  </si>
  <si>
    <t>34</t>
  </si>
  <si>
    <t>4936</t>
  </si>
  <si>
    <t>4887</t>
  </si>
  <si>
    <t>5047</t>
  </si>
  <si>
    <t>41</t>
  </si>
  <si>
    <t>4760</t>
  </si>
  <si>
    <t>4712</t>
  </si>
  <si>
    <t>4867</t>
  </si>
  <si>
    <t>39</t>
  </si>
  <si>
    <t>4570</t>
  </si>
  <si>
    <t>4525</t>
  </si>
  <si>
    <t>4673</t>
  </si>
  <si>
    <t>37</t>
  </si>
  <si>
    <t>4395</t>
  </si>
  <si>
    <t>4352</t>
  </si>
  <si>
    <t>4494</t>
  </si>
  <si>
    <t>35</t>
  </si>
  <si>
    <t>4141</t>
  </si>
  <si>
    <t>4100</t>
  </si>
  <si>
    <t>4234</t>
  </si>
  <si>
    <t>32</t>
  </si>
  <si>
    <t>3975</t>
  </si>
  <si>
    <t>3935</t>
  </si>
  <si>
    <t>4064</t>
  </si>
  <si>
    <t>30</t>
  </si>
  <si>
    <t>3798</t>
  </si>
  <si>
    <t>3760</t>
  </si>
  <si>
    <t>3883</t>
  </si>
  <si>
    <t>28</t>
  </si>
  <si>
    <t>4227</t>
  </si>
  <si>
    <t>4185</t>
  </si>
  <si>
    <t>4322</t>
  </si>
  <si>
    <t>33</t>
  </si>
  <si>
    <t>4057</t>
  </si>
  <si>
    <t>4017</t>
  </si>
  <si>
    <t>4149</t>
  </si>
  <si>
    <t>31</t>
  </si>
  <si>
    <t>3887</t>
  </si>
  <si>
    <t>3849</t>
  </si>
  <si>
    <t>29</t>
  </si>
  <si>
    <t>3719</t>
  </si>
  <si>
    <t>3682</t>
  </si>
  <si>
    <t>3803</t>
  </si>
  <si>
    <t>27</t>
  </si>
  <si>
    <t>3541</t>
  </si>
  <si>
    <t>3506</t>
  </si>
  <si>
    <t>3621</t>
  </si>
  <si>
    <t>25</t>
  </si>
  <si>
    <t>3380</t>
  </si>
  <si>
    <t>3346</t>
  </si>
  <si>
    <t>3456</t>
  </si>
  <si>
    <t>23</t>
  </si>
  <si>
    <t>3630</t>
  </si>
  <si>
    <t>3594</t>
  </si>
  <si>
    <t>3711</t>
  </si>
  <si>
    <t>26</t>
  </si>
  <si>
    <t>3459</t>
  </si>
  <si>
    <t>3425</t>
  </si>
  <si>
    <t>3537</t>
  </si>
  <si>
    <t>24</t>
  </si>
  <si>
    <t>3305</t>
  </si>
  <si>
    <t>3272</t>
  </si>
  <si>
    <t>3379</t>
  </si>
  <si>
    <t>22</t>
  </si>
  <si>
    <t>3231</t>
  </si>
  <si>
    <t>3199</t>
  </si>
  <si>
    <t>3304</t>
  </si>
  <si>
    <t>21</t>
  </si>
  <si>
    <t>3158</t>
  </si>
  <si>
    <t>3127</t>
  </si>
  <si>
    <t>3229</t>
  </si>
  <si>
    <t>20</t>
  </si>
  <si>
    <t>3020</t>
  </si>
  <si>
    <t>2990</t>
  </si>
  <si>
    <t>3088</t>
  </si>
  <si>
    <t>18</t>
  </si>
  <si>
    <t>3057</t>
  </si>
  <si>
    <t>3157</t>
  </si>
  <si>
    <t>19</t>
  </si>
  <si>
    <t>2947</t>
  </si>
  <si>
    <t>2917</t>
  </si>
  <si>
    <t>3013</t>
  </si>
  <si>
    <t>17</t>
  </si>
  <si>
    <t>2885</t>
  </si>
  <si>
    <t>2857</t>
  </si>
  <si>
    <t>2950</t>
  </si>
  <si>
    <t>16</t>
  </si>
  <si>
    <t>2742</t>
  </si>
  <si>
    <t>2715</t>
  </si>
  <si>
    <t>2804</t>
  </si>
  <si>
    <t>2809</t>
  </si>
  <si>
    <t>2781</t>
  </si>
  <si>
    <t>2872</t>
  </si>
  <si>
    <t>2597</t>
  </si>
  <si>
    <t>2571</t>
  </si>
  <si>
    <t>2655</t>
  </si>
  <si>
    <t>2669</t>
  </si>
  <si>
    <t>2642</t>
  </si>
  <si>
    <t>2729</t>
  </si>
  <si>
    <t>2471</t>
  </si>
  <si>
    <t>2446</t>
  </si>
  <si>
    <t>2526</t>
  </si>
  <si>
    <t>2366</t>
  </si>
  <si>
    <t>2343</t>
  </si>
  <si>
    <t>2420</t>
  </si>
  <si>
    <t>2532</t>
  </si>
  <si>
    <t>2507</t>
  </si>
  <si>
    <t>2589</t>
  </si>
  <si>
    <t>2416</t>
  </si>
  <si>
    <t>2392</t>
  </si>
  <si>
    <t>2470</t>
  </si>
  <si>
    <t>2296</t>
  </si>
  <si>
    <t>2371</t>
  </si>
  <si>
    <t>2248</t>
  </si>
  <si>
    <t>2214</t>
  </si>
  <si>
    <t>volgnr</t>
  </si>
  <si>
    <t>trede</t>
  </si>
  <si>
    <t>schijf</t>
  </si>
  <si>
    <t>1 juli 2026</t>
  </si>
  <si>
    <t>1 januari 2026</t>
  </si>
  <si>
    <t>1 juli 2025</t>
  </si>
  <si>
    <t>1 januari 2025</t>
  </si>
  <si>
    <t>1 december 2025</t>
  </si>
  <si>
    <t>datum</t>
  </si>
  <si>
    <t>2348</t>
  </si>
  <si>
    <t>2200</t>
  </si>
  <si>
    <t>2504</t>
  </si>
  <si>
    <t>2545</t>
  </si>
  <si>
    <t>2602</t>
  </si>
  <si>
    <t>2667</t>
  </si>
  <si>
    <t>2735</t>
  </si>
  <si>
    <t>2811</t>
  </si>
  <si>
    <t>2888</t>
  </si>
  <si>
    <t>2958</t>
  </si>
  <si>
    <t>3039</t>
  </si>
  <si>
    <t>3103</t>
  </si>
  <si>
    <t>3180</t>
  </si>
  <si>
    <t>3252</t>
  </si>
  <si>
    <t>3326</t>
  </si>
  <si>
    <t>3403</t>
  </si>
  <si>
    <t>3481</t>
  </si>
  <si>
    <t>3560</t>
  </si>
  <si>
    <t>3643</t>
  </si>
  <si>
    <t>3730</t>
  </si>
  <si>
    <t>3823</t>
  </si>
  <si>
    <t>3917</t>
  </si>
  <si>
    <t>4000</t>
  </si>
  <si>
    <t>4094</t>
  </si>
  <si>
    <t>4186</t>
  </si>
  <si>
    <t>4273</t>
  </si>
  <si>
    <t>4361</t>
  </si>
  <si>
    <t>4452</t>
  </si>
  <si>
    <t>4544</t>
  </si>
  <si>
    <t>4629</t>
  </si>
  <si>
    <t>4716</t>
  </si>
  <si>
    <t>4813</t>
  </si>
  <si>
    <t>4913</t>
  </si>
  <si>
    <t>5013</t>
  </si>
  <si>
    <t>5101</t>
  </si>
  <si>
    <t>5199</t>
  </si>
  <si>
    <t>5294</t>
  </si>
  <si>
    <t>5479</t>
  </si>
  <si>
    <t>5561</t>
  </si>
  <si>
    <t>5645</t>
  </si>
  <si>
    <t>5732</t>
  </si>
  <si>
    <t>5815</t>
  </si>
  <si>
    <t>5901</t>
  </si>
  <si>
    <t>5988</t>
  </si>
  <si>
    <t>6159</t>
  </si>
  <si>
    <t>6330</t>
  </si>
  <si>
    <t>6503</t>
  </si>
  <si>
    <t>6587</t>
  </si>
  <si>
    <t>6671</t>
  </si>
  <si>
    <t>6756</t>
  </si>
  <si>
    <t>6837</t>
  </si>
  <si>
    <t>6918</t>
  </si>
  <si>
    <t>6247</t>
  </si>
  <si>
    <t>7002</t>
  </si>
  <si>
    <t>7164</t>
  </si>
  <si>
    <t>7556</t>
  </si>
  <si>
    <t>7752</t>
  </si>
  <si>
    <t>7850</t>
  </si>
  <si>
    <t>7950</t>
  </si>
  <si>
    <t>8048</t>
  </si>
  <si>
    <t>8146</t>
  </si>
  <si>
    <t>7261</t>
  </si>
  <si>
    <t>8344</t>
  </si>
  <si>
    <t>8550</t>
  </si>
  <si>
    <t>8769</t>
  </si>
  <si>
    <t>8990</t>
  </si>
  <si>
    <t>9099</t>
  </si>
  <si>
    <t>9209</t>
  </si>
  <si>
    <t>9338</t>
  </si>
  <si>
    <t>9469</t>
  </si>
  <si>
    <t>9595</t>
  </si>
  <si>
    <t>9725</t>
  </si>
  <si>
    <t>8441</t>
  </si>
  <si>
    <t>9981</t>
  </si>
  <si>
    <t>10238</t>
  </si>
  <si>
    <t>10497</t>
  </si>
  <si>
    <t>10626</t>
  </si>
  <si>
    <t>10756</t>
  </si>
  <si>
    <t>10885</t>
  </si>
  <si>
    <t>11014</t>
  </si>
  <si>
    <t>11144</t>
  </si>
  <si>
    <t>11274</t>
  </si>
  <si>
    <t>inpas.nr.</t>
  </si>
  <si>
    <t>1 december 2024</t>
  </si>
  <si>
    <t>1 mei 2026</t>
  </si>
  <si>
    <t>1 november 2026</t>
  </si>
  <si>
    <t>Trede</t>
  </si>
  <si>
    <t>2254</t>
  </si>
  <si>
    <t>2333</t>
  </si>
  <si>
    <t>2382</t>
  </si>
  <si>
    <t>2263</t>
  </si>
  <si>
    <t>2342</t>
  </si>
  <si>
    <t>2391</t>
  </si>
  <si>
    <t>2317</t>
  </si>
  <si>
    <t>2398</t>
  </si>
  <si>
    <t>2448</t>
  </si>
  <si>
    <t>2375</t>
  </si>
  <si>
    <t>2458</t>
  </si>
  <si>
    <t>2510</t>
  </si>
  <si>
    <t>2429</t>
  </si>
  <si>
    <t>2514</t>
  </si>
  <si>
    <t>2567</t>
  </si>
  <si>
    <t>2485</t>
  </si>
  <si>
    <t>2572</t>
  </si>
  <si>
    <t>2626</t>
  </si>
  <si>
    <t>2546</t>
  </si>
  <si>
    <t>2635</t>
  </si>
  <si>
    <t>2690</t>
  </si>
  <si>
    <t>2610</t>
  </si>
  <si>
    <t>2701</t>
  </si>
  <si>
    <t>2758</t>
  </si>
  <si>
    <t>2670</t>
  </si>
  <si>
    <t>2763</t>
  </si>
  <si>
    <t>2821</t>
  </si>
  <si>
    <t>2737</t>
  </si>
  <si>
    <t>2833</t>
  </si>
  <si>
    <t>2892</t>
  </si>
  <si>
    <t>2829</t>
  </si>
  <si>
    <t>2928</t>
  </si>
  <si>
    <t>2989</t>
  </si>
  <si>
    <t>2908</t>
  </si>
  <si>
    <t>3010</t>
  </si>
  <si>
    <t>3073</t>
  </si>
  <si>
    <t>3002</t>
  </si>
  <si>
    <t>3107</t>
  </si>
  <si>
    <t>3172</t>
  </si>
  <si>
    <t>3086</t>
  </si>
  <si>
    <t>3194</t>
  </si>
  <si>
    <t>3261</t>
  </si>
  <si>
    <t>3179</t>
  </si>
  <si>
    <t>3290</t>
  </si>
  <si>
    <t>3359</t>
  </si>
  <si>
    <t>3259</t>
  </si>
  <si>
    <t>3373</t>
  </si>
  <si>
    <t>3444</t>
  </si>
  <si>
    <t>2266</t>
  </si>
  <si>
    <t>2345</t>
  </si>
  <si>
    <t>2394</t>
  </si>
  <si>
    <t>3344</t>
  </si>
  <si>
    <t>3461</t>
  </si>
  <si>
    <t>3534</t>
  </si>
  <si>
    <t>3409</t>
  </si>
  <si>
    <t>3528</t>
  </si>
  <si>
    <t>3602</t>
  </si>
  <si>
    <t>3485</t>
  </si>
  <si>
    <t>3607</t>
  </si>
  <si>
    <t>3683</t>
  </si>
  <si>
    <t>2430</t>
  </si>
  <si>
    <t>2515</t>
  </si>
  <si>
    <t>2568</t>
  </si>
  <si>
    <t>3552</t>
  </si>
  <si>
    <t>3676</t>
  </si>
  <si>
    <t>3753</t>
  </si>
  <si>
    <t>3686</t>
  </si>
  <si>
    <t>3815</t>
  </si>
  <si>
    <t>3774</t>
  </si>
  <si>
    <t>3906</t>
  </si>
  <si>
    <t>3988</t>
  </si>
  <si>
    <t>2494</t>
  </si>
  <si>
    <t>2581</t>
  </si>
  <si>
    <t>3869</t>
  </si>
  <si>
    <t>4004</t>
  </si>
  <si>
    <t>4088</t>
  </si>
  <si>
    <t>3968</t>
  </si>
  <si>
    <t>4107</t>
  </si>
  <si>
    <t>4193</t>
  </si>
  <si>
    <t>4051</t>
  </si>
  <si>
    <t>4281</t>
  </si>
  <si>
    <t>4140</t>
  </si>
  <si>
    <t>4285</t>
  </si>
  <si>
    <t>4375</t>
  </si>
  <si>
    <t>2773</t>
  </si>
  <si>
    <t>2870</t>
  </si>
  <si>
    <t>2930</t>
  </si>
  <si>
    <t>4228</t>
  </si>
  <si>
    <t>4376</t>
  </si>
  <si>
    <t>4468</t>
  </si>
  <si>
    <t>4371</t>
  </si>
  <si>
    <t>4524</t>
  </si>
  <si>
    <t>4523</t>
  </si>
  <si>
    <t>4681</t>
  </si>
  <si>
    <t>4779</t>
  </si>
  <si>
    <t>3026</t>
  </si>
  <si>
    <t>3132</t>
  </si>
  <si>
    <t>3198</t>
  </si>
  <si>
    <t>4676</t>
  </si>
  <si>
    <t>4840</t>
  </si>
  <si>
    <t>4942</t>
  </si>
  <si>
    <t>4829</t>
  </si>
  <si>
    <t>4998</t>
  </si>
  <si>
    <t>5103</t>
  </si>
  <si>
    <t>4983</t>
  </si>
  <si>
    <t>5157</t>
  </si>
  <si>
    <t>5265</t>
  </si>
  <si>
    <t>3282</t>
  </si>
  <si>
    <t>3397</t>
  </si>
  <si>
    <t>3468</t>
  </si>
  <si>
    <t>5144</t>
  </si>
  <si>
    <t>5324</t>
  </si>
  <si>
    <t>5436</t>
  </si>
  <si>
    <t>5323</t>
  </si>
  <si>
    <t>5509</t>
  </si>
  <si>
    <t>5625</t>
  </si>
  <si>
    <t>5512</t>
  </si>
  <si>
    <t>5705</t>
  </si>
  <si>
    <t>5825</t>
  </si>
  <si>
    <t>3489</t>
  </si>
  <si>
    <t>3611</t>
  </si>
  <si>
    <t>3687</t>
  </si>
  <si>
    <t>5702</t>
  </si>
  <si>
    <t>5902</t>
  </si>
  <si>
    <t>6026</t>
  </si>
  <si>
    <t>5905</t>
  </si>
  <si>
    <t>6112</t>
  </si>
  <si>
    <t>6240</t>
  </si>
  <si>
    <t>6107</t>
  </si>
  <si>
    <t>6321</t>
  </si>
  <si>
    <t>6454</t>
  </si>
  <si>
    <t>3802</t>
  </si>
  <si>
    <t>4018</t>
  </si>
  <si>
    <t>6322</t>
  </si>
  <si>
    <t>6543</t>
  </si>
  <si>
    <t>6680</t>
  </si>
  <si>
    <t>6549</t>
  </si>
  <si>
    <t>6778</t>
  </si>
  <si>
    <t>6920</t>
  </si>
  <si>
    <t>6780</t>
  </si>
  <si>
    <t>7017</t>
  </si>
  <si>
    <t>4072</t>
  </si>
  <si>
    <t>4215</t>
  </si>
  <si>
    <t>4304</t>
  </si>
  <si>
    <t>7020</t>
  </si>
  <si>
    <t>7266</t>
  </si>
  <si>
    <t>7419</t>
  </si>
  <si>
    <t>7277</t>
  </si>
  <si>
    <t>7532</t>
  </si>
  <si>
    <t>7690</t>
  </si>
  <si>
    <t>7544</t>
  </si>
  <si>
    <t>7808</t>
  </si>
  <si>
    <t>7972</t>
  </si>
  <si>
    <t>4450</t>
  </si>
  <si>
    <t>4606</t>
  </si>
  <si>
    <t>4703</t>
  </si>
  <si>
    <t>7824</t>
  </si>
  <si>
    <t>8098</t>
  </si>
  <si>
    <t>8268</t>
  </si>
  <si>
    <t>8248</t>
  </si>
  <si>
    <t>8537</t>
  </si>
  <si>
    <t>8716</t>
  </si>
  <si>
    <t>8691</t>
  </si>
  <si>
    <t>8995</t>
  </si>
  <si>
    <t>9184</t>
  </si>
  <si>
    <t>4907</t>
  </si>
  <si>
    <t>5079</t>
  </si>
  <si>
    <t>5186</t>
  </si>
  <si>
    <t>9157</t>
  </si>
  <si>
    <t>9676</t>
  </si>
  <si>
    <t>9651</t>
  </si>
  <si>
    <t>9989</t>
  </si>
  <si>
    <t>10199</t>
  </si>
  <si>
    <t>5243</t>
  </si>
  <si>
    <t>5427</t>
  </si>
  <si>
    <t>5541</t>
  </si>
  <si>
    <t>10168</t>
  </si>
  <si>
    <t>10524</t>
  </si>
  <si>
    <t>10745</t>
  </si>
  <si>
    <t>10715</t>
  </si>
  <si>
    <t>11090</t>
  </si>
  <si>
    <t>11323</t>
  </si>
  <si>
    <t>5617</t>
  </si>
  <si>
    <t>5814</t>
  </si>
  <si>
    <t>5936</t>
  </si>
  <si>
    <t>Stichting TEST</t>
  </si>
  <si>
    <t>OP premie per jaar (incl. correctie maximum)</t>
  </si>
  <si>
    <t>2. Output kostprijs</t>
  </si>
  <si>
    <t>Output kostprijs</t>
  </si>
  <si>
    <t>Blok 3.5: Kostprijsopbouw per bouwsteen</t>
  </si>
  <si>
    <t>Blok 4.4: Kostprijsopbouw</t>
  </si>
  <si>
    <t>Kostprijsopbouw</t>
  </si>
  <si>
    <t>Full-time jaarsalaris</t>
  </si>
  <si>
    <t>Automatische resultaten en berekende kostprijzen</t>
  </si>
  <si>
    <t>Worden ingevuld door aanbieders</t>
  </si>
  <si>
    <t>$M$18</t>
  </si>
  <si>
    <t>Factornaam</t>
  </si>
  <si>
    <t>Definitie</t>
  </si>
  <si>
    <t>Sheet bronlocatie</t>
  </si>
  <si>
    <t>Cel bronlocatie</t>
  </si>
  <si>
    <t>1b. Input productniveau</t>
  </si>
  <si>
    <t>Huisvestingskosten per declaratieeenheid</t>
  </si>
  <si>
    <t>Cliëntgebonden kosten per declaratieeenheid</t>
  </si>
  <si>
    <t>1c. Input functiemix</t>
  </si>
  <si>
    <t>3. Gezinshuis producten</t>
  </si>
  <si>
    <t>4. Pleegzorg producten</t>
  </si>
  <si>
    <t xml:space="preserve">            * deze factor wordt toegepast op de voltijd-waarde.</t>
  </si>
  <si>
    <t xml:space="preserve">            ** hier wordt een waarde berekend i.p.v. een factor.</t>
  </si>
  <si>
    <t>Definities</t>
  </si>
  <si>
    <t>B7</t>
  </si>
  <si>
    <t>B8</t>
  </si>
  <si>
    <t>B9</t>
  </si>
  <si>
    <t>B11</t>
  </si>
  <si>
    <t>B12</t>
  </si>
  <si>
    <t>B13</t>
  </si>
  <si>
    <t>B14</t>
  </si>
  <si>
    <t>H7</t>
  </si>
  <si>
    <t>H8</t>
  </si>
  <si>
    <t>H10</t>
  </si>
  <si>
    <t>H11</t>
  </si>
  <si>
    <t>H13</t>
  </si>
  <si>
    <t>H14</t>
  </si>
  <si>
    <t>H15</t>
  </si>
  <si>
    <t>H16</t>
  </si>
  <si>
    <t>H17</t>
  </si>
  <si>
    <t>H19</t>
  </si>
  <si>
    <t>H20</t>
  </si>
  <si>
    <t>H21</t>
  </si>
  <si>
    <t>H23</t>
  </si>
  <si>
    <t>H24</t>
  </si>
  <si>
    <t>H25</t>
  </si>
  <si>
    <t>H27</t>
  </si>
  <si>
    <t>H28</t>
  </si>
  <si>
    <t>H29</t>
  </si>
  <si>
    <t>K7</t>
  </si>
  <si>
    <t>AC4</t>
  </si>
  <si>
    <t>AC5</t>
  </si>
  <si>
    <t>AC6</t>
  </si>
  <si>
    <t>AC7</t>
  </si>
  <si>
    <t>AC8</t>
  </si>
  <si>
    <t>AC9</t>
  </si>
  <si>
    <t>AC10</t>
  </si>
  <si>
    <t>AC11</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</si>
  <si>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</si>
  <si>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</si>
  <si>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</si>
  <si>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</si>
  <si>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</si>
  <si>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</si>
  <si>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</si>
  <si>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</si>
  <si>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</si>
  <si>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</si>
  <si>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</si>
  <si>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</si>
  <si>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</si>
  <si>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</si>
  <si>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</si>
  <si>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</si>
  <si>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</si>
  <si>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</si>
  <si>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</si>
  <si>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</si>
  <si>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</si>
  <si>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</si>
  <si>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</si>
  <si>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B41</t>
  </si>
  <si>
    <t>B42</t>
  </si>
  <si>
    <t>B43</t>
  </si>
  <si>
    <t>B44</t>
  </si>
  <si>
    <t>B46</t>
  </si>
  <si>
    <t>B47</t>
  </si>
  <si>
    <t>B48</t>
  </si>
  <si>
    <t>B53</t>
  </si>
  <si>
    <t>B54</t>
  </si>
  <si>
    <t>B55</t>
  </si>
  <si>
    <t>B56</t>
  </si>
  <si>
    <t>B57</t>
  </si>
  <si>
    <t>B58</t>
  </si>
  <si>
    <t>B59</t>
  </si>
  <si>
    <t>B60</t>
  </si>
  <si>
    <t>B61</t>
  </si>
  <si>
    <t>B62</t>
  </si>
  <si>
    <t>B63</t>
  </si>
  <si>
    <t>B68</t>
  </si>
  <si>
    <t>B69</t>
  </si>
  <si>
    <t>B70</t>
  </si>
  <si>
    <t>B71</t>
  </si>
  <si>
    <t>B72</t>
  </si>
  <si>
    <t>B73</t>
  </si>
  <si>
    <t>B74</t>
  </si>
  <si>
    <t>B75</t>
  </si>
  <si>
    <t>B76</t>
  </si>
  <si>
    <t>B77</t>
  </si>
  <si>
    <t>B78</t>
  </si>
  <si>
    <t>H9</t>
  </si>
  <si>
    <t>H12</t>
  </si>
  <si>
    <t>H18</t>
  </si>
  <si>
    <t>H22</t>
  </si>
  <si>
    <t>H30</t>
  </si>
  <si>
    <t>H31</t>
  </si>
  <si>
    <t>H32</t>
  </si>
  <si>
    <t>M7</t>
  </si>
  <si>
    <t>M16</t>
  </si>
  <si>
    <t>M17</t>
  </si>
  <si>
    <t>M18</t>
  </si>
  <si>
    <t>M19</t>
  </si>
  <si>
    <t>M20</t>
  </si>
  <si>
    <t>M21</t>
  </si>
  <si>
    <t>M22</t>
  </si>
  <si>
    <t>M23</t>
  </si>
  <si>
    <t>M24</t>
  </si>
  <si>
    <t>M25</t>
  </si>
  <si>
    <t>M26</t>
  </si>
  <si>
    <t>M27</t>
  </si>
  <si>
    <t>M28</t>
  </si>
  <si>
    <t>M29</t>
  </si>
  <si>
    <t>E7</t>
  </si>
  <si>
    <t>E9</t>
  </si>
  <si>
    <t>E10</t>
  </si>
  <si>
    <t>E11</t>
  </si>
  <si>
    <t>E13</t>
  </si>
  <si>
    <t>E14</t>
  </si>
  <si>
    <t>E15</t>
  </si>
  <si>
    <t>E16</t>
  </si>
  <si>
    <t>E17</t>
  </si>
  <si>
    <t>E19</t>
  </si>
  <si>
    <t>E21</t>
  </si>
  <si>
    <t>E23</t>
  </si>
  <si>
    <t>E25</t>
  </si>
  <si>
    <t>J7</t>
  </si>
  <si>
    <t>J8</t>
  </si>
  <si>
    <t>J17</t>
  </si>
  <si>
    <t>J18</t>
  </si>
  <si>
    <t>J19</t>
  </si>
  <si>
    <t>J20</t>
  </si>
  <si>
    <t>J21</t>
  </si>
  <si>
    <t>J22</t>
  </si>
  <si>
    <t>J23</t>
  </si>
  <si>
    <t>J24</t>
  </si>
  <si>
    <t>J25</t>
  </si>
  <si>
    <t>J26</t>
  </si>
  <si>
    <t>J38</t>
  </si>
  <si>
    <t>Dynamische locatie</t>
  </si>
  <si>
    <t>Naar definities</t>
  </si>
  <si>
    <t>Jaarkosten (€) ond</t>
  </si>
  <si>
    <t>Declarabele uren per jaar ond</t>
  </si>
  <si>
    <t>Netto uren per jeugdige per week ond</t>
  </si>
  <si>
    <t>Jaarkosten (€) gdw</t>
  </si>
  <si>
    <t>Declarabele uren per jaar gdw</t>
  </si>
  <si>
    <t>Netto uren per jeugdige per week gdw</t>
  </si>
  <si>
    <t>Een lijst met definities van kostprijsfactoren</t>
  </si>
  <si>
    <t>Gegevens vanuit aanbieder, brondata of berekening</t>
  </si>
  <si>
    <r>
      <t xml:space="preserve">1a. </t>
    </r>
    <r>
      <rPr>
        <b/>
        <sz val="11"/>
        <color theme="1"/>
        <rFont val="Calibri"/>
        <family val="2"/>
        <scheme val="minor"/>
      </rPr>
      <t>Blok 1.1</t>
    </r>
    <r>
      <rPr>
        <sz val="11"/>
        <color theme="1"/>
        <rFont val="Calibri"/>
        <family val="2"/>
        <scheme val="minor"/>
      </rPr>
      <t>: vul de algemene organisatiegegevens in (naam, contactpersoon, etc.).</t>
    </r>
  </si>
  <si>
    <r>
      <t xml:space="preserve">1b. </t>
    </r>
    <r>
      <rPr>
        <b/>
        <sz val="11"/>
        <color theme="1"/>
        <rFont val="Calibri"/>
        <family val="2"/>
        <scheme val="minor"/>
      </rPr>
      <t>Blok 1.2</t>
    </r>
    <r>
      <rPr>
        <sz val="11"/>
        <color theme="1"/>
        <rFont val="Calibri"/>
        <family val="2"/>
        <scheme val="minor"/>
      </rPr>
      <t>: selecteer de producten waarvoor</t>
    </r>
    <r>
      <rPr>
        <b/>
        <sz val="11"/>
        <color theme="1"/>
        <rFont val="Calibri"/>
        <family val="2"/>
        <scheme val="minor"/>
      </rPr>
      <t xml:space="preserve"> u kosteninformatie gaat aanleveren </t>
    </r>
    <r>
      <rPr>
        <sz val="11"/>
        <color theme="1"/>
        <rFont val="Calibri"/>
        <family val="2"/>
        <scheme val="minor"/>
      </rPr>
      <t xml:space="preserve">door de </t>
    </r>
    <r>
      <rPr>
        <b/>
        <sz val="11"/>
        <color theme="1"/>
        <rFont val="Calibri"/>
        <family val="2"/>
        <scheme val="minor"/>
      </rPr>
      <t>checkbox</t>
    </r>
    <r>
      <rPr>
        <sz val="11"/>
        <color theme="1"/>
        <rFont val="Calibri"/>
        <family val="2"/>
        <scheme val="minor"/>
      </rPr>
      <t xml:space="preserve"> naast het product aan te vinken.</t>
    </r>
  </si>
  <si>
    <r>
      <t xml:space="preserve">1c. </t>
    </r>
    <r>
      <rPr>
        <b/>
        <sz val="11"/>
        <color theme="1"/>
        <rFont val="Calibri"/>
        <family val="2"/>
        <scheme val="minor"/>
      </rPr>
      <t>Blok 1.3</t>
    </r>
    <r>
      <rPr>
        <sz val="11"/>
        <color theme="1"/>
        <rFont val="Calibri"/>
        <family val="2"/>
        <scheme val="minor"/>
      </rPr>
      <t>: maak een keuze tussen het generiek óf per productgroep invullen van de kosteninformatie.</t>
    </r>
  </si>
  <si>
    <r>
      <t xml:space="preserve">   N.b.: elke factor waarvoor dit mogelijk is, is te herkennen aan een </t>
    </r>
    <r>
      <rPr>
        <b/>
        <sz val="11"/>
        <color theme="1"/>
        <rFont val="Calibri"/>
        <family val="2"/>
        <scheme val="minor"/>
      </rPr>
      <t>checkbox</t>
    </r>
    <r>
      <rPr>
        <sz val="11"/>
        <color theme="1"/>
        <rFont val="Calibri"/>
        <family val="2"/>
        <scheme val="minor"/>
      </rPr>
      <t xml:space="preserve"> aan de linkerzijde van het blok.</t>
    </r>
  </si>
  <si>
    <r>
      <t xml:space="preserve">1d. </t>
    </r>
    <r>
      <rPr>
        <b/>
        <sz val="11"/>
        <color theme="1"/>
        <rFont val="Calibri"/>
        <family val="2"/>
        <scheme val="minor"/>
      </rPr>
      <t>Blok 1.3</t>
    </r>
    <r>
      <rPr>
        <sz val="11"/>
        <color theme="1"/>
        <rFont val="Calibri"/>
        <family val="2"/>
        <scheme val="minor"/>
      </rPr>
      <t xml:space="preserve"> </t>
    </r>
    <r>
      <rPr>
        <b/>
        <sz val="11"/>
        <color theme="1"/>
        <rFont val="Calibri"/>
        <family val="2"/>
        <scheme val="minor"/>
      </rPr>
      <t>&amp;</t>
    </r>
    <r>
      <rPr>
        <sz val="11"/>
        <color theme="1"/>
        <rFont val="Calibri"/>
        <family val="2"/>
        <scheme val="minor"/>
      </rPr>
      <t xml:space="preserve"> </t>
    </r>
    <r>
      <rPr>
        <b/>
        <sz val="11"/>
        <color theme="1"/>
        <rFont val="Calibri"/>
        <family val="2"/>
        <scheme val="minor"/>
      </rPr>
      <t>Blok 1.4</t>
    </r>
    <r>
      <rPr>
        <sz val="11"/>
        <color theme="1"/>
        <rFont val="Calibri"/>
        <family val="2"/>
        <scheme val="minor"/>
      </rPr>
      <t xml:space="preserve">: vul alle velden in die met </t>
    </r>
    <r>
      <rPr>
        <b/>
        <sz val="11"/>
        <color theme="9" tint="-0.249977111117893"/>
        <rFont val="Calibri"/>
        <family val="2"/>
        <scheme val="minor"/>
      </rPr>
      <t>groen</t>
    </r>
    <r>
      <rPr>
        <sz val="11"/>
        <color theme="1"/>
        <rFont val="Calibri"/>
        <family val="2"/>
        <scheme val="minor"/>
      </rPr>
      <t xml:space="preserve"> zijn aangegeven (zoals premies, opslagen, overhead, etc.)</t>
    </r>
  </si>
  <si>
    <r>
      <t xml:space="preserve">2a. Vul per product alle velden in die met </t>
    </r>
    <r>
      <rPr>
        <b/>
        <sz val="11"/>
        <color theme="9" tint="-0.249977111117893"/>
        <rFont val="Calibri"/>
        <family val="2"/>
        <scheme val="minor"/>
      </rPr>
      <t>groen</t>
    </r>
    <r>
      <rPr>
        <sz val="11"/>
        <color theme="1"/>
        <rFont val="Calibri"/>
        <family val="2"/>
        <scheme val="minor"/>
      </rPr>
      <t xml:space="preserve"> zijn gemarkeerd (zoals productiviteit, uren, etc.).</t>
    </r>
  </si>
  <si>
    <r>
      <t xml:space="preserve">3a. Vul de informatie in benodigd voor het berekenen van het </t>
    </r>
    <r>
      <rPr>
        <b/>
        <sz val="11"/>
        <color theme="1"/>
        <rFont val="Calibri"/>
        <family val="2"/>
        <scheme val="minor"/>
      </rPr>
      <t>bruto maandsalaris</t>
    </r>
    <r>
      <rPr>
        <sz val="11"/>
        <color theme="1"/>
        <rFont val="Calibri"/>
        <family val="2"/>
        <scheme val="minor"/>
      </rPr>
      <t>. Hiervoor twee opties:</t>
    </r>
  </si>
  <si>
    <r>
      <rPr>
        <b/>
        <sz val="11"/>
        <color theme="1"/>
        <rFont val="Calibri"/>
        <family val="2"/>
        <scheme val="minor"/>
      </rPr>
      <t xml:space="preserve">   Optie 1</t>
    </r>
    <r>
      <rPr>
        <sz val="11"/>
        <color theme="1"/>
        <rFont val="Calibri"/>
        <family val="2"/>
        <scheme val="minor"/>
      </rPr>
      <t>: bereken a.d.h.v. de functiemix. Hiervoor zijn twee mogelijkheden:</t>
    </r>
  </si>
  <si>
    <r>
      <rPr>
        <b/>
        <sz val="11"/>
        <color theme="1"/>
        <rFont val="Calibri"/>
        <family val="2"/>
        <scheme val="minor"/>
      </rPr>
      <t xml:space="preserve">   Optie 2</t>
    </r>
    <r>
      <rPr>
        <sz val="11"/>
        <color theme="1"/>
        <rFont val="Calibri"/>
        <family val="2"/>
        <scheme val="minor"/>
      </rPr>
      <t xml:space="preserve">: handmatig invullen door de </t>
    </r>
    <r>
      <rPr>
        <b/>
        <sz val="11"/>
        <color theme="1"/>
        <rFont val="Calibri"/>
        <family val="2"/>
        <scheme val="minor"/>
      </rPr>
      <t>checkbox</t>
    </r>
    <r>
      <rPr>
        <sz val="11"/>
        <color theme="1"/>
        <rFont val="Calibri"/>
        <family val="2"/>
        <scheme val="minor"/>
      </rPr>
      <t xml:space="preserve"> te selecteren.</t>
    </r>
  </si>
  <si>
    <r>
      <t xml:space="preserve">   - </t>
    </r>
    <r>
      <rPr>
        <b/>
        <sz val="11"/>
        <color theme="1"/>
        <rFont val="Calibri"/>
        <family val="2"/>
        <scheme val="minor"/>
      </rPr>
      <t>Kerngegevens,</t>
    </r>
    <r>
      <rPr>
        <sz val="11"/>
        <color theme="1"/>
        <rFont val="Calibri"/>
        <family val="2"/>
        <scheme val="minor"/>
      </rPr>
      <t xml:space="preserve"> met een samenvatting van de belangrijkste informatie.</t>
    </r>
  </si>
  <si>
    <r>
      <t xml:space="preserve">   - </t>
    </r>
    <r>
      <rPr>
        <b/>
        <sz val="11"/>
        <color theme="1"/>
        <rFont val="Calibri"/>
        <family val="2"/>
        <scheme val="minor"/>
      </rPr>
      <t>Kostprijsopbouw,</t>
    </r>
    <r>
      <rPr>
        <sz val="11"/>
        <color theme="1"/>
        <rFont val="Calibri"/>
        <family val="2"/>
        <scheme val="minor"/>
      </rPr>
      <t xml:space="preserve"> met de berekening van de kostprijzen.</t>
    </r>
  </si>
  <si>
    <r>
      <t xml:space="preserve">   - </t>
    </r>
    <r>
      <rPr>
        <b/>
        <sz val="11"/>
        <color theme="1"/>
        <rFont val="Calibri"/>
        <family val="2"/>
        <scheme val="minor"/>
      </rPr>
      <t>Pensioenopbouw,</t>
    </r>
    <r>
      <rPr>
        <sz val="11"/>
        <color theme="1"/>
        <rFont val="Calibri"/>
        <family val="2"/>
        <scheme val="minor"/>
      </rPr>
      <t xml:space="preserve"> met de berekening van de pensioenlasten.</t>
    </r>
  </si>
  <si>
    <r>
      <t xml:space="preserve">   - </t>
    </r>
    <r>
      <rPr>
        <b/>
        <sz val="11"/>
        <color theme="1"/>
        <rFont val="Calibri"/>
        <family val="2"/>
        <scheme val="minor"/>
      </rPr>
      <t>Productiviteitsopbouw,</t>
    </r>
    <r>
      <rPr>
        <sz val="11"/>
        <color theme="1"/>
        <rFont val="Calibri"/>
        <family val="2"/>
        <scheme val="minor"/>
      </rPr>
      <t xml:space="preserve"> met de berekening van de productiviteit.</t>
    </r>
  </si>
  <si>
    <r>
      <t xml:space="preserve">1a. </t>
    </r>
    <r>
      <rPr>
        <b/>
        <sz val="11"/>
        <color theme="1"/>
        <rFont val="Calibri"/>
        <family val="2"/>
        <scheme val="minor"/>
      </rPr>
      <t>Blok 3.1</t>
    </r>
    <r>
      <rPr>
        <sz val="11"/>
        <color theme="1"/>
        <rFont val="Calibri"/>
        <family val="2"/>
        <scheme val="minor"/>
      </rPr>
      <t>: vul de algemene organisatiegegevens in (naam, contactpersoon, etc.).</t>
    </r>
  </si>
  <si>
    <r>
      <t xml:space="preserve">1b. </t>
    </r>
    <r>
      <rPr>
        <b/>
        <sz val="11"/>
        <color theme="1"/>
        <rFont val="Calibri"/>
        <family val="2"/>
        <scheme val="minor"/>
      </rPr>
      <t>Blok 3.2</t>
    </r>
    <r>
      <rPr>
        <sz val="11"/>
        <color theme="1"/>
        <rFont val="Calibri"/>
        <family val="2"/>
        <scheme val="minor"/>
      </rPr>
      <t>: selecteer de producten waarvoor</t>
    </r>
    <r>
      <rPr>
        <b/>
        <sz val="11"/>
        <color theme="1"/>
        <rFont val="Calibri"/>
        <family val="2"/>
        <scheme val="minor"/>
      </rPr>
      <t xml:space="preserve"> u kosteninformatie gaat aanleveren </t>
    </r>
    <r>
      <rPr>
        <sz val="11"/>
        <color theme="1"/>
        <rFont val="Calibri"/>
        <family val="2"/>
        <scheme val="minor"/>
      </rPr>
      <t xml:space="preserve">door de </t>
    </r>
    <r>
      <rPr>
        <b/>
        <sz val="11"/>
        <color theme="1"/>
        <rFont val="Calibri"/>
        <family val="2"/>
        <scheme val="minor"/>
      </rPr>
      <t>checkbox</t>
    </r>
    <r>
      <rPr>
        <sz val="11"/>
        <color theme="1"/>
        <rFont val="Calibri"/>
        <family val="2"/>
        <scheme val="minor"/>
      </rPr>
      <t xml:space="preserve"> naast het product aan te vinken.</t>
    </r>
  </si>
  <si>
    <r>
      <t xml:space="preserve">1d. </t>
    </r>
    <r>
      <rPr>
        <b/>
        <sz val="11"/>
        <color theme="1"/>
        <rFont val="Calibri"/>
        <family val="2"/>
        <scheme val="minor"/>
      </rPr>
      <t>Blok 3.3</t>
    </r>
    <r>
      <rPr>
        <sz val="11"/>
        <color theme="1"/>
        <rFont val="Calibri"/>
        <family val="2"/>
        <scheme val="minor"/>
      </rPr>
      <t xml:space="preserve">: vul alle velden in die met </t>
    </r>
    <r>
      <rPr>
        <b/>
        <sz val="11"/>
        <color theme="9" tint="-0.249977111117893"/>
        <rFont val="Calibri"/>
        <family val="2"/>
        <scheme val="minor"/>
      </rPr>
      <t>groen</t>
    </r>
    <r>
      <rPr>
        <sz val="11"/>
        <color theme="1"/>
        <rFont val="Calibri"/>
        <family val="2"/>
        <scheme val="minor"/>
      </rPr>
      <t xml:space="preserve"> zijn aangegeven (zoals werknemerskosten, opslagen, overhead, etc.)</t>
    </r>
  </si>
  <si>
    <r>
      <t xml:space="preserve">   - </t>
    </r>
    <r>
      <rPr>
        <b/>
        <sz val="11"/>
        <color theme="1"/>
        <rFont val="Calibri"/>
        <family val="2"/>
        <scheme val="minor"/>
      </rPr>
      <t>Blok 3.4: Kerngegevens,</t>
    </r>
    <r>
      <rPr>
        <sz val="11"/>
        <color theme="1"/>
        <rFont val="Calibri"/>
        <family val="2"/>
        <scheme val="minor"/>
      </rPr>
      <t xml:space="preserve"> met een samenvatting van de belangrijkste informatie.</t>
    </r>
  </si>
  <si>
    <r>
      <t xml:space="preserve">   - </t>
    </r>
    <r>
      <rPr>
        <b/>
        <sz val="11"/>
        <color theme="1"/>
        <rFont val="Calibri"/>
        <family val="2"/>
        <scheme val="minor"/>
      </rPr>
      <t>Blok 3.5: Kostprijsopbouw per bouwsteen,</t>
    </r>
    <r>
      <rPr>
        <sz val="11"/>
        <color theme="1"/>
        <rFont val="Calibri"/>
        <family val="2"/>
        <scheme val="minor"/>
      </rPr>
      <t xml:space="preserve"> met de opbouw van de kostprijs volgens de handreiking gezinshuizen.</t>
    </r>
  </si>
  <si>
    <r>
      <t xml:space="preserve">3a. Geef, indien gewenst, een toelichting bij de input door de </t>
    </r>
    <r>
      <rPr>
        <b/>
        <sz val="11"/>
        <color theme="9" tint="0.59999389629810485"/>
        <rFont val="Calibri"/>
        <family val="2"/>
        <scheme val="minor"/>
      </rPr>
      <t>velden</t>
    </r>
    <r>
      <rPr>
        <sz val="11"/>
        <color theme="1"/>
        <rFont val="Calibri"/>
        <family val="2"/>
        <scheme val="minor"/>
      </rPr>
      <t xml:space="preserve"> in te vullen bij het bijbehorende blok (</t>
    </r>
    <r>
      <rPr>
        <i/>
        <sz val="11"/>
        <color theme="1"/>
        <rFont val="Calibri"/>
        <family val="2"/>
        <scheme val="minor"/>
      </rPr>
      <t>‘5. Toelichtingen'</t>
    </r>
    <r>
      <rPr>
        <sz val="11"/>
        <color theme="1"/>
        <rFont val="Calibri"/>
        <family val="2"/>
        <scheme val="minor"/>
      </rPr>
      <t>).</t>
    </r>
  </si>
  <si>
    <r>
      <t xml:space="preserve">3b. Geef, indien gewenst, een korte toelichting bij de output door de </t>
    </r>
    <r>
      <rPr>
        <b/>
        <sz val="11"/>
        <color theme="9" tint="0.59999389629810485"/>
        <rFont val="Calibri"/>
        <family val="2"/>
        <scheme val="minor"/>
      </rPr>
      <t>velden</t>
    </r>
    <r>
      <rPr>
        <sz val="11"/>
        <color theme="1"/>
        <rFont val="Calibri"/>
        <family val="2"/>
        <scheme val="minor"/>
      </rPr>
      <t xml:space="preserve"> in te vullen bij het bijbehorende blok (</t>
    </r>
    <r>
      <rPr>
        <i/>
        <sz val="11"/>
        <color theme="1"/>
        <rFont val="Calibri"/>
        <family val="2"/>
        <scheme val="minor"/>
      </rPr>
      <t>‘5. Toelichtingen'</t>
    </r>
    <r>
      <rPr>
        <sz val="11"/>
        <color theme="1"/>
        <rFont val="Calibri"/>
        <family val="2"/>
        <scheme val="minor"/>
      </rPr>
      <t>).</t>
    </r>
  </si>
  <si>
    <r>
      <t xml:space="preserve">1a. </t>
    </r>
    <r>
      <rPr>
        <b/>
        <sz val="11"/>
        <color theme="1"/>
        <rFont val="Calibri"/>
        <family val="2"/>
        <scheme val="minor"/>
      </rPr>
      <t>Blok 4.1</t>
    </r>
    <r>
      <rPr>
        <sz val="11"/>
        <color theme="1"/>
        <rFont val="Calibri"/>
        <family val="2"/>
        <scheme val="minor"/>
      </rPr>
      <t>: vul de algemene organisatiegegevens in (naam, contactpersoon, etc.).</t>
    </r>
  </si>
  <si>
    <r>
      <t xml:space="preserve">1b. </t>
    </r>
    <r>
      <rPr>
        <b/>
        <sz val="11"/>
        <color theme="1"/>
        <rFont val="Calibri"/>
        <family val="2"/>
        <scheme val="minor"/>
      </rPr>
      <t>Blok 4.2</t>
    </r>
    <r>
      <rPr>
        <sz val="11"/>
        <color theme="1"/>
        <rFont val="Calibri"/>
        <family val="2"/>
        <scheme val="minor"/>
      </rPr>
      <t xml:space="preserve">: vul alle velden in die met </t>
    </r>
    <r>
      <rPr>
        <b/>
        <sz val="11"/>
        <color theme="9" tint="-0.249977111117893"/>
        <rFont val="Calibri"/>
        <family val="2"/>
        <scheme val="minor"/>
      </rPr>
      <t>groen</t>
    </r>
    <r>
      <rPr>
        <sz val="11"/>
        <color theme="1"/>
        <rFont val="Calibri"/>
        <family val="2"/>
        <scheme val="minor"/>
      </rPr>
      <t xml:space="preserve"> zijn aangegeven (zoals werknemerskosten, overhead, etc.).</t>
    </r>
  </si>
  <si>
    <r>
      <t xml:space="preserve">   - </t>
    </r>
    <r>
      <rPr>
        <b/>
        <sz val="11"/>
        <color theme="1"/>
        <rFont val="Calibri"/>
        <family val="2"/>
        <scheme val="minor"/>
      </rPr>
      <t>Blok 4.3: Kerngegevens,</t>
    </r>
    <r>
      <rPr>
        <sz val="11"/>
        <color theme="1"/>
        <rFont val="Calibri"/>
        <family val="2"/>
        <scheme val="minor"/>
      </rPr>
      <t xml:space="preserve"> met een samenvatting van de belangrijkste informatie.</t>
    </r>
  </si>
  <si>
    <r>
      <t xml:space="preserve">   - </t>
    </r>
    <r>
      <rPr>
        <b/>
        <sz val="11"/>
        <color theme="1"/>
        <rFont val="Calibri"/>
        <family val="2"/>
        <scheme val="minor"/>
      </rPr>
      <t>Blok 4.4: Kostprijsopbouw,</t>
    </r>
    <r>
      <rPr>
        <sz val="11"/>
        <color theme="1"/>
        <rFont val="Calibri"/>
        <family val="2"/>
        <scheme val="minor"/>
      </rPr>
      <t xml:space="preserve"> met de opbouw van de kostprijs volgens de handreiking pleegzorg.</t>
    </r>
  </si>
  <si>
    <t>Officiële naam van de organisatie.</t>
  </si>
  <si>
    <t>Naam van de cao die op de organisatie van toepassing is.</t>
  </si>
  <si>
    <t>Het jaar (YYYY) waarop de kostenopgave van toepassing is.</t>
  </si>
  <si>
    <t>De naam van de contactpersoon namens de jeugdhulpaanbieder voor de kostenopgave in de rekentool.</t>
  </si>
  <si>
    <t>De functie van de contactpersoon namens de jeugdhulpaanbieder.</t>
  </si>
  <si>
    <t>Het emailadres van de contactpersoon namens de jeugdhulpaanbieder.</t>
  </si>
  <si>
    <t>Het telefoonnummer van de contactpersoon namens de jeugdhulpaanbieder.</t>
  </si>
  <si>
    <t>De personele omvang van de jeugdhulpaanbieder in ‘full time equivalenten’ (FTE) waarbij sprake is van een vast dienstverband.</t>
  </si>
  <si>
    <t>De personele omvang van de jeugdhulpaanbieder in ‘full time equivalenten’ (FTE) waarbij sprake is van een flexibel dienstverband. Dit betreft personeel in loondienst met tijdelijke contracten (contracten voor bepaalde tijd), oproepcontracten en nulurencontracten.</t>
  </si>
  <si>
    <t>Het gemiddelde totale aantal verlofuren op jaarbasis (inclusief bovenwettelijk verlof en verplichte vrije dagen in het referentiejaar) van hulpverlenend personeel. Wettelijk zwangerschapsverlof valt hier niet onder.</t>
  </si>
  <si>
    <t>Het gemiddelde verzuimpercentage van hulpverlenend personeel in het afgelopen jaar.</t>
  </si>
  <si>
    <t>Ook bekend als Aof-premie: de verplichte verzekeringspremie tegen arbeidsongeschiktheid inclusief de uniforme opslag kinderopvang. De premie is afhankelijk van de grootte van de werkgever: kleine werkgevers betalen het lage tarief en (middel)grote werkgevers betalen het hoge tarief.</t>
  </si>
  <si>
    <t>Premie werkloosheid wet, premiehoogte op basis van cijfers UWV en de WAB; premie voor vaste krachten is 2,74%, mits het geen oproepcontract betreft; voor flexibele krachten is deze 7,74%.</t>
  </si>
  <si>
    <t>Premie inkomensafhankelijke bijdrage zorgverzekeringswet (Zvw). Op basis van cijfers van de belastingdienst.</t>
  </si>
  <si>
    <t>Premie werkhervattingskas. De premie is afhankelijk van grote van werkgever op basis van het premieplichtig loon. Organisaties ontvangen een beschikking van de belastingdienst; het UWV heeft een aparte tool waarmee een inschatting kan worden gemaakt.</t>
  </si>
  <si>
    <t>Premie Werkhervattingskas Gedeeltelijk Arbeidsgeschikten is een premie die werkgevers betalen om de kosten te dekken voor werknemers die na 104 weken ziekte nog gedeeltelijk  arbeidsongeschikt zijn.</t>
  </si>
  <si>
    <t>Deze opslag is bedoeld om financiële onzekerheden, schommelingen in volumes, onvoorziene kosten of projectrisico’s af te dekken.</t>
  </si>
  <si>
    <t>Deze opslag is weerspiegelt de gewenste financiële opbrengst boven op de kostprijs. Wordt gebruikt voor continuïteit, stabiliteit en (bij commerciële partijen) winst.
Voorbeelden:
- Het vormen van een financiële buffer/reserve voor tegenvallers.
- Het realiseren van een minimaal rendement dat binnen de organisatie is afgesproken.
- Het financieren van groei of uitbreiding van capaciteit.</t>
  </si>
  <si>
    <t>Deze opslag is bedoeld om kosten te dekken van ontwikkeling en verbetering van producten, diensten of processen.</t>
  </si>
  <si>
    <t>Personele overheadkosten bestaan uit: 
- Niet-loonkosten van opleiding, stageplaatsen en ontwikkeling van beroepskrachten en indirect cliëntgebonden personeel. 
- Alle kosten van overig personeel, zoals bestuur en management, secretariële ondersteuning van lijn, administratieve ondersteuning (bijvoorbeeld voor contractmanagement als gevolg van hoofdaannemerschap of kosten voor de uitvoering Wet zorg en dwang of de Wet verplichte GGZ), P&amp;O (inclusief werving van bijvoorbeeld pleegouders), F&amp;C, I&amp;A, marketing, communicatie, juridische en facilitaire zaken.</t>
  </si>
  <si>
    <t>Materiele overheadkosten bestaan uit ICT-kosten, huisvestingskosten en algemene kosten en zakelijke lasten. Elk van deze drie categorieën verdelen we verder onder.
ICT-kosten bestaan uit van hard- en software, online communicatie en automatisering.
Huisvestingskosten betreffen kosten voor huisvesting zoals behandelruimtes, maar ook kantoorruimtes, energie en water. Let op: het gaat hierbij niet om huisvestingskosten bij verblijf en daghulp waarvoor een aparte opslag wordt gehanteerd.
Bij verblijfstarieven en daghulp is gebruikelijk om huisvestingskosten als aparte opslag per cliënt per etmaal of dagdeel te verwerken in een kostprijs. Bij producten met deze tariefeenheid staan huisvestingskosten apart in het kostenmodel.</t>
  </si>
  <si>
    <t>Overige personeelskosten betreffen kosten voor vervanging bij verzuim, kosten voor beroepsregistraties, kosten voor werving en selectie en materiele opleidingskosten als deze niet met balansbudget op grond van de cao zijn vergoed.</t>
  </si>
  <si>
    <t>Het aandeel van de inzet van Personen Niet In Loondienst in de totale inzet van hulpverleners als percentage. PNIL betreft alle personen die niet in loondienst zijn, maar wél bijdragen aan de levering van jeugdhulp. Voorbeelden: zzp’ers, uitzendkrachten, gedetacheerden, ingehuurde specialisten.</t>
  </si>
  <si>
    <t>De gemiddelde meerkosten van de inzet van PNIL ten opzichte van PIL als percentage. Inzet van PNIL kan hogere kosten tot gevolg hebben dan PIL, bijvoorbeeld door bemiddelingskosten.</t>
  </si>
  <si>
    <t>De vermenigvuldiging van het aandeel PNIL en de gemiddelde meerkosten van PNIL geeft de rekenfactor PNIL waarmee in kostprijs gerekend wordt.</t>
  </si>
  <si>
    <t xml:space="preserve">De uitgekeerde reiskostenvergoeding aan hulpverleners voor werkreizen: reizen van en naar cliënten. Deze geldt alleen bij ambulante producten waarbij de hulpverlener naar locaties anders dan de behandelruimte van de aanbieder reist. </t>
  </si>
  <si>
    <t>De tijd die hulpverleners (op basis van een fulltime arbeidsovereenkomst) gemiddeld op jaarbasis besteden aan het volgen van opleiding(en) en trainingen ten behoeve van de functie die wordt uitgevoerd.</t>
  </si>
  <si>
    <t>De niet-declarabele reistijd op jaarbasis die de hulpverlener besteedt aan het reizen van en naar de cliënten die buiten een locatie van de jeugdhulpaanbieder jeugdhulp ontvangt.</t>
  </si>
  <si>
    <t>De tijd die een hulpverlener gemiddeld besteedt aan cliënt-gerealateerde activiteiten buiten de direct contactmomenten in het kader van de diagnostiek, begeleiding of behandeling van de cliënt en / of diens naaste(n). Voorbeelden van indirecte tijd zijn het schrijven van een brief aan de huisarts, zorginhoudelijk overleg met collega behandelaren over de cliënt, het voorbereiden van een activiteit en administratieve taken (zoals het maken van een afspraak).</t>
  </si>
  <si>
    <t>De inzet van hulpverleners die niet aan een (specifieke) cliënt worden besteed, maar waarin de beroepskracht wel aan het werk is. Voorbeelden hiervan zijn uren besteed aan regulier werkoverleg, beleid, intervisie, reflectie en hersteltijd.</t>
  </si>
  <si>
    <t>Productiviteitsverlies als percentage van de contracturen van hulpverleners als gevolg van geplande contactmomenten waarbij een jeugdige niet verschijnt of niet bereikbaar is. De tijd is wel ingepland, maar levert geen declarabele of cliëntgebonden output op.</t>
  </si>
  <si>
    <t>De gemiddelde bedbezetting op jaarbasis van de verblijfsvoorziening.</t>
  </si>
  <si>
    <t>De opslag op brutoloon voor de inzet buiten de normale werktijden: in het weekend, tijdens de vroege ochtenduren, in de avond en nacht. Welke uren wel of niet onder onregelmatigheidstoeslag vallen en welk opslagpercentage er geldt is CAO afhankelijk.</t>
  </si>
  <si>
    <t>Daghulp: het aantal uren per dagdeel daghulp waarvoor één hulpverlener op de groep wordt ingeroosterd. 
Verblijf: Het totaal aantal roosteruren van hulpverlenend personeel per etmaal op en rondom de verblijfsgroep. Neem hierin mee: de slapende of wakende wacht, de pedagogische hulpverleners op en rondom de groep, een meewerkend teamleider (als deze niet in overheadpersoneel wordt meegerekend) en eventuele gedragswetenschappers, orthopedagogen en andere hulpverleners.</t>
  </si>
  <si>
    <t>Het aantal cliënten per hulpverlener op de groep bij daghulp. Ga hier uit van de groepen zoals ze worden gepland. No show of bezettingsgraad wordt apart verrekend.
Bij verblijf: het aantal cliënten op de groep waarvoor het totale aantal personeelsuren wordt ingevuld.</t>
  </si>
  <si>
    <t>De opslag voor de vergoeding voor (vervangende) (nieuw)bouw en instandhouding, om de rente-, afschrijvings- en instandhoudingsuitgaven te dekken van zorggerelateerde huisvesting (verblijfs- en behandelruimten) en de inventaris daarvan. Deze definitie sluit aan bij de Normatieve Huisvestings Component en Normatieve Inventaris Component in de Wet Langdurige Zorg.</t>
  </si>
  <si>
    <t>Kosten voor voeding, verzorging en voor materialen die direct worden ingezet ten behoeve van de jeugdige. Voorbeelden: voeding, testmateriaal, aanschaf hulpmiddelen, spelmateriaal, dagbestedingsmaterialen.</t>
  </si>
  <si>
    <t>Cao-schaal of Functie Werk Groep (FWG) in de cao van de jeugdhulpaanbieder.</t>
  </si>
  <si>
    <t>Het percentage van het salaris van de hoogste reguliere trede in de cao-schaal of FWG dat correspondeert met het gemiddelde salaris van hulpverleners in deze schaal.</t>
  </si>
  <si>
    <t>De gemiddelde trede of periodiek waarin de hulpverleners in de betreffende cao-schaal zijn ingeschaald.</t>
  </si>
  <si>
    <t>Het maandsalaris zoals opgenomen in de loontabellen van de cao.</t>
  </si>
  <si>
    <t>Het aandeel van de inzet van hulpverleners in deze cao-schaal (FWG) voor het betreffende product als percentage.</t>
  </si>
  <si>
    <t>Het gewogen gemiddelde rekensalaris berekend op basis van de functiemix en de gemiddelde trede-inschaling.</t>
  </si>
  <si>
    <t>De tijdsinzet van hulpverleners per clIënt in de groep, gerekend over de duur van het dagdeel (daghulp) of etmaal (verblijf).</t>
  </si>
  <si>
    <t>Contracturen bij een voltijdsdienstverband conform de geldende cao.</t>
  </si>
  <si>
    <t>Gemiddeld gewogen bruto uurloon van de hulpverleners in dit product.</t>
  </si>
  <si>
    <t>Overige personeelsvergoedingen op basis van de cao waaronder GGZ balansbudget, gerekend per uur.</t>
  </si>
  <si>
    <t>Opslag van de sociale werkgeverslasten (sociale verzekeringspremies).</t>
  </si>
  <si>
    <t>Opslag van het werkgeversdeel van pensioenpremies.</t>
  </si>
  <si>
    <t>De correctie voor netto declarabele uren op basis van productiviteitsparameters.</t>
  </si>
  <si>
    <t>Correctie van de kosten van de hulpverleners in de verblijfsvoorziening voor de bezettingsgraad.</t>
  </si>
  <si>
    <t>Het aantal cliënten per hulpverlener op de groep conform planning, vóór aftrek van ongeplande no show.</t>
  </si>
  <si>
    <t>Het gemidddelde realistische aantal ciënten per hulpverlener op de groep, ná aftrek van ongeplande no show.</t>
  </si>
  <si>
    <t>Tip: bij verblijfsproducten is er vaak sprake van personeel dat wordt ingezet op meerdere groepen. In dit geval is het handig om het personeel per uur te specificeren.</t>
  </si>
  <si>
    <t>Factorkey</t>
  </si>
  <si>
    <t>Cellocatie definitiesheet</t>
  </si>
  <si>
    <t>Opslag Innovatie</t>
  </si>
  <si>
    <t>Groepsgrootte (output)</t>
  </si>
  <si>
    <t>Groepsgrootte (input)</t>
  </si>
  <si>
    <t>Nee</t>
  </si>
  <si>
    <t>Op premie 2026</t>
  </si>
  <si>
    <t>Ap Premie 2026</t>
  </si>
  <si>
    <t>Netto
productiviteit</t>
  </si>
  <si>
    <t>O4</t>
  </si>
  <si>
    <t>O5</t>
  </si>
  <si>
    <t>O6</t>
  </si>
  <si>
    <t>O7</t>
  </si>
  <si>
    <t>O8</t>
  </si>
  <si>
    <t>O9</t>
  </si>
  <si>
    <t>O10</t>
  </si>
  <si>
    <t>O11</t>
  </si>
  <si>
    <t>O12</t>
  </si>
  <si>
    <t>O13</t>
  </si>
  <si>
    <t>O14</t>
  </si>
  <si>
    <t>Alles volledig ingevuld?</t>
  </si>
  <si>
    <t>Linkerrij volledig ingevuld?</t>
  </si>
  <si>
    <t>Pensioengevend gewogen (jaar)salaris (na franchise)</t>
  </si>
  <si>
    <t>Schaal voor vakantiegeld, eindejaarsuitkering en ORT</t>
  </si>
  <si>
    <t>Maandbedrag overige vergoedingen</t>
  </si>
  <si>
    <t>Werkgeversdeel Ap 2026</t>
  </si>
  <si>
    <t>Eindejaarsuitkering 2026</t>
  </si>
  <si>
    <t>Vakantietoeslag 2026</t>
  </si>
  <si>
    <t>Werkgeversdeel Op 2026</t>
  </si>
  <si>
    <t>Personeelsuren p/j 2026</t>
  </si>
  <si>
    <t>Overige vergoedingen (p/u) 2026</t>
  </si>
  <si>
    <t>WIA-excedent premie</t>
  </si>
  <si>
    <t>WIA-excedent franchise</t>
  </si>
  <si>
    <t>Bron 2025-waarde</t>
  </si>
  <si>
    <t>Bron 2026-waarde</t>
  </si>
  <si>
    <t>https://pbmn.nl/nieuws/kerncijfers-2025</t>
  </si>
  <si>
    <t>https://www.pwc.nl/nl/actueel-en-publicaties/diensten-en-sectoren/pensioenen/de-nieuwe-kerncijfers-pensioen.html</t>
  </si>
  <si>
    <t>https://www.tunen.nl/2025/12/11/premiepercentages-en-maximum-premieloon-2026</t>
  </si>
  <si>
    <t>https://www.belastingdienst.nl/wps/wcm/connect/bldcontentnl/belastingdienst/prive/werk_en_inkomen/zorgverzekeringswet/veranderingen-bijdrage-zvw/percentages-zvw</t>
  </si>
  <si>
    <t>https://www.pfzw.nl/werkgevers/premie-en-factuur/premiepercentages-en-franchises.html#collapsible=premiepercentages-en-franchises-tot-en-met-2025</t>
  </si>
  <si>
    <t>N.v.t.</t>
  </si>
  <si>
    <t>https://www.rijksfinancien.nl/memorie-van-toelichting/2026/OWB/XV/onderdeel/9628438</t>
  </si>
  <si>
    <t>zie desbetreffende CAO</t>
  </si>
  <si>
    <t>https://www.pfzw.nl/werkgevers/premie-en-factuur/premiepercentages-en-franchises.html#collapsible=premiepercentages-en-franchises-tot-en-met-2025
Vanaf 2026 is deze factor irrelevant</t>
  </si>
  <si>
    <t>https://www.noa.nl/nl/nieuws/overzicht-premies-2025</t>
  </si>
  <si>
    <t>https://www.noa.nl/nl/nieuws/overzicht-premies-2026</t>
  </si>
  <si>
    <t xml:space="preserve">    Let op: gezinshuisproducten hoeven niet te worden aangeleverd, deze zijn automatisch opgenomen.</t>
  </si>
  <si>
    <r>
      <t>Let op:</t>
    </r>
    <r>
      <rPr>
        <sz val="11"/>
        <color theme="1"/>
        <rFont val="Calibri"/>
        <family val="2"/>
        <scheme val="minor"/>
      </rPr>
      <t xml:space="preserve"> vanaf hier is volgende stappenplan gemaakt voor niet-gezinshuis producten. 
Levert u ook kosteninformatie aan voor gezinshuisproducten? Scroll dan naar onderen voor het bijbehorende aparte gezinshuis tabblad.</t>
    </r>
  </si>
  <si>
    <t>MS</t>
  </si>
  <si>
    <r>
      <t xml:space="preserve">3a. Geef, indien gewenst, een toelichting bij de input door de </t>
    </r>
    <r>
      <rPr>
        <b/>
        <sz val="11"/>
        <color theme="9" tint="0.59999389629810485"/>
        <rFont val="Calibri"/>
        <family val="2"/>
        <scheme val="minor"/>
      </rPr>
      <t>velden</t>
    </r>
    <r>
      <rPr>
        <sz val="11"/>
        <color theme="1"/>
        <rFont val="Calibri"/>
        <family val="2"/>
        <scheme val="minor"/>
      </rPr>
      <t xml:space="preserve"> in te vullen bij het bijbehorende blok (</t>
    </r>
    <r>
      <rPr>
        <i/>
        <sz val="11"/>
        <color theme="1"/>
        <rFont val="Calibri"/>
        <family val="2"/>
        <scheme val="minor"/>
      </rPr>
      <t>‘4. Toelichtingen'</t>
    </r>
    <r>
      <rPr>
        <sz val="11"/>
        <color theme="1"/>
        <rFont val="Calibri"/>
        <family val="2"/>
        <scheme val="minor"/>
      </rPr>
      <t>).</t>
    </r>
  </si>
  <si>
    <r>
      <t xml:space="preserve">3b. Geef, indien gewenst, een korte toelichting bij de output door de </t>
    </r>
    <r>
      <rPr>
        <b/>
        <sz val="11"/>
        <color theme="9" tint="0.59999389629810485"/>
        <rFont val="Calibri"/>
        <family val="2"/>
        <scheme val="minor"/>
      </rPr>
      <t>velden</t>
    </r>
    <r>
      <rPr>
        <sz val="11"/>
        <color theme="1"/>
        <rFont val="Calibri"/>
        <family val="2"/>
        <scheme val="minor"/>
      </rPr>
      <t xml:space="preserve"> in te vullen bij het bijbehorende blok (</t>
    </r>
    <r>
      <rPr>
        <i/>
        <sz val="11"/>
        <color theme="1"/>
        <rFont val="Calibri"/>
        <family val="2"/>
        <scheme val="minor"/>
      </rPr>
      <t>‘4. Toelichtingen'</t>
    </r>
    <r>
      <rPr>
        <sz val="11"/>
        <color theme="1"/>
        <rFont val="Calibri"/>
        <family val="2"/>
        <scheme val="minor"/>
      </rPr>
      <t>).</t>
    </r>
  </si>
  <si>
    <r>
      <t xml:space="preserve">5b. Geef, indien gewenst, een korte toelichting bij de output door de </t>
    </r>
    <r>
      <rPr>
        <b/>
        <sz val="11"/>
        <color theme="9" tint="0.59999389629810485"/>
        <rFont val="Calibri"/>
        <family val="2"/>
        <scheme val="minor"/>
      </rPr>
      <t>velden</t>
    </r>
    <r>
      <rPr>
        <sz val="11"/>
        <color theme="1"/>
        <rFont val="Calibri"/>
        <family val="2"/>
        <scheme val="minor"/>
      </rPr>
      <t xml:space="preserve"> in te vullen bij het bijbehorende blok (</t>
    </r>
    <r>
      <rPr>
        <i/>
        <sz val="11"/>
        <color theme="1"/>
        <rFont val="Calibri"/>
        <family val="2"/>
        <scheme val="minor"/>
      </rPr>
      <t>‘4. Toelichtingen'</t>
    </r>
    <r>
      <rPr>
        <sz val="11"/>
        <color theme="1"/>
        <rFont val="Calibri"/>
        <family val="2"/>
        <scheme val="minor"/>
      </rPr>
      <t>).</t>
    </r>
  </si>
  <si>
    <r>
      <t xml:space="preserve">5a. Geef, indien gewenst, een toelichting bij de input door de </t>
    </r>
    <r>
      <rPr>
        <b/>
        <sz val="11"/>
        <color theme="9" tint="0.59999389629810485"/>
        <rFont val="Calibri"/>
        <family val="2"/>
        <scheme val="minor"/>
      </rPr>
      <t>velden</t>
    </r>
    <r>
      <rPr>
        <sz val="11"/>
        <color theme="1"/>
        <rFont val="Calibri"/>
        <family val="2"/>
        <scheme val="minor"/>
      </rPr>
      <t xml:space="preserve"> in te vullen bij het bijbehorende blok (</t>
    </r>
    <r>
      <rPr>
        <i/>
        <sz val="11"/>
        <color theme="1"/>
        <rFont val="Calibri"/>
        <family val="2"/>
        <scheme val="minor"/>
      </rPr>
      <t>‘4. Toelichtingen'</t>
    </r>
    <r>
      <rPr>
        <sz val="11"/>
        <color theme="1"/>
        <rFont val="Calibri"/>
        <family val="2"/>
        <scheme val="minor"/>
      </rPr>
      <t>).</t>
    </r>
  </si>
  <si>
    <t>Maandsalaris_1jan</t>
  </si>
  <si>
    <t>Maandsalaris_1jul</t>
  </si>
  <si>
    <t>zij-instroomperiodiek</t>
  </si>
  <si>
    <t>Aanloopperiodiek 0</t>
  </si>
  <si>
    <t>Aanloopperiodiek 1</t>
  </si>
  <si>
    <t>VVT</t>
  </si>
  <si>
    <t>CAO (VVT)</t>
  </si>
  <si>
    <t>CAO (VVT), gewogen</t>
  </si>
  <si>
    <t>FWG</t>
  </si>
  <si>
    <t>CAO (VVT, HBH), gewogen</t>
  </si>
  <si>
    <t>Minimunbedrag vakantiegeld 2026</t>
  </si>
  <si>
    <t>Minimunbedrag eindejaarsuitkering 2026</t>
  </si>
  <si>
    <t>Minimunbedrag vakantiegeld</t>
  </si>
  <si>
    <t>Minimunbedrag eindejaarsuitkering</t>
  </si>
  <si>
    <t>Minimumloon</t>
  </si>
  <si>
    <t>Z</t>
  </si>
  <si>
    <t>A0</t>
  </si>
  <si>
    <t>A1</t>
  </si>
  <si>
    <t>HbH</t>
  </si>
  <si>
    <t>Ja</t>
  </si>
  <si>
    <t>Opties voor HbH</t>
  </si>
  <si>
    <t>Geen producten met dezelfde naam?</t>
  </si>
  <si>
    <t>Mogelijke cao's</t>
  </si>
  <si>
    <t>Gewogen, maandniveau</t>
  </si>
  <si>
    <t>K</t>
  </si>
  <si>
    <t>H</t>
  </si>
  <si>
    <t>1c. Kies of er sprake is van hulp bij het huishouden (Hbh) ("JA") of niet ("NEE").</t>
  </si>
  <si>
    <t>Product met hulp bij het huishouden (Hbh)?</t>
  </si>
  <si>
    <t>Hbh</t>
  </si>
  <si>
    <t>$C$20</t>
  </si>
  <si>
    <t>$C$21</t>
  </si>
  <si>
    <t>$C$23</t>
  </si>
  <si>
    <t>$D$22</t>
  </si>
  <si>
    <t>cao-afhankelijk</t>
  </si>
  <si>
    <t>$C$25</t>
  </si>
  <si>
    <t>$D$26</t>
  </si>
  <si>
    <t>% t.o.v. max salaris in de schaal</t>
  </si>
  <si>
    <t>In deze sheet krijgt de aanbieder de mogelijkheid om ingevulde informatie of uitgekomen output toe te lichten.
Dit kan worden gedaan door het invullen van tekst bij de relevante velden, aangegeven door deze kleur.
Geef waar nodig aan om welk product het gaat, ter verduidelijking voor de gemeente/het onderzoeksbureau.</t>
  </si>
  <si>
    <t>Toelichtingen aanbieder</t>
  </si>
  <si>
    <t>1c. Vul alle producten in die binnen dit onderzoek vallen.</t>
  </si>
  <si>
    <r>
      <t xml:space="preserve">1d. Kies vervolgens het juiste </t>
    </r>
    <r>
      <rPr>
        <b/>
        <sz val="11"/>
        <color theme="1"/>
        <rFont val="Calibri"/>
        <family val="2"/>
        <scheme val="minor"/>
      </rPr>
      <t>type tarief</t>
    </r>
    <r>
      <rPr>
        <sz val="11"/>
        <color theme="1"/>
        <rFont val="Calibri"/>
        <family val="2"/>
        <scheme val="minor"/>
      </rPr>
      <t xml:space="preserve"> (bijv. </t>
    </r>
    <r>
      <rPr>
        <i/>
        <sz val="11"/>
        <color theme="1"/>
        <rFont val="Calibri"/>
        <family val="2"/>
        <scheme val="minor"/>
      </rPr>
      <t>per minuut, per dagdeel, per etmaal</t>
    </r>
    <r>
      <rPr>
        <sz val="11"/>
        <color theme="1"/>
        <rFont val="Calibri"/>
        <family val="2"/>
        <scheme val="minor"/>
      </rPr>
      <t>).</t>
    </r>
  </si>
  <si>
    <t>1e. Controleer of alle velden correct zijn ingevuld.</t>
  </si>
  <si>
    <t>Stap 2 – Verzenden naar aanbieders</t>
  </si>
  <si>
    <t>2b. Stuur het bestand vervolgens naar de relevante jeugdhulpaanbieders voor verdere invulling.</t>
  </si>
  <si>
    <r>
      <t xml:space="preserve">2a. Sla het bestand op met een herkenbare bestandsnaam (bijv. </t>
    </r>
    <r>
      <rPr>
        <i/>
        <sz val="11"/>
        <color theme="1"/>
        <rFont val="Calibri"/>
        <family val="2"/>
        <scheme val="minor"/>
      </rPr>
      <t>Kostentool_GemeenteNaam_Jaar.xlsx</t>
    </r>
    <r>
      <rPr>
        <sz val="11"/>
        <color theme="1"/>
        <rFont val="Calibri"/>
        <family val="2"/>
        <scheme val="minor"/>
      </rPr>
      <t>).</t>
    </r>
  </si>
  <si>
    <t>In deze handleiding wordt stap voor stap uitgelegd hoe de kostentool gebruikt dient te worden door de aanbieder. 
In het kort, bestaat de kern van de kostentool uit drie input-tabbladen (lichtblauw gekleurd) en één output-tabblad (donkerblauw gekleurd) met de resultaten.
Het rekeninstrument maakt hierbij onderscheid in drie niveaus van kosteninformatie:
 (1) generiek voor alle producten; 
 (2) op niveau van de productgroepen (ambulant, daghulp, verblijf);
 (3) specifiek per product.
Voor producten in de categorie gezinshuizen wordt een apart (op maat gemaakt) tabblad aangehouden.</t>
  </si>
  <si>
    <t>Handleiding voor de gemeente of het onderzoeksbureau</t>
  </si>
  <si>
    <t>Blok 0: In te vullen door de gemeente of het onderzoeksbureau</t>
  </si>
  <si>
    <t>Productnamen</t>
  </si>
  <si>
    <r>
      <t xml:space="preserve">In deze handleiding wordt stap voor stap uitgelegd hoe de kostentool gebruikt dient te worden door de gemeente of het onderzoeksbureau, voordat het bestand wordt verzonden naar de aanbieders. 
In het kort, vult de gemeente of het onderzoeksbureau alleen het tabblad </t>
    </r>
    <r>
      <rPr>
        <i/>
        <sz val="11"/>
        <color theme="1"/>
        <rFont val="Calibri"/>
        <family val="2"/>
        <scheme val="minor"/>
      </rPr>
      <t>'Initialisatie'</t>
    </r>
    <r>
      <rPr>
        <sz val="11"/>
        <color theme="1"/>
        <rFont val="Calibri"/>
        <family val="2"/>
        <scheme val="minor"/>
      </rPr>
      <t xml:space="preserve"> in.
De overige tabbladen worden door de aanbieders ingevuld.
</t>
    </r>
    <r>
      <rPr>
        <b/>
        <sz val="11"/>
        <color theme="1"/>
        <rFont val="Calibri"/>
        <family val="2"/>
        <scheme val="minor"/>
      </rPr>
      <t>Heeft u vragen over het onderhoud, gebruikersfeedback of constatuurt u feitelijke onjuistheden in de tool dan kan hierover contact worden gezocht via LC@vng.nl.</t>
    </r>
  </si>
  <si>
    <t>Vul product in</t>
  </si>
  <si>
    <t>Zakelijke reistijd (%)</t>
  </si>
  <si>
    <t>Indirect cliëntgebonden tijd (%)</t>
  </si>
  <si>
    <t>Niet-cliëntgebonden tijd (%)</t>
  </si>
  <si>
    <t>Normjaarinkomen, SKJ-geregristeerd (€)</t>
  </si>
  <si>
    <t>© 2026 VNG / PPRC B.V. / AEPB Onderzoek en Advies B.V. Alle rechten voorbehouden.</t>
  </si>
  <si>
    <t>1 januari 2027</t>
  </si>
  <si>
    <t>L</t>
  </si>
  <si>
    <t>Handmatige invoer?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</si>
</sst>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0.0%"/>
    <numFmt numFmtId="165" formatCode="0.0"/>
    <numFmt numFmtId="166" formatCode="_([$€-2]\ * #,##0.00_);_([$€-2]\ * \(#,##0.00\);_([$€-2]\ * &quot;-&quot;??_);_(@_)"/>
    <numFmt numFmtId="167" formatCode="0.000%"/>
    <numFmt numFmtId="168" formatCode="_ [$€-413]\ * #,##0.00_ ;_ [$€-413]\ * \-#,##0.00_ ;_ [$€-413]\ * &quot;-&quot;??_ ;_ @_ "/>
    <numFmt numFmtId="169" formatCode="_ [$€-413]\ * #,##0_ ;_ [$€-413]\ * \-#,##0_ ;_ [$€-413]\ * &quot;-&quot;_ ;_ @_ "/>
    <numFmt numFmtId="170" formatCode="_([$€-2]\ * #,##0_);_([$€-2]\ * \(#,##0\);_([$€-2]\ * &quot;-&quot;??_);_(@_)"/>
  </numFmts>
  <fonts count="55" x14ac:knownFonts="1">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2"/>
      <color theme="1"/>
      <name val="Calibri"/>
      <family val="2"/>
      <scheme val="minor"/>
    </font>
    <font>
      <sz val="11"/>
      <name val="Calibri"/>
      <family val="2"/>
      <scheme val="minor"/>
    </font>
    <font>
      <b/>
      <sz val="14"/>
      <color theme="1"/>
      <name val="Calibri"/>
      <family val="2"/>
      <scheme val="minor"/>
    </font>
    <font>
      <sz val="10"/>
      <color theme="1"/>
      <name val="Calibri"/>
      <family val="2"/>
      <scheme val="minor"/>
    </font>
    <font>
      <b/>
      <sz val="11"/>
      <name val="Calibri"/>
      <family val="2"/>
    </font>
    <font>
      <sz val="8"/>
      <color theme="1"/>
      <name val="Calibri"/>
      <family val="2"/>
      <scheme val="minor"/>
    </font>
    <font>
      <sz val="14"/>
      <color theme="1"/>
      <name val="Calibri"/>
      <family val="2"/>
      <scheme val="minor"/>
    </font>
    <font>
      <b/>
      <sz val="11"/>
      <name val="Calibri"/>
      <family val="2"/>
      <scheme val="minor"/>
    </font>
    <font>
      <b/>
      <sz val="9"/>
      <name val="Calibri"/>
      <family val="2"/>
      <scheme val="minor"/>
    </font>
    <font>
      <b/>
      <sz val="12"/>
      <color rgb="FFFF0000"/>
      <name val="Calibri"/>
      <family val="2"/>
      <scheme val="minor"/>
    </font>
    <font>
      <b/>
      <sz val="11"/>
      <color rgb="FFC00000"/>
      <name val="Calibri"/>
      <family val="2"/>
      <scheme val="minor"/>
    </font>
    <font>
      <u/>
      <sz val="11"/>
      <color theme="10"/>
      <name val="Calibri"/>
      <family val="2"/>
      <scheme val="minor"/>
    </font>
    <font>
      <u/>
      <sz val="11"/>
      <color rgb="FFC00000"/>
      <name val="Calibri"/>
      <family val="2"/>
      <scheme val="minor"/>
    </font>
    <font>
      <i/>
      <sz val="11"/>
      <color theme="1"/>
      <name val="Calibri"/>
      <family val="2"/>
      <scheme val="minor"/>
    </font>
    <font>
      <sz val="11"/>
      <color theme="0"/>
      <name val="Calibri"/>
      <family val="2"/>
      <scheme val="minor"/>
    </font>
    <font>
      <b/>
      <sz val="10"/>
      <color theme="1"/>
      <name val="Calibri"/>
      <family val="2"/>
      <scheme val="minor"/>
    </font>
    <font>
      <b/>
      <sz val="9"/>
      <color theme="1"/>
      <name val="Calibri"/>
      <family val="2"/>
      <scheme val="minor"/>
    </font>
    <font>
      <b/>
      <sz val="10"/>
      <name val="Calibri"/>
      <family val="2"/>
      <scheme val="minor"/>
    </font>
    <font>
      <b/>
      <sz val="8"/>
      <name val="Calibri"/>
      <family val="2"/>
      <scheme val="minor"/>
    </font>
    <font>
      <b/>
      <sz val="14"/>
      <color rgb="FFFF0000"/>
      <name val="Calibri"/>
      <family val="2"/>
      <scheme val="minor"/>
    </font>
    <font>
      <u/>
      <sz val="11"/>
      <color rgb="FF7030A0"/>
      <name val="Calibri"/>
      <family val="2"/>
      <scheme val="minor"/>
    </font>
    <font>
      <b/>
      <u/>
      <sz val="16"/>
      <color theme="10"/>
      <name val="Calibri"/>
      <family val="2"/>
      <scheme val="minor"/>
    </font>
    <font>
      <sz val="11"/>
      <color rgb="FF7030A0"/>
      <name val="Calibri"/>
      <family val="2"/>
      <scheme val="minor"/>
    </font>
    <font>
      <b/>
      <sz val="11"/>
      <color rgb="FFFF0000"/>
      <name val="Calibri"/>
      <family val="2"/>
      <scheme val="minor"/>
    </font>
    <font>
      <b/>
      <sz val="8"/>
      <color theme="1"/>
      <name val="Calibri"/>
      <family val="2"/>
      <scheme val="minor"/>
    </font>
    <font>
      <b/>
      <sz val="11"/>
      <color theme="9" tint="-0.249977111117893"/>
      <name val="Calibri"/>
      <family val="2"/>
      <scheme val="minor"/>
    </font>
    <font>
      <b/>
      <sz val="11"/>
      <color theme="9" tint="0.39997558519241921"/>
      <name val="Calibri"/>
      <family val="2"/>
      <scheme val="minor"/>
    </font>
    <font>
      <b/>
      <u/>
      <sz val="14"/>
      <color theme="10"/>
      <name val="Calibri"/>
      <family val="2"/>
      <scheme val="minor"/>
    </font>
    <font>
      <u/>
      <sz val="12"/>
      <color theme="10"/>
      <name val="Calibri"/>
      <family val="2"/>
      <scheme val="minor"/>
    </font>
    <font>
      <u/>
      <sz val="14"/>
      <color theme="10"/>
      <name val="Calibri"/>
      <family val="2"/>
      <scheme val="minor"/>
    </font>
    <font>
      <b/>
      <sz val="9.5"/>
      <color theme="1"/>
      <name val="Calibri"/>
      <family val="2"/>
      <scheme val="minor"/>
    </font>
    <font>
      <b/>
      <u/>
      <sz val="11"/>
      <color theme="10"/>
      <name val="Calibri"/>
      <family val="2"/>
      <scheme val="minor"/>
    </font>
    <font>
      <sz val="12"/>
      <color theme="1"/>
      <name val="Calibri"/>
      <family val="2"/>
      <scheme val="minor"/>
    </font>
    <font>
      <b/>
      <sz val="11"/>
      <color theme="9" tint="0.59999389629810485"/>
      <name val="Calibri"/>
      <family val="2"/>
      <scheme val="minor"/>
    </font>
    <font>
      <b/>
      <u/>
      <sz val="14"/>
      <color theme="1"/>
      <name val="Calibri"/>
      <family val="2"/>
      <scheme val="minor"/>
    </font>
    <font>
      <b/>
      <u/>
      <sz val="11"/>
      <name val="Calibri"/>
      <family val="2"/>
      <scheme val="minor"/>
    </font>
    <font>
      <sz val="10"/>
      <name val="Calibri"/>
      <family val="2"/>
      <scheme val="minor"/>
    </font>
    <font>
      <b/>
      <sz val="14"/>
      <name val="Calibri"/>
      <family val="2"/>
      <scheme val="minor"/>
    </font>
    <font>
      <b/>
      <sz val="9"/>
      <color rgb="FFFF0000"/>
      <name val="Calibri"/>
      <family val="2"/>
      <scheme val="minor"/>
    </font>
    <font>
      <b/>
      <sz val="13"/>
      <color theme="1"/>
      <name val="Calibri"/>
      <family val="2"/>
      <scheme val="minor"/>
    </font>
    <font>
      <b/>
      <sz val="50"/>
      <color rgb="FFFF0000"/>
      <name val="Calibri"/>
      <family val="2"/>
      <scheme val="minor"/>
    </font>
    <font>
      <b/>
      <sz val="11"/>
      <name val="Calibri"/>
      <family val="2"/>
    </font>
    <font>
      <sz val="11"/>
      <name val="Calibri"/>
      <family val="2"/>
    </font>
    <font>
      <sz val="9"/>
      <color theme="1"/>
      <name val="Calibri"/>
      <family val="2"/>
      <scheme val="minor"/>
    </font>
    <font>
      <b/>
      <sz val="12"/>
      <color theme="0"/>
      <name val="Calibri"/>
      <family val="2"/>
      <scheme val="minor"/>
    </font>
    <font>
      <sz val="16"/>
      <color theme="1"/>
      <name val="Calibri"/>
      <family val="2"/>
      <scheme val="minor"/>
    </font>
    <font>
      <sz val="16"/>
      <name val="Calibri"/>
      <family val="2"/>
      <scheme val="minor"/>
    </font>
    <font>
      <sz val="12"/>
      <color theme="0"/>
      <name val="Calibri"/>
      <family val="2"/>
      <scheme val="minor"/>
    </font>
    <font>
      <b/>
      <sz val="11"/>
      <name val="Calibri"/>
      <family val="2"/>
    </font>
    <font>
      <b/>
      <sz val="9"/>
      <color theme="6"/>
      <name val="Calibri"/>
      <family val="2"/>
      <scheme val="minor"/>
    </font>
  </fonts>
  <fills count="13">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3"/>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AFA0DC"/>
        <bgColor indexed="64"/>
      </patternFill>
    </fill>
    <fill>
      <patternFill patternType="solid">
        <fgColor theme="5" tint="0.39997558519241921"/>
        <bgColor indexed="64"/>
      </patternFill>
    </fill>
  </fills>
  <borders count="7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theme="0" tint="-0.34998626667073579"/>
      </right>
      <top/>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5">
    <xf numFmtId="0" fontId="0" fillId="0" borderId="0"/>
    <xf numFmtId="9" fontId="1" fillId="0" borderId="0" applyFont="0" applyFill="0" applyBorder="0" applyAlignment="0" applyProtection="0"/>
    <xf numFmtId="44" fontId="1" fillId="0" borderId="0" applyFon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cellStyleXfs>
  <cellXfs count="1005">
    <xf numFmtId="0" fontId="0" fillId="0" borderId="0" xfId="0"/>
    <xf numFmtId="0" fontId="0" fillId="0" borderId="1" xfId="0" applyBorder="1"/>
    <xf numFmtId="0" fontId="0" fillId="0" borderId="3" xfId="0" applyBorder="1"/>
    <xf numFmtId="0" fontId="0" fillId="0" borderId="5" xfId="0" applyBorder="1"/>
    <xf numFmtId="0" fontId="0" fillId="2" borderId="4" xfId="0" applyFill="1" applyBorder="1"/>
    <xf numFmtId="0" fontId="2" fillId="0" borderId="0" xfId="0" applyFont="1"/>
    <xf numFmtId="0" fontId="0" fillId="2" borderId="0" xfId="0" applyFill="1"/>
    <xf numFmtId="9" fontId="0" fillId="0" borderId="0" xfId="0" applyNumberFormat="1"/>
    <xf numFmtId="9" fontId="0" fillId="2" borderId="8" xfId="1" applyFont="1" applyFill="1" applyBorder="1"/>
    <xf numFmtId="9" fontId="0" fillId="2" borderId="6" xfId="1" applyFont="1" applyFill="1" applyBorder="1"/>
    <xf numFmtId="0" fontId="0" fillId="3" borderId="7" xfId="0" applyFill="1" applyBorder="1"/>
    <xf numFmtId="0" fontId="0" fillId="3" borderId="2" xfId="0" applyFill="1" applyBorder="1"/>
    <xf numFmtId="0" fontId="5" fillId="0" borderId="0" xfId="0" applyFont="1"/>
    <xf numFmtId="0" fontId="0" fillId="2" borderId="4" xfId="0" applyFill="1" applyBorder="1" applyAlignment="1">
      <alignment horizontal="left"/>
    </xf>
    <xf numFmtId="0" fontId="2" fillId="0" borderId="11" xfId="0" applyFont="1" applyBorder="1"/>
    <xf numFmtId="0" fontId="0" fillId="0" borderId="12" xfId="0" applyBorder="1"/>
    <xf numFmtId="0" fontId="0" fillId="0" borderId="14" xfId="0" applyBorder="1"/>
    <xf numFmtId="0" fontId="2" fillId="0" borderId="15" xfId="0" applyFont="1" applyBorder="1"/>
    <xf numFmtId="10" fontId="0" fillId="0" borderId="0" xfId="1" applyNumberFormat="1" applyFont="1"/>
    <xf numFmtId="10" fontId="0" fillId="2" borderId="13" xfId="1" applyNumberFormat="1" applyFont="1" applyFill="1" applyBorder="1"/>
    <xf numFmtId="167" fontId="0" fillId="2" borderId="6" xfId="1" applyNumberFormat="1" applyFont="1" applyFill="1" applyBorder="1"/>
    <xf numFmtId="0" fontId="0" fillId="0" borderId="16" xfId="0" applyBorder="1"/>
    <xf numFmtId="0" fontId="0" fillId="0" borderId="17" xfId="0" applyBorder="1"/>
    <xf numFmtId="0" fontId="0" fillId="0" borderId="20" xfId="0" applyBorder="1"/>
    <xf numFmtId="0" fontId="0" fillId="0" borderId="22" xfId="0" applyBorder="1"/>
    <xf numFmtId="0" fontId="2" fillId="0" borderId="0" xfId="0" applyFont="1" applyAlignment="1">
      <alignment horizontal="center"/>
    </xf>
    <xf numFmtId="0" fontId="0" fillId="0" borderId="30" xfId="0" applyBorder="1"/>
    <xf numFmtId="0" fontId="0" fillId="0" borderId="25" xfId="0" applyBorder="1"/>
    <xf numFmtId="0" fontId="0" fillId="0" borderId="28" xfId="0" applyBorder="1"/>
    <xf numFmtId="0" fontId="0" fillId="0" borderId="29" xfId="0" applyBorder="1"/>
    <xf numFmtId="0" fontId="0" fillId="0" borderId="31" xfId="0" applyBorder="1"/>
    <xf numFmtId="0" fontId="0" fillId="0" borderId="49" xfId="0" applyBorder="1"/>
    <xf numFmtId="10" fontId="0" fillId="6" borderId="4" xfId="1" applyNumberFormat="1" applyFont="1" applyFill="1" applyBorder="1"/>
    <xf numFmtId="0" fontId="0" fillId="2" borderId="4" xfId="1" applyNumberFormat="1" applyFont="1" applyFill="1" applyBorder="1"/>
    <xf numFmtId="0" fontId="8" fillId="0" borderId="20" xfId="0" quotePrefix="1" applyFont="1" applyBorder="1"/>
    <xf numFmtId="0" fontId="9" fillId="0" borderId="9" xfId="0" applyFont="1" applyBorder="1" applyAlignment="1">
      <alignment horizontal="center" vertical="top"/>
    </xf>
    <xf numFmtId="0" fontId="0" fillId="0" borderId="27" xfId="0" applyBorder="1"/>
    <xf numFmtId="166" fontId="0" fillId="5" borderId="10" xfId="0" quotePrefix="1" applyNumberFormat="1" applyFill="1" applyBorder="1"/>
    <xf numFmtId="166" fontId="0" fillId="3" borderId="47" xfId="0" applyNumberFormat="1" applyFill="1" applyBorder="1" applyAlignment="1">
      <alignment horizontal="right"/>
    </xf>
    <xf numFmtId="0" fontId="10" fillId="3" borderId="4" xfId="0" applyFont="1" applyFill="1" applyBorder="1"/>
    <xf numFmtId="0" fontId="8" fillId="0" borderId="20" xfId="0" applyFont="1" applyBorder="1"/>
    <xf numFmtId="0" fontId="0" fillId="0" borderId="26" xfId="0" applyBorder="1"/>
    <xf numFmtId="10" fontId="0" fillId="0" borderId="16" xfId="1" applyNumberFormat="1" applyFont="1" applyBorder="1"/>
    <xf numFmtId="0" fontId="0" fillId="0" borderId="16" xfId="0" applyBorder="1" applyAlignment="1">
      <alignment horizontal="right"/>
    </xf>
    <xf numFmtId="0" fontId="5" fillId="3" borderId="26" xfId="0" applyFont="1" applyFill="1" applyBorder="1"/>
    <xf numFmtId="0" fontId="5" fillId="3" borderId="10" xfId="0" applyFont="1" applyFill="1" applyBorder="1"/>
    <xf numFmtId="0" fontId="7" fillId="0" borderId="0" xfId="0" applyFont="1"/>
    <xf numFmtId="0" fontId="11" fillId="0" borderId="0" xfId="0" applyFont="1"/>
    <xf numFmtId="0" fontId="0" fillId="0" borderId="0" xfId="0" applyAlignment="1">
      <alignment horizontal="right"/>
    </xf>
    <xf numFmtId="166" fontId="0" fillId="2" borderId="16" xfId="0" applyNumberFormat="1" applyFill="1" applyBorder="1"/>
    <xf numFmtId="166" fontId="0" fillId="2" borderId="21" xfId="0" applyNumberFormat="1" applyFill="1" applyBorder="1"/>
    <xf numFmtId="10" fontId="0" fillId="2" borderId="16" xfId="1" applyNumberFormat="1" applyFont="1" applyFill="1" applyBorder="1"/>
    <xf numFmtId="166" fontId="0" fillId="2" borderId="50" xfId="0" applyNumberFormat="1" applyFill="1" applyBorder="1" applyAlignment="1">
      <alignment horizontal="right"/>
    </xf>
    <xf numFmtId="10" fontId="0" fillId="2" borderId="4" xfId="1" applyNumberFormat="1" applyFont="1" applyFill="1" applyBorder="1"/>
    <xf numFmtId="10" fontId="0" fillId="2" borderId="21" xfId="1" applyNumberFormat="1" applyFont="1" applyFill="1" applyBorder="1"/>
    <xf numFmtId="0" fontId="0" fillId="2" borderId="19" xfId="0" applyFill="1" applyBorder="1"/>
    <xf numFmtId="0" fontId="0" fillId="2" borderId="21" xfId="0" applyFill="1" applyBorder="1"/>
    <xf numFmtId="0" fontId="0" fillId="2" borderId="24" xfId="0" applyFill="1" applyBorder="1"/>
    <xf numFmtId="0" fontId="2" fillId="0" borderId="0" xfId="0" applyFont="1" applyAlignment="1">
      <alignment horizontal="right"/>
    </xf>
    <xf numFmtId="0" fontId="12" fillId="0" borderId="0" xfId="0" applyFont="1" applyAlignment="1">
      <alignment horizontal="right"/>
    </xf>
    <xf numFmtId="0" fontId="13" fillId="0" borderId="0" xfId="0" applyFont="1"/>
    <xf numFmtId="0" fontId="14" fillId="0" borderId="0" xfId="0" applyFont="1" applyAlignment="1">
      <alignment horizontal="center"/>
    </xf>
    <xf numFmtId="164" fontId="0" fillId="2" borderId="16" xfId="1" applyNumberFormat="1" applyFont="1" applyFill="1" applyBorder="1"/>
    <xf numFmtId="164" fontId="0" fillId="2" borderId="21" xfId="1" applyNumberFormat="1" applyFont="1" applyFill="1" applyBorder="1"/>
    <xf numFmtId="166" fontId="0" fillId="2" borderId="23" xfId="0" applyNumberFormat="1" applyFill="1" applyBorder="1"/>
    <xf numFmtId="166" fontId="0" fillId="2" borderId="24" xfId="0" applyNumberFormat="1" applyFill="1" applyBorder="1"/>
    <xf numFmtId="10" fontId="0" fillId="2" borderId="18" xfId="1" applyNumberFormat="1" applyFont="1" applyFill="1" applyBorder="1"/>
    <xf numFmtId="10" fontId="0" fillId="2" borderId="19" xfId="1" applyNumberFormat="1" applyFont="1" applyFill="1" applyBorder="1"/>
    <xf numFmtId="0" fontId="15" fillId="0" borderId="0" xfId="0" applyFont="1" applyAlignment="1">
      <alignment horizontal="left"/>
    </xf>
    <xf numFmtId="0" fontId="8" fillId="0" borderId="22" xfId="0" quotePrefix="1" applyFont="1" applyBorder="1"/>
    <xf numFmtId="0" fontId="0" fillId="2" borderId="4" xfId="0" applyFill="1" applyBorder="1" applyAlignment="1">
      <alignment horizontal="right"/>
    </xf>
    <xf numFmtId="0" fontId="0" fillId="0" borderId="14" xfId="0" applyBorder="1" applyAlignment="1">
      <alignment horizontal="right"/>
    </xf>
    <xf numFmtId="0" fontId="0" fillId="2" borderId="6" xfId="0" applyFill="1" applyBorder="1" applyAlignment="1">
      <alignment horizontal="right"/>
    </xf>
    <xf numFmtId="0" fontId="0" fillId="2" borderId="2" xfId="0" applyFill="1" applyBorder="1" applyAlignment="1">
      <alignment horizontal="left"/>
    </xf>
    <xf numFmtId="0" fontId="16" fillId="0" borderId="0" xfId="3"/>
    <xf numFmtId="0" fontId="17" fillId="0" borderId="0" xfId="3" applyFont="1"/>
    <xf numFmtId="0" fontId="2" fillId="5" borderId="17" xfId="0" applyFont="1" applyFill="1" applyBorder="1"/>
    <xf numFmtId="0" fontId="0" fillId="5" borderId="18" xfId="0" applyFill="1" applyBorder="1"/>
    <xf numFmtId="0" fontId="0" fillId="5" borderId="19" xfId="0" applyFill="1" applyBorder="1"/>
    <xf numFmtId="0" fontId="2" fillId="5" borderId="20" xfId="0" applyFont="1" applyFill="1" applyBorder="1"/>
    <xf numFmtId="0" fontId="0" fillId="5" borderId="16" xfId="0" applyFill="1" applyBorder="1"/>
    <xf numFmtId="0" fontId="0" fillId="5" borderId="21" xfId="0" applyFill="1" applyBorder="1"/>
    <xf numFmtId="0" fontId="2" fillId="5" borderId="22" xfId="0" applyFont="1" applyFill="1" applyBorder="1"/>
    <xf numFmtId="0" fontId="0" fillId="5" borderId="23" xfId="0" applyFill="1" applyBorder="1"/>
    <xf numFmtId="0" fontId="0" fillId="5" borderId="24" xfId="0" applyFill="1" applyBorder="1"/>
    <xf numFmtId="0" fontId="0" fillId="5" borderId="4" xfId="0" applyFill="1" applyBorder="1" applyAlignment="1">
      <alignment horizontal="right"/>
    </xf>
    <xf numFmtId="0" fontId="10" fillId="3" borderId="0" xfId="0" applyFont="1" applyFill="1"/>
    <xf numFmtId="0" fontId="16" fillId="2" borderId="21" xfId="3" applyFill="1" applyBorder="1"/>
    <xf numFmtId="0" fontId="14" fillId="0" borderId="0" xfId="0" applyFont="1"/>
    <xf numFmtId="166" fontId="2" fillId="0" borderId="0" xfId="0" applyNumberFormat="1" applyFont="1"/>
    <xf numFmtId="9" fontId="0" fillId="2" borderId="0" xfId="1" applyFont="1" applyFill="1" applyBorder="1"/>
    <xf numFmtId="9" fontId="0" fillId="2" borderId="4" xfId="1" applyFont="1" applyFill="1" applyBorder="1"/>
    <xf numFmtId="9" fontId="0" fillId="2" borderId="0" xfId="0" applyNumberFormat="1" applyFill="1"/>
    <xf numFmtId="9" fontId="0" fillId="2" borderId="4" xfId="0" applyNumberFormat="1" applyFill="1" applyBorder="1"/>
    <xf numFmtId="0" fontId="0" fillId="2" borderId="0" xfId="1" applyNumberFormat="1" applyFont="1" applyFill="1" applyBorder="1"/>
    <xf numFmtId="0" fontId="10" fillId="0" borderId="0" xfId="0" applyFont="1"/>
    <xf numFmtId="0" fontId="23" fillId="0" borderId="0" xfId="0" applyFont="1" applyAlignment="1">
      <alignment horizontal="right"/>
    </xf>
    <xf numFmtId="0" fontId="2" fillId="0" borderId="65" xfId="0" applyFont="1" applyBorder="1"/>
    <xf numFmtId="0" fontId="0" fillId="0" borderId="64" xfId="0" applyBorder="1"/>
    <xf numFmtId="0" fontId="0" fillId="0" borderId="64" xfId="0" applyBorder="1" applyAlignment="1">
      <alignment horizontal="right"/>
    </xf>
    <xf numFmtId="0" fontId="1" fillId="0" borderId="20" xfId="4" applyFont="1" applyBorder="1"/>
    <xf numFmtId="0" fontId="2" fillId="0" borderId="66" xfId="0" applyFont="1" applyBorder="1"/>
    <xf numFmtId="0" fontId="20" fillId="0" borderId="65" xfId="0" applyFont="1" applyBorder="1"/>
    <xf numFmtId="0" fontId="0" fillId="8" borderId="4" xfId="0" applyFill="1" applyBorder="1" applyAlignment="1">
      <alignment horizontal="right"/>
    </xf>
    <xf numFmtId="0" fontId="0" fillId="8" borderId="4" xfId="1" applyNumberFormat="1" applyFont="1" applyFill="1" applyBorder="1"/>
    <xf numFmtId="10" fontId="0" fillId="8" borderId="4" xfId="1" applyNumberFormat="1" applyFont="1" applyFill="1" applyBorder="1"/>
    <xf numFmtId="167" fontId="0" fillId="8" borderId="6" xfId="1" applyNumberFormat="1" applyFont="1" applyFill="1" applyBorder="1"/>
    <xf numFmtId="10" fontId="0" fillId="8" borderId="16" xfId="1" applyNumberFormat="1" applyFont="1" applyFill="1" applyBorder="1"/>
    <xf numFmtId="10" fontId="1" fillId="8" borderId="21" xfId="1" applyNumberFormat="1" applyFont="1" applyFill="1" applyBorder="1"/>
    <xf numFmtId="164" fontId="0" fillId="8" borderId="16" xfId="1" applyNumberFormat="1" applyFont="1" applyFill="1" applyBorder="1"/>
    <xf numFmtId="164" fontId="1" fillId="8" borderId="21" xfId="1" applyNumberFormat="1" applyFont="1" applyFill="1" applyBorder="1"/>
    <xf numFmtId="44" fontId="1" fillId="8" borderId="21" xfId="2" applyFont="1" applyFill="1" applyBorder="1"/>
    <xf numFmtId="0" fontId="26" fillId="0" borderId="0" xfId="3" applyFont="1"/>
    <xf numFmtId="0" fontId="0" fillId="8" borderId="52" xfId="0" applyFill="1" applyBorder="1"/>
    <xf numFmtId="0" fontId="0" fillId="8" borderId="19" xfId="0" applyFill="1" applyBorder="1"/>
    <xf numFmtId="0" fontId="0" fillId="8" borderId="30" xfId="0" applyFill="1" applyBorder="1"/>
    <xf numFmtId="0" fontId="0" fillId="8" borderId="21" xfId="0" applyFill="1" applyBorder="1"/>
    <xf numFmtId="0" fontId="0" fillId="8" borderId="39" xfId="0" applyFill="1" applyBorder="1"/>
    <xf numFmtId="0" fontId="0" fillId="8" borderId="24" xfId="0" applyFill="1" applyBorder="1"/>
    <xf numFmtId="0" fontId="0" fillId="8" borderId="23" xfId="0" applyFill="1" applyBorder="1"/>
    <xf numFmtId="0" fontId="19" fillId="0" borderId="0" xfId="0" applyFont="1" applyAlignment="1">
      <alignment horizontal="center"/>
    </xf>
    <xf numFmtId="0" fontId="27" fillId="0" borderId="0" xfId="0" applyFont="1"/>
    <xf numFmtId="0" fontId="2" fillId="0" borderId="43" xfId="0" applyFont="1" applyBorder="1" applyAlignment="1">
      <alignment horizontal="center"/>
    </xf>
    <xf numFmtId="0" fontId="2" fillId="0" borderId="58" xfId="0" applyFont="1" applyBorder="1"/>
    <xf numFmtId="0" fontId="2" fillId="0" borderId="20" xfId="0" applyFont="1" applyBorder="1" applyAlignment="1">
      <alignment horizontal="left" vertical="center"/>
    </xf>
    <xf numFmtId="0" fontId="2" fillId="0" borderId="17" xfId="0" applyFont="1" applyBorder="1" applyAlignment="1">
      <alignment vertical="center"/>
    </xf>
    <xf numFmtId="166" fontId="1" fillId="0" borderId="33" xfId="2" applyNumberFormat="1" applyFont="1" applyFill="1" applyBorder="1"/>
    <xf numFmtId="166" fontId="0" fillId="0" borderId="0" xfId="0" applyNumberFormat="1"/>
    <xf numFmtId="0" fontId="0" fillId="0" borderId="33" xfId="0" applyBorder="1"/>
    <xf numFmtId="9" fontId="1" fillId="0" borderId="0" xfId="1" applyFont="1" applyFill="1" applyBorder="1"/>
    <xf numFmtId="10" fontId="0" fillId="0" borderId="0" xfId="0" applyNumberFormat="1"/>
    <xf numFmtId="0" fontId="0" fillId="0" borderId="38" xfId="0" applyBorder="1" applyAlignment="1">
      <alignment horizontal="left" vertical="center"/>
    </xf>
    <xf numFmtId="0" fontId="0" fillId="0" borderId="20" xfId="0" applyBorder="1" applyAlignment="1">
      <alignment horizontal="left" vertical="center"/>
    </xf>
    <xf numFmtId="10" fontId="0" fillId="0" borderId="0" xfId="1" applyNumberFormat="1" applyFont="1" applyBorder="1"/>
    <xf numFmtId="10" fontId="6" fillId="3" borderId="9" xfId="1" applyNumberFormat="1" applyFont="1" applyFill="1" applyBorder="1"/>
    <xf numFmtId="10" fontId="0" fillId="2" borderId="9" xfId="1" applyNumberFormat="1" applyFont="1" applyFill="1" applyBorder="1"/>
    <xf numFmtId="0" fontId="14" fillId="0" borderId="9" xfId="0" applyFont="1" applyBorder="1" applyAlignment="1">
      <alignment horizontal="center"/>
    </xf>
    <xf numFmtId="166" fontId="1" fillId="0" borderId="48" xfId="2" applyNumberFormat="1" applyFont="1" applyFill="1" applyBorder="1"/>
    <xf numFmtId="166" fontId="0" fillId="0" borderId="4" xfId="0" applyNumberFormat="1" applyBorder="1"/>
    <xf numFmtId="0" fontId="0" fillId="0" borderId="7" xfId="0" applyBorder="1"/>
    <xf numFmtId="0" fontId="0" fillId="0" borderId="8" xfId="0" applyBorder="1"/>
    <xf numFmtId="0" fontId="0" fillId="0" borderId="60" xfId="0" applyBorder="1" applyAlignment="1">
      <alignment horizontal="center"/>
    </xf>
    <xf numFmtId="166" fontId="0" fillId="0" borderId="0" xfId="0" applyNumberFormat="1" applyAlignment="1">
      <alignment horizontal="left"/>
    </xf>
    <xf numFmtId="0" fontId="0" fillId="3" borderId="7" xfId="0" applyFill="1" applyBorder="1" applyAlignment="1">
      <alignment horizontal="center"/>
    </xf>
    <xf numFmtId="0" fontId="0" fillId="3" borderId="2" xfId="0" applyFill="1" applyBorder="1" applyAlignment="1">
      <alignment horizontal="center"/>
    </xf>
    <xf numFmtId="0" fontId="10" fillId="3" borderId="0" xfId="0" applyFont="1" applyFill="1" applyAlignment="1">
      <alignment horizontal="center"/>
    </xf>
    <xf numFmtId="9" fontId="0" fillId="2" borderId="8" xfId="1" applyFont="1" applyFill="1" applyBorder="1" applyAlignment="1">
      <alignment horizontal="center"/>
    </xf>
    <xf numFmtId="9" fontId="0" fillId="2" borderId="6" xfId="1" applyFont="1" applyFill="1" applyBorder="1" applyAlignment="1">
      <alignment horizontal="center"/>
    </xf>
    <xf numFmtId="0" fontId="13" fillId="0" borderId="1" xfId="0" applyFont="1" applyBorder="1"/>
    <xf numFmtId="0" fontId="14" fillId="0" borderId="7" xfId="0" applyFont="1" applyBorder="1" applyAlignment="1">
      <alignment horizontal="center"/>
    </xf>
    <xf numFmtId="0" fontId="13" fillId="0" borderId="2" xfId="0" applyFont="1" applyBorder="1"/>
    <xf numFmtId="0" fontId="13" fillId="0" borderId="3" xfId="0" applyFont="1" applyBorder="1"/>
    <xf numFmtId="0" fontId="13" fillId="0" borderId="0" xfId="0" applyFont="1" applyAlignment="1">
      <alignment horizontal="right"/>
    </xf>
    <xf numFmtId="0" fontId="13" fillId="0" borderId="4" xfId="0" applyFont="1" applyBorder="1"/>
    <xf numFmtId="0" fontId="13" fillId="0" borderId="5" xfId="0" applyFont="1" applyBorder="1"/>
    <xf numFmtId="9" fontId="0" fillId="0" borderId="8" xfId="0" applyNumberFormat="1" applyBorder="1"/>
    <xf numFmtId="0" fontId="13" fillId="0" borderId="6" xfId="0" applyFont="1" applyBorder="1"/>
    <xf numFmtId="0" fontId="7" fillId="0" borderId="0" xfId="0" applyFont="1" applyAlignment="1">
      <alignment horizontal="center"/>
    </xf>
    <xf numFmtId="0" fontId="5" fillId="3" borderId="57" xfId="0" applyFont="1" applyFill="1" applyBorder="1"/>
    <xf numFmtId="0" fontId="5" fillId="3" borderId="62" xfId="0" applyFont="1" applyFill="1" applyBorder="1"/>
    <xf numFmtId="0" fontId="0" fillId="2" borderId="51" xfId="1" applyNumberFormat="1" applyFont="1" applyFill="1" applyBorder="1" applyAlignment="1">
      <alignment horizontal="center"/>
    </xf>
    <xf numFmtId="0" fontId="0" fillId="2" borderId="13" xfId="1" applyNumberFormat="1" applyFont="1" applyFill="1" applyBorder="1" applyAlignment="1">
      <alignment horizontal="center"/>
    </xf>
    <xf numFmtId="0" fontId="0" fillId="0" borderId="38" xfId="0" applyBorder="1"/>
    <xf numFmtId="9" fontId="0" fillId="2" borderId="33" xfId="1" applyFont="1" applyFill="1" applyBorder="1" applyAlignment="1">
      <alignment horizontal="center"/>
    </xf>
    <xf numFmtId="9" fontId="0" fillId="2" borderId="48" xfId="1" applyFont="1" applyFill="1" applyBorder="1" applyAlignment="1">
      <alignment horizontal="center"/>
    </xf>
    <xf numFmtId="166" fontId="2" fillId="3" borderId="63" xfId="2" applyNumberFormat="1" applyFont="1" applyFill="1" applyBorder="1"/>
    <xf numFmtId="166" fontId="2" fillId="2" borderId="62" xfId="0" applyNumberFormat="1" applyFont="1" applyFill="1" applyBorder="1" applyAlignment="1">
      <alignment horizontal="right"/>
    </xf>
    <xf numFmtId="0" fontId="2" fillId="0" borderId="7" xfId="0" applyFont="1" applyBorder="1"/>
    <xf numFmtId="9" fontId="2" fillId="0" borderId="0" xfId="0" applyNumberFormat="1" applyFont="1"/>
    <xf numFmtId="0" fontId="2" fillId="0" borderId="8" xfId="0" applyFont="1" applyBorder="1"/>
    <xf numFmtId="0" fontId="24" fillId="0" borderId="4" xfId="0" applyFont="1" applyBorder="1" applyAlignment="1">
      <alignment horizontal="left" vertical="center"/>
    </xf>
    <xf numFmtId="166" fontId="2" fillId="9" borderId="6" xfId="0" quotePrefix="1" applyNumberFormat="1" applyFont="1" applyFill="1" applyBorder="1"/>
    <xf numFmtId="0" fontId="21" fillId="0" borderId="0" xfId="0" applyFont="1" applyAlignment="1">
      <alignment vertical="top" wrapText="1"/>
    </xf>
    <xf numFmtId="0" fontId="2" fillId="0" borderId="26" xfId="0" applyFont="1" applyBorder="1"/>
    <xf numFmtId="0" fontId="2" fillId="0" borderId="16" xfId="0" applyFont="1" applyBorder="1"/>
    <xf numFmtId="0" fontId="0" fillId="0" borderId="44" xfId="0" applyBorder="1"/>
    <xf numFmtId="166" fontId="2" fillId="0" borderId="4" xfId="0" applyNumberFormat="1" applyFont="1" applyBorder="1"/>
    <xf numFmtId="166" fontId="5" fillId="0" borderId="0" xfId="2" applyNumberFormat="1" applyFont="1" applyFill="1" applyBorder="1" applyAlignment="1">
      <alignment horizontal="center"/>
    </xf>
    <xf numFmtId="0" fontId="0" fillId="0" borderId="12" xfId="0" applyBorder="1" applyAlignment="1">
      <alignment horizontal="right"/>
    </xf>
    <xf numFmtId="0" fontId="0" fillId="0" borderId="67" xfId="0" applyBorder="1"/>
    <xf numFmtId="0" fontId="2" fillId="0" borderId="63" xfId="0" applyFont="1" applyBorder="1"/>
    <xf numFmtId="0" fontId="2" fillId="0" borderId="64" xfId="0" applyFont="1" applyBorder="1"/>
    <xf numFmtId="0" fontId="0" fillId="2" borderId="16" xfId="0" applyFill="1" applyBorder="1"/>
    <xf numFmtId="0" fontId="2" fillId="0" borderId="22" xfId="0" applyFont="1" applyBorder="1" applyAlignment="1">
      <alignment vertical="center"/>
    </xf>
    <xf numFmtId="0" fontId="2" fillId="0" borderId="67" xfId="0" applyFont="1" applyBorder="1"/>
    <xf numFmtId="0" fontId="0" fillId="8" borderId="52" xfId="0" applyFill="1" applyBorder="1" applyAlignment="1">
      <alignment horizontal="right"/>
    </xf>
    <xf numFmtId="0" fontId="0" fillId="8" borderId="16" xfId="0" applyFill="1" applyBorder="1"/>
    <xf numFmtId="0" fontId="0" fillId="8" borderId="8" xfId="0" applyFill="1" applyBorder="1"/>
    <xf numFmtId="0" fontId="0" fillId="8" borderId="52" xfId="1" applyNumberFormat="1" applyFont="1" applyFill="1" applyBorder="1"/>
    <xf numFmtId="0" fontId="0" fillId="8" borderId="30" xfId="1" applyNumberFormat="1" applyFont="1" applyFill="1" applyBorder="1"/>
    <xf numFmtId="0" fontId="2" fillId="5" borderId="9" xfId="0" applyFont="1" applyFill="1" applyBorder="1"/>
    <xf numFmtId="0" fontId="2" fillId="3" borderId="9" xfId="0" applyFont="1" applyFill="1" applyBorder="1"/>
    <xf numFmtId="0" fontId="2" fillId="9" borderId="9" xfId="0" applyFont="1" applyFill="1" applyBorder="1"/>
    <xf numFmtId="0" fontId="2" fillId="0" borderId="3" xfId="0" applyFont="1" applyBorder="1"/>
    <xf numFmtId="0" fontId="2" fillId="0" borderId="70" xfId="0" applyFont="1" applyBorder="1"/>
    <xf numFmtId="0" fontId="0" fillId="8" borderId="19" xfId="0" applyFill="1" applyBorder="1" applyAlignment="1">
      <alignment horizontal="right"/>
    </xf>
    <xf numFmtId="0" fontId="0" fillId="8" borderId="19" xfId="1" applyNumberFormat="1" applyFont="1" applyFill="1" applyBorder="1"/>
    <xf numFmtId="0" fontId="0" fillId="8" borderId="21" xfId="1" applyNumberFormat="1" applyFont="1" applyFill="1" applyBorder="1"/>
    <xf numFmtId="166" fontId="0" fillId="0" borderId="16" xfId="0" applyNumberFormat="1" applyBorder="1"/>
    <xf numFmtId="0" fontId="2" fillId="0" borderId="67" xfId="0" applyFont="1" applyBorder="1" applyAlignment="1">
      <alignment horizontal="center"/>
    </xf>
    <xf numFmtId="0" fontId="2" fillId="0" borderId="64" xfId="0" applyFont="1" applyBorder="1" applyAlignment="1">
      <alignment horizontal="center"/>
    </xf>
    <xf numFmtId="0" fontId="0" fillId="0" borderId="72" xfId="0" applyBorder="1"/>
    <xf numFmtId="166" fontId="0" fillId="2" borderId="16" xfId="2" applyNumberFormat="1" applyFont="1" applyFill="1" applyBorder="1"/>
    <xf numFmtId="166" fontId="0" fillId="2" borderId="19" xfId="2" applyNumberFormat="1" applyFont="1" applyFill="1" applyBorder="1"/>
    <xf numFmtId="0" fontId="0" fillId="0" borderId="67" xfId="1" applyNumberFormat="1" applyFont="1" applyBorder="1"/>
    <xf numFmtId="0" fontId="2" fillId="0" borderId="1" xfId="0" applyFont="1" applyBorder="1" applyAlignment="1">
      <alignment vertical="center"/>
    </xf>
    <xf numFmtId="0" fontId="2" fillId="0" borderId="54" xfId="0" applyFont="1" applyBorder="1" applyAlignment="1">
      <alignment vertical="center"/>
    </xf>
    <xf numFmtId="0" fontId="0" fillId="0" borderId="18" xfId="0" applyBorder="1"/>
    <xf numFmtId="0" fontId="2" fillId="0" borderId="43" xfId="0" applyFont="1" applyBorder="1"/>
    <xf numFmtId="166" fontId="0" fillId="0" borderId="33" xfId="0" applyNumberFormat="1" applyBorder="1"/>
    <xf numFmtId="166" fontId="0" fillId="0" borderId="48" xfId="0" applyNumberFormat="1" applyBorder="1"/>
    <xf numFmtId="10" fontId="0" fillId="0" borderId="30" xfId="1" applyNumberFormat="1" applyFont="1" applyBorder="1"/>
    <xf numFmtId="0" fontId="0" fillId="0" borderId="4" xfId="0" applyBorder="1"/>
    <xf numFmtId="166" fontId="2" fillId="0" borderId="46" xfId="0" applyNumberFormat="1" applyFont="1" applyBorder="1" applyAlignment="1">
      <alignment vertical="center"/>
    </xf>
    <xf numFmtId="166" fontId="2" fillId="0" borderId="56" xfId="0" applyNumberFormat="1" applyFont="1" applyBorder="1" applyAlignment="1">
      <alignment vertical="center"/>
    </xf>
    <xf numFmtId="0" fontId="37" fillId="0" borderId="0" xfId="0" applyFont="1"/>
    <xf numFmtId="164" fontId="0" fillId="0" borderId="0" xfId="1" applyNumberFormat="1" applyFont="1"/>
    <xf numFmtId="0" fontId="2" fillId="0" borderId="0" xfId="0" applyFont="1" applyAlignment="1">
      <alignment vertical="center"/>
    </xf>
    <xf numFmtId="164" fontId="0" fillId="2" borderId="57" xfId="1" applyNumberFormat="1" applyFont="1" applyFill="1" applyBorder="1"/>
    <xf numFmtId="164" fontId="0" fillId="2" borderId="24" xfId="1" applyNumberFormat="1" applyFont="1" applyFill="1" applyBorder="1"/>
    <xf numFmtId="164" fontId="0" fillId="2" borderId="10" xfId="1" applyNumberFormat="1" applyFont="1" applyFill="1" applyBorder="1"/>
    <xf numFmtId="164" fontId="0" fillId="2" borderId="50" xfId="1" applyNumberFormat="1" applyFont="1" applyFill="1" applyBorder="1"/>
    <xf numFmtId="164" fontId="0" fillId="2" borderId="72" xfId="1" applyNumberFormat="1" applyFont="1" applyFill="1" applyBorder="1"/>
    <xf numFmtId="164" fontId="0" fillId="2" borderId="19" xfId="1" applyNumberFormat="1" applyFont="1" applyFill="1" applyBorder="1" applyAlignment="1"/>
    <xf numFmtId="164" fontId="0" fillId="2" borderId="21" xfId="1" applyNumberFormat="1" applyFont="1" applyFill="1" applyBorder="1" applyAlignment="1"/>
    <xf numFmtId="164" fontId="0" fillId="2" borderId="24" xfId="1" applyNumberFormat="1" applyFont="1" applyFill="1" applyBorder="1" applyAlignment="1"/>
    <xf numFmtId="164" fontId="0" fillId="2" borderId="58" xfId="1" applyNumberFormat="1" applyFont="1" applyFill="1" applyBorder="1"/>
    <xf numFmtId="164" fontId="0" fillId="2" borderId="23" xfId="1" applyNumberFormat="1" applyFont="1" applyFill="1" applyBorder="1"/>
    <xf numFmtId="164" fontId="0" fillId="2" borderId="30" xfId="1" applyNumberFormat="1" applyFont="1" applyFill="1" applyBorder="1" applyAlignment="1"/>
    <xf numFmtId="0" fontId="7" fillId="0" borderId="18" xfId="0" applyFont="1" applyBorder="1" applyAlignment="1">
      <alignment horizontal="center" vertical="center"/>
    </xf>
    <xf numFmtId="166" fontId="2" fillId="0" borderId="16" xfId="0" applyNumberFormat="1" applyFont="1" applyBorder="1"/>
    <xf numFmtId="0" fontId="7" fillId="0" borderId="19" xfId="0" applyFont="1" applyBorder="1" applyAlignment="1">
      <alignment horizontal="center" vertical="center"/>
    </xf>
    <xf numFmtId="166" fontId="0" fillId="0" borderId="21" xfId="1" applyNumberFormat="1" applyFont="1" applyBorder="1"/>
    <xf numFmtId="166" fontId="0" fillId="0" borderId="21" xfId="0" applyNumberFormat="1" applyBorder="1"/>
    <xf numFmtId="166" fontId="2" fillId="0" borderId="21" xfId="0" applyNumberFormat="1" applyFont="1" applyBorder="1"/>
    <xf numFmtId="0" fontId="2" fillId="0" borderId="9" xfId="0" applyFont="1" applyBorder="1" applyAlignment="1">
      <alignment horizontal="center"/>
    </xf>
    <xf numFmtId="0" fontId="2" fillId="0" borderId="60" xfId="0" applyFont="1" applyBorder="1" applyAlignment="1">
      <alignment horizontal="center"/>
    </xf>
    <xf numFmtId="0" fontId="14" fillId="0" borderId="0" xfId="3" applyFont="1"/>
    <xf numFmtId="0" fontId="0" fillId="8" borderId="24" xfId="1" applyNumberFormat="1" applyFont="1" applyFill="1" applyBorder="1"/>
    <xf numFmtId="0" fontId="0" fillId="8" borderId="19" xfId="1" applyNumberFormat="1" applyFont="1" applyFill="1" applyBorder="1" applyAlignment="1"/>
    <xf numFmtId="0" fontId="0" fillId="8" borderId="21" xfId="1" applyNumberFormat="1" applyFont="1" applyFill="1" applyBorder="1" applyAlignment="1"/>
    <xf numFmtId="0" fontId="0" fillId="8" borderId="24" xfId="1" applyNumberFormat="1" applyFont="1" applyFill="1" applyBorder="1" applyAlignment="1"/>
    <xf numFmtId="0" fontId="0" fillId="8" borderId="58" xfId="1" applyNumberFormat="1" applyFont="1" applyFill="1" applyBorder="1"/>
    <xf numFmtId="0" fontId="0" fillId="8" borderId="23" xfId="1" applyNumberFormat="1" applyFont="1" applyFill="1" applyBorder="1"/>
    <xf numFmtId="0" fontId="0" fillId="8" borderId="50" xfId="1" applyNumberFormat="1" applyFont="1" applyFill="1" applyBorder="1"/>
    <xf numFmtId="0" fontId="0" fillId="8" borderId="72" xfId="1" applyNumberFormat="1" applyFont="1" applyFill="1" applyBorder="1"/>
    <xf numFmtId="0" fontId="0" fillId="8" borderId="57" xfId="1" applyNumberFormat="1" applyFont="1" applyFill="1" applyBorder="1"/>
    <xf numFmtId="0" fontId="0" fillId="8" borderId="10" xfId="1" applyNumberFormat="1" applyFont="1" applyFill="1" applyBorder="1"/>
    <xf numFmtId="166" fontId="5" fillId="0" borderId="43" xfId="0" applyNumberFormat="1" applyFont="1" applyBorder="1"/>
    <xf numFmtId="166" fontId="5" fillId="0" borderId="77" xfId="0" applyNumberFormat="1" applyFont="1" applyBorder="1"/>
    <xf numFmtId="0" fontId="5" fillId="0" borderId="42" xfId="0" applyFont="1" applyBorder="1" applyAlignment="1">
      <alignment vertical="center" wrapText="1"/>
    </xf>
    <xf numFmtId="0" fontId="5" fillId="0" borderId="54" xfId="0" applyFont="1" applyBorder="1" applyAlignment="1">
      <alignment vertical="center"/>
    </xf>
    <xf numFmtId="0" fontId="5" fillId="0" borderId="54" xfId="0" applyFont="1" applyBorder="1"/>
    <xf numFmtId="0" fontId="5" fillId="0" borderId="1" xfId="0" applyFont="1" applyBorder="1" applyAlignment="1">
      <alignment vertical="center"/>
    </xf>
    <xf numFmtId="0" fontId="37" fillId="0" borderId="70" xfId="0" applyFont="1" applyBorder="1" applyAlignment="1">
      <alignment vertical="center"/>
    </xf>
    <xf numFmtId="0" fontId="37" fillId="0" borderId="3" xfId="0" applyFont="1" applyBorder="1" applyAlignment="1">
      <alignment vertical="center"/>
    </xf>
    <xf numFmtId="0" fontId="2" fillId="0" borderId="76" xfId="0" applyFont="1" applyBorder="1" applyAlignment="1">
      <alignment vertical="center"/>
    </xf>
    <xf numFmtId="0" fontId="5" fillId="0" borderId="73" xfId="0" applyFont="1" applyBorder="1" applyAlignment="1">
      <alignment horizontal="right" vertical="center"/>
    </xf>
    <xf numFmtId="2" fontId="5" fillId="0" borderId="75" xfId="0" applyNumberFormat="1" applyFont="1" applyBorder="1" applyAlignment="1">
      <alignment horizontal="right" vertical="center" wrapText="1"/>
    </xf>
    <xf numFmtId="2" fontId="5" fillId="0" borderId="14" xfId="0" applyNumberFormat="1" applyFont="1" applyBorder="1" applyAlignment="1">
      <alignment horizontal="right" vertical="center" wrapText="1"/>
    </xf>
    <xf numFmtId="9" fontId="1" fillId="0" borderId="30" xfId="1" applyFont="1" applyFill="1" applyBorder="1"/>
    <xf numFmtId="10" fontId="0" fillId="0" borderId="30" xfId="0" applyNumberFormat="1" applyBorder="1"/>
    <xf numFmtId="0" fontId="0" fillId="0" borderId="66" xfId="0" applyBorder="1"/>
    <xf numFmtId="0" fontId="0" fillId="8" borderId="23" xfId="2" applyNumberFormat="1" applyFont="1" applyFill="1" applyBorder="1"/>
    <xf numFmtId="0" fontId="0" fillId="8" borderId="58" xfId="2" applyNumberFormat="1" applyFont="1" applyFill="1" applyBorder="1"/>
    <xf numFmtId="0" fontId="10" fillId="0" borderId="0" xfId="0" applyFont="1" applyAlignment="1">
      <alignment vertical="center"/>
    </xf>
    <xf numFmtId="0" fontId="2" fillId="0" borderId="17" xfId="0" applyFont="1" applyBorder="1"/>
    <xf numFmtId="0" fontId="2" fillId="0" borderId="18" xfId="0" applyFont="1" applyBorder="1" applyAlignment="1">
      <alignment horizontal="center"/>
    </xf>
    <xf numFmtId="0" fontId="2" fillId="0" borderId="19" xfId="0" applyFont="1" applyBorder="1" applyAlignment="1">
      <alignment horizontal="center"/>
    </xf>
    <xf numFmtId="44" fontId="0" fillId="8" borderId="18" xfId="2" applyFont="1" applyFill="1" applyBorder="1"/>
    <xf numFmtId="44" fontId="1" fillId="8" borderId="19" xfId="2" applyFont="1" applyFill="1" applyBorder="1"/>
    <xf numFmtId="10" fontId="0" fillId="8" borderId="23" xfId="1" applyNumberFormat="1" applyFont="1" applyFill="1" applyBorder="1"/>
    <xf numFmtId="10" fontId="1" fillId="8" borderId="24" xfId="1" applyNumberFormat="1" applyFont="1" applyFill="1" applyBorder="1"/>
    <xf numFmtId="44" fontId="0" fillId="8" borderId="30" xfId="2" applyFont="1" applyFill="1" applyBorder="1"/>
    <xf numFmtId="10" fontId="0" fillId="8" borderId="26" xfId="1" applyNumberFormat="1" applyFont="1" applyFill="1" applyBorder="1"/>
    <xf numFmtId="10" fontId="1" fillId="8" borderId="59" xfId="1" applyNumberFormat="1" applyFont="1" applyFill="1" applyBorder="1"/>
    <xf numFmtId="0" fontId="0" fillId="0" borderId="19" xfId="0" applyBorder="1"/>
    <xf numFmtId="0" fontId="0" fillId="0" borderId="21" xfId="0" applyBorder="1"/>
    <xf numFmtId="0" fontId="2" fillId="0" borderId="1" xfId="0" applyFont="1" applyBorder="1"/>
    <xf numFmtId="0" fontId="2" fillId="11" borderId="9" xfId="0" applyFont="1" applyFill="1" applyBorder="1"/>
    <xf numFmtId="0" fontId="12" fillId="10" borderId="9" xfId="0" applyFont="1" applyFill="1" applyBorder="1" applyAlignment="1">
      <alignment vertical="center" wrapText="1"/>
    </xf>
    <xf numFmtId="166" fontId="0" fillId="0" borderId="23" xfId="0" applyNumberFormat="1" applyBorder="1"/>
    <xf numFmtId="166" fontId="0" fillId="0" borderId="24" xfId="0" applyNumberFormat="1" applyBorder="1"/>
    <xf numFmtId="164" fontId="0" fillId="0" borderId="16" xfId="1" applyNumberFormat="1" applyFont="1" applyBorder="1"/>
    <xf numFmtId="164" fontId="0" fillId="0" borderId="21" xfId="1" applyNumberFormat="1" applyFont="1" applyBorder="1"/>
    <xf numFmtId="0" fontId="12" fillId="0" borderId="0" xfId="0" applyFont="1"/>
    <xf numFmtId="0" fontId="0" fillId="4" borderId="30" xfId="0" applyFill="1" applyBorder="1"/>
    <xf numFmtId="0" fontId="0" fillId="0" borderId="0" xfId="0" applyAlignment="1">
      <alignment wrapText="1"/>
    </xf>
    <xf numFmtId="0" fontId="0" fillId="0" borderId="0" xfId="0" applyAlignment="1">
      <alignment horizontal="left"/>
    </xf>
    <xf numFmtId="0" fontId="0" fillId="4" borderId="0" xfId="0" applyFill="1"/>
    <xf numFmtId="0" fontId="14" fillId="4" borderId="0" xfId="3" applyFont="1" applyFill="1"/>
    <xf numFmtId="0" fontId="2" fillId="4" borderId="0" xfId="0" applyFont="1" applyFill="1" applyAlignment="1">
      <alignment horizontal="left" vertical="top"/>
    </xf>
    <xf numFmtId="0" fontId="2" fillId="4" borderId="0" xfId="0" applyFont="1" applyFill="1" applyAlignment="1">
      <alignment horizontal="center" vertical="center" wrapText="1"/>
    </xf>
    <xf numFmtId="0" fontId="0" fillId="4" borderId="0" xfId="0" applyFill="1" applyAlignment="1">
      <alignment vertical="center" wrapText="1"/>
    </xf>
    <xf numFmtId="0" fontId="0" fillId="4" borderId="0" xfId="0" applyFill="1" applyAlignment="1">
      <alignment vertical="center"/>
    </xf>
    <xf numFmtId="0" fontId="0" fillId="4" borderId="0" xfId="0" applyFill="1" applyAlignment="1">
      <alignment horizontal="left"/>
    </xf>
    <xf numFmtId="0" fontId="2" fillId="4" borderId="0" xfId="0" applyFont="1" applyFill="1" applyAlignment="1">
      <alignment horizontal="right"/>
    </xf>
    <xf numFmtId="0" fontId="2" fillId="4" borderId="0" xfId="0" quotePrefix="1" applyFont="1" applyFill="1" applyAlignment="1">
      <alignment horizontal="right"/>
    </xf>
    <xf numFmtId="0" fontId="2" fillId="4" borderId="0" xfId="0" applyFont="1" applyFill="1"/>
    <xf numFmtId="0" fontId="14" fillId="4" borderId="0" xfId="0" applyFont="1" applyFill="1" applyAlignment="1">
      <alignment horizontal="center"/>
    </xf>
    <xf numFmtId="0" fontId="7" fillId="4" borderId="0" xfId="0" applyFont="1" applyFill="1"/>
    <xf numFmtId="0" fontId="12" fillId="4" borderId="0" xfId="0" applyFont="1" applyFill="1"/>
    <xf numFmtId="0" fontId="12" fillId="4" borderId="30" xfId="0" applyFont="1" applyFill="1" applyBorder="1"/>
    <xf numFmtId="0" fontId="12" fillId="4" borderId="0" xfId="0" applyFont="1" applyFill="1" applyAlignment="1">
      <alignment horizontal="right"/>
    </xf>
    <xf numFmtId="0" fontId="10" fillId="4" borderId="0" xfId="0" applyFont="1" applyFill="1"/>
    <xf numFmtId="0" fontId="14" fillId="4" borderId="0" xfId="0" applyFont="1" applyFill="1"/>
    <xf numFmtId="0" fontId="29" fillId="4" borderId="0" xfId="0" applyFont="1" applyFill="1" applyAlignment="1">
      <alignment horizontal="left"/>
    </xf>
    <xf numFmtId="0" fontId="23" fillId="4" borderId="0" xfId="0" applyFont="1" applyFill="1"/>
    <xf numFmtId="0" fontId="22" fillId="4" borderId="0" xfId="0" applyFont="1" applyFill="1" applyAlignment="1">
      <alignment horizontal="left"/>
    </xf>
    <xf numFmtId="0" fontId="23" fillId="4" borderId="0" xfId="0" applyFont="1" applyFill="1" applyAlignment="1">
      <alignment horizontal="right"/>
    </xf>
    <xf numFmtId="0" fontId="20" fillId="4" borderId="0" xfId="0" applyFont="1" applyFill="1" applyAlignment="1">
      <alignment horizontal="right"/>
    </xf>
    <xf numFmtId="0" fontId="16" fillId="4" borderId="7" xfId="3" applyFill="1" applyBorder="1" applyAlignment="1">
      <alignment vertical="center"/>
    </xf>
    <xf numFmtId="0" fontId="15" fillId="4" borderId="0" xfId="0" applyFont="1" applyFill="1" applyAlignment="1">
      <alignment horizontal="left"/>
    </xf>
    <xf numFmtId="0" fontId="16" fillId="4" borderId="0" xfId="3" applyFill="1" applyBorder="1" applyAlignment="1">
      <alignment vertical="center"/>
    </xf>
    <xf numFmtId="0" fontId="33" fillId="4" borderId="0" xfId="3" applyFont="1" applyFill="1"/>
    <xf numFmtId="0" fontId="43" fillId="4" borderId="0" xfId="0" applyFont="1" applyFill="1" applyAlignment="1">
      <alignment vertical="center" wrapText="1"/>
    </xf>
    <xf numFmtId="0" fontId="21" fillId="4" borderId="0" xfId="0" applyFont="1" applyFill="1" applyAlignment="1">
      <alignment horizontal="right"/>
    </xf>
    <xf numFmtId="0" fontId="13" fillId="4" borderId="0" xfId="0" applyFont="1" applyFill="1" applyAlignment="1">
      <alignment horizontal="right"/>
    </xf>
    <xf numFmtId="0" fontId="22" fillId="4" borderId="0" xfId="0" applyFont="1" applyFill="1" applyAlignment="1">
      <alignment horizontal="right"/>
    </xf>
    <xf numFmtId="0" fontId="11" fillId="4" borderId="0" xfId="0" applyFont="1" applyFill="1"/>
    <xf numFmtId="0" fontId="0" fillId="4" borderId="3" xfId="0" applyFill="1" applyBorder="1"/>
    <xf numFmtId="0" fontId="28" fillId="4" borderId="0" xfId="0" applyFont="1" applyFill="1" applyAlignment="1">
      <alignment vertical="center" wrapText="1"/>
    </xf>
    <xf numFmtId="0" fontId="0" fillId="4" borderId="7" xfId="0" applyFill="1" applyBorder="1"/>
    <xf numFmtId="0" fontId="13" fillId="4" borderId="0" xfId="0" applyFont="1" applyFill="1"/>
    <xf numFmtId="0" fontId="13" fillId="4" borderId="1" xfId="0" applyFont="1" applyFill="1" applyBorder="1"/>
    <xf numFmtId="0" fontId="13" fillId="4" borderId="3" xfId="0" applyFont="1" applyFill="1" applyBorder="1"/>
    <xf numFmtId="0" fontId="13" fillId="4" borderId="5" xfId="0" applyFont="1" applyFill="1" applyBorder="1"/>
    <xf numFmtId="0" fontId="13" fillId="4" borderId="6" xfId="0" applyFont="1" applyFill="1" applyBorder="1"/>
    <xf numFmtId="166" fontId="8" fillId="4" borderId="0" xfId="0" applyNumberFormat="1" applyFont="1" applyFill="1" applyAlignment="1">
      <alignment vertical="center"/>
    </xf>
    <xf numFmtId="0" fontId="13" fillId="4" borderId="4" xfId="0" applyFont="1" applyFill="1" applyBorder="1"/>
    <xf numFmtId="0" fontId="13" fillId="4" borderId="2" xfId="0" applyFont="1" applyFill="1" applyBorder="1"/>
    <xf numFmtId="0" fontId="2" fillId="4" borderId="3" xfId="0" applyFont="1" applyFill="1" applyBorder="1"/>
    <xf numFmtId="0" fontId="35" fillId="4" borderId="0" xfId="0" applyFont="1" applyFill="1" applyAlignment="1">
      <alignment horizontal="center" vertical="center" wrapText="1"/>
    </xf>
    <xf numFmtId="0" fontId="24" fillId="4" borderId="4" xfId="0" applyFont="1" applyFill="1" applyBorder="1" applyAlignment="1">
      <alignment horizontal="left" vertical="center"/>
    </xf>
    <xf numFmtId="0" fontId="0" fillId="4" borderId="0" xfId="0" applyFill="1" applyAlignment="1">
      <alignment wrapText="1"/>
    </xf>
    <xf numFmtId="0" fontId="29" fillId="4" borderId="0" xfId="0" applyFont="1" applyFill="1" applyAlignment="1">
      <alignment horizontal="right"/>
    </xf>
    <xf numFmtId="0" fontId="42" fillId="4" borderId="0" xfId="0" applyFont="1" applyFill="1" applyAlignment="1">
      <alignment horizontal="center"/>
    </xf>
    <xf numFmtId="0" fontId="28" fillId="4" borderId="7" xfId="0" applyFont="1" applyFill="1" applyBorder="1" applyAlignment="1">
      <alignment vertical="center" wrapText="1"/>
    </xf>
    <xf numFmtId="0" fontId="20" fillId="4" borderId="0" xfId="0" applyFont="1" applyFill="1" applyAlignment="1">
      <alignment horizontal="left"/>
    </xf>
    <xf numFmtId="0" fontId="14" fillId="4" borderId="0" xfId="0" applyFont="1" applyFill="1" applyAlignment="1">
      <alignment vertical="center"/>
    </xf>
    <xf numFmtId="166" fontId="16" fillId="4" borderId="7" xfId="3" applyNumberFormat="1" applyFill="1" applyBorder="1" applyAlignment="1">
      <alignment vertical="center"/>
    </xf>
    <xf numFmtId="166" fontId="16" fillId="4" borderId="0" xfId="3" applyNumberFormat="1" applyFill="1" applyBorder="1" applyAlignment="1">
      <alignment vertical="center"/>
    </xf>
    <xf numFmtId="166" fontId="5" fillId="4" borderId="0" xfId="2" applyNumberFormat="1" applyFont="1" applyFill="1" applyBorder="1" applyAlignment="1">
      <alignment horizontal="center"/>
    </xf>
    <xf numFmtId="0" fontId="2" fillId="4" borderId="0" xfId="0" applyFont="1" applyFill="1" applyAlignment="1">
      <alignment vertical="center"/>
    </xf>
    <xf numFmtId="164" fontId="0" fillId="4" borderId="0" xfId="1" applyNumberFormat="1" applyFont="1" applyFill="1"/>
    <xf numFmtId="0" fontId="10" fillId="4" borderId="0" xfId="0" applyFont="1" applyFill="1" applyAlignment="1">
      <alignment vertical="center"/>
    </xf>
    <xf numFmtId="0" fontId="2" fillId="4" borderId="0" xfId="0" applyFont="1" applyFill="1" applyAlignment="1">
      <alignment horizontal="left"/>
    </xf>
    <xf numFmtId="0" fontId="2" fillId="0" borderId="0" xfId="0" applyFont="1" applyAlignment="1">
      <alignment horizontal="left"/>
    </xf>
    <xf numFmtId="166" fontId="0" fillId="0" borderId="26" xfId="0" applyNumberFormat="1" applyBorder="1" applyAlignment="1">
      <alignment horizontal="right"/>
    </xf>
    <xf numFmtId="166" fontId="0" fillId="0" borderId="16" xfId="0" applyNumberFormat="1" applyBorder="1" applyAlignment="1">
      <alignment horizontal="right"/>
    </xf>
    <xf numFmtId="10" fontId="0" fillId="0" borderId="16" xfId="1" applyNumberFormat="1" applyFont="1" applyBorder="1" applyAlignment="1">
      <alignment horizontal="right"/>
    </xf>
    <xf numFmtId="166" fontId="0" fillId="0" borderId="16" xfId="1" applyNumberFormat="1" applyFont="1" applyBorder="1" applyAlignment="1">
      <alignment horizontal="right"/>
    </xf>
    <xf numFmtId="0" fontId="0" fillId="0" borderId="16" xfId="1" applyNumberFormat="1" applyFont="1" applyBorder="1" applyAlignment="1">
      <alignment horizontal="right"/>
    </xf>
    <xf numFmtId="10" fontId="1" fillId="0" borderId="16" xfId="1" applyNumberFormat="1" applyFont="1" applyBorder="1" applyAlignment="1">
      <alignment horizontal="right"/>
    </xf>
    <xf numFmtId="0" fontId="5" fillId="0" borderId="3" xfId="0" applyFont="1" applyBorder="1"/>
    <xf numFmtId="10" fontId="0" fillId="0" borderId="16" xfId="0" applyNumberFormat="1" applyBorder="1" applyAlignment="1">
      <alignment horizontal="right"/>
    </xf>
    <xf numFmtId="0" fontId="0" fillId="4" borderId="25" xfId="0" applyFill="1" applyBorder="1"/>
    <xf numFmtId="0" fontId="33" fillId="4" borderId="7" xfId="3" applyFont="1" applyFill="1" applyBorder="1" applyAlignment="1">
      <alignment vertical="center"/>
    </xf>
    <xf numFmtId="0" fontId="33" fillId="4" borderId="0" xfId="3" applyFont="1" applyFill="1" applyBorder="1" applyAlignment="1">
      <alignment vertical="center"/>
    </xf>
    <xf numFmtId="0" fontId="0" fillId="0" borderId="9" xfId="0" applyBorder="1"/>
    <xf numFmtId="0" fontId="2" fillId="0" borderId="38" xfId="0" applyFont="1" applyBorder="1" applyAlignment="1">
      <alignment vertical="center"/>
    </xf>
    <xf numFmtId="0" fontId="9" fillId="0" borderId="0" xfId="0" applyFont="1" applyAlignment="1">
      <alignment horizontal="center" vertical="top"/>
    </xf>
    <xf numFmtId="14" fontId="0" fillId="0" borderId="0" xfId="0" applyNumberFormat="1"/>
    <xf numFmtId="0" fontId="0" fillId="0" borderId="26" xfId="0" applyBorder="1" applyAlignment="1">
      <alignment horizontal="left"/>
    </xf>
    <xf numFmtId="0" fontId="0" fillId="0" borderId="16" xfId="0" applyBorder="1" applyAlignment="1">
      <alignment horizontal="left"/>
    </xf>
    <xf numFmtId="0" fontId="2" fillId="0" borderId="34" xfId="0" applyFont="1" applyBorder="1" applyAlignment="1">
      <alignment vertical="center"/>
    </xf>
    <xf numFmtId="0" fontId="0" fillId="0" borderId="27" xfId="0" applyBorder="1" applyAlignment="1">
      <alignment horizontal="left"/>
    </xf>
    <xf numFmtId="0" fontId="12" fillId="2" borderId="9" xfId="0" applyFont="1" applyFill="1" applyBorder="1" applyAlignment="1">
      <alignment vertical="center" wrapText="1"/>
    </xf>
    <xf numFmtId="0" fontId="22" fillId="4" borderId="0" xfId="3" applyFont="1" applyFill="1" applyAlignment="1">
      <alignment vertical="center"/>
    </xf>
    <xf numFmtId="0" fontId="16" fillId="4" borderId="67" xfId="3" applyFill="1" applyBorder="1" applyAlignment="1">
      <alignment vertical="center"/>
    </xf>
    <xf numFmtId="0" fontId="16" fillId="4" borderId="64" xfId="3" applyFill="1" applyBorder="1" applyAlignment="1">
      <alignment vertical="center"/>
    </xf>
    <xf numFmtId="0" fontId="46" fillId="0" borderId="9" xfId="0" applyFont="1" applyBorder="1" applyAlignment="1">
      <alignment horizontal="center" vertical="top"/>
    </xf>
    <xf numFmtId="0" fontId="0" fillId="0" borderId="9" xfId="0" applyBorder="1" applyAlignment="1">
      <alignment horizontal="right"/>
    </xf>
    <xf numFmtId="0" fontId="47" fillId="0" borderId="9" xfId="0" applyFont="1" applyBorder="1" applyAlignment="1">
      <alignment horizontal="right" vertical="top"/>
    </xf>
    <xf numFmtId="0" fontId="47" fillId="0" borderId="16" xfId="0" applyFont="1" applyBorder="1" applyAlignment="1">
      <alignment horizontal="right" vertical="top"/>
    </xf>
    <xf numFmtId="0" fontId="47" fillId="0" borderId="27" xfId="0" applyFont="1" applyBorder="1" applyAlignment="1">
      <alignment horizontal="right" vertical="top"/>
    </xf>
    <xf numFmtId="0" fontId="0" fillId="0" borderId="27" xfId="0" applyBorder="1" applyAlignment="1">
      <alignment horizontal="right"/>
    </xf>
    <xf numFmtId="0" fontId="0" fillId="0" borderId="0" xfId="0" applyAlignment="1">
      <alignment horizontal="right" vertical="top"/>
    </xf>
    <xf numFmtId="14" fontId="0" fillId="0" borderId="0" xfId="0" applyNumberFormat="1" applyAlignment="1">
      <alignment horizontal="right"/>
    </xf>
    <xf numFmtId="0" fontId="2" fillId="0" borderId="0" xfId="0" applyFont="1" applyAlignment="1">
      <alignment horizontal="right" vertical="top"/>
    </xf>
    <xf numFmtId="0" fontId="9" fillId="0" borderId="9" xfId="0" applyFont="1" applyBorder="1" applyAlignment="1">
      <alignment horizontal="right" vertical="top"/>
    </xf>
    <xf numFmtId="15" fontId="9" fillId="0" borderId="9" xfId="0" applyNumberFormat="1" applyFont="1" applyBorder="1" applyAlignment="1">
      <alignment horizontal="center" vertical="top"/>
    </xf>
    <xf numFmtId="0" fontId="0" fillId="0" borderId="0" xfId="0" applyAlignment="1">
      <alignment horizontal="center"/>
    </xf>
    <xf numFmtId="0" fontId="8" fillId="4" borderId="0" xfId="0" applyFont="1" applyFill="1" applyAlignment="1">
      <alignment vertical="center"/>
    </xf>
    <xf numFmtId="0" fontId="0" fillId="0" borderId="3" xfId="0" applyBorder="1" applyAlignment="1">
      <alignment vertical="center"/>
    </xf>
    <xf numFmtId="0" fontId="5" fillId="0" borderId="19" xfId="0" applyFont="1" applyBorder="1" applyAlignment="1">
      <alignment horizontal="center"/>
    </xf>
    <xf numFmtId="0" fontId="40" fillId="4" borderId="0" xfId="3" applyFont="1" applyFill="1"/>
    <xf numFmtId="0" fontId="7" fillId="4" borderId="0" xfId="0" applyFont="1" applyFill="1" applyAlignment="1">
      <alignment horizontal="center" vertical="center"/>
    </xf>
    <xf numFmtId="0" fontId="5" fillId="4" borderId="0" xfId="0" applyFont="1" applyFill="1" applyAlignment="1">
      <alignment horizontal="center" vertical="center"/>
    </xf>
    <xf numFmtId="0" fontId="0" fillId="0" borderId="70" xfId="0" applyBorder="1" applyAlignment="1">
      <alignment vertical="center"/>
    </xf>
    <xf numFmtId="0" fontId="6" fillId="0" borderId="5" xfId="3" applyFont="1" applyFill="1" applyBorder="1" applyAlignment="1">
      <alignment vertical="center"/>
    </xf>
    <xf numFmtId="0" fontId="6" fillId="4" borderId="0" xfId="3" applyFont="1" applyFill="1" applyAlignment="1">
      <alignment vertical="center"/>
    </xf>
    <xf numFmtId="0" fontId="2" fillId="0" borderId="20" xfId="0" applyFont="1" applyBorder="1" applyAlignment="1">
      <alignment vertical="center"/>
    </xf>
    <xf numFmtId="0" fontId="2" fillId="0" borderId="42" xfId="0" applyFont="1" applyBorder="1" applyAlignment="1">
      <alignment vertical="center" wrapText="1"/>
    </xf>
    <xf numFmtId="0" fontId="2" fillId="0" borderId="54" xfId="0" applyFont="1" applyBorder="1" applyAlignment="1">
      <alignment vertical="center" shrinkToFit="1"/>
    </xf>
    <xf numFmtId="0" fontId="6" fillId="4" borderId="0" xfId="3" applyFont="1" applyFill="1"/>
    <xf numFmtId="0" fontId="0" fillId="0" borderId="0" xfId="0" applyAlignment="1">
      <alignment vertical="center"/>
    </xf>
    <xf numFmtId="0" fontId="0" fillId="0" borderId="0" xfId="0" applyAlignment="1">
      <alignment vertical="top"/>
    </xf>
    <xf numFmtId="0" fontId="0" fillId="0" borderId="0" xfId="0" applyAlignment="1">
      <alignment horizontal="left" vertical="top"/>
    </xf>
    <xf numFmtId="0" fontId="5" fillId="0" borderId="0" xfId="0" applyFont="1" applyAlignment="1">
      <alignment vertical="center"/>
    </xf>
    <xf numFmtId="0" fontId="2" fillId="0" borderId="70" xfId="0" applyFont="1" applyBorder="1" applyAlignment="1">
      <alignment vertical="center" shrinkToFit="1"/>
    </xf>
    <xf numFmtId="0" fontId="11" fillId="4" borderId="0" xfId="0" applyFont="1" applyFill="1" applyAlignment="1">
      <alignment vertical="center"/>
    </xf>
    <xf numFmtId="0" fontId="0" fillId="4" borderId="0" xfId="0" applyFill="1" applyAlignment="1">
      <alignment horizontal="left" vertical="top"/>
    </xf>
    <xf numFmtId="0" fontId="2" fillId="4" borderId="0" xfId="0" applyFont="1" applyFill="1" applyAlignment="1">
      <alignment horizontal="center" vertical="center"/>
    </xf>
    <xf numFmtId="0" fontId="51" fillId="4" borderId="0" xfId="3" applyFont="1" applyFill="1" applyAlignment="1">
      <alignment horizontal="center" vertical="center"/>
    </xf>
    <xf numFmtId="0" fontId="50" fillId="4" borderId="0" xfId="0" applyFont="1" applyFill="1" applyAlignment="1">
      <alignment horizontal="center" vertical="center"/>
    </xf>
    <xf numFmtId="0" fontId="50" fillId="0" borderId="0" xfId="0" applyFont="1" applyAlignment="1">
      <alignment horizontal="center" vertical="center"/>
    </xf>
    <xf numFmtId="0" fontId="21" fillId="4" borderId="0" xfId="0" applyFont="1" applyFill="1" applyAlignment="1">
      <alignment horizontal="center"/>
    </xf>
    <xf numFmtId="0" fontId="0" fillId="5" borderId="4" xfId="0" applyFill="1" applyBorder="1" applyAlignment="1">
      <alignment horizontal="right" vertical="center"/>
    </xf>
    <xf numFmtId="10" fontId="0" fillId="3" borderId="4" xfId="1" applyNumberFormat="1" applyFont="1" applyFill="1" applyBorder="1" applyAlignment="1">
      <alignment horizontal="right" vertical="center"/>
    </xf>
    <xf numFmtId="10" fontId="0" fillId="3" borderId="24" xfId="1" applyNumberFormat="1" applyFont="1" applyFill="1" applyBorder="1" applyAlignment="1">
      <alignment horizontal="right" vertical="center"/>
    </xf>
    <xf numFmtId="10" fontId="0" fillId="3" borderId="23" xfId="1" applyNumberFormat="1" applyFont="1" applyFill="1" applyBorder="1" applyAlignment="1">
      <alignment horizontal="right" vertical="center"/>
    </xf>
    <xf numFmtId="10" fontId="1" fillId="3" borderId="24" xfId="1" applyNumberFormat="1" applyFont="1" applyFill="1" applyBorder="1" applyAlignment="1">
      <alignment horizontal="right" vertical="center"/>
    </xf>
    <xf numFmtId="166" fontId="2" fillId="3" borderId="69" xfId="2" applyNumberFormat="1" applyFont="1" applyFill="1" applyBorder="1" applyAlignment="1">
      <alignment vertical="center"/>
    </xf>
    <xf numFmtId="0" fontId="7" fillId="4" borderId="0" xfId="0" applyFont="1" applyFill="1" applyAlignment="1">
      <alignment vertical="center"/>
    </xf>
    <xf numFmtId="0" fontId="5" fillId="4" borderId="0" xfId="0" applyFont="1" applyFill="1" applyAlignment="1">
      <alignment horizontal="left" vertical="center"/>
    </xf>
    <xf numFmtId="0" fontId="2" fillId="4" borderId="7" xfId="0" applyFont="1" applyFill="1" applyBorder="1" applyAlignment="1">
      <alignment vertical="center"/>
    </xf>
    <xf numFmtId="0" fontId="2" fillId="4" borderId="3" xfId="0" applyFont="1" applyFill="1" applyBorder="1" applyAlignment="1">
      <alignment vertical="center"/>
    </xf>
    <xf numFmtId="0" fontId="0" fillId="4" borderId="72" xfId="0" applyFill="1" applyBorder="1" applyAlignment="1">
      <alignment vertical="center"/>
    </xf>
    <xf numFmtId="166" fontId="2" fillId="9" borderId="58" xfId="0" quotePrefix="1" applyNumberFormat="1" applyFont="1" applyFill="1" applyBorder="1" applyAlignment="1">
      <alignment vertical="center"/>
    </xf>
    <xf numFmtId="166" fontId="0" fillId="4" borderId="0" xfId="0" applyNumberFormat="1" applyFill="1" applyAlignment="1">
      <alignment horizontal="left" vertical="center"/>
    </xf>
    <xf numFmtId="0" fontId="2" fillId="4" borderId="8" xfId="0" applyFont="1" applyFill="1" applyBorder="1" applyAlignment="1">
      <alignment vertical="center"/>
    </xf>
    <xf numFmtId="0" fontId="14" fillId="4" borderId="7" xfId="0" applyFont="1" applyFill="1" applyBorder="1" applyAlignment="1">
      <alignment horizontal="center" vertical="center"/>
    </xf>
    <xf numFmtId="0" fontId="0" fillId="3" borderId="7" xfId="0" applyFill="1" applyBorder="1" applyAlignment="1">
      <alignment horizontal="center" vertical="center"/>
    </xf>
    <xf numFmtId="0" fontId="0" fillId="3" borderId="2" xfId="0" applyFill="1" applyBorder="1" applyAlignment="1">
      <alignment horizontal="center" vertical="center"/>
    </xf>
    <xf numFmtId="0" fontId="8" fillId="3" borderId="0" xfId="0" applyFont="1" applyFill="1" applyAlignment="1">
      <alignment horizontal="center" vertical="center"/>
    </xf>
    <xf numFmtId="0" fontId="0" fillId="4" borderId="8" xfId="0" applyFill="1" applyBorder="1" applyAlignment="1">
      <alignment vertical="center"/>
    </xf>
    <xf numFmtId="9" fontId="0" fillId="4" borderId="8" xfId="0" applyNumberFormat="1" applyFill="1" applyBorder="1" applyAlignment="1">
      <alignment vertical="center"/>
    </xf>
    <xf numFmtId="0" fontId="0" fillId="4" borderId="7" xfId="0" applyFill="1" applyBorder="1" applyAlignment="1">
      <alignment vertical="center"/>
    </xf>
    <xf numFmtId="0" fontId="0" fillId="0" borderId="17" xfId="0" applyBorder="1" applyAlignment="1">
      <alignment vertical="center"/>
    </xf>
    <xf numFmtId="0" fontId="0" fillId="0" borderId="38" xfId="0" applyBorder="1" applyAlignment="1">
      <alignment vertical="center"/>
    </xf>
    <xf numFmtId="0" fontId="0" fillId="0" borderId="49" xfId="0" applyBorder="1" applyAlignment="1">
      <alignment vertical="center"/>
    </xf>
    <xf numFmtId="0" fontId="0" fillId="0" borderId="20" xfId="0" applyBorder="1" applyAlignment="1">
      <alignment vertical="center"/>
    </xf>
    <xf numFmtId="0" fontId="0" fillId="0" borderId="22" xfId="0" applyBorder="1" applyAlignment="1">
      <alignment vertical="center"/>
    </xf>
    <xf numFmtId="0" fontId="13" fillId="0" borderId="0" xfId="0" applyFont="1" applyAlignment="1">
      <alignment horizontal="right" vertical="center"/>
    </xf>
    <xf numFmtId="0" fontId="5" fillId="4" borderId="0" xfId="0" applyFont="1" applyFill="1" applyAlignment="1">
      <alignment vertical="center"/>
    </xf>
    <xf numFmtId="0" fontId="2" fillId="4" borderId="0" xfId="0" applyFont="1" applyFill="1" applyAlignment="1">
      <alignment horizontal="right" vertical="center"/>
    </xf>
    <xf numFmtId="0" fontId="5" fillId="0" borderId="28" xfId="0" applyFont="1" applyBorder="1" applyAlignment="1">
      <alignment horizontal="right" vertical="center"/>
    </xf>
    <xf numFmtId="166" fontId="5" fillId="0" borderId="29" xfId="0" applyNumberFormat="1" applyFont="1" applyBorder="1" applyAlignment="1">
      <alignment horizontal="right" vertical="center"/>
    </xf>
    <xf numFmtId="0" fontId="5" fillId="0" borderId="30" xfId="0" applyFont="1" applyBorder="1" applyAlignment="1">
      <alignment horizontal="right" vertical="center"/>
    </xf>
    <xf numFmtId="10" fontId="5" fillId="0" borderId="25" xfId="0" applyNumberFormat="1" applyFont="1" applyBorder="1" applyAlignment="1">
      <alignment horizontal="right" vertical="center"/>
    </xf>
    <xf numFmtId="2" fontId="5" fillId="0" borderId="25" xfId="0" applyNumberFormat="1" applyFont="1" applyBorder="1" applyAlignment="1">
      <alignment horizontal="right" vertical="center" wrapText="1"/>
    </xf>
    <xf numFmtId="0" fontId="0" fillId="0" borderId="30" xfId="0" applyBorder="1" applyAlignment="1">
      <alignment horizontal="right" vertical="center"/>
    </xf>
    <xf numFmtId="0" fontId="48" fillId="0" borderId="16" xfId="0" applyFont="1" applyBorder="1" applyAlignment="1">
      <alignment horizontal="right" vertical="center"/>
    </xf>
    <xf numFmtId="0" fontId="2" fillId="4" borderId="42" xfId="0" applyFont="1" applyFill="1" applyBorder="1" applyAlignment="1">
      <alignment vertical="center"/>
    </xf>
    <xf numFmtId="0" fontId="0" fillId="4" borderId="0" xfId="0" applyFill="1" applyAlignment="1">
      <alignment horizontal="right" vertical="center"/>
    </xf>
    <xf numFmtId="0" fontId="2" fillId="0" borderId="18" xfId="0" applyFont="1" applyBorder="1" applyAlignment="1">
      <alignment horizontal="right" vertical="center"/>
    </xf>
    <xf numFmtId="0" fontId="0" fillId="0" borderId="26" xfId="0" applyBorder="1" applyAlignment="1">
      <alignment horizontal="right" vertical="center"/>
    </xf>
    <xf numFmtId="0" fontId="0" fillId="0" borderId="16" xfId="0" applyBorder="1" applyAlignment="1">
      <alignment horizontal="right" vertical="center"/>
    </xf>
    <xf numFmtId="0" fontId="2" fillId="0" borderId="26" xfId="0" applyFont="1" applyBorder="1" applyAlignment="1">
      <alignment horizontal="right" vertical="center"/>
    </xf>
    <xf numFmtId="0" fontId="2" fillId="0" borderId="23" xfId="0" applyFont="1" applyBorder="1" applyAlignment="1">
      <alignment horizontal="right" vertical="center"/>
    </xf>
    <xf numFmtId="0" fontId="2" fillId="0" borderId="35" xfId="0" applyFont="1" applyBorder="1" applyAlignment="1">
      <alignment horizontal="right" vertical="center"/>
    </xf>
    <xf numFmtId="0" fontId="2" fillId="0" borderId="28" xfId="0" applyFont="1" applyBorder="1" applyAlignment="1">
      <alignment horizontal="right" vertical="center"/>
    </xf>
    <xf numFmtId="166" fontId="2" fillId="0" borderId="33" xfId="2" applyNumberFormat="1" applyFont="1" applyFill="1" applyBorder="1" applyAlignment="1">
      <alignment horizontal="right" vertical="center"/>
    </xf>
    <xf numFmtId="0" fontId="0" fillId="0" borderId="0" xfId="0" applyAlignment="1">
      <alignment horizontal="right" vertical="center"/>
    </xf>
    <xf numFmtId="0" fontId="2" fillId="0" borderId="30" xfId="0" applyFont="1" applyBorder="1" applyAlignment="1">
      <alignment horizontal="right" vertical="center"/>
    </xf>
    <xf numFmtId="166" fontId="2" fillId="0" borderId="0" xfId="0" applyNumberFormat="1" applyFont="1" applyAlignment="1">
      <alignment horizontal="right" vertical="center"/>
    </xf>
    <xf numFmtId="10" fontId="0" fillId="0" borderId="30" xfId="1" applyNumberFormat="1" applyFont="1" applyFill="1" applyBorder="1" applyAlignment="1">
      <alignment horizontal="right" vertical="center"/>
    </xf>
    <xf numFmtId="166" fontId="0" fillId="0" borderId="0" xfId="0" applyNumberFormat="1" applyAlignment="1">
      <alignment horizontal="right" vertical="center"/>
    </xf>
    <xf numFmtId="10" fontId="0" fillId="0" borderId="30" xfId="1" applyNumberFormat="1" applyFont="1" applyBorder="1" applyAlignment="1">
      <alignment horizontal="right" vertical="center"/>
    </xf>
    <xf numFmtId="44" fontId="0" fillId="0" borderId="0" xfId="2" applyFont="1" applyFill="1" applyBorder="1" applyAlignment="1">
      <alignment horizontal="right" vertical="center"/>
    </xf>
    <xf numFmtId="166" fontId="0" fillId="0" borderId="30" xfId="0" applyNumberFormat="1" applyBorder="1" applyAlignment="1">
      <alignment horizontal="right" vertical="center"/>
    </xf>
    <xf numFmtId="164" fontId="0" fillId="0" borderId="30" xfId="1" applyNumberFormat="1" applyFont="1" applyFill="1" applyBorder="1" applyAlignment="1">
      <alignment horizontal="right" vertical="center"/>
    </xf>
    <xf numFmtId="44" fontId="2" fillId="0" borderId="0" xfId="2" applyFont="1" applyFill="1" applyBorder="1" applyAlignment="1">
      <alignment horizontal="right" vertical="center"/>
    </xf>
    <xf numFmtId="9" fontId="1" fillId="0" borderId="30" xfId="1" applyFont="1" applyFill="1" applyBorder="1" applyAlignment="1">
      <alignment horizontal="right" vertical="center"/>
    </xf>
    <xf numFmtId="44" fontId="1" fillId="0" borderId="0" xfId="2" applyFont="1" applyFill="1" applyBorder="1" applyAlignment="1">
      <alignment horizontal="right" vertical="center"/>
    </xf>
    <xf numFmtId="9" fontId="0" fillId="0" borderId="30" xfId="1" applyFont="1" applyFill="1" applyBorder="1" applyAlignment="1">
      <alignment horizontal="right" vertical="center"/>
    </xf>
    <xf numFmtId="0" fontId="0" fillId="0" borderId="0" xfId="0" applyAlignment="1">
      <alignment horizontal="right" vertical="center" wrapText="1"/>
    </xf>
    <xf numFmtId="166" fontId="0" fillId="0" borderId="30" xfId="2" applyNumberFormat="1" applyFont="1" applyBorder="1" applyAlignment="1">
      <alignment horizontal="right" vertical="center"/>
    </xf>
    <xf numFmtId="166" fontId="0" fillId="0" borderId="0" xfId="2" applyNumberFormat="1" applyFont="1" applyFill="1" applyBorder="1" applyAlignment="1">
      <alignment horizontal="right" vertical="center"/>
    </xf>
    <xf numFmtId="0" fontId="0" fillId="0" borderId="31" xfId="0" applyBorder="1" applyAlignment="1">
      <alignment horizontal="right" vertical="center"/>
    </xf>
    <xf numFmtId="0" fontId="0" fillId="0" borderId="51" xfId="0" applyBorder="1" applyAlignment="1">
      <alignment horizontal="right" vertical="center"/>
    </xf>
    <xf numFmtId="0" fontId="2" fillId="0" borderId="16" xfId="0" applyFont="1" applyBorder="1" applyAlignment="1">
      <alignment horizontal="right" vertical="center"/>
    </xf>
    <xf numFmtId="0" fontId="2" fillId="0" borderId="44" xfId="0" applyFont="1" applyBorder="1" applyAlignment="1">
      <alignment horizontal="right" vertical="center"/>
    </xf>
    <xf numFmtId="0" fontId="0" fillId="4" borderId="0" xfId="0" applyFill="1" applyAlignment="1">
      <alignment horizontal="right" vertical="center" wrapText="1"/>
    </xf>
    <xf numFmtId="0" fontId="2" fillId="0" borderId="41" xfId="0" applyFont="1" applyBorder="1" applyAlignment="1">
      <alignment horizontal="right" vertical="center"/>
    </xf>
    <xf numFmtId="170" fontId="0" fillId="0" borderId="30" xfId="0" applyNumberFormat="1" applyBorder="1" applyAlignment="1">
      <alignment horizontal="right" vertical="center"/>
    </xf>
    <xf numFmtId="170" fontId="2" fillId="0" borderId="33" xfId="2" applyNumberFormat="1" applyFont="1" applyFill="1" applyBorder="1" applyAlignment="1">
      <alignment horizontal="right" vertical="center"/>
    </xf>
    <xf numFmtId="10" fontId="0" fillId="0" borderId="16" xfId="1" applyNumberFormat="1" applyFont="1" applyFill="1" applyBorder="1" applyAlignment="1">
      <alignment horizontal="right" vertical="center"/>
    </xf>
    <xf numFmtId="10" fontId="0" fillId="0" borderId="25" xfId="0" applyNumberFormat="1" applyBorder="1" applyAlignment="1">
      <alignment horizontal="right" vertical="center"/>
    </xf>
    <xf numFmtId="170" fontId="0" fillId="0" borderId="30" xfId="1" applyNumberFormat="1" applyFont="1" applyFill="1" applyBorder="1" applyAlignment="1">
      <alignment horizontal="right" vertical="center"/>
    </xf>
    <xf numFmtId="170" fontId="0" fillId="0" borderId="25" xfId="2" applyNumberFormat="1" applyFont="1" applyFill="1" applyBorder="1" applyAlignment="1">
      <alignment horizontal="right" vertical="center"/>
    </xf>
    <xf numFmtId="10" fontId="2" fillId="0" borderId="25" xfId="1" applyNumberFormat="1" applyFont="1" applyFill="1" applyBorder="1" applyAlignment="1">
      <alignment horizontal="right" vertical="center"/>
    </xf>
    <xf numFmtId="166" fontId="0" fillId="0" borderId="25" xfId="2" applyNumberFormat="1" applyFont="1" applyFill="1" applyBorder="1" applyAlignment="1">
      <alignment horizontal="right" vertical="center"/>
    </xf>
    <xf numFmtId="0" fontId="0" fillId="0" borderId="46" xfId="0" applyBorder="1" applyAlignment="1">
      <alignment horizontal="right" vertical="center"/>
    </xf>
    <xf numFmtId="10" fontId="2" fillId="0" borderId="45" xfId="1" applyNumberFormat="1" applyFont="1" applyFill="1" applyBorder="1" applyAlignment="1">
      <alignment horizontal="right" vertical="center"/>
    </xf>
    <xf numFmtId="0" fontId="2" fillId="0" borderId="25" xfId="0" applyFont="1" applyBorder="1" applyAlignment="1">
      <alignment horizontal="right" vertical="center"/>
    </xf>
    <xf numFmtId="0" fontId="0" fillId="0" borderId="30" xfId="1" applyNumberFormat="1" applyFont="1" applyFill="1" applyBorder="1" applyAlignment="1">
      <alignment horizontal="right" vertical="center"/>
    </xf>
    <xf numFmtId="0" fontId="0" fillId="0" borderId="25" xfId="0" applyBorder="1" applyAlignment="1">
      <alignment horizontal="right" vertical="center"/>
    </xf>
    <xf numFmtId="2" fontId="0" fillId="0" borderId="25" xfId="0" applyNumberFormat="1" applyBorder="1" applyAlignment="1">
      <alignment horizontal="right" vertical="center"/>
    </xf>
    <xf numFmtId="165" fontId="0" fillId="0" borderId="25" xfId="0" applyNumberFormat="1" applyBorder="1" applyAlignment="1">
      <alignment horizontal="right" vertical="center"/>
    </xf>
    <xf numFmtId="2" fontId="2" fillId="0" borderId="25" xfId="1" applyNumberFormat="1" applyFont="1" applyFill="1" applyBorder="1" applyAlignment="1">
      <alignment horizontal="right" vertical="center"/>
    </xf>
    <xf numFmtId="0" fontId="2" fillId="0" borderId="43" xfId="0" applyFont="1" applyBorder="1" applyAlignment="1">
      <alignment horizontal="right" vertical="center"/>
    </xf>
    <xf numFmtId="0" fontId="6" fillId="5" borderId="19" xfId="0" applyFont="1" applyFill="1" applyBorder="1" applyAlignment="1">
      <alignment horizontal="left" vertical="center"/>
    </xf>
    <xf numFmtId="0" fontId="6" fillId="5" borderId="21" xfId="0" applyFont="1" applyFill="1" applyBorder="1" applyAlignment="1">
      <alignment horizontal="left" vertical="center"/>
    </xf>
    <xf numFmtId="0" fontId="6" fillId="5" borderId="24" xfId="0" applyFont="1" applyFill="1" applyBorder="1" applyAlignment="1">
      <alignment horizontal="left" vertical="center"/>
    </xf>
    <xf numFmtId="0" fontId="14" fillId="0" borderId="0" xfId="0" applyFont="1" applyAlignment="1">
      <alignment vertical="center"/>
    </xf>
    <xf numFmtId="0" fontId="8" fillId="0" borderId="0" xfId="0" applyFont="1" applyAlignment="1">
      <alignment vertical="center"/>
    </xf>
    <xf numFmtId="0" fontId="2" fillId="5" borderId="17" xfId="0" applyFont="1" applyFill="1" applyBorder="1" applyAlignment="1">
      <alignment vertical="center"/>
    </xf>
    <xf numFmtId="0" fontId="0" fillId="5" borderId="21" xfId="0" applyFill="1" applyBorder="1" applyAlignment="1">
      <alignment vertical="center"/>
    </xf>
    <xf numFmtId="0" fontId="2" fillId="5" borderId="3" xfId="0" applyFont="1" applyFill="1" applyBorder="1" applyAlignment="1">
      <alignment vertical="center"/>
    </xf>
    <xf numFmtId="0" fontId="2" fillId="5" borderId="22" xfId="0" applyFont="1" applyFill="1" applyBorder="1" applyAlignment="1">
      <alignment vertical="center"/>
    </xf>
    <xf numFmtId="0" fontId="0" fillId="5" borderId="24" xfId="0" applyFill="1" applyBorder="1" applyAlignment="1">
      <alignment vertical="center"/>
    </xf>
    <xf numFmtId="0" fontId="0" fillId="4" borderId="67" xfId="0" applyFill="1" applyBorder="1" applyAlignment="1">
      <alignment vertical="center"/>
    </xf>
    <xf numFmtId="0" fontId="0" fillId="4" borderId="64" xfId="0" applyFill="1" applyBorder="1" applyAlignment="1">
      <alignment vertical="center"/>
    </xf>
    <xf numFmtId="0" fontId="0" fillId="4" borderId="64" xfId="0" applyFill="1" applyBorder="1" applyAlignment="1">
      <alignment horizontal="right" vertical="center"/>
    </xf>
    <xf numFmtId="0" fontId="0" fillId="0" borderId="33" xfId="0" applyBorder="1" applyAlignment="1">
      <alignment horizontal="right" vertical="center"/>
    </xf>
    <xf numFmtId="166" fontId="1" fillId="0" borderId="33" xfId="2" applyNumberFormat="1" applyFont="1" applyFill="1" applyBorder="1" applyAlignment="1">
      <alignment horizontal="right" vertical="center"/>
    </xf>
    <xf numFmtId="0" fontId="0" fillId="0" borderId="28" xfId="0" applyBorder="1" applyAlignment="1">
      <alignment horizontal="right" vertical="center"/>
    </xf>
    <xf numFmtId="166" fontId="1" fillId="0" borderId="48" xfId="2" applyNumberFormat="1" applyFont="1" applyFill="1" applyBorder="1" applyAlignment="1">
      <alignment horizontal="right" vertical="center"/>
    </xf>
    <xf numFmtId="166" fontId="0" fillId="0" borderId="4" xfId="0" applyNumberFormat="1" applyBorder="1" applyAlignment="1">
      <alignment horizontal="right" vertical="center"/>
    </xf>
    <xf numFmtId="9" fontId="1" fillId="0" borderId="0" xfId="1" applyFont="1" applyFill="1" applyBorder="1" applyAlignment="1">
      <alignment horizontal="right" vertical="center"/>
    </xf>
    <xf numFmtId="10" fontId="0" fillId="0" borderId="0" xfId="0" applyNumberFormat="1" applyAlignment="1">
      <alignment horizontal="right" vertical="center"/>
    </xf>
    <xf numFmtId="10" fontId="0" fillId="0" borderId="30" xfId="0" applyNumberFormat="1" applyBorder="1" applyAlignment="1">
      <alignment horizontal="right" vertical="center"/>
    </xf>
    <xf numFmtId="166" fontId="2" fillId="0" borderId="4" xfId="0" applyNumberFormat="1" applyFont="1" applyBorder="1" applyAlignment="1">
      <alignment horizontal="right" vertical="center"/>
    </xf>
    <xf numFmtId="10" fontId="0" fillId="0" borderId="0" xfId="1" applyNumberFormat="1" applyFont="1" applyBorder="1" applyAlignment="1">
      <alignment horizontal="right" vertical="center"/>
    </xf>
    <xf numFmtId="0" fontId="2" fillId="4" borderId="64" xfId="0" applyFont="1" applyFill="1" applyBorder="1" applyAlignment="1">
      <alignment horizontal="center" vertical="center"/>
    </xf>
    <xf numFmtId="0" fontId="14" fillId="4" borderId="0" xfId="3" applyFont="1" applyFill="1" applyAlignment="1">
      <alignment vertical="center"/>
    </xf>
    <xf numFmtId="0" fontId="2" fillId="4" borderId="67" xfId="0" applyFont="1" applyFill="1" applyBorder="1" applyAlignment="1">
      <alignment horizontal="center" vertical="center"/>
    </xf>
    <xf numFmtId="0" fontId="2" fillId="4" borderId="64" xfId="0" applyFont="1" applyFill="1" applyBorder="1" applyAlignment="1">
      <alignment horizontal="right" vertical="center"/>
    </xf>
    <xf numFmtId="0" fontId="0" fillId="4" borderId="67" xfId="1" applyNumberFormat="1" applyFont="1" applyFill="1" applyBorder="1" applyAlignment="1">
      <alignment horizontal="right" vertical="center"/>
    </xf>
    <xf numFmtId="0" fontId="2" fillId="0" borderId="15" xfId="0" applyFont="1" applyBorder="1" applyAlignment="1">
      <alignment vertical="center"/>
    </xf>
    <xf numFmtId="0" fontId="2" fillId="0" borderId="3" xfId="0" applyFont="1" applyBorder="1" applyAlignment="1">
      <alignment vertical="center"/>
    </xf>
    <xf numFmtId="166" fontId="0" fillId="0" borderId="16" xfId="0" applyNumberFormat="1" applyBorder="1" applyAlignment="1">
      <alignment horizontal="right" vertical="center"/>
    </xf>
    <xf numFmtId="166" fontId="2" fillId="0" borderId="16" xfId="0" applyNumberFormat="1" applyFont="1" applyBorder="1" applyAlignment="1">
      <alignment horizontal="right" vertical="center"/>
    </xf>
    <xf numFmtId="166" fontId="5" fillId="0" borderId="43" xfId="0" applyNumberFormat="1" applyFont="1" applyBorder="1" applyAlignment="1">
      <alignment horizontal="right" vertical="center"/>
    </xf>
    <xf numFmtId="0" fontId="2" fillId="0" borderId="9" xfId="0" applyFont="1" applyBorder="1" applyAlignment="1">
      <alignment horizontal="right" vertical="center"/>
    </xf>
    <xf numFmtId="0" fontId="2" fillId="0" borderId="60" xfId="0" applyFont="1" applyBorder="1" applyAlignment="1">
      <alignment horizontal="right" vertical="center"/>
    </xf>
    <xf numFmtId="166" fontId="0" fillId="0" borderId="21" xfId="1" applyNumberFormat="1" applyFont="1" applyBorder="1" applyAlignment="1">
      <alignment horizontal="right" vertical="center"/>
    </xf>
    <xf numFmtId="166" fontId="2" fillId="0" borderId="21" xfId="0" applyNumberFormat="1" applyFont="1" applyBorder="1" applyAlignment="1">
      <alignment horizontal="right" vertical="center"/>
    </xf>
    <xf numFmtId="166" fontId="0" fillId="0" borderId="21" xfId="0" applyNumberFormat="1" applyBorder="1" applyAlignment="1">
      <alignment horizontal="right" vertical="center"/>
    </xf>
    <xf numFmtId="166" fontId="5" fillId="0" borderId="77" xfId="0" applyNumberFormat="1" applyFont="1" applyBorder="1" applyAlignment="1">
      <alignment horizontal="right" vertical="center"/>
    </xf>
    <xf numFmtId="0" fontId="2" fillId="4" borderId="11" xfId="0" applyFont="1" applyFill="1" applyBorder="1" applyAlignment="1">
      <alignment vertical="center"/>
    </xf>
    <xf numFmtId="0" fontId="0" fillId="4" borderId="12" xfId="0" applyFill="1" applyBorder="1" applyAlignment="1">
      <alignment horizontal="right" vertical="center"/>
    </xf>
    <xf numFmtId="0" fontId="6" fillId="0" borderId="17" xfId="3" applyFont="1" applyBorder="1" applyAlignment="1">
      <alignment vertical="center"/>
    </xf>
    <xf numFmtId="0" fontId="2" fillId="4" borderId="66" xfId="0" applyFont="1" applyFill="1" applyBorder="1" applyAlignment="1">
      <alignment vertical="center"/>
    </xf>
    <xf numFmtId="0" fontId="2" fillId="4" borderId="58" xfId="0" applyFont="1" applyFill="1" applyBorder="1" applyAlignment="1">
      <alignment horizontal="center" vertical="center"/>
    </xf>
    <xf numFmtId="0" fontId="6" fillId="0" borderId="20" xfId="3" applyFont="1" applyBorder="1" applyAlignment="1">
      <alignment vertical="center"/>
    </xf>
    <xf numFmtId="0" fontId="12" fillId="4" borderId="65" xfId="3" applyFont="1" applyFill="1" applyBorder="1" applyAlignment="1">
      <alignment vertical="center"/>
    </xf>
    <xf numFmtId="0" fontId="6" fillId="0" borderId="1" xfId="3" applyFont="1" applyBorder="1" applyAlignment="1">
      <alignment vertical="center"/>
    </xf>
    <xf numFmtId="0" fontId="6" fillId="0" borderId="3" xfId="3" applyFont="1" applyBorder="1" applyAlignment="1">
      <alignment vertical="center"/>
    </xf>
    <xf numFmtId="0" fontId="6" fillId="0" borderId="5" xfId="3" applyFont="1" applyBorder="1" applyAlignment="1">
      <alignment vertical="center"/>
    </xf>
    <xf numFmtId="0" fontId="12" fillId="4" borderId="65" xfId="0" applyFont="1" applyFill="1" applyBorder="1" applyAlignment="1">
      <alignment vertical="center"/>
    </xf>
    <xf numFmtId="0" fontId="6" fillId="0" borderId="20" xfId="3" quotePrefix="1" applyFont="1" applyBorder="1" applyAlignment="1">
      <alignment vertical="center"/>
    </xf>
    <xf numFmtId="0" fontId="6" fillId="0" borderId="17" xfId="3" applyFont="1" applyFill="1" applyBorder="1" applyAlignment="1">
      <alignment vertical="center"/>
    </xf>
    <xf numFmtId="0" fontId="6" fillId="0" borderId="20" xfId="3" applyFont="1" applyFill="1" applyBorder="1" applyAlignment="1">
      <alignment vertical="center"/>
    </xf>
    <xf numFmtId="0" fontId="6" fillId="0" borderId="17" xfId="3" applyFont="1" applyBorder="1" applyAlignment="1">
      <alignment vertical="center" shrinkToFit="1"/>
    </xf>
    <xf numFmtId="0" fontId="6" fillId="0" borderId="50" xfId="3" applyFont="1" applyBorder="1" applyAlignment="1">
      <alignment vertical="center"/>
    </xf>
    <xf numFmtId="0" fontId="6" fillId="0" borderId="72" xfId="3" applyFont="1" applyBorder="1" applyAlignment="1">
      <alignment vertical="center"/>
    </xf>
    <xf numFmtId="0" fontId="6" fillId="0" borderId="57" xfId="3" applyFont="1" applyBorder="1" applyAlignment="1">
      <alignment vertical="center"/>
    </xf>
    <xf numFmtId="0" fontId="12" fillId="0" borderId="65" xfId="0" applyFont="1" applyBorder="1" applyAlignment="1">
      <alignment vertical="center"/>
    </xf>
    <xf numFmtId="0" fontId="6" fillId="0" borderId="65" xfId="3" applyFont="1" applyBorder="1" applyAlignment="1">
      <alignment vertical="center"/>
    </xf>
    <xf numFmtId="0" fontId="6" fillId="0" borderId="66" xfId="3" applyFont="1" applyBorder="1" applyAlignment="1">
      <alignment vertical="center"/>
    </xf>
    <xf numFmtId="0" fontId="12" fillId="12" borderId="9" xfId="0" applyFont="1" applyFill="1" applyBorder="1" applyAlignment="1">
      <alignment vertical="center" wrapText="1"/>
    </xf>
    <xf numFmtId="0" fontId="33" fillId="7" borderId="0" xfId="3" quotePrefix="1" applyFont="1" applyFill="1" applyBorder="1" applyAlignment="1">
      <alignment vertical="top"/>
    </xf>
    <xf numFmtId="0" fontId="49" fillId="7" borderId="0" xfId="0" applyFont="1" applyFill="1"/>
    <xf numFmtId="0" fontId="49" fillId="7" borderId="0" xfId="0" applyFont="1" applyFill="1" applyAlignment="1">
      <alignment horizontal="center"/>
    </xf>
    <xf numFmtId="0" fontId="52" fillId="7" borderId="55" xfId="0" applyFont="1" applyFill="1" applyBorder="1"/>
    <xf numFmtId="0" fontId="10" fillId="4" borderId="0" xfId="0" applyFont="1" applyFill="1" applyAlignment="1">
      <alignment vertical="top"/>
    </xf>
    <xf numFmtId="0" fontId="10" fillId="4" borderId="0" xfId="0" applyFont="1" applyFill="1" applyAlignment="1">
      <alignment horizontal="left" vertical="top" wrapText="1"/>
    </xf>
    <xf numFmtId="0" fontId="0" fillId="4" borderId="0" xfId="0" quotePrefix="1" applyFill="1" applyAlignment="1">
      <alignment vertical="center" wrapText="1"/>
    </xf>
    <xf numFmtId="0" fontId="0" fillId="4" borderId="0" xfId="0" quotePrefix="1" applyFill="1" applyAlignment="1">
      <alignment horizontal="left" vertical="center" wrapText="1"/>
    </xf>
    <xf numFmtId="0" fontId="0" fillId="2" borderId="9" xfId="0" applyFill="1" applyBorder="1" applyAlignment="1">
      <alignment horizontal="right"/>
    </xf>
    <xf numFmtId="0" fontId="0" fillId="8" borderId="9" xfId="0" applyFill="1" applyBorder="1" applyAlignment="1">
      <alignment horizontal="right"/>
    </xf>
    <xf numFmtId="0" fontId="0" fillId="5" borderId="9" xfId="0" applyFill="1" applyBorder="1"/>
    <xf numFmtId="0" fontId="0" fillId="4" borderId="33" xfId="0" applyFill="1" applyBorder="1"/>
    <xf numFmtId="0" fontId="0" fillId="4" borderId="0" xfId="0" applyFill="1" applyAlignment="1">
      <alignment horizontal="left" vertical="center" indent="1"/>
    </xf>
    <xf numFmtId="0" fontId="16" fillId="4" borderId="0" xfId="3" applyFill="1"/>
    <xf numFmtId="0" fontId="29" fillId="4" borderId="0" xfId="0" applyFont="1" applyFill="1" applyAlignment="1">
      <alignment horizontal="center" vertical="top"/>
    </xf>
    <xf numFmtId="0" fontId="10" fillId="4" borderId="0" xfId="0" applyFont="1" applyFill="1" applyAlignment="1">
      <alignment horizontal="center" vertical="top"/>
    </xf>
    <xf numFmtId="0" fontId="10" fillId="4" borderId="0" xfId="0" applyFont="1" applyFill="1" applyAlignment="1">
      <alignment vertical="top" wrapText="1"/>
    </xf>
    <xf numFmtId="0" fontId="0" fillId="0" borderId="34" xfId="0" applyBorder="1" applyAlignment="1">
      <alignment vertical="top"/>
    </xf>
    <xf numFmtId="0" fontId="0" fillId="0" borderId="76" xfId="0" applyBorder="1" applyAlignment="1">
      <alignment vertical="top"/>
    </xf>
    <xf numFmtId="0" fontId="0" fillId="0" borderId="42" xfId="0" applyBorder="1" applyAlignment="1">
      <alignment vertical="top"/>
    </xf>
    <xf numFmtId="0" fontId="0" fillId="4" borderId="0" xfId="0" applyFill="1" applyAlignment="1">
      <alignment vertical="top"/>
    </xf>
    <xf numFmtId="0" fontId="0" fillId="0" borderId="78" xfId="0" applyBorder="1" applyAlignment="1">
      <alignment vertical="top" wrapText="1"/>
    </xf>
    <xf numFmtId="0" fontId="0" fillId="0" borderId="60" xfId="0" applyBorder="1" applyAlignment="1">
      <alignment vertical="top" wrapText="1"/>
    </xf>
    <xf numFmtId="0" fontId="0" fillId="0" borderId="77" xfId="0" applyBorder="1" applyAlignment="1">
      <alignment vertical="top" wrapText="1"/>
    </xf>
    <xf numFmtId="0" fontId="2" fillId="5" borderId="1" xfId="0" applyFont="1" applyFill="1" applyBorder="1" applyAlignment="1">
      <alignment horizontal="left" vertical="center"/>
    </xf>
    <xf numFmtId="0" fontId="2" fillId="5" borderId="3" xfId="0" applyFont="1" applyFill="1" applyBorder="1" applyAlignment="1">
      <alignment horizontal="left" vertical="center"/>
    </xf>
    <xf numFmtId="0" fontId="12" fillId="5" borderId="3" xfId="0" applyFont="1" applyFill="1" applyBorder="1" applyAlignment="1">
      <alignment horizontal="left" vertical="center"/>
    </xf>
    <xf numFmtId="0" fontId="12" fillId="5" borderId="5" xfId="0" applyFont="1" applyFill="1" applyBorder="1" applyAlignment="1">
      <alignment horizontal="left" vertical="center"/>
    </xf>
    <xf numFmtId="0" fontId="2" fillId="3" borderId="1" xfId="0" applyFont="1" applyFill="1" applyBorder="1" applyAlignment="1">
      <alignment vertical="center"/>
    </xf>
    <xf numFmtId="0" fontId="2" fillId="3" borderId="54" xfId="0" applyFont="1" applyFill="1" applyBorder="1" applyAlignment="1">
      <alignment vertical="center"/>
    </xf>
    <xf numFmtId="0" fontId="28" fillId="4" borderId="0" xfId="0" applyFont="1" applyFill="1" applyAlignment="1">
      <alignment vertical="center"/>
    </xf>
    <xf numFmtId="0" fontId="2" fillId="3" borderId="62" xfId="0" applyFont="1" applyFill="1" applyBorder="1" applyAlignment="1">
      <alignment vertical="center"/>
    </xf>
    <xf numFmtId="0" fontId="2" fillId="3" borderId="57" xfId="0" applyFont="1" applyFill="1" applyBorder="1" applyAlignment="1">
      <alignment vertical="center"/>
    </xf>
    <xf numFmtId="0" fontId="2" fillId="0" borderId="42" xfId="0" applyFont="1" applyBorder="1" applyAlignment="1">
      <alignment vertical="center"/>
    </xf>
    <xf numFmtId="0" fontId="2" fillId="0" borderId="63" xfId="0" applyFont="1" applyBorder="1" applyAlignment="1">
      <alignment horizontal="center" vertical="center"/>
    </xf>
    <xf numFmtId="0" fontId="2" fillId="0" borderId="64" xfId="0" applyFont="1" applyBorder="1" applyAlignment="1">
      <alignment horizontal="center" vertical="center"/>
    </xf>
    <xf numFmtId="0" fontId="6" fillId="0" borderId="22" xfId="3" applyFont="1" applyBorder="1" applyAlignment="1">
      <alignment vertical="center"/>
    </xf>
    <xf numFmtId="0" fontId="12" fillId="0" borderId="20" xfId="3" applyFont="1" applyBorder="1" applyAlignment="1">
      <alignment vertical="center"/>
    </xf>
    <xf numFmtId="0" fontId="12" fillId="0" borderId="38" xfId="3" applyFont="1" applyBorder="1" applyAlignment="1">
      <alignment vertical="center"/>
    </xf>
    <xf numFmtId="0" fontId="0" fillId="2" borderId="19" xfId="0" applyFill="1" applyBorder="1" applyAlignment="1" applyProtection="1">
      <alignment horizontal="left"/>
      <protection locked="0"/>
    </xf>
    <xf numFmtId="0" fontId="0" fillId="2" borderId="24" xfId="0" applyFill="1" applyBorder="1" applyAlignment="1" applyProtection="1">
      <alignment horizontal="left"/>
      <protection locked="0"/>
    </xf>
    <xf numFmtId="0" fontId="2" fillId="2" borderId="20" xfId="0" applyFont="1" applyFill="1" applyBorder="1" applyAlignment="1" applyProtection="1">
      <alignment horizontal="left"/>
      <protection locked="0"/>
    </xf>
    <xf numFmtId="0" fontId="0" fillId="2" borderId="21" xfId="0" applyFill="1" applyBorder="1" applyAlignment="1" applyProtection="1">
      <alignment horizontal="left"/>
      <protection locked="0"/>
    </xf>
    <xf numFmtId="0" fontId="2" fillId="2" borderId="3" xfId="0" applyFont="1" applyFill="1" applyBorder="1" applyAlignment="1" applyProtection="1">
      <alignment horizontal="left"/>
      <protection locked="0"/>
    </xf>
    <xf numFmtId="0" fontId="2" fillId="2" borderId="5" xfId="0" applyFont="1" applyFill="1" applyBorder="1" applyAlignment="1" applyProtection="1">
      <alignment horizontal="left"/>
      <protection locked="0"/>
    </xf>
    <xf numFmtId="0" fontId="0" fillId="2" borderId="2" xfId="0" applyFill="1" applyBorder="1" applyAlignment="1" applyProtection="1">
      <alignment horizontal="right" vertical="center"/>
      <protection locked="0"/>
    </xf>
    <xf numFmtId="0" fontId="0" fillId="2" borderId="4" xfId="0" applyFill="1" applyBorder="1" applyAlignment="1" applyProtection="1">
      <alignment horizontal="right" vertical="center"/>
      <protection locked="0"/>
    </xf>
    <xf numFmtId="0" fontId="0" fillId="2" borderId="19" xfId="0" applyFill="1" applyBorder="1" applyAlignment="1" applyProtection="1">
      <alignment horizontal="right" vertical="center"/>
      <protection locked="0"/>
    </xf>
    <xf numFmtId="0" fontId="0" fillId="2" borderId="21" xfId="0" applyFill="1" applyBorder="1" applyAlignment="1" applyProtection="1">
      <alignment horizontal="right" vertical="center"/>
      <protection locked="0"/>
    </xf>
    <xf numFmtId="0" fontId="16" fillId="2" borderId="21" xfId="3" applyFill="1" applyBorder="1" applyAlignment="1" applyProtection="1">
      <alignment horizontal="right" vertical="center"/>
      <protection locked="0"/>
    </xf>
    <xf numFmtId="0" fontId="0" fillId="2" borderId="24" xfId="0" applyFill="1" applyBorder="1" applyAlignment="1" applyProtection="1">
      <alignment horizontal="right" vertical="center"/>
      <protection locked="0"/>
    </xf>
    <xf numFmtId="10" fontId="0" fillId="2" borderId="4" xfId="1" applyNumberFormat="1" applyFont="1" applyFill="1" applyBorder="1" applyAlignment="1" applyProtection="1">
      <alignment horizontal="right" vertical="center"/>
      <protection locked="0"/>
    </xf>
    <xf numFmtId="10" fontId="0" fillId="2" borderId="2" xfId="1" applyNumberFormat="1" applyFont="1" applyFill="1" applyBorder="1" applyAlignment="1" applyProtection="1">
      <alignment horizontal="right" vertical="center"/>
      <protection locked="0"/>
    </xf>
    <xf numFmtId="10" fontId="0" fillId="2" borderId="21" xfId="1" applyNumberFormat="1" applyFont="1" applyFill="1" applyBorder="1" applyAlignment="1" applyProtection="1">
      <alignment horizontal="right" vertical="center"/>
      <protection locked="0"/>
    </xf>
    <xf numFmtId="10" fontId="0" fillId="2" borderId="16" xfId="1" applyNumberFormat="1" applyFont="1" applyFill="1" applyBorder="1" applyAlignment="1" applyProtection="1">
      <alignment horizontal="right" vertical="center"/>
      <protection locked="0"/>
    </xf>
    <xf numFmtId="10" fontId="1" fillId="2" borderId="21" xfId="1" applyNumberFormat="1" applyFont="1" applyFill="1" applyBorder="1" applyAlignment="1" applyProtection="1">
      <alignment horizontal="right" vertical="center"/>
      <protection locked="0"/>
    </xf>
    <xf numFmtId="9" fontId="0" fillId="4" borderId="0" xfId="1" applyFont="1" applyFill="1" applyAlignment="1" applyProtection="1">
      <alignment horizontal="right" vertical="center"/>
      <protection locked="0"/>
    </xf>
    <xf numFmtId="0" fontId="0" fillId="4" borderId="0" xfId="0" applyFill="1" applyAlignment="1" applyProtection="1">
      <alignment horizontal="right" vertical="center"/>
      <protection locked="0"/>
    </xf>
    <xf numFmtId="9" fontId="0" fillId="0" borderId="0" xfId="1" applyFont="1" applyAlignment="1" applyProtection="1">
      <alignment horizontal="right" vertical="center"/>
      <protection locked="0"/>
    </xf>
    <xf numFmtId="10" fontId="0" fillId="4" borderId="0" xfId="1" applyNumberFormat="1" applyFont="1" applyFill="1" applyAlignment="1" applyProtection="1">
      <alignment horizontal="right" vertical="center"/>
      <protection locked="0"/>
    </xf>
    <xf numFmtId="10" fontId="0" fillId="0" borderId="0" xfId="1" applyNumberFormat="1" applyFont="1" applyAlignment="1" applyProtection="1">
      <alignment horizontal="right" vertical="center"/>
      <protection locked="0"/>
    </xf>
    <xf numFmtId="9" fontId="0" fillId="2" borderId="33" xfId="1" applyFont="1" applyFill="1" applyBorder="1" applyAlignment="1" applyProtection="1">
      <alignment horizontal="center" vertical="center"/>
      <protection locked="0"/>
    </xf>
    <xf numFmtId="9" fontId="0" fillId="2" borderId="48" xfId="1" applyFont="1" applyFill="1" applyBorder="1" applyAlignment="1" applyProtection="1">
      <alignment horizontal="center" vertical="center"/>
      <protection locked="0"/>
    </xf>
    <xf numFmtId="0" fontId="2" fillId="4" borderId="0" xfId="0" applyFont="1" applyFill="1" applyAlignment="1" applyProtection="1">
      <alignment vertical="center"/>
      <protection locked="0"/>
    </xf>
    <xf numFmtId="0" fontId="5" fillId="4" borderId="0" xfId="0" applyFont="1" applyFill="1" applyAlignment="1" applyProtection="1">
      <alignment horizontal="left" vertical="center"/>
      <protection locked="0"/>
    </xf>
    <xf numFmtId="0" fontId="2" fillId="4" borderId="7" xfId="0" applyFont="1" applyFill="1" applyBorder="1" applyAlignment="1" applyProtection="1">
      <alignment vertical="center"/>
      <protection locked="0"/>
    </xf>
    <xf numFmtId="166" fontId="2" fillId="2" borderId="65" xfId="0" applyNumberFormat="1" applyFont="1" applyFill="1" applyBorder="1" applyAlignment="1" applyProtection="1">
      <alignment horizontal="right" vertical="center"/>
      <protection locked="0"/>
    </xf>
    <xf numFmtId="166" fontId="16" fillId="4" borderId="0" xfId="3" applyNumberFormat="1" applyFill="1" applyBorder="1" applyAlignment="1" applyProtection="1">
      <alignment vertical="center"/>
      <protection locked="0"/>
    </xf>
    <xf numFmtId="0" fontId="2" fillId="4" borderId="8" xfId="0" applyFont="1" applyFill="1" applyBorder="1" applyAlignment="1" applyProtection="1">
      <alignment vertical="center"/>
      <protection locked="0"/>
    </xf>
    <xf numFmtId="0" fontId="2" fillId="0" borderId="0" xfId="0" applyFont="1" applyAlignment="1" applyProtection="1">
      <alignment vertical="center"/>
      <protection locked="0"/>
    </xf>
    <xf numFmtId="9" fontId="0" fillId="2" borderId="8" xfId="1" applyFont="1" applyFill="1" applyBorder="1" applyAlignment="1" applyProtection="1">
      <alignment horizontal="center" vertical="center"/>
      <protection locked="0"/>
    </xf>
    <xf numFmtId="9" fontId="0" fillId="2" borderId="6" xfId="1" applyFont="1" applyFill="1" applyBorder="1" applyAlignment="1" applyProtection="1">
      <alignment horizontal="center" vertical="center"/>
      <protection locked="0"/>
    </xf>
    <xf numFmtId="169" fontId="0" fillId="2" borderId="8" xfId="0" applyNumberFormat="1" applyFill="1" applyBorder="1" applyAlignment="1" applyProtection="1">
      <alignment horizontal="right" vertical="center"/>
      <protection locked="0"/>
    </xf>
    <xf numFmtId="169" fontId="0" fillId="2" borderId="39" xfId="0" applyNumberFormat="1" applyFill="1" applyBorder="1" applyAlignment="1" applyProtection="1">
      <alignment horizontal="right" vertical="center"/>
      <protection locked="0"/>
    </xf>
    <xf numFmtId="169" fontId="0" fillId="2" borderId="24" xfId="0" applyNumberFormat="1" applyFill="1" applyBorder="1" applyAlignment="1" applyProtection="1">
      <alignment horizontal="right" vertical="center"/>
      <protection locked="0"/>
    </xf>
    <xf numFmtId="169" fontId="0" fillId="2" borderId="52" xfId="0" applyNumberFormat="1" applyFill="1" applyBorder="1" applyAlignment="1" applyProtection="1">
      <alignment horizontal="right" vertical="center"/>
      <protection locked="0"/>
    </xf>
    <xf numFmtId="169" fontId="0" fillId="2" borderId="19" xfId="0" applyNumberFormat="1" applyFill="1" applyBorder="1" applyAlignment="1" applyProtection="1">
      <alignment horizontal="right" vertical="center"/>
      <protection locked="0"/>
    </xf>
    <xf numFmtId="166" fontId="0" fillId="2" borderId="52" xfId="0" applyNumberFormat="1" applyFill="1" applyBorder="1" applyAlignment="1" applyProtection="1">
      <alignment horizontal="right" vertical="center"/>
      <protection locked="0"/>
    </xf>
    <xf numFmtId="166" fontId="0" fillId="2" borderId="19" xfId="0" applyNumberFormat="1" applyFill="1" applyBorder="1" applyAlignment="1" applyProtection="1">
      <alignment horizontal="right" vertical="center"/>
      <protection locked="0"/>
    </xf>
    <xf numFmtId="166" fontId="0" fillId="2" borderId="30" xfId="0" applyNumberFormat="1" applyFill="1" applyBorder="1" applyAlignment="1" applyProtection="1">
      <alignment horizontal="right" vertical="center"/>
      <protection locked="0"/>
    </xf>
    <xf numFmtId="166" fontId="0" fillId="2" borderId="21" xfId="0" applyNumberFormat="1" applyFill="1" applyBorder="1" applyAlignment="1" applyProtection="1">
      <alignment horizontal="right" vertical="center"/>
      <protection locked="0"/>
    </xf>
    <xf numFmtId="166" fontId="0" fillId="2" borderId="39" xfId="0" applyNumberFormat="1" applyFill="1" applyBorder="1" applyAlignment="1" applyProtection="1">
      <alignment horizontal="right" vertical="center"/>
      <protection locked="0"/>
    </xf>
    <xf numFmtId="166" fontId="0" fillId="2" borderId="24" xfId="0" applyNumberFormat="1" applyFill="1" applyBorder="1" applyAlignment="1" applyProtection="1">
      <alignment horizontal="right" vertical="center"/>
      <protection locked="0"/>
    </xf>
    <xf numFmtId="169" fontId="0" fillId="2" borderId="30" xfId="0" applyNumberFormat="1" applyFill="1" applyBorder="1" applyAlignment="1" applyProtection="1">
      <alignment horizontal="right" vertical="center"/>
      <protection locked="0"/>
    </xf>
    <xf numFmtId="169" fontId="0" fillId="2" borderId="21" xfId="0" applyNumberFormat="1" applyFill="1" applyBorder="1" applyAlignment="1" applyProtection="1">
      <alignment horizontal="right" vertical="center"/>
      <protection locked="0"/>
    </xf>
    <xf numFmtId="10" fontId="0" fillId="2" borderId="52" xfId="1" applyNumberFormat="1" applyFont="1" applyFill="1" applyBorder="1" applyAlignment="1" applyProtection="1">
      <alignment horizontal="right" vertical="center"/>
      <protection locked="0"/>
    </xf>
    <xf numFmtId="10" fontId="0" fillId="2" borderId="19" xfId="1" applyNumberFormat="1" applyFont="1" applyFill="1" applyBorder="1" applyAlignment="1" applyProtection="1">
      <alignment horizontal="right" vertical="center"/>
      <protection locked="0"/>
    </xf>
    <xf numFmtId="10" fontId="0" fillId="2" borderId="30" xfId="1" applyNumberFormat="1" applyFont="1" applyFill="1" applyBorder="1" applyAlignment="1" applyProtection="1">
      <alignment horizontal="right" vertical="center"/>
      <protection locked="0"/>
    </xf>
    <xf numFmtId="0" fontId="0" fillId="4" borderId="67" xfId="0" applyFill="1" applyBorder="1" applyAlignment="1">
      <alignment horizontal="right" vertical="center"/>
    </xf>
    <xf numFmtId="164" fontId="0" fillId="2" borderId="24" xfId="1" applyNumberFormat="1" applyFont="1" applyFill="1" applyBorder="1" applyAlignment="1" applyProtection="1">
      <alignment horizontal="right" vertical="center"/>
      <protection locked="0"/>
    </xf>
    <xf numFmtId="164" fontId="0" fillId="2" borderId="10" xfId="1" applyNumberFormat="1" applyFont="1" applyFill="1" applyBorder="1" applyAlignment="1" applyProtection="1">
      <alignment horizontal="right" vertical="center"/>
      <protection locked="0"/>
    </xf>
    <xf numFmtId="164" fontId="0" fillId="2" borderId="50" xfId="1" applyNumberFormat="1" applyFont="1" applyFill="1" applyBorder="1" applyAlignment="1" applyProtection="1">
      <alignment horizontal="right" vertical="center"/>
      <protection locked="0"/>
    </xf>
    <xf numFmtId="164" fontId="0" fillId="2" borderId="72" xfId="1" applyNumberFormat="1" applyFont="1" applyFill="1" applyBorder="1" applyAlignment="1" applyProtection="1">
      <alignment horizontal="right" vertical="center"/>
      <protection locked="0"/>
    </xf>
    <xf numFmtId="164" fontId="0" fillId="2" borderId="57" xfId="1" applyNumberFormat="1" applyFont="1" applyFill="1" applyBorder="1" applyAlignment="1" applyProtection="1">
      <alignment horizontal="right" vertical="center"/>
      <protection locked="0"/>
    </xf>
    <xf numFmtId="164" fontId="0" fillId="2" borderId="19" xfId="1" applyNumberFormat="1" applyFont="1" applyFill="1" applyBorder="1" applyAlignment="1" applyProtection="1">
      <alignment horizontal="right" vertical="center"/>
      <protection locked="0"/>
    </xf>
    <xf numFmtId="164" fontId="0" fillId="2" borderId="21" xfId="1" applyNumberFormat="1" applyFont="1" applyFill="1" applyBorder="1" applyAlignment="1" applyProtection="1">
      <alignment horizontal="right" vertical="center"/>
      <protection locked="0"/>
    </xf>
    <xf numFmtId="0" fontId="0" fillId="2" borderId="58" xfId="0" applyFill="1" applyBorder="1" applyAlignment="1" applyProtection="1">
      <alignment horizontal="right" vertical="center"/>
      <protection locked="0"/>
    </xf>
    <xf numFmtId="164" fontId="0" fillId="2" borderId="58" xfId="1" applyNumberFormat="1" applyFont="1" applyFill="1" applyBorder="1" applyAlignment="1" applyProtection="1">
      <alignment horizontal="right" vertical="center"/>
      <protection locked="0"/>
    </xf>
    <xf numFmtId="164" fontId="0" fillId="2" borderId="23" xfId="1" applyNumberFormat="1" applyFont="1" applyFill="1" applyBorder="1" applyAlignment="1" applyProtection="1">
      <alignment horizontal="right" vertical="center"/>
      <protection locked="0"/>
    </xf>
    <xf numFmtId="166" fontId="0" fillId="2" borderId="63" xfId="2" applyNumberFormat="1" applyFont="1" applyFill="1" applyBorder="1" applyAlignment="1" applyProtection="1">
      <alignment horizontal="right" vertical="center"/>
      <protection locked="0"/>
    </xf>
    <xf numFmtId="166" fontId="0" fillId="2" borderId="58" xfId="2" applyNumberFormat="1" applyFont="1" applyFill="1" applyBorder="1" applyAlignment="1" applyProtection="1">
      <alignment horizontal="right" vertical="center"/>
      <protection locked="0"/>
    </xf>
    <xf numFmtId="10" fontId="1" fillId="2" borderId="18" xfId="1" applyNumberFormat="1" applyFont="1" applyFill="1" applyBorder="1" applyAlignment="1" applyProtection="1">
      <alignment horizontal="right" vertical="center"/>
      <protection locked="0"/>
    </xf>
    <xf numFmtId="10" fontId="1" fillId="2" borderId="19" xfId="1" applyNumberFormat="1" applyFont="1" applyFill="1" applyBorder="1" applyAlignment="1" applyProtection="1">
      <alignment horizontal="right" vertical="center"/>
      <protection locked="0"/>
    </xf>
    <xf numFmtId="10" fontId="1" fillId="2" borderId="16" xfId="1" applyNumberFormat="1" applyFont="1" applyFill="1" applyBorder="1" applyAlignment="1" applyProtection="1">
      <alignment horizontal="right" vertical="center"/>
      <protection locked="0"/>
    </xf>
    <xf numFmtId="44" fontId="1" fillId="2" borderId="52" xfId="2" applyFont="1" applyFill="1" applyBorder="1" applyAlignment="1" applyProtection="1">
      <alignment horizontal="right" vertical="center"/>
      <protection locked="0"/>
    </xf>
    <xf numFmtId="10" fontId="0" fillId="4" borderId="0" xfId="0" applyNumberFormat="1" applyFill="1" applyAlignment="1">
      <alignment horizontal="right" vertical="center"/>
    </xf>
    <xf numFmtId="0" fontId="16" fillId="4" borderId="8" xfId="3" applyFill="1" applyBorder="1" applyAlignment="1">
      <alignment vertical="center"/>
    </xf>
    <xf numFmtId="0" fontId="0" fillId="4" borderId="1" xfId="0" applyFill="1" applyBorder="1" applyAlignment="1">
      <alignment vertical="center"/>
    </xf>
    <xf numFmtId="0" fontId="14" fillId="4" borderId="7" xfId="0" applyFont="1" applyFill="1" applyBorder="1" applyAlignment="1">
      <alignment vertical="center"/>
    </xf>
    <xf numFmtId="0" fontId="0" fillId="4" borderId="3" xfId="0" applyFill="1" applyBorder="1" applyAlignment="1">
      <alignment vertical="center"/>
    </xf>
    <xf numFmtId="0" fontId="0" fillId="4" borderId="5" xfId="0" applyFill="1" applyBorder="1" applyAlignment="1">
      <alignment vertical="center"/>
    </xf>
    <xf numFmtId="0" fontId="14" fillId="4" borderId="8" xfId="0" applyFont="1" applyFill="1" applyBorder="1" applyAlignment="1">
      <alignment vertical="center"/>
    </xf>
    <xf numFmtId="10" fontId="0" fillId="0" borderId="20" xfId="1" applyNumberFormat="1" applyFont="1" applyFill="1" applyBorder="1" applyAlignment="1">
      <alignment vertical="center"/>
    </xf>
    <xf numFmtId="10" fontId="0" fillId="0" borderId="22" xfId="1" applyNumberFormat="1" applyFont="1" applyFill="1" applyBorder="1" applyAlignment="1">
      <alignment vertical="center"/>
    </xf>
    <xf numFmtId="9" fontId="0" fillId="4" borderId="7" xfId="1" applyFont="1" applyFill="1" applyBorder="1" applyAlignment="1" applyProtection="1">
      <alignment horizontal="right" vertical="center"/>
      <protection locked="0"/>
    </xf>
    <xf numFmtId="10" fontId="0" fillId="2" borderId="6" xfId="1" applyNumberFormat="1" applyFont="1" applyFill="1" applyBorder="1" applyAlignment="1" applyProtection="1">
      <alignment horizontal="right" vertical="center"/>
      <protection locked="0"/>
    </xf>
    <xf numFmtId="0" fontId="16" fillId="4" borderId="67" xfId="3" applyFill="1" applyBorder="1" applyAlignment="1" applyProtection="1">
      <alignment horizontal="right" vertical="center"/>
      <protection locked="0"/>
    </xf>
    <xf numFmtId="10" fontId="0" fillId="4" borderId="7" xfId="1" applyNumberFormat="1" applyFont="1" applyFill="1" applyBorder="1" applyAlignment="1" applyProtection="1">
      <alignment horizontal="right" vertical="center"/>
      <protection locked="0"/>
    </xf>
    <xf numFmtId="166" fontId="0" fillId="2" borderId="4" xfId="1" applyNumberFormat="1" applyFont="1" applyFill="1" applyBorder="1" applyAlignment="1" applyProtection="1">
      <alignment horizontal="right" vertical="center"/>
      <protection locked="0"/>
    </xf>
    <xf numFmtId="166" fontId="0" fillId="2" borderId="6" xfId="1" applyNumberFormat="1" applyFont="1" applyFill="1" applyBorder="1" applyAlignment="1" applyProtection="1">
      <alignment horizontal="right" vertical="center"/>
      <protection locked="0"/>
    </xf>
    <xf numFmtId="10" fontId="0" fillId="4" borderId="8" xfId="1" applyNumberFormat="1" applyFont="1" applyFill="1" applyBorder="1" applyAlignment="1" applyProtection="1">
      <alignment horizontal="right" vertical="center"/>
      <protection locked="0"/>
    </xf>
    <xf numFmtId="0" fontId="8" fillId="4" borderId="7" xfId="0" applyFont="1" applyFill="1" applyBorder="1" applyAlignment="1">
      <alignment vertical="center"/>
    </xf>
    <xf numFmtId="0" fontId="8" fillId="4" borderId="8" xfId="0" applyFont="1" applyFill="1" applyBorder="1" applyAlignment="1">
      <alignment vertical="center"/>
    </xf>
    <xf numFmtId="10" fontId="0" fillId="4" borderId="0" xfId="1" applyNumberFormat="1" applyFont="1" applyFill="1" applyBorder="1" applyAlignment="1" applyProtection="1">
      <alignment horizontal="right" vertical="center"/>
      <protection locked="0"/>
    </xf>
    <xf numFmtId="0" fontId="16" fillId="4" borderId="7" xfId="3" applyFill="1" applyBorder="1" applyAlignment="1" applyProtection="1">
      <alignment horizontal="right" vertical="center"/>
      <protection locked="0"/>
    </xf>
    <xf numFmtId="0" fontId="6" fillId="4" borderId="0" xfId="0" applyFont="1" applyFill="1" applyAlignment="1">
      <alignment vertical="center"/>
    </xf>
    <xf numFmtId="0" fontId="6" fillId="4" borderId="7" xfId="0" applyFont="1" applyFill="1" applyBorder="1" applyAlignment="1">
      <alignment vertical="center"/>
    </xf>
    <xf numFmtId="0" fontId="6" fillId="4" borderId="2" xfId="0" applyFont="1" applyFill="1" applyBorder="1" applyAlignment="1">
      <alignment vertical="center"/>
    </xf>
    <xf numFmtId="0" fontId="12" fillId="4" borderId="0" xfId="0" applyFont="1" applyFill="1" applyAlignment="1">
      <alignment vertical="center"/>
    </xf>
    <xf numFmtId="0" fontId="12" fillId="4" borderId="4" xfId="0" applyFont="1" applyFill="1" applyBorder="1" applyAlignment="1">
      <alignment vertical="center"/>
    </xf>
    <xf numFmtId="0" fontId="6" fillId="4" borderId="8" xfId="0" applyFont="1" applyFill="1" applyBorder="1" applyAlignment="1">
      <alignment vertical="center"/>
    </xf>
    <xf numFmtId="0" fontId="6" fillId="4" borderId="6" xfId="0" applyFont="1" applyFill="1" applyBorder="1" applyAlignment="1">
      <alignment vertical="center"/>
    </xf>
    <xf numFmtId="0" fontId="6" fillId="4" borderId="4" xfId="0" applyFont="1" applyFill="1" applyBorder="1" applyAlignment="1">
      <alignment vertical="center"/>
    </xf>
    <xf numFmtId="0" fontId="6" fillId="0" borderId="0" xfId="0" applyFont="1" applyAlignment="1">
      <alignment vertical="center"/>
    </xf>
    <xf numFmtId="0" fontId="2" fillId="2" borderId="60" xfId="0" applyFont="1" applyFill="1" applyBorder="1" applyAlignment="1" applyProtection="1">
      <alignment horizontal="center" vertical="center"/>
      <protection locked="0"/>
    </xf>
    <xf numFmtId="166" fontId="0" fillId="4" borderId="0" xfId="0" applyNumberFormat="1" applyFill="1" applyAlignment="1">
      <alignment horizontal="right" vertical="center"/>
    </xf>
    <xf numFmtId="0" fontId="0" fillId="0" borderId="9" xfId="0" applyBorder="1" applyAlignment="1">
      <alignment vertical="top"/>
    </xf>
    <xf numFmtId="0" fontId="0" fillId="0" borderId="9" xfId="0" applyBorder="1" applyAlignment="1">
      <alignment horizontal="left" vertical="top"/>
    </xf>
    <xf numFmtId="0" fontId="0" fillId="0" borderId="9" xfId="0" applyBorder="1" applyAlignment="1">
      <alignment horizontal="left" vertical="top" wrapText="1"/>
    </xf>
    <xf numFmtId="0" fontId="16" fillId="0" borderId="9" xfId="3" applyBorder="1" applyAlignment="1">
      <alignment horizontal="left" vertical="top" wrapText="1"/>
    </xf>
    <xf numFmtId="0" fontId="53" fillId="0" borderId="9" xfId="0" applyFont="1" applyBorder="1" applyAlignment="1">
      <alignment horizontal="center" vertical="top"/>
    </xf>
    <xf numFmtId="10" fontId="0" fillId="0" borderId="27" xfId="1" applyNumberFormat="1" applyFont="1" applyBorder="1"/>
    <xf numFmtId="10" fontId="0" fillId="0" borderId="26" xfId="1" applyNumberFormat="1" applyFont="1" applyBorder="1"/>
    <xf numFmtId="0" fontId="0" fillId="0" borderId="26" xfId="0" applyBorder="1" applyAlignment="1">
      <alignment horizontal="right"/>
    </xf>
    <xf numFmtId="2" fontId="0" fillId="0" borderId="16" xfId="1" applyNumberFormat="1" applyFont="1" applyBorder="1" applyAlignment="1">
      <alignment horizontal="right"/>
    </xf>
    <xf numFmtId="2" fontId="0" fillId="0" borderId="16" xfId="0" applyNumberFormat="1" applyBorder="1"/>
    <xf numFmtId="2" fontId="0" fillId="0" borderId="27" xfId="0" applyNumberFormat="1" applyBorder="1"/>
    <xf numFmtId="2" fontId="0" fillId="0" borderId="27" xfId="1" applyNumberFormat="1" applyFont="1" applyBorder="1" applyAlignment="1">
      <alignment horizontal="right"/>
    </xf>
    <xf numFmtId="0" fontId="53" fillId="0" borderId="9" xfId="0" applyFont="1" applyBorder="1" applyAlignment="1">
      <alignment horizontal="right" vertical="top"/>
    </xf>
    <xf numFmtId="0" fontId="2" fillId="4" borderId="50" xfId="0" applyFont="1" applyFill="1" applyBorder="1"/>
    <xf numFmtId="0" fontId="2" fillId="4" borderId="34" xfId="0" applyFont="1" applyFill="1" applyBorder="1"/>
    <xf numFmtId="0" fontId="2" fillId="4" borderId="78" xfId="0" applyFont="1" applyFill="1" applyBorder="1"/>
    <xf numFmtId="9" fontId="1" fillId="2" borderId="33" xfId="1" applyFont="1" applyFill="1" applyBorder="1" applyAlignment="1" applyProtection="1">
      <alignment horizontal="center" vertical="center"/>
      <protection locked="0"/>
    </xf>
    <xf numFmtId="44" fontId="1" fillId="6" borderId="18" xfId="2" applyFont="1" applyFill="1" applyBorder="1" applyAlignment="1" applyProtection="1">
      <alignment horizontal="right" vertical="center"/>
    </xf>
    <xf numFmtId="44" fontId="1" fillId="6" borderId="19" xfId="2" applyFont="1" applyFill="1" applyBorder="1" applyAlignment="1" applyProtection="1">
      <alignment horizontal="right" vertical="center"/>
    </xf>
    <xf numFmtId="0" fontId="10" fillId="4" borderId="25" xfId="0" applyFont="1" applyFill="1" applyBorder="1"/>
    <xf numFmtId="0" fontId="54" fillId="4" borderId="33" xfId="0" applyFont="1" applyFill="1" applyBorder="1"/>
    <xf numFmtId="0" fontId="52" fillId="4" borderId="0" xfId="0" applyFont="1" applyFill="1"/>
    <xf numFmtId="0" fontId="12" fillId="4" borderId="25" xfId="0" applyFont="1" applyFill="1" applyBorder="1"/>
    <xf numFmtId="0" fontId="0" fillId="4" borderId="40" xfId="0" applyFill="1" applyBorder="1"/>
    <xf numFmtId="0" fontId="0" fillId="4" borderId="39" xfId="0" applyFill="1" applyBorder="1"/>
    <xf numFmtId="0" fontId="0" fillId="2" borderId="21" xfId="0" applyFill="1" applyBorder="1" applyAlignment="1">
      <alignment horizontal="left"/>
    </xf>
    <xf numFmtId="0" fontId="0" fillId="2" borderId="24" xfId="0" applyFill="1" applyBorder="1" applyAlignment="1">
      <alignment horizontal="left"/>
    </xf>
    <xf numFmtId="0" fontId="0" fillId="4" borderId="9" xfId="0" applyFill="1" applyBorder="1"/>
    <xf numFmtId="0" fontId="0" fillId="4" borderId="73" xfId="0" applyFill="1" applyBorder="1"/>
    <xf numFmtId="0" fontId="0" fillId="4" borderId="26" xfId="0" applyFill="1" applyBorder="1"/>
    <xf numFmtId="0" fontId="0" fillId="4" borderId="27" xfId="0" applyFill="1" applyBorder="1"/>
    <xf numFmtId="0" fontId="0" fillId="4" borderId="74" xfId="0" applyFill="1" applyBorder="1"/>
    <xf numFmtId="0" fontId="0" fillId="4" borderId="16" xfId="0" applyFill="1" applyBorder="1"/>
    <xf numFmtId="0" fontId="48" fillId="3" borderId="0" xfId="0" applyFont="1" applyFill="1" applyAlignment="1">
      <alignment horizontal="center" vertical="center"/>
    </xf>
    <xf numFmtId="49" fontId="0" fillId="2" borderId="19" xfId="0" applyNumberFormat="1" applyFill="1" applyBorder="1" applyAlignment="1" applyProtection="1">
      <alignment horizontal="right" vertical="center"/>
      <protection locked="0"/>
    </xf>
    <xf numFmtId="49" fontId="0" fillId="2" borderId="21" xfId="0" applyNumberFormat="1" applyFill="1" applyBorder="1" applyAlignment="1" applyProtection="1">
      <alignment horizontal="right" vertical="center"/>
      <protection locked="0"/>
    </xf>
    <xf numFmtId="49" fontId="16" fillId="2" borderId="21" xfId="3" applyNumberFormat="1" applyFill="1" applyBorder="1" applyAlignment="1" applyProtection="1">
      <alignment horizontal="right" vertical="center"/>
      <protection locked="0"/>
    </xf>
    <xf numFmtId="49" fontId="0" fillId="2" borderId="24" xfId="0" applyNumberFormat="1" applyFill="1" applyBorder="1" applyAlignment="1" applyProtection="1">
      <alignment horizontal="right" vertical="center"/>
      <protection locked="0"/>
    </xf>
    <xf numFmtId="49" fontId="0" fillId="2" borderId="2" xfId="0" applyNumberFormat="1" applyFill="1" applyBorder="1" applyAlignment="1" applyProtection="1">
      <alignment horizontal="right" vertical="center"/>
      <protection locked="0"/>
    </xf>
    <xf numFmtId="2" fontId="0" fillId="2" borderId="4" xfId="0" applyNumberFormat="1" applyFill="1" applyBorder="1" applyAlignment="1" applyProtection="1">
      <alignment horizontal="right" vertical="center"/>
      <protection locked="0"/>
    </xf>
    <xf numFmtId="2" fontId="0" fillId="2" borderId="4" xfId="1" applyNumberFormat="1" applyFont="1" applyFill="1" applyBorder="1" applyAlignment="1" applyProtection="1">
      <alignment horizontal="right" vertical="center"/>
      <protection locked="0"/>
    </xf>
    <xf numFmtId="2" fontId="0" fillId="2" borderId="52" xfId="0" applyNumberFormat="1" applyFill="1" applyBorder="1" applyAlignment="1" applyProtection="1">
      <alignment horizontal="right" vertical="center"/>
      <protection locked="0"/>
    </xf>
    <xf numFmtId="2" fontId="0" fillId="2" borderId="19" xfId="0" applyNumberFormat="1" applyFill="1" applyBorder="1" applyAlignment="1" applyProtection="1">
      <alignment horizontal="right" vertical="center"/>
      <protection locked="0"/>
    </xf>
    <xf numFmtId="2" fontId="0" fillId="2" borderId="30" xfId="0" applyNumberFormat="1" applyFill="1" applyBorder="1" applyAlignment="1" applyProtection="1">
      <alignment horizontal="right" vertical="center"/>
      <protection locked="0"/>
    </xf>
    <xf numFmtId="2" fontId="0" fillId="2" borderId="21" xfId="0" applyNumberFormat="1" applyFill="1" applyBorder="1" applyAlignment="1" applyProtection="1">
      <alignment horizontal="right" vertical="center"/>
      <protection locked="0"/>
    </xf>
    <xf numFmtId="49" fontId="0" fillId="2" borderId="59" xfId="0" applyNumberFormat="1" applyFill="1" applyBorder="1" applyAlignment="1" applyProtection="1">
      <alignment vertical="top" wrapText="1"/>
      <protection locked="0"/>
    </xf>
    <xf numFmtId="49" fontId="0" fillId="2" borderId="77" xfId="0" applyNumberFormat="1" applyFill="1" applyBorder="1" applyAlignment="1" applyProtection="1">
      <alignment vertical="top" wrapText="1"/>
      <protection locked="0"/>
    </xf>
    <xf numFmtId="1" fontId="0" fillId="2" borderId="51" xfId="1" applyNumberFormat="1" applyFont="1" applyFill="1" applyBorder="1" applyAlignment="1" applyProtection="1">
      <alignment horizontal="center" vertical="center"/>
      <protection locked="0"/>
    </xf>
    <xf numFmtId="1" fontId="0" fillId="4" borderId="0" xfId="0" applyNumberFormat="1" applyFill="1"/>
    <xf numFmtId="1" fontId="1" fillId="2" borderId="51" xfId="1" applyNumberFormat="1" applyFont="1" applyFill="1" applyBorder="1" applyAlignment="1" applyProtection="1">
      <alignment horizontal="center" vertical="center"/>
      <protection locked="0"/>
    </xf>
    <xf numFmtId="1" fontId="0" fillId="2" borderId="13" xfId="1" applyNumberFormat="1" applyFont="1" applyFill="1" applyBorder="1" applyAlignment="1" applyProtection="1">
      <alignment horizontal="center" vertical="center"/>
      <protection locked="0"/>
    </xf>
    <xf numFmtId="0" fontId="0" fillId="4" borderId="0" xfId="0" applyFill="1" applyAlignment="1">
      <alignment horizontal="left" vertical="top" wrapText="1"/>
    </xf>
    <xf numFmtId="0" fontId="40" fillId="4" borderId="0" xfId="3" applyFont="1" applyFill="1"/>
    <xf numFmtId="0" fontId="2" fillId="4" borderId="0" xfId="0" applyFont="1" applyFill="1"/>
    <xf numFmtId="0" fontId="0" fillId="0" borderId="0" xfId="0" applyAlignment="1">
      <alignment horizontal="left" vertical="top" wrapText="1"/>
    </xf>
    <xf numFmtId="0" fontId="2" fillId="4" borderId="0" xfId="0" applyFont="1" applyFill="1" applyAlignment="1">
      <alignment horizontal="left" vertical="top" wrapText="1"/>
    </xf>
    <xf numFmtId="0" fontId="45" fillId="4" borderId="0" xfId="0" applyFont="1" applyFill="1" applyAlignment="1">
      <alignment horizontal="right" vertical="center"/>
    </xf>
    <xf numFmtId="0" fontId="28" fillId="4" borderId="0" xfId="0" applyFont="1" applyFill="1" applyAlignment="1">
      <alignment horizontal="center" vertical="center" wrapText="1"/>
    </xf>
    <xf numFmtId="0" fontId="43" fillId="4" borderId="0" xfId="0" applyFont="1" applyFill="1" applyAlignment="1">
      <alignment horizontal="center" wrapText="1"/>
    </xf>
    <xf numFmtId="0" fontId="5" fillId="4" borderId="0" xfId="0" applyFont="1" applyFill="1" applyAlignment="1">
      <alignment horizontal="center" vertical="center"/>
    </xf>
    <xf numFmtId="0" fontId="5" fillId="4" borderId="8" xfId="0" applyFont="1" applyFill="1" applyBorder="1" applyAlignment="1">
      <alignment horizontal="center" vertical="center"/>
    </xf>
    <xf numFmtId="0" fontId="5" fillId="4" borderId="0" xfId="0" applyFont="1" applyFill="1" applyAlignment="1">
      <alignment horizontal="center" vertical="center" wrapText="1"/>
    </xf>
    <xf numFmtId="0" fontId="5" fillId="4" borderId="8" xfId="0"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2" fillId="9" borderId="5"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2" fillId="9" borderId="2" xfId="0" applyFont="1" applyFill="1" applyBorder="1" applyAlignment="1">
      <alignment horizontal="center" vertical="center"/>
    </xf>
    <xf numFmtId="0" fontId="12" fillId="9" borderId="5" xfId="0" applyFont="1" applyFill="1" applyBorder="1" applyAlignment="1">
      <alignment horizontal="center" vertical="center"/>
    </xf>
    <xf numFmtId="0" fontId="12" fillId="9" borderId="6" xfId="0" applyFont="1" applyFill="1" applyBorder="1" applyAlignment="1">
      <alignment horizontal="center" vertical="center"/>
    </xf>
    <xf numFmtId="0" fontId="12" fillId="4" borderId="29" xfId="0" applyFont="1" applyFill="1" applyBorder="1" applyAlignment="1">
      <alignment horizontal="center" vertical="center"/>
    </xf>
    <xf numFmtId="0" fontId="12" fillId="4" borderId="30"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39" xfId="0" applyFont="1" applyFill="1" applyBorder="1" applyAlignment="1">
      <alignment horizontal="center" vertical="center"/>
    </xf>
    <xf numFmtId="0" fontId="12" fillId="4" borderId="40" xfId="0" applyFont="1" applyFill="1" applyBorder="1" applyAlignment="1">
      <alignment horizontal="center" vertical="center"/>
    </xf>
    <xf numFmtId="0" fontId="28" fillId="4" borderId="0" xfId="0" applyFont="1" applyFill="1" applyAlignment="1">
      <alignment horizontal="left" vertical="center" wrapText="1"/>
    </xf>
    <xf numFmtId="0" fontId="45" fillId="4" borderId="3" xfId="0" applyFont="1" applyFill="1" applyBorder="1" applyAlignment="1">
      <alignment horizontal="right" vertical="center"/>
    </xf>
    <xf numFmtId="0" fontId="2" fillId="2" borderId="59" xfId="0" applyFont="1" applyFill="1" applyBorder="1" applyAlignment="1" applyProtection="1">
      <alignment horizontal="center" vertical="center" wrapText="1"/>
      <protection locked="0"/>
    </xf>
    <xf numFmtId="0" fontId="2" fillId="2" borderId="61" xfId="0" applyFont="1" applyFill="1" applyBorder="1" applyAlignment="1" applyProtection="1">
      <alignment horizontal="center" vertical="center" wrapText="1"/>
      <protection locked="0"/>
    </xf>
    <xf numFmtId="0" fontId="21" fillId="0" borderId="38"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6" xfId="0" applyFont="1" applyBorder="1" applyAlignment="1" applyProtection="1">
      <alignment horizontal="center" vertical="center" wrapText="1"/>
      <protection locked="0"/>
    </xf>
    <xf numFmtId="0" fontId="21" fillId="0" borderId="23" xfId="0" applyFont="1" applyBorder="1" applyAlignment="1" applyProtection="1">
      <alignment horizontal="center" vertical="center" wrapText="1"/>
      <protection locked="0"/>
    </xf>
    <xf numFmtId="0" fontId="13" fillId="0" borderId="26" xfId="3" applyFont="1" applyBorder="1" applyAlignment="1">
      <alignment horizontal="center" vertical="center" wrapText="1"/>
    </xf>
    <xf numFmtId="0" fontId="13" fillId="0" borderId="23" xfId="0" applyFont="1" applyBorder="1" applyAlignment="1">
      <alignment horizontal="center" vertical="center" wrapText="1"/>
    </xf>
    <xf numFmtId="0" fontId="34" fillId="0" borderId="1" xfId="3" applyFont="1" applyBorder="1" applyAlignment="1">
      <alignment horizontal="center" vertical="center"/>
    </xf>
    <xf numFmtId="0" fontId="32" fillId="0" borderId="7" xfId="3" applyFont="1" applyBorder="1" applyAlignment="1">
      <alignment horizontal="center" vertical="center"/>
    </xf>
    <xf numFmtId="0" fontId="32" fillId="0" borderId="2" xfId="3" applyFont="1" applyBorder="1" applyAlignment="1">
      <alignment horizontal="center" vertical="center"/>
    </xf>
    <xf numFmtId="0" fontId="32" fillId="0" borderId="5" xfId="3" applyFont="1" applyBorder="1" applyAlignment="1">
      <alignment horizontal="center" vertical="center"/>
    </xf>
    <xf numFmtId="0" fontId="32" fillId="0" borderId="8" xfId="3" applyFont="1" applyBorder="1" applyAlignment="1">
      <alignment horizontal="center" vertical="center"/>
    </xf>
    <xf numFmtId="0" fontId="32" fillId="0" borderId="6" xfId="3" applyFont="1" applyBorder="1" applyAlignment="1">
      <alignment horizontal="center" vertical="center"/>
    </xf>
    <xf numFmtId="0" fontId="0" fillId="0" borderId="59" xfId="0" applyBorder="1" applyAlignment="1">
      <alignment horizontal="center" vertical="center" wrapText="1"/>
    </xf>
    <xf numFmtId="0" fontId="0" fillId="0" borderId="61" xfId="0" applyBorder="1" applyAlignment="1">
      <alignment horizontal="center" vertical="center" wrapText="1"/>
    </xf>
    <xf numFmtId="0" fontId="21" fillId="0" borderId="0" xfId="0" applyFont="1" applyAlignment="1">
      <alignment horizontal="center" vertical="center" wrapText="1"/>
    </xf>
    <xf numFmtId="0" fontId="21" fillId="0" borderId="8" xfId="0" applyFont="1" applyBorder="1" applyAlignment="1">
      <alignment horizontal="center" vertical="center" wrapText="1"/>
    </xf>
    <xf numFmtId="0" fontId="2" fillId="0" borderId="3" xfId="0" applyFont="1" applyBorder="1" applyAlignment="1">
      <alignment horizontal="center" wrapText="1"/>
    </xf>
    <xf numFmtId="0" fontId="5" fillId="0" borderId="0" xfId="0" applyFont="1" applyAlignment="1">
      <alignment horizontal="center" vertical="center"/>
    </xf>
    <xf numFmtId="0" fontId="5" fillId="0" borderId="8" xfId="0" applyFont="1" applyBorder="1" applyAlignment="1">
      <alignment horizontal="center" vertical="center"/>
    </xf>
    <xf numFmtId="0" fontId="54" fillId="4" borderId="7" xfId="0" applyFont="1" applyFill="1" applyBorder="1" applyAlignment="1">
      <alignment horizontal="right" vertical="top" wrapText="1"/>
    </xf>
    <xf numFmtId="0" fontId="2" fillId="0" borderId="28" xfId="0" applyFont="1" applyBorder="1" applyAlignment="1">
      <alignment horizontal="center" vertical="center"/>
    </xf>
    <xf numFmtId="0" fontId="2" fillId="0" borderId="29" xfId="0" applyFont="1" applyBorder="1" applyAlignment="1">
      <alignment horizontal="center" vertical="center"/>
    </xf>
    <xf numFmtId="168" fontId="7" fillId="0" borderId="30" xfId="2" applyNumberFormat="1" applyFont="1" applyFill="1" applyBorder="1" applyAlignment="1">
      <alignment horizontal="right" vertical="center"/>
    </xf>
    <xf numFmtId="168" fontId="7" fillId="0" borderId="25" xfId="2" applyNumberFormat="1" applyFont="1" applyFill="1" applyBorder="1" applyAlignment="1">
      <alignment horizontal="right" vertical="center"/>
    </xf>
    <xf numFmtId="0" fontId="20" fillId="0" borderId="30" xfId="0" applyFont="1" applyBorder="1" applyAlignment="1">
      <alignment horizontal="center" vertical="center" wrapText="1"/>
    </xf>
    <xf numFmtId="0" fontId="20" fillId="0" borderId="25" xfId="0" applyFont="1" applyBorder="1" applyAlignment="1">
      <alignment horizontal="center" vertical="center" wrapText="1"/>
    </xf>
    <xf numFmtId="0" fontId="5" fillId="0" borderId="52" xfId="0" applyFont="1" applyBorder="1" applyAlignment="1">
      <alignment horizontal="center" vertical="center" shrinkToFit="1"/>
    </xf>
    <xf numFmtId="0" fontId="5" fillId="0" borderId="53" xfId="0" applyFont="1" applyBorder="1" applyAlignment="1">
      <alignment horizontal="center" vertical="center" shrinkToFit="1"/>
    </xf>
    <xf numFmtId="166" fontId="5" fillId="0" borderId="44" xfId="2" applyNumberFormat="1" applyFont="1" applyFill="1" applyBorder="1" applyAlignment="1">
      <alignment horizontal="right" vertical="center"/>
    </xf>
    <xf numFmtId="166" fontId="5" fillId="0" borderId="45" xfId="2" applyNumberFormat="1" applyFont="1" applyFill="1" applyBorder="1" applyAlignment="1">
      <alignment horizontal="right" vertical="center"/>
    </xf>
    <xf numFmtId="0" fontId="5" fillId="0" borderId="36" xfId="0" applyFont="1" applyBorder="1" applyAlignment="1">
      <alignment horizontal="center" vertical="center" shrinkToFit="1"/>
    </xf>
    <xf numFmtId="0" fontId="5" fillId="0" borderId="37" xfId="0" applyFont="1" applyBorder="1" applyAlignment="1">
      <alignment horizontal="center" vertical="center" shrinkToFi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166" fontId="7" fillId="0" borderId="39" xfId="2" applyNumberFormat="1" applyFont="1" applyFill="1" applyBorder="1" applyAlignment="1">
      <alignment horizontal="right" vertical="center"/>
    </xf>
    <xf numFmtId="166" fontId="7" fillId="0" borderId="40" xfId="2" applyNumberFormat="1" applyFont="1" applyFill="1" applyBorder="1" applyAlignment="1">
      <alignment horizontal="right" vertical="center"/>
    </xf>
    <xf numFmtId="0" fontId="44" fillId="4" borderId="0" xfId="0" applyFont="1" applyFill="1" applyAlignment="1">
      <alignment horizontal="center" vertical="center"/>
    </xf>
    <xf numFmtId="0" fontId="44" fillId="4" borderId="8" xfId="0" applyFont="1" applyFill="1" applyBorder="1" applyAlignment="1">
      <alignment horizontal="center" vertical="center"/>
    </xf>
    <xf numFmtId="166" fontId="5" fillId="0" borderId="39" xfId="2" applyNumberFormat="1" applyFont="1" applyFill="1" applyBorder="1" applyAlignment="1">
      <alignment horizontal="right" vertical="center"/>
    </xf>
    <xf numFmtId="166" fontId="5" fillId="0" borderId="40" xfId="2" applyNumberFormat="1" applyFont="1" applyFill="1" applyBorder="1" applyAlignment="1">
      <alignment horizontal="right" vertical="center"/>
    </xf>
    <xf numFmtId="166" fontId="7" fillId="0" borderId="44" xfId="2" applyNumberFormat="1" applyFont="1" applyFill="1" applyBorder="1" applyAlignment="1">
      <alignment horizontal="right" vertical="center"/>
    </xf>
    <xf numFmtId="166" fontId="7" fillId="0" borderId="45" xfId="2" applyNumberFormat="1" applyFont="1" applyFill="1" applyBorder="1" applyAlignment="1">
      <alignment horizontal="right"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166" fontId="5" fillId="0" borderId="6" xfId="2" applyNumberFormat="1" applyFont="1" applyFill="1" applyBorder="1" applyAlignment="1">
      <alignment horizontal="right"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166" fontId="7" fillId="0" borderId="56" xfId="2" applyNumberFormat="1" applyFont="1" applyFill="1" applyBorder="1" applyAlignment="1">
      <alignment horizontal="right" vertical="center"/>
    </xf>
    <xf numFmtId="0" fontId="5" fillId="0" borderId="12" xfId="0" applyFont="1" applyBorder="1" applyAlignment="1">
      <alignment horizontal="center" vertical="center"/>
    </xf>
    <xf numFmtId="166" fontId="36" fillId="0" borderId="27" xfId="3" applyNumberFormat="1" applyFont="1" applyFill="1" applyBorder="1" applyAlignment="1">
      <alignment horizontal="center" vertical="center"/>
    </xf>
    <xf numFmtId="166" fontId="2" fillId="0" borderId="27" xfId="2" applyNumberFormat="1" applyFont="1" applyFill="1" applyBorder="1" applyAlignment="1">
      <alignment horizontal="center" vertical="center"/>
    </xf>
    <xf numFmtId="166" fontId="7" fillId="0" borderId="44" xfId="2" applyNumberFormat="1" applyFont="1" applyFill="1" applyBorder="1" applyAlignment="1">
      <alignment horizontal="right"/>
    </xf>
    <xf numFmtId="166" fontId="7" fillId="0" borderId="46" xfId="2" applyNumberFormat="1" applyFont="1" applyFill="1" applyBorder="1" applyAlignment="1">
      <alignment horizontal="right"/>
    </xf>
    <xf numFmtId="166" fontId="7" fillId="0" borderId="56" xfId="2" applyNumberFormat="1" applyFont="1" applyFill="1" applyBorder="1" applyAlignment="1">
      <alignment horizontal="right"/>
    </xf>
    <xf numFmtId="0" fontId="5" fillId="0" borderId="41" xfId="0" applyFont="1" applyBorder="1" applyAlignment="1">
      <alignment horizontal="center" vertical="center"/>
    </xf>
    <xf numFmtId="0" fontId="5" fillId="0" borderId="2" xfId="0" applyFont="1" applyBorder="1" applyAlignment="1">
      <alignment horizontal="center" vertical="center"/>
    </xf>
    <xf numFmtId="166" fontId="7" fillId="0" borderId="39" xfId="2" applyNumberFormat="1" applyFont="1" applyFill="1" applyBorder="1" applyAlignment="1">
      <alignment horizontal="right"/>
    </xf>
    <xf numFmtId="166" fontId="7" fillId="0" borderId="40" xfId="2" applyNumberFormat="1" applyFont="1" applyFill="1" applyBorder="1" applyAlignment="1">
      <alignment horizontal="right"/>
    </xf>
    <xf numFmtId="166" fontId="7" fillId="0" borderId="6" xfId="2" applyNumberFormat="1" applyFont="1" applyFill="1" applyBorder="1" applyAlignment="1">
      <alignment horizontal="right"/>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7" fillId="0" borderId="52" xfId="0" applyFont="1" applyBorder="1" applyAlignment="1">
      <alignment horizontal="center" vertical="center"/>
    </xf>
    <xf numFmtId="0" fontId="7" fillId="0" borderId="7" xfId="0" applyFont="1" applyBorder="1" applyAlignment="1">
      <alignment horizontal="center" vertical="center"/>
    </xf>
    <xf numFmtId="166" fontId="5" fillId="0" borderId="28" xfId="0" applyNumberFormat="1" applyFont="1" applyBorder="1" applyAlignment="1">
      <alignment vertical="center"/>
    </xf>
    <xf numFmtId="166" fontId="5" fillId="0" borderId="33" xfId="0" applyNumberFormat="1" applyFont="1" applyBorder="1" applyAlignment="1">
      <alignment vertical="center"/>
    </xf>
    <xf numFmtId="166" fontId="7" fillId="0" borderId="44" xfId="0" applyNumberFormat="1" applyFont="1" applyBorder="1"/>
    <xf numFmtId="166" fontId="7" fillId="0" borderId="46" xfId="0" applyNumberFormat="1" applyFont="1" applyBorder="1"/>
    <xf numFmtId="0" fontId="7" fillId="0" borderId="2" xfId="0" applyFont="1" applyBorder="1" applyAlignment="1">
      <alignment horizontal="center" vertical="center"/>
    </xf>
    <xf numFmtId="166" fontId="5" fillId="0" borderId="48" xfId="0" applyNumberFormat="1" applyFont="1" applyBorder="1" applyAlignment="1">
      <alignment vertical="center"/>
    </xf>
    <xf numFmtId="166" fontId="7" fillId="0" borderId="56" xfId="0" applyNumberFormat="1" applyFont="1" applyBorder="1"/>
    <xf numFmtId="166" fontId="5" fillId="0" borderId="30" xfId="0" applyNumberFormat="1" applyFont="1" applyBorder="1" applyAlignment="1">
      <alignment vertical="center"/>
    </xf>
    <xf numFmtId="166" fontId="5" fillId="0" borderId="0" xfId="0" applyNumberFormat="1" applyFont="1" applyAlignment="1">
      <alignment vertical="center"/>
    </xf>
    <xf numFmtId="166" fontId="5" fillId="0" borderId="4" xfId="0" applyNumberFormat="1" applyFont="1" applyBorder="1" applyAlignment="1">
      <alignment vertical="center"/>
    </xf>
    <xf numFmtId="0" fontId="0" fillId="0" borderId="30" xfId="0" applyBorder="1" applyAlignment="1">
      <alignment horizontal="center"/>
    </xf>
    <xf numFmtId="0" fontId="0" fillId="0" borderId="0" xfId="0" applyAlignment="1">
      <alignment horizontal="center"/>
    </xf>
    <xf numFmtId="0" fontId="0" fillId="0" borderId="73" xfId="0" applyBorder="1" applyAlignment="1">
      <alignment horizontal="center"/>
    </xf>
    <xf numFmtId="0" fontId="0" fillId="0" borderId="74" xfId="0" applyBorder="1" applyAlignment="1">
      <alignment horizontal="center"/>
    </xf>
    <xf numFmtId="164" fontId="0" fillId="0" borderId="30" xfId="1" applyNumberFormat="1" applyFont="1" applyBorder="1" applyAlignment="1">
      <alignment horizontal="center"/>
    </xf>
    <xf numFmtId="164" fontId="0" fillId="0" borderId="0" xfId="1" applyNumberFormat="1" applyFont="1" applyBorder="1" applyAlignment="1">
      <alignment horizontal="center"/>
    </xf>
    <xf numFmtId="0" fontId="8" fillId="0" borderId="52" xfId="0" applyFont="1" applyBorder="1" applyAlignment="1">
      <alignment horizontal="center"/>
    </xf>
    <xf numFmtId="0" fontId="8" fillId="0" borderId="7" xfId="0" applyFont="1" applyBorder="1" applyAlignment="1">
      <alignment horizontal="center"/>
    </xf>
    <xf numFmtId="10" fontId="0" fillId="0" borderId="28" xfId="1" applyNumberFormat="1" applyFont="1" applyBorder="1"/>
    <xf numFmtId="10" fontId="0" fillId="0" borderId="29" xfId="1" applyNumberFormat="1" applyFont="1" applyBorder="1"/>
    <xf numFmtId="10" fontId="0" fillId="0" borderId="30" xfId="1" applyNumberFormat="1" applyFont="1" applyBorder="1"/>
    <xf numFmtId="10" fontId="0" fillId="0" borderId="25" xfId="1" applyNumberFormat="1" applyFont="1" applyBorder="1"/>
    <xf numFmtId="0" fontId="0" fillId="0" borderId="3" xfId="0" applyBorder="1"/>
    <xf numFmtId="0" fontId="0" fillId="0" borderId="25" xfId="0" applyBorder="1"/>
    <xf numFmtId="0" fontId="2" fillId="0" borderId="54" xfId="0" applyFont="1" applyBorder="1"/>
    <xf numFmtId="0" fontId="2" fillId="0" borderId="46" xfId="0" applyFont="1" applyBorder="1"/>
    <xf numFmtId="0" fontId="2" fillId="0" borderId="45" xfId="0" applyFont="1" applyBorder="1"/>
    <xf numFmtId="0" fontId="5" fillId="0" borderId="7" xfId="0" applyFont="1" applyBorder="1" applyAlignment="1">
      <alignment horizontal="center" vertical="center"/>
    </xf>
    <xf numFmtId="0" fontId="20" fillId="0" borderId="52" xfId="0" applyFont="1" applyBorder="1" applyAlignment="1">
      <alignment horizontal="center" vertical="center" wrapText="1"/>
    </xf>
    <xf numFmtId="0" fontId="20" fillId="0" borderId="7" xfId="0" applyFont="1" applyBorder="1" applyAlignment="1">
      <alignment horizontal="center" vertical="center" wrapText="1"/>
    </xf>
    <xf numFmtId="0" fontId="16" fillId="0" borderId="30" xfId="3" applyBorder="1" applyAlignment="1">
      <alignment horizontal="center"/>
    </xf>
    <xf numFmtId="0" fontId="16" fillId="0" borderId="0" xfId="3" applyBorder="1" applyAlignment="1">
      <alignment horizontal="center"/>
    </xf>
    <xf numFmtId="166" fontId="0" fillId="0" borderId="44" xfId="1" applyNumberFormat="1" applyFont="1" applyBorder="1"/>
    <xf numFmtId="166" fontId="0" fillId="0" borderId="56" xfId="1" applyNumberFormat="1" applyFont="1" applyBorder="1"/>
    <xf numFmtId="166" fontId="0" fillId="0" borderId="28" xfId="1" applyNumberFormat="1" applyFont="1" applyBorder="1"/>
    <xf numFmtId="166" fontId="0" fillId="0" borderId="48" xfId="1" applyNumberFormat="1" applyFont="1" applyBorder="1"/>
    <xf numFmtId="166" fontId="0" fillId="0" borderId="30" xfId="1" applyNumberFormat="1" applyFont="1" applyBorder="1"/>
    <xf numFmtId="166" fontId="0" fillId="0" borderId="4" xfId="1" applyNumberFormat="1" applyFont="1" applyBorder="1"/>
    <xf numFmtId="0" fontId="2" fillId="0" borderId="5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6" xfId="0" applyFont="1" applyBorder="1" applyAlignment="1">
      <alignment horizontal="center" vertical="center"/>
    </xf>
    <xf numFmtId="0" fontId="2" fillId="0" borderId="1" xfId="0" applyFont="1" applyBorder="1" applyAlignment="1">
      <alignment vertical="center"/>
    </xf>
    <xf numFmtId="0" fontId="2" fillId="0" borderId="7" xfId="0" applyFont="1" applyBorder="1" applyAlignment="1">
      <alignment vertical="center"/>
    </xf>
    <xf numFmtId="0" fontId="0" fillId="0" borderId="70" xfId="0" applyBorder="1"/>
    <xf numFmtId="0" fontId="0" fillId="0" borderId="29" xfId="0" applyBorder="1"/>
    <xf numFmtId="0" fontId="16" fillId="0" borderId="36" xfId="3" applyBorder="1" applyAlignment="1">
      <alignment horizontal="center" vertical="center"/>
    </xf>
    <xf numFmtId="0" fontId="16" fillId="0" borderId="41" xfId="3" applyBorder="1" applyAlignment="1">
      <alignment horizontal="center" vertical="center"/>
    </xf>
    <xf numFmtId="0" fontId="16" fillId="0" borderId="37" xfId="3" applyBorder="1" applyAlignment="1">
      <alignment horizontal="center" vertical="center"/>
    </xf>
    <xf numFmtId="0" fontId="2" fillId="4" borderId="3" xfId="0" applyFont="1" applyFill="1" applyBorder="1" applyAlignment="1">
      <alignment horizontal="center" vertical="center" wrapText="1"/>
    </xf>
    <xf numFmtId="166" fontId="5" fillId="0" borderId="44" xfId="0" applyNumberFormat="1" applyFont="1" applyBorder="1" applyAlignment="1">
      <alignment horizontal="right" vertical="center"/>
    </xf>
    <xf numFmtId="166" fontId="5" fillId="0" borderId="46" xfId="0" applyNumberFormat="1" applyFont="1" applyBorder="1" applyAlignment="1">
      <alignment horizontal="right"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0" fillId="0" borderId="30" xfId="0" applyBorder="1" applyAlignment="1">
      <alignment horizontal="center" vertical="center"/>
    </xf>
    <xf numFmtId="0" fontId="0" fillId="0" borderId="25"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166" fontId="5" fillId="0" borderId="56" xfId="0" applyNumberFormat="1" applyFont="1" applyBorder="1" applyAlignment="1">
      <alignment horizontal="right" vertical="center"/>
    </xf>
    <xf numFmtId="166" fontId="2" fillId="0" borderId="28" xfId="0" applyNumberFormat="1" applyFont="1" applyBorder="1" applyAlignment="1">
      <alignment horizontal="right" vertical="center"/>
    </xf>
    <xf numFmtId="166" fontId="2" fillId="0" borderId="33" xfId="0" applyNumberFormat="1" applyFont="1" applyBorder="1" applyAlignment="1">
      <alignment horizontal="right" vertical="center"/>
    </xf>
    <xf numFmtId="166" fontId="2" fillId="0" borderId="48" xfId="0" applyNumberFormat="1" applyFont="1" applyBorder="1" applyAlignment="1">
      <alignment horizontal="right" vertical="center"/>
    </xf>
    <xf numFmtId="166" fontId="2" fillId="0" borderId="30" xfId="0" applyNumberFormat="1" applyFont="1" applyBorder="1" applyAlignment="1">
      <alignment horizontal="right" vertical="center"/>
    </xf>
    <xf numFmtId="166" fontId="2" fillId="0" borderId="0" xfId="0" applyNumberFormat="1" applyFont="1" applyAlignment="1">
      <alignment horizontal="right" vertical="center"/>
    </xf>
    <xf numFmtId="166" fontId="2" fillId="0" borderId="4" xfId="0" applyNumberFormat="1" applyFont="1" applyBorder="1" applyAlignment="1">
      <alignment horizontal="right" vertical="center"/>
    </xf>
    <xf numFmtId="0" fontId="0" fillId="0" borderId="73" xfId="0" applyBorder="1" applyAlignment="1">
      <alignment vertical="center"/>
    </xf>
    <xf numFmtId="0" fontId="0" fillId="0" borderId="75" xfId="0" applyBorder="1" applyAlignment="1">
      <alignment vertical="center"/>
    </xf>
    <xf numFmtId="0" fontId="41" fillId="0" borderId="28" xfId="3" applyFont="1" applyBorder="1" applyAlignment="1">
      <alignment horizontal="center" vertical="center"/>
    </xf>
    <xf numFmtId="0" fontId="41" fillId="0" borderId="29" xfId="3" applyFont="1" applyBorder="1" applyAlignment="1">
      <alignment horizontal="center" vertical="center"/>
    </xf>
    <xf numFmtId="164" fontId="0" fillId="0" borderId="28" xfId="1" applyNumberFormat="1" applyFont="1" applyBorder="1" applyAlignment="1">
      <alignment horizontal="center" vertical="center"/>
    </xf>
    <xf numFmtId="164" fontId="0" fillId="0" borderId="29" xfId="1" applyNumberFormat="1" applyFont="1" applyBorder="1" applyAlignment="1">
      <alignment horizontal="center" vertical="center"/>
    </xf>
    <xf numFmtId="0" fontId="7" fillId="4" borderId="0" xfId="0" applyFont="1" applyFill="1" applyAlignment="1">
      <alignment horizontal="center" vertical="center"/>
    </xf>
    <xf numFmtId="0" fontId="7" fillId="4" borderId="8" xfId="0" applyFont="1" applyFill="1" applyBorder="1" applyAlignment="1">
      <alignment horizontal="center" vertical="center"/>
    </xf>
    <xf numFmtId="166" fontId="0" fillId="0" borderId="30" xfId="1" applyNumberFormat="1" applyFont="1" applyBorder="1" applyAlignment="1">
      <alignment horizontal="right" vertical="center"/>
    </xf>
    <xf numFmtId="166" fontId="0" fillId="0" borderId="4" xfId="1" applyNumberFormat="1" applyFont="1" applyBorder="1" applyAlignment="1">
      <alignment horizontal="right" vertical="center"/>
    </xf>
    <xf numFmtId="166" fontId="0" fillId="0" borderId="31" xfId="1" applyNumberFormat="1" applyFont="1" applyBorder="1" applyAlignment="1">
      <alignment horizontal="right" vertical="center"/>
    </xf>
    <xf numFmtId="166" fontId="0" fillId="0" borderId="13" xfId="1" applyNumberFormat="1" applyFont="1" applyBorder="1" applyAlignment="1">
      <alignment horizontal="right" vertical="center"/>
    </xf>
    <xf numFmtId="10" fontId="0" fillId="0" borderId="30" xfId="1" applyNumberFormat="1" applyFont="1" applyBorder="1" applyAlignment="1">
      <alignment horizontal="right" vertical="center"/>
    </xf>
    <xf numFmtId="10" fontId="0" fillId="0" borderId="25" xfId="1" applyNumberFormat="1" applyFont="1" applyBorder="1" applyAlignment="1">
      <alignment horizontal="right" vertical="center"/>
    </xf>
    <xf numFmtId="0" fontId="0" fillId="0" borderId="3" xfId="0" applyBorder="1" applyAlignment="1">
      <alignment vertical="center"/>
    </xf>
    <xf numFmtId="0" fontId="0" fillId="0" borderId="25" xfId="0" applyBorder="1" applyAlignment="1">
      <alignment vertical="center"/>
    </xf>
    <xf numFmtId="0" fontId="0" fillId="0" borderId="71" xfId="0" applyBorder="1" applyAlignment="1">
      <alignment vertical="center"/>
    </xf>
    <xf numFmtId="0" fontId="0" fillId="0" borderId="32" xfId="0" applyBorder="1" applyAlignment="1">
      <alignment vertical="center"/>
    </xf>
    <xf numFmtId="10" fontId="0" fillId="0" borderId="31" xfId="1" applyNumberFormat="1" applyFont="1" applyBorder="1" applyAlignment="1">
      <alignment horizontal="right" vertical="center"/>
    </xf>
    <xf numFmtId="10" fontId="0" fillId="0" borderId="32" xfId="1" applyNumberFormat="1" applyFont="1" applyBorder="1" applyAlignment="1">
      <alignment horizontal="right" vertical="center"/>
    </xf>
    <xf numFmtId="0" fontId="0" fillId="0" borderId="70" xfId="0" applyBorder="1" applyAlignment="1">
      <alignment vertical="center"/>
    </xf>
    <xf numFmtId="0" fontId="0" fillId="0" borderId="29" xfId="0" applyBorder="1" applyAlignment="1">
      <alignment vertical="center"/>
    </xf>
    <xf numFmtId="10" fontId="0" fillId="0" borderId="28" xfId="1" applyNumberFormat="1" applyFont="1" applyBorder="1" applyAlignment="1">
      <alignment horizontal="right" vertical="center"/>
    </xf>
    <xf numFmtId="10" fontId="0" fillId="0" borderId="29" xfId="1" applyNumberFormat="1" applyFont="1" applyBorder="1" applyAlignment="1">
      <alignment horizontal="right" vertical="center"/>
    </xf>
    <xf numFmtId="166" fontId="0" fillId="0" borderId="28" xfId="1" applyNumberFormat="1" applyFont="1" applyBorder="1" applyAlignment="1">
      <alignment horizontal="right" vertical="center"/>
    </xf>
    <xf numFmtId="166" fontId="0" fillId="0" borderId="48" xfId="1" applyNumberFormat="1" applyFont="1" applyBorder="1" applyAlignment="1">
      <alignment horizontal="right" vertical="center"/>
    </xf>
    <xf numFmtId="0" fontId="2" fillId="0" borderId="54" xfId="0" applyFont="1" applyBorder="1" applyAlignment="1">
      <alignment vertical="center"/>
    </xf>
    <xf numFmtId="0" fontId="2" fillId="0" borderId="46" xfId="0" applyFont="1" applyBorder="1" applyAlignment="1">
      <alignment vertical="center"/>
    </xf>
    <xf numFmtId="0" fontId="2" fillId="0" borderId="45" xfId="0" applyFont="1" applyBorder="1" applyAlignment="1">
      <alignment vertical="center"/>
    </xf>
    <xf numFmtId="166" fontId="0" fillId="0" borderId="44" xfId="1" applyNumberFormat="1" applyFont="1" applyBorder="1" applyAlignment="1">
      <alignment horizontal="right" vertical="center"/>
    </xf>
    <xf numFmtId="166" fontId="0" fillId="0" borderId="56" xfId="1" applyNumberFormat="1" applyFont="1" applyBorder="1" applyAlignment="1">
      <alignment horizontal="right" vertical="center"/>
    </xf>
    <xf numFmtId="0" fontId="2" fillId="0" borderId="44" xfId="0" applyFont="1" applyBorder="1" applyAlignment="1">
      <alignment vertical="center"/>
    </xf>
    <xf numFmtId="0" fontId="2" fillId="0" borderId="11" xfId="0" applyFont="1" applyBorder="1" applyAlignment="1">
      <alignment vertical="center"/>
    </xf>
    <xf numFmtId="0" fontId="2" fillId="0" borderId="37" xfId="0" applyFont="1" applyBorder="1" applyAlignment="1">
      <alignment vertical="center"/>
    </xf>
    <xf numFmtId="0" fontId="20" fillId="0" borderId="36"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1" xfId="0" applyBorder="1"/>
    <xf numFmtId="0" fontId="0" fillId="0" borderId="53" xfId="0" applyBorder="1"/>
    <xf numFmtId="0" fontId="0" fillId="0" borderId="5" xfId="0" applyBorder="1"/>
    <xf numFmtId="0" fontId="0" fillId="0" borderId="40" xfId="0" applyBorder="1"/>
    <xf numFmtId="0" fontId="2" fillId="0" borderId="65" xfId="0" applyFont="1" applyBorder="1"/>
    <xf numFmtId="0" fontId="2" fillId="0" borderId="68" xfId="0" applyFont="1" applyBorder="1"/>
    <xf numFmtId="0" fontId="8" fillId="0" borderId="5" xfId="0" applyFont="1" applyBorder="1"/>
    <xf numFmtId="0" fontId="8" fillId="0" borderId="40" xfId="0" applyFont="1" applyBorder="1"/>
    <xf numFmtId="0" fontId="8" fillId="0" borderId="3" xfId="0" applyFont="1" applyBorder="1"/>
    <xf numFmtId="0" fontId="8" fillId="0" borderId="25" xfId="0" applyFont="1" applyBorder="1"/>
    <xf numFmtId="0" fontId="2" fillId="0" borderId="41" xfId="0" applyFont="1" applyBorder="1" applyAlignment="1">
      <alignment vertical="center"/>
    </xf>
    <xf numFmtId="0" fontId="0" fillId="0" borderId="33" xfId="0" applyBorder="1" applyAlignment="1">
      <alignment vertical="center"/>
    </xf>
    <xf numFmtId="0" fontId="0" fillId="0" borderId="51" xfId="0" applyBorder="1" applyAlignment="1">
      <alignment vertical="center"/>
    </xf>
    <xf numFmtId="0" fontId="0" fillId="0" borderId="28" xfId="0" applyBorder="1" applyAlignment="1">
      <alignment horizontal="left"/>
    </xf>
    <xf numFmtId="0" fontId="0" fillId="0" borderId="29" xfId="0" applyBorder="1" applyAlignment="1">
      <alignment horizontal="left"/>
    </xf>
    <xf numFmtId="0" fontId="5" fillId="0" borderId="31" xfId="0" applyFont="1" applyBorder="1" applyAlignment="1">
      <alignment horizontal="right"/>
    </xf>
    <xf numFmtId="0" fontId="5" fillId="0" borderId="32" xfId="0" applyFont="1" applyBorder="1" applyAlignment="1">
      <alignment horizontal="right"/>
    </xf>
    <xf numFmtId="166" fontId="7" fillId="0" borderId="44" xfId="2" applyNumberFormat="1" applyFont="1" applyFill="1" applyBorder="1" applyAlignment="1"/>
    <xf numFmtId="166" fontId="7" fillId="0" borderId="45" xfId="2" applyNumberFormat="1" applyFont="1" applyFill="1" applyBorder="1" applyAlignment="1"/>
    <xf numFmtId="0" fontId="0" fillId="0" borderId="48" xfId="0" applyBorder="1" applyAlignment="1">
      <alignment horizontal="left"/>
    </xf>
    <xf numFmtId="0" fontId="5" fillId="0" borderId="13" xfId="0" applyFont="1" applyBorder="1" applyAlignment="1">
      <alignment horizontal="right"/>
    </xf>
    <xf numFmtId="166" fontId="7" fillId="0" borderId="56" xfId="2" applyNumberFormat="1" applyFont="1" applyFill="1" applyBorder="1" applyAlignment="1"/>
    <xf numFmtId="0" fontId="2" fillId="0" borderId="3" xfId="0" applyFont="1" applyBorder="1" applyAlignment="1">
      <alignment horizontal="left"/>
    </xf>
    <xf numFmtId="0" fontId="2" fillId="0" borderId="25" xfId="0" applyFont="1" applyBorder="1" applyAlignment="1">
      <alignment horizontal="left"/>
    </xf>
    <xf numFmtId="0" fontId="2" fillId="0" borderId="71" xfId="0" applyFont="1" applyBorder="1" applyAlignment="1">
      <alignment horizontal="left"/>
    </xf>
    <xf numFmtId="0" fontId="2" fillId="0" borderId="32" xfId="0" applyFont="1" applyBorder="1" applyAlignment="1">
      <alignment horizontal="left"/>
    </xf>
    <xf numFmtId="0" fontId="2" fillId="0" borderId="54" xfId="0" applyFont="1" applyBorder="1" applyAlignment="1">
      <alignment horizontal="left"/>
    </xf>
    <xf numFmtId="0" fontId="2" fillId="0" borderId="45" xfId="0" applyFont="1" applyBorder="1" applyAlignment="1">
      <alignment horizontal="left"/>
    </xf>
    <xf numFmtId="0" fontId="2" fillId="0" borderId="11" xfId="0" applyFont="1" applyBorder="1" applyAlignment="1">
      <alignment horizontal="left"/>
    </xf>
    <xf numFmtId="0" fontId="2" fillId="0" borderId="37" xfId="0" applyFont="1" applyBorder="1" applyAlignment="1">
      <alignment horizontal="left"/>
    </xf>
    <xf numFmtId="0" fontId="2" fillId="0" borderId="70" xfId="0" applyFont="1" applyBorder="1" applyAlignment="1">
      <alignment horizontal="left"/>
    </xf>
    <xf numFmtId="0" fontId="2" fillId="0" borderId="29" xfId="0" applyFont="1" applyBorder="1" applyAlignment="1">
      <alignment horizontal="left"/>
    </xf>
    <xf numFmtId="0" fontId="2" fillId="0" borderId="53" xfId="0" applyFont="1" applyBorder="1" applyAlignment="1">
      <alignment vertical="center"/>
    </xf>
    <xf numFmtId="0" fontId="2" fillId="0" borderId="70" xfId="0" applyFont="1" applyBorder="1"/>
    <xf numFmtId="0" fontId="2" fillId="0" borderId="29" xfId="0" applyFont="1" applyBorder="1"/>
    <xf numFmtId="0" fontId="2" fillId="0" borderId="3" xfId="0" applyFont="1" applyBorder="1"/>
    <xf numFmtId="0" fontId="2" fillId="0" borderId="25" xfId="0" applyFont="1" applyBorder="1"/>
    <xf numFmtId="0" fontId="0" fillId="0" borderId="30" xfId="0" applyBorder="1" applyAlignment="1">
      <alignment horizontal="left"/>
    </xf>
    <xf numFmtId="0" fontId="0" fillId="0" borderId="25" xfId="0" applyBorder="1" applyAlignment="1">
      <alignment horizontal="left"/>
    </xf>
    <xf numFmtId="0" fontId="0" fillId="0" borderId="4" xfId="0" applyBorder="1" applyAlignment="1">
      <alignment horizontal="left"/>
    </xf>
    <xf numFmtId="0" fontId="0" fillId="0" borderId="31" xfId="0" applyBorder="1" applyAlignment="1">
      <alignment horizontal="left"/>
    </xf>
    <xf numFmtId="0" fontId="0" fillId="0" borderId="13" xfId="0" applyBorder="1" applyAlignment="1">
      <alignment horizontal="left"/>
    </xf>
    <xf numFmtId="166" fontId="0" fillId="0" borderId="44" xfId="2" applyNumberFormat="1" applyFont="1" applyFill="1" applyBorder="1" applyAlignment="1">
      <alignment horizontal="left"/>
    </xf>
    <xf numFmtId="166" fontId="0" fillId="0" borderId="45" xfId="2" applyNumberFormat="1" applyFont="1" applyFill="1" applyBorder="1" applyAlignment="1">
      <alignment horizontal="left"/>
    </xf>
    <xf numFmtId="0" fontId="0" fillId="0" borderId="32" xfId="0" applyBorder="1" applyAlignment="1">
      <alignment horizontal="left"/>
    </xf>
    <xf numFmtId="166" fontId="0" fillId="0" borderId="56" xfId="2" applyNumberFormat="1" applyFont="1" applyFill="1" applyBorder="1" applyAlignment="1">
      <alignment horizontal="left"/>
    </xf>
    <xf numFmtId="0" fontId="0" fillId="4" borderId="30" xfId="0" applyFill="1" applyBorder="1" applyAlignment="1">
      <alignment horizontal="left" vertical="center" wrapText="1"/>
    </xf>
    <xf numFmtId="0" fontId="0" fillId="4" borderId="25" xfId="0" applyFill="1" applyBorder="1" applyAlignment="1">
      <alignment horizontal="left" vertical="center" wrapText="1"/>
    </xf>
    <xf numFmtId="0" fontId="7" fillId="4" borderId="0" xfId="0" applyFont="1" applyFill="1" applyAlignment="1">
      <alignment horizontal="center" vertical="center" wrapText="1"/>
    </xf>
    <xf numFmtId="0" fontId="7" fillId="4" borderId="8" xfId="0" applyFont="1" applyFill="1" applyBorder="1" applyAlignment="1">
      <alignment horizontal="center" vertical="center" wrapText="1"/>
    </xf>
    <xf numFmtId="0" fontId="9" fillId="0" borderId="9" xfId="0" applyFont="1" applyBorder="1" applyAlignment="1">
      <alignment horizontal="center" vertical="top"/>
    </xf>
    <xf numFmtId="0" fontId="0" fillId="0" borderId="16" xfId="0" applyBorder="1"/>
    <xf numFmtId="0" fontId="0" fillId="0" borderId="27" xfId="0" applyBorder="1"/>
    <xf numFmtId="0" fontId="2" fillId="0" borderId="9" xfId="0" applyFont="1" applyBorder="1" applyAlignment="1">
      <alignment horizontal="center" vertical="top"/>
    </xf>
    <xf numFmtId="0" fontId="2" fillId="0" borderId="26" xfId="0" applyFont="1" applyBorder="1" applyAlignment="1">
      <alignment horizontal="center" vertical="top"/>
    </xf>
    <xf numFmtId="0" fontId="46" fillId="0" borderId="9" xfId="0" applyFont="1" applyBorder="1" applyAlignment="1">
      <alignment horizontal="center" vertical="top"/>
    </xf>
    <xf numFmtId="0" fontId="46" fillId="0" borderId="26" xfId="0" applyFont="1" applyBorder="1" applyAlignment="1">
      <alignment horizontal="center" vertical="top"/>
    </xf>
    <xf numFmtId="0" fontId="46" fillId="0" borderId="16" xfId="0" applyFont="1" applyBorder="1" applyAlignment="1">
      <alignment horizontal="center" vertical="top"/>
    </xf>
    <xf numFmtId="0" fontId="9" fillId="0" borderId="26" xfId="0" applyFont="1" applyBorder="1" applyAlignment="1">
      <alignment horizontal="center" vertical="top"/>
    </xf>
    <xf numFmtId="0" fontId="9" fillId="0" borderId="16" xfId="0" applyFont="1" applyBorder="1" applyAlignment="1">
      <alignment horizontal="center" vertical="top"/>
    </xf>
    <xf numFmtId="0" fontId="9" fillId="0" borderId="27" xfId="0" applyFont="1" applyBorder="1" applyAlignment="1">
      <alignment horizontal="center" vertical="top"/>
    </xf>
    <xf numFmtId="0" fontId="0" fillId="0" borderId="25" xfId="0" applyBorder="1" applyAlignment="1">
      <alignment horizontal="center" vertical="top"/>
    </xf>
    <xf numFmtId="0" fontId="0" fillId="0" borderId="29" xfId="0" applyBorder="1" applyAlignment="1">
      <alignment horizontal="center" vertical="top"/>
    </xf>
    <xf numFmtId="0" fontId="0" fillId="0" borderId="32" xfId="0" applyBorder="1" applyAlignment="1">
      <alignment horizontal="center" vertical="top"/>
    </xf>
    <xf numFmtId="0" fontId="47" fillId="0" borderId="29" xfId="0" applyFont="1" applyBorder="1" applyAlignment="1">
      <alignment horizontal="center" vertical="top"/>
    </xf>
    <xf numFmtId="0" fontId="47" fillId="0" borderId="25" xfId="0" applyFont="1" applyBorder="1" applyAlignment="1">
      <alignment horizontal="center" vertical="top"/>
    </xf>
    <xf numFmtId="0" fontId="0" fillId="0" borderId="33" xfId="0" applyBorder="1" applyAlignment="1">
      <alignment horizontal="center"/>
    </xf>
  </cellXfs>
  <cellStyles count="5">
    <cellStyle name="Gevolgde hyperlink" xfId="4" builtinId="9" customBuiltin="1"/>
    <cellStyle name="Hyperlink" xfId="3" builtinId="8"/>
    <cellStyle name="Procent" xfId="1" builtinId="5"/>
    <cellStyle name="Standaard" xfId="0" builtinId="0"/>
    <cellStyle name="Valuta" xfId="2" builtinId="4"/>
  </cellStyles>
  <dxfs count="3621">
    <dxf>
      <font>
        <color theme="0"/>
      </font>
    </dxf>
    <dxf>
      <font>
        <color theme="0"/>
      </font>
    </dxf>
    <dxf>
      <font>
        <color theme="0"/>
      </font>
      <fill>
        <patternFill>
          <bgColor theme="0"/>
        </patternFill>
      </fill>
      <border>
        <vertical/>
        <horizontal/>
      </border>
    </dxf>
    <dxf>
      <border>
        <bottom style="thin">
          <color auto="1"/>
        </bottom>
        <vertical/>
        <horizontal/>
      </border>
    </dxf>
    <dxf>
      <border>
        <left/>
        <right/>
        <top/>
        <bottom/>
        <vertical/>
        <horizontal/>
      </border>
    </dxf>
    <dxf>
      <font>
        <color theme="6" tint="0.59996337778862885"/>
      </font>
      <fill>
        <patternFill>
          <bgColor theme="6" tint="0.59996337778862885"/>
        </patternFill>
      </fill>
    </dxf>
    <dxf>
      <border>
        <right style="thin">
          <color auto="1"/>
        </right>
        <vertical/>
        <horizontal/>
      </border>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dxf>
    <dxf>
      <font>
        <color theme="0"/>
      </font>
    </dxf>
    <dxf>
      <fill>
        <patternFill>
          <bgColor rgb="FFF0FAE6"/>
        </patternFill>
      </fill>
    </dxf>
    <dxf>
      <fill>
        <patternFill>
          <bgColor rgb="FFF0FAE6"/>
        </patternFill>
      </fill>
    </dxf>
    <dxf>
      <fill>
        <patternFill>
          <bgColor rgb="FFF0FAE6"/>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top style="thin">
          <color auto="1"/>
        </top>
        <vertical/>
        <horizontal/>
      </border>
    </dxf>
    <dxf>
      <fill>
        <patternFill>
          <bgColor theme="4" tint="0.59996337778862885"/>
        </patternFill>
      </fill>
    </dxf>
    <dxf>
      <fill>
        <patternFill>
          <bgColor theme="4" tint="0.59996337778862885"/>
        </patternFill>
      </fill>
    </dxf>
    <dxf>
      <fill>
        <patternFill>
          <bgColor theme="4" tint="0.39994506668294322"/>
        </patternFill>
      </fill>
    </dxf>
    <dxf>
      <fill>
        <patternFill>
          <bgColor theme="4" tint="0.59996337778862885"/>
        </patternFill>
      </fill>
    </dxf>
    <dxf>
      <border>
        <top style="thin">
          <color auto="1"/>
        </top>
        <vertical/>
        <horizontal/>
      </border>
    </dxf>
    <dxf>
      <fill>
        <patternFill>
          <bgColor theme="4" tint="0.59996337778862885"/>
        </patternFill>
      </fill>
    </dxf>
    <dxf>
      <fill>
        <patternFill>
          <bgColor theme="4" tint="0.59996337778862885"/>
        </patternFill>
      </fill>
    </dxf>
    <dxf>
      <fill>
        <patternFill>
          <bgColor theme="4" tint="0.59996337778862885"/>
        </patternFill>
      </fill>
    </dxf>
    <dxf>
      <border>
        <top style="thin">
          <color auto="1"/>
        </top>
        <vertical/>
        <horizontal/>
      </border>
    </dxf>
    <dxf>
      <fill>
        <patternFill>
          <bgColor theme="4" tint="0.39994506668294322"/>
        </patternFill>
      </fill>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39994506668294322"/>
        </patternFill>
      </fill>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0" formatCode="Genera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dxf>
    <dxf>
      <border>
        <top style="thin">
          <color auto="1"/>
        </top>
        <vertical/>
        <horizontal/>
      </border>
    </dxf>
    <dxf>
      <border>
        <top style="thin">
          <color auto="1"/>
        </top>
        <vertical/>
        <horizontal/>
      </border>
    </dxf>
    <dxf>
      <fill>
        <patternFill>
          <bgColor theme="4" tint="0.59996337778862885"/>
        </patternFill>
      </fill>
    </dxf>
    <dxf>
      <fill>
        <patternFill>
          <bgColor theme="4" tint="0.59996337778862885"/>
        </patternFill>
      </fill>
    </dxf>
    <dxf>
      <border>
        <top style="thin">
          <color auto="1"/>
        </top>
        <vertical/>
        <horizontal/>
      </border>
    </dxf>
    <dxf>
      <border>
        <top style="thin">
          <color auto="1"/>
        </top>
        <vertical/>
        <horizontal/>
      </border>
    </dxf>
    <dxf>
      <fill>
        <patternFill>
          <bgColor theme="4" tint="0.59996337778862885"/>
        </patternFill>
      </fill>
    </dxf>
    <dxf>
      <fill>
        <patternFill>
          <bgColor theme="4" tint="0.59996337778862885"/>
        </patternFill>
      </fill>
    </dxf>
    <dxf>
      <border>
        <top style="thin">
          <color auto="1"/>
        </top>
        <vertical/>
        <horizontal/>
      </border>
    </dxf>
    <dxf>
      <border>
        <top style="thin">
          <color auto="1"/>
        </top>
        <vertical/>
        <horizontal/>
      </border>
    </dxf>
    <dxf>
      <fill>
        <patternFill>
          <bgColor theme="4" tint="0.59996337778862885"/>
        </patternFill>
      </fill>
    </dxf>
    <dxf>
      <numFmt numFmtId="171" formatCode="[$€-413]\ #,##0.0000"/>
    </dxf>
    <dxf>
      <numFmt numFmtId="171" formatCode="[$€-413]\ #,##0.0000"/>
    </dxf>
    <dxf>
      <fill>
        <patternFill>
          <bgColor theme="4" tint="0.59996337778862885"/>
        </patternFill>
      </fill>
    </dxf>
    <dxf>
      <border>
        <top style="thin">
          <color auto="1"/>
        </top>
        <vertical/>
        <horizontal/>
      </border>
    </dxf>
    <dxf>
      <border>
        <top style="thin">
          <color auto="1"/>
        </top>
        <vertical/>
        <horizontal/>
      </border>
    </dxf>
    <dxf>
      <fill>
        <patternFill>
          <bgColor theme="4" tint="0.59996337778862885"/>
        </patternFill>
      </fill>
    </dxf>
    <dxf>
      <numFmt numFmtId="171" formatCode="[$€-413]\ #,##0.0000"/>
    </dxf>
    <dxf>
      <fill>
        <patternFill>
          <bgColor theme="4" tint="0.59996337778862885"/>
        </patternFill>
      </fill>
    </dxf>
    <dxf>
      <border>
        <top style="thin">
          <color auto="1"/>
        </top>
        <vertical/>
        <horizontal/>
      </border>
    </dxf>
    <dxf>
      <border>
        <top style="thin">
          <color auto="1"/>
        </top>
        <vertical/>
        <horizontal/>
      </border>
    </dxf>
    <dxf>
      <fill>
        <patternFill>
          <bgColor theme="4" tint="0.59996337778862885"/>
        </patternFill>
      </fill>
    </dxf>
    <dxf>
      <numFmt numFmtId="171" formatCode="[$€-413]\ #,##0.0000"/>
    </dxf>
    <dxf>
      <fill>
        <patternFill>
          <bgColor theme="4" tint="0.59996337778862885"/>
        </patternFill>
      </fill>
    </dxf>
    <dxf>
      <border>
        <top style="thin">
          <color auto="1"/>
        </top>
        <vertical/>
        <horizontal/>
      </border>
    </dxf>
    <dxf>
      <border>
        <top style="thin">
          <color auto="1"/>
        </top>
        <vertical/>
        <horizontal/>
      </border>
    </dxf>
    <dxf>
      <fill>
        <patternFill>
          <bgColor theme="4" tint="0.59996337778862885"/>
        </patternFill>
      </fill>
    </dxf>
    <dxf>
      <numFmt numFmtId="171" formatCode="[$€-413]\ #,##0.0000"/>
    </dxf>
    <dxf>
      <numFmt numFmtId="171" formatCode="[$€-413]\ #,##0.0000"/>
    </dxf>
    <dxf>
      <fill>
        <patternFill>
          <bgColor theme="4" tint="0.59996337778862885"/>
        </patternFill>
      </fill>
    </dxf>
    <dxf>
      <font>
        <color theme="0"/>
      </font>
    </dxf>
    <dxf>
      <font>
        <color theme="6" tint="0.59996337778862885"/>
      </font>
      <fill>
        <patternFill>
          <bgColor theme="6" tint="0.59996337778862885"/>
        </patternFill>
      </fill>
    </dxf>
    <dxf>
      <font>
        <color theme="0"/>
      </font>
    </dxf>
    <dxf>
      <font>
        <color theme="6" tint="0.59996337778862885"/>
      </font>
      <fill>
        <patternFill>
          <bgColor theme="6" tint="0.59996337778862885"/>
        </patternFill>
      </fill>
    </dxf>
    <dxf>
      <font>
        <color theme="0"/>
      </font>
    </dxf>
    <dxf>
      <font>
        <color theme="6" tint="0.59996337778862885"/>
      </font>
      <fill>
        <patternFill>
          <bgColor theme="6" tint="0.59996337778862885"/>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numFmt numFmtId="172" formatCode="_-&quot;€&quot;\ * #,##0.0000_-;_-&quot;€&quot;\ * \-#,##0.0000_-;_-&quot;€&quot;\ * &quot;-&quot;??_-;_-@_-"/>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39994506668294322"/>
        </patternFill>
      </fill>
    </dxf>
    <dxf>
      <border>
        <top style="thin">
          <color auto="1"/>
        </top>
        <vertical/>
        <horizontal/>
      </border>
    </dxf>
    <dxf>
      <fill>
        <patternFill>
          <bgColor theme="0"/>
        </patternFill>
      </fill>
    </dxf>
    <dxf>
      <fill>
        <patternFill>
          <bgColor theme="4" tint="0.59996337778862885"/>
        </patternFill>
      </fill>
    </dxf>
    <dxf>
      <fill>
        <patternFill>
          <bgColor theme="4" tint="0.39994506668294322"/>
        </patternFill>
      </fill>
    </dxf>
    <dxf>
      <border>
        <top style="thin">
          <color auto="1"/>
        </top>
        <vertical/>
        <horizontal/>
      </border>
    </dxf>
    <dxf>
      <border>
        <top style="thin">
          <color auto="1"/>
        </top>
        <vertical/>
        <horizontal/>
      </border>
    </dxf>
    <dxf>
      <fill>
        <patternFill>
          <bgColor theme="4" tint="0.5999633777886288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4" tint="0.59996337778862885"/>
        </patternFill>
      </fill>
    </dxf>
    <dxf>
      <fill>
        <patternFill>
          <bgColor theme="0"/>
        </patternFill>
      </fill>
    </dxf>
    <dxf>
      <numFmt numFmtId="172" formatCode="_-&quot;€&quot;\ * #,##0.0000_-;_-&quot;€&quot;\ * \-#,##0.0000_-;_-&quot;€&quot;\ * &quot;-&quot;??_-;_-@_-"/>
    </dxf>
    <dxf>
      <numFmt numFmtId="172" formatCode="_-&quot;€&quot;\ * #,##0.0000_-;_-&quot;€&quot;\ * \-#,##0.0000_-;_-&quot;€&quot;\ * &quot;-&quot;??_-;_-@_-"/>
    </dxf>
    <dxf>
      <fill>
        <patternFill>
          <bgColor theme="0"/>
        </patternFill>
      </fill>
    </dxf>
    <dxf>
      <fill>
        <patternFill>
          <bgColor theme="4" tint="0.59996337778862885"/>
        </patternFill>
      </fill>
    </dxf>
    <dxf>
      <fill>
        <patternFill>
          <bgColor theme="0"/>
        </patternFill>
      </fill>
    </dxf>
    <dxf>
      <fill>
        <patternFill>
          <bgColor theme="0"/>
        </patternFill>
      </fill>
    </dxf>
    <dxf>
      <numFmt numFmtId="172" formatCode="_-&quot;€&quot;\ * #,##0.0000_-;_-&quot;€&quot;\ * \-#,##0.0000_-;_-&quot;€&quot;\ * &quot;-&quot;??_-;_-@_-"/>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0"/>
      </font>
    </dxf>
    <dxf>
      <font>
        <color theme="0"/>
      </font>
    </dxf>
    <dxf>
      <font>
        <color theme="0"/>
      </font>
    </dxf>
    <dxf>
      <font>
        <color theme="0"/>
      </font>
    </dxf>
    <dxf>
      <font>
        <color theme="0"/>
      </font>
    </dxf>
    <dxf>
      <font>
        <color theme="0"/>
      </font>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numFmt numFmtId="2" formatCode="0.00"/>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6" tint="0.59996337778862885"/>
      </font>
      <fill>
        <patternFill>
          <bgColor theme="6" tint="0.5999633777886288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6" tint="0.59996337778862885"/>
      </font>
      <fill>
        <patternFill>
          <bgColor theme="6" tint="0.59996337778862885"/>
        </patternFill>
      </fill>
    </dxf>
    <dxf>
      <font>
        <color theme="0"/>
      </font>
    </dxf>
    <dxf>
      <font>
        <color theme="0"/>
      </font>
    </dxf>
    <dxf>
      <font>
        <color theme="6" tint="0.59996337778862885"/>
      </font>
      <fill>
        <patternFill>
          <bgColor theme="6" tint="0.59996337778862885"/>
        </patternFill>
      </fill>
    </dxf>
    <dxf>
      <font>
        <color theme="6" tint="0.59996337778862885"/>
      </font>
      <fill>
        <patternFill>
          <bgColor theme="6" tint="0.59996337778862885"/>
        </patternFill>
      </fill>
    </dxf>
  </dxfs>
  <tableStyles count="0" defaultTableStyle="TableStyleMedium2" defaultPivotStyle="PivotStyleLight16"/>
  <colors>
    <mruColors>
      <color rgb="FFAFA0DC"/>
      <color rgb="FFF0FA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trlProps/ctrlProp1.xml><?xml version="1.0" encoding="utf-8"?>
<formControlPr xmlns="http://schemas.microsoft.com/office/spreadsheetml/2009/9/main" objectType="CheckBox" fmlaLink="'Hulp (control forms)'!$C$6" lockText="1" noThreeD="1"/>
</file>

<file path=xl/ctrlProps/ctrlProp10.xml><?xml version="1.0" encoding="utf-8"?>
<formControlPr xmlns="http://schemas.microsoft.com/office/spreadsheetml/2009/9/main" objectType="CheckBox" fmlaLink="'Hulp (control forms)'!$F$21" lockText="1" noThreeD="1"/>
</file>

<file path=xl/ctrlProps/ctrlProp100.xml><?xml version="1.0" encoding="utf-8"?>
<formControlPr xmlns="http://schemas.microsoft.com/office/spreadsheetml/2009/9/main" objectType="CheckBox" fmlaLink="'Hulp (control forms)'!$F$6" lockText="1" noThreeD="1"/>
</file>

<file path=xl/ctrlProps/ctrlProp101.xml><?xml version="1.0" encoding="utf-8"?>
<formControlPr xmlns="http://schemas.microsoft.com/office/spreadsheetml/2009/9/main" objectType="CheckBox" fmlaLink="'Hulp (control forms)'!$F$7" lockText="1" noThreeD="1"/>
</file>

<file path=xl/ctrlProps/ctrlProp102.xml><?xml version="1.0" encoding="utf-8"?>
<formControlPr xmlns="http://schemas.microsoft.com/office/spreadsheetml/2009/9/main" objectType="CheckBox" fmlaLink="'Hulp (control forms)'!$F$8" lockText="1" noThreeD="1"/>
</file>

<file path=xl/ctrlProps/ctrlProp103.xml><?xml version="1.0" encoding="utf-8"?>
<formControlPr xmlns="http://schemas.microsoft.com/office/spreadsheetml/2009/9/main" objectType="CheckBox" fmlaLink="'Hulp (control forms)'!$C$6" lockText="1" noThreeD="1"/>
</file>

<file path=xl/ctrlProps/ctrlProp104.xml><?xml version="1.0" encoding="utf-8"?>
<formControlPr xmlns="http://schemas.microsoft.com/office/spreadsheetml/2009/9/main" objectType="CheckBox" fmlaLink="'Hulp (control forms)'!$C$7" lockText="1" noThreeD="1"/>
</file>

<file path=xl/ctrlProps/ctrlProp105.xml><?xml version="1.0" encoding="utf-8"?>
<formControlPr xmlns="http://schemas.microsoft.com/office/spreadsheetml/2009/9/main" objectType="CheckBox" fmlaLink="'Hulp (control forms)'!$C$8" lockText="1" noThreeD="1"/>
</file>

<file path=xl/ctrlProps/ctrlProp106.xml><?xml version="1.0" encoding="utf-8"?>
<formControlPr xmlns="http://schemas.microsoft.com/office/spreadsheetml/2009/9/main" objectType="CheckBox" fmlaLink="'Hulp (control forms)'!$C$9" lockText="1" noThreeD="1"/>
</file>

<file path=xl/ctrlProps/ctrlProp107.xml><?xml version="1.0" encoding="utf-8"?>
<formControlPr xmlns="http://schemas.microsoft.com/office/spreadsheetml/2009/9/main" objectType="CheckBox" fmlaLink="'Hulp (control forms)'!$C$10" lockText="1" noThreeD="1"/>
</file>

<file path=xl/ctrlProps/ctrlProp108.xml><?xml version="1.0" encoding="utf-8"?>
<formControlPr xmlns="http://schemas.microsoft.com/office/spreadsheetml/2009/9/main" objectType="CheckBox" fmlaLink="'Hulp (control forms)'!$C$11" lockText="1" noThreeD="1"/>
</file>

<file path=xl/ctrlProps/ctrlProp109.xml><?xml version="1.0" encoding="utf-8"?>
<formControlPr xmlns="http://schemas.microsoft.com/office/spreadsheetml/2009/9/main" objectType="CheckBox" fmlaLink="'Hulp (control forms)'!$G$24" lockText="1" noThreeD="1"/>
</file>

<file path=xl/ctrlProps/ctrlProp11.xml><?xml version="1.0" encoding="utf-8"?>
<formControlPr xmlns="http://schemas.microsoft.com/office/spreadsheetml/2009/9/main" objectType="CheckBox" fmlaLink="'Hulp (control forms)'!$F$20" lockText="1" noThreeD="1"/>
</file>

<file path=xl/ctrlProps/ctrlProp110.xml><?xml version="1.0" encoding="utf-8"?>
<formControlPr xmlns="http://schemas.microsoft.com/office/spreadsheetml/2009/9/main" objectType="CheckBox" fmlaLink="'Hulp (control forms)'!$G$23" lockText="1" noThreeD="1"/>
</file>

<file path=xl/ctrlProps/ctrlProp111.xml><?xml version="1.0" encoding="utf-8"?>
<formControlPr xmlns="http://schemas.microsoft.com/office/spreadsheetml/2009/9/main" objectType="CheckBox" fmlaLink="'Hulp (control forms)'!$G$22" lockText="1" noThreeD="1"/>
</file>

<file path=xl/ctrlProps/ctrlProp112.xml><?xml version="1.0" encoding="utf-8"?>
<formControlPr xmlns="http://schemas.microsoft.com/office/spreadsheetml/2009/9/main" objectType="CheckBox" fmlaLink="'Hulp (control forms)'!$G$21" lockText="1" noThreeD="1"/>
</file>

<file path=xl/ctrlProps/ctrlProp113.xml><?xml version="1.0" encoding="utf-8"?>
<formControlPr xmlns="http://schemas.microsoft.com/office/spreadsheetml/2009/9/main" objectType="CheckBox" fmlaLink="'Hulp (control forms)'!$G$20" lockText="1" noThreeD="1"/>
</file>

<file path=xl/ctrlProps/ctrlProp114.xml><?xml version="1.0" encoding="utf-8"?>
<formControlPr xmlns="http://schemas.microsoft.com/office/spreadsheetml/2009/9/main" objectType="CheckBox" fmlaLink="'Hulp (control forms)'!$G$19" lockText="1" noThreeD="1"/>
</file>

<file path=xl/ctrlProps/ctrlProp115.xml><?xml version="1.0" encoding="utf-8"?>
<formControlPr xmlns="http://schemas.microsoft.com/office/spreadsheetml/2009/9/main" objectType="CheckBox" fmlaLink="'Hulp (control forms)'!$G$18" lockText="1" noThreeD="1"/>
</file>

<file path=xl/ctrlProps/ctrlProp116.xml><?xml version="1.0" encoding="utf-8"?>
<formControlPr xmlns="http://schemas.microsoft.com/office/spreadsheetml/2009/9/main" objectType="CheckBox" fmlaLink="'Hulp (control forms)'!$G$17" lockText="1" noThreeD="1"/>
</file>

<file path=xl/ctrlProps/ctrlProp117.xml><?xml version="1.0" encoding="utf-8"?>
<formControlPr xmlns="http://schemas.microsoft.com/office/spreadsheetml/2009/9/main" objectType="CheckBox" fmlaLink="'Hulp (control forms)'!$G$16" lockText="1" noThreeD="1"/>
</file>

<file path=xl/ctrlProps/ctrlProp118.xml><?xml version="1.0" encoding="utf-8"?>
<formControlPr xmlns="http://schemas.microsoft.com/office/spreadsheetml/2009/9/main" objectType="CheckBox" fmlaLink="'Hulp (control forms)'!$G$15" lockText="1" noThreeD="1"/>
</file>

<file path=xl/ctrlProps/ctrlProp119.xml><?xml version="1.0" encoding="utf-8"?>
<formControlPr xmlns="http://schemas.microsoft.com/office/spreadsheetml/2009/9/main" objectType="CheckBox" fmlaLink="'Hulp (control forms)'!$G$14" lockText="1" noThreeD="1"/>
</file>

<file path=xl/ctrlProps/ctrlProp12.xml><?xml version="1.0" encoding="utf-8"?>
<formControlPr xmlns="http://schemas.microsoft.com/office/spreadsheetml/2009/9/main" objectType="CheckBox" fmlaLink="'Hulp (control forms)'!$F$19" lockText="1" noThreeD="1"/>
</file>

<file path=xl/ctrlProps/ctrlProp120.xml><?xml version="1.0" encoding="utf-8"?>
<formControlPr xmlns="http://schemas.microsoft.com/office/spreadsheetml/2009/9/main" objectType="CheckBox" fmlaLink="'Hulp (control forms)'!$G$13" lockText="1" noThreeD="1"/>
</file>

<file path=xl/ctrlProps/ctrlProp121.xml><?xml version="1.0" encoding="utf-8"?>
<formControlPr xmlns="http://schemas.microsoft.com/office/spreadsheetml/2009/9/main" objectType="CheckBox" fmlaLink="'Hulp (control forms)'!$C$13" lockText="1" noThreeD="1"/>
</file>

<file path=xl/ctrlProps/ctrlProp122.xml><?xml version="1.0" encoding="utf-8"?>
<formControlPr xmlns="http://schemas.microsoft.com/office/spreadsheetml/2009/9/main" objectType="CheckBox" fmlaLink="'Hulp (control forms)'!$C$14" lockText="1" noThreeD="1"/>
</file>

<file path=xl/ctrlProps/ctrlProp123.xml><?xml version="1.0" encoding="utf-8"?>
<formControlPr xmlns="http://schemas.microsoft.com/office/spreadsheetml/2009/9/main" objectType="CheckBox" fmlaLink="'Hulp (control forms)'!$C$15" lockText="1" noThreeD="1"/>
</file>

<file path=xl/ctrlProps/ctrlProp124.xml><?xml version="1.0" encoding="utf-8"?>
<formControlPr xmlns="http://schemas.microsoft.com/office/spreadsheetml/2009/9/main" objectType="CheckBox" fmlaLink="'Hulp (control forms)'!$C$16" lockText="1" noThreeD="1"/>
</file>

<file path=xl/ctrlProps/ctrlProp125.xml><?xml version="1.0" encoding="utf-8"?>
<formControlPr xmlns="http://schemas.microsoft.com/office/spreadsheetml/2009/9/main" objectType="CheckBox" fmlaLink="'Hulp (control forms)'!$C$17" lockText="1" noThreeD="1"/>
</file>

<file path=xl/ctrlProps/ctrlProp126.xml><?xml version="1.0" encoding="utf-8"?>
<formControlPr xmlns="http://schemas.microsoft.com/office/spreadsheetml/2009/9/main" objectType="CheckBox" fmlaLink="'Hulp (control forms)'!$C$18" lockText="1" noThreeD="1"/>
</file>

<file path=xl/ctrlProps/ctrlProp127.xml><?xml version="1.0" encoding="utf-8"?>
<formControlPr xmlns="http://schemas.microsoft.com/office/spreadsheetml/2009/9/main" objectType="CheckBox" fmlaLink="'Hulp (control forms)'!$C$19" lockText="1" noThreeD="1"/>
</file>

<file path=xl/ctrlProps/ctrlProp128.xml><?xml version="1.0" encoding="utf-8"?>
<formControlPr xmlns="http://schemas.microsoft.com/office/spreadsheetml/2009/9/main" objectType="CheckBox" fmlaLink="'Hulp (control forms)'!$C$20" lockText="1" noThreeD="1"/>
</file>

<file path=xl/ctrlProps/ctrlProp129.xml><?xml version="1.0" encoding="utf-8"?>
<formControlPr xmlns="http://schemas.microsoft.com/office/spreadsheetml/2009/9/main" objectType="CheckBox" fmlaLink="'Hulp (control forms)'!$C$21" lockText="1" noThreeD="1"/>
</file>

<file path=xl/ctrlProps/ctrlProp13.xml><?xml version="1.0" encoding="utf-8"?>
<formControlPr xmlns="http://schemas.microsoft.com/office/spreadsheetml/2009/9/main" objectType="CheckBox" fmlaLink="'Hulp (control forms)'!$F$18" lockText="1" noThreeD="1"/>
</file>

<file path=xl/ctrlProps/ctrlProp130.xml><?xml version="1.0" encoding="utf-8"?>
<formControlPr xmlns="http://schemas.microsoft.com/office/spreadsheetml/2009/9/main" objectType="CheckBox" fmlaLink="'Hulp (control forms)'!$C$22" lockText="1" noThreeD="1"/>
</file>

<file path=xl/ctrlProps/ctrlProp131.xml><?xml version="1.0" encoding="utf-8"?>
<formControlPr xmlns="http://schemas.microsoft.com/office/spreadsheetml/2009/9/main" objectType="CheckBox" fmlaLink="'Hulp (control forms)'!$C$23" lockText="1" noThreeD="1"/>
</file>

<file path=xl/ctrlProps/ctrlProp132.xml><?xml version="1.0" encoding="utf-8"?>
<formControlPr xmlns="http://schemas.microsoft.com/office/spreadsheetml/2009/9/main" objectType="CheckBox" fmlaLink="'Hulp (control forms)'!$C$24" lockText="1" noThreeD="1"/>
</file>

<file path=xl/ctrlProps/ctrlProp133.xml><?xml version="1.0" encoding="utf-8"?>
<formControlPr xmlns="http://schemas.microsoft.com/office/spreadsheetml/2009/9/main" objectType="CheckBox" fmlaLink="'Hulp (control forms)'!$C$13" lockText="1" noThreeD="1"/>
</file>

<file path=xl/ctrlProps/ctrlProp134.xml><?xml version="1.0" encoding="utf-8"?>
<formControlPr xmlns="http://schemas.microsoft.com/office/spreadsheetml/2009/9/main" objectType="CheckBox" fmlaLink="'Hulp (control forms)'!$C$14" lockText="1" noThreeD="1"/>
</file>

<file path=xl/ctrlProps/ctrlProp135.xml><?xml version="1.0" encoding="utf-8"?>
<formControlPr xmlns="http://schemas.microsoft.com/office/spreadsheetml/2009/9/main" objectType="CheckBox" fmlaLink="'Hulp (control forms)'!$C$15" lockText="1" noThreeD="1"/>
</file>

<file path=xl/ctrlProps/ctrlProp136.xml><?xml version="1.0" encoding="utf-8"?>
<formControlPr xmlns="http://schemas.microsoft.com/office/spreadsheetml/2009/9/main" objectType="CheckBox" fmlaLink="'Hulp (control forms)'!$C$16" lockText="1" noThreeD="1"/>
</file>

<file path=xl/ctrlProps/ctrlProp137.xml><?xml version="1.0" encoding="utf-8"?>
<formControlPr xmlns="http://schemas.microsoft.com/office/spreadsheetml/2009/9/main" objectType="CheckBox" fmlaLink="'Hulp (control forms)'!$C$17" lockText="1" noThreeD="1"/>
</file>

<file path=xl/ctrlProps/ctrlProp138.xml><?xml version="1.0" encoding="utf-8"?>
<formControlPr xmlns="http://schemas.microsoft.com/office/spreadsheetml/2009/9/main" objectType="CheckBox" fmlaLink="'Hulp (control forms)'!$C$18" lockText="1" noThreeD="1"/>
</file>

<file path=xl/ctrlProps/ctrlProp139.xml><?xml version="1.0" encoding="utf-8"?>
<formControlPr xmlns="http://schemas.microsoft.com/office/spreadsheetml/2009/9/main" objectType="CheckBox" fmlaLink="'Hulp (control forms)'!$C$19" lockText="1" noThreeD="1"/>
</file>

<file path=xl/ctrlProps/ctrlProp14.xml><?xml version="1.0" encoding="utf-8"?>
<formControlPr xmlns="http://schemas.microsoft.com/office/spreadsheetml/2009/9/main" objectType="CheckBox" fmlaLink="'Hulp (control forms)'!$F$17" lockText="1" noThreeD="1"/>
</file>

<file path=xl/ctrlProps/ctrlProp140.xml><?xml version="1.0" encoding="utf-8"?>
<formControlPr xmlns="http://schemas.microsoft.com/office/spreadsheetml/2009/9/main" objectType="CheckBox" fmlaLink="'Hulp (control forms)'!$C$20" lockText="1" noThreeD="1"/>
</file>

<file path=xl/ctrlProps/ctrlProp141.xml><?xml version="1.0" encoding="utf-8"?>
<formControlPr xmlns="http://schemas.microsoft.com/office/spreadsheetml/2009/9/main" objectType="CheckBox" fmlaLink="'Hulp (control forms)'!$C$21" lockText="1" noThreeD="1"/>
</file>

<file path=xl/ctrlProps/ctrlProp142.xml><?xml version="1.0" encoding="utf-8"?>
<formControlPr xmlns="http://schemas.microsoft.com/office/spreadsheetml/2009/9/main" objectType="CheckBox" fmlaLink="'Hulp (control forms)'!$C$22" lockText="1" noThreeD="1"/>
</file>

<file path=xl/ctrlProps/ctrlProp143.xml><?xml version="1.0" encoding="utf-8"?>
<formControlPr xmlns="http://schemas.microsoft.com/office/spreadsheetml/2009/9/main" objectType="CheckBox" fmlaLink="'Hulp (control forms)'!$C$23" lockText="1" noThreeD="1"/>
</file>

<file path=xl/ctrlProps/ctrlProp144.xml><?xml version="1.0" encoding="utf-8"?>
<formControlPr xmlns="http://schemas.microsoft.com/office/spreadsheetml/2009/9/main" objectType="CheckBox" fmlaLink="'Hulp (control forms)'!$C$24" lockText="1" noThreeD="1"/>
</file>

<file path=xl/ctrlProps/ctrlProp145.xml><?xml version="1.0" encoding="utf-8"?>
<formControlPr xmlns="http://schemas.microsoft.com/office/spreadsheetml/2009/9/main" objectType="CheckBox" fmlaLink="'Hulp (control forms)'!$C$13" lockText="1" noThreeD="1"/>
</file>

<file path=xl/ctrlProps/ctrlProp146.xml><?xml version="1.0" encoding="utf-8"?>
<formControlPr xmlns="http://schemas.microsoft.com/office/spreadsheetml/2009/9/main" objectType="CheckBox" fmlaLink="'Hulp (control forms)'!$C$14" lockText="1" noThreeD="1"/>
</file>

<file path=xl/ctrlProps/ctrlProp147.xml><?xml version="1.0" encoding="utf-8"?>
<formControlPr xmlns="http://schemas.microsoft.com/office/spreadsheetml/2009/9/main" objectType="CheckBox" fmlaLink="'Hulp (control forms)'!$C$15" lockText="1" noThreeD="1"/>
</file>

<file path=xl/ctrlProps/ctrlProp148.xml><?xml version="1.0" encoding="utf-8"?>
<formControlPr xmlns="http://schemas.microsoft.com/office/spreadsheetml/2009/9/main" objectType="CheckBox" fmlaLink="'Hulp (control forms)'!$C$16" lockText="1" noThreeD="1"/>
</file>

<file path=xl/ctrlProps/ctrlProp149.xml><?xml version="1.0" encoding="utf-8"?>
<formControlPr xmlns="http://schemas.microsoft.com/office/spreadsheetml/2009/9/main" objectType="CheckBox" fmlaLink="'Hulp (control forms)'!$C$17" lockText="1" noThreeD="1"/>
</file>

<file path=xl/ctrlProps/ctrlProp15.xml><?xml version="1.0" encoding="utf-8"?>
<formControlPr xmlns="http://schemas.microsoft.com/office/spreadsheetml/2009/9/main" objectType="CheckBox" fmlaLink="'Hulp (control forms)'!$F$16" lockText="1" noThreeD="1"/>
</file>

<file path=xl/ctrlProps/ctrlProp150.xml><?xml version="1.0" encoding="utf-8"?>
<formControlPr xmlns="http://schemas.microsoft.com/office/spreadsheetml/2009/9/main" objectType="CheckBox" fmlaLink="'Hulp (control forms)'!$C$18" lockText="1" noThreeD="1"/>
</file>

<file path=xl/ctrlProps/ctrlProp151.xml><?xml version="1.0" encoding="utf-8"?>
<formControlPr xmlns="http://schemas.microsoft.com/office/spreadsheetml/2009/9/main" objectType="CheckBox" fmlaLink="'Hulp (control forms)'!$C$19" lockText="1" noThreeD="1"/>
</file>

<file path=xl/ctrlProps/ctrlProp152.xml><?xml version="1.0" encoding="utf-8"?>
<formControlPr xmlns="http://schemas.microsoft.com/office/spreadsheetml/2009/9/main" objectType="CheckBox" fmlaLink="'Hulp (control forms)'!$C$20" lockText="1" noThreeD="1"/>
</file>

<file path=xl/ctrlProps/ctrlProp153.xml><?xml version="1.0" encoding="utf-8"?>
<formControlPr xmlns="http://schemas.microsoft.com/office/spreadsheetml/2009/9/main" objectType="CheckBox" fmlaLink="'Hulp (control forms)'!$C$21" lockText="1" noThreeD="1"/>
</file>

<file path=xl/ctrlProps/ctrlProp154.xml><?xml version="1.0" encoding="utf-8"?>
<formControlPr xmlns="http://schemas.microsoft.com/office/spreadsheetml/2009/9/main" objectType="CheckBox" fmlaLink="'Hulp (control forms)'!$C$22" lockText="1" noThreeD="1"/>
</file>

<file path=xl/ctrlProps/ctrlProp155.xml><?xml version="1.0" encoding="utf-8"?>
<formControlPr xmlns="http://schemas.microsoft.com/office/spreadsheetml/2009/9/main" objectType="CheckBox" fmlaLink="'Hulp (control forms)'!$C$23" lockText="1" noThreeD="1"/>
</file>

<file path=xl/ctrlProps/ctrlProp156.xml><?xml version="1.0" encoding="utf-8"?>
<formControlPr xmlns="http://schemas.microsoft.com/office/spreadsheetml/2009/9/main" objectType="CheckBox" fmlaLink="'Hulp (control forms)'!$C$24" lockText="1" noThreeD="1"/>
</file>

<file path=xl/ctrlProps/ctrlProp16.xml><?xml version="1.0" encoding="utf-8"?>
<formControlPr xmlns="http://schemas.microsoft.com/office/spreadsheetml/2009/9/main" objectType="CheckBox" fmlaLink="'Hulp (control forms)'!$F$15" lockText="1" noThreeD="1"/>
</file>

<file path=xl/ctrlProps/ctrlProp17.xml><?xml version="1.0" encoding="utf-8"?>
<formControlPr xmlns="http://schemas.microsoft.com/office/spreadsheetml/2009/9/main" objectType="CheckBox" fmlaLink="'Hulp (control forms)'!$F$14" lockText="1" noThreeD="1"/>
</file>

<file path=xl/ctrlProps/ctrlProp18.xml><?xml version="1.0" encoding="utf-8"?>
<formControlPr xmlns="http://schemas.microsoft.com/office/spreadsheetml/2009/9/main" objectType="CheckBox" fmlaLink="'Hulp (control forms)'!$F$13" lockText="1" noThreeD="1"/>
</file>

<file path=xl/ctrlProps/ctrlProp19.xml><?xml version="1.0" encoding="utf-8"?>
<formControlPr xmlns="http://schemas.microsoft.com/office/spreadsheetml/2009/9/main" objectType="CheckBox" fmlaLink="'Hulp (control forms)'!$F$36" lockText="1" noThreeD="1"/>
</file>

<file path=xl/ctrlProps/ctrlProp2.xml><?xml version="1.0" encoding="utf-8"?>
<formControlPr xmlns="http://schemas.microsoft.com/office/spreadsheetml/2009/9/main" objectType="CheckBox" fmlaLink="'Hulp (control forms)'!$C$7" lockText="1" noThreeD="1"/>
</file>

<file path=xl/ctrlProps/ctrlProp20.xml><?xml version="1.0" encoding="utf-8"?>
<formControlPr xmlns="http://schemas.microsoft.com/office/spreadsheetml/2009/9/main" objectType="CheckBox" fmlaLink="'Hulp (control forms)'!$F$35" lockText="1" noThreeD="1"/>
</file>

<file path=xl/ctrlProps/ctrlProp21.xml><?xml version="1.0" encoding="utf-8"?>
<formControlPr xmlns="http://schemas.microsoft.com/office/spreadsheetml/2009/9/main" objectType="CheckBox" fmlaLink="'Hulp (control forms)'!$F$34" lockText="1" noThreeD="1"/>
</file>

<file path=xl/ctrlProps/ctrlProp22.xml><?xml version="1.0" encoding="utf-8"?>
<formControlPr xmlns="http://schemas.microsoft.com/office/spreadsheetml/2009/9/main" objectType="CheckBox" fmlaLink="'Hulp (control forms)'!$F$33" lockText="1" noThreeD="1"/>
</file>

<file path=xl/ctrlProps/ctrlProp23.xml><?xml version="1.0" encoding="utf-8"?>
<formControlPr xmlns="http://schemas.microsoft.com/office/spreadsheetml/2009/9/main" objectType="CheckBox" fmlaLink="'Hulp (control forms)'!$F$32" lockText="1" noThreeD="1"/>
</file>

<file path=xl/ctrlProps/ctrlProp24.xml><?xml version="1.0" encoding="utf-8"?>
<formControlPr xmlns="http://schemas.microsoft.com/office/spreadsheetml/2009/9/main" objectType="CheckBox" fmlaLink="'Hulp (control forms)'!$F$31" lockText="1" noThreeD="1"/>
</file>

<file path=xl/ctrlProps/ctrlProp25.xml><?xml version="1.0" encoding="utf-8"?>
<formControlPr xmlns="http://schemas.microsoft.com/office/spreadsheetml/2009/9/main" objectType="CheckBox" fmlaLink="'Hulp (control forms)'!$F$30" lockText="1" noThreeD="1"/>
</file>

<file path=xl/ctrlProps/ctrlProp26.xml><?xml version="1.0" encoding="utf-8"?>
<formControlPr xmlns="http://schemas.microsoft.com/office/spreadsheetml/2009/9/main" objectType="CheckBox" fmlaLink="'Hulp (control forms)'!$F$29" lockText="1" noThreeD="1"/>
</file>

<file path=xl/ctrlProps/ctrlProp27.xml><?xml version="1.0" encoding="utf-8"?>
<formControlPr xmlns="http://schemas.microsoft.com/office/spreadsheetml/2009/9/main" objectType="CheckBox" fmlaLink="'Hulp (control forms)'!$F$28" lockText="1" noThreeD="1"/>
</file>

<file path=xl/ctrlProps/ctrlProp28.xml><?xml version="1.0" encoding="utf-8"?>
<formControlPr xmlns="http://schemas.microsoft.com/office/spreadsheetml/2009/9/main" objectType="CheckBox" fmlaLink="'Hulp (control forms)'!$F$27" lockText="1" noThreeD="1"/>
</file>

<file path=xl/ctrlProps/ctrlProp29.xml><?xml version="1.0" encoding="utf-8"?>
<formControlPr xmlns="http://schemas.microsoft.com/office/spreadsheetml/2009/9/main" objectType="CheckBox" fmlaLink="'Hulp (control forms)'!$F$26" lockText="1" noThreeD="1"/>
</file>

<file path=xl/ctrlProps/ctrlProp3.xml><?xml version="1.0" encoding="utf-8"?>
<formControlPr xmlns="http://schemas.microsoft.com/office/spreadsheetml/2009/9/main" objectType="CheckBox" fmlaLink="'Hulp (control forms)'!$C$8" lockText="1" noThreeD="1"/>
</file>

<file path=xl/ctrlProps/ctrlProp30.xml><?xml version="1.0" encoding="utf-8"?>
<formControlPr xmlns="http://schemas.microsoft.com/office/spreadsheetml/2009/9/main" objectType="CheckBox" fmlaLink="'Hulp (control forms)'!$F$25" lockText="1" noThreeD="1"/>
</file>

<file path=xl/ctrlProps/ctrlProp31.xml><?xml version="1.0" encoding="utf-8"?>
<formControlPr xmlns="http://schemas.microsoft.com/office/spreadsheetml/2009/9/main" objectType="CheckBox" fmlaLink="'Hulp (control forms)'!$F$48" lockText="1" noThreeD="1"/>
</file>

<file path=xl/ctrlProps/ctrlProp32.xml><?xml version="1.0" encoding="utf-8"?>
<formControlPr xmlns="http://schemas.microsoft.com/office/spreadsheetml/2009/9/main" objectType="CheckBox" fmlaLink="'Hulp (control forms)'!$F$47" lockText="1" noThreeD="1"/>
</file>

<file path=xl/ctrlProps/ctrlProp33.xml><?xml version="1.0" encoding="utf-8"?>
<formControlPr xmlns="http://schemas.microsoft.com/office/spreadsheetml/2009/9/main" objectType="CheckBox" fmlaLink="'Hulp (control forms)'!$F$46" lockText="1" noThreeD="1"/>
</file>

<file path=xl/ctrlProps/ctrlProp34.xml><?xml version="1.0" encoding="utf-8"?>
<formControlPr xmlns="http://schemas.microsoft.com/office/spreadsheetml/2009/9/main" objectType="CheckBox" fmlaLink="'Hulp (control forms)'!$F$45" lockText="1" noThreeD="1"/>
</file>

<file path=xl/ctrlProps/ctrlProp35.xml><?xml version="1.0" encoding="utf-8"?>
<formControlPr xmlns="http://schemas.microsoft.com/office/spreadsheetml/2009/9/main" objectType="CheckBox" fmlaLink="'Hulp (control forms)'!$F$44" lockText="1" noThreeD="1"/>
</file>

<file path=xl/ctrlProps/ctrlProp36.xml><?xml version="1.0" encoding="utf-8"?>
<formControlPr xmlns="http://schemas.microsoft.com/office/spreadsheetml/2009/9/main" objectType="CheckBox" fmlaLink="'Hulp (control forms)'!$F$43" lockText="1" noThreeD="1"/>
</file>

<file path=xl/ctrlProps/ctrlProp37.xml><?xml version="1.0" encoding="utf-8"?>
<formControlPr xmlns="http://schemas.microsoft.com/office/spreadsheetml/2009/9/main" objectType="CheckBox" fmlaLink="'Hulp (control forms)'!$F$42" lockText="1" noThreeD="1"/>
</file>

<file path=xl/ctrlProps/ctrlProp38.xml><?xml version="1.0" encoding="utf-8"?>
<formControlPr xmlns="http://schemas.microsoft.com/office/spreadsheetml/2009/9/main" objectType="CheckBox" fmlaLink="'Hulp (control forms)'!$F$41" lockText="1" noThreeD="1"/>
</file>

<file path=xl/ctrlProps/ctrlProp39.xml><?xml version="1.0" encoding="utf-8"?>
<formControlPr xmlns="http://schemas.microsoft.com/office/spreadsheetml/2009/9/main" objectType="CheckBox" fmlaLink="'Hulp (control forms)'!$F$40" lockText="1" noThreeD="1"/>
</file>

<file path=xl/ctrlProps/ctrlProp4.xml><?xml version="1.0" encoding="utf-8"?>
<formControlPr xmlns="http://schemas.microsoft.com/office/spreadsheetml/2009/9/main" objectType="CheckBox" fmlaLink="'Hulp (control forms)'!$C$9" lockText="1" noThreeD="1"/>
</file>

<file path=xl/ctrlProps/ctrlProp40.xml><?xml version="1.0" encoding="utf-8"?>
<formControlPr xmlns="http://schemas.microsoft.com/office/spreadsheetml/2009/9/main" objectType="CheckBox" fmlaLink="'Hulp (control forms)'!$F$39" lockText="1" noThreeD="1"/>
</file>

<file path=xl/ctrlProps/ctrlProp41.xml><?xml version="1.0" encoding="utf-8"?>
<formControlPr xmlns="http://schemas.microsoft.com/office/spreadsheetml/2009/9/main" objectType="CheckBox" fmlaLink="'Hulp (control forms)'!$F$38" lockText="1" noThreeD="1"/>
</file>

<file path=xl/ctrlProps/ctrlProp42.xml><?xml version="1.0" encoding="utf-8"?>
<formControlPr xmlns="http://schemas.microsoft.com/office/spreadsheetml/2009/9/main" objectType="CheckBox" fmlaLink="'Hulp (control forms)'!$F$37" lockText="1" noThreeD="1"/>
</file>

<file path=xl/ctrlProps/ctrlProp43.xml><?xml version="1.0" encoding="utf-8"?>
<formControlPr xmlns="http://schemas.microsoft.com/office/spreadsheetml/2009/9/main" objectType="CheckBox" fmlaLink="'Hulp (control forms)'!$F$52" lockText="1" noThreeD="1"/>
</file>

<file path=xl/ctrlProps/ctrlProp44.xml><?xml version="1.0" encoding="utf-8"?>
<formControlPr xmlns="http://schemas.microsoft.com/office/spreadsheetml/2009/9/main" objectType="CheckBox" fmlaLink="'Hulp (control forms)'!$F$51" lockText="1" noThreeD="1"/>
</file>

<file path=xl/ctrlProps/ctrlProp45.xml><?xml version="1.0" encoding="utf-8"?>
<formControlPr xmlns="http://schemas.microsoft.com/office/spreadsheetml/2009/9/main" objectType="CheckBox" fmlaLink="'Hulp (control forms)'!$F$50" lockText="1" noThreeD="1"/>
</file>

<file path=xl/ctrlProps/ctrlProp46.xml><?xml version="1.0" encoding="utf-8"?>
<formControlPr xmlns="http://schemas.microsoft.com/office/spreadsheetml/2009/9/main" objectType="CheckBox" fmlaLink="'Hulp (control forms)'!$F$49" lockText="1" noThreeD="1"/>
</file>

<file path=xl/ctrlProps/ctrlProp47.xml><?xml version="1.0" encoding="utf-8"?>
<formControlPr xmlns="http://schemas.microsoft.com/office/spreadsheetml/2009/9/main" objectType="CheckBox" fmlaLink="'Hulp (control forms)'!$C$12" lockText="1" noThreeD="1"/>
</file>

<file path=xl/ctrlProps/ctrlProp48.xml><?xml version="1.0" encoding="utf-8"?>
<formControlPr xmlns="http://schemas.microsoft.com/office/spreadsheetml/2009/9/main" objectType="CheckBox" fmlaLink="'Hulp (control forms)'!$C$13" lockText="1" noThreeD="1"/>
</file>

<file path=xl/ctrlProps/ctrlProp49.xml><?xml version="1.0" encoding="utf-8"?>
<formControlPr xmlns="http://schemas.microsoft.com/office/spreadsheetml/2009/9/main" objectType="CheckBox" fmlaLink="'Hulp (control forms)'!$C$14" lockText="1" noThreeD="1"/>
</file>

<file path=xl/ctrlProps/ctrlProp5.xml><?xml version="1.0" encoding="utf-8"?>
<formControlPr xmlns="http://schemas.microsoft.com/office/spreadsheetml/2009/9/main" objectType="CheckBox" fmlaLink="'Hulp (control forms)'!$C$10" lockText="1" noThreeD="1"/>
</file>

<file path=xl/ctrlProps/ctrlProp50.xml><?xml version="1.0" encoding="utf-8"?>
<formControlPr xmlns="http://schemas.microsoft.com/office/spreadsheetml/2009/9/main" objectType="CheckBox" fmlaLink="'Hulp (control forms)'!$C$15" lockText="1" noThreeD="1"/>
</file>

<file path=xl/ctrlProps/ctrlProp51.xml><?xml version="1.0" encoding="utf-8"?>
<formControlPr xmlns="http://schemas.microsoft.com/office/spreadsheetml/2009/9/main" objectType="CheckBox" fmlaLink="'Hulp (control forms)'!$C$16" lockText="1" noThreeD="1"/>
</file>

<file path=xl/ctrlProps/ctrlProp52.xml><?xml version="1.0" encoding="utf-8"?>
<formControlPr xmlns="http://schemas.microsoft.com/office/spreadsheetml/2009/9/main" objectType="CheckBox" fmlaLink="'Hulp (control forms)'!$C$17" lockText="1" noThreeD="1"/>
</file>

<file path=xl/ctrlProps/ctrlProp53.xml><?xml version="1.0" encoding="utf-8"?>
<formControlPr xmlns="http://schemas.microsoft.com/office/spreadsheetml/2009/9/main" objectType="CheckBox" fmlaLink="'Hulp (control forms)'!$C$18" lockText="1" noThreeD="1"/>
</file>

<file path=xl/ctrlProps/ctrlProp54.xml><?xml version="1.0" encoding="utf-8"?>
<formControlPr xmlns="http://schemas.microsoft.com/office/spreadsheetml/2009/9/main" objectType="CheckBox" fmlaLink="'Hulp (control forms)'!$C$19" lockText="1" noThreeD="1"/>
</file>

<file path=xl/ctrlProps/ctrlProp55.xml><?xml version="1.0" encoding="utf-8"?>
<formControlPr xmlns="http://schemas.microsoft.com/office/spreadsheetml/2009/9/main" objectType="CheckBox" fmlaLink="'Hulp (control forms)'!$C$20" lockText="1" noThreeD="1"/>
</file>

<file path=xl/ctrlProps/ctrlProp56.xml><?xml version="1.0" encoding="utf-8"?>
<formControlPr xmlns="http://schemas.microsoft.com/office/spreadsheetml/2009/9/main" objectType="CheckBox" fmlaLink="'Hulp (control forms)'!$C$21" lockText="1" noThreeD="1"/>
</file>

<file path=xl/ctrlProps/ctrlProp57.xml><?xml version="1.0" encoding="utf-8"?>
<formControlPr xmlns="http://schemas.microsoft.com/office/spreadsheetml/2009/9/main" objectType="CheckBox" fmlaLink="'Hulp (control forms)'!$C$22" lockText="1" noThreeD="1"/>
</file>

<file path=xl/ctrlProps/ctrlProp58.xml><?xml version="1.0" encoding="utf-8"?>
<formControlPr xmlns="http://schemas.microsoft.com/office/spreadsheetml/2009/9/main" objectType="CheckBox" fmlaLink="'Hulp (control forms)'!$C$23" lockText="1" noThreeD="1"/>
</file>

<file path=xl/ctrlProps/ctrlProp59.xml><?xml version="1.0" encoding="utf-8"?>
<formControlPr xmlns="http://schemas.microsoft.com/office/spreadsheetml/2009/9/main" objectType="CheckBox" fmlaLink="'Hulp (control forms)'!$C$24" lockText="1" noThreeD="1"/>
</file>

<file path=xl/ctrlProps/ctrlProp6.xml><?xml version="1.0" encoding="utf-8"?>
<formControlPr xmlns="http://schemas.microsoft.com/office/spreadsheetml/2009/9/main" objectType="CheckBox" fmlaLink="'Hulp (control forms)'!$C$11" lockText="1" noThreeD="1"/>
</file>

<file path=xl/ctrlProps/ctrlProp60.xml><?xml version="1.0" encoding="utf-8"?>
<formControlPr xmlns="http://schemas.microsoft.com/office/spreadsheetml/2009/9/main" objectType="CheckBox" fmlaLink="'Hulp (control forms)'!$C$25" lockText="1" noThreeD="1"/>
</file>

<file path=xl/ctrlProps/ctrlProp61.xml><?xml version="1.0" encoding="utf-8"?>
<formControlPr xmlns="http://schemas.microsoft.com/office/spreadsheetml/2009/9/main" objectType="CheckBox" fmlaLink="'Hulp (control forms)'!$C$26" lockText="1" noThreeD="1"/>
</file>

<file path=xl/ctrlProps/ctrlProp62.xml><?xml version="1.0" encoding="utf-8"?>
<formControlPr xmlns="http://schemas.microsoft.com/office/spreadsheetml/2009/9/main" objectType="CheckBox" fmlaLink="'Hulp (control forms)'!$C$27" lockText="1" noThreeD="1"/>
</file>

<file path=xl/ctrlProps/ctrlProp63.xml><?xml version="1.0" encoding="utf-8"?>
<formControlPr xmlns="http://schemas.microsoft.com/office/spreadsheetml/2009/9/main" objectType="CheckBox" fmlaLink="'Hulp (control forms)'!$C$28" lockText="1" noThreeD="1"/>
</file>

<file path=xl/ctrlProps/ctrlProp64.xml><?xml version="1.0" encoding="utf-8"?>
<formControlPr xmlns="http://schemas.microsoft.com/office/spreadsheetml/2009/9/main" objectType="CheckBox" fmlaLink="'Hulp (control forms)'!$C$29" lockText="1" noThreeD="1"/>
</file>

<file path=xl/ctrlProps/ctrlProp65.xml><?xml version="1.0" encoding="utf-8"?>
<formControlPr xmlns="http://schemas.microsoft.com/office/spreadsheetml/2009/9/main" objectType="CheckBox" fmlaLink="'Hulp (control forms)'!$C$30" lockText="1" noThreeD="1"/>
</file>

<file path=xl/ctrlProps/ctrlProp66.xml><?xml version="1.0" encoding="utf-8"?>
<formControlPr xmlns="http://schemas.microsoft.com/office/spreadsheetml/2009/9/main" objectType="CheckBox" fmlaLink="'Hulp (control forms)'!$C$31" lockText="1" noThreeD="1"/>
</file>

<file path=xl/ctrlProps/ctrlProp67.xml><?xml version="1.0" encoding="utf-8"?>
<formControlPr xmlns="http://schemas.microsoft.com/office/spreadsheetml/2009/9/main" objectType="CheckBox" fmlaLink="'Hulp (control forms)'!$C$32" lockText="1" noThreeD="1"/>
</file>

<file path=xl/ctrlProps/ctrlProp68.xml><?xml version="1.0" encoding="utf-8"?>
<formControlPr xmlns="http://schemas.microsoft.com/office/spreadsheetml/2009/9/main" objectType="CheckBox" fmlaLink="'Hulp (control forms)'!$C$33" lockText="1" noThreeD="1"/>
</file>

<file path=xl/ctrlProps/ctrlProp69.xml><?xml version="1.0" encoding="utf-8"?>
<formControlPr xmlns="http://schemas.microsoft.com/office/spreadsheetml/2009/9/main" objectType="CheckBox" fmlaLink="'Hulp (control forms)'!$C$34" lockText="1" noThreeD="1"/>
</file>

<file path=xl/ctrlProps/ctrlProp7.xml><?xml version="1.0" encoding="utf-8"?>
<formControlPr xmlns="http://schemas.microsoft.com/office/spreadsheetml/2009/9/main" objectType="CheckBox" fmlaLink="'Hulp (control forms)'!$F$24" lockText="1" noThreeD="1"/>
</file>

<file path=xl/ctrlProps/ctrlProp70.xml><?xml version="1.0" encoding="utf-8"?>
<formControlPr xmlns="http://schemas.microsoft.com/office/spreadsheetml/2009/9/main" objectType="CheckBox" fmlaLink="'Hulp (control forms)'!$C$35" lockText="1" noThreeD="1"/>
</file>

<file path=xl/ctrlProps/ctrlProp71.xml><?xml version="1.0" encoding="utf-8"?>
<formControlPr xmlns="http://schemas.microsoft.com/office/spreadsheetml/2009/9/main" objectType="CheckBox" fmlaLink="'Hulp (control forms)'!$C$36" lockText="1" noThreeD="1"/>
</file>

<file path=xl/ctrlProps/ctrlProp72.xml><?xml version="1.0" encoding="utf-8"?>
<formControlPr xmlns="http://schemas.microsoft.com/office/spreadsheetml/2009/9/main" objectType="CheckBox" fmlaLink="'Hulp (control forms)'!$C$37" lockText="1" noThreeD="1"/>
</file>

<file path=xl/ctrlProps/ctrlProp73.xml><?xml version="1.0" encoding="utf-8"?>
<formControlPr xmlns="http://schemas.microsoft.com/office/spreadsheetml/2009/9/main" objectType="CheckBox" fmlaLink="'Hulp (control forms)'!$C$38" lockText="1" noThreeD="1"/>
</file>

<file path=xl/ctrlProps/ctrlProp74.xml><?xml version="1.0" encoding="utf-8"?>
<formControlPr xmlns="http://schemas.microsoft.com/office/spreadsheetml/2009/9/main" objectType="CheckBox" fmlaLink="'Hulp (control forms)'!$C$39" lockText="1" noThreeD="1"/>
</file>

<file path=xl/ctrlProps/ctrlProp75.xml><?xml version="1.0" encoding="utf-8"?>
<formControlPr xmlns="http://schemas.microsoft.com/office/spreadsheetml/2009/9/main" objectType="CheckBox" fmlaLink="'Hulp (control forms)'!$C$40" lockText="1" noThreeD="1"/>
</file>

<file path=xl/ctrlProps/ctrlProp76.xml><?xml version="1.0" encoding="utf-8"?>
<formControlPr xmlns="http://schemas.microsoft.com/office/spreadsheetml/2009/9/main" objectType="CheckBox" fmlaLink="'Hulp (control forms)'!$C$41" lockText="1" noThreeD="1"/>
</file>

<file path=xl/ctrlProps/ctrlProp77.xml><?xml version="1.0" encoding="utf-8"?>
<formControlPr xmlns="http://schemas.microsoft.com/office/spreadsheetml/2009/9/main" objectType="CheckBox" fmlaLink="'Hulp (control forms)'!$C$42" lockText="1" noThreeD="1"/>
</file>

<file path=xl/ctrlProps/ctrlProp78.xml><?xml version="1.0" encoding="utf-8"?>
<formControlPr xmlns="http://schemas.microsoft.com/office/spreadsheetml/2009/9/main" objectType="CheckBox" fmlaLink="'Hulp (control forms)'!$C$43" lockText="1" noThreeD="1"/>
</file>

<file path=xl/ctrlProps/ctrlProp79.xml><?xml version="1.0" encoding="utf-8"?>
<formControlPr xmlns="http://schemas.microsoft.com/office/spreadsheetml/2009/9/main" objectType="CheckBox" fmlaLink="'Hulp (control forms)'!$C$44" lockText="1" noThreeD="1"/>
</file>

<file path=xl/ctrlProps/ctrlProp8.xml><?xml version="1.0" encoding="utf-8"?>
<formControlPr xmlns="http://schemas.microsoft.com/office/spreadsheetml/2009/9/main" objectType="CheckBox" fmlaLink="'Hulp (control forms)'!$F$23" lockText="1" noThreeD="1"/>
</file>

<file path=xl/ctrlProps/ctrlProp80.xml><?xml version="1.0" encoding="utf-8"?>
<formControlPr xmlns="http://schemas.microsoft.com/office/spreadsheetml/2009/9/main" objectType="CheckBox" fmlaLink="'Hulp (control forms)'!$C$45" lockText="1" noThreeD="1"/>
</file>

<file path=xl/ctrlProps/ctrlProp81.xml><?xml version="1.0" encoding="utf-8"?>
<formControlPr xmlns="http://schemas.microsoft.com/office/spreadsheetml/2009/9/main" objectType="CheckBox" fmlaLink="'Hulp (control forms)'!$C$46" lockText="1" noThreeD="1"/>
</file>

<file path=xl/ctrlProps/ctrlProp82.xml><?xml version="1.0" encoding="utf-8"?>
<formControlPr xmlns="http://schemas.microsoft.com/office/spreadsheetml/2009/9/main" objectType="CheckBox" fmlaLink="'Hulp (control forms)'!$C$47" lockText="1" noThreeD="1"/>
</file>

<file path=xl/ctrlProps/ctrlProp83.xml><?xml version="1.0" encoding="utf-8"?>
<formControlPr xmlns="http://schemas.microsoft.com/office/spreadsheetml/2009/9/main" objectType="CheckBox" fmlaLink="'Hulp (control forms)'!$C$48" lockText="1" noThreeD="1"/>
</file>

<file path=xl/ctrlProps/ctrlProp84.xml><?xml version="1.0" encoding="utf-8"?>
<formControlPr xmlns="http://schemas.microsoft.com/office/spreadsheetml/2009/9/main" objectType="CheckBox" fmlaLink="'Hulp (control forms)'!$C$49" lockText="1" noThreeD="1"/>
</file>

<file path=xl/ctrlProps/ctrlProp85.xml><?xml version="1.0" encoding="utf-8"?>
<formControlPr xmlns="http://schemas.microsoft.com/office/spreadsheetml/2009/9/main" objectType="CheckBox" fmlaLink="'Hulp (control forms)'!$C$50" lockText="1" noThreeD="1"/>
</file>

<file path=xl/ctrlProps/ctrlProp86.xml><?xml version="1.0" encoding="utf-8"?>
<formControlPr xmlns="http://schemas.microsoft.com/office/spreadsheetml/2009/9/main" objectType="CheckBox" fmlaLink="'Hulp (control forms)'!$C$51" lockText="1" noThreeD="1"/>
</file>

<file path=xl/ctrlProps/ctrlProp87.xml><?xml version="1.0" encoding="utf-8"?>
<formControlPr xmlns="http://schemas.microsoft.com/office/spreadsheetml/2009/9/main" objectType="CheckBox" fmlaLink="'Hulp (control forms)'!$C$52" lockText="1" noThreeD="1"/>
</file>

<file path=xl/ctrlProps/ctrlProp88.xml><?xml version="1.0" encoding="utf-8"?>
<formControlPr xmlns="http://schemas.microsoft.com/office/spreadsheetml/2009/9/main" objectType="CheckBox" fmlaLink="'Hulp (control forms)'!$C$13" lockText="1" noThreeD="1"/>
</file>

<file path=xl/ctrlProps/ctrlProp89.xml><?xml version="1.0" encoding="utf-8"?>
<formControlPr xmlns="http://schemas.microsoft.com/office/spreadsheetml/2009/9/main" objectType="CheckBox" fmlaLink="'Hulp (control forms)'!$C$14" lockText="1" noThreeD="1"/>
</file>

<file path=xl/ctrlProps/ctrlProp9.xml><?xml version="1.0" encoding="utf-8"?>
<formControlPr xmlns="http://schemas.microsoft.com/office/spreadsheetml/2009/9/main" objectType="CheckBox" fmlaLink="'Hulp (control forms)'!$F$22" lockText="1" noThreeD="1"/>
</file>

<file path=xl/ctrlProps/ctrlProp90.xml><?xml version="1.0" encoding="utf-8"?>
<formControlPr xmlns="http://schemas.microsoft.com/office/spreadsheetml/2009/9/main" objectType="CheckBox" fmlaLink="'Hulp (control forms)'!$C$15" lockText="1" noThreeD="1"/>
</file>

<file path=xl/ctrlProps/ctrlProp91.xml><?xml version="1.0" encoding="utf-8"?>
<formControlPr xmlns="http://schemas.microsoft.com/office/spreadsheetml/2009/9/main" objectType="CheckBox" fmlaLink="'Hulp (control forms)'!$C$16" lockText="1" noThreeD="1"/>
</file>

<file path=xl/ctrlProps/ctrlProp92.xml><?xml version="1.0" encoding="utf-8"?>
<formControlPr xmlns="http://schemas.microsoft.com/office/spreadsheetml/2009/9/main" objectType="CheckBox" fmlaLink="'Hulp (control forms)'!$C$17" lockText="1" noThreeD="1"/>
</file>

<file path=xl/ctrlProps/ctrlProp93.xml><?xml version="1.0" encoding="utf-8"?>
<formControlPr xmlns="http://schemas.microsoft.com/office/spreadsheetml/2009/9/main" objectType="CheckBox" fmlaLink="'Hulp (control forms)'!$C$18" lockText="1" noThreeD="1"/>
</file>

<file path=xl/ctrlProps/ctrlProp94.xml><?xml version="1.0" encoding="utf-8"?>
<formControlPr xmlns="http://schemas.microsoft.com/office/spreadsheetml/2009/9/main" objectType="CheckBox" fmlaLink="'Hulp (control forms)'!$C$19" lockText="1" noThreeD="1"/>
</file>

<file path=xl/ctrlProps/ctrlProp95.xml><?xml version="1.0" encoding="utf-8"?>
<formControlPr xmlns="http://schemas.microsoft.com/office/spreadsheetml/2009/9/main" objectType="CheckBox" fmlaLink="'Hulp (control forms)'!$C$20" lockText="1" noThreeD="1"/>
</file>

<file path=xl/ctrlProps/ctrlProp96.xml><?xml version="1.0" encoding="utf-8"?>
<formControlPr xmlns="http://schemas.microsoft.com/office/spreadsheetml/2009/9/main" objectType="CheckBox" fmlaLink="'Hulp (control forms)'!$C$21" lockText="1" noThreeD="1"/>
</file>

<file path=xl/ctrlProps/ctrlProp97.xml><?xml version="1.0" encoding="utf-8"?>
<formControlPr xmlns="http://schemas.microsoft.com/office/spreadsheetml/2009/9/main" objectType="CheckBox" fmlaLink="'Hulp (control forms)'!$C$22" lockText="1" noThreeD="1"/>
</file>

<file path=xl/ctrlProps/ctrlProp98.xml><?xml version="1.0" encoding="utf-8"?>
<formControlPr xmlns="http://schemas.microsoft.com/office/spreadsheetml/2009/9/main" objectType="CheckBox" fmlaLink="'Hulp (control forms)'!$C$23" lockText="1" noThreeD="1"/>
</file>

<file path=xl/ctrlProps/ctrlProp99.xml><?xml version="1.0" encoding="utf-8"?>
<formControlPr xmlns="http://schemas.microsoft.com/office/spreadsheetml/2009/9/main" objectType="CheckBox" fmlaLink="'Hulp (control forms)'!$C$2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hyperlink" Target="#'5. Toelichtingen'!B2"/><Relationship Id="rId13"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hyperlink" Target="#'Introductie Input'!B83"/><Relationship Id="rId12" Type="http://schemas.openxmlformats.org/officeDocument/2006/relationships/image" Target="../media/image1.png"/><Relationship Id="rId2" Type="http://schemas.openxmlformats.org/officeDocument/2006/relationships/hyperlink" Target="#'Introductie Input'!B76"/><Relationship Id="rId1" Type="http://schemas.openxmlformats.org/officeDocument/2006/relationships/image" Target="../media/image3.png"/><Relationship Id="rId6" Type="http://schemas.openxmlformats.org/officeDocument/2006/relationships/hyperlink" Target="#'Introductie Input'!B79"/><Relationship Id="rId11" Type="http://schemas.openxmlformats.org/officeDocument/2006/relationships/hyperlink" Target="#'Introductie Input'!B85"/><Relationship Id="rId5" Type="http://schemas.openxmlformats.org/officeDocument/2006/relationships/image" Target="../media/image6.png"/><Relationship Id="rId10" Type="http://schemas.openxmlformats.org/officeDocument/2006/relationships/hyperlink" Target="#'Introductie Input'!B84"/><Relationship Id="rId4" Type="http://schemas.openxmlformats.org/officeDocument/2006/relationships/hyperlink" Target="#'Introductie Input'!B78"/><Relationship Id="rId9"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ductie Initialisatie'!B16"/></Relationships>
</file>

<file path=xl/drawings/_rels/drawing2.xml.rels><?xml version="1.0" encoding="UTF-8" standalone="yes"?>
<Relationships xmlns="http://schemas.openxmlformats.org/package/2006/relationships"><Relationship Id="rId8" Type="http://schemas.openxmlformats.org/officeDocument/2006/relationships/hyperlink" Target="#'0. Introductie input'!B31"/><Relationship Id="rId13" Type="http://schemas.openxmlformats.org/officeDocument/2006/relationships/image" Target="../media/image1.png"/><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image" Target="../media/image7.png"/><Relationship Id="rId2" Type="http://schemas.openxmlformats.org/officeDocument/2006/relationships/hyperlink" Target="#'1b. Input productniveau'!A2"/><Relationship Id="rId1" Type="http://schemas.openxmlformats.org/officeDocument/2006/relationships/image" Target="../media/image3.png"/><Relationship Id="rId6" Type="http://schemas.openxmlformats.org/officeDocument/2006/relationships/hyperlink" Target="#'0. Introductie input'!B30"/><Relationship Id="rId11" Type="http://schemas.openxmlformats.org/officeDocument/2006/relationships/hyperlink" Target="#'4. Toelichtingen'!C5"/><Relationship Id="rId5" Type="http://schemas.openxmlformats.org/officeDocument/2006/relationships/image" Target="../media/image5.png"/><Relationship Id="rId10" Type="http://schemas.openxmlformats.org/officeDocument/2006/relationships/hyperlink" Target="#'0. Introductie input'!B35"/><Relationship Id="rId4" Type="http://schemas.openxmlformats.org/officeDocument/2006/relationships/hyperlink" Target="#'0. Introductie input'!B28"/><Relationship Id="rId9" Type="http://schemas.openxmlformats.org/officeDocument/2006/relationships/hyperlink" Target="#'0. Introductie input'!B33"/><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1a. Input organisatieniveau'!A2"/><Relationship Id="rId7" Type="http://schemas.openxmlformats.org/officeDocument/2006/relationships/hyperlink" Target="#'4. Toelichtingen'!C5"/><Relationship Id="rId2" Type="http://schemas.openxmlformats.org/officeDocument/2006/relationships/image" Target="../media/image5.png"/><Relationship Id="rId1" Type="http://schemas.openxmlformats.org/officeDocument/2006/relationships/hyperlink" Target="#'1c. Input functiemix'!A2"/><Relationship Id="rId6" Type="http://schemas.openxmlformats.org/officeDocument/2006/relationships/image" Target="../media/image6.png"/><Relationship Id="rId5" Type="http://schemas.openxmlformats.org/officeDocument/2006/relationships/hyperlink" Target="#'0. Introductie input'!B37"/><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2. Output kostprijs'!A2"/><Relationship Id="rId7" Type="http://schemas.openxmlformats.org/officeDocument/2006/relationships/hyperlink" Target="#'4. Toelichtingen'!C5"/><Relationship Id="rId2" Type="http://schemas.openxmlformats.org/officeDocument/2006/relationships/image" Target="../media/image9.png"/><Relationship Id="rId1" Type="http://schemas.openxmlformats.org/officeDocument/2006/relationships/hyperlink" Target="#'1b. Input productniveau'!A2"/><Relationship Id="rId6" Type="http://schemas.openxmlformats.org/officeDocument/2006/relationships/image" Target="../media/image6.png"/><Relationship Id="rId5" Type="http://schemas.openxmlformats.org/officeDocument/2006/relationships/hyperlink" Target="#'0. Introductie input'!B40"/><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hyperlink" Target="#'0. Introductie input'!B52"/><Relationship Id="rId3" Type="http://schemas.openxmlformats.org/officeDocument/2006/relationships/hyperlink" Target="#'0. Introductie input'!B50"/><Relationship Id="rId7" Type="http://schemas.openxmlformats.org/officeDocument/2006/relationships/hyperlink" Target="#'0. Introductie input'!B51"/><Relationship Id="rId2" Type="http://schemas.openxmlformats.org/officeDocument/2006/relationships/image" Target="../media/image9.png"/><Relationship Id="rId1" Type="http://schemas.openxmlformats.org/officeDocument/2006/relationships/hyperlink" Target="#'1c. Input functiemix'!A2"/><Relationship Id="rId6" Type="http://schemas.openxmlformats.org/officeDocument/2006/relationships/image" Target="../media/image7.png"/><Relationship Id="rId5" Type="http://schemas.openxmlformats.org/officeDocument/2006/relationships/hyperlink" Target="#'4. Toelichtingen'!C5"/><Relationship Id="rId4" Type="http://schemas.openxmlformats.org/officeDocument/2006/relationships/image" Target="../media/image6.png"/><Relationship Id="rId9" Type="http://schemas.openxmlformats.org/officeDocument/2006/relationships/hyperlink" Target="#'0. Introductie input'!B53"/></Relationships>
</file>

<file path=xl/drawings/_rels/drawing8.xml.rels><?xml version="1.0" encoding="UTF-8" standalone="yes"?>
<Relationships xmlns="http://schemas.openxmlformats.org/package/2006/relationships"><Relationship Id="rId8" Type="http://schemas.openxmlformats.org/officeDocument/2006/relationships/hyperlink" Target="#'4. Toelichtingen'!C5"/><Relationship Id="rId13" Type="http://schemas.openxmlformats.org/officeDocument/2006/relationships/image" Target="../media/image2.png"/><Relationship Id="rId3" Type="http://schemas.openxmlformats.org/officeDocument/2006/relationships/image" Target="../media/image11.png"/><Relationship Id="rId7" Type="http://schemas.openxmlformats.org/officeDocument/2006/relationships/hyperlink" Target="#'0. Introductie input'!B64"/><Relationship Id="rId12" Type="http://schemas.openxmlformats.org/officeDocument/2006/relationships/image" Target="../media/image1.png"/><Relationship Id="rId2" Type="http://schemas.openxmlformats.org/officeDocument/2006/relationships/hyperlink" Target="#'0. Introductie input'!B60"/><Relationship Id="rId1" Type="http://schemas.openxmlformats.org/officeDocument/2006/relationships/image" Target="../media/image3.png"/><Relationship Id="rId6" Type="http://schemas.openxmlformats.org/officeDocument/2006/relationships/hyperlink" Target="#'0. Introductie input'!B63"/><Relationship Id="rId11" Type="http://schemas.openxmlformats.org/officeDocument/2006/relationships/hyperlink" Target="#'0. Introductie input'!B69"/><Relationship Id="rId5" Type="http://schemas.openxmlformats.org/officeDocument/2006/relationships/image" Target="../media/image6.png"/><Relationship Id="rId10" Type="http://schemas.openxmlformats.org/officeDocument/2006/relationships/hyperlink" Target="#'0. Introductie input'!B68"/><Relationship Id="rId4" Type="http://schemas.openxmlformats.org/officeDocument/2006/relationships/hyperlink" Target="#'0. Introductie input'!B62"/><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845452</xdr:colOff>
      <xdr:row>89</xdr:row>
      <xdr:rowOff>123369</xdr:rowOff>
    </xdr:from>
    <xdr:to>
      <xdr:col>6</xdr:col>
      <xdr:colOff>225529</xdr:colOff>
      <xdr:row>95</xdr:row>
      <xdr:rowOff>72117</xdr:rowOff>
    </xdr:to>
    <xdr:pic>
      <xdr:nvPicPr>
        <xdr:cNvPr id="2" name="Picture 1">
          <a:extLst>
            <a:ext uri="{FF2B5EF4-FFF2-40B4-BE49-F238E27FC236}">
              <a16:creationId xmlns:a16="http://schemas.microsoft.com/office/drawing/2014/main" id="{5F1566D0-EA38-4D55-A226-D47D754C8B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58081" y="15682683"/>
          <a:ext cx="2402677" cy="1059091"/>
        </a:xfrm>
        <a:prstGeom prst="rect">
          <a:avLst/>
        </a:prstGeom>
      </xdr:spPr>
    </xdr:pic>
    <xdr:clientData/>
  </xdr:twoCellAnchor>
  <xdr:twoCellAnchor editAs="oneCell">
    <xdr:from>
      <xdr:col>4</xdr:col>
      <xdr:colOff>3775523</xdr:colOff>
      <xdr:row>92</xdr:row>
      <xdr:rowOff>16352</xdr:rowOff>
    </xdr:from>
    <xdr:to>
      <xdr:col>5</xdr:col>
      <xdr:colOff>884499</xdr:colOff>
      <xdr:row>94</xdr:row>
      <xdr:rowOff>34972</xdr:rowOff>
    </xdr:to>
    <xdr:pic>
      <xdr:nvPicPr>
        <xdr:cNvPr id="3" name="Picture 2">
          <a:extLst>
            <a:ext uri="{FF2B5EF4-FFF2-40B4-BE49-F238E27FC236}">
              <a16:creationId xmlns:a16="http://schemas.microsoft.com/office/drawing/2014/main" id="{52161737-90EE-4D3C-A63A-B6990A3CB6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20094" y="16130838"/>
          <a:ext cx="977034" cy="3887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61913</xdr:colOff>
          <xdr:row>4</xdr:row>
          <xdr:rowOff>190500</xdr:rowOff>
        </xdr:from>
        <xdr:to>
          <xdr:col>23</xdr:col>
          <xdr:colOff>23813</xdr:colOff>
          <xdr:row>5</xdr:row>
          <xdr:rowOff>190500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A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10</xdr:row>
          <xdr:rowOff>176213</xdr:rowOff>
        </xdr:from>
        <xdr:to>
          <xdr:col>23</xdr:col>
          <xdr:colOff>0</xdr:colOff>
          <xdr:row>11</xdr:row>
          <xdr:rowOff>185738</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A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17</xdr:row>
          <xdr:rowOff>0</xdr:rowOff>
        </xdr:from>
        <xdr:to>
          <xdr:col>23</xdr:col>
          <xdr:colOff>14288</xdr:colOff>
          <xdr:row>17</xdr:row>
          <xdr:rowOff>190500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A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22</xdr:row>
          <xdr:rowOff>190500</xdr:rowOff>
        </xdr:from>
        <xdr:to>
          <xdr:col>23</xdr:col>
          <xdr:colOff>0</xdr:colOff>
          <xdr:row>23</xdr:row>
          <xdr:rowOff>190500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A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29</xdr:row>
          <xdr:rowOff>0</xdr:rowOff>
        </xdr:from>
        <xdr:to>
          <xdr:col>23</xdr:col>
          <xdr:colOff>42863</xdr:colOff>
          <xdr:row>29</xdr:row>
          <xdr:rowOff>190500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A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34</xdr:row>
          <xdr:rowOff>190500</xdr:rowOff>
        </xdr:from>
        <xdr:to>
          <xdr:col>23</xdr:col>
          <xdr:colOff>23813</xdr:colOff>
          <xdr:row>35</xdr:row>
          <xdr:rowOff>190500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A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41</xdr:row>
          <xdr:rowOff>0</xdr:rowOff>
        </xdr:from>
        <xdr:to>
          <xdr:col>23</xdr:col>
          <xdr:colOff>38100</xdr:colOff>
          <xdr:row>41</xdr:row>
          <xdr:rowOff>190500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A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47</xdr:row>
          <xdr:rowOff>4763</xdr:rowOff>
        </xdr:from>
        <xdr:to>
          <xdr:col>22</xdr:col>
          <xdr:colOff>252413</xdr:colOff>
          <xdr:row>47</xdr:row>
          <xdr:rowOff>185738</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A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52</xdr:row>
          <xdr:rowOff>190500</xdr:rowOff>
        </xdr:from>
        <xdr:to>
          <xdr:col>23</xdr:col>
          <xdr:colOff>23813</xdr:colOff>
          <xdr:row>53</xdr:row>
          <xdr:rowOff>185738</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A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58</xdr:row>
          <xdr:rowOff>176213</xdr:rowOff>
        </xdr:from>
        <xdr:to>
          <xdr:col>23</xdr:col>
          <xdr:colOff>42863</xdr:colOff>
          <xdr:row>59</xdr:row>
          <xdr:rowOff>185738</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A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64</xdr:row>
          <xdr:rowOff>152400</xdr:rowOff>
        </xdr:from>
        <xdr:to>
          <xdr:col>23</xdr:col>
          <xdr:colOff>14288</xdr:colOff>
          <xdr:row>65</xdr:row>
          <xdr:rowOff>185738</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A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70</xdr:row>
          <xdr:rowOff>190500</xdr:rowOff>
        </xdr:from>
        <xdr:to>
          <xdr:col>23</xdr:col>
          <xdr:colOff>23813</xdr:colOff>
          <xdr:row>71</xdr:row>
          <xdr:rowOff>185738</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A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61913</xdr:colOff>
          <xdr:row>4</xdr:row>
          <xdr:rowOff>190500</xdr:rowOff>
        </xdr:from>
        <xdr:to>
          <xdr:col>23</xdr:col>
          <xdr:colOff>23813</xdr:colOff>
          <xdr:row>5</xdr:row>
          <xdr:rowOff>190500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B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10</xdr:row>
          <xdr:rowOff>176213</xdr:rowOff>
        </xdr:from>
        <xdr:to>
          <xdr:col>23</xdr:col>
          <xdr:colOff>0</xdr:colOff>
          <xdr:row>11</xdr:row>
          <xdr:rowOff>185738</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B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17</xdr:row>
          <xdr:rowOff>0</xdr:rowOff>
        </xdr:from>
        <xdr:to>
          <xdr:col>23</xdr:col>
          <xdr:colOff>4763</xdr:colOff>
          <xdr:row>17</xdr:row>
          <xdr:rowOff>190500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B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22</xdr:row>
          <xdr:rowOff>190500</xdr:rowOff>
        </xdr:from>
        <xdr:to>
          <xdr:col>23</xdr:col>
          <xdr:colOff>0</xdr:colOff>
          <xdr:row>23</xdr:row>
          <xdr:rowOff>190500</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B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29</xdr:row>
          <xdr:rowOff>0</xdr:rowOff>
        </xdr:from>
        <xdr:to>
          <xdr:col>23</xdr:col>
          <xdr:colOff>42863</xdr:colOff>
          <xdr:row>29</xdr:row>
          <xdr:rowOff>190500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B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34</xdr:row>
          <xdr:rowOff>190500</xdr:rowOff>
        </xdr:from>
        <xdr:to>
          <xdr:col>23</xdr:col>
          <xdr:colOff>23813</xdr:colOff>
          <xdr:row>35</xdr:row>
          <xdr:rowOff>190500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B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41</xdr:row>
          <xdr:rowOff>0</xdr:rowOff>
        </xdr:from>
        <xdr:to>
          <xdr:col>23</xdr:col>
          <xdr:colOff>38100</xdr:colOff>
          <xdr:row>41</xdr:row>
          <xdr:rowOff>190500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B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47</xdr:row>
          <xdr:rowOff>4763</xdr:rowOff>
        </xdr:from>
        <xdr:to>
          <xdr:col>22</xdr:col>
          <xdr:colOff>252413</xdr:colOff>
          <xdr:row>47</xdr:row>
          <xdr:rowOff>185738</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B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52</xdr:row>
          <xdr:rowOff>190500</xdr:rowOff>
        </xdr:from>
        <xdr:to>
          <xdr:col>23</xdr:col>
          <xdr:colOff>23813</xdr:colOff>
          <xdr:row>53</xdr:row>
          <xdr:rowOff>185738</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B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58</xdr:row>
          <xdr:rowOff>176213</xdr:rowOff>
        </xdr:from>
        <xdr:to>
          <xdr:col>23</xdr:col>
          <xdr:colOff>42863</xdr:colOff>
          <xdr:row>59</xdr:row>
          <xdr:rowOff>185738</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B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64</xdr:row>
          <xdr:rowOff>152400</xdr:rowOff>
        </xdr:from>
        <xdr:to>
          <xdr:col>23</xdr:col>
          <xdr:colOff>4763</xdr:colOff>
          <xdr:row>65</xdr:row>
          <xdr:rowOff>185738</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B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70</xdr:row>
          <xdr:rowOff>190500</xdr:rowOff>
        </xdr:from>
        <xdr:to>
          <xdr:col>23</xdr:col>
          <xdr:colOff>23813</xdr:colOff>
          <xdr:row>71</xdr:row>
          <xdr:rowOff>185738</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B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61913</xdr:colOff>
          <xdr:row>6</xdr:row>
          <xdr:rowOff>0</xdr:rowOff>
        </xdr:from>
        <xdr:to>
          <xdr:col>23</xdr:col>
          <xdr:colOff>23813</xdr:colOff>
          <xdr:row>7</xdr:row>
          <xdr:rowOff>14288</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C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71438</xdr:colOff>
          <xdr:row>13</xdr:row>
          <xdr:rowOff>4763</xdr:rowOff>
        </xdr:from>
        <xdr:to>
          <xdr:col>23</xdr:col>
          <xdr:colOff>4763</xdr:colOff>
          <xdr:row>14</xdr:row>
          <xdr:rowOff>33338</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C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71438</xdr:colOff>
          <xdr:row>19</xdr:row>
          <xdr:rowOff>190500</xdr:rowOff>
        </xdr:from>
        <xdr:to>
          <xdr:col>23</xdr:col>
          <xdr:colOff>19050</xdr:colOff>
          <xdr:row>21</xdr:row>
          <xdr:rowOff>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C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27</xdr:row>
          <xdr:rowOff>0</xdr:rowOff>
        </xdr:from>
        <xdr:to>
          <xdr:col>23</xdr:col>
          <xdr:colOff>0</xdr:colOff>
          <xdr:row>28</xdr:row>
          <xdr:rowOff>19050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C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34</xdr:row>
          <xdr:rowOff>4763</xdr:rowOff>
        </xdr:from>
        <xdr:to>
          <xdr:col>23</xdr:col>
          <xdr:colOff>38100</xdr:colOff>
          <xdr:row>35</xdr:row>
          <xdr:rowOff>19050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0C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42863</xdr:colOff>
          <xdr:row>40</xdr:row>
          <xdr:rowOff>166688</xdr:rowOff>
        </xdr:from>
        <xdr:to>
          <xdr:col>23</xdr:col>
          <xdr:colOff>4763</xdr:colOff>
          <xdr:row>41</xdr:row>
          <xdr:rowOff>166688</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0C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47</xdr:row>
          <xdr:rowOff>171450</xdr:rowOff>
        </xdr:from>
        <xdr:to>
          <xdr:col>23</xdr:col>
          <xdr:colOff>38100</xdr:colOff>
          <xdr:row>48</xdr:row>
          <xdr:rowOff>166688</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0C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71438</xdr:colOff>
          <xdr:row>54</xdr:row>
          <xdr:rowOff>195263</xdr:rowOff>
        </xdr:from>
        <xdr:to>
          <xdr:col>23</xdr:col>
          <xdr:colOff>0</xdr:colOff>
          <xdr:row>55</xdr:row>
          <xdr:rowOff>176213</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0C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62</xdr:row>
          <xdr:rowOff>0</xdr:rowOff>
        </xdr:from>
        <xdr:to>
          <xdr:col>23</xdr:col>
          <xdr:colOff>23813</xdr:colOff>
          <xdr:row>63</xdr:row>
          <xdr:rowOff>14288</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C00-00000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61913</xdr:colOff>
          <xdr:row>68</xdr:row>
          <xdr:rowOff>152400</xdr:rowOff>
        </xdr:from>
        <xdr:to>
          <xdr:col>23</xdr:col>
          <xdr:colOff>42863</xdr:colOff>
          <xdr:row>69</xdr:row>
          <xdr:rowOff>157163</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0C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71438</xdr:colOff>
          <xdr:row>75</xdr:row>
          <xdr:rowOff>171450</xdr:rowOff>
        </xdr:from>
        <xdr:to>
          <xdr:col>23</xdr:col>
          <xdr:colOff>19050</xdr:colOff>
          <xdr:row>77</xdr:row>
          <xdr:rowOff>19050</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0C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83</xdr:row>
          <xdr:rowOff>19050</xdr:rowOff>
        </xdr:from>
        <xdr:to>
          <xdr:col>23</xdr:col>
          <xdr:colOff>19050</xdr:colOff>
          <xdr:row>84</xdr:row>
          <xdr:rowOff>33338</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C00-00000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943428</xdr:colOff>
      <xdr:row>3</xdr:row>
      <xdr:rowOff>2719</xdr:rowOff>
    </xdr:from>
    <xdr:to>
      <xdr:col>3</xdr:col>
      <xdr:colOff>154213</xdr:colOff>
      <xdr:row>15</xdr:row>
      <xdr:rowOff>18141</xdr:rowOff>
    </xdr:to>
    <xdr:sp macro="" textlink="">
      <xdr:nvSpPr>
        <xdr:cNvPr id="2" name="Rounded Rectangle 1">
          <a:extLst>
            <a:ext uri="{FF2B5EF4-FFF2-40B4-BE49-F238E27FC236}">
              <a16:creationId xmlns:a16="http://schemas.microsoft.com/office/drawing/2014/main" id="{00000000-0008-0000-1100-000002000000}"/>
            </a:ext>
          </a:extLst>
        </xdr:cNvPr>
        <xdr:cNvSpPr/>
      </xdr:nvSpPr>
      <xdr:spPr>
        <a:xfrm>
          <a:off x="943428" y="547005"/>
          <a:ext cx="3746499" cy="2192565"/>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6</xdr:col>
      <xdr:colOff>136071</xdr:colOff>
      <xdr:row>6</xdr:row>
      <xdr:rowOff>90715</xdr:rowOff>
    </xdr:from>
    <xdr:to>
      <xdr:col>6</xdr:col>
      <xdr:colOff>1787071</xdr:colOff>
      <xdr:row>6</xdr:row>
      <xdr:rowOff>99785</xdr:rowOff>
    </xdr:to>
    <xdr:cxnSp macro="">
      <xdr:nvCxnSpPr>
        <xdr:cNvPr id="3" name="Straight Arrow Connector 2">
          <a:extLst>
            <a:ext uri="{FF2B5EF4-FFF2-40B4-BE49-F238E27FC236}">
              <a16:creationId xmlns:a16="http://schemas.microsoft.com/office/drawing/2014/main" id="{00000000-0008-0000-1100-000003000000}"/>
            </a:ext>
          </a:extLst>
        </xdr:cNvPr>
        <xdr:cNvCxnSpPr/>
      </xdr:nvCxnSpPr>
      <xdr:spPr>
        <a:xfrm flipV="1">
          <a:off x="10740571" y="1179286"/>
          <a:ext cx="1651000" cy="907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890626</xdr:colOff>
      <xdr:row>3</xdr:row>
      <xdr:rowOff>9070</xdr:rowOff>
    </xdr:from>
    <xdr:to>
      <xdr:col>8</xdr:col>
      <xdr:colOff>300983</xdr:colOff>
      <xdr:row>26</xdr:row>
      <xdr:rowOff>18143</xdr:rowOff>
    </xdr:to>
    <xdr:sp macro="" textlink="">
      <xdr:nvSpPr>
        <xdr:cNvPr id="5" name="Rounded Rectangle 4">
          <a:extLst>
            <a:ext uri="{FF2B5EF4-FFF2-40B4-BE49-F238E27FC236}">
              <a16:creationId xmlns:a16="http://schemas.microsoft.com/office/drawing/2014/main" id="{00000000-0008-0000-1100-000005000000}"/>
            </a:ext>
          </a:extLst>
        </xdr:cNvPr>
        <xdr:cNvSpPr/>
      </xdr:nvSpPr>
      <xdr:spPr>
        <a:xfrm>
          <a:off x="5426340" y="553356"/>
          <a:ext cx="6613072" cy="4181930"/>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8</xdr:col>
      <xdr:colOff>1523321</xdr:colOff>
      <xdr:row>3</xdr:row>
      <xdr:rowOff>4075</xdr:rowOff>
    </xdr:from>
    <xdr:to>
      <xdr:col>16</xdr:col>
      <xdr:colOff>322594</xdr:colOff>
      <xdr:row>10</xdr:row>
      <xdr:rowOff>7471</xdr:rowOff>
    </xdr:to>
    <xdr:sp macro="" textlink="">
      <xdr:nvSpPr>
        <xdr:cNvPr id="6" name="Rounded Rectangle 5">
          <a:extLst>
            <a:ext uri="{FF2B5EF4-FFF2-40B4-BE49-F238E27FC236}">
              <a16:creationId xmlns:a16="http://schemas.microsoft.com/office/drawing/2014/main" id="{00000000-0008-0000-1100-000006000000}"/>
            </a:ext>
          </a:extLst>
        </xdr:cNvPr>
        <xdr:cNvSpPr/>
      </xdr:nvSpPr>
      <xdr:spPr>
        <a:xfrm>
          <a:off x="13252145" y="564369"/>
          <a:ext cx="8608155" cy="1310749"/>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8</xdr:col>
      <xdr:colOff>1512455</xdr:colOff>
      <xdr:row>13</xdr:row>
      <xdr:rowOff>11545</xdr:rowOff>
    </xdr:from>
    <xdr:to>
      <xdr:col>16</xdr:col>
      <xdr:colOff>311728</xdr:colOff>
      <xdr:row>26</xdr:row>
      <xdr:rowOff>173181</xdr:rowOff>
    </xdr:to>
    <xdr:sp macro="" textlink="">
      <xdr:nvSpPr>
        <xdr:cNvPr id="7" name="Rounded Rectangle 6">
          <a:extLst>
            <a:ext uri="{FF2B5EF4-FFF2-40B4-BE49-F238E27FC236}">
              <a16:creationId xmlns:a16="http://schemas.microsoft.com/office/drawing/2014/main" id="{00000000-0008-0000-1100-000007000000}"/>
            </a:ext>
          </a:extLst>
        </xdr:cNvPr>
        <xdr:cNvSpPr/>
      </xdr:nvSpPr>
      <xdr:spPr>
        <a:xfrm>
          <a:off x="13381182" y="2228272"/>
          <a:ext cx="8601364" cy="2563091"/>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8</xdr:col>
      <xdr:colOff>1524000</xdr:colOff>
      <xdr:row>28</xdr:row>
      <xdr:rowOff>161636</xdr:rowOff>
    </xdr:from>
    <xdr:to>
      <xdr:col>15</xdr:col>
      <xdr:colOff>311728</xdr:colOff>
      <xdr:row>38</xdr:row>
      <xdr:rowOff>161636</xdr:rowOff>
    </xdr:to>
    <xdr:sp macro="" textlink="">
      <xdr:nvSpPr>
        <xdr:cNvPr id="8" name="Rounded Rectangle 7">
          <a:extLst>
            <a:ext uri="{FF2B5EF4-FFF2-40B4-BE49-F238E27FC236}">
              <a16:creationId xmlns:a16="http://schemas.microsoft.com/office/drawing/2014/main" id="{00000000-0008-0000-1100-000008000000}"/>
            </a:ext>
          </a:extLst>
        </xdr:cNvPr>
        <xdr:cNvSpPr/>
      </xdr:nvSpPr>
      <xdr:spPr>
        <a:xfrm>
          <a:off x="13392727" y="5334000"/>
          <a:ext cx="7423728" cy="1997363"/>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editAs="oneCell">
    <xdr:from>
      <xdr:col>3</xdr:col>
      <xdr:colOff>163286</xdr:colOff>
      <xdr:row>1</xdr:row>
      <xdr:rowOff>2859</xdr:rowOff>
    </xdr:from>
    <xdr:to>
      <xdr:col>3</xdr:col>
      <xdr:colOff>986246</xdr:colOff>
      <xdr:row>4</xdr:row>
      <xdr:rowOff>30623</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00000" flipH="1">
          <a:off x="4697186" y="187009"/>
          <a:ext cx="822960" cy="580214"/>
        </a:xfrm>
        <a:prstGeom prst="rect">
          <a:avLst/>
        </a:prstGeom>
      </xdr:spPr>
    </xdr:pic>
    <xdr:clientData/>
  </xdr:twoCellAnchor>
  <xdr:twoCellAnchor>
    <xdr:from>
      <xdr:col>8</xdr:col>
      <xdr:colOff>353786</xdr:colOff>
      <xdr:row>3</xdr:row>
      <xdr:rowOff>81643</xdr:rowOff>
    </xdr:from>
    <xdr:to>
      <xdr:col>8</xdr:col>
      <xdr:colOff>1451066</xdr:colOff>
      <xdr:row>3</xdr:row>
      <xdr:rowOff>81643</xdr:rowOff>
    </xdr:to>
    <xdr:cxnSp macro="">
      <xdr:nvCxnSpPr>
        <xdr:cNvPr id="15" name="Straight Arrow Connector 14">
          <a:extLst>
            <a:ext uri="{FF2B5EF4-FFF2-40B4-BE49-F238E27FC236}">
              <a16:creationId xmlns:a16="http://schemas.microsoft.com/office/drawing/2014/main" id="{00000000-0008-0000-1100-00000F000000}"/>
            </a:ext>
          </a:extLst>
        </xdr:cNvPr>
        <xdr:cNvCxnSpPr/>
      </xdr:nvCxnSpPr>
      <xdr:spPr>
        <a:xfrm>
          <a:off x="11611429" y="625929"/>
          <a:ext cx="109728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371926</xdr:colOff>
      <xdr:row>0</xdr:row>
      <xdr:rowOff>100303</xdr:rowOff>
    </xdr:from>
    <xdr:to>
      <xdr:col>0</xdr:col>
      <xdr:colOff>737704</xdr:colOff>
      <xdr:row>2</xdr:row>
      <xdr:rowOff>103224</xdr:rowOff>
    </xdr:to>
    <xdr:pic>
      <xdr:nvPicPr>
        <xdr:cNvPr id="16" name="Picture 15">
          <a:hlinkClick xmlns:r="http://schemas.openxmlformats.org/officeDocument/2006/relationships" r:id="rId2" tooltip="Ga terug naar de handleiding."/>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371926" y="100303"/>
          <a:ext cx="365778" cy="365778"/>
        </a:xfrm>
        <a:prstGeom prst="rect">
          <a:avLst/>
        </a:prstGeom>
      </xdr:spPr>
    </xdr:pic>
    <xdr:clientData/>
  </xdr:twoCellAnchor>
  <xdr:twoCellAnchor editAs="oneCell">
    <xdr:from>
      <xdr:col>2</xdr:col>
      <xdr:colOff>1596574</xdr:colOff>
      <xdr:row>3</xdr:row>
      <xdr:rowOff>59875</xdr:rowOff>
    </xdr:from>
    <xdr:to>
      <xdr:col>3</xdr:col>
      <xdr:colOff>93450</xdr:colOff>
      <xdr:row>4</xdr:row>
      <xdr:rowOff>107058</xdr:rowOff>
    </xdr:to>
    <xdr:pic>
      <xdr:nvPicPr>
        <xdr:cNvPr id="17" name="Picture 16">
          <a:hlinkClick xmlns:r="http://schemas.openxmlformats.org/officeDocument/2006/relationships" r:id="rId4" tooltip="Vind meer informatie over dit blok."/>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35074" y="631375"/>
          <a:ext cx="224076" cy="237683"/>
        </a:xfrm>
        <a:prstGeom prst="rect">
          <a:avLst/>
        </a:prstGeom>
      </xdr:spPr>
    </xdr:pic>
    <xdr:clientData/>
  </xdr:twoCellAnchor>
  <xdr:twoCellAnchor editAs="oneCell">
    <xdr:from>
      <xdr:col>7</xdr:col>
      <xdr:colOff>733882</xdr:colOff>
      <xdr:row>3</xdr:row>
      <xdr:rowOff>73693</xdr:rowOff>
    </xdr:from>
    <xdr:to>
      <xdr:col>8</xdr:col>
      <xdr:colOff>217722</xdr:colOff>
      <xdr:row>4</xdr:row>
      <xdr:rowOff>120865</xdr:rowOff>
    </xdr:to>
    <xdr:pic>
      <xdr:nvPicPr>
        <xdr:cNvPr id="18" name="Picture 17">
          <a:hlinkClick xmlns:r="http://schemas.openxmlformats.org/officeDocument/2006/relationships" r:id="rId6" tooltip="Vind meer informatie over dit blok."/>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732082" y="626143"/>
          <a:ext cx="226790" cy="231322"/>
        </a:xfrm>
        <a:prstGeom prst="rect">
          <a:avLst/>
        </a:prstGeom>
      </xdr:spPr>
    </xdr:pic>
    <xdr:clientData/>
  </xdr:twoCellAnchor>
  <xdr:twoCellAnchor editAs="oneCell">
    <xdr:from>
      <xdr:col>16</xdr:col>
      <xdr:colOff>44771</xdr:colOff>
      <xdr:row>3</xdr:row>
      <xdr:rowOff>50591</xdr:rowOff>
    </xdr:from>
    <xdr:to>
      <xdr:col>16</xdr:col>
      <xdr:colOff>273382</xdr:colOff>
      <xdr:row>4</xdr:row>
      <xdr:rowOff>97774</xdr:rowOff>
    </xdr:to>
    <xdr:pic>
      <xdr:nvPicPr>
        <xdr:cNvPr id="19" name="Picture 18">
          <a:hlinkClick xmlns:r="http://schemas.openxmlformats.org/officeDocument/2006/relationships" r:id="rId7" tooltip="Vind meer informatie over dit blok."/>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707342" y="594877"/>
          <a:ext cx="228611" cy="228611"/>
        </a:xfrm>
        <a:prstGeom prst="rect">
          <a:avLst/>
        </a:prstGeom>
      </xdr:spPr>
    </xdr:pic>
    <xdr:clientData/>
  </xdr:twoCellAnchor>
  <xdr:twoCellAnchor editAs="oneCell">
    <xdr:from>
      <xdr:col>15</xdr:col>
      <xdr:colOff>949619</xdr:colOff>
      <xdr:row>3</xdr:row>
      <xdr:rowOff>56459</xdr:rowOff>
    </xdr:from>
    <xdr:to>
      <xdr:col>16</xdr:col>
      <xdr:colOff>19228</xdr:colOff>
      <xdr:row>4</xdr:row>
      <xdr:rowOff>105782</xdr:rowOff>
    </xdr:to>
    <xdr:pic>
      <xdr:nvPicPr>
        <xdr:cNvPr id="20" name="Picture 19">
          <a:hlinkClick xmlns:r="http://schemas.openxmlformats.org/officeDocument/2006/relationships" r:id="rId8" tooltip="Geef toelichting(en) bij de resultaten."/>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451048" y="600745"/>
          <a:ext cx="230751" cy="230751"/>
        </a:xfrm>
        <a:prstGeom prst="rect">
          <a:avLst/>
        </a:prstGeom>
      </xdr:spPr>
    </xdr:pic>
    <xdr:clientData/>
  </xdr:twoCellAnchor>
  <xdr:twoCellAnchor editAs="oneCell">
    <xdr:from>
      <xdr:col>7</xdr:col>
      <xdr:colOff>479135</xdr:colOff>
      <xdr:row>3</xdr:row>
      <xdr:rowOff>83672</xdr:rowOff>
    </xdr:from>
    <xdr:to>
      <xdr:col>7</xdr:col>
      <xdr:colOff>709886</xdr:colOff>
      <xdr:row>4</xdr:row>
      <xdr:rowOff>132995</xdr:rowOff>
    </xdr:to>
    <xdr:pic>
      <xdr:nvPicPr>
        <xdr:cNvPr id="21" name="Picture 20">
          <a:hlinkClick xmlns:r="http://schemas.openxmlformats.org/officeDocument/2006/relationships" r:id="rId8" tooltip="Geef toelichting(en) bij de invoer."/>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73706" y="627958"/>
          <a:ext cx="230751" cy="230751"/>
        </a:xfrm>
        <a:prstGeom prst="rect">
          <a:avLst/>
        </a:prstGeom>
      </xdr:spPr>
    </xdr:pic>
    <xdr:clientData/>
  </xdr:twoCellAnchor>
  <xdr:twoCellAnchor editAs="oneCell">
    <xdr:from>
      <xdr:col>16</xdr:col>
      <xdr:colOff>26788</xdr:colOff>
      <xdr:row>13</xdr:row>
      <xdr:rowOff>58061</xdr:rowOff>
    </xdr:from>
    <xdr:to>
      <xdr:col>16</xdr:col>
      <xdr:colOff>255399</xdr:colOff>
      <xdr:row>14</xdr:row>
      <xdr:rowOff>105243</xdr:rowOff>
    </xdr:to>
    <xdr:pic>
      <xdr:nvPicPr>
        <xdr:cNvPr id="22" name="Picture 21">
          <a:hlinkClick xmlns:r="http://schemas.openxmlformats.org/officeDocument/2006/relationships" r:id="rId10" tooltip="Vind meer informatie over dit blok."/>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689359" y="2416632"/>
          <a:ext cx="228611" cy="228611"/>
        </a:xfrm>
        <a:prstGeom prst="rect">
          <a:avLst/>
        </a:prstGeom>
      </xdr:spPr>
    </xdr:pic>
    <xdr:clientData/>
  </xdr:twoCellAnchor>
  <xdr:twoCellAnchor editAs="oneCell">
    <xdr:from>
      <xdr:col>15</xdr:col>
      <xdr:colOff>937986</xdr:colOff>
      <xdr:row>13</xdr:row>
      <xdr:rowOff>70279</xdr:rowOff>
    </xdr:from>
    <xdr:to>
      <xdr:col>16</xdr:col>
      <xdr:colOff>7595</xdr:colOff>
      <xdr:row>14</xdr:row>
      <xdr:rowOff>119601</xdr:rowOff>
    </xdr:to>
    <xdr:pic>
      <xdr:nvPicPr>
        <xdr:cNvPr id="23" name="Picture 22">
          <a:hlinkClick xmlns:r="http://schemas.openxmlformats.org/officeDocument/2006/relationships" r:id="rId8" tooltip="Geef toelichting(en) bij de resultaten."/>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439415" y="2428850"/>
          <a:ext cx="230751" cy="230751"/>
        </a:xfrm>
        <a:prstGeom prst="rect">
          <a:avLst/>
        </a:prstGeom>
      </xdr:spPr>
    </xdr:pic>
    <xdr:clientData/>
  </xdr:twoCellAnchor>
  <xdr:twoCellAnchor editAs="oneCell">
    <xdr:from>
      <xdr:col>15</xdr:col>
      <xdr:colOff>24067</xdr:colOff>
      <xdr:row>29</xdr:row>
      <xdr:rowOff>24497</xdr:rowOff>
    </xdr:from>
    <xdr:to>
      <xdr:col>15</xdr:col>
      <xdr:colOff>252678</xdr:colOff>
      <xdr:row>30</xdr:row>
      <xdr:rowOff>71680</xdr:rowOff>
    </xdr:to>
    <xdr:pic>
      <xdr:nvPicPr>
        <xdr:cNvPr id="24" name="Picture 23">
          <a:hlinkClick xmlns:r="http://schemas.openxmlformats.org/officeDocument/2006/relationships" r:id="rId11" tooltip="Vind meer informatie over dit blok."/>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525496" y="5285926"/>
          <a:ext cx="228611" cy="228611"/>
        </a:xfrm>
        <a:prstGeom prst="rect">
          <a:avLst/>
        </a:prstGeom>
      </xdr:spPr>
    </xdr:pic>
    <xdr:clientData/>
  </xdr:twoCellAnchor>
  <xdr:twoCellAnchor editAs="oneCell">
    <xdr:from>
      <xdr:col>14</xdr:col>
      <xdr:colOff>935266</xdr:colOff>
      <xdr:row>29</xdr:row>
      <xdr:rowOff>36715</xdr:rowOff>
    </xdr:from>
    <xdr:to>
      <xdr:col>15</xdr:col>
      <xdr:colOff>4874</xdr:colOff>
      <xdr:row>30</xdr:row>
      <xdr:rowOff>86038</xdr:rowOff>
    </xdr:to>
    <xdr:pic>
      <xdr:nvPicPr>
        <xdr:cNvPr id="25" name="Picture 24">
          <a:hlinkClick xmlns:r="http://schemas.openxmlformats.org/officeDocument/2006/relationships" r:id="rId8" tooltip="Geef toelichting(en) bij de resultaten."/>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275552" y="5298144"/>
          <a:ext cx="230751" cy="230751"/>
        </a:xfrm>
        <a:prstGeom prst="rect">
          <a:avLst/>
        </a:prstGeom>
      </xdr:spPr>
    </xdr:pic>
    <xdr:clientData/>
  </xdr:twoCellAnchor>
  <xdr:twoCellAnchor editAs="oneCell">
    <xdr:from>
      <xdr:col>1</xdr:col>
      <xdr:colOff>1685018</xdr:colOff>
      <xdr:row>15</xdr:row>
      <xdr:rowOff>172358</xdr:rowOff>
    </xdr:from>
    <xdr:to>
      <xdr:col>2</xdr:col>
      <xdr:colOff>997126</xdr:colOff>
      <xdr:row>19</xdr:row>
      <xdr:rowOff>90715</xdr:rowOff>
    </xdr:to>
    <xdr:pic>
      <xdr:nvPicPr>
        <xdr:cNvPr id="26" name="Picture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73589" y="2893787"/>
          <a:ext cx="1452966" cy="644071"/>
        </a:xfrm>
        <a:prstGeom prst="rect">
          <a:avLst/>
        </a:prstGeom>
      </xdr:spPr>
    </xdr:pic>
    <xdr:clientData/>
  </xdr:twoCellAnchor>
  <xdr:twoCellAnchor editAs="oneCell">
    <xdr:from>
      <xdr:col>1</xdr:col>
      <xdr:colOff>671285</xdr:colOff>
      <xdr:row>16</xdr:row>
      <xdr:rowOff>149677</xdr:rowOff>
    </xdr:from>
    <xdr:to>
      <xdr:col>1</xdr:col>
      <xdr:colOff>1639928</xdr:colOff>
      <xdr:row>18</xdr:row>
      <xdr:rowOff>174702</xdr:rowOff>
    </xdr:to>
    <xdr:pic>
      <xdr:nvPicPr>
        <xdr:cNvPr id="27" name="Picture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59856" y="3052534"/>
          <a:ext cx="968643" cy="387882"/>
        </a:xfrm>
        <a:prstGeom prst="rect">
          <a:avLst/>
        </a:prstGeom>
      </xdr:spPr>
    </xdr:pic>
    <xdr:clientData/>
  </xdr:twoCellAnchor>
  <xdr:twoCellAnchor>
    <xdr:from>
      <xdr:col>6</xdr:col>
      <xdr:colOff>99786</xdr:colOff>
      <xdr:row>10</xdr:row>
      <xdr:rowOff>90715</xdr:rowOff>
    </xdr:from>
    <xdr:to>
      <xdr:col>6</xdr:col>
      <xdr:colOff>1750786</xdr:colOff>
      <xdr:row>10</xdr:row>
      <xdr:rowOff>99785</xdr:rowOff>
    </xdr:to>
    <xdr:cxnSp macro="">
      <xdr:nvCxnSpPr>
        <xdr:cNvPr id="28" name="Straight Arrow Connector 27">
          <a:extLst>
            <a:ext uri="{FF2B5EF4-FFF2-40B4-BE49-F238E27FC236}">
              <a16:creationId xmlns:a16="http://schemas.microsoft.com/office/drawing/2014/main" id="{00000000-0008-0000-1100-00001C000000}"/>
            </a:ext>
          </a:extLst>
        </xdr:cNvPr>
        <xdr:cNvCxnSpPr/>
      </xdr:nvCxnSpPr>
      <xdr:spPr>
        <a:xfrm flipV="1">
          <a:off x="10704286" y="1905001"/>
          <a:ext cx="1651000" cy="907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425824</xdr:colOff>
      <xdr:row>8</xdr:row>
      <xdr:rowOff>18143</xdr:rowOff>
    </xdr:from>
    <xdr:to>
      <xdr:col>3</xdr:col>
      <xdr:colOff>216647</xdr:colOff>
      <xdr:row>30</xdr:row>
      <xdr:rowOff>164353</xdr:rowOff>
    </xdr:to>
    <xdr:sp macro="" textlink="">
      <xdr:nvSpPr>
        <xdr:cNvPr id="17" name="Rounded Rectangle 16">
          <a:extLst>
            <a:ext uri="{FF2B5EF4-FFF2-40B4-BE49-F238E27FC236}">
              <a16:creationId xmlns:a16="http://schemas.microsoft.com/office/drawing/2014/main" id="{00000000-0008-0000-1200-000011000000}"/>
            </a:ext>
          </a:extLst>
        </xdr:cNvPr>
        <xdr:cNvSpPr/>
      </xdr:nvSpPr>
      <xdr:spPr>
        <a:xfrm>
          <a:off x="425824" y="1569357"/>
          <a:ext cx="3283323" cy="4536782"/>
        </a:xfrm>
        <a:prstGeom prst="roundRect">
          <a:avLst>
            <a:gd name="adj" fmla="val 5556"/>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xdr:twoCellAnchor>
    <xdr:from>
      <xdr:col>3</xdr:col>
      <xdr:colOff>1260928</xdr:colOff>
      <xdr:row>8</xdr:row>
      <xdr:rowOff>9072</xdr:rowOff>
    </xdr:from>
    <xdr:to>
      <xdr:col>8</xdr:col>
      <xdr:colOff>186765</xdr:colOff>
      <xdr:row>20</xdr:row>
      <xdr:rowOff>136072</xdr:rowOff>
    </xdr:to>
    <xdr:sp macro="" textlink="">
      <xdr:nvSpPr>
        <xdr:cNvPr id="18" name="Rounded Rectangle 17">
          <a:extLst>
            <a:ext uri="{FF2B5EF4-FFF2-40B4-BE49-F238E27FC236}">
              <a16:creationId xmlns:a16="http://schemas.microsoft.com/office/drawing/2014/main" id="{00000000-0008-0000-1200-000012000000}"/>
            </a:ext>
          </a:extLst>
        </xdr:cNvPr>
        <xdr:cNvSpPr/>
      </xdr:nvSpPr>
      <xdr:spPr>
        <a:xfrm>
          <a:off x="4753428" y="1560286"/>
          <a:ext cx="6137623" cy="2521857"/>
        </a:xfrm>
        <a:prstGeom prst="roundRect">
          <a:avLst>
            <a:gd name="adj" fmla="val 4116"/>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xdr:twoCellAnchor>
    <xdr:from>
      <xdr:col>0</xdr:col>
      <xdr:colOff>425824</xdr:colOff>
      <xdr:row>64</xdr:row>
      <xdr:rowOff>1</xdr:rowOff>
    </xdr:from>
    <xdr:to>
      <xdr:col>6</xdr:col>
      <xdr:colOff>254000</xdr:colOff>
      <xdr:row>94</xdr:row>
      <xdr:rowOff>29883</xdr:rowOff>
    </xdr:to>
    <xdr:sp macro="" textlink="">
      <xdr:nvSpPr>
        <xdr:cNvPr id="4" name="Rounded Rectangle 3">
          <a:extLst>
            <a:ext uri="{FF2B5EF4-FFF2-40B4-BE49-F238E27FC236}">
              <a16:creationId xmlns:a16="http://schemas.microsoft.com/office/drawing/2014/main" id="{00000000-0008-0000-1200-000004000000}"/>
            </a:ext>
          </a:extLst>
        </xdr:cNvPr>
        <xdr:cNvSpPr/>
      </xdr:nvSpPr>
      <xdr:spPr>
        <a:xfrm>
          <a:off x="425824" y="12744825"/>
          <a:ext cx="7649882" cy="5752352"/>
        </a:xfrm>
        <a:prstGeom prst="roundRect">
          <a:avLst>
            <a:gd name="adj" fmla="val 4116"/>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xdr:twoCellAnchor>
    <xdr:from>
      <xdr:col>3</xdr:col>
      <xdr:colOff>136071</xdr:colOff>
      <xdr:row>101</xdr:row>
      <xdr:rowOff>91621</xdr:rowOff>
    </xdr:from>
    <xdr:to>
      <xdr:col>3</xdr:col>
      <xdr:colOff>1371600</xdr:colOff>
      <xdr:row>101</xdr:row>
      <xdr:rowOff>99785</xdr:rowOff>
    </xdr:to>
    <xdr:cxnSp macro="">
      <xdr:nvCxnSpPr>
        <xdr:cNvPr id="5" name="Straight Arrow Connector 4">
          <a:extLst>
            <a:ext uri="{FF2B5EF4-FFF2-40B4-BE49-F238E27FC236}">
              <a16:creationId xmlns:a16="http://schemas.microsoft.com/office/drawing/2014/main" id="{00000000-0008-0000-1200-000005000000}"/>
            </a:ext>
          </a:extLst>
        </xdr:cNvPr>
        <xdr:cNvCxnSpPr/>
      </xdr:nvCxnSpPr>
      <xdr:spPr>
        <a:xfrm flipV="1">
          <a:off x="9813471" y="1196521"/>
          <a:ext cx="1235529" cy="8164"/>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92363</xdr:colOff>
      <xdr:row>105</xdr:row>
      <xdr:rowOff>103909</xdr:rowOff>
    </xdr:from>
    <xdr:to>
      <xdr:col>3</xdr:col>
      <xdr:colOff>1327892</xdr:colOff>
      <xdr:row>105</xdr:row>
      <xdr:rowOff>112073</xdr:rowOff>
    </xdr:to>
    <xdr:cxnSp macro="">
      <xdr:nvCxnSpPr>
        <xdr:cNvPr id="6" name="Straight Arrow Connector 5">
          <a:extLst>
            <a:ext uri="{FF2B5EF4-FFF2-40B4-BE49-F238E27FC236}">
              <a16:creationId xmlns:a16="http://schemas.microsoft.com/office/drawing/2014/main" id="{00000000-0008-0000-1200-000006000000}"/>
            </a:ext>
          </a:extLst>
        </xdr:cNvPr>
        <xdr:cNvCxnSpPr/>
      </xdr:nvCxnSpPr>
      <xdr:spPr>
        <a:xfrm flipV="1">
          <a:off x="9769763" y="1945409"/>
          <a:ext cx="1235529" cy="8164"/>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399143</xdr:colOff>
      <xdr:row>98</xdr:row>
      <xdr:rowOff>9070</xdr:rowOff>
    </xdr:from>
    <xdr:to>
      <xdr:col>5</xdr:col>
      <xdr:colOff>263072</xdr:colOff>
      <xdr:row>118</xdr:row>
      <xdr:rowOff>172357</xdr:rowOff>
    </xdr:to>
    <xdr:sp macro="" textlink="">
      <xdr:nvSpPr>
        <xdr:cNvPr id="7" name="Rounded Rectangle 6">
          <a:extLst>
            <a:ext uri="{FF2B5EF4-FFF2-40B4-BE49-F238E27FC236}">
              <a16:creationId xmlns:a16="http://schemas.microsoft.com/office/drawing/2014/main" id="{00000000-0008-0000-1200-000007000000}"/>
            </a:ext>
          </a:extLst>
        </xdr:cNvPr>
        <xdr:cNvSpPr/>
      </xdr:nvSpPr>
      <xdr:spPr>
        <a:xfrm>
          <a:off x="399143" y="19049999"/>
          <a:ext cx="6241143" cy="3909787"/>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2473299</xdr:colOff>
      <xdr:row>27</xdr:row>
      <xdr:rowOff>127000</xdr:rowOff>
    </xdr:from>
    <xdr:to>
      <xdr:col>4</xdr:col>
      <xdr:colOff>220519</xdr:colOff>
      <xdr:row>33</xdr:row>
      <xdr:rowOff>79376</xdr:rowOff>
    </xdr:to>
    <xdr:pic>
      <xdr:nvPicPr>
        <xdr:cNvPr id="2" name="Picture 1">
          <a:extLst>
            <a:ext uri="{FF2B5EF4-FFF2-40B4-BE49-F238E27FC236}">
              <a16:creationId xmlns:a16="http://schemas.microsoft.com/office/drawing/2014/main" id="{F383B6AC-D7CB-4E56-8D06-A2AE7A5CF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23005" y="7709647"/>
          <a:ext cx="2401396" cy="1072964"/>
        </a:xfrm>
        <a:prstGeom prst="rect">
          <a:avLst/>
        </a:prstGeom>
      </xdr:spPr>
    </xdr:pic>
    <xdr:clientData/>
  </xdr:twoCellAnchor>
  <xdr:twoCellAnchor editAs="oneCell">
    <xdr:from>
      <xdr:col>3</xdr:col>
      <xdr:colOff>1538941</xdr:colOff>
      <xdr:row>30</xdr:row>
      <xdr:rowOff>23611</xdr:rowOff>
    </xdr:from>
    <xdr:to>
      <xdr:col>3</xdr:col>
      <xdr:colOff>2512346</xdr:colOff>
      <xdr:row>32</xdr:row>
      <xdr:rowOff>42231</xdr:rowOff>
    </xdr:to>
    <xdr:pic>
      <xdr:nvPicPr>
        <xdr:cNvPr id="3" name="Picture 2">
          <a:extLst>
            <a:ext uri="{FF2B5EF4-FFF2-40B4-BE49-F238E27FC236}">
              <a16:creationId xmlns:a16="http://schemas.microsoft.com/office/drawing/2014/main" id="{3B64DA6C-5916-4AEC-BA89-D59ABAC8B7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88647" y="8166552"/>
          <a:ext cx="973405" cy="3921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616858</xdr:colOff>
      <xdr:row>2</xdr:row>
      <xdr:rowOff>18142</xdr:rowOff>
    </xdr:from>
    <xdr:to>
      <xdr:col>4</xdr:col>
      <xdr:colOff>272144</xdr:colOff>
      <xdr:row>50</xdr:row>
      <xdr:rowOff>11906</xdr:rowOff>
    </xdr:to>
    <xdr:sp macro="" textlink="">
      <xdr:nvSpPr>
        <xdr:cNvPr id="2" name="Rounded Rectangle 1">
          <a:extLst>
            <a:ext uri="{FF2B5EF4-FFF2-40B4-BE49-F238E27FC236}">
              <a16:creationId xmlns:a16="http://schemas.microsoft.com/office/drawing/2014/main" id="{00000000-0008-0000-0100-000002000000}"/>
            </a:ext>
          </a:extLst>
        </xdr:cNvPr>
        <xdr:cNvSpPr/>
      </xdr:nvSpPr>
      <xdr:spPr>
        <a:xfrm>
          <a:off x="616858" y="380999"/>
          <a:ext cx="5207000" cy="8738621"/>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editAs="oneCell">
    <xdr:from>
      <xdr:col>3</xdr:col>
      <xdr:colOff>225280</xdr:colOff>
      <xdr:row>2</xdr:row>
      <xdr:rowOff>103568</xdr:rowOff>
    </xdr:from>
    <xdr:to>
      <xdr:col>4</xdr:col>
      <xdr:colOff>127309</xdr:colOff>
      <xdr:row>3</xdr:row>
      <xdr:rowOff>79075</xdr:rowOff>
    </xdr:to>
    <xdr:pic>
      <xdr:nvPicPr>
        <xdr:cNvPr id="3" name="Picture 2">
          <a:hlinkClick xmlns:r="http://schemas.openxmlformats.org/officeDocument/2006/relationships" r:id="rId1" tooltip="Vind meer informatie over dit blok."/>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3447" y="473985"/>
          <a:ext cx="224820" cy="232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876300</xdr:colOff>
          <xdr:row>10</xdr:row>
          <xdr:rowOff>14288</xdr:rowOff>
        </xdr:from>
        <xdr:to>
          <xdr:col>6</xdr:col>
          <xdr:colOff>1062038</xdr:colOff>
          <xdr:row>11</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1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881063</xdr:colOff>
          <xdr:row>18</xdr:row>
          <xdr:rowOff>14288</xdr:rowOff>
        </xdr:from>
        <xdr:to>
          <xdr:col>6</xdr:col>
          <xdr:colOff>1062038</xdr:colOff>
          <xdr:row>18</xdr:row>
          <xdr:rowOff>195263</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1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881063</xdr:colOff>
          <xdr:row>19</xdr:row>
          <xdr:rowOff>14288</xdr:rowOff>
        </xdr:from>
        <xdr:to>
          <xdr:col>6</xdr:col>
          <xdr:colOff>1062038</xdr:colOff>
          <xdr:row>19</xdr:row>
          <xdr:rowOff>190500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1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881063</xdr:colOff>
          <xdr:row>20</xdr:row>
          <xdr:rowOff>19050</xdr:rowOff>
        </xdr:from>
        <xdr:to>
          <xdr:col>6</xdr:col>
          <xdr:colOff>1066800</xdr:colOff>
          <xdr:row>21</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1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876300</xdr:colOff>
          <xdr:row>22</xdr:row>
          <xdr:rowOff>4763</xdr:rowOff>
        </xdr:from>
        <xdr:to>
          <xdr:col>6</xdr:col>
          <xdr:colOff>1052513</xdr:colOff>
          <xdr:row>22</xdr:row>
          <xdr:rowOff>190500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1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876300</xdr:colOff>
          <xdr:row>23</xdr:row>
          <xdr:rowOff>4763</xdr:rowOff>
        </xdr:from>
        <xdr:to>
          <xdr:col>6</xdr:col>
          <xdr:colOff>1052513</xdr:colOff>
          <xdr:row>23</xdr:row>
          <xdr:rowOff>190500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1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17</xdr:row>
          <xdr:rowOff>19050</xdr:rowOff>
        </xdr:from>
        <xdr:to>
          <xdr:col>3</xdr:col>
          <xdr:colOff>1047750</xdr:colOff>
          <xdr:row>18</xdr:row>
          <xdr:rowOff>0</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0100-00000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16</xdr:row>
          <xdr:rowOff>23813</xdr:rowOff>
        </xdr:from>
        <xdr:to>
          <xdr:col>3</xdr:col>
          <xdr:colOff>1042988</xdr:colOff>
          <xdr:row>17</xdr:row>
          <xdr:rowOff>4763</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01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15</xdr:row>
          <xdr:rowOff>19050</xdr:rowOff>
        </xdr:from>
        <xdr:to>
          <xdr:col>3</xdr:col>
          <xdr:colOff>1042988</xdr:colOff>
          <xdr:row>16</xdr:row>
          <xdr:rowOff>0</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01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14</xdr:row>
          <xdr:rowOff>19050</xdr:rowOff>
        </xdr:from>
        <xdr:to>
          <xdr:col>3</xdr:col>
          <xdr:colOff>1052513</xdr:colOff>
          <xdr:row>15</xdr:row>
          <xdr:rowOff>4763</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01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13</xdr:row>
          <xdr:rowOff>19050</xdr:rowOff>
        </xdr:from>
        <xdr:to>
          <xdr:col>3</xdr:col>
          <xdr:colOff>1052513</xdr:colOff>
          <xdr:row>14</xdr:row>
          <xdr:rowOff>4763</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100-00000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11</xdr:row>
          <xdr:rowOff>195263</xdr:rowOff>
        </xdr:from>
        <xdr:to>
          <xdr:col>3</xdr:col>
          <xdr:colOff>1052513</xdr:colOff>
          <xdr:row>12</xdr:row>
          <xdr:rowOff>185738</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100-00000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11</xdr:row>
          <xdr:rowOff>0</xdr:rowOff>
        </xdr:from>
        <xdr:to>
          <xdr:col>3</xdr:col>
          <xdr:colOff>1052513</xdr:colOff>
          <xdr:row>11</xdr:row>
          <xdr:rowOff>185738</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100-00000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9</xdr:row>
          <xdr:rowOff>195263</xdr:rowOff>
        </xdr:from>
        <xdr:to>
          <xdr:col>3</xdr:col>
          <xdr:colOff>1047750</xdr:colOff>
          <xdr:row>10</xdr:row>
          <xdr:rowOff>185738</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0100-00000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9</xdr:row>
          <xdr:rowOff>14288</xdr:rowOff>
        </xdr:from>
        <xdr:to>
          <xdr:col>3</xdr:col>
          <xdr:colOff>1047750</xdr:colOff>
          <xdr:row>10</xdr:row>
          <xdr:rowOff>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100-00000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8</xdr:row>
          <xdr:rowOff>4763</xdr:rowOff>
        </xdr:from>
        <xdr:to>
          <xdr:col>3</xdr:col>
          <xdr:colOff>1052513</xdr:colOff>
          <xdr:row>8</xdr:row>
          <xdr:rowOff>185738</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0100-00001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7</xdr:row>
          <xdr:rowOff>4763</xdr:rowOff>
        </xdr:from>
        <xdr:to>
          <xdr:col>3</xdr:col>
          <xdr:colOff>1047750</xdr:colOff>
          <xdr:row>8</xdr:row>
          <xdr:rowOff>0</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0100-00001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6</xdr:row>
          <xdr:rowOff>0</xdr:rowOff>
        </xdr:from>
        <xdr:to>
          <xdr:col>3</xdr:col>
          <xdr:colOff>1047750</xdr:colOff>
          <xdr:row>7</xdr:row>
          <xdr:rowOff>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01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907142</xdr:colOff>
      <xdr:row>2</xdr:row>
      <xdr:rowOff>190499</xdr:rowOff>
    </xdr:from>
    <xdr:to>
      <xdr:col>3</xdr:col>
      <xdr:colOff>154213</xdr:colOff>
      <xdr:row>14</xdr:row>
      <xdr:rowOff>184150</xdr:rowOff>
    </xdr:to>
    <xdr:sp macro="" textlink="">
      <xdr:nvSpPr>
        <xdr:cNvPr id="2" name="Rounded Rectangle 1">
          <a:extLst>
            <a:ext uri="{FF2B5EF4-FFF2-40B4-BE49-F238E27FC236}">
              <a16:creationId xmlns:a16="http://schemas.microsoft.com/office/drawing/2014/main" id="{00000000-0008-0000-0300-000002000000}"/>
            </a:ext>
          </a:extLst>
        </xdr:cNvPr>
        <xdr:cNvSpPr/>
      </xdr:nvSpPr>
      <xdr:spPr>
        <a:xfrm>
          <a:off x="907142" y="589642"/>
          <a:ext cx="3782785" cy="2379437"/>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3</xdr:col>
      <xdr:colOff>838200</xdr:colOff>
      <xdr:row>3</xdr:row>
      <xdr:rowOff>18143</xdr:rowOff>
    </xdr:from>
    <xdr:to>
      <xdr:col>6</xdr:col>
      <xdr:colOff>208644</xdr:colOff>
      <xdr:row>46</xdr:row>
      <xdr:rowOff>179294</xdr:rowOff>
    </xdr:to>
    <xdr:sp macro="" textlink="">
      <xdr:nvSpPr>
        <xdr:cNvPr id="23" name="Rounded Rectangle 22">
          <a:extLst>
            <a:ext uri="{FF2B5EF4-FFF2-40B4-BE49-F238E27FC236}">
              <a16:creationId xmlns:a16="http://schemas.microsoft.com/office/drawing/2014/main" id="{00000000-0008-0000-0300-000017000000}"/>
            </a:ext>
          </a:extLst>
        </xdr:cNvPr>
        <xdr:cNvSpPr/>
      </xdr:nvSpPr>
      <xdr:spPr>
        <a:xfrm>
          <a:off x="5858435" y="600849"/>
          <a:ext cx="3060915" cy="8662680"/>
        </a:xfrm>
        <a:prstGeom prst="roundRect">
          <a:avLst>
            <a:gd name="adj" fmla="val 7133"/>
          </a:avLst>
        </a:prstGeom>
        <a:noFill/>
        <a:ln w="22225" cap="flat">
          <a:solidFill>
            <a:schemeClr val="tx1"/>
          </a:solidFill>
          <a:round/>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100"/>
        </a:p>
      </xdr:txBody>
    </xdr:sp>
    <xdr:clientData/>
  </xdr:twoCellAnchor>
  <xdr:twoCellAnchor>
    <xdr:from>
      <xdr:col>6</xdr:col>
      <xdr:colOff>834571</xdr:colOff>
      <xdr:row>3</xdr:row>
      <xdr:rowOff>0</xdr:rowOff>
    </xdr:from>
    <xdr:to>
      <xdr:col>9</xdr:col>
      <xdr:colOff>235857</xdr:colOff>
      <xdr:row>29</xdr:row>
      <xdr:rowOff>186765</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9545277" y="582706"/>
          <a:ext cx="2673404" cy="5348941"/>
        </a:xfrm>
        <a:prstGeom prst="roundRect">
          <a:avLst>
            <a:gd name="adj" fmla="val 5556"/>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xdr:twoCellAnchor>
    <xdr:from>
      <xdr:col>9</xdr:col>
      <xdr:colOff>869949</xdr:colOff>
      <xdr:row>3</xdr:row>
      <xdr:rowOff>0</xdr:rowOff>
    </xdr:from>
    <xdr:to>
      <xdr:col>14</xdr:col>
      <xdr:colOff>226786</xdr:colOff>
      <xdr:row>21</xdr:row>
      <xdr:rowOff>6349</xdr:rowOff>
    </xdr:to>
    <xdr:sp macro="" textlink="">
      <xdr:nvSpPr>
        <xdr:cNvPr id="32" name="Rounded Rectangle 31">
          <a:extLst>
            <a:ext uri="{FF2B5EF4-FFF2-40B4-BE49-F238E27FC236}">
              <a16:creationId xmlns:a16="http://schemas.microsoft.com/office/drawing/2014/main" id="{00000000-0008-0000-0300-000020000000}"/>
            </a:ext>
          </a:extLst>
        </xdr:cNvPr>
        <xdr:cNvSpPr/>
      </xdr:nvSpPr>
      <xdr:spPr>
        <a:xfrm>
          <a:off x="12865099" y="590550"/>
          <a:ext cx="4436837" cy="3638549"/>
        </a:xfrm>
        <a:prstGeom prst="roundRect">
          <a:avLst>
            <a:gd name="adj" fmla="val 4116"/>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mc:AlternateContent xmlns:mc="http://schemas.openxmlformats.org/markup-compatibility/2006">
    <mc:Choice xmlns:a14="http://schemas.microsoft.com/office/drawing/2010/main" Requires="a14">
      <xdr:twoCellAnchor editAs="oneCell">
        <xdr:from>
          <xdr:col>3</xdr:col>
          <xdr:colOff>857250</xdr:colOff>
          <xdr:row>29</xdr:row>
          <xdr:rowOff>14288</xdr:rowOff>
        </xdr:from>
        <xdr:to>
          <xdr:col>3</xdr:col>
          <xdr:colOff>1042988</xdr:colOff>
          <xdr:row>30</xdr:row>
          <xdr:rowOff>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01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28</xdr:row>
          <xdr:rowOff>14288</xdr:rowOff>
        </xdr:from>
        <xdr:to>
          <xdr:col>3</xdr:col>
          <xdr:colOff>1042988</xdr:colOff>
          <xdr:row>28</xdr:row>
          <xdr:rowOff>195263</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01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27</xdr:row>
          <xdr:rowOff>4763</xdr:rowOff>
        </xdr:from>
        <xdr:to>
          <xdr:col>3</xdr:col>
          <xdr:colOff>1047750</xdr:colOff>
          <xdr:row>28</xdr:row>
          <xdr:rowOff>14288</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01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26</xdr:row>
          <xdr:rowOff>4763</xdr:rowOff>
        </xdr:from>
        <xdr:to>
          <xdr:col>3</xdr:col>
          <xdr:colOff>1047750</xdr:colOff>
          <xdr:row>27</xdr:row>
          <xdr:rowOff>0</xdr:rowOff>
        </xdr:to>
        <xdr:sp macro="" textlink="">
          <xdr:nvSpPr>
            <xdr:cNvPr id="85028" name="Check Box 36" hidden="1">
              <a:extLst>
                <a:ext uri="{63B3BB69-23CF-44E3-9099-C40C66FF867C}">
                  <a14:compatExt spid="_x0000_s85028"/>
                </a:ext>
                <a:ext uri="{FF2B5EF4-FFF2-40B4-BE49-F238E27FC236}">
                  <a16:creationId xmlns:a16="http://schemas.microsoft.com/office/drawing/2014/main" id="{00000000-0008-0000-0100-00002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25</xdr:row>
          <xdr:rowOff>4763</xdr:rowOff>
        </xdr:from>
        <xdr:to>
          <xdr:col>3</xdr:col>
          <xdr:colOff>1042988</xdr:colOff>
          <xdr:row>25</xdr:row>
          <xdr:rowOff>190500</xdr:rowOff>
        </xdr:to>
        <xdr:sp macro="" textlink="">
          <xdr:nvSpPr>
            <xdr:cNvPr id="85029" name="Check Box 37" hidden="1">
              <a:extLst>
                <a:ext uri="{63B3BB69-23CF-44E3-9099-C40C66FF867C}">
                  <a14:compatExt spid="_x0000_s85029"/>
                </a:ext>
                <a:ext uri="{FF2B5EF4-FFF2-40B4-BE49-F238E27FC236}">
                  <a16:creationId xmlns:a16="http://schemas.microsoft.com/office/drawing/2014/main" id="{00000000-0008-0000-0100-00002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24</xdr:row>
          <xdr:rowOff>4763</xdr:rowOff>
        </xdr:from>
        <xdr:to>
          <xdr:col>3</xdr:col>
          <xdr:colOff>1047750</xdr:colOff>
          <xdr:row>24</xdr:row>
          <xdr:rowOff>195263</xdr:rowOff>
        </xdr:to>
        <xdr:sp macro="" textlink="">
          <xdr:nvSpPr>
            <xdr:cNvPr id="85030" name="Check Box 38" hidden="1">
              <a:extLst>
                <a:ext uri="{63B3BB69-23CF-44E3-9099-C40C66FF867C}">
                  <a14:compatExt spid="_x0000_s85030"/>
                </a:ext>
                <a:ext uri="{FF2B5EF4-FFF2-40B4-BE49-F238E27FC236}">
                  <a16:creationId xmlns:a16="http://schemas.microsoft.com/office/drawing/2014/main" id="{00000000-0008-0000-0100-00002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23</xdr:row>
          <xdr:rowOff>4763</xdr:rowOff>
        </xdr:from>
        <xdr:to>
          <xdr:col>3</xdr:col>
          <xdr:colOff>1042988</xdr:colOff>
          <xdr:row>23</xdr:row>
          <xdr:rowOff>190500</xdr:rowOff>
        </xdr:to>
        <xdr:sp macro="" textlink="">
          <xdr:nvSpPr>
            <xdr:cNvPr id="85031" name="Check Box 39" hidden="1">
              <a:extLst>
                <a:ext uri="{63B3BB69-23CF-44E3-9099-C40C66FF867C}">
                  <a14:compatExt spid="_x0000_s85031"/>
                </a:ext>
                <a:ext uri="{FF2B5EF4-FFF2-40B4-BE49-F238E27FC236}">
                  <a16:creationId xmlns:a16="http://schemas.microsoft.com/office/drawing/2014/main" id="{00000000-0008-0000-0100-00002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22</xdr:row>
          <xdr:rowOff>4763</xdr:rowOff>
        </xdr:from>
        <xdr:to>
          <xdr:col>3</xdr:col>
          <xdr:colOff>1042988</xdr:colOff>
          <xdr:row>22</xdr:row>
          <xdr:rowOff>190500</xdr:rowOff>
        </xdr:to>
        <xdr:sp macro="" textlink="">
          <xdr:nvSpPr>
            <xdr:cNvPr id="85032" name="Check Box 40" hidden="1">
              <a:extLst>
                <a:ext uri="{63B3BB69-23CF-44E3-9099-C40C66FF867C}">
                  <a14:compatExt spid="_x0000_s85032"/>
                </a:ext>
                <a:ext uri="{FF2B5EF4-FFF2-40B4-BE49-F238E27FC236}">
                  <a16:creationId xmlns:a16="http://schemas.microsoft.com/office/drawing/2014/main" id="{00000000-0008-0000-0100-00002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21</xdr:row>
          <xdr:rowOff>4763</xdr:rowOff>
        </xdr:from>
        <xdr:to>
          <xdr:col>3</xdr:col>
          <xdr:colOff>1042988</xdr:colOff>
          <xdr:row>21</xdr:row>
          <xdr:rowOff>190500</xdr:rowOff>
        </xdr:to>
        <xdr:sp macro="" textlink="">
          <xdr:nvSpPr>
            <xdr:cNvPr id="85033" name="Check Box 41" hidden="1">
              <a:extLst>
                <a:ext uri="{63B3BB69-23CF-44E3-9099-C40C66FF867C}">
                  <a14:compatExt spid="_x0000_s85033"/>
                </a:ext>
                <a:ext uri="{FF2B5EF4-FFF2-40B4-BE49-F238E27FC236}">
                  <a16:creationId xmlns:a16="http://schemas.microsoft.com/office/drawing/2014/main" id="{00000000-0008-0000-0100-00002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20</xdr:row>
          <xdr:rowOff>19050</xdr:rowOff>
        </xdr:from>
        <xdr:to>
          <xdr:col>3</xdr:col>
          <xdr:colOff>1042988</xdr:colOff>
          <xdr:row>21</xdr:row>
          <xdr:rowOff>0</xdr:rowOff>
        </xdr:to>
        <xdr:sp macro="" textlink="">
          <xdr:nvSpPr>
            <xdr:cNvPr id="85034" name="Check Box 42" hidden="1">
              <a:extLst>
                <a:ext uri="{63B3BB69-23CF-44E3-9099-C40C66FF867C}">
                  <a14:compatExt spid="_x0000_s85034"/>
                </a:ext>
                <a:ext uri="{FF2B5EF4-FFF2-40B4-BE49-F238E27FC236}">
                  <a16:creationId xmlns:a16="http://schemas.microsoft.com/office/drawing/2014/main" id="{00000000-0008-0000-0100-00002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19</xdr:row>
          <xdr:rowOff>14288</xdr:rowOff>
        </xdr:from>
        <xdr:to>
          <xdr:col>3</xdr:col>
          <xdr:colOff>1042988</xdr:colOff>
          <xdr:row>20</xdr:row>
          <xdr:rowOff>0</xdr:rowOff>
        </xdr:to>
        <xdr:sp macro="" textlink="">
          <xdr:nvSpPr>
            <xdr:cNvPr id="85035" name="Check Box 43" hidden="1">
              <a:extLst>
                <a:ext uri="{63B3BB69-23CF-44E3-9099-C40C66FF867C}">
                  <a14:compatExt spid="_x0000_s85035"/>
                </a:ext>
                <a:ext uri="{FF2B5EF4-FFF2-40B4-BE49-F238E27FC236}">
                  <a16:creationId xmlns:a16="http://schemas.microsoft.com/office/drawing/2014/main" id="{00000000-0008-0000-0100-00002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18</xdr:row>
          <xdr:rowOff>14288</xdr:rowOff>
        </xdr:from>
        <xdr:to>
          <xdr:col>3</xdr:col>
          <xdr:colOff>1047750</xdr:colOff>
          <xdr:row>19</xdr:row>
          <xdr:rowOff>0</xdr:rowOff>
        </xdr:to>
        <xdr:sp macro="" textlink="">
          <xdr:nvSpPr>
            <xdr:cNvPr id="85036" name="Check Box 44" hidden="1">
              <a:extLst>
                <a:ext uri="{63B3BB69-23CF-44E3-9099-C40C66FF867C}">
                  <a14:compatExt spid="_x0000_s85036"/>
                </a:ext>
                <a:ext uri="{FF2B5EF4-FFF2-40B4-BE49-F238E27FC236}">
                  <a16:creationId xmlns:a16="http://schemas.microsoft.com/office/drawing/2014/main" id="{00000000-0008-0000-0100-00002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41</xdr:row>
          <xdr:rowOff>14288</xdr:rowOff>
        </xdr:from>
        <xdr:to>
          <xdr:col>3</xdr:col>
          <xdr:colOff>1042988</xdr:colOff>
          <xdr:row>42</xdr:row>
          <xdr:rowOff>0</xdr:rowOff>
        </xdr:to>
        <xdr:sp macro="" textlink="">
          <xdr:nvSpPr>
            <xdr:cNvPr id="85037" name="Check Box 45" hidden="1">
              <a:extLst>
                <a:ext uri="{63B3BB69-23CF-44E3-9099-C40C66FF867C}">
                  <a14:compatExt spid="_x0000_s85037"/>
                </a:ext>
                <a:ext uri="{FF2B5EF4-FFF2-40B4-BE49-F238E27FC236}">
                  <a16:creationId xmlns:a16="http://schemas.microsoft.com/office/drawing/2014/main" id="{00000000-0008-0000-0100-00002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40</xdr:row>
          <xdr:rowOff>14288</xdr:rowOff>
        </xdr:from>
        <xdr:to>
          <xdr:col>3</xdr:col>
          <xdr:colOff>1042988</xdr:colOff>
          <xdr:row>41</xdr:row>
          <xdr:rowOff>0</xdr:rowOff>
        </xdr:to>
        <xdr:sp macro="" textlink="">
          <xdr:nvSpPr>
            <xdr:cNvPr id="85038" name="Check Box 46" hidden="1">
              <a:extLst>
                <a:ext uri="{63B3BB69-23CF-44E3-9099-C40C66FF867C}">
                  <a14:compatExt spid="_x0000_s85038"/>
                </a:ext>
                <a:ext uri="{FF2B5EF4-FFF2-40B4-BE49-F238E27FC236}">
                  <a16:creationId xmlns:a16="http://schemas.microsoft.com/office/drawing/2014/main" id="{00000000-0008-0000-0100-00002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39</xdr:row>
          <xdr:rowOff>0</xdr:rowOff>
        </xdr:from>
        <xdr:to>
          <xdr:col>3</xdr:col>
          <xdr:colOff>1042988</xdr:colOff>
          <xdr:row>40</xdr:row>
          <xdr:rowOff>0</xdr:rowOff>
        </xdr:to>
        <xdr:sp macro="" textlink="">
          <xdr:nvSpPr>
            <xdr:cNvPr id="85039" name="Check Box 47" hidden="1">
              <a:extLst>
                <a:ext uri="{63B3BB69-23CF-44E3-9099-C40C66FF867C}">
                  <a14:compatExt spid="_x0000_s85039"/>
                </a:ext>
                <a:ext uri="{FF2B5EF4-FFF2-40B4-BE49-F238E27FC236}">
                  <a16:creationId xmlns:a16="http://schemas.microsoft.com/office/drawing/2014/main" id="{00000000-0008-0000-0100-00002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37</xdr:row>
          <xdr:rowOff>195263</xdr:rowOff>
        </xdr:from>
        <xdr:to>
          <xdr:col>3</xdr:col>
          <xdr:colOff>1042988</xdr:colOff>
          <xdr:row>38</xdr:row>
          <xdr:rowOff>190500</xdr:rowOff>
        </xdr:to>
        <xdr:sp macro="" textlink="">
          <xdr:nvSpPr>
            <xdr:cNvPr id="85040" name="Check Box 48" hidden="1">
              <a:extLst>
                <a:ext uri="{63B3BB69-23CF-44E3-9099-C40C66FF867C}">
                  <a14:compatExt spid="_x0000_s85040"/>
                </a:ext>
                <a:ext uri="{FF2B5EF4-FFF2-40B4-BE49-F238E27FC236}">
                  <a16:creationId xmlns:a16="http://schemas.microsoft.com/office/drawing/2014/main" id="{00000000-0008-0000-0100-00003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36</xdr:row>
          <xdr:rowOff>190500</xdr:rowOff>
        </xdr:from>
        <xdr:to>
          <xdr:col>3</xdr:col>
          <xdr:colOff>1042988</xdr:colOff>
          <xdr:row>37</xdr:row>
          <xdr:rowOff>176213</xdr:rowOff>
        </xdr:to>
        <xdr:sp macro="" textlink="">
          <xdr:nvSpPr>
            <xdr:cNvPr id="85041" name="Check Box 49" hidden="1">
              <a:extLst>
                <a:ext uri="{63B3BB69-23CF-44E3-9099-C40C66FF867C}">
                  <a14:compatExt spid="_x0000_s85041"/>
                </a:ext>
                <a:ext uri="{FF2B5EF4-FFF2-40B4-BE49-F238E27FC236}">
                  <a16:creationId xmlns:a16="http://schemas.microsoft.com/office/drawing/2014/main" id="{00000000-0008-0000-0100-00003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35</xdr:row>
          <xdr:rowOff>195263</xdr:rowOff>
        </xdr:from>
        <xdr:to>
          <xdr:col>3</xdr:col>
          <xdr:colOff>1042988</xdr:colOff>
          <xdr:row>36</xdr:row>
          <xdr:rowOff>185738</xdr:rowOff>
        </xdr:to>
        <xdr:sp macro="" textlink="">
          <xdr:nvSpPr>
            <xdr:cNvPr id="85042" name="Check Box 50" hidden="1">
              <a:extLst>
                <a:ext uri="{63B3BB69-23CF-44E3-9099-C40C66FF867C}">
                  <a14:compatExt spid="_x0000_s85042"/>
                </a:ext>
                <a:ext uri="{FF2B5EF4-FFF2-40B4-BE49-F238E27FC236}">
                  <a16:creationId xmlns:a16="http://schemas.microsoft.com/office/drawing/2014/main" id="{00000000-0008-0000-0100-00003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35</xdr:row>
          <xdr:rowOff>4763</xdr:rowOff>
        </xdr:from>
        <xdr:to>
          <xdr:col>3</xdr:col>
          <xdr:colOff>1042988</xdr:colOff>
          <xdr:row>35</xdr:row>
          <xdr:rowOff>190500</xdr:rowOff>
        </xdr:to>
        <xdr:sp macro="" textlink="">
          <xdr:nvSpPr>
            <xdr:cNvPr id="85043" name="Check Box 51" hidden="1">
              <a:extLst>
                <a:ext uri="{63B3BB69-23CF-44E3-9099-C40C66FF867C}">
                  <a14:compatExt spid="_x0000_s85043"/>
                </a:ext>
                <a:ext uri="{FF2B5EF4-FFF2-40B4-BE49-F238E27FC236}">
                  <a16:creationId xmlns:a16="http://schemas.microsoft.com/office/drawing/2014/main" id="{00000000-0008-0000-0100-00003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34</xdr:row>
          <xdr:rowOff>19050</xdr:rowOff>
        </xdr:from>
        <xdr:to>
          <xdr:col>3</xdr:col>
          <xdr:colOff>1042988</xdr:colOff>
          <xdr:row>35</xdr:row>
          <xdr:rowOff>14288</xdr:rowOff>
        </xdr:to>
        <xdr:sp macro="" textlink="">
          <xdr:nvSpPr>
            <xdr:cNvPr id="85044" name="Check Box 52" hidden="1">
              <a:extLst>
                <a:ext uri="{63B3BB69-23CF-44E3-9099-C40C66FF867C}">
                  <a14:compatExt spid="_x0000_s85044"/>
                </a:ext>
                <a:ext uri="{FF2B5EF4-FFF2-40B4-BE49-F238E27FC236}">
                  <a16:creationId xmlns:a16="http://schemas.microsoft.com/office/drawing/2014/main" id="{00000000-0008-0000-0100-00003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33</xdr:row>
          <xdr:rowOff>19050</xdr:rowOff>
        </xdr:from>
        <xdr:to>
          <xdr:col>3</xdr:col>
          <xdr:colOff>1042988</xdr:colOff>
          <xdr:row>34</xdr:row>
          <xdr:rowOff>4763</xdr:rowOff>
        </xdr:to>
        <xdr:sp macro="" textlink="">
          <xdr:nvSpPr>
            <xdr:cNvPr id="85045" name="Check Box 53" hidden="1">
              <a:extLst>
                <a:ext uri="{63B3BB69-23CF-44E3-9099-C40C66FF867C}">
                  <a14:compatExt spid="_x0000_s85045"/>
                </a:ext>
                <a:ext uri="{FF2B5EF4-FFF2-40B4-BE49-F238E27FC236}">
                  <a16:creationId xmlns:a16="http://schemas.microsoft.com/office/drawing/2014/main" id="{00000000-0008-0000-0100-00003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32</xdr:row>
          <xdr:rowOff>23813</xdr:rowOff>
        </xdr:from>
        <xdr:to>
          <xdr:col>3</xdr:col>
          <xdr:colOff>1042988</xdr:colOff>
          <xdr:row>33</xdr:row>
          <xdr:rowOff>4763</xdr:rowOff>
        </xdr:to>
        <xdr:sp macro="" textlink="">
          <xdr:nvSpPr>
            <xdr:cNvPr id="85046" name="Check Box 54" hidden="1">
              <a:extLst>
                <a:ext uri="{63B3BB69-23CF-44E3-9099-C40C66FF867C}">
                  <a14:compatExt spid="_x0000_s85046"/>
                </a:ext>
                <a:ext uri="{FF2B5EF4-FFF2-40B4-BE49-F238E27FC236}">
                  <a16:creationId xmlns:a16="http://schemas.microsoft.com/office/drawing/2014/main" id="{00000000-0008-0000-0100-00003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31</xdr:row>
          <xdr:rowOff>19050</xdr:rowOff>
        </xdr:from>
        <xdr:to>
          <xdr:col>3</xdr:col>
          <xdr:colOff>1042988</xdr:colOff>
          <xdr:row>32</xdr:row>
          <xdr:rowOff>14288</xdr:rowOff>
        </xdr:to>
        <xdr:sp macro="" textlink="">
          <xdr:nvSpPr>
            <xdr:cNvPr id="85047" name="Check Box 55" hidden="1">
              <a:extLst>
                <a:ext uri="{63B3BB69-23CF-44E3-9099-C40C66FF867C}">
                  <a14:compatExt spid="_x0000_s85047"/>
                </a:ext>
                <a:ext uri="{FF2B5EF4-FFF2-40B4-BE49-F238E27FC236}">
                  <a16:creationId xmlns:a16="http://schemas.microsoft.com/office/drawing/2014/main" id="{00000000-0008-0000-0100-00003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30</xdr:row>
          <xdr:rowOff>14288</xdr:rowOff>
        </xdr:from>
        <xdr:to>
          <xdr:col>3</xdr:col>
          <xdr:colOff>1042988</xdr:colOff>
          <xdr:row>31</xdr:row>
          <xdr:rowOff>4763</xdr:rowOff>
        </xdr:to>
        <xdr:sp macro="" textlink="">
          <xdr:nvSpPr>
            <xdr:cNvPr id="85048" name="Check Box 56" hidden="1">
              <a:extLst>
                <a:ext uri="{63B3BB69-23CF-44E3-9099-C40C66FF867C}">
                  <a14:compatExt spid="_x0000_s85048"/>
                </a:ext>
                <a:ext uri="{FF2B5EF4-FFF2-40B4-BE49-F238E27FC236}">
                  <a16:creationId xmlns:a16="http://schemas.microsoft.com/office/drawing/2014/main" id="{00000000-0008-0000-0100-00003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45</xdr:row>
          <xdr:rowOff>19050</xdr:rowOff>
        </xdr:from>
        <xdr:to>
          <xdr:col>3</xdr:col>
          <xdr:colOff>1042988</xdr:colOff>
          <xdr:row>46</xdr:row>
          <xdr:rowOff>0</xdr:rowOff>
        </xdr:to>
        <xdr:sp macro="" textlink="">
          <xdr:nvSpPr>
            <xdr:cNvPr id="85049" name="Check Box 57" hidden="1">
              <a:extLst>
                <a:ext uri="{63B3BB69-23CF-44E3-9099-C40C66FF867C}">
                  <a14:compatExt spid="_x0000_s85049"/>
                </a:ext>
                <a:ext uri="{FF2B5EF4-FFF2-40B4-BE49-F238E27FC236}">
                  <a16:creationId xmlns:a16="http://schemas.microsoft.com/office/drawing/2014/main" id="{00000000-0008-0000-0100-00003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44</xdr:row>
          <xdr:rowOff>23813</xdr:rowOff>
        </xdr:from>
        <xdr:to>
          <xdr:col>3</xdr:col>
          <xdr:colOff>1042988</xdr:colOff>
          <xdr:row>45</xdr:row>
          <xdr:rowOff>14288</xdr:rowOff>
        </xdr:to>
        <xdr:sp macro="" textlink="">
          <xdr:nvSpPr>
            <xdr:cNvPr id="85050" name="Check Box 58" hidden="1">
              <a:extLst>
                <a:ext uri="{63B3BB69-23CF-44E3-9099-C40C66FF867C}">
                  <a14:compatExt spid="_x0000_s85050"/>
                </a:ext>
                <a:ext uri="{FF2B5EF4-FFF2-40B4-BE49-F238E27FC236}">
                  <a16:creationId xmlns:a16="http://schemas.microsoft.com/office/drawing/2014/main" id="{00000000-0008-0000-0100-00003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43</xdr:row>
          <xdr:rowOff>19050</xdr:rowOff>
        </xdr:from>
        <xdr:to>
          <xdr:col>3</xdr:col>
          <xdr:colOff>1042988</xdr:colOff>
          <xdr:row>44</xdr:row>
          <xdr:rowOff>14288</xdr:rowOff>
        </xdr:to>
        <xdr:sp macro="" textlink="">
          <xdr:nvSpPr>
            <xdr:cNvPr id="85051" name="Check Box 59" hidden="1">
              <a:extLst>
                <a:ext uri="{63B3BB69-23CF-44E3-9099-C40C66FF867C}">
                  <a14:compatExt spid="_x0000_s85051"/>
                </a:ext>
                <a:ext uri="{FF2B5EF4-FFF2-40B4-BE49-F238E27FC236}">
                  <a16:creationId xmlns:a16="http://schemas.microsoft.com/office/drawing/2014/main" id="{00000000-0008-0000-0100-00003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42</xdr:row>
          <xdr:rowOff>14288</xdr:rowOff>
        </xdr:from>
        <xdr:to>
          <xdr:col>3</xdr:col>
          <xdr:colOff>1042988</xdr:colOff>
          <xdr:row>43</xdr:row>
          <xdr:rowOff>0</xdr:rowOff>
        </xdr:to>
        <xdr:sp macro="" textlink="">
          <xdr:nvSpPr>
            <xdr:cNvPr id="85052" name="Check Box 60" hidden="1">
              <a:extLst>
                <a:ext uri="{63B3BB69-23CF-44E3-9099-C40C66FF867C}">
                  <a14:compatExt spid="_x0000_s85052"/>
                </a:ext>
                <a:ext uri="{FF2B5EF4-FFF2-40B4-BE49-F238E27FC236}">
                  <a16:creationId xmlns:a16="http://schemas.microsoft.com/office/drawing/2014/main" id="{00000000-0008-0000-0100-00003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128614</xdr:colOff>
      <xdr:row>0</xdr:row>
      <xdr:rowOff>184289</xdr:rowOff>
    </xdr:from>
    <xdr:to>
      <xdr:col>3</xdr:col>
      <xdr:colOff>951574</xdr:colOff>
      <xdr:row>3</xdr:row>
      <xdr:rowOff>173632</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00000" flipH="1">
          <a:off x="4170202" y="184289"/>
          <a:ext cx="822960" cy="572049"/>
        </a:xfrm>
        <a:prstGeom prst="rect">
          <a:avLst/>
        </a:prstGeom>
      </xdr:spPr>
    </xdr:pic>
    <xdr:clientData/>
  </xdr:twoCellAnchor>
  <xdr:twoCellAnchor editAs="oneCell">
    <xdr:from>
      <xdr:col>6</xdr:col>
      <xdr:colOff>127000</xdr:colOff>
      <xdr:row>0</xdr:row>
      <xdr:rowOff>184288</xdr:rowOff>
    </xdr:from>
    <xdr:to>
      <xdr:col>6</xdr:col>
      <xdr:colOff>954722</xdr:colOff>
      <xdr:row>3</xdr:row>
      <xdr:rowOff>173631</xdr:rowOff>
    </xdr:to>
    <xdr:pic>
      <xdr:nvPicPr>
        <xdr:cNvPr id="75" name="Picture 74">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00000" flipH="1">
          <a:off x="8363857" y="184288"/>
          <a:ext cx="822960" cy="588057"/>
        </a:xfrm>
        <a:prstGeom prst="rect">
          <a:avLst/>
        </a:prstGeom>
      </xdr:spPr>
    </xdr:pic>
    <xdr:clientData/>
  </xdr:twoCellAnchor>
  <xdr:twoCellAnchor editAs="oneCell">
    <xdr:from>
      <xdr:col>9</xdr:col>
      <xdr:colOff>141942</xdr:colOff>
      <xdr:row>0</xdr:row>
      <xdr:rowOff>184288</xdr:rowOff>
    </xdr:from>
    <xdr:to>
      <xdr:col>9</xdr:col>
      <xdr:colOff>969664</xdr:colOff>
      <xdr:row>3</xdr:row>
      <xdr:rowOff>173631</xdr:rowOff>
    </xdr:to>
    <xdr:pic>
      <xdr:nvPicPr>
        <xdr:cNvPr id="76" name="Picture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00000" flipH="1">
          <a:off x="11146118" y="184288"/>
          <a:ext cx="822960" cy="572049"/>
        </a:xfrm>
        <a:prstGeom prst="rect">
          <a:avLst/>
        </a:prstGeom>
      </xdr:spPr>
    </xdr:pic>
    <xdr:clientData/>
  </xdr:twoCellAnchor>
  <xdr:twoCellAnchor editAs="oneCell">
    <xdr:from>
      <xdr:col>14</xdr:col>
      <xdr:colOff>412569</xdr:colOff>
      <xdr:row>0</xdr:row>
      <xdr:rowOff>126998</xdr:rowOff>
    </xdr:from>
    <xdr:to>
      <xdr:col>14</xdr:col>
      <xdr:colOff>783091</xdr:colOff>
      <xdr:row>2</xdr:row>
      <xdr:rowOff>93615</xdr:rowOff>
    </xdr:to>
    <xdr:pic>
      <xdr:nvPicPr>
        <xdr:cNvPr id="19" name="Picture 18">
          <a:hlinkClick xmlns:r="http://schemas.openxmlformats.org/officeDocument/2006/relationships" r:id="rId2" tooltip="Ga naar de volgende sheet."/>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16169640" y="126998"/>
          <a:ext cx="365760" cy="365760"/>
        </a:xfrm>
        <a:prstGeom prst="rect">
          <a:avLst/>
        </a:prstGeom>
      </xdr:spPr>
    </xdr:pic>
    <xdr:clientData/>
  </xdr:twoCellAnchor>
  <xdr:twoCellAnchor editAs="oneCell">
    <xdr:from>
      <xdr:col>0</xdr:col>
      <xdr:colOff>371927</xdr:colOff>
      <xdr:row>0</xdr:row>
      <xdr:rowOff>127515</xdr:rowOff>
    </xdr:from>
    <xdr:to>
      <xdr:col>0</xdr:col>
      <xdr:colOff>742467</xdr:colOff>
      <xdr:row>2</xdr:row>
      <xdr:rowOff>94150</xdr:rowOff>
    </xdr:to>
    <xdr:pic>
      <xdr:nvPicPr>
        <xdr:cNvPr id="82" name="Picture 81">
          <a:hlinkClick xmlns:r="http://schemas.openxmlformats.org/officeDocument/2006/relationships" r:id="rId4" tooltip="Ga terug naar de handleiding."/>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371927" y="127515"/>
          <a:ext cx="365778" cy="365778"/>
        </a:xfrm>
        <a:prstGeom prst="rect">
          <a:avLst/>
        </a:prstGeom>
      </xdr:spPr>
    </xdr:pic>
    <xdr:clientData/>
  </xdr:twoCellAnchor>
  <xdr:twoCellAnchor editAs="oneCell">
    <xdr:from>
      <xdr:col>2</xdr:col>
      <xdr:colOff>1586355</xdr:colOff>
      <xdr:row>3</xdr:row>
      <xdr:rowOff>54429</xdr:rowOff>
    </xdr:from>
    <xdr:to>
      <xdr:col>3</xdr:col>
      <xdr:colOff>96889</xdr:colOff>
      <xdr:row>4</xdr:row>
      <xdr:rowOff>85485</xdr:rowOff>
    </xdr:to>
    <xdr:pic>
      <xdr:nvPicPr>
        <xdr:cNvPr id="84" name="Picture 83">
          <a:hlinkClick xmlns:r="http://schemas.openxmlformats.org/officeDocument/2006/relationships" r:id="rId6" tooltip="Vind meer informatie over dit blok."/>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19082" y="643247"/>
          <a:ext cx="226045" cy="227329"/>
        </a:xfrm>
        <a:prstGeom prst="rect">
          <a:avLst/>
        </a:prstGeom>
      </xdr:spPr>
    </xdr:pic>
    <xdr:clientData/>
  </xdr:twoCellAnchor>
  <xdr:twoCellAnchor editAs="oneCell">
    <xdr:from>
      <xdr:col>5</xdr:col>
      <xdr:colOff>1167494</xdr:colOff>
      <xdr:row>3</xdr:row>
      <xdr:rowOff>87993</xdr:rowOff>
    </xdr:from>
    <xdr:to>
      <xdr:col>6</xdr:col>
      <xdr:colOff>95589</xdr:colOff>
      <xdr:row>4</xdr:row>
      <xdr:rowOff>123811</xdr:rowOff>
    </xdr:to>
    <xdr:pic>
      <xdr:nvPicPr>
        <xdr:cNvPr id="85" name="Picture 84">
          <a:hlinkClick xmlns:r="http://schemas.openxmlformats.org/officeDocument/2006/relationships" r:id="rId8" tooltip="Vind meer informatie over dit blok."/>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88438" y="680660"/>
          <a:ext cx="228611" cy="228611"/>
        </a:xfrm>
        <a:prstGeom prst="rect">
          <a:avLst/>
        </a:prstGeom>
      </xdr:spPr>
    </xdr:pic>
    <xdr:clientData/>
  </xdr:twoCellAnchor>
  <xdr:twoCellAnchor editAs="oneCell">
    <xdr:from>
      <xdr:col>8</xdr:col>
      <xdr:colOff>691243</xdr:colOff>
      <xdr:row>3</xdr:row>
      <xdr:rowOff>81644</xdr:rowOff>
    </xdr:from>
    <xdr:to>
      <xdr:col>9</xdr:col>
      <xdr:colOff>179021</xdr:colOff>
      <xdr:row>4</xdr:row>
      <xdr:rowOff>112700</xdr:rowOff>
    </xdr:to>
    <xdr:pic>
      <xdr:nvPicPr>
        <xdr:cNvPr id="86" name="Picture 85">
          <a:hlinkClick xmlns:r="http://schemas.openxmlformats.org/officeDocument/2006/relationships" r:id="rId9" tooltip="Vind meer informatie over dit blok."/>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14854" y="674311"/>
          <a:ext cx="228611" cy="228611"/>
        </a:xfrm>
        <a:prstGeom prst="rect">
          <a:avLst/>
        </a:prstGeom>
      </xdr:spPr>
    </xdr:pic>
    <xdr:clientData/>
  </xdr:twoCellAnchor>
  <xdr:twoCellAnchor editAs="oneCell">
    <xdr:from>
      <xdr:col>13</xdr:col>
      <xdr:colOff>560613</xdr:colOff>
      <xdr:row>3</xdr:row>
      <xdr:rowOff>72570</xdr:rowOff>
    </xdr:from>
    <xdr:to>
      <xdr:col>14</xdr:col>
      <xdr:colOff>180153</xdr:colOff>
      <xdr:row>4</xdr:row>
      <xdr:rowOff>103626</xdr:rowOff>
    </xdr:to>
    <xdr:pic>
      <xdr:nvPicPr>
        <xdr:cNvPr id="88" name="Picture 87">
          <a:hlinkClick xmlns:r="http://schemas.openxmlformats.org/officeDocument/2006/relationships" r:id="rId10" tooltip="Vind meer informatie over dit blok."/>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284169" y="665237"/>
          <a:ext cx="228611" cy="228611"/>
        </a:xfrm>
        <a:prstGeom prst="rect">
          <a:avLst/>
        </a:prstGeom>
      </xdr:spPr>
    </xdr:pic>
    <xdr:clientData/>
  </xdr:twoCellAnchor>
  <xdr:twoCellAnchor editAs="oneCell">
    <xdr:from>
      <xdr:col>13</xdr:col>
      <xdr:colOff>322393</xdr:colOff>
      <xdr:row>3</xdr:row>
      <xdr:rowOff>83851</xdr:rowOff>
    </xdr:from>
    <xdr:to>
      <xdr:col>13</xdr:col>
      <xdr:colOff>553144</xdr:colOff>
      <xdr:row>4</xdr:row>
      <xdr:rowOff>115030</xdr:rowOff>
    </xdr:to>
    <xdr:pic>
      <xdr:nvPicPr>
        <xdr:cNvPr id="90" name="Picture 89">
          <a:hlinkClick xmlns:r="http://schemas.openxmlformats.org/officeDocument/2006/relationships" r:id="rId11" tooltip="Geef toelichting(en) bij de invoer."/>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038893" y="682565"/>
          <a:ext cx="230751" cy="230751"/>
        </a:xfrm>
        <a:prstGeom prst="rect">
          <a:avLst/>
        </a:prstGeom>
      </xdr:spPr>
    </xdr:pic>
    <xdr:clientData/>
  </xdr:twoCellAnchor>
  <xdr:twoCellAnchor editAs="oneCell">
    <xdr:from>
      <xdr:col>8</xdr:col>
      <xdr:colOff>442844</xdr:colOff>
      <xdr:row>3</xdr:row>
      <xdr:rowOff>90202</xdr:rowOff>
    </xdr:from>
    <xdr:to>
      <xdr:col>8</xdr:col>
      <xdr:colOff>678357</xdr:colOff>
      <xdr:row>4</xdr:row>
      <xdr:rowOff>126143</xdr:rowOff>
    </xdr:to>
    <xdr:pic>
      <xdr:nvPicPr>
        <xdr:cNvPr id="91" name="Picture 90">
          <a:hlinkClick xmlns:r="http://schemas.openxmlformats.org/officeDocument/2006/relationships" r:id="rId11" tooltip="Geef toelichting(en) bij de invoer."/>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952344" y="688916"/>
          <a:ext cx="230751" cy="2307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876300</xdr:colOff>
          <xdr:row>25</xdr:row>
          <xdr:rowOff>19050</xdr:rowOff>
        </xdr:from>
        <xdr:to>
          <xdr:col>6</xdr:col>
          <xdr:colOff>1052513</xdr:colOff>
          <xdr:row>26</xdr:row>
          <xdr:rowOff>14288</xdr:rowOff>
        </xdr:to>
        <xdr:sp macro="" textlink="">
          <xdr:nvSpPr>
            <xdr:cNvPr id="85094" name="Check Box 102" hidden="1">
              <a:extLst>
                <a:ext uri="{63B3BB69-23CF-44E3-9099-C40C66FF867C}">
                  <a14:compatExt spid="_x0000_s85094"/>
                </a:ext>
                <a:ext uri="{FF2B5EF4-FFF2-40B4-BE49-F238E27FC236}">
                  <a16:creationId xmlns:a16="http://schemas.microsoft.com/office/drawing/2014/main" id="{00000000-0008-0000-0100-00006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596312</xdr:colOff>
      <xdr:row>10</xdr:row>
      <xdr:rowOff>116061</xdr:rowOff>
    </xdr:from>
    <xdr:to>
      <xdr:col>6</xdr:col>
      <xdr:colOff>1037895</xdr:colOff>
      <xdr:row>30</xdr:row>
      <xdr:rowOff>91965</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10449924" y="2154411"/>
          <a:ext cx="436821" cy="4104991"/>
          <a:chOff x="9311140" y="2104268"/>
          <a:chExt cx="441583" cy="3978594"/>
        </a:xfrm>
      </xdr:grpSpPr>
      <xdr:cxnSp macro="">
        <xdr:nvCxnSpPr>
          <xdr:cNvPr id="15" name="Elbow Connector 14">
            <a:extLst>
              <a:ext uri="{FF2B5EF4-FFF2-40B4-BE49-F238E27FC236}">
                <a16:creationId xmlns:a16="http://schemas.microsoft.com/office/drawing/2014/main" id="{00000000-0008-0000-0300-00000F000000}"/>
              </a:ext>
            </a:extLst>
          </xdr:cNvPr>
          <xdr:cNvCxnSpPr/>
        </xdr:nvCxnSpPr>
        <xdr:spPr>
          <a:xfrm rot="16200000" flipH="1">
            <a:off x="7542635" y="3872773"/>
            <a:ext cx="3978594" cy="441583"/>
          </a:xfrm>
          <a:prstGeom prst="bentConnector3">
            <a:avLst>
              <a:gd name="adj1" fmla="val 99973"/>
            </a:avLst>
          </a:prstGeom>
          <a:ln w="19050">
            <a:tailEnd type="none"/>
          </a:ln>
        </xdr:spPr>
        <xdr:style>
          <a:lnRef idx="1">
            <a:schemeClr val="dk1"/>
          </a:lnRef>
          <a:fillRef idx="0">
            <a:schemeClr val="dk1"/>
          </a:fillRef>
          <a:effectRef idx="0">
            <a:schemeClr val="dk1"/>
          </a:effectRef>
          <a:fontRef idx="minor">
            <a:schemeClr val="tx1"/>
          </a:fontRef>
        </xdr:style>
      </xdr:cxnSp>
      <xdr:cxnSp macro="">
        <xdr:nvCxnSpPr>
          <xdr:cNvPr id="24" name="Straight Arrow Connector 23">
            <a:extLst>
              <a:ext uri="{FF2B5EF4-FFF2-40B4-BE49-F238E27FC236}">
                <a16:creationId xmlns:a16="http://schemas.microsoft.com/office/drawing/2014/main" id="{00000000-0008-0000-0300-000018000000}"/>
              </a:ext>
            </a:extLst>
          </xdr:cNvPr>
          <xdr:cNvCxnSpPr/>
        </xdr:nvCxnSpPr>
        <xdr:spPr>
          <a:xfrm>
            <a:off x="9315083" y="2116969"/>
            <a:ext cx="1905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xnSp macro="">
        <xdr:nvCxnSpPr>
          <xdr:cNvPr id="95" name="Straight Arrow Connector 94">
            <a:extLst>
              <a:ext uri="{FF2B5EF4-FFF2-40B4-BE49-F238E27FC236}">
                <a16:creationId xmlns:a16="http://schemas.microsoft.com/office/drawing/2014/main" id="{00000000-0008-0000-0300-00005F000000}"/>
              </a:ext>
            </a:extLst>
          </xdr:cNvPr>
          <xdr:cNvCxnSpPr/>
        </xdr:nvCxnSpPr>
        <xdr:spPr>
          <a:xfrm>
            <a:off x="9311141" y="3702886"/>
            <a:ext cx="1905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xnSp macro="">
        <xdr:nvCxnSpPr>
          <xdr:cNvPr id="96" name="Straight Arrow Connector 95">
            <a:extLst>
              <a:ext uri="{FF2B5EF4-FFF2-40B4-BE49-F238E27FC236}">
                <a16:creationId xmlns:a16="http://schemas.microsoft.com/office/drawing/2014/main" id="{00000000-0008-0000-0300-000060000000}"/>
              </a:ext>
            </a:extLst>
          </xdr:cNvPr>
          <xdr:cNvCxnSpPr/>
        </xdr:nvCxnSpPr>
        <xdr:spPr>
          <a:xfrm>
            <a:off x="9317491" y="3910682"/>
            <a:ext cx="1905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xnSp macro="">
        <xdr:nvCxnSpPr>
          <xdr:cNvPr id="97" name="Straight Arrow Connector 96">
            <a:extLst>
              <a:ext uri="{FF2B5EF4-FFF2-40B4-BE49-F238E27FC236}">
                <a16:creationId xmlns:a16="http://schemas.microsoft.com/office/drawing/2014/main" id="{00000000-0008-0000-0300-000061000000}"/>
              </a:ext>
            </a:extLst>
          </xdr:cNvPr>
          <xdr:cNvCxnSpPr/>
        </xdr:nvCxnSpPr>
        <xdr:spPr>
          <a:xfrm>
            <a:off x="9317491" y="4501207"/>
            <a:ext cx="1905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xnSp macro="">
        <xdr:nvCxnSpPr>
          <xdr:cNvPr id="98" name="Straight Arrow Connector 97">
            <a:extLst>
              <a:ext uri="{FF2B5EF4-FFF2-40B4-BE49-F238E27FC236}">
                <a16:creationId xmlns:a16="http://schemas.microsoft.com/office/drawing/2014/main" id="{00000000-0008-0000-0300-000062000000}"/>
              </a:ext>
            </a:extLst>
          </xdr:cNvPr>
          <xdr:cNvCxnSpPr/>
        </xdr:nvCxnSpPr>
        <xdr:spPr>
          <a:xfrm>
            <a:off x="9317491" y="4704626"/>
            <a:ext cx="1905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xnSp macro="">
        <xdr:nvCxnSpPr>
          <xdr:cNvPr id="101" name="Straight Arrow Connector 100">
            <a:extLst>
              <a:ext uri="{FF2B5EF4-FFF2-40B4-BE49-F238E27FC236}">
                <a16:creationId xmlns:a16="http://schemas.microsoft.com/office/drawing/2014/main" id="{00000000-0008-0000-0300-000065000000}"/>
              </a:ext>
            </a:extLst>
          </xdr:cNvPr>
          <xdr:cNvCxnSpPr/>
        </xdr:nvCxnSpPr>
        <xdr:spPr>
          <a:xfrm>
            <a:off x="9317491" y="5095672"/>
            <a:ext cx="1905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xnSp macro="">
        <xdr:nvCxnSpPr>
          <xdr:cNvPr id="81" name="Straight Arrow Connector 80">
            <a:extLst>
              <a:ext uri="{FF2B5EF4-FFF2-40B4-BE49-F238E27FC236}">
                <a16:creationId xmlns:a16="http://schemas.microsoft.com/office/drawing/2014/main" id="{00000000-0008-0000-0300-000051000000}"/>
              </a:ext>
            </a:extLst>
          </xdr:cNvPr>
          <xdr:cNvCxnSpPr/>
        </xdr:nvCxnSpPr>
        <xdr:spPr>
          <a:xfrm>
            <a:off x="9321355" y="4118061"/>
            <a:ext cx="1905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10</xdr:col>
      <xdr:colOff>2181947</xdr:colOff>
      <xdr:row>20</xdr:row>
      <xdr:rowOff>161524</xdr:rowOff>
    </xdr:from>
    <xdr:to>
      <xdr:col>14</xdr:col>
      <xdr:colOff>466516</xdr:colOff>
      <xdr:row>26</xdr:row>
      <xdr:rowOff>9312</xdr:rowOff>
    </xdr:to>
    <xdr:pic>
      <xdr:nvPicPr>
        <xdr:cNvPr id="3" name="Picture 2">
          <a:extLst>
            <a:ext uri="{FF2B5EF4-FFF2-40B4-BE49-F238E27FC236}">
              <a16:creationId xmlns:a16="http://schemas.microsoft.com/office/drawing/2014/main" id="{978C62A6-8E18-462A-BBBF-D1EA0615B96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32518" y="4143881"/>
          <a:ext cx="2412069" cy="1045217"/>
        </a:xfrm>
        <a:prstGeom prst="rect">
          <a:avLst/>
        </a:prstGeom>
      </xdr:spPr>
    </xdr:pic>
    <xdr:clientData/>
  </xdr:twoCellAnchor>
  <xdr:twoCellAnchor editAs="oneCell">
    <xdr:from>
      <xdr:col>10</xdr:col>
      <xdr:colOff>1247589</xdr:colOff>
      <xdr:row>22</xdr:row>
      <xdr:rowOff>199009</xdr:rowOff>
    </xdr:from>
    <xdr:to>
      <xdr:col>10</xdr:col>
      <xdr:colOff>2220994</xdr:colOff>
      <xdr:row>24</xdr:row>
      <xdr:rowOff>192016</xdr:rowOff>
    </xdr:to>
    <xdr:pic>
      <xdr:nvPicPr>
        <xdr:cNvPr id="4" name="Picture 3">
          <a:extLst>
            <a:ext uri="{FF2B5EF4-FFF2-40B4-BE49-F238E27FC236}">
              <a16:creationId xmlns:a16="http://schemas.microsoft.com/office/drawing/2014/main" id="{4B783164-9976-476E-B6DF-E05FC12AAA4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798160" y="4580509"/>
          <a:ext cx="973405" cy="392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378504</xdr:colOff>
      <xdr:row>0</xdr:row>
      <xdr:rowOff>134471</xdr:rowOff>
    </xdr:from>
    <xdr:to>
      <xdr:col>13</xdr:col>
      <xdr:colOff>131694</xdr:colOff>
      <xdr:row>2</xdr:row>
      <xdr:rowOff>74425</xdr:rowOff>
    </xdr:to>
    <xdr:pic>
      <xdr:nvPicPr>
        <xdr:cNvPr id="2" name="Picture 1">
          <a:hlinkClick xmlns:r="http://schemas.openxmlformats.org/officeDocument/2006/relationships" r:id="rId1" tooltip="Ga naar de volgende sheet."/>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1188445" y="134471"/>
          <a:ext cx="365778" cy="365778"/>
        </a:xfrm>
        <a:prstGeom prst="rect">
          <a:avLst/>
        </a:prstGeom>
      </xdr:spPr>
    </xdr:pic>
    <xdr:clientData/>
  </xdr:twoCellAnchor>
  <xdr:twoCellAnchor editAs="oneCell">
    <xdr:from>
      <xdr:col>0</xdr:col>
      <xdr:colOff>366059</xdr:colOff>
      <xdr:row>0</xdr:row>
      <xdr:rowOff>128793</xdr:rowOff>
    </xdr:from>
    <xdr:to>
      <xdr:col>0</xdr:col>
      <xdr:colOff>731819</xdr:colOff>
      <xdr:row>2</xdr:row>
      <xdr:rowOff>68729</xdr:rowOff>
    </xdr:to>
    <xdr:pic>
      <xdr:nvPicPr>
        <xdr:cNvPr id="3" name="Picture 2">
          <a:hlinkClick xmlns:r="http://schemas.openxmlformats.org/officeDocument/2006/relationships" r:id="rId3" tooltip="Ga naar de vorige sheet."/>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366059" y="128793"/>
          <a:ext cx="365760" cy="365760"/>
        </a:xfrm>
        <a:prstGeom prst="rect">
          <a:avLst/>
        </a:prstGeom>
      </xdr:spPr>
    </xdr:pic>
    <xdr:clientData/>
  </xdr:twoCellAnchor>
  <xdr:twoCellAnchor editAs="oneCell">
    <xdr:from>
      <xdr:col>11</xdr:col>
      <xdr:colOff>160886</xdr:colOff>
      <xdr:row>3</xdr:row>
      <xdr:rowOff>52661</xdr:rowOff>
    </xdr:from>
    <xdr:to>
      <xdr:col>11</xdr:col>
      <xdr:colOff>388964</xdr:colOff>
      <xdr:row>4</xdr:row>
      <xdr:rowOff>85970</xdr:rowOff>
    </xdr:to>
    <xdr:pic>
      <xdr:nvPicPr>
        <xdr:cNvPr id="5" name="Picture 4">
          <a:hlinkClick xmlns:r="http://schemas.openxmlformats.org/officeDocument/2006/relationships" r:id="rId5" tooltip="Vind meer informatie over dit blok."/>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33886" y="687661"/>
          <a:ext cx="228078" cy="232880"/>
        </a:xfrm>
        <a:prstGeom prst="rect">
          <a:avLst/>
        </a:prstGeom>
      </xdr:spPr>
    </xdr:pic>
    <xdr:clientData/>
  </xdr:twoCellAnchor>
  <xdr:twoCellAnchor editAs="oneCell">
    <xdr:from>
      <xdr:col>10</xdr:col>
      <xdr:colOff>356187</xdr:colOff>
      <xdr:row>3</xdr:row>
      <xdr:rowOff>66596</xdr:rowOff>
    </xdr:from>
    <xdr:to>
      <xdr:col>11</xdr:col>
      <xdr:colOff>131724</xdr:colOff>
      <xdr:row>4</xdr:row>
      <xdr:rowOff>106807</xdr:rowOff>
    </xdr:to>
    <xdr:pic>
      <xdr:nvPicPr>
        <xdr:cNvPr id="13" name="Picture 12">
          <a:hlinkClick xmlns:r="http://schemas.openxmlformats.org/officeDocument/2006/relationships" r:id="rId7" tooltip="Geef toelichting(en) bij de invoer."/>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466544" y="701596"/>
          <a:ext cx="233418" cy="235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261938</xdr:colOff>
          <xdr:row>6</xdr:row>
          <xdr:rowOff>190500</xdr:rowOff>
        </xdr:from>
        <xdr:to>
          <xdr:col>23</xdr:col>
          <xdr:colOff>23813</xdr:colOff>
          <xdr:row>8</xdr:row>
          <xdr:rowOff>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3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252413</xdr:colOff>
          <xdr:row>13</xdr:row>
          <xdr:rowOff>190500</xdr:rowOff>
        </xdr:from>
        <xdr:to>
          <xdr:col>23</xdr:col>
          <xdr:colOff>0</xdr:colOff>
          <xdr:row>15</xdr:row>
          <xdr:rowOff>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3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20</xdr:row>
          <xdr:rowOff>204788</xdr:rowOff>
        </xdr:from>
        <xdr:to>
          <xdr:col>23</xdr:col>
          <xdr:colOff>23813</xdr:colOff>
          <xdr:row>21</xdr:row>
          <xdr:rowOff>190500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3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27</xdr:row>
          <xdr:rowOff>195263</xdr:rowOff>
        </xdr:from>
        <xdr:to>
          <xdr:col>22</xdr:col>
          <xdr:colOff>457200</xdr:colOff>
          <xdr:row>28</xdr:row>
          <xdr:rowOff>195263</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3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34</xdr:row>
          <xdr:rowOff>195263</xdr:rowOff>
        </xdr:from>
        <xdr:to>
          <xdr:col>23</xdr:col>
          <xdr:colOff>52388</xdr:colOff>
          <xdr:row>35</xdr:row>
          <xdr:rowOff>195263</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3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41</xdr:row>
          <xdr:rowOff>185738</xdr:rowOff>
        </xdr:from>
        <xdr:to>
          <xdr:col>23</xdr:col>
          <xdr:colOff>33338</xdr:colOff>
          <xdr:row>42</xdr:row>
          <xdr:rowOff>195263</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3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48</xdr:row>
          <xdr:rowOff>185738</xdr:rowOff>
        </xdr:from>
        <xdr:to>
          <xdr:col>23</xdr:col>
          <xdr:colOff>33338</xdr:colOff>
          <xdr:row>49</xdr:row>
          <xdr:rowOff>176213</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3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55</xdr:row>
          <xdr:rowOff>176213</xdr:rowOff>
        </xdr:from>
        <xdr:to>
          <xdr:col>22</xdr:col>
          <xdr:colOff>452438</xdr:colOff>
          <xdr:row>56</xdr:row>
          <xdr:rowOff>157163</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3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62</xdr:row>
          <xdr:rowOff>157163</xdr:rowOff>
        </xdr:from>
        <xdr:to>
          <xdr:col>23</xdr:col>
          <xdr:colOff>33338</xdr:colOff>
          <xdr:row>63</xdr:row>
          <xdr:rowOff>157163</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3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69</xdr:row>
          <xdr:rowOff>152400</xdr:rowOff>
        </xdr:from>
        <xdr:to>
          <xdr:col>23</xdr:col>
          <xdr:colOff>33338</xdr:colOff>
          <xdr:row>70</xdr:row>
          <xdr:rowOff>157163</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3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76</xdr:row>
          <xdr:rowOff>152400</xdr:rowOff>
        </xdr:from>
        <xdr:to>
          <xdr:col>23</xdr:col>
          <xdr:colOff>23813</xdr:colOff>
          <xdr:row>77</xdr:row>
          <xdr:rowOff>195263</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3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83</xdr:row>
          <xdr:rowOff>185738</xdr:rowOff>
        </xdr:from>
        <xdr:to>
          <xdr:col>23</xdr:col>
          <xdr:colOff>33338</xdr:colOff>
          <xdr:row>84</xdr:row>
          <xdr:rowOff>176213</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03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366486</xdr:colOff>
      <xdr:row>1</xdr:row>
      <xdr:rowOff>89649</xdr:rowOff>
    </xdr:from>
    <xdr:to>
      <xdr:col>22</xdr:col>
      <xdr:colOff>455708</xdr:colOff>
      <xdr:row>7</xdr:row>
      <xdr:rowOff>10889</xdr:rowOff>
    </xdr:to>
    <xdr:cxnSp macro="">
      <xdr:nvCxnSpPr>
        <xdr:cNvPr id="3" name="Elbow Connector 2">
          <a:extLst>
            <a:ext uri="{FF2B5EF4-FFF2-40B4-BE49-F238E27FC236}">
              <a16:creationId xmlns:a16="http://schemas.microsoft.com/office/drawing/2014/main" id="{00000000-0008-0000-0500-000003000000}"/>
            </a:ext>
          </a:extLst>
        </xdr:cNvPr>
        <xdr:cNvCxnSpPr/>
      </xdr:nvCxnSpPr>
      <xdr:spPr>
        <a:xfrm rot="5400000">
          <a:off x="11234591" y="818458"/>
          <a:ext cx="1140440" cy="89222"/>
        </a:xfrm>
        <a:prstGeom prst="bentConnector3">
          <a:avLst>
            <a:gd name="adj1" fmla="val 100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342580</xdr:colOff>
      <xdr:row>0</xdr:row>
      <xdr:rowOff>128310</xdr:rowOff>
    </xdr:from>
    <xdr:to>
      <xdr:col>0</xdr:col>
      <xdr:colOff>722029</xdr:colOff>
      <xdr:row>2</xdr:row>
      <xdr:rowOff>94927</xdr:rowOff>
    </xdr:to>
    <xdr:pic>
      <xdr:nvPicPr>
        <xdr:cNvPr id="52" name="Picture 51">
          <a:hlinkClick xmlns:r="http://schemas.openxmlformats.org/officeDocument/2006/relationships" r:id="rId1" tooltip="Ga naar de vorige sheet."/>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349425" y="121465"/>
          <a:ext cx="365760" cy="379449"/>
        </a:xfrm>
        <a:prstGeom prst="rect">
          <a:avLst/>
        </a:prstGeom>
      </xdr:spPr>
    </xdr:pic>
    <xdr:clientData/>
  </xdr:twoCellAnchor>
  <xdr:twoCellAnchor editAs="oneCell">
    <xdr:from>
      <xdr:col>26</xdr:col>
      <xdr:colOff>393510</xdr:colOff>
      <xdr:row>0</xdr:row>
      <xdr:rowOff>103522</xdr:rowOff>
    </xdr:from>
    <xdr:to>
      <xdr:col>27</xdr:col>
      <xdr:colOff>152510</xdr:colOff>
      <xdr:row>2</xdr:row>
      <xdr:rowOff>55921</xdr:rowOff>
    </xdr:to>
    <xdr:pic>
      <xdr:nvPicPr>
        <xdr:cNvPr id="54" name="Picture 53">
          <a:hlinkClick xmlns:r="http://schemas.openxmlformats.org/officeDocument/2006/relationships" r:id="rId3" tooltip="Ga naar de volgende sheet."/>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5790810" y="101444"/>
          <a:ext cx="361621" cy="365778"/>
        </a:xfrm>
        <a:prstGeom prst="rect">
          <a:avLst/>
        </a:prstGeom>
      </xdr:spPr>
    </xdr:pic>
    <xdr:clientData/>
  </xdr:twoCellAnchor>
  <xdr:twoCellAnchor editAs="oneCell">
    <xdr:from>
      <xdr:col>25</xdr:col>
      <xdr:colOff>323899</xdr:colOff>
      <xdr:row>3</xdr:row>
      <xdr:rowOff>51759</xdr:rowOff>
    </xdr:from>
    <xdr:to>
      <xdr:col>25</xdr:col>
      <xdr:colOff>552510</xdr:colOff>
      <xdr:row>4</xdr:row>
      <xdr:rowOff>75759</xdr:rowOff>
    </xdr:to>
    <xdr:pic>
      <xdr:nvPicPr>
        <xdr:cNvPr id="55" name="Picture 54">
          <a:hlinkClick xmlns:r="http://schemas.openxmlformats.org/officeDocument/2006/relationships" r:id="rId5" tooltip="Vind meer informatie over dit blok."/>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112343" y="665592"/>
          <a:ext cx="228611" cy="228611"/>
        </a:xfrm>
        <a:prstGeom prst="rect">
          <a:avLst/>
        </a:prstGeom>
      </xdr:spPr>
    </xdr:pic>
    <xdr:clientData/>
  </xdr:twoCellAnchor>
  <xdr:twoCellAnchor editAs="oneCell">
    <xdr:from>
      <xdr:col>25</xdr:col>
      <xdr:colOff>75347</xdr:colOff>
      <xdr:row>3</xdr:row>
      <xdr:rowOff>63549</xdr:rowOff>
    </xdr:from>
    <xdr:to>
      <xdr:col>25</xdr:col>
      <xdr:colOff>306098</xdr:colOff>
      <xdr:row>4</xdr:row>
      <xdr:rowOff>94451</xdr:rowOff>
    </xdr:to>
    <xdr:pic>
      <xdr:nvPicPr>
        <xdr:cNvPr id="56" name="Picture 55">
          <a:hlinkClick xmlns:r="http://schemas.openxmlformats.org/officeDocument/2006/relationships" r:id="rId7" tooltip="Geef toelichting(en) bij de invoer."/>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863791" y="677382"/>
          <a:ext cx="230751" cy="2307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261938</xdr:colOff>
          <xdr:row>90</xdr:row>
          <xdr:rowOff>185738</xdr:rowOff>
        </xdr:from>
        <xdr:to>
          <xdr:col>23</xdr:col>
          <xdr:colOff>33338</xdr:colOff>
          <xdr:row>91</xdr:row>
          <xdr:rowOff>195263</xdr:rowOff>
        </xdr:to>
        <xdr:sp macro="" textlink="">
          <xdr:nvSpPr>
            <xdr:cNvPr id="83992" name="Check Box 24" hidden="1">
              <a:extLst>
                <a:ext uri="{63B3BB69-23CF-44E3-9099-C40C66FF867C}">
                  <a14:compatExt spid="_x0000_s83992"/>
                </a:ext>
                <a:ext uri="{FF2B5EF4-FFF2-40B4-BE49-F238E27FC236}">
                  <a16:creationId xmlns:a16="http://schemas.microsoft.com/office/drawing/2014/main" id="{00000000-0008-0000-0300-00001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97</xdr:row>
          <xdr:rowOff>185738</xdr:rowOff>
        </xdr:from>
        <xdr:to>
          <xdr:col>23</xdr:col>
          <xdr:colOff>33338</xdr:colOff>
          <xdr:row>98</xdr:row>
          <xdr:rowOff>176213</xdr:rowOff>
        </xdr:to>
        <xdr:sp macro="" textlink="">
          <xdr:nvSpPr>
            <xdr:cNvPr id="83993" name="Check Box 25" hidden="1">
              <a:extLst>
                <a:ext uri="{63B3BB69-23CF-44E3-9099-C40C66FF867C}">
                  <a14:compatExt spid="_x0000_s83993"/>
                </a:ext>
                <a:ext uri="{FF2B5EF4-FFF2-40B4-BE49-F238E27FC236}">
                  <a16:creationId xmlns:a16="http://schemas.microsoft.com/office/drawing/2014/main" id="{00000000-0008-0000-0300-00001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104</xdr:row>
          <xdr:rowOff>176213</xdr:rowOff>
        </xdr:from>
        <xdr:to>
          <xdr:col>22</xdr:col>
          <xdr:colOff>452438</xdr:colOff>
          <xdr:row>105</xdr:row>
          <xdr:rowOff>157163</xdr:rowOff>
        </xdr:to>
        <xdr:sp macro="" textlink="">
          <xdr:nvSpPr>
            <xdr:cNvPr id="83994" name="Check Box 26" hidden="1">
              <a:extLst>
                <a:ext uri="{63B3BB69-23CF-44E3-9099-C40C66FF867C}">
                  <a14:compatExt spid="_x0000_s83994"/>
                </a:ext>
                <a:ext uri="{FF2B5EF4-FFF2-40B4-BE49-F238E27FC236}">
                  <a16:creationId xmlns:a16="http://schemas.microsoft.com/office/drawing/2014/main" id="{00000000-0008-0000-0300-00001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111</xdr:row>
          <xdr:rowOff>157163</xdr:rowOff>
        </xdr:from>
        <xdr:to>
          <xdr:col>23</xdr:col>
          <xdr:colOff>33338</xdr:colOff>
          <xdr:row>112</xdr:row>
          <xdr:rowOff>157163</xdr:rowOff>
        </xdr:to>
        <xdr:sp macro="" textlink="">
          <xdr:nvSpPr>
            <xdr:cNvPr id="83995" name="Check Box 27" hidden="1">
              <a:extLst>
                <a:ext uri="{63B3BB69-23CF-44E3-9099-C40C66FF867C}">
                  <a14:compatExt spid="_x0000_s83995"/>
                </a:ext>
                <a:ext uri="{FF2B5EF4-FFF2-40B4-BE49-F238E27FC236}">
                  <a16:creationId xmlns:a16="http://schemas.microsoft.com/office/drawing/2014/main" id="{00000000-0008-0000-0300-00001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118</xdr:row>
          <xdr:rowOff>152400</xdr:rowOff>
        </xdr:from>
        <xdr:to>
          <xdr:col>23</xdr:col>
          <xdr:colOff>52388</xdr:colOff>
          <xdr:row>119</xdr:row>
          <xdr:rowOff>157163</xdr:rowOff>
        </xdr:to>
        <xdr:sp macro="" textlink="">
          <xdr:nvSpPr>
            <xdr:cNvPr id="83996" name="Check Box 28" hidden="1">
              <a:extLst>
                <a:ext uri="{63B3BB69-23CF-44E3-9099-C40C66FF867C}">
                  <a14:compatExt spid="_x0000_s83996"/>
                </a:ext>
                <a:ext uri="{FF2B5EF4-FFF2-40B4-BE49-F238E27FC236}">
                  <a16:creationId xmlns:a16="http://schemas.microsoft.com/office/drawing/2014/main" id="{00000000-0008-0000-0300-00001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125</xdr:row>
          <xdr:rowOff>152400</xdr:rowOff>
        </xdr:from>
        <xdr:to>
          <xdr:col>23</xdr:col>
          <xdr:colOff>23813</xdr:colOff>
          <xdr:row>126</xdr:row>
          <xdr:rowOff>176213</xdr:rowOff>
        </xdr:to>
        <xdr:sp macro="" textlink="">
          <xdr:nvSpPr>
            <xdr:cNvPr id="83997" name="Check Box 29" hidden="1">
              <a:extLst>
                <a:ext uri="{63B3BB69-23CF-44E3-9099-C40C66FF867C}">
                  <a14:compatExt spid="_x0000_s83997"/>
                </a:ext>
                <a:ext uri="{FF2B5EF4-FFF2-40B4-BE49-F238E27FC236}">
                  <a16:creationId xmlns:a16="http://schemas.microsoft.com/office/drawing/2014/main" id="{00000000-0008-0000-0300-00001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132</xdr:row>
          <xdr:rowOff>185738</xdr:rowOff>
        </xdr:from>
        <xdr:to>
          <xdr:col>23</xdr:col>
          <xdr:colOff>33338</xdr:colOff>
          <xdr:row>133</xdr:row>
          <xdr:rowOff>176213</xdr:rowOff>
        </xdr:to>
        <xdr:sp macro="" textlink="">
          <xdr:nvSpPr>
            <xdr:cNvPr id="83998" name="Check Box 30" hidden="1">
              <a:extLst>
                <a:ext uri="{63B3BB69-23CF-44E3-9099-C40C66FF867C}">
                  <a14:compatExt spid="_x0000_s83998"/>
                </a:ext>
                <a:ext uri="{FF2B5EF4-FFF2-40B4-BE49-F238E27FC236}">
                  <a16:creationId xmlns:a16="http://schemas.microsoft.com/office/drawing/2014/main" id="{00000000-0008-0000-0300-00001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139</xdr:row>
          <xdr:rowOff>185738</xdr:rowOff>
        </xdr:from>
        <xdr:to>
          <xdr:col>23</xdr:col>
          <xdr:colOff>33338</xdr:colOff>
          <xdr:row>140</xdr:row>
          <xdr:rowOff>176213</xdr:rowOff>
        </xdr:to>
        <xdr:sp macro="" textlink="">
          <xdr:nvSpPr>
            <xdr:cNvPr id="83999" name="Check Box 31" hidden="1">
              <a:extLst>
                <a:ext uri="{63B3BB69-23CF-44E3-9099-C40C66FF867C}">
                  <a14:compatExt spid="_x0000_s83999"/>
                </a:ext>
                <a:ext uri="{FF2B5EF4-FFF2-40B4-BE49-F238E27FC236}">
                  <a16:creationId xmlns:a16="http://schemas.microsoft.com/office/drawing/2014/main" id="{00000000-0008-0000-0300-00001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146</xdr:row>
          <xdr:rowOff>185738</xdr:rowOff>
        </xdr:from>
        <xdr:to>
          <xdr:col>23</xdr:col>
          <xdr:colOff>33338</xdr:colOff>
          <xdr:row>147</xdr:row>
          <xdr:rowOff>176213</xdr:rowOff>
        </xdr:to>
        <xdr:sp macro="" textlink="">
          <xdr:nvSpPr>
            <xdr:cNvPr id="84000" name="Check Box 32" hidden="1">
              <a:extLst>
                <a:ext uri="{63B3BB69-23CF-44E3-9099-C40C66FF867C}">
                  <a14:compatExt spid="_x0000_s84000"/>
                </a:ext>
                <a:ext uri="{FF2B5EF4-FFF2-40B4-BE49-F238E27FC236}">
                  <a16:creationId xmlns:a16="http://schemas.microsoft.com/office/drawing/2014/main" id="{00000000-0008-0000-0300-00002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153</xdr:row>
          <xdr:rowOff>176213</xdr:rowOff>
        </xdr:from>
        <xdr:to>
          <xdr:col>22</xdr:col>
          <xdr:colOff>452438</xdr:colOff>
          <xdr:row>154</xdr:row>
          <xdr:rowOff>157163</xdr:rowOff>
        </xdr:to>
        <xdr:sp macro="" textlink="">
          <xdr:nvSpPr>
            <xdr:cNvPr id="84001" name="Check Box 33" hidden="1">
              <a:extLst>
                <a:ext uri="{63B3BB69-23CF-44E3-9099-C40C66FF867C}">
                  <a14:compatExt spid="_x0000_s84001"/>
                </a:ext>
                <a:ext uri="{FF2B5EF4-FFF2-40B4-BE49-F238E27FC236}">
                  <a16:creationId xmlns:a16="http://schemas.microsoft.com/office/drawing/2014/main" id="{00000000-0008-0000-0300-00002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160</xdr:row>
          <xdr:rowOff>157163</xdr:rowOff>
        </xdr:from>
        <xdr:to>
          <xdr:col>23</xdr:col>
          <xdr:colOff>33338</xdr:colOff>
          <xdr:row>161</xdr:row>
          <xdr:rowOff>152400</xdr:rowOff>
        </xdr:to>
        <xdr:sp macro="" textlink="">
          <xdr:nvSpPr>
            <xdr:cNvPr id="84002" name="Check Box 34" hidden="1">
              <a:extLst>
                <a:ext uri="{63B3BB69-23CF-44E3-9099-C40C66FF867C}">
                  <a14:compatExt spid="_x0000_s84002"/>
                </a:ext>
                <a:ext uri="{FF2B5EF4-FFF2-40B4-BE49-F238E27FC236}">
                  <a16:creationId xmlns:a16="http://schemas.microsoft.com/office/drawing/2014/main" id="{00000000-0008-0000-0300-00002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167</xdr:row>
          <xdr:rowOff>152400</xdr:rowOff>
        </xdr:from>
        <xdr:to>
          <xdr:col>23</xdr:col>
          <xdr:colOff>52388</xdr:colOff>
          <xdr:row>168</xdr:row>
          <xdr:rowOff>157163</xdr:rowOff>
        </xdr:to>
        <xdr:sp macro="" textlink="">
          <xdr:nvSpPr>
            <xdr:cNvPr id="84003" name="Check Box 35" hidden="1">
              <a:extLst>
                <a:ext uri="{63B3BB69-23CF-44E3-9099-C40C66FF867C}">
                  <a14:compatExt spid="_x0000_s84003"/>
                </a:ext>
                <a:ext uri="{FF2B5EF4-FFF2-40B4-BE49-F238E27FC236}">
                  <a16:creationId xmlns:a16="http://schemas.microsoft.com/office/drawing/2014/main" id="{00000000-0008-0000-0300-00002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174</xdr:row>
          <xdr:rowOff>152400</xdr:rowOff>
        </xdr:from>
        <xdr:to>
          <xdr:col>23</xdr:col>
          <xdr:colOff>23813</xdr:colOff>
          <xdr:row>175</xdr:row>
          <xdr:rowOff>176213</xdr:rowOff>
        </xdr:to>
        <xdr:sp macro="" textlink="">
          <xdr:nvSpPr>
            <xdr:cNvPr id="84004" name="Check Box 36" hidden="1">
              <a:extLst>
                <a:ext uri="{63B3BB69-23CF-44E3-9099-C40C66FF867C}">
                  <a14:compatExt spid="_x0000_s84004"/>
                </a:ext>
                <a:ext uri="{FF2B5EF4-FFF2-40B4-BE49-F238E27FC236}">
                  <a16:creationId xmlns:a16="http://schemas.microsoft.com/office/drawing/2014/main" id="{00000000-0008-0000-0300-00002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181</xdr:row>
          <xdr:rowOff>185738</xdr:rowOff>
        </xdr:from>
        <xdr:to>
          <xdr:col>23</xdr:col>
          <xdr:colOff>33338</xdr:colOff>
          <xdr:row>182</xdr:row>
          <xdr:rowOff>176213</xdr:rowOff>
        </xdr:to>
        <xdr:sp macro="" textlink="">
          <xdr:nvSpPr>
            <xdr:cNvPr id="84005" name="Check Box 37" hidden="1">
              <a:extLst>
                <a:ext uri="{63B3BB69-23CF-44E3-9099-C40C66FF867C}">
                  <a14:compatExt spid="_x0000_s84005"/>
                </a:ext>
                <a:ext uri="{FF2B5EF4-FFF2-40B4-BE49-F238E27FC236}">
                  <a16:creationId xmlns:a16="http://schemas.microsoft.com/office/drawing/2014/main" id="{00000000-0008-0000-0300-00002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188</xdr:row>
          <xdr:rowOff>185738</xdr:rowOff>
        </xdr:from>
        <xdr:to>
          <xdr:col>23</xdr:col>
          <xdr:colOff>33338</xdr:colOff>
          <xdr:row>189</xdr:row>
          <xdr:rowOff>176213</xdr:rowOff>
        </xdr:to>
        <xdr:sp macro="" textlink="">
          <xdr:nvSpPr>
            <xdr:cNvPr id="84006" name="Check Box 38" hidden="1">
              <a:extLst>
                <a:ext uri="{63B3BB69-23CF-44E3-9099-C40C66FF867C}">
                  <a14:compatExt spid="_x0000_s84006"/>
                </a:ext>
                <a:ext uri="{FF2B5EF4-FFF2-40B4-BE49-F238E27FC236}">
                  <a16:creationId xmlns:a16="http://schemas.microsoft.com/office/drawing/2014/main" id="{00000000-0008-0000-0300-00002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195</xdr:row>
          <xdr:rowOff>185738</xdr:rowOff>
        </xdr:from>
        <xdr:to>
          <xdr:col>23</xdr:col>
          <xdr:colOff>33338</xdr:colOff>
          <xdr:row>196</xdr:row>
          <xdr:rowOff>176213</xdr:rowOff>
        </xdr:to>
        <xdr:sp macro="" textlink="">
          <xdr:nvSpPr>
            <xdr:cNvPr id="84007" name="Check Box 39" hidden="1">
              <a:extLst>
                <a:ext uri="{63B3BB69-23CF-44E3-9099-C40C66FF867C}">
                  <a14:compatExt spid="_x0000_s84007"/>
                </a:ext>
                <a:ext uri="{FF2B5EF4-FFF2-40B4-BE49-F238E27FC236}">
                  <a16:creationId xmlns:a16="http://schemas.microsoft.com/office/drawing/2014/main" id="{00000000-0008-0000-0300-00002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202</xdr:row>
          <xdr:rowOff>176213</xdr:rowOff>
        </xdr:from>
        <xdr:to>
          <xdr:col>22</xdr:col>
          <xdr:colOff>452438</xdr:colOff>
          <xdr:row>203</xdr:row>
          <xdr:rowOff>157163</xdr:rowOff>
        </xdr:to>
        <xdr:sp macro="" textlink="">
          <xdr:nvSpPr>
            <xdr:cNvPr id="84008" name="Check Box 40" hidden="1">
              <a:extLst>
                <a:ext uri="{63B3BB69-23CF-44E3-9099-C40C66FF867C}">
                  <a14:compatExt spid="_x0000_s84008"/>
                </a:ext>
                <a:ext uri="{FF2B5EF4-FFF2-40B4-BE49-F238E27FC236}">
                  <a16:creationId xmlns:a16="http://schemas.microsoft.com/office/drawing/2014/main" id="{00000000-0008-0000-0300-00002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209</xdr:row>
          <xdr:rowOff>157163</xdr:rowOff>
        </xdr:from>
        <xdr:to>
          <xdr:col>23</xdr:col>
          <xdr:colOff>33338</xdr:colOff>
          <xdr:row>210</xdr:row>
          <xdr:rowOff>152400</xdr:rowOff>
        </xdr:to>
        <xdr:sp macro="" textlink="">
          <xdr:nvSpPr>
            <xdr:cNvPr id="84009" name="Check Box 41" hidden="1">
              <a:extLst>
                <a:ext uri="{63B3BB69-23CF-44E3-9099-C40C66FF867C}">
                  <a14:compatExt spid="_x0000_s84009"/>
                </a:ext>
                <a:ext uri="{FF2B5EF4-FFF2-40B4-BE49-F238E27FC236}">
                  <a16:creationId xmlns:a16="http://schemas.microsoft.com/office/drawing/2014/main" id="{00000000-0008-0000-0300-00002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216</xdr:row>
          <xdr:rowOff>152400</xdr:rowOff>
        </xdr:from>
        <xdr:to>
          <xdr:col>23</xdr:col>
          <xdr:colOff>52388</xdr:colOff>
          <xdr:row>217</xdr:row>
          <xdr:rowOff>157163</xdr:rowOff>
        </xdr:to>
        <xdr:sp macro="" textlink="">
          <xdr:nvSpPr>
            <xdr:cNvPr id="84010" name="Check Box 42" hidden="1">
              <a:extLst>
                <a:ext uri="{63B3BB69-23CF-44E3-9099-C40C66FF867C}">
                  <a14:compatExt spid="_x0000_s84010"/>
                </a:ext>
                <a:ext uri="{FF2B5EF4-FFF2-40B4-BE49-F238E27FC236}">
                  <a16:creationId xmlns:a16="http://schemas.microsoft.com/office/drawing/2014/main" id="{00000000-0008-0000-0300-00002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223</xdr:row>
          <xdr:rowOff>152400</xdr:rowOff>
        </xdr:from>
        <xdr:to>
          <xdr:col>23</xdr:col>
          <xdr:colOff>23813</xdr:colOff>
          <xdr:row>224</xdr:row>
          <xdr:rowOff>176213</xdr:rowOff>
        </xdr:to>
        <xdr:sp macro="" textlink="">
          <xdr:nvSpPr>
            <xdr:cNvPr id="84011" name="Check Box 43" hidden="1">
              <a:extLst>
                <a:ext uri="{63B3BB69-23CF-44E3-9099-C40C66FF867C}">
                  <a14:compatExt spid="_x0000_s84011"/>
                </a:ext>
                <a:ext uri="{FF2B5EF4-FFF2-40B4-BE49-F238E27FC236}">
                  <a16:creationId xmlns:a16="http://schemas.microsoft.com/office/drawing/2014/main" id="{00000000-0008-0000-0300-00002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230</xdr:row>
          <xdr:rowOff>185738</xdr:rowOff>
        </xdr:from>
        <xdr:to>
          <xdr:col>23</xdr:col>
          <xdr:colOff>33338</xdr:colOff>
          <xdr:row>231</xdr:row>
          <xdr:rowOff>176213</xdr:rowOff>
        </xdr:to>
        <xdr:sp macro="" textlink="">
          <xdr:nvSpPr>
            <xdr:cNvPr id="84012" name="Check Box 44" hidden="1">
              <a:extLst>
                <a:ext uri="{63B3BB69-23CF-44E3-9099-C40C66FF867C}">
                  <a14:compatExt spid="_x0000_s84012"/>
                </a:ext>
                <a:ext uri="{FF2B5EF4-FFF2-40B4-BE49-F238E27FC236}">
                  <a16:creationId xmlns:a16="http://schemas.microsoft.com/office/drawing/2014/main" id="{00000000-0008-0000-0300-00002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237</xdr:row>
          <xdr:rowOff>185738</xdr:rowOff>
        </xdr:from>
        <xdr:to>
          <xdr:col>23</xdr:col>
          <xdr:colOff>33338</xdr:colOff>
          <xdr:row>238</xdr:row>
          <xdr:rowOff>176213</xdr:rowOff>
        </xdr:to>
        <xdr:sp macro="" textlink="">
          <xdr:nvSpPr>
            <xdr:cNvPr id="84013" name="Check Box 45" hidden="1">
              <a:extLst>
                <a:ext uri="{63B3BB69-23CF-44E3-9099-C40C66FF867C}">
                  <a14:compatExt spid="_x0000_s84013"/>
                </a:ext>
                <a:ext uri="{FF2B5EF4-FFF2-40B4-BE49-F238E27FC236}">
                  <a16:creationId xmlns:a16="http://schemas.microsoft.com/office/drawing/2014/main" id="{00000000-0008-0000-0300-00002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244</xdr:row>
          <xdr:rowOff>185738</xdr:rowOff>
        </xdr:from>
        <xdr:to>
          <xdr:col>23</xdr:col>
          <xdr:colOff>33338</xdr:colOff>
          <xdr:row>245</xdr:row>
          <xdr:rowOff>176213</xdr:rowOff>
        </xdr:to>
        <xdr:sp macro="" textlink="">
          <xdr:nvSpPr>
            <xdr:cNvPr id="84014" name="Check Box 46" hidden="1">
              <a:extLst>
                <a:ext uri="{63B3BB69-23CF-44E3-9099-C40C66FF867C}">
                  <a14:compatExt spid="_x0000_s84014"/>
                </a:ext>
                <a:ext uri="{FF2B5EF4-FFF2-40B4-BE49-F238E27FC236}">
                  <a16:creationId xmlns:a16="http://schemas.microsoft.com/office/drawing/2014/main" id="{00000000-0008-0000-0300-00002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251</xdr:row>
          <xdr:rowOff>176213</xdr:rowOff>
        </xdr:from>
        <xdr:to>
          <xdr:col>22</xdr:col>
          <xdr:colOff>452438</xdr:colOff>
          <xdr:row>252</xdr:row>
          <xdr:rowOff>157163</xdr:rowOff>
        </xdr:to>
        <xdr:sp macro="" textlink="">
          <xdr:nvSpPr>
            <xdr:cNvPr id="84015" name="Check Box 47" hidden="1">
              <a:extLst>
                <a:ext uri="{63B3BB69-23CF-44E3-9099-C40C66FF867C}">
                  <a14:compatExt spid="_x0000_s84015"/>
                </a:ext>
                <a:ext uri="{FF2B5EF4-FFF2-40B4-BE49-F238E27FC236}">
                  <a16:creationId xmlns:a16="http://schemas.microsoft.com/office/drawing/2014/main" id="{00000000-0008-0000-0300-00002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258</xdr:row>
          <xdr:rowOff>157163</xdr:rowOff>
        </xdr:from>
        <xdr:to>
          <xdr:col>23</xdr:col>
          <xdr:colOff>33338</xdr:colOff>
          <xdr:row>259</xdr:row>
          <xdr:rowOff>152400</xdr:rowOff>
        </xdr:to>
        <xdr:sp macro="" textlink="">
          <xdr:nvSpPr>
            <xdr:cNvPr id="84016" name="Check Box 48" hidden="1">
              <a:extLst>
                <a:ext uri="{63B3BB69-23CF-44E3-9099-C40C66FF867C}">
                  <a14:compatExt spid="_x0000_s84016"/>
                </a:ext>
                <a:ext uri="{FF2B5EF4-FFF2-40B4-BE49-F238E27FC236}">
                  <a16:creationId xmlns:a16="http://schemas.microsoft.com/office/drawing/2014/main" id="{00000000-0008-0000-0300-00003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265</xdr:row>
          <xdr:rowOff>152400</xdr:rowOff>
        </xdr:from>
        <xdr:to>
          <xdr:col>23</xdr:col>
          <xdr:colOff>52388</xdr:colOff>
          <xdr:row>266</xdr:row>
          <xdr:rowOff>157163</xdr:rowOff>
        </xdr:to>
        <xdr:sp macro="" textlink="">
          <xdr:nvSpPr>
            <xdr:cNvPr id="84017" name="Check Box 49" hidden="1">
              <a:extLst>
                <a:ext uri="{63B3BB69-23CF-44E3-9099-C40C66FF867C}">
                  <a14:compatExt spid="_x0000_s84017"/>
                </a:ext>
                <a:ext uri="{FF2B5EF4-FFF2-40B4-BE49-F238E27FC236}">
                  <a16:creationId xmlns:a16="http://schemas.microsoft.com/office/drawing/2014/main" id="{00000000-0008-0000-0300-00003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272</xdr:row>
          <xdr:rowOff>152400</xdr:rowOff>
        </xdr:from>
        <xdr:to>
          <xdr:col>23</xdr:col>
          <xdr:colOff>23813</xdr:colOff>
          <xdr:row>273</xdr:row>
          <xdr:rowOff>176213</xdr:rowOff>
        </xdr:to>
        <xdr:sp macro="" textlink="">
          <xdr:nvSpPr>
            <xdr:cNvPr id="84018" name="Check Box 50" hidden="1">
              <a:extLst>
                <a:ext uri="{63B3BB69-23CF-44E3-9099-C40C66FF867C}">
                  <a14:compatExt spid="_x0000_s84018"/>
                </a:ext>
                <a:ext uri="{FF2B5EF4-FFF2-40B4-BE49-F238E27FC236}">
                  <a16:creationId xmlns:a16="http://schemas.microsoft.com/office/drawing/2014/main" id="{00000000-0008-0000-0300-00003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261938</xdr:colOff>
          <xdr:row>279</xdr:row>
          <xdr:rowOff>185738</xdr:rowOff>
        </xdr:from>
        <xdr:to>
          <xdr:col>23</xdr:col>
          <xdr:colOff>33338</xdr:colOff>
          <xdr:row>280</xdr:row>
          <xdr:rowOff>176213</xdr:rowOff>
        </xdr:to>
        <xdr:sp macro="" textlink="">
          <xdr:nvSpPr>
            <xdr:cNvPr id="84019" name="Check Box 51" hidden="1">
              <a:extLst>
                <a:ext uri="{63B3BB69-23CF-44E3-9099-C40C66FF867C}">
                  <a14:compatExt spid="_x0000_s84019"/>
                </a:ext>
                <a:ext uri="{FF2B5EF4-FFF2-40B4-BE49-F238E27FC236}">
                  <a16:creationId xmlns:a16="http://schemas.microsoft.com/office/drawing/2014/main" id="{00000000-0008-0000-0300-00003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890588</xdr:colOff>
          <xdr:row>4</xdr:row>
          <xdr:rowOff>119063</xdr:rowOff>
        </xdr:from>
        <xdr:to>
          <xdr:col>22</xdr:col>
          <xdr:colOff>90488</xdr:colOff>
          <xdr:row>5</xdr:row>
          <xdr:rowOff>114300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04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833438</xdr:colOff>
          <xdr:row>11</xdr:row>
          <xdr:rowOff>109538</xdr:rowOff>
        </xdr:from>
        <xdr:to>
          <xdr:col>22</xdr:col>
          <xdr:colOff>4763</xdr:colOff>
          <xdr:row>12</xdr:row>
          <xdr:rowOff>119063</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04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871538</xdr:colOff>
          <xdr:row>18</xdr:row>
          <xdr:rowOff>119063</xdr:rowOff>
        </xdr:from>
        <xdr:to>
          <xdr:col>22</xdr:col>
          <xdr:colOff>57150</xdr:colOff>
          <xdr:row>19</xdr:row>
          <xdr:rowOff>114300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04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862013</xdr:colOff>
          <xdr:row>25</xdr:row>
          <xdr:rowOff>100013</xdr:rowOff>
        </xdr:from>
        <xdr:to>
          <xdr:col>22</xdr:col>
          <xdr:colOff>38100</xdr:colOff>
          <xdr:row>26</xdr:row>
          <xdr:rowOff>100013</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04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862013</xdr:colOff>
          <xdr:row>32</xdr:row>
          <xdr:rowOff>100013</xdr:rowOff>
        </xdr:from>
        <xdr:to>
          <xdr:col>22</xdr:col>
          <xdr:colOff>80963</xdr:colOff>
          <xdr:row>33</xdr:row>
          <xdr:rowOff>100013</xdr:rowOff>
        </xdr:to>
        <xdr:sp macro="" textlink="">
          <xdr:nvSpPr>
            <xdr:cNvPr id="116741" name="Check Box 5" hidden="1">
              <a:extLst>
                <a:ext uri="{63B3BB69-23CF-44E3-9099-C40C66FF867C}">
                  <a14:compatExt spid="_x0000_s116741"/>
                </a:ext>
                <a:ext uri="{FF2B5EF4-FFF2-40B4-BE49-F238E27FC236}">
                  <a16:creationId xmlns:a16="http://schemas.microsoft.com/office/drawing/2014/main" id="{00000000-0008-0000-0400-000005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852488</xdr:colOff>
          <xdr:row>39</xdr:row>
          <xdr:rowOff>100013</xdr:rowOff>
        </xdr:from>
        <xdr:to>
          <xdr:col>22</xdr:col>
          <xdr:colOff>57150</xdr:colOff>
          <xdr:row>40</xdr:row>
          <xdr:rowOff>100013</xdr:rowOff>
        </xdr:to>
        <xdr:sp macro="" textlink="">
          <xdr:nvSpPr>
            <xdr:cNvPr id="116742" name="Check Box 6" hidden="1">
              <a:extLst>
                <a:ext uri="{63B3BB69-23CF-44E3-9099-C40C66FF867C}">
                  <a14:compatExt spid="_x0000_s116742"/>
                </a:ext>
                <a:ext uri="{FF2B5EF4-FFF2-40B4-BE49-F238E27FC236}">
                  <a16:creationId xmlns:a16="http://schemas.microsoft.com/office/drawing/2014/main" id="{00000000-0008-0000-0400-000006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842963</xdr:colOff>
          <xdr:row>46</xdr:row>
          <xdr:rowOff>109538</xdr:rowOff>
        </xdr:from>
        <xdr:to>
          <xdr:col>22</xdr:col>
          <xdr:colOff>57150</xdr:colOff>
          <xdr:row>47</xdr:row>
          <xdr:rowOff>100013</xdr:rowOff>
        </xdr:to>
        <xdr:sp macro="" textlink="">
          <xdr:nvSpPr>
            <xdr:cNvPr id="116743" name="Check Box 7" hidden="1">
              <a:extLst>
                <a:ext uri="{63B3BB69-23CF-44E3-9099-C40C66FF867C}">
                  <a14:compatExt spid="_x0000_s116743"/>
                </a:ext>
                <a:ext uri="{FF2B5EF4-FFF2-40B4-BE49-F238E27FC236}">
                  <a16:creationId xmlns:a16="http://schemas.microsoft.com/office/drawing/2014/main" id="{00000000-0008-0000-0400-000007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823913</xdr:colOff>
          <xdr:row>53</xdr:row>
          <xdr:rowOff>109538</xdr:rowOff>
        </xdr:from>
        <xdr:to>
          <xdr:col>21</xdr:col>
          <xdr:colOff>1014413</xdr:colOff>
          <xdr:row>54</xdr:row>
          <xdr:rowOff>90488</xdr:rowOff>
        </xdr:to>
        <xdr:sp macro="" textlink="">
          <xdr:nvSpPr>
            <xdr:cNvPr id="116744" name="Check Box 8" hidden="1">
              <a:extLst>
                <a:ext uri="{63B3BB69-23CF-44E3-9099-C40C66FF867C}">
                  <a14:compatExt spid="_x0000_s116744"/>
                </a:ext>
                <a:ext uri="{FF2B5EF4-FFF2-40B4-BE49-F238E27FC236}">
                  <a16:creationId xmlns:a16="http://schemas.microsoft.com/office/drawing/2014/main" id="{00000000-0008-0000-0400-000008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823913</xdr:colOff>
          <xdr:row>60</xdr:row>
          <xdr:rowOff>90488</xdr:rowOff>
        </xdr:from>
        <xdr:to>
          <xdr:col>22</xdr:col>
          <xdr:colOff>23813</xdr:colOff>
          <xdr:row>61</xdr:row>
          <xdr:rowOff>80963</xdr:rowOff>
        </xdr:to>
        <xdr:sp macro="" textlink="">
          <xdr:nvSpPr>
            <xdr:cNvPr id="116745" name="Check Box 9" hidden="1">
              <a:extLst>
                <a:ext uri="{63B3BB69-23CF-44E3-9099-C40C66FF867C}">
                  <a14:compatExt spid="_x0000_s116745"/>
                </a:ext>
                <a:ext uri="{FF2B5EF4-FFF2-40B4-BE49-F238E27FC236}">
                  <a16:creationId xmlns:a16="http://schemas.microsoft.com/office/drawing/2014/main" id="{00000000-0008-0000-0400-000009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852488</xdr:colOff>
          <xdr:row>67</xdr:row>
          <xdr:rowOff>95250</xdr:rowOff>
        </xdr:from>
        <xdr:to>
          <xdr:col>22</xdr:col>
          <xdr:colOff>71438</xdr:colOff>
          <xdr:row>68</xdr:row>
          <xdr:rowOff>100013</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0400-00000A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842963</xdr:colOff>
          <xdr:row>74</xdr:row>
          <xdr:rowOff>76200</xdr:rowOff>
        </xdr:from>
        <xdr:to>
          <xdr:col>22</xdr:col>
          <xdr:colOff>38100</xdr:colOff>
          <xdr:row>75</xdr:row>
          <xdr:rowOff>109538</xdr:rowOff>
        </xdr:to>
        <xdr:sp macro="" textlink="">
          <xdr:nvSpPr>
            <xdr:cNvPr id="116747" name="Check Box 11" hidden="1">
              <a:extLst>
                <a:ext uri="{63B3BB69-23CF-44E3-9099-C40C66FF867C}">
                  <a14:compatExt spid="_x0000_s116747"/>
                </a:ext>
                <a:ext uri="{FF2B5EF4-FFF2-40B4-BE49-F238E27FC236}">
                  <a16:creationId xmlns:a16="http://schemas.microsoft.com/office/drawing/2014/main" id="{00000000-0008-0000-0400-00000B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823913</xdr:colOff>
          <xdr:row>81</xdr:row>
          <xdr:rowOff>95250</xdr:rowOff>
        </xdr:from>
        <xdr:to>
          <xdr:col>22</xdr:col>
          <xdr:colOff>23813</xdr:colOff>
          <xdr:row>82</xdr:row>
          <xdr:rowOff>90488</xdr:rowOff>
        </xdr:to>
        <xdr:sp macro="" textlink="">
          <xdr:nvSpPr>
            <xdr:cNvPr id="116748" name="Check Box 12" hidden="1">
              <a:extLst>
                <a:ext uri="{63B3BB69-23CF-44E3-9099-C40C66FF867C}">
                  <a14:compatExt spid="_x0000_s116748"/>
                </a:ext>
                <a:ext uri="{FF2B5EF4-FFF2-40B4-BE49-F238E27FC236}">
                  <a16:creationId xmlns:a16="http://schemas.microsoft.com/office/drawing/2014/main" id="{00000000-0008-0000-0400-00000C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453570</xdr:colOff>
      <xdr:row>2</xdr:row>
      <xdr:rowOff>190499</xdr:rowOff>
    </xdr:from>
    <xdr:to>
      <xdr:col>4</xdr:col>
      <xdr:colOff>154214</xdr:colOff>
      <xdr:row>13</xdr:row>
      <xdr:rowOff>190500</xdr:rowOff>
    </xdr:to>
    <xdr:sp macro="" textlink="">
      <xdr:nvSpPr>
        <xdr:cNvPr id="2" name="Rounded Rectangle 1">
          <a:extLst>
            <a:ext uri="{FF2B5EF4-FFF2-40B4-BE49-F238E27FC236}">
              <a16:creationId xmlns:a16="http://schemas.microsoft.com/office/drawing/2014/main" id="{00000000-0008-0000-0700-000002000000}"/>
            </a:ext>
          </a:extLst>
        </xdr:cNvPr>
        <xdr:cNvSpPr/>
      </xdr:nvSpPr>
      <xdr:spPr>
        <a:xfrm>
          <a:off x="453570" y="584199"/>
          <a:ext cx="3745594" cy="2190751"/>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7</xdr:col>
      <xdr:colOff>136071</xdr:colOff>
      <xdr:row>6</xdr:row>
      <xdr:rowOff>91621</xdr:rowOff>
    </xdr:from>
    <xdr:to>
      <xdr:col>7</xdr:col>
      <xdr:colOff>1371600</xdr:colOff>
      <xdr:row>6</xdr:row>
      <xdr:rowOff>99785</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flipV="1">
          <a:off x="9470571" y="3783692"/>
          <a:ext cx="1235529" cy="8164"/>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92363</xdr:colOff>
      <xdr:row>10</xdr:row>
      <xdr:rowOff>103909</xdr:rowOff>
    </xdr:from>
    <xdr:to>
      <xdr:col>7</xdr:col>
      <xdr:colOff>1327892</xdr:colOff>
      <xdr:row>10</xdr:row>
      <xdr:rowOff>112073</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9421090" y="4687454"/>
          <a:ext cx="1235529" cy="8164"/>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852715</xdr:colOff>
      <xdr:row>3</xdr:row>
      <xdr:rowOff>9070</xdr:rowOff>
    </xdr:from>
    <xdr:to>
      <xdr:col>9</xdr:col>
      <xdr:colOff>263072</xdr:colOff>
      <xdr:row>28</xdr:row>
      <xdr:rowOff>170597</xdr:rowOff>
    </xdr:to>
    <xdr:sp macro="" textlink="">
      <xdr:nvSpPr>
        <xdr:cNvPr id="13" name="Rounded Rectangle 12">
          <a:extLst>
            <a:ext uri="{FF2B5EF4-FFF2-40B4-BE49-F238E27FC236}">
              <a16:creationId xmlns:a16="http://schemas.microsoft.com/office/drawing/2014/main" id="{00000000-0008-0000-0700-00000D000000}"/>
            </a:ext>
          </a:extLst>
        </xdr:cNvPr>
        <xdr:cNvSpPr/>
      </xdr:nvSpPr>
      <xdr:spPr>
        <a:xfrm>
          <a:off x="5506222" y="549294"/>
          <a:ext cx="6262671" cy="4976154"/>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369454</xdr:colOff>
      <xdr:row>0</xdr:row>
      <xdr:rowOff>115455</xdr:rowOff>
    </xdr:from>
    <xdr:to>
      <xdr:col>0</xdr:col>
      <xdr:colOff>748903</xdr:colOff>
      <xdr:row>2</xdr:row>
      <xdr:rowOff>111760</xdr:rowOff>
    </xdr:to>
    <xdr:pic>
      <xdr:nvPicPr>
        <xdr:cNvPr id="2" name="Picture 1">
          <a:hlinkClick xmlns:r="http://schemas.openxmlformats.org/officeDocument/2006/relationships" r:id="rId1" tooltip="Ga naar de vorige sheet."/>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376299" y="108610"/>
          <a:ext cx="365760" cy="379449"/>
        </a:xfrm>
        <a:prstGeom prst="rect">
          <a:avLst/>
        </a:prstGeom>
      </xdr:spPr>
    </xdr:pic>
    <xdr:clientData/>
  </xdr:twoCellAnchor>
  <xdr:twoCellAnchor editAs="oneCell">
    <xdr:from>
      <xdr:col>2</xdr:col>
      <xdr:colOff>490073</xdr:colOff>
      <xdr:row>4</xdr:row>
      <xdr:rowOff>38101</xdr:rowOff>
    </xdr:from>
    <xdr:to>
      <xdr:col>2</xdr:col>
      <xdr:colOff>718684</xdr:colOff>
      <xdr:row>4</xdr:row>
      <xdr:rowOff>266712</xdr:rowOff>
    </xdr:to>
    <xdr:pic>
      <xdr:nvPicPr>
        <xdr:cNvPr id="3" name="Picture 2">
          <a:hlinkClick xmlns:r="http://schemas.openxmlformats.org/officeDocument/2006/relationships" r:id="rId3" tooltip="Vind meer informatie over dit blok."/>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2528" y="834737"/>
          <a:ext cx="228611" cy="228611"/>
        </a:xfrm>
        <a:prstGeom prst="rect">
          <a:avLst/>
        </a:prstGeom>
      </xdr:spPr>
    </xdr:pic>
    <xdr:clientData/>
  </xdr:twoCellAnchor>
  <xdr:twoCellAnchor editAs="oneCell">
    <xdr:from>
      <xdr:col>2</xdr:col>
      <xdr:colOff>222732</xdr:colOff>
      <xdr:row>4</xdr:row>
      <xdr:rowOff>52939</xdr:rowOff>
    </xdr:from>
    <xdr:to>
      <xdr:col>2</xdr:col>
      <xdr:colOff>453483</xdr:colOff>
      <xdr:row>4</xdr:row>
      <xdr:rowOff>283690</xdr:rowOff>
    </xdr:to>
    <xdr:pic>
      <xdr:nvPicPr>
        <xdr:cNvPr id="4" name="Picture 3">
          <a:hlinkClick xmlns:r="http://schemas.openxmlformats.org/officeDocument/2006/relationships" r:id="rId5" tooltip="Geef toelichting(en) bij de resultat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75187" y="849575"/>
          <a:ext cx="230751" cy="230751"/>
        </a:xfrm>
        <a:prstGeom prst="rect">
          <a:avLst/>
        </a:prstGeom>
      </xdr:spPr>
    </xdr:pic>
    <xdr:clientData/>
  </xdr:twoCellAnchor>
  <xdr:twoCellAnchor editAs="oneCell">
    <xdr:from>
      <xdr:col>2</xdr:col>
      <xdr:colOff>478699</xdr:colOff>
      <xdr:row>15</xdr:row>
      <xdr:rowOff>48076</xdr:rowOff>
    </xdr:from>
    <xdr:to>
      <xdr:col>2</xdr:col>
      <xdr:colOff>707310</xdr:colOff>
      <xdr:row>15</xdr:row>
      <xdr:rowOff>276687</xdr:rowOff>
    </xdr:to>
    <xdr:pic>
      <xdr:nvPicPr>
        <xdr:cNvPr id="5" name="Picture 4">
          <a:hlinkClick xmlns:r="http://schemas.openxmlformats.org/officeDocument/2006/relationships" r:id="rId7" tooltip="Vind meer informatie over dit blok."/>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1154" y="3373167"/>
          <a:ext cx="228611" cy="228611"/>
        </a:xfrm>
        <a:prstGeom prst="rect">
          <a:avLst/>
        </a:prstGeom>
      </xdr:spPr>
    </xdr:pic>
    <xdr:clientData/>
  </xdr:twoCellAnchor>
  <xdr:twoCellAnchor editAs="oneCell">
    <xdr:from>
      <xdr:col>2</xdr:col>
      <xdr:colOff>211358</xdr:colOff>
      <xdr:row>15</xdr:row>
      <xdr:rowOff>53843</xdr:rowOff>
    </xdr:from>
    <xdr:to>
      <xdr:col>2</xdr:col>
      <xdr:colOff>442109</xdr:colOff>
      <xdr:row>15</xdr:row>
      <xdr:rowOff>284594</xdr:rowOff>
    </xdr:to>
    <xdr:pic>
      <xdr:nvPicPr>
        <xdr:cNvPr id="6" name="Picture 5">
          <a:hlinkClick xmlns:r="http://schemas.openxmlformats.org/officeDocument/2006/relationships" r:id="rId5" tooltip="Geef toelichting(en) bij de resultat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63813" y="3378934"/>
          <a:ext cx="230751" cy="230751"/>
        </a:xfrm>
        <a:prstGeom prst="rect">
          <a:avLst/>
        </a:prstGeom>
      </xdr:spPr>
    </xdr:pic>
    <xdr:clientData/>
  </xdr:twoCellAnchor>
  <xdr:twoCellAnchor editAs="oneCell">
    <xdr:from>
      <xdr:col>2</xdr:col>
      <xdr:colOff>487779</xdr:colOff>
      <xdr:row>52</xdr:row>
      <xdr:rowOff>39009</xdr:rowOff>
    </xdr:from>
    <xdr:to>
      <xdr:col>2</xdr:col>
      <xdr:colOff>716390</xdr:colOff>
      <xdr:row>52</xdr:row>
      <xdr:rowOff>267620</xdr:rowOff>
    </xdr:to>
    <xdr:pic>
      <xdr:nvPicPr>
        <xdr:cNvPr id="7" name="Picture 6">
          <a:hlinkClick xmlns:r="http://schemas.openxmlformats.org/officeDocument/2006/relationships" r:id="rId8" tooltip="Vind meer informatie over dit blok."/>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0234" y="10707009"/>
          <a:ext cx="228611" cy="228611"/>
        </a:xfrm>
        <a:prstGeom prst="rect">
          <a:avLst/>
        </a:prstGeom>
      </xdr:spPr>
    </xdr:pic>
    <xdr:clientData/>
  </xdr:twoCellAnchor>
  <xdr:twoCellAnchor editAs="oneCell">
    <xdr:from>
      <xdr:col>2</xdr:col>
      <xdr:colOff>220438</xdr:colOff>
      <xdr:row>52</xdr:row>
      <xdr:rowOff>53847</xdr:rowOff>
    </xdr:from>
    <xdr:to>
      <xdr:col>2</xdr:col>
      <xdr:colOff>451189</xdr:colOff>
      <xdr:row>52</xdr:row>
      <xdr:rowOff>284598</xdr:rowOff>
    </xdr:to>
    <xdr:pic>
      <xdr:nvPicPr>
        <xdr:cNvPr id="8" name="Picture 7">
          <a:hlinkClick xmlns:r="http://schemas.openxmlformats.org/officeDocument/2006/relationships" r:id="rId5" tooltip="Geef toelichting(en) bij de resultaten."/>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72893" y="10721847"/>
          <a:ext cx="230751" cy="230751"/>
        </a:xfrm>
        <a:prstGeom prst="rect">
          <a:avLst/>
        </a:prstGeom>
      </xdr:spPr>
    </xdr:pic>
    <xdr:clientData/>
  </xdr:twoCellAnchor>
  <xdr:twoCellAnchor editAs="oneCell">
    <xdr:from>
      <xdr:col>2</xdr:col>
      <xdr:colOff>505921</xdr:colOff>
      <xdr:row>67</xdr:row>
      <xdr:rowOff>39009</xdr:rowOff>
    </xdr:from>
    <xdr:to>
      <xdr:col>2</xdr:col>
      <xdr:colOff>734532</xdr:colOff>
      <xdr:row>67</xdr:row>
      <xdr:rowOff>267620</xdr:rowOff>
    </xdr:to>
    <xdr:pic>
      <xdr:nvPicPr>
        <xdr:cNvPr id="9" name="Picture 8">
          <a:hlinkClick xmlns:r="http://schemas.openxmlformats.org/officeDocument/2006/relationships" r:id="rId9" tooltip="Vind meer informatie over dit blok."/>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8376" y="13662645"/>
          <a:ext cx="228611" cy="228611"/>
        </a:xfrm>
        <a:prstGeom prst="rect">
          <a:avLst/>
        </a:prstGeom>
      </xdr:spPr>
    </xdr:pic>
    <xdr:clientData/>
  </xdr:twoCellAnchor>
  <xdr:twoCellAnchor editAs="oneCell">
    <xdr:from>
      <xdr:col>2</xdr:col>
      <xdr:colOff>238581</xdr:colOff>
      <xdr:row>67</xdr:row>
      <xdr:rowOff>53848</xdr:rowOff>
    </xdr:from>
    <xdr:to>
      <xdr:col>2</xdr:col>
      <xdr:colOff>469332</xdr:colOff>
      <xdr:row>67</xdr:row>
      <xdr:rowOff>284599</xdr:rowOff>
    </xdr:to>
    <xdr:pic>
      <xdr:nvPicPr>
        <xdr:cNvPr id="10" name="Picture 9">
          <a:hlinkClick xmlns:r="http://schemas.openxmlformats.org/officeDocument/2006/relationships" r:id="rId5" tooltip="Geef toelichting(en) bij de resultaten."/>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91036" y="13677484"/>
          <a:ext cx="230751" cy="230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958273</xdr:colOff>
      <xdr:row>2</xdr:row>
      <xdr:rowOff>226786</xdr:rowOff>
    </xdr:from>
    <xdr:to>
      <xdr:col>3</xdr:col>
      <xdr:colOff>154214</xdr:colOff>
      <xdr:row>15</xdr:row>
      <xdr:rowOff>9071</xdr:rowOff>
    </xdr:to>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58273" y="625929"/>
          <a:ext cx="3867727" cy="2467428"/>
        </a:xfrm>
        <a:prstGeom prst="roundRect">
          <a:avLst>
            <a:gd name="adj" fmla="val 6307"/>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6</xdr:col>
      <xdr:colOff>789215</xdr:colOff>
      <xdr:row>3</xdr:row>
      <xdr:rowOff>2144</xdr:rowOff>
    </xdr:from>
    <xdr:to>
      <xdr:col>11</xdr:col>
      <xdr:colOff>290285</xdr:colOff>
      <xdr:row>33</xdr:row>
      <xdr:rowOff>0</xdr:rowOff>
    </xdr:to>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434286" y="582715"/>
          <a:ext cx="7057570" cy="5703785"/>
        </a:xfrm>
        <a:prstGeom prst="roundRect">
          <a:avLst>
            <a:gd name="adj" fmla="val 4116"/>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mc:AlternateContent xmlns:mc="http://schemas.openxmlformats.org/markup-compatibility/2006">
    <mc:Choice xmlns:a14="http://schemas.microsoft.com/office/drawing/2010/main" Requires="a14">
      <xdr:twoCellAnchor editAs="oneCell">
        <xdr:from>
          <xdr:col>3</xdr:col>
          <xdr:colOff>876300</xdr:colOff>
          <xdr:row>6</xdr:row>
          <xdr:rowOff>0</xdr:rowOff>
        </xdr:from>
        <xdr:to>
          <xdr:col>3</xdr:col>
          <xdr:colOff>1081088</xdr:colOff>
          <xdr:row>7</xdr:row>
          <xdr:rowOff>38100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07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6</xdr:row>
          <xdr:rowOff>171450</xdr:rowOff>
        </xdr:from>
        <xdr:to>
          <xdr:col>3</xdr:col>
          <xdr:colOff>1081088</xdr:colOff>
          <xdr:row>8</xdr:row>
          <xdr:rowOff>23813</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07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7</xdr:row>
          <xdr:rowOff>171450</xdr:rowOff>
        </xdr:from>
        <xdr:to>
          <xdr:col>4</xdr:col>
          <xdr:colOff>4763</xdr:colOff>
          <xdr:row>9</xdr:row>
          <xdr:rowOff>38100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07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863600</xdr:colOff>
      <xdr:row>3</xdr:row>
      <xdr:rowOff>22413</xdr:rowOff>
    </xdr:from>
    <xdr:to>
      <xdr:col>6</xdr:col>
      <xdr:colOff>201706</xdr:colOff>
      <xdr:row>9</xdr:row>
      <xdr:rowOff>190500</xdr:rowOff>
    </xdr:to>
    <xdr:sp macro="" textlink="">
      <xdr:nvSpPr>
        <xdr:cNvPr id="25" name="Rounded Rectangle 24">
          <a:extLst>
            <a:ext uri="{FF2B5EF4-FFF2-40B4-BE49-F238E27FC236}">
              <a16:creationId xmlns:a16="http://schemas.microsoft.com/office/drawing/2014/main" id="{00000000-0008-0000-0900-000019000000}"/>
            </a:ext>
          </a:extLst>
        </xdr:cNvPr>
        <xdr:cNvSpPr/>
      </xdr:nvSpPr>
      <xdr:spPr>
        <a:xfrm>
          <a:off x="5048250" y="612963"/>
          <a:ext cx="3313206" cy="1355537"/>
        </a:xfrm>
        <a:prstGeom prst="roundRect">
          <a:avLst>
            <a:gd name="adj" fmla="val 4116"/>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xdr:twoCellAnchor>
    <xdr:from>
      <xdr:col>11</xdr:col>
      <xdr:colOff>1535546</xdr:colOff>
      <xdr:row>3</xdr:row>
      <xdr:rowOff>11545</xdr:rowOff>
    </xdr:from>
    <xdr:to>
      <xdr:col>19</xdr:col>
      <xdr:colOff>242455</xdr:colOff>
      <xdr:row>9</xdr:row>
      <xdr:rowOff>0</xdr:rowOff>
    </xdr:to>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17731781" y="631604"/>
          <a:ext cx="8650262" cy="1213631"/>
        </a:xfrm>
        <a:prstGeom prst="roundRect">
          <a:avLst>
            <a:gd name="adj" fmla="val 4116"/>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100" b="0"/>
        </a:p>
      </xdr:txBody>
    </xdr:sp>
    <xdr:clientData/>
  </xdr:twoCellAnchor>
  <xdr:twoCellAnchor>
    <xdr:from>
      <xdr:col>11</xdr:col>
      <xdr:colOff>1535545</xdr:colOff>
      <xdr:row>12</xdr:row>
      <xdr:rowOff>11547</xdr:rowOff>
    </xdr:from>
    <xdr:to>
      <xdr:col>19</xdr:col>
      <xdr:colOff>242454</xdr:colOff>
      <xdr:row>30</xdr:row>
      <xdr:rowOff>0</xdr:rowOff>
    </xdr:to>
    <xdr:sp macro="" textlink="">
      <xdr:nvSpPr>
        <xdr:cNvPr id="30" name="Rounded Rectangle 29">
          <a:extLst>
            <a:ext uri="{FF2B5EF4-FFF2-40B4-BE49-F238E27FC236}">
              <a16:creationId xmlns:a16="http://schemas.microsoft.com/office/drawing/2014/main" id="{00000000-0008-0000-0900-00001E000000}"/>
            </a:ext>
          </a:extLst>
        </xdr:cNvPr>
        <xdr:cNvSpPr/>
      </xdr:nvSpPr>
      <xdr:spPr>
        <a:xfrm>
          <a:off x="17260454" y="2286002"/>
          <a:ext cx="8636000" cy="3671453"/>
        </a:xfrm>
        <a:prstGeom prst="roundRect">
          <a:avLst>
            <a:gd name="adj" fmla="val 4116"/>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a:p>
      </xdr:txBody>
    </xdr:sp>
    <xdr:clientData/>
  </xdr:twoCellAnchor>
  <xdr:twoCellAnchor editAs="oneCell">
    <xdr:from>
      <xdr:col>3</xdr:col>
      <xdr:colOff>99786</xdr:colOff>
      <xdr:row>0</xdr:row>
      <xdr:rowOff>184288</xdr:rowOff>
    </xdr:from>
    <xdr:to>
      <xdr:col>3</xdr:col>
      <xdr:colOff>922746</xdr:colOff>
      <xdr:row>3</xdr:row>
      <xdr:rowOff>175766</xdr:rowOff>
    </xdr:to>
    <xdr:pic>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00000" flipH="1">
          <a:off x="4290786" y="184288"/>
          <a:ext cx="822960" cy="572049"/>
        </a:xfrm>
        <a:prstGeom prst="rect">
          <a:avLst/>
        </a:prstGeom>
      </xdr:spPr>
    </xdr:pic>
    <xdr:clientData/>
  </xdr:twoCellAnchor>
  <xdr:twoCellAnchor editAs="oneCell">
    <xdr:from>
      <xdr:col>6</xdr:col>
      <xdr:colOff>126999</xdr:colOff>
      <xdr:row>0</xdr:row>
      <xdr:rowOff>184289</xdr:rowOff>
    </xdr:from>
    <xdr:to>
      <xdr:col>6</xdr:col>
      <xdr:colOff>949959</xdr:colOff>
      <xdr:row>3</xdr:row>
      <xdr:rowOff>175767</xdr:rowOff>
    </xdr:to>
    <xdr:pic>
      <xdr:nvPicPr>
        <xdr:cNvPr id="33" name="Pictur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00000" flipH="1">
          <a:off x="8291285" y="184289"/>
          <a:ext cx="822960" cy="572049"/>
        </a:xfrm>
        <a:prstGeom prst="rect">
          <a:avLst/>
        </a:prstGeom>
      </xdr:spPr>
    </xdr:pic>
    <xdr:clientData/>
  </xdr:twoCellAnchor>
  <xdr:twoCellAnchor>
    <xdr:from>
      <xdr:col>11</xdr:col>
      <xdr:colOff>353785</xdr:colOff>
      <xdr:row>3</xdr:row>
      <xdr:rowOff>54429</xdr:rowOff>
    </xdr:from>
    <xdr:to>
      <xdr:col>11</xdr:col>
      <xdr:colOff>1451065</xdr:colOff>
      <xdr:row>3</xdr:row>
      <xdr:rowOff>54429</xdr:rowOff>
    </xdr:to>
    <xdr:cxnSp macro="">
      <xdr:nvCxnSpPr>
        <xdr:cNvPr id="27" name="Straight Arrow Connector 26">
          <a:extLst>
            <a:ext uri="{FF2B5EF4-FFF2-40B4-BE49-F238E27FC236}">
              <a16:creationId xmlns:a16="http://schemas.microsoft.com/office/drawing/2014/main" id="{00000000-0008-0000-0900-00001B000000}"/>
            </a:ext>
          </a:extLst>
        </xdr:cNvPr>
        <xdr:cNvCxnSpPr/>
      </xdr:nvCxnSpPr>
      <xdr:spPr>
        <a:xfrm>
          <a:off x="16074571" y="653143"/>
          <a:ext cx="109728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395841</xdr:colOff>
      <xdr:row>0</xdr:row>
      <xdr:rowOff>132465</xdr:rowOff>
    </xdr:from>
    <xdr:to>
      <xdr:col>0</xdr:col>
      <xdr:colOff>761619</xdr:colOff>
      <xdr:row>2</xdr:row>
      <xdr:rowOff>99100</xdr:rowOff>
    </xdr:to>
    <xdr:pic>
      <xdr:nvPicPr>
        <xdr:cNvPr id="36" name="Picture 35">
          <a:hlinkClick xmlns:r="http://schemas.openxmlformats.org/officeDocument/2006/relationships" r:id="rId2" tooltip="Ga terug naar de handleiding."/>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395841" y="132465"/>
          <a:ext cx="365778" cy="365778"/>
        </a:xfrm>
        <a:prstGeom prst="rect">
          <a:avLst/>
        </a:prstGeom>
      </xdr:spPr>
    </xdr:pic>
    <xdr:clientData/>
  </xdr:twoCellAnchor>
  <xdr:twoCellAnchor editAs="oneCell">
    <xdr:from>
      <xdr:col>2</xdr:col>
      <xdr:colOff>1585744</xdr:colOff>
      <xdr:row>3</xdr:row>
      <xdr:rowOff>51124</xdr:rowOff>
    </xdr:from>
    <xdr:to>
      <xdr:col>3</xdr:col>
      <xdr:colOff>92598</xdr:colOff>
      <xdr:row>4</xdr:row>
      <xdr:rowOff>98306</xdr:rowOff>
    </xdr:to>
    <xdr:pic>
      <xdr:nvPicPr>
        <xdr:cNvPr id="37" name="Picture 36">
          <a:hlinkClick xmlns:r="http://schemas.openxmlformats.org/officeDocument/2006/relationships" r:id="rId4" tooltip="Vind meer informatie over dit blok."/>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24244" y="648024"/>
          <a:ext cx="234054" cy="237682"/>
        </a:xfrm>
        <a:prstGeom prst="rect">
          <a:avLst/>
        </a:prstGeom>
      </xdr:spPr>
    </xdr:pic>
    <xdr:clientData/>
  </xdr:twoCellAnchor>
  <xdr:twoCellAnchor editAs="oneCell">
    <xdr:from>
      <xdr:col>5</xdr:col>
      <xdr:colOff>1366424</xdr:colOff>
      <xdr:row>3</xdr:row>
      <xdr:rowOff>71939</xdr:rowOff>
    </xdr:from>
    <xdr:to>
      <xdr:col>6</xdr:col>
      <xdr:colOff>152678</xdr:colOff>
      <xdr:row>4</xdr:row>
      <xdr:rowOff>119121</xdr:rowOff>
    </xdr:to>
    <xdr:pic>
      <xdr:nvPicPr>
        <xdr:cNvPr id="38" name="Picture 37">
          <a:hlinkClick xmlns:r="http://schemas.openxmlformats.org/officeDocument/2006/relationships" r:id="rId6" tooltip="Vind meer informatie over dit blok."/>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69138" y="652510"/>
          <a:ext cx="228611" cy="228611"/>
        </a:xfrm>
        <a:prstGeom prst="rect">
          <a:avLst/>
        </a:prstGeom>
      </xdr:spPr>
    </xdr:pic>
    <xdr:clientData/>
  </xdr:twoCellAnchor>
  <xdr:twoCellAnchor editAs="oneCell">
    <xdr:from>
      <xdr:col>10</xdr:col>
      <xdr:colOff>1430409</xdr:colOff>
      <xdr:row>3</xdr:row>
      <xdr:rowOff>63985</xdr:rowOff>
    </xdr:from>
    <xdr:to>
      <xdr:col>11</xdr:col>
      <xdr:colOff>216663</xdr:colOff>
      <xdr:row>4</xdr:row>
      <xdr:rowOff>111167</xdr:rowOff>
    </xdr:to>
    <xdr:pic>
      <xdr:nvPicPr>
        <xdr:cNvPr id="39" name="Picture 38">
          <a:hlinkClick xmlns:r="http://schemas.openxmlformats.org/officeDocument/2006/relationships" r:id="rId7" tooltip="Vind meer informatie over dit blok."/>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25695" y="644556"/>
          <a:ext cx="228611" cy="228611"/>
        </a:xfrm>
        <a:prstGeom prst="rect">
          <a:avLst/>
        </a:prstGeom>
      </xdr:spPr>
    </xdr:pic>
    <xdr:clientData/>
  </xdr:twoCellAnchor>
  <xdr:twoCellAnchor editAs="oneCell">
    <xdr:from>
      <xdr:col>10</xdr:col>
      <xdr:colOff>1175661</xdr:colOff>
      <xdr:row>3</xdr:row>
      <xdr:rowOff>76203</xdr:rowOff>
    </xdr:from>
    <xdr:to>
      <xdr:col>10</xdr:col>
      <xdr:colOff>1406412</xdr:colOff>
      <xdr:row>4</xdr:row>
      <xdr:rowOff>125525</xdr:rowOff>
    </xdr:to>
    <xdr:pic>
      <xdr:nvPicPr>
        <xdr:cNvPr id="18" name="Picture 17">
          <a:hlinkClick xmlns:r="http://schemas.openxmlformats.org/officeDocument/2006/relationships" r:id="rId8" tooltip="Geef toelichting(en) bij de invoer."/>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0947" y="656774"/>
          <a:ext cx="230751" cy="230751"/>
        </a:xfrm>
        <a:prstGeom prst="rect">
          <a:avLst/>
        </a:prstGeom>
      </xdr:spPr>
    </xdr:pic>
    <xdr:clientData/>
  </xdr:twoCellAnchor>
  <xdr:twoCellAnchor editAs="oneCell">
    <xdr:from>
      <xdr:col>18</xdr:col>
      <xdr:colOff>1123409</xdr:colOff>
      <xdr:row>3</xdr:row>
      <xdr:rowOff>58744</xdr:rowOff>
    </xdr:from>
    <xdr:to>
      <xdr:col>19</xdr:col>
      <xdr:colOff>190877</xdr:colOff>
      <xdr:row>4</xdr:row>
      <xdr:rowOff>105926</xdr:rowOff>
    </xdr:to>
    <xdr:pic>
      <xdr:nvPicPr>
        <xdr:cNvPr id="21" name="Picture 20">
          <a:hlinkClick xmlns:r="http://schemas.openxmlformats.org/officeDocument/2006/relationships" r:id="rId10" tooltip="Vind meer informatie over dit blok."/>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233123" y="639315"/>
          <a:ext cx="228611" cy="228611"/>
        </a:xfrm>
        <a:prstGeom prst="rect">
          <a:avLst/>
        </a:prstGeom>
      </xdr:spPr>
    </xdr:pic>
    <xdr:clientData/>
  </xdr:twoCellAnchor>
  <xdr:twoCellAnchor editAs="oneCell">
    <xdr:from>
      <xdr:col>18</xdr:col>
      <xdr:colOff>867126</xdr:colOff>
      <xdr:row>3</xdr:row>
      <xdr:rowOff>68253</xdr:rowOff>
    </xdr:from>
    <xdr:to>
      <xdr:col>18</xdr:col>
      <xdr:colOff>1097877</xdr:colOff>
      <xdr:row>4</xdr:row>
      <xdr:rowOff>117575</xdr:rowOff>
    </xdr:to>
    <xdr:pic>
      <xdr:nvPicPr>
        <xdr:cNvPr id="22" name="Picture 21">
          <a:hlinkClick xmlns:r="http://schemas.openxmlformats.org/officeDocument/2006/relationships" r:id="rId8" tooltip="Geef toelichting(en) bij de resultaten."/>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976840" y="648824"/>
          <a:ext cx="230751" cy="230751"/>
        </a:xfrm>
        <a:prstGeom prst="rect">
          <a:avLst/>
        </a:prstGeom>
      </xdr:spPr>
    </xdr:pic>
    <xdr:clientData/>
  </xdr:twoCellAnchor>
  <xdr:twoCellAnchor editAs="oneCell">
    <xdr:from>
      <xdr:col>18</xdr:col>
      <xdr:colOff>1122835</xdr:colOff>
      <xdr:row>12</xdr:row>
      <xdr:rowOff>69855</xdr:rowOff>
    </xdr:from>
    <xdr:to>
      <xdr:col>19</xdr:col>
      <xdr:colOff>190303</xdr:colOff>
      <xdr:row>13</xdr:row>
      <xdr:rowOff>117038</xdr:rowOff>
    </xdr:to>
    <xdr:pic>
      <xdr:nvPicPr>
        <xdr:cNvPr id="26" name="Picture 25">
          <a:hlinkClick xmlns:r="http://schemas.openxmlformats.org/officeDocument/2006/relationships" r:id="rId11" tooltip="Vind meer informatie over dit blok."/>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232549" y="2283284"/>
          <a:ext cx="228611" cy="228611"/>
        </a:xfrm>
        <a:prstGeom prst="rect">
          <a:avLst/>
        </a:prstGeom>
      </xdr:spPr>
    </xdr:pic>
    <xdr:clientData/>
  </xdr:twoCellAnchor>
  <xdr:twoCellAnchor editAs="oneCell">
    <xdr:from>
      <xdr:col>18</xdr:col>
      <xdr:colOff>865419</xdr:colOff>
      <xdr:row>12</xdr:row>
      <xdr:rowOff>82073</xdr:rowOff>
    </xdr:from>
    <xdr:to>
      <xdr:col>18</xdr:col>
      <xdr:colOff>1096170</xdr:colOff>
      <xdr:row>13</xdr:row>
      <xdr:rowOff>131396</xdr:rowOff>
    </xdr:to>
    <xdr:pic>
      <xdr:nvPicPr>
        <xdr:cNvPr id="28" name="Picture 27">
          <a:hlinkClick xmlns:r="http://schemas.openxmlformats.org/officeDocument/2006/relationships" r:id="rId8" tooltip="Geef toelichting(en) bij de resultaten."/>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975133" y="2295502"/>
          <a:ext cx="230751" cy="230751"/>
        </a:xfrm>
        <a:prstGeom prst="rect">
          <a:avLst/>
        </a:prstGeom>
      </xdr:spPr>
    </xdr:pic>
    <xdr:clientData/>
  </xdr:twoCellAnchor>
  <xdr:twoCellAnchor editAs="oneCell">
    <xdr:from>
      <xdr:col>16</xdr:col>
      <xdr:colOff>1002476</xdr:colOff>
      <xdr:row>29</xdr:row>
      <xdr:rowOff>173179</xdr:rowOff>
    </xdr:from>
    <xdr:to>
      <xdr:col>19</xdr:col>
      <xdr:colOff>482000</xdr:colOff>
      <xdr:row>35</xdr:row>
      <xdr:rowOff>29215</xdr:rowOff>
    </xdr:to>
    <xdr:pic>
      <xdr:nvPicPr>
        <xdr:cNvPr id="2" name="Picture 1">
          <a:extLst>
            <a:ext uri="{FF2B5EF4-FFF2-40B4-BE49-F238E27FC236}">
              <a16:creationId xmlns:a16="http://schemas.microsoft.com/office/drawing/2014/main" id="{9A9A8C22-6FE9-4275-B8D3-B010B54DDD8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183276" y="5704029"/>
          <a:ext cx="2406874" cy="1043486"/>
        </a:xfrm>
        <a:prstGeom prst="rect">
          <a:avLst/>
        </a:prstGeom>
      </xdr:spPr>
    </xdr:pic>
    <xdr:clientData/>
  </xdr:twoCellAnchor>
  <xdr:twoCellAnchor editAs="oneCell">
    <xdr:from>
      <xdr:col>16</xdr:col>
      <xdr:colOff>68118</xdr:colOff>
      <xdr:row>32</xdr:row>
      <xdr:rowOff>9444</xdr:rowOff>
    </xdr:from>
    <xdr:to>
      <xdr:col>16</xdr:col>
      <xdr:colOff>1041523</xdr:colOff>
      <xdr:row>34</xdr:row>
      <xdr:rowOff>9048</xdr:rowOff>
    </xdr:to>
    <xdr:pic>
      <xdr:nvPicPr>
        <xdr:cNvPr id="3" name="Picture 2">
          <a:extLst>
            <a:ext uri="{FF2B5EF4-FFF2-40B4-BE49-F238E27FC236}">
              <a16:creationId xmlns:a16="http://schemas.microsoft.com/office/drawing/2014/main" id="{547640A1-BFB5-41B5-9F4E-B0E3BA97B9A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248918" y="6137194"/>
          <a:ext cx="973405" cy="3933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71438</xdr:colOff>
          <xdr:row>31</xdr:row>
          <xdr:rowOff>176213</xdr:rowOff>
        </xdr:from>
        <xdr:to>
          <xdr:col>1</xdr:col>
          <xdr:colOff>290513</xdr:colOff>
          <xdr:row>33</xdr:row>
          <xdr:rowOff>23813</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9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166688</xdr:rowOff>
        </xdr:from>
        <xdr:to>
          <xdr:col>2</xdr:col>
          <xdr:colOff>0</xdr:colOff>
          <xdr:row>41</xdr:row>
          <xdr:rowOff>23813</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9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176213</xdr:rowOff>
        </xdr:from>
        <xdr:to>
          <xdr:col>1</xdr:col>
          <xdr:colOff>300038</xdr:colOff>
          <xdr:row>42</xdr:row>
          <xdr:rowOff>23813</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9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176213</xdr:rowOff>
        </xdr:from>
        <xdr:to>
          <xdr:col>1</xdr:col>
          <xdr:colOff>290513</xdr:colOff>
          <xdr:row>43</xdr:row>
          <xdr:rowOff>23813</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9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157163</xdr:rowOff>
        </xdr:from>
        <xdr:to>
          <xdr:col>2</xdr:col>
          <xdr:colOff>14288</xdr:colOff>
          <xdr:row>45</xdr:row>
          <xdr:rowOff>33338</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9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80963</xdr:colOff>
          <xdr:row>44</xdr:row>
          <xdr:rowOff>166688</xdr:rowOff>
        </xdr:from>
        <xdr:to>
          <xdr:col>2</xdr:col>
          <xdr:colOff>14288</xdr:colOff>
          <xdr:row>46</xdr:row>
          <xdr:rowOff>14288</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9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71438</xdr:colOff>
          <xdr:row>23</xdr:row>
          <xdr:rowOff>166688</xdr:rowOff>
        </xdr:from>
        <xdr:to>
          <xdr:col>2</xdr:col>
          <xdr:colOff>33338</xdr:colOff>
          <xdr:row>25</xdr:row>
          <xdr:rowOff>14288</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9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71438</xdr:colOff>
          <xdr:row>22</xdr:row>
          <xdr:rowOff>157163</xdr:rowOff>
        </xdr:from>
        <xdr:to>
          <xdr:col>2</xdr:col>
          <xdr:colOff>33338</xdr:colOff>
          <xdr:row>24</xdr:row>
          <xdr:rowOff>14288</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9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71438</xdr:colOff>
          <xdr:row>21</xdr:row>
          <xdr:rowOff>157163</xdr:rowOff>
        </xdr:from>
        <xdr:to>
          <xdr:col>2</xdr:col>
          <xdr:colOff>33338</xdr:colOff>
          <xdr:row>23</xdr:row>
          <xdr:rowOff>14288</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9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71438</xdr:colOff>
          <xdr:row>20</xdr:row>
          <xdr:rowOff>157163</xdr:rowOff>
        </xdr:from>
        <xdr:to>
          <xdr:col>2</xdr:col>
          <xdr:colOff>33338</xdr:colOff>
          <xdr:row>22</xdr:row>
          <xdr:rowOff>14288</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9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157163</xdr:rowOff>
        </xdr:from>
        <xdr:to>
          <xdr:col>2</xdr:col>
          <xdr:colOff>33338</xdr:colOff>
          <xdr:row>21</xdr:row>
          <xdr:rowOff>14288</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9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71438</xdr:colOff>
          <xdr:row>18</xdr:row>
          <xdr:rowOff>166688</xdr:rowOff>
        </xdr:from>
        <xdr:to>
          <xdr:col>2</xdr:col>
          <xdr:colOff>33338</xdr:colOff>
          <xdr:row>20</xdr:row>
          <xdr:rowOff>23813</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9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71438</xdr:colOff>
          <xdr:row>17</xdr:row>
          <xdr:rowOff>166688</xdr:rowOff>
        </xdr:from>
        <xdr:to>
          <xdr:col>2</xdr:col>
          <xdr:colOff>33338</xdr:colOff>
          <xdr:row>19</xdr:row>
          <xdr:rowOff>23813</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9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16</xdr:row>
          <xdr:rowOff>166688</xdr:rowOff>
        </xdr:from>
        <xdr:to>
          <xdr:col>2</xdr:col>
          <xdr:colOff>33338</xdr:colOff>
          <xdr:row>18</xdr:row>
          <xdr:rowOff>23813</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9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166688</xdr:rowOff>
        </xdr:from>
        <xdr:to>
          <xdr:col>2</xdr:col>
          <xdr:colOff>33338</xdr:colOff>
          <xdr:row>17</xdr:row>
          <xdr:rowOff>23813</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9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152400</xdr:rowOff>
        </xdr:from>
        <xdr:to>
          <xdr:col>2</xdr:col>
          <xdr:colOff>33338</xdr:colOff>
          <xdr:row>16</xdr:row>
          <xdr:rowOff>14288</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9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157163</xdr:rowOff>
        </xdr:from>
        <xdr:to>
          <xdr:col>2</xdr:col>
          <xdr:colOff>33338</xdr:colOff>
          <xdr:row>15</xdr:row>
          <xdr:rowOff>14288</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9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176213</xdr:rowOff>
        </xdr:from>
        <xdr:to>
          <xdr:col>2</xdr:col>
          <xdr:colOff>33338</xdr:colOff>
          <xdr:row>14</xdr:row>
          <xdr:rowOff>23813</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9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Levi Rohring" id="{34735C42-5157-4984-A1F5-7AEC295EAB89}" userId="S::Levi.Rohring@aepb.nl::1aae2a1c-dcaa-48fe-a070-28b25efe288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a:tailEnd type="triangle"/>
        </a:ln>
      </a:spPr>
      <a:bodyPr/>
      <a:lstStyle/>
      <a:style>
        <a:lnRef idx="1">
          <a:schemeClr val="dk1"/>
        </a:lnRef>
        <a:fillRef idx="0">
          <a:schemeClr val="dk1"/>
        </a:fillRef>
        <a:effectRef idx="0">
          <a:schemeClr val="dk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D6" dT="2026-03-03T08:30:12.38" personId="{34735C42-5157-4984-A1F5-7AEC295EAB89}" id="{97E516EA-7D90-4D6D-8DCA-86354A73FCA8}">
    <text>Hier zeggen we het volgende: alle producten zijn false m.b.t. HbH, behalve de eerste 3. Deze eerste drie zijn HbH als: (1) de HbH (vanuit 0. Initialisatie) = “Ja”), (2) de cao=VVT (als dubbelcheck), (3) er stata aangegeven (met “Ja”) dat er een Hbh product is (als dubbelcheck), allemaal rekening houdende met welke producten zijn gekozen door de aanbieder.</text>
  </threadedComment>
</ThreadedComments>
</file>

<file path=xl/threadedComments/threadedComment2.xml><?xml version="1.0" encoding="utf-8"?>
<ThreadedComments xmlns="http://schemas.microsoft.com/office/spreadsheetml/2018/threadedcomments" xmlns:x="http://schemas.openxmlformats.org/spreadsheetml/2006/main">
  <threadedComment ref="BF8" dT="2026-04-07T09:55:07.65" personId="{34735C42-5157-4984-A1F5-7AEC295EAB89}" id="{BD2A3C4D-AB0B-40DC-8486-FAE8CC5776E5}">
    <text>Hier een fallback naar FALSE voor het eerste product (omdat dit product altijd wordt getoond).</text>
  </threadedComment>
</ThreadedComments>
</file>

<file path=xl/threadedComments/threadedComment3.xml><?xml version="1.0" encoding="utf-8"?>
<ThreadedComments xmlns="http://schemas.microsoft.com/office/spreadsheetml/2018/threadedcomments" xmlns:x="http://schemas.openxmlformats.org/spreadsheetml/2006/main">
  <threadedComment ref="F6" dT="2026-01-29T11:55:11.22" personId="{34735C42-5157-4984-A1F5-7AEC295EAB89}" id="{5528D6F0-943D-4506-8A24-E0383E1C38BB}">
    <text>Deze hadden we eerst op 79412 staan</text>
  </threadedComment>
  <threadedComment ref="E8" dT="2026-01-29T11:55:24.05" personId="{34735C42-5157-4984-A1F5-7AEC295EAB89}" id="{1C4911D6-078A-47AD-8B76-6EB30430DB81}">
    <text>Deze hadden we eerst op 16555 staan</text>
  </threadedComment>
  <threadedComment ref="F9" dT="2026-01-29T11:55:44.99" personId="{34735C42-5157-4984-A1F5-7AEC295EAB89}" id="{B05C06F2-FD95-48AD-A574-16264DF8DEFD}">
    <text>AP gaat eruit, dus niet meer relevant</text>
  </threadedComment>
  <threadedComment ref="F22" dT="2026-01-29T11:55:57.68" personId="{34735C42-5157-4984-A1F5-7AEC295EAB89}" id="{A5E5D92E-7BA4-4A6D-B36C-08BE380C63AE}">
    <text>AP gaat eruit, dus niet meer relevant</text>
  </threadedComment>
  <threadedComment ref="F23" dT="2026-01-29T11:56:11.54" personId="{34735C42-5157-4984-A1F5-7AEC295EAB89}" id="{A47B27A6-BCE9-4246-B7E4-5AD403288EBB}">
    <text>AP gaat eruit, dus niet meer relevant</text>
  </threadedComment>
</ThreadedComments>
</file>

<file path=xl/threadedComments/threadedComment4.xml><?xml version="1.0" encoding="utf-8"?>
<ThreadedComments xmlns="http://schemas.microsoft.com/office/spreadsheetml/2018/threadedcomments" xmlns:x="http://schemas.openxmlformats.org/spreadsheetml/2006/main">
  <threadedComment ref="C7" dT="2026-01-29T12:59:24.34" personId="{34735C42-5157-4984-A1F5-7AEC295EAB89}" id="{DB883083-11B5-42C7-8FCC-54835567259A}">
    <text>N.b.: er gaan verschillende percentages in de rondte.</text>
  </threadedComment>
  <threadedComment ref="C8" dT="2026-01-29T12:59:24.34" personId="{34735C42-5157-4984-A1F5-7AEC295EAB89}" id="{446B02FA-2243-42C5-90DD-19D76AD18E62}">
    <text>N.b.: er gaan verschillende percentages in de rondte.</text>
  </threadedComment>
</ThreadedComments>
</file>

<file path=xl/threadedComments/threadedComment5.xml><?xml version="1.0" encoding="utf-8"?>
<ThreadedComments xmlns="http://schemas.microsoft.com/office/spreadsheetml/2018/threadedcomments" xmlns:x="http://schemas.openxmlformats.org/spreadsheetml/2006/main">
  <threadedComment ref="AI3" dT="2026-01-29T12:14:25.07" personId="{34735C42-5157-4984-A1F5-7AEC295EAB89}" id="{15D2826F-EE91-4DE1-8547-283FB535852F}">
    <text>Moet volgens mij nog wachten op het officiële cao.</text>
  </threadedComment>
  <threadedComment ref="G4" dT="2026-01-29T12:29:18.38" personId="{34735C42-5157-4984-A1F5-7AEC295EAB89}" id="{FB6F1238-C0EA-4EE5-86FF-475A1A6BB975}">
    <text>Balansbudget</text>
  </threadedComment>
  <threadedComment ref="J4" dT="2026-02-05T11:34:08.86" personId="{34735C42-5157-4984-A1F5-7AEC295EAB89}" id="{1DA7EE0B-4992-46D8-8946-DD09A288F844}">
    <text>We gebruiken hier een speciale formule die (i) tekst ( van minder dan 5 char) toe staat en (ii) waardes eruit filtert als het een nummer deelbaar door 5 is.</text>
  </threadedComment>
  <threadedComment ref="AM4" dT="2026-01-29T12:29:11.35" personId="{34735C42-5157-4984-A1F5-7AEC295EAB89}" id="{08DF5EE6-6479-4BF3-95CB-9519EBEC3AFA}">
    <text>Balansbudget</text>
  </threadedComment>
  <threadedComment ref="G5" dT="2026-01-29T12:27:55.95" personId="{34735C42-5157-4984-A1F5-7AEC295EAB89}" id="{0424EA4C-DBFA-4942-B47B-02FCCFB122B7}">
    <text>Loopbaanbudget</text>
  </threadedComment>
  <threadedComment ref="AM5" dT="2026-01-29T12:27:43.90" personId="{34735C42-5157-4984-A1F5-7AEC295EAB89}" id="{92342ED7-7838-4617-8168-C44ECE90200B}">
    <text>Loopbaanbudget</text>
  </threadedComment>
  <threadedComment ref="J8" dT="2026-03-02T13:05:28.91" personId="{34735C42-5157-4984-A1F5-7AEC295EAB89}" id="{03345228-506D-4EEB-A2D1-38A292823935}">
    <text>Dit zijn de HHH-schalen</text>
  </threadedComment>
  <threadedComment ref="AE8" dT="2026-03-02T14:56:02.30" personId="{34735C42-5157-4984-A1F5-7AEC295EAB89}" id="{55FB1263-C0DD-4D01-A48D-C4826349DD82}">
    <text>Deze gebruiken we voor referenties in de salarisfunctie</text>
  </threadedComment>
</ThreadedComments>
</file>

<file path=xl/threadedComments/threadedComment6.xml><?xml version="1.0" encoding="utf-8"?>
<ThreadedComments xmlns="http://schemas.microsoft.com/office/spreadsheetml/2018/threadedcomments" xmlns:x="http://schemas.openxmlformats.org/spreadsheetml/2006/main">
  <threadedComment ref="F3" dT="2026-03-02T11:33:33.24" personId="{34735C42-5157-4984-A1F5-7AEC295EAB89}" id="{15F40321-11A6-4A5F-A1D8-E94A034476CA}">
    <text xml:space="preserve">
Na minimumlooncorrectie
</text>
  </threadedComment>
  <threadedComment ref="G3" dT="2026-03-02T11:33:39.83" personId="{34735C42-5157-4984-A1F5-7AEC295EAB89}" id="{6D9A8A53-911F-4F16-BBD4-CFD837F9CB18}">
    <text xml:space="preserve">Na minimumlooncorrectie
</text>
  </threadedComment>
</ThreadedComments>
</file>

<file path=xl/threadedComments/threadedComment7.xml><?xml version="1.0" encoding="utf-8"?>
<ThreadedComments xmlns="http://schemas.microsoft.com/office/spreadsheetml/2018/threadedcomments" xmlns:x="http://schemas.openxmlformats.org/spreadsheetml/2006/main">
  <threadedComment ref="F3" dT="2026-03-02T11:33:33.24" personId="{34735C42-5157-4984-A1F5-7AEC295EAB89}" id="{CA60AD35-067E-405D-B3CE-490399039F48}">
    <text xml:space="preserve">
Na minimumlooncorrectie
</text>
  </threadedComment>
  <threadedComment ref="G3" dT="2026-03-02T11:33:39.83" personId="{34735C42-5157-4984-A1F5-7AEC295EAB89}" id="{1CFDD7AF-6384-4EDE-AB08-77C08DAF840E}">
    <text xml:space="preserve">Na minimumlooncorrectie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18" Type="http://schemas.openxmlformats.org/officeDocument/2006/relationships/ctrlProp" Target="../ctrlProps/ctrlProp116.xml"/><Relationship Id="rId3" Type="http://schemas.openxmlformats.org/officeDocument/2006/relationships/drawing" Target="../drawings/drawing9.xml"/><Relationship Id="rId21" Type="http://schemas.openxmlformats.org/officeDocument/2006/relationships/ctrlProp" Target="../ctrlProps/ctrlProp119.xml"/><Relationship Id="rId7" Type="http://schemas.openxmlformats.org/officeDocument/2006/relationships/ctrlProp" Target="../ctrlProps/ctrlProp105.xml"/><Relationship Id="rId12" Type="http://schemas.openxmlformats.org/officeDocument/2006/relationships/ctrlProp" Target="../ctrlProps/ctrlProp110.xml"/><Relationship Id="rId17" Type="http://schemas.openxmlformats.org/officeDocument/2006/relationships/ctrlProp" Target="../ctrlProps/ctrlProp115.xml"/><Relationship Id="rId2" Type="http://schemas.openxmlformats.org/officeDocument/2006/relationships/printerSettings" Target="../printerSettings/printerSettings9.bin"/><Relationship Id="rId16" Type="http://schemas.openxmlformats.org/officeDocument/2006/relationships/ctrlProp" Target="../ctrlProps/ctrlProp114.xml"/><Relationship Id="rId20" Type="http://schemas.openxmlformats.org/officeDocument/2006/relationships/ctrlProp" Target="../ctrlProps/ctrlProp118.xml"/><Relationship Id="rId1" Type="http://schemas.openxmlformats.org/officeDocument/2006/relationships/hyperlink" Target="mailto:levi.rohring@aepb.nl" TargetMode="External"/><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5" Type="http://schemas.openxmlformats.org/officeDocument/2006/relationships/ctrlProp" Target="../ctrlProps/ctrlProp113.xml"/><Relationship Id="rId10" Type="http://schemas.openxmlformats.org/officeDocument/2006/relationships/ctrlProp" Target="../ctrlProps/ctrlProp108.xml"/><Relationship Id="rId19" Type="http://schemas.openxmlformats.org/officeDocument/2006/relationships/ctrlProp" Target="../ctrlProps/ctrlProp117.xml"/><Relationship Id="rId4" Type="http://schemas.openxmlformats.org/officeDocument/2006/relationships/vmlDrawing" Target="../drawings/vmlDrawing5.vml"/><Relationship Id="rId9" Type="http://schemas.openxmlformats.org/officeDocument/2006/relationships/ctrlProp" Target="../ctrlProps/ctrlProp107.xml"/><Relationship Id="rId14" Type="http://schemas.openxmlformats.org/officeDocument/2006/relationships/ctrlProp" Target="../ctrlProps/ctrlProp112.xml"/><Relationship Id="rId22" Type="http://schemas.openxmlformats.org/officeDocument/2006/relationships/ctrlProp" Target="../ctrlProps/ctrlProp12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ctrlProp" Target="../ctrlProps/ctrlProp121.x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vmlDrawing" Target="../drawings/vmlDrawing6.vml"/><Relationship Id="rId1" Type="http://schemas.openxmlformats.org/officeDocument/2006/relationships/drawing" Target="../drawings/drawing10.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ctrlProp" Target="../ctrlProps/ctrlProp133.x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vmlDrawing" Target="../drawings/vmlDrawing7.vml"/><Relationship Id="rId1" Type="http://schemas.openxmlformats.org/officeDocument/2006/relationships/drawing" Target="../drawings/drawing11.xml"/><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8.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12.xml"/><Relationship Id="rId16" Type="http://schemas.openxmlformats.org/officeDocument/2006/relationships/comments" Target="../comments3.xml"/><Relationship Id="rId1" Type="http://schemas.openxmlformats.org/officeDocument/2006/relationships/printerSettings" Target="../printerSettings/printerSettings10.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8" Type="http://schemas.openxmlformats.org/officeDocument/2006/relationships/hyperlink" Target="mailto:!@" TargetMode="External"/><Relationship Id="rId13" Type="http://schemas.openxmlformats.org/officeDocument/2006/relationships/hyperlink" Target="mailto:!@" TargetMode="External"/><Relationship Id="rId3" Type="http://schemas.openxmlformats.org/officeDocument/2006/relationships/hyperlink" Target="mailto:!@" TargetMode="External"/><Relationship Id="rId7" Type="http://schemas.openxmlformats.org/officeDocument/2006/relationships/hyperlink" Target="mailto:!@" TargetMode="External"/><Relationship Id="rId12" Type="http://schemas.openxmlformats.org/officeDocument/2006/relationships/hyperlink" Target="mailto:!@" TargetMode="External"/><Relationship Id="rId2" Type="http://schemas.openxmlformats.org/officeDocument/2006/relationships/hyperlink" Target="mailto:!@" TargetMode="External"/><Relationship Id="rId1" Type="http://schemas.openxmlformats.org/officeDocument/2006/relationships/hyperlink" Target="mailto:!@" TargetMode="External"/><Relationship Id="rId6" Type="http://schemas.openxmlformats.org/officeDocument/2006/relationships/hyperlink" Target="mailto:!@" TargetMode="External"/><Relationship Id="rId11" Type="http://schemas.openxmlformats.org/officeDocument/2006/relationships/hyperlink" Target="mailto:!@" TargetMode="External"/><Relationship Id="rId5" Type="http://schemas.openxmlformats.org/officeDocument/2006/relationships/hyperlink" Target="mailto:!@" TargetMode="External"/><Relationship Id="rId10" Type="http://schemas.openxmlformats.org/officeDocument/2006/relationships/hyperlink" Target="mailto:!@" TargetMode="External"/><Relationship Id="rId4" Type="http://schemas.openxmlformats.org/officeDocument/2006/relationships/hyperlink" Target="mailto:!@" TargetMode="External"/><Relationship Id="rId9" Type="http://schemas.openxmlformats.org/officeDocument/2006/relationships/hyperlink" Target="mailto:!@" TargetMode="External"/><Relationship Id="rId1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microsoft.com/office/2017/10/relationships/threadedComment" Target="../threadedComments/threadedComment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omments" Target="../comments1.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 Id="rId4" Type="http://schemas.microsoft.com/office/2017/10/relationships/threadedComment" Target="../threadedComments/threadedComment3.xml"/></Relationships>
</file>

<file path=xl/worksheets/_rels/sheet27.xml.rels><?xml version="1.0" encoding="UTF-8" standalone="yes"?>
<Relationships xmlns="http://schemas.openxmlformats.org/package/2006/relationships"><Relationship Id="rId8" Type="http://schemas.openxmlformats.org/officeDocument/2006/relationships/hyperlink" Target="https://www.pfzw.nl/werkgevers/premie-en-factuur/premiepercentages-en-franchises.html" TargetMode="External"/><Relationship Id="rId13" Type="http://schemas.openxmlformats.org/officeDocument/2006/relationships/hyperlink" Target="https://www.rijksfinancien.nl/memorie-van-toelichting/2026/OWB/XV/onderdeel/9628438" TargetMode="External"/><Relationship Id="rId18" Type="http://schemas.openxmlformats.org/officeDocument/2006/relationships/hyperlink" Target="https://www.noa.nl/nl/nieuws/overzicht-premies-2025" TargetMode="External"/><Relationship Id="rId3" Type="http://schemas.openxmlformats.org/officeDocument/2006/relationships/hyperlink" Target="https://pbmn.nl/nieuws/kerncijfers-2025" TargetMode="External"/><Relationship Id="rId21" Type="http://schemas.openxmlformats.org/officeDocument/2006/relationships/vmlDrawing" Target="../drawings/vmlDrawing12.vml"/><Relationship Id="rId7" Type="http://schemas.openxmlformats.org/officeDocument/2006/relationships/hyperlink" Target="https://www.pfzw.nl/werkgevers/premie-en-factuur/premiepercentages-en-franchises.html" TargetMode="External"/><Relationship Id="rId12" Type="http://schemas.openxmlformats.org/officeDocument/2006/relationships/hyperlink" Target="https://www.rijksfinancien.nl/memorie-van-toelichting/2026/OWB/XV/onderdeel/9628438" TargetMode="External"/><Relationship Id="rId17" Type="http://schemas.openxmlformats.org/officeDocument/2006/relationships/hyperlink" Target="https://www.pfzw.nl/werkgevers/premie-en-factuur/premiepercentages-en-franchises.html" TargetMode="External"/><Relationship Id="rId2" Type="http://schemas.openxmlformats.org/officeDocument/2006/relationships/hyperlink" Target="https://www.pwc.nl/nl/actueel-en-publicaties/diensten-en-sectoren/pensioenen/de-nieuwe-kerncijfers-pensioen.html" TargetMode="External"/><Relationship Id="rId16" Type="http://schemas.openxmlformats.org/officeDocument/2006/relationships/hyperlink" Target="https://www.pfzw.nl/werkgevers/premie-en-factuur/premiepercentages-en-franchises.html" TargetMode="External"/><Relationship Id="rId20" Type="http://schemas.openxmlformats.org/officeDocument/2006/relationships/printerSettings" Target="../printerSettings/printerSettings17.bin"/><Relationship Id="rId1" Type="http://schemas.openxmlformats.org/officeDocument/2006/relationships/hyperlink" Target="https://pbmn.nl/nieuws/kerncijfers-2025" TargetMode="External"/><Relationship Id="rId6" Type="http://schemas.openxmlformats.org/officeDocument/2006/relationships/hyperlink" Target="https://www.belastingdienst.nl/wps/wcm/connect/bldcontentnl/belastingdienst/prive/werk_en_inkomen/zorgverzekeringswet/veranderingen-bijdrage-zvw/percentages-zvw" TargetMode="External"/><Relationship Id="rId11" Type="http://schemas.openxmlformats.org/officeDocument/2006/relationships/hyperlink" Target="https://www.rijksfinancien.nl/memorie-van-toelichting/2026/OWB/XV/onderdeel/9628438" TargetMode="External"/><Relationship Id="rId5" Type="http://schemas.openxmlformats.org/officeDocument/2006/relationships/hyperlink" Target="https://www.belastingdienst.nl/wps/wcm/connect/bldcontentnl/belastingdienst/prive/werk_en_inkomen/zorgverzekeringswet/veranderingen-bijdrage-zvw/percentages-zvw" TargetMode="External"/><Relationship Id="rId15" Type="http://schemas.openxmlformats.org/officeDocument/2006/relationships/hyperlink" Target="https://www.pfzw.nl/werkgevers/premie-en-factuur/premiepercentages-en-franchises.html" TargetMode="External"/><Relationship Id="rId23" Type="http://schemas.microsoft.com/office/2017/10/relationships/threadedComment" Target="../threadedComments/threadedComment4.xml"/><Relationship Id="rId10" Type="http://schemas.openxmlformats.org/officeDocument/2006/relationships/hyperlink" Target="https://www.rijksfinancien.nl/memorie-van-toelichting/2026/OWB/XV/onderdeel/9628438" TargetMode="External"/><Relationship Id="rId19" Type="http://schemas.openxmlformats.org/officeDocument/2006/relationships/hyperlink" Target="https://www.noa.nl/nl/nieuws/overzicht-premies-2026" TargetMode="External"/><Relationship Id="rId4" Type="http://schemas.openxmlformats.org/officeDocument/2006/relationships/hyperlink" Target="https://www.tunen.nl/2025/12/11/premiepercentages-en-maximum-premieloon-2026" TargetMode="External"/><Relationship Id="rId9" Type="http://schemas.openxmlformats.org/officeDocument/2006/relationships/hyperlink" Target="https://www.pfzw.nl/werkgevers/premie-en-factuur/premiepercentages-en-franchises.html" TargetMode="External"/><Relationship Id="rId14" Type="http://schemas.openxmlformats.org/officeDocument/2006/relationships/hyperlink" Target="https://www.pfzw.nl/werkgevers/premie-en-factuur/premiepercentages-en-franchises.html" TargetMode="External"/><Relationship Id="rId22"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7.xml"/><Relationship Id="rId18" Type="http://schemas.openxmlformats.org/officeDocument/2006/relationships/ctrlProp" Target="../ctrlProps/ctrlProp62.xml"/><Relationship Id="rId26" Type="http://schemas.openxmlformats.org/officeDocument/2006/relationships/ctrlProp" Target="../ctrlProps/ctrlProp70.xml"/><Relationship Id="rId39" Type="http://schemas.openxmlformats.org/officeDocument/2006/relationships/ctrlProp" Target="../ctrlProps/ctrlProp83.xml"/><Relationship Id="rId21" Type="http://schemas.openxmlformats.org/officeDocument/2006/relationships/ctrlProp" Target="../ctrlProps/ctrlProp65.xml"/><Relationship Id="rId34" Type="http://schemas.openxmlformats.org/officeDocument/2006/relationships/ctrlProp" Target="../ctrlProps/ctrlProp78.xml"/><Relationship Id="rId42" Type="http://schemas.openxmlformats.org/officeDocument/2006/relationships/ctrlProp" Target="../ctrlProps/ctrlProp86.xml"/><Relationship Id="rId7" Type="http://schemas.openxmlformats.org/officeDocument/2006/relationships/ctrlProp" Target="../ctrlProps/ctrlProp51.xml"/><Relationship Id="rId2" Type="http://schemas.openxmlformats.org/officeDocument/2006/relationships/drawing" Target="../drawings/drawing4.xml"/><Relationship Id="rId16" Type="http://schemas.openxmlformats.org/officeDocument/2006/relationships/ctrlProp" Target="../ctrlProps/ctrlProp60.xml"/><Relationship Id="rId29" Type="http://schemas.openxmlformats.org/officeDocument/2006/relationships/ctrlProp" Target="../ctrlProps/ctrlProp73.xml"/><Relationship Id="rId1" Type="http://schemas.openxmlformats.org/officeDocument/2006/relationships/printerSettings" Target="../printerSettings/printerSettings4.bin"/><Relationship Id="rId6" Type="http://schemas.openxmlformats.org/officeDocument/2006/relationships/ctrlProp" Target="../ctrlProps/ctrlProp50.xml"/><Relationship Id="rId11" Type="http://schemas.openxmlformats.org/officeDocument/2006/relationships/ctrlProp" Target="../ctrlProps/ctrlProp55.xml"/><Relationship Id="rId24" Type="http://schemas.openxmlformats.org/officeDocument/2006/relationships/ctrlProp" Target="../ctrlProps/ctrlProp68.xml"/><Relationship Id="rId32" Type="http://schemas.openxmlformats.org/officeDocument/2006/relationships/ctrlProp" Target="../ctrlProps/ctrlProp76.xml"/><Relationship Id="rId37" Type="http://schemas.openxmlformats.org/officeDocument/2006/relationships/ctrlProp" Target="../ctrlProps/ctrlProp81.xml"/><Relationship Id="rId40" Type="http://schemas.openxmlformats.org/officeDocument/2006/relationships/ctrlProp" Target="../ctrlProps/ctrlProp84.xml"/><Relationship Id="rId45" Type="http://schemas.microsoft.com/office/2017/10/relationships/threadedComment" Target="../threadedComments/threadedComment2.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28" Type="http://schemas.openxmlformats.org/officeDocument/2006/relationships/ctrlProp" Target="../ctrlProps/ctrlProp72.xml"/><Relationship Id="rId36" Type="http://schemas.openxmlformats.org/officeDocument/2006/relationships/ctrlProp" Target="../ctrlProps/ctrlProp80.xml"/><Relationship Id="rId10" Type="http://schemas.openxmlformats.org/officeDocument/2006/relationships/ctrlProp" Target="../ctrlProps/ctrlProp54.xml"/><Relationship Id="rId19" Type="http://schemas.openxmlformats.org/officeDocument/2006/relationships/ctrlProp" Target="../ctrlProps/ctrlProp63.xml"/><Relationship Id="rId31" Type="http://schemas.openxmlformats.org/officeDocument/2006/relationships/ctrlProp" Target="../ctrlProps/ctrlProp75.xml"/><Relationship Id="rId44" Type="http://schemas.openxmlformats.org/officeDocument/2006/relationships/comments" Target="../comments2.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 Id="rId27" Type="http://schemas.openxmlformats.org/officeDocument/2006/relationships/ctrlProp" Target="../ctrlProps/ctrlProp71.xml"/><Relationship Id="rId30" Type="http://schemas.openxmlformats.org/officeDocument/2006/relationships/ctrlProp" Target="../ctrlProps/ctrlProp74.xml"/><Relationship Id="rId35" Type="http://schemas.openxmlformats.org/officeDocument/2006/relationships/ctrlProp" Target="../ctrlProps/ctrlProp79.xml"/><Relationship Id="rId43" Type="http://schemas.openxmlformats.org/officeDocument/2006/relationships/ctrlProp" Target="../ctrlProps/ctrlProp87.xml"/><Relationship Id="rId8" Type="http://schemas.openxmlformats.org/officeDocument/2006/relationships/ctrlProp" Target="../ctrlProps/ctrlProp52.xml"/><Relationship Id="rId3" Type="http://schemas.openxmlformats.org/officeDocument/2006/relationships/vmlDrawing" Target="../drawings/vmlDrawing2.vml"/><Relationship Id="rId12" Type="http://schemas.openxmlformats.org/officeDocument/2006/relationships/ctrlProp" Target="../ctrlProps/ctrlProp56.xml"/><Relationship Id="rId17" Type="http://schemas.openxmlformats.org/officeDocument/2006/relationships/ctrlProp" Target="../ctrlProps/ctrlProp61.xml"/><Relationship Id="rId25" Type="http://schemas.openxmlformats.org/officeDocument/2006/relationships/ctrlProp" Target="../ctrlProps/ctrlProp69.xml"/><Relationship Id="rId33" Type="http://schemas.openxmlformats.org/officeDocument/2006/relationships/ctrlProp" Target="../ctrlProps/ctrlProp77.xml"/><Relationship Id="rId38" Type="http://schemas.openxmlformats.org/officeDocument/2006/relationships/ctrlProp" Target="../ctrlProps/ctrlProp82.xml"/><Relationship Id="rId20" Type="http://schemas.openxmlformats.org/officeDocument/2006/relationships/ctrlProp" Target="../ctrlProps/ctrlProp64.xml"/><Relationship Id="rId41" Type="http://schemas.openxmlformats.org/officeDocument/2006/relationships/ctrlProp" Target="../ctrlProps/ctrlProp85.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2.xml"/><Relationship Id="rId13" Type="http://schemas.openxmlformats.org/officeDocument/2006/relationships/ctrlProp" Target="../ctrlProps/ctrlProp97.xml"/><Relationship Id="rId3" Type="http://schemas.openxmlformats.org/officeDocument/2006/relationships/vmlDrawing" Target="../drawings/vmlDrawing3.vml"/><Relationship Id="rId7" Type="http://schemas.openxmlformats.org/officeDocument/2006/relationships/ctrlProp" Target="../ctrlProps/ctrlProp91.xml"/><Relationship Id="rId12" Type="http://schemas.openxmlformats.org/officeDocument/2006/relationships/ctrlProp" Target="../ctrlProps/ctrlProp9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90.xml"/><Relationship Id="rId11" Type="http://schemas.openxmlformats.org/officeDocument/2006/relationships/ctrlProp" Target="../ctrlProps/ctrlProp95.xml"/><Relationship Id="rId5" Type="http://schemas.openxmlformats.org/officeDocument/2006/relationships/ctrlProp" Target="../ctrlProps/ctrlProp89.xml"/><Relationship Id="rId15" Type="http://schemas.openxmlformats.org/officeDocument/2006/relationships/ctrlProp" Target="../ctrlProps/ctrlProp99.xml"/><Relationship Id="rId10" Type="http://schemas.openxmlformats.org/officeDocument/2006/relationships/ctrlProp" Target="../ctrlProps/ctrlProp94.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6.xml.rels><?xml version="1.0" encoding="UTF-8" standalone="yes"?>
<Relationships xmlns="http://schemas.openxmlformats.org/package/2006/relationships"><Relationship Id="rId8" Type="http://schemas.openxmlformats.org/officeDocument/2006/relationships/hyperlink" Target="mailto:!@" TargetMode="External"/><Relationship Id="rId13" Type="http://schemas.openxmlformats.org/officeDocument/2006/relationships/hyperlink" Target="mailto:!@" TargetMode="External"/><Relationship Id="rId18" Type="http://schemas.openxmlformats.org/officeDocument/2006/relationships/hyperlink" Target="mailto:!@" TargetMode="External"/><Relationship Id="rId3" Type="http://schemas.openxmlformats.org/officeDocument/2006/relationships/hyperlink" Target="mailto:!@" TargetMode="External"/><Relationship Id="rId7" Type="http://schemas.openxmlformats.org/officeDocument/2006/relationships/hyperlink" Target="mailto:!@" TargetMode="External"/><Relationship Id="rId12" Type="http://schemas.openxmlformats.org/officeDocument/2006/relationships/hyperlink" Target="mailto:!@" TargetMode="External"/><Relationship Id="rId17" Type="http://schemas.openxmlformats.org/officeDocument/2006/relationships/hyperlink" Target="mailto:!@" TargetMode="External"/><Relationship Id="rId2" Type="http://schemas.openxmlformats.org/officeDocument/2006/relationships/hyperlink" Target="mailto:!@" TargetMode="External"/><Relationship Id="rId16" Type="http://schemas.openxmlformats.org/officeDocument/2006/relationships/hyperlink" Target="mailto:!@" TargetMode="External"/><Relationship Id="rId1" Type="http://schemas.openxmlformats.org/officeDocument/2006/relationships/hyperlink" Target="mailto:levi.rohring@aepb.nl" TargetMode="External"/><Relationship Id="rId6" Type="http://schemas.openxmlformats.org/officeDocument/2006/relationships/hyperlink" Target="mailto:!@" TargetMode="External"/><Relationship Id="rId11" Type="http://schemas.openxmlformats.org/officeDocument/2006/relationships/hyperlink" Target="mailto:!@" TargetMode="External"/><Relationship Id="rId5" Type="http://schemas.openxmlformats.org/officeDocument/2006/relationships/hyperlink" Target="mailto:!@" TargetMode="External"/><Relationship Id="rId15" Type="http://schemas.openxmlformats.org/officeDocument/2006/relationships/hyperlink" Target="mailto:!@" TargetMode="External"/><Relationship Id="rId10" Type="http://schemas.openxmlformats.org/officeDocument/2006/relationships/hyperlink" Target="mailto:!@" TargetMode="External"/><Relationship Id="rId19" Type="http://schemas.openxmlformats.org/officeDocument/2006/relationships/drawing" Target="../drawings/drawing6.xml"/><Relationship Id="rId4" Type="http://schemas.openxmlformats.org/officeDocument/2006/relationships/hyperlink" Target="mailto:!@" TargetMode="External"/><Relationship Id="rId9" Type="http://schemas.openxmlformats.org/officeDocument/2006/relationships/hyperlink" Target="mailto:!@" TargetMode="External"/><Relationship Id="rId14" Type="http://schemas.openxmlformats.org/officeDocument/2006/relationships/hyperlink" Target="mailt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autoPageBreaks="0"/>
  </sheetPr>
  <dimension ref="A1:AZ200"/>
  <sheetViews>
    <sheetView zoomScaleNormal="100" workbookViewId="0"/>
  </sheetViews>
  <sheetFormatPr defaultColWidth="8.796875" defaultRowHeight="14.25" x14ac:dyDescent="0.45"/>
  <cols>
    <col min="2" max="2" width="24.53125" customWidth="1"/>
    <col min="3" max="3" width="24.59765625" customWidth="1"/>
    <col min="4" max="4" width="8.46484375" customWidth="1"/>
    <col min="5" max="5" width="55.33203125" customWidth="1"/>
    <col min="6" max="6" width="43.265625" customWidth="1"/>
  </cols>
  <sheetData>
    <row r="1" spans="1:52" ht="25.05" customHeight="1" x14ac:dyDescent="0.5">
      <c r="A1" s="289"/>
      <c r="B1" s="289"/>
      <c r="C1" s="289"/>
      <c r="D1" s="289"/>
      <c r="E1" s="289"/>
      <c r="F1" s="711"/>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15.75" x14ac:dyDescent="0.5">
      <c r="A2" s="709"/>
      <c r="B2" s="555" t="s">
        <v>850</v>
      </c>
      <c r="C2" s="556"/>
      <c r="D2" s="554"/>
      <c r="E2" s="554"/>
      <c r="F2" s="557"/>
      <c r="G2" s="286"/>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135.5" customHeight="1" x14ac:dyDescent="0.45">
      <c r="A3" s="709"/>
      <c r="B3" s="744" t="s">
        <v>2232</v>
      </c>
      <c r="C3" s="744"/>
      <c r="D3" s="744"/>
      <c r="E3" s="744"/>
      <c r="F3" s="744"/>
      <c r="G3" s="286"/>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x14ac:dyDescent="0.45">
      <c r="A4" s="709"/>
      <c r="B4" s="559"/>
      <c r="C4" s="559"/>
      <c r="D4" s="304"/>
      <c r="E4" s="289"/>
      <c r="F4" s="289"/>
      <c r="G4" s="286"/>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x14ac:dyDescent="0.45">
      <c r="A5" s="709"/>
      <c r="B5" s="291" t="s">
        <v>752</v>
      </c>
      <c r="C5" s="559"/>
      <c r="D5" s="304"/>
      <c r="E5" s="289"/>
      <c r="F5" s="289"/>
      <c r="G5" s="286"/>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x14ac:dyDescent="0.45">
      <c r="A6" s="356"/>
      <c r="B6" s="293" t="s">
        <v>757</v>
      </c>
      <c r="C6" s="191" t="s">
        <v>795</v>
      </c>
      <c r="D6" s="294" t="s">
        <v>1897</v>
      </c>
      <c r="E6" s="289"/>
      <c r="F6" s="289"/>
      <c r="G6" s="286"/>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x14ac:dyDescent="0.45">
      <c r="A7" s="356"/>
      <c r="B7" s="560" t="s">
        <v>979</v>
      </c>
      <c r="C7" s="192" t="s">
        <v>1891</v>
      </c>
      <c r="D7" s="294" t="s">
        <v>1896</v>
      </c>
      <c r="E7" s="289"/>
      <c r="F7" s="289"/>
      <c r="G7" s="286"/>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13.8" customHeight="1" x14ac:dyDescent="0.45">
      <c r="A8" s="356"/>
      <c r="B8" s="560" t="s">
        <v>980</v>
      </c>
      <c r="C8" s="279" t="s">
        <v>985</v>
      </c>
      <c r="D8" s="294" t="s">
        <v>987</v>
      </c>
      <c r="E8" s="289"/>
      <c r="F8" s="289"/>
      <c r="G8" s="286"/>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ht="13.8" customHeight="1" x14ac:dyDescent="0.45">
      <c r="A9" s="356"/>
      <c r="B9" s="561" t="s">
        <v>981</v>
      </c>
      <c r="C9" s="367" t="s">
        <v>978</v>
      </c>
      <c r="D9" s="294" t="s">
        <v>1233</v>
      </c>
      <c r="E9" s="289"/>
      <c r="F9" s="289"/>
      <c r="G9" s="286"/>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t="13.8" hidden="1" customHeight="1" x14ac:dyDescent="0.45">
      <c r="A10" s="356"/>
      <c r="B10" s="561" t="s">
        <v>981</v>
      </c>
      <c r="C10" s="367" t="s">
        <v>978</v>
      </c>
      <c r="D10" s="294" t="s">
        <v>1233</v>
      </c>
      <c r="E10" s="289"/>
      <c r="F10" s="289"/>
      <c r="G10" s="286"/>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13.8" customHeight="1" x14ac:dyDescent="0.45">
      <c r="A11" s="356"/>
      <c r="B11" s="561" t="s">
        <v>982</v>
      </c>
      <c r="C11" s="280" t="s">
        <v>1068</v>
      </c>
      <c r="D11" s="294" t="s">
        <v>984</v>
      </c>
      <c r="E11" s="289"/>
      <c r="F11" s="289"/>
      <c r="G11" s="286"/>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ht="13.8" customHeight="1" x14ac:dyDescent="0.45">
      <c r="A12" s="356"/>
      <c r="B12" s="561" t="s">
        <v>983</v>
      </c>
      <c r="C12" s="553" t="s">
        <v>1911</v>
      </c>
      <c r="D12" s="294" t="s">
        <v>2054</v>
      </c>
      <c r="E12" s="289"/>
      <c r="F12" s="289"/>
      <c r="G12" s="286"/>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ht="13.8" customHeight="1" x14ac:dyDescent="0.45">
      <c r="A13" s="356"/>
      <c r="B13" s="293"/>
      <c r="C13" s="190" t="s">
        <v>843</v>
      </c>
      <c r="D13" s="294" t="s">
        <v>986</v>
      </c>
      <c r="E13" s="289"/>
      <c r="F13" s="289"/>
      <c r="G13" s="286"/>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13.8" customHeight="1" x14ac:dyDescent="0.45">
      <c r="A14" s="356"/>
      <c r="B14" s="293"/>
      <c r="C14" s="293"/>
      <c r="D14" s="294"/>
      <c r="E14" s="289"/>
      <c r="F14" s="289"/>
      <c r="G14" s="286"/>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x14ac:dyDescent="0.45">
      <c r="A15" s="356"/>
      <c r="B15" s="298" t="s">
        <v>953</v>
      </c>
      <c r="C15" s="289"/>
      <c r="D15" s="289"/>
      <c r="E15" s="289"/>
      <c r="F15" s="289"/>
      <c r="G15" s="286"/>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x14ac:dyDescent="0.45">
      <c r="A16" s="356"/>
      <c r="B16" s="289" t="s">
        <v>954</v>
      </c>
      <c r="C16" s="289"/>
      <c r="D16" s="289"/>
      <c r="E16" s="289"/>
      <c r="F16" s="289"/>
      <c r="G16" s="286"/>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x14ac:dyDescent="0.45">
      <c r="A17" s="356"/>
      <c r="B17" s="298" t="s">
        <v>754</v>
      </c>
      <c r="C17" s="289"/>
      <c r="D17" s="289"/>
      <c r="E17" s="289"/>
      <c r="F17" s="289"/>
      <c r="G17" s="286"/>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x14ac:dyDescent="0.45">
      <c r="A18" s="356"/>
      <c r="B18" s="289" t="s">
        <v>844</v>
      </c>
      <c r="C18" s="289"/>
      <c r="D18" s="562"/>
      <c r="E18" s="289"/>
      <c r="F18" s="289"/>
      <c r="G18" s="286"/>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x14ac:dyDescent="0.45">
      <c r="A19" s="356"/>
      <c r="B19" s="289" t="s">
        <v>845</v>
      </c>
      <c r="C19" s="289"/>
      <c r="D19" s="563"/>
      <c r="E19" s="289"/>
      <c r="F19" s="289"/>
      <c r="G19" s="286"/>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x14ac:dyDescent="0.45">
      <c r="A20" s="356"/>
      <c r="B20" s="289" t="s">
        <v>755</v>
      </c>
      <c r="C20" s="289"/>
      <c r="D20" s="564"/>
      <c r="E20" s="289"/>
      <c r="F20" s="289"/>
      <c r="G20" s="286"/>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x14ac:dyDescent="0.45">
      <c r="A21" s="356"/>
      <c r="B21" s="289" t="s">
        <v>2055</v>
      </c>
      <c r="C21" s="289"/>
      <c r="D21" s="134"/>
      <c r="E21" s="289"/>
      <c r="F21" s="289"/>
      <c r="G21" s="286"/>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x14ac:dyDescent="0.45">
      <c r="A22" s="356"/>
      <c r="B22" s="289" t="s">
        <v>756</v>
      </c>
      <c r="C22" s="289"/>
      <c r="D22" s="135"/>
      <c r="E22" s="289"/>
      <c r="F22" s="289"/>
      <c r="G22" s="286"/>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ht="15.75" x14ac:dyDescent="0.5">
      <c r="A23" s="356"/>
      <c r="B23" s="289" t="s">
        <v>1076</v>
      </c>
      <c r="C23" s="289"/>
      <c r="D23" s="136" t="s">
        <v>780</v>
      </c>
      <c r="E23" s="289"/>
      <c r="F23" s="289"/>
      <c r="G23" s="286"/>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ht="15.75" x14ac:dyDescent="0.5">
      <c r="A24" s="356"/>
      <c r="B24" s="289"/>
      <c r="C24" s="289"/>
      <c r="D24" s="299"/>
      <c r="E24" s="289"/>
      <c r="F24" s="289"/>
      <c r="G24" s="286"/>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50.55" customHeight="1" x14ac:dyDescent="0.45">
      <c r="A25" s="356"/>
      <c r="B25" s="745" t="s">
        <v>2181</v>
      </c>
      <c r="C25" s="745"/>
      <c r="D25" s="745"/>
      <c r="E25" s="745"/>
      <c r="F25" s="745"/>
      <c r="G25" s="286"/>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x14ac:dyDescent="0.45">
      <c r="A26" s="356"/>
      <c r="B26" s="289"/>
      <c r="C26" s="289"/>
      <c r="D26" s="289"/>
      <c r="E26" s="289"/>
      <c r="F26" s="289"/>
      <c r="G26" s="286"/>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x14ac:dyDescent="0.45">
      <c r="A27" s="356"/>
      <c r="B27" s="565"/>
      <c r="C27" s="565"/>
      <c r="D27" s="565"/>
      <c r="E27" s="565"/>
      <c r="F27" s="565"/>
      <c r="G27" s="286"/>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ht="18" x14ac:dyDescent="0.55000000000000004">
      <c r="A28" s="356"/>
      <c r="B28" s="300" t="s">
        <v>753</v>
      </c>
      <c r="C28" s="289"/>
      <c r="D28" s="289"/>
      <c r="E28" s="289"/>
      <c r="F28" s="289"/>
      <c r="G28" s="286"/>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s="285" customFormat="1" x14ac:dyDescent="0.45">
      <c r="A29" s="712"/>
      <c r="B29" s="742" t="str">
        <f>HYPERLINK("#'1a. Input organisatieniveau'!A2", "Stap 1 – Vul organisatie- en productgroepgegevens in (‘1a. Input organisatieniveau’)")</f>
        <v>Stap 1 – Vul organisatie- en productgroepgegevens in (‘1a. Input organisatieniveau’)</v>
      </c>
      <c r="C29" s="742"/>
      <c r="D29" s="742"/>
      <c r="E29" s="742"/>
      <c r="F29" s="386"/>
      <c r="G29" s="302"/>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row>
    <row r="30" spans="1:52" x14ac:dyDescent="0.45">
      <c r="A30" s="356"/>
      <c r="B30" s="289" t="s">
        <v>2056</v>
      </c>
      <c r="C30" s="289"/>
      <c r="D30" s="289"/>
      <c r="E30" s="289"/>
      <c r="F30" s="289"/>
      <c r="G30" s="286"/>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x14ac:dyDescent="0.45">
      <c r="A31" s="356"/>
      <c r="B31" s="289" t="s">
        <v>2057</v>
      </c>
      <c r="C31" s="289"/>
      <c r="D31" s="289"/>
      <c r="E31" s="289"/>
      <c r="F31" s="289"/>
      <c r="G31" s="286"/>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x14ac:dyDescent="0.45">
      <c r="A32" s="356"/>
      <c r="B32" s="566" t="s">
        <v>846</v>
      </c>
      <c r="C32" s="289"/>
      <c r="D32" s="289"/>
      <c r="E32" s="289"/>
      <c r="F32" s="289"/>
      <c r="G32" s="286"/>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45">
      <c r="A33" s="356"/>
      <c r="B33" s="295" t="s">
        <v>2058</v>
      </c>
      <c r="C33" s="289"/>
      <c r="D33" s="289"/>
      <c r="E33" s="289"/>
      <c r="F33" s="289"/>
      <c r="G33" s="286"/>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x14ac:dyDescent="0.45">
      <c r="A34" s="356"/>
      <c r="B34" s="295" t="s">
        <v>2059</v>
      </c>
      <c r="C34" s="289"/>
      <c r="D34" s="289"/>
      <c r="E34" s="289"/>
      <c r="F34" s="289"/>
      <c r="G34" s="286"/>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x14ac:dyDescent="0.45">
      <c r="A35" s="356"/>
      <c r="B35" s="289" t="s">
        <v>2060</v>
      </c>
      <c r="C35" s="289"/>
      <c r="D35" s="289"/>
      <c r="E35" s="289"/>
      <c r="F35" s="289"/>
      <c r="G35" s="286"/>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x14ac:dyDescent="0.45">
      <c r="A36" s="356"/>
      <c r="B36" s="289"/>
      <c r="C36" s="289"/>
      <c r="D36" s="289"/>
      <c r="E36" s="289"/>
      <c r="F36" s="289"/>
      <c r="G36" s="286"/>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s="285" customFormat="1" x14ac:dyDescent="0.45">
      <c r="A37" s="712"/>
      <c r="B37" s="742" t="str">
        <f>HYPERLINK("#'1b. Input productniveau'!A2", "Stap 2 – Vul productgegevens in (‘1b. Input productniveau')")</f>
        <v>Stap 2 – Vul productgegevens in (‘1b. Input productniveau')</v>
      </c>
      <c r="C37" s="742"/>
      <c r="D37" s="742"/>
      <c r="E37" s="742"/>
      <c r="F37" s="386"/>
      <c r="G37" s="302"/>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row>
    <row r="38" spans="1:52" x14ac:dyDescent="0.45">
      <c r="A38" s="356"/>
      <c r="B38" s="289" t="s">
        <v>2061</v>
      </c>
      <c r="C38" s="289"/>
      <c r="D38" s="289"/>
      <c r="E38" s="289"/>
      <c r="F38" s="289"/>
      <c r="G38" s="286"/>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45">
      <c r="A39" s="356"/>
      <c r="B39" s="289"/>
      <c r="C39" s="289"/>
      <c r="D39" s="289"/>
      <c r="E39" s="289"/>
      <c r="F39" s="289"/>
      <c r="G39" s="286"/>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s="285" customFormat="1" x14ac:dyDescent="0.45">
      <c r="A40" s="712"/>
      <c r="B40" s="742" t="str">
        <f>HYPERLINK("#'1c. Input functiemix'!A2", "Stap 3 – Vul functiemix in (‘1c. Input functiemix’)")</f>
        <v>Stap 3 – Vul functiemix in (‘1c. Input functiemix’)</v>
      </c>
      <c r="C40" s="742"/>
      <c r="D40" s="742"/>
      <c r="E40" s="742"/>
      <c r="F40" s="386"/>
      <c r="G40" s="302"/>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row>
    <row r="41" spans="1:52" x14ac:dyDescent="0.45">
      <c r="A41" s="356"/>
      <c r="B41" s="289" t="s">
        <v>2062</v>
      </c>
      <c r="C41" s="289"/>
      <c r="D41" s="289"/>
      <c r="E41" s="289"/>
      <c r="F41" s="289"/>
      <c r="G41" s="286"/>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45">
      <c r="A42" s="356"/>
      <c r="B42" s="289" t="s">
        <v>2063</v>
      </c>
      <c r="C42" s="289"/>
      <c r="D42" s="289"/>
      <c r="E42" s="289"/>
      <c r="F42" s="289"/>
      <c r="G42" s="286"/>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x14ac:dyDescent="0.45">
      <c r="A43" s="356"/>
      <c r="B43" s="289" t="s">
        <v>847</v>
      </c>
      <c r="C43" s="289"/>
      <c r="D43" s="289"/>
      <c r="E43" s="289"/>
      <c r="F43" s="289"/>
      <c r="G43" s="286"/>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x14ac:dyDescent="0.45">
      <c r="A44" s="356"/>
      <c r="B44" s="289" t="s">
        <v>848</v>
      </c>
      <c r="C44" s="289"/>
      <c r="D44" s="289"/>
      <c r="E44" s="289"/>
      <c r="F44" s="289"/>
      <c r="G44" s="286"/>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x14ac:dyDescent="0.45">
      <c r="A45" s="356"/>
      <c r="B45" s="289" t="s">
        <v>2064</v>
      </c>
      <c r="C45" s="289"/>
      <c r="D45" s="289"/>
      <c r="E45" s="289"/>
      <c r="F45" s="289"/>
      <c r="G45" s="286"/>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x14ac:dyDescent="0.45">
      <c r="A46" s="356"/>
      <c r="B46" s="289" t="s">
        <v>2133</v>
      </c>
      <c r="C46" s="289"/>
      <c r="D46" s="289"/>
      <c r="E46" s="289"/>
      <c r="F46" s="289"/>
      <c r="G46" s="286"/>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45">
      <c r="A47" s="356"/>
      <c r="B47" s="289"/>
      <c r="C47" s="289"/>
      <c r="D47" s="289"/>
      <c r="E47" s="289"/>
      <c r="F47" s="289"/>
      <c r="G47" s="286"/>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s="285" customFormat="1" x14ac:dyDescent="0.45">
      <c r="A48" s="712"/>
      <c r="B48" s="742" t="str">
        <f>HYPERLINK("#'2. Output kostprijs'!A2", "Stap 4 – Bekijk de resultaten (‘2. Output kostprijs’)")</f>
        <v>Stap 4 – Bekijk de resultaten (‘2. Output kostprijs’)</v>
      </c>
      <c r="C48" s="742"/>
      <c r="D48" s="742"/>
      <c r="E48" s="742"/>
      <c r="F48" s="301"/>
      <c r="G48" s="302"/>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row>
    <row r="49" spans="1:52" x14ac:dyDescent="0.45">
      <c r="A49" s="356"/>
      <c r="B49" s="289" t="s">
        <v>849</v>
      </c>
      <c r="C49" s="289"/>
      <c r="D49" s="289"/>
      <c r="E49" s="289"/>
      <c r="F49" s="567"/>
      <c r="G49" s="286"/>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45">
      <c r="A50" s="356"/>
      <c r="B50" s="289" t="s">
        <v>2065</v>
      </c>
      <c r="C50" s="289"/>
      <c r="D50" s="289"/>
      <c r="E50" s="289"/>
      <c r="F50" s="289"/>
      <c r="G50" s="286"/>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45">
      <c r="A51" s="356"/>
      <c r="B51" s="289" t="s">
        <v>2066</v>
      </c>
      <c r="C51" s="289"/>
      <c r="D51" s="289"/>
      <c r="E51" s="289"/>
      <c r="F51" s="289"/>
      <c r="G51" s="286"/>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45">
      <c r="A52" s="356"/>
      <c r="B52" s="289" t="s">
        <v>2067</v>
      </c>
      <c r="C52" s="289"/>
      <c r="D52" s="289"/>
      <c r="E52" s="289"/>
      <c r="F52" s="289"/>
      <c r="G52" s="286"/>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x14ac:dyDescent="0.45">
      <c r="A53" s="356"/>
      <c r="B53" s="289" t="s">
        <v>2068</v>
      </c>
      <c r="C53" s="289"/>
      <c r="D53" s="289"/>
      <c r="E53" s="289"/>
      <c r="F53" s="289"/>
      <c r="G53" s="286"/>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x14ac:dyDescent="0.45">
      <c r="A54" s="356"/>
      <c r="B54" s="289"/>
      <c r="C54" s="289"/>
      <c r="D54" s="289"/>
      <c r="E54" s="289"/>
      <c r="F54" s="289"/>
      <c r="G54" s="286"/>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s="285" customFormat="1" x14ac:dyDescent="0.45">
      <c r="A55" s="712"/>
      <c r="B55" s="742" t="str">
        <f>HYPERLINK("#'4. Toelichtingen'!B2", "Stap 5 – Licht de invoer en uitvoer toe ('4. Toelichtingen')")</f>
        <v>Stap 5 – Licht de invoer en uitvoer toe ('4. Toelichtingen')</v>
      </c>
      <c r="C55" s="742"/>
      <c r="D55" s="742"/>
      <c r="E55" s="742"/>
      <c r="F55" s="386"/>
      <c r="G55" s="302"/>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row>
    <row r="56" spans="1:52" x14ac:dyDescent="0.45">
      <c r="A56" s="356"/>
      <c r="B56" s="289" t="s">
        <v>2186</v>
      </c>
      <c r="C56" s="289"/>
      <c r="D56" s="289"/>
      <c r="E56" s="289"/>
      <c r="F56" s="289"/>
      <c r="G56" s="286"/>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45">
      <c r="A57" s="356"/>
      <c r="B57" s="289" t="s">
        <v>2185</v>
      </c>
      <c r="C57" s="289"/>
      <c r="D57" s="289"/>
      <c r="E57" s="289"/>
      <c r="F57" s="289"/>
      <c r="G57" s="286"/>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45">
      <c r="A58" s="356"/>
      <c r="B58" s="289"/>
      <c r="C58" s="289"/>
      <c r="D58" s="289"/>
      <c r="E58" s="289"/>
      <c r="F58" s="289"/>
      <c r="G58" s="286"/>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x14ac:dyDescent="0.45">
      <c r="A59" s="356"/>
      <c r="B59" s="565"/>
      <c r="C59" s="565"/>
      <c r="D59" s="565"/>
      <c r="E59" s="565"/>
      <c r="F59" s="565"/>
      <c r="G59" s="286"/>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ht="18" x14ac:dyDescent="0.55000000000000004">
      <c r="A60" s="356"/>
      <c r="B60" s="300" t="s">
        <v>951</v>
      </c>
      <c r="C60" s="289"/>
      <c r="D60" s="289"/>
      <c r="E60" s="289"/>
      <c r="F60" s="289"/>
      <c r="G60" s="286"/>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s="285" customFormat="1" x14ac:dyDescent="0.45">
      <c r="A61" s="712"/>
      <c r="B61" s="742" t="str">
        <f>HYPERLINK("#'3. Gezinshuis producten'!A2", "Stap 1 – Vul opgevraagde gegevens in ('3. Gezinshuis producten')")</f>
        <v>Stap 1 – Vul opgevraagde gegevens in ('3. Gezinshuis producten')</v>
      </c>
      <c r="C61" s="742"/>
      <c r="D61" s="742"/>
      <c r="E61" s="742"/>
      <c r="F61" s="386"/>
      <c r="G61" s="302"/>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row>
    <row r="62" spans="1:52" x14ac:dyDescent="0.45">
      <c r="A62" s="356"/>
      <c r="B62" s="289" t="s">
        <v>2069</v>
      </c>
      <c r="C62" s="289"/>
      <c r="D62" s="289"/>
      <c r="E62" s="289"/>
      <c r="F62" s="289"/>
      <c r="G62" s="286"/>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45">
      <c r="A63" s="356"/>
      <c r="B63" s="289" t="s">
        <v>2070</v>
      </c>
      <c r="C63" s="289"/>
      <c r="D63" s="289"/>
      <c r="E63" s="289"/>
      <c r="F63" s="289"/>
      <c r="G63" s="286"/>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45">
      <c r="A64" s="356"/>
      <c r="B64" s="289" t="s">
        <v>2071</v>
      </c>
      <c r="C64" s="289"/>
      <c r="D64" s="289"/>
      <c r="E64" s="289"/>
      <c r="F64" s="289"/>
      <c r="G64" s="286"/>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45">
      <c r="A65" s="356"/>
      <c r="B65" s="295"/>
      <c r="C65" s="289"/>
      <c r="D65" s="289"/>
      <c r="E65" s="289"/>
      <c r="F65" s="289"/>
      <c r="G65" s="286"/>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s="285" customFormat="1" x14ac:dyDescent="0.45">
      <c r="A66" s="712"/>
      <c r="B66" s="742" t="str">
        <f>HYPERLINK("#'3. Gezinshuis producten'!A2", "Stap 2 – Bekijk de resultaten ('3. Gezinshuis producten')")</f>
        <v>Stap 2 – Bekijk de resultaten ('3. Gezinshuis producten')</v>
      </c>
      <c r="C66" s="742"/>
      <c r="D66" s="742"/>
      <c r="E66" s="742"/>
      <c r="F66" s="301"/>
      <c r="G66" s="302"/>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row>
    <row r="67" spans="1:52" x14ac:dyDescent="0.45">
      <c r="A67" s="356"/>
      <c r="B67" s="289" t="s">
        <v>849</v>
      </c>
      <c r="C67" s="289"/>
      <c r="D67" s="289"/>
      <c r="E67" s="289"/>
      <c r="F67" s="567"/>
      <c r="G67" s="286"/>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45">
      <c r="A68" s="356"/>
      <c r="B68" s="289" t="s">
        <v>2072</v>
      </c>
      <c r="C68" s="289"/>
      <c r="D68" s="289"/>
      <c r="E68" s="289"/>
      <c r="F68" s="289"/>
      <c r="G68" s="286"/>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45">
      <c r="A69" s="356"/>
      <c r="B69" s="289" t="s">
        <v>2073</v>
      </c>
      <c r="C69" s="289"/>
      <c r="D69" s="289"/>
      <c r="E69" s="289"/>
      <c r="F69" s="289"/>
      <c r="G69" s="286"/>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45">
      <c r="A70" s="356"/>
      <c r="B70" s="289"/>
      <c r="C70" s="289"/>
      <c r="D70" s="289"/>
      <c r="E70" s="289"/>
      <c r="F70" s="289"/>
      <c r="G70" s="286"/>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s="285" customFormat="1" x14ac:dyDescent="0.45">
      <c r="A71" s="712"/>
      <c r="B71" s="742" t="str">
        <f>HYPERLINK("#'4. Toelichtingen'!B2", "Stap 3 – Licht de invoer en uitvoer toe ('4. Toelichtingen')")</f>
        <v>Stap 3 – Licht de invoer en uitvoer toe ('4. Toelichtingen')</v>
      </c>
      <c r="C71" s="742"/>
      <c r="D71" s="742"/>
      <c r="E71" s="742"/>
      <c r="F71" s="386"/>
      <c r="G71" s="302"/>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row>
    <row r="72" spans="1:52" x14ac:dyDescent="0.45">
      <c r="A72" s="356"/>
      <c r="B72" s="289" t="s">
        <v>2183</v>
      </c>
      <c r="C72" s="289"/>
      <c r="D72" s="289"/>
      <c r="E72" s="289"/>
      <c r="F72" s="289"/>
      <c r="G72" s="286"/>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45">
      <c r="A73" s="356"/>
      <c r="B73" s="289" t="s">
        <v>2184</v>
      </c>
      <c r="C73" s="289"/>
      <c r="D73" s="289"/>
      <c r="E73" s="289"/>
      <c r="F73" s="289"/>
      <c r="G73" s="286"/>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45">
      <c r="A74" s="356"/>
      <c r="B74" s="289"/>
      <c r="C74" s="289"/>
      <c r="D74" s="289"/>
      <c r="E74" s="289"/>
      <c r="F74" s="289"/>
      <c r="G74" s="286"/>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hidden="1" x14ac:dyDescent="0.45">
      <c r="A75" s="356"/>
      <c r="B75" s="565"/>
      <c r="C75" s="565"/>
      <c r="D75" s="565"/>
      <c r="E75" s="565"/>
      <c r="F75" s="565"/>
      <c r="G75" s="286"/>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ht="18" hidden="1" x14ac:dyDescent="0.55000000000000004">
      <c r="A76" s="356"/>
      <c r="B76" s="300" t="s">
        <v>952</v>
      </c>
      <c r="C76" s="289"/>
      <c r="D76" s="289"/>
      <c r="E76" s="289"/>
      <c r="F76" s="289"/>
      <c r="G76" s="286"/>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s="285" customFormat="1" hidden="1" x14ac:dyDescent="0.45">
      <c r="A77" s="712"/>
      <c r="B77" s="742" t="str">
        <f>HYPERLINK("#'4. Pleegzorg producten'!B2", "Stap 1 – Vul opgevraagde gegevens in ('4. Pleegzorg producten')")</f>
        <v>Stap 1 – Vul opgevraagde gegevens in ('4. Pleegzorg producten')</v>
      </c>
      <c r="C77" s="742"/>
      <c r="D77" s="742"/>
      <c r="E77" s="742"/>
      <c r="F77" s="386"/>
      <c r="G77" s="302"/>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row>
    <row r="78" spans="1:52" hidden="1" x14ac:dyDescent="0.45">
      <c r="A78" s="356"/>
      <c r="B78" s="289" t="s">
        <v>2076</v>
      </c>
      <c r="C78" s="289"/>
      <c r="D78" s="289"/>
      <c r="E78" s="289"/>
      <c r="F78" s="289"/>
      <c r="G78" s="286"/>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hidden="1" x14ac:dyDescent="0.45">
      <c r="A79" s="356"/>
      <c r="B79" s="289" t="s">
        <v>2077</v>
      </c>
      <c r="C79" s="289"/>
      <c r="D79" s="289"/>
      <c r="E79" s="289"/>
      <c r="F79" s="289"/>
      <c r="G79" s="286"/>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hidden="1" x14ac:dyDescent="0.45">
      <c r="A80" s="356"/>
      <c r="B80" s="295"/>
      <c r="C80" s="289"/>
      <c r="D80" s="289"/>
      <c r="E80" s="289"/>
      <c r="F80" s="289"/>
      <c r="G80" s="286"/>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s="285" customFormat="1" hidden="1" x14ac:dyDescent="0.45">
      <c r="A81" s="712"/>
      <c r="B81" s="742" t="str">
        <f>HYPERLINK("#'4. Pleegzorg producten'!B2", "Stap 2 – Bekijk de resultaten (‘4. Pleegzorg producten’)")</f>
        <v>Stap 2 – Bekijk de resultaten (‘4. Pleegzorg producten’)</v>
      </c>
      <c r="C81" s="742"/>
      <c r="D81" s="742"/>
      <c r="E81" s="742"/>
      <c r="F81" s="386"/>
      <c r="G81" s="302"/>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row>
    <row r="82" spans="1:52" hidden="1" x14ac:dyDescent="0.45">
      <c r="A82" s="356"/>
      <c r="B82" s="289" t="s">
        <v>849</v>
      </c>
      <c r="C82" s="298"/>
      <c r="D82" s="289"/>
      <c r="E82" s="289"/>
      <c r="F82" s="289"/>
      <c r="G82" s="286"/>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hidden="1" x14ac:dyDescent="0.45">
      <c r="A83" s="356"/>
      <c r="B83" s="289" t="s">
        <v>2078</v>
      </c>
      <c r="C83" s="289"/>
      <c r="D83" s="289"/>
      <c r="E83" s="289"/>
      <c r="F83" s="289"/>
      <c r="G83" s="286"/>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hidden="1" x14ac:dyDescent="0.45">
      <c r="A84" s="356"/>
      <c r="B84" s="289" t="s">
        <v>2079</v>
      </c>
      <c r="C84" s="289"/>
      <c r="D84" s="289"/>
      <c r="E84" s="289"/>
      <c r="F84" s="289"/>
      <c r="G84" s="286"/>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hidden="1" x14ac:dyDescent="0.45">
      <c r="A85" s="356"/>
      <c r="B85" s="298" t="s">
        <v>977</v>
      </c>
      <c r="C85" s="289"/>
      <c r="D85" s="289"/>
      <c r="E85" s="289"/>
      <c r="F85" s="289"/>
      <c r="G85" s="286"/>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hidden="1" x14ac:dyDescent="0.45">
      <c r="A86" s="356"/>
      <c r="B86" s="289"/>
      <c r="C86" s="289"/>
      <c r="D86" s="289"/>
      <c r="E86" s="289"/>
      <c r="F86" s="289"/>
      <c r="G86" s="286"/>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s="285" customFormat="1" hidden="1" x14ac:dyDescent="0.45">
      <c r="A87" s="712"/>
      <c r="B87" s="742" t="str">
        <f>HYPERLINK("#'5. Toelichtingen'!B2", "Stap 3 – Licht de invoer en uitvoer toe ('5. Toelichtingen')")</f>
        <v>Stap 3 – Licht de invoer en uitvoer toe ('5. Toelichtingen')</v>
      </c>
      <c r="C87" s="742"/>
      <c r="D87" s="742"/>
      <c r="E87" s="742"/>
      <c r="F87" s="386"/>
      <c r="G87" s="302"/>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row>
    <row r="88" spans="1:52" hidden="1" x14ac:dyDescent="0.45">
      <c r="A88" s="356"/>
      <c r="B88" s="289" t="s">
        <v>2074</v>
      </c>
      <c r="C88" s="289"/>
      <c r="D88" s="289"/>
      <c r="E88" s="289"/>
      <c r="F88" s="289"/>
      <c r="G88" s="286"/>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hidden="1" x14ac:dyDescent="0.45">
      <c r="A89" s="356"/>
      <c r="B89" s="289" t="s">
        <v>2075</v>
      </c>
      <c r="C89" s="289"/>
      <c r="D89" s="289"/>
      <c r="E89" s="289"/>
      <c r="F89" s="289"/>
      <c r="G89" s="286"/>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45">
      <c r="A90" s="356"/>
      <c r="B90" s="289"/>
      <c r="C90" s="289"/>
      <c r="D90" s="289"/>
      <c r="E90" s="289"/>
      <c r="F90" s="289"/>
      <c r="G90" s="286"/>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45">
      <c r="A91" s="289"/>
      <c r="B91" s="710" t="s">
        <v>2242</v>
      </c>
      <c r="C91" s="565"/>
      <c r="D91" s="565"/>
      <c r="E91" s="565"/>
      <c r="F91" s="565"/>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4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x14ac:dyDescent="0.45">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x14ac:dyDescent="0.45">
      <c r="A94" s="289"/>
      <c r="B94" s="289"/>
      <c r="C94" s="289"/>
      <c r="D94" s="289"/>
      <c r="E94" s="301"/>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x14ac:dyDescent="0.4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x14ac:dyDescent="0.45">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2" x14ac:dyDescent="0.45">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2" x14ac:dyDescent="0.45">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2" x14ac:dyDescent="0.45">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row>
    <row r="100" spans="1:52" x14ac:dyDescent="0.45">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row r="101" spans="1:52" x14ac:dyDescent="0.45">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row>
    <row r="102" spans="1:52" x14ac:dyDescent="0.4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row>
    <row r="103" spans="1:52" x14ac:dyDescent="0.4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row>
    <row r="104" spans="1:52" x14ac:dyDescent="0.4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row>
    <row r="105" spans="1:52" x14ac:dyDescent="0.4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row>
    <row r="106" spans="1:52" x14ac:dyDescent="0.4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row>
    <row r="107" spans="1:52" x14ac:dyDescent="0.4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row>
    <row r="108" spans="1:52" x14ac:dyDescent="0.4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row>
    <row r="109" spans="1:52" x14ac:dyDescent="0.4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row>
    <row r="110" spans="1:52" x14ac:dyDescent="0.4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row>
    <row r="111" spans="1:52" x14ac:dyDescent="0.4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row>
    <row r="112" spans="1:52" x14ac:dyDescent="0.4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row>
    <row r="113" spans="1:52" x14ac:dyDescent="0.4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row>
    <row r="114" spans="1:52" x14ac:dyDescent="0.4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row>
    <row r="115" spans="1:52" x14ac:dyDescent="0.4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row>
    <row r="116" spans="1:52" x14ac:dyDescent="0.4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row>
    <row r="117" spans="1:52" x14ac:dyDescent="0.4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row>
    <row r="118" spans="1:52" x14ac:dyDescent="0.4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row>
    <row r="119" spans="1:52" x14ac:dyDescent="0.4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row>
    <row r="120" spans="1:52" x14ac:dyDescent="0.4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row>
    <row r="121" spans="1:52" x14ac:dyDescent="0.4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row>
    <row r="122" spans="1:52" x14ac:dyDescent="0.4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row>
    <row r="123" spans="1:52" x14ac:dyDescent="0.4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row>
    <row r="124" spans="1:52" x14ac:dyDescent="0.4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row>
    <row r="125" spans="1:52" x14ac:dyDescent="0.4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row>
    <row r="126" spans="1:52" x14ac:dyDescent="0.4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row>
    <row r="127" spans="1:52" x14ac:dyDescent="0.4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row>
    <row r="128" spans="1:52" x14ac:dyDescent="0.4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row>
    <row r="129" spans="1:52" x14ac:dyDescent="0.4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row>
    <row r="130" spans="1:52" x14ac:dyDescent="0.4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row>
    <row r="131" spans="1:52" x14ac:dyDescent="0.4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row>
    <row r="132" spans="1:52" x14ac:dyDescent="0.4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row>
    <row r="133" spans="1:52" x14ac:dyDescent="0.4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row>
    <row r="134" spans="1:52" x14ac:dyDescent="0.4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row>
    <row r="135" spans="1:52" x14ac:dyDescent="0.4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row>
    <row r="136" spans="1:52" x14ac:dyDescent="0.4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row>
    <row r="137" spans="1:52" x14ac:dyDescent="0.4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row>
    <row r="138" spans="1:52" x14ac:dyDescent="0.4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row>
    <row r="139" spans="1:52" x14ac:dyDescent="0.4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row>
    <row r="140" spans="1:52" x14ac:dyDescent="0.4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row>
    <row r="141" spans="1:52" x14ac:dyDescent="0.4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row>
    <row r="142" spans="1:52" x14ac:dyDescent="0.4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row>
    <row r="143" spans="1:52" x14ac:dyDescent="0.4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c r="AH143" s="289"/>
      <c r="AI143" s="289"/>
      <c r="AJ143" s="289"/>
      <c r="AK143" s="289"/>
      <c r="AL143" s="289"/>
      <c r="AM143" s="289"/>
      <c r="AN143" s="289"/>
      <c r="AO143" s="289"/>
      <c r="AP143" s="289"/>
      <c r="AQ143" s="289"/>
      <c r="AR143" s="289"/>
      <c r="AS143" s="289"/>
      <c r="AT143" s="289"/>
      <c r="AU143" s="289"/>
      <c r="AV143" s="289"/>
      <c r="AW143" s="289"/>
      <c r="AX143" s="289"/>
      <c r="AY143" s="289"/>
      <c r="AZ143" s="289"/>
    </row>
    <row r="144" spans="1:52" x14ac:dyDescent="0.4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row>
    <row r="145" spans="1:52" x14ac:dyDescent="0.4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row>
    <row r="146" spans="1:52" x14ac:dyDescent="0.4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row>
    <row r="147" spans="1:52" x14ac:dyDescent="0.4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row>
    <row r="148" spans="1:52" x14ac:dyDescent="0.4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row>
    <row r="149" spans="1:52" x14ac:dyDescent="0.4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row>
    <row r="150" spans="1:52" x14ac:dyDescent="0.4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row>
    <row r="151" spans="1:52" x14ac:dyDescent="0.45">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row>
    <row r="152" spans="1:52" x14ac:dyDescent="0.45">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row>
    <row r="153" spans="1:52" x14ac:dyDescent="0.45">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row>
    <row r="154" spans="1:52" x14ac:dyDescent="0.45">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row>
    <row r="155" spans="1:52" x14ac:dyDescent="0.4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row>
    <row r="156" spans="1:52" x14ac:dyDescent="0.45">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row>
    <row r="157" spans="1:52" x14ac:dyDescent="0.45">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row>
    <row r="158" spans="1:52" x14ac:dyDescent="0.45">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row>
    <row r="159" spans="1:52" x14ac:dyDescent="0.45">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row>
    <row r="160" spans="1:52" x14ac:dyDescent="0.45">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row>
    <row r="161" spans="1:52" x14ac:dyDescent="0.45">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row>
    <row r="162" spans="1:52" x14ac:dyDescent="0.45">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row>
    <row r="163" spans="1:52" x14ac:dyDescent="0.45">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row>
    <row r="164" spans="1:52" x14ac:dyDescent="0.45">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row>
    <row r="165" spans="1:52" x14ac:dyDescent="0.4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row>
    <row r="166" spans="1:52" x14ac:dyDescent="0.45">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row>
    <row r="167" spans="1:52" x14ac:dyDescent="0.45">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row>
    <row r="168" spans="1:52" x14ac:dyDescent="0.45">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row>
    <row r="169" spans="1:52" x14ac:dyDescent="0.45">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row>
    <row r="170" spans="1:52" x14ac:dyDescent="0.45">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row>
    <row r="171" spans="1:52" x14ac:dyDescent="0.45">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c r="AQ171" s="289"/>
      <c r="AR171" s="289"/>
      <c r="AS171" s="289"/>
      <c r="AT171" s="289"/>
      <c r="AU171" s="289"/>
      <c r="AV171" s="289"/>
      <c r="AW171" s="289"/>
      <c r="AX171" s="289"/>
      <c r="AY171" s="289"/>
      <c r="AZ171" s="289"/>
    </row>
    <row r="172" spans="1:52" x14ac:dyDescent="0.45">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row>
    <row r="173" spans="1:52" x14ac:dyDescent="0.45">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row>
    <row r="174" spans="1:52" x14ac:dyDescent="0.45">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row>
    <row r="175" spans="1:52" x14ac:dyDescent="0.4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row>
    <row r="176" spans="1:52" x14ac:dyDescent="0.45">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row>
    <row r="177" spans="1:52" x14ac:dyDescent="0.45">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row>
    <row r="178" spans="1:52" x14ac:dyDescent="0.45">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row>
    <row r="179" spans="1:52" x14ac:dyDescent="0.45">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row>
    <row r="180" spans="1:52" x14ac:dyDescent="0.45">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row>
    <row r="181" spans="1:52" x14ac:dyDescent="0.45">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row>
    <row r="182" spans="1:52" x14ac:dyDescent="0.45">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row>
    <row r="183" spans="1:52" x14ac:dyDescent="0.45">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row>
    <row r="184" spans="1:52" x14ac:dyDescent="0.45">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row>
    <row r="185" spans="1:52" x14ac:dyDescent="0.4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89"/>
      <c r="AF185" s="289"/>
      <c r="AG185" s="289"/>
      <c r="AH185" s="289"/>
      <c r="AI185" s="289"/>
      <c r="AJ185" s="289"/>
      <c r="AK185" s="289"/>
      <c r="AL185" s="289"/>
      <c r="AM185" s="289"/>
      <c r="AN185" s="289"/>
      <c r="AO185" s="289"/>
      <c r="AP185" s="289"/>
      <c r="AQ185" s="289"/>
      <c r="AR185" s="289"/>
      <c r="AS185" s="289"/>
      <c r="AT185" s="289"/>
      <c r="AU185" s="289"/>
      <c r="AV185" s="289"/>
      <c r="AW185" s="289"/>
      <c r="AX185" s="289"/>
      <c r="AY185" s="289"/>
      <c r="AZ185" s="289"/>
    </row>
    <row r="186" spans="1:52" x14ac:dyDescent="0.45">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row>
    <row r="187" spans="1:52" x14ac:dyDescent="0.45">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row>
    <row r="188" spans="1:52" x14ac:dyDescent="0.45">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row>
    <row r="189" spans="1:52" x14ac:dyDescent="0.45">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row>
    <row r="190" spans="1:52" x14ac:dyDescent="0.45">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row>
    <row r="191" spans="1:52" x14ac:dyDescent="0.45">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row>
    <row r="192" spans="1:52" x14ac:dyDescent="0.45">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row>
    <row r="193" spans="1:52" x14ac:dyDescent="0.45">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row>
    <row r="194" spans="1:52" x14ac:dyDescent="0.45">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row>
    <row r="195" spans="1:52" x14ac:dyDescent="0.4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row>
    <row r="196" spans="1:52" x14ac:dyDescent="0.45">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row>
    <row r="197" spans="1:52" x14ac:dyDescent="0.45">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row>
    <row r="198" spans="1:52" x14ac:dyDescent="0.45">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row>
    <row r="199" spans="1:52" x14ac:dyDescent="0.45">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row>
    <row r="200" spans="1:52" x14ac:dyDescent="0.45">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row>
  </sheetData>
  <sheetProtection algorithmName="SHA-512" hashValue="aa0YXmXQo0skNfgw3LnLk26TCO/vUW2g9fUPu6NjRq+znnhmjmmSYbn50VsqNCPSpMmvIo3zV0T8PTfeboOBMA==" saltValue="ZmCMQVEIr4CWEb5qjc/OkQ==" spinCount="100000" sheet="1" objects="1" scenarios="1"/>
  <mergeCells count="13">
    <mergeCell ref="B3:F3"/>
    <mergeCell ref="B25:F25"/>
    <mergeCell ref="B29:E29"/>
    <mergeCell ref="B37:E37"/>
    <mergeCell ref="B40:E40"/>
    <mergeCell ref="B77:E77"/>
    <mergeCell ref="B81:E81"/>
    <mergeCell ref="B87:E87"/>
    <mergeCell ref="B48:E48"/>
    <mergeCell ref="B55:E55"/>
    <mergeCell ref="B61:E61"/>
    <mergeCell ref="B66:E66"/>
    <mergeCell ref="B71:E71"/>
  </mergeCells>
  <conditionalFormatting sqref="D20">
    <cfRule type="expression" dxfId="3620" priority="1165">
      <formula>$B20=""</formula>
    </cfRule>
  </conditionalFormatting>
  <conditionalFormatting sqref="D22">
    <cfRule type="expression" dxfId="3619" priority="1">
      <formula>A21=""</formula>
    </cfRule>
  </conditionalFormatting>
  <pageMargins left="0.7" right="0.7" top="0.75" bottom="0.75" header="0.3" footer="0.3"/>
  <pageSetup paperSize="9" orientation="portrait" r:id="rId1"/>
  <ignoredErrors>
    <ignoredError sqref="B7:B13" numberStoredAsText="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2:O61"/>
  <sheetViews>
    <sheetView zoomScale="55" zoomScaleNormal="55" workbookViewId="0">
      <selection activeCell="C14" sqref="C14"/>
    </sheetView>
  </sheetViews>
  <sheetFormatPr defaultColWidth="8.796875" defaultRowHeight="14.25" x14ac:dyDescent="0.45"/>
  <cols>
    <col min="1" max="1" width="30.33203125" style="59" customWidth="1"/>
    <col min="2" max="2" width="4.53125" customWidth="1"/>
    <col min="3" max="3" width="40.796875" customWidth="1"/>
    <col min="4" max="4" width="13.9296875" customWidth="1"/>
    <col min="5" max="5" width="13.06640625" customWidth="1"/>
    <col min="6" max="6" width="17.796875" customWidth="1"/>
    <col min="7" max="7" width="19.9296875" customWidth="1"/>
    <col min="8" max="8" width="19.19921875" customWidth="1"/>
    <col min="9" max="9" width="19.53125" customWidth="1"/>
    <col min="10" max="10" width="18.9296875" customWidth="1"/>
    <col min="11" max="11" width="17.796875" customWidth="1"/>
    <col min="12" max="12" width="17.19921875" customWidth="1"/>
    <col min="13" max="13" width="20" customWidth="1"/>
    <col min="14" max="14" width="13.9296875" customWidth="1"/>
    <col min="15" max="15" width="13.53125" customWidth="1"/>
    <col min="17" max="17" width="18.796875" customWidth="1"/>
    <col min="18" max="18" width="10.9296875" customWidth="1"/>
    <col min="19" max="19" width="12.9296875" customWidth="1"/>
  </cols>
  <sheetData>
    <row r="2" spans="2:15" ht="18" x14ac:dyDescent="0.55000000000000004">
      <c r="C2" s="46" t="s">
        <v>14</v>
      </c>
      <c r="F2" s="46" t="s">
        <v>759</v>
      </c>
    </row>
    <row r="3" spans="2:15" ht="14.65" thickBot="1" x14ac:dyDescent="0.5"/>
    <row r="4" spans="2:15" x14ac:dyDescent="0.45">
      <c r="C4" s="22" t="s">
        <v>11</v>
      </c>
      <c r="D4" s="73" t="s">
        <v>0</v>
      </c>
      <c r="F4" s="1" t="s">
        <v>23</v>
      </c>
      <c r="G4" s="55" t="s">
        <v>763</v>
      </c>
    </row>
    <row r="5" spans="2:15" x14ac:dyDescent="0.45">
      <c r="C5" s="23" t="s">
        <v>12</v>
      </c>
      <c r="D5" s="13" t="s">
        <v>704</v>
      </c>
      <c r="F5" s="2" t="s">
        <v>760</v>
      </c>
      <c r="G5" s="56" t="s">
        <v>765</v>
      </c>
    </row>
    <row r="6" spans="2:15" x14ac:dyDescent="0.45">
      <c r="C6" s="23" t="s">
        <v>13</v>
      </c>
      <c r="D6" s="85">
        <f>Initialisatie!C5</f>
        <v>2026</v>
      </c>
      <c r="F6" s="2" t="s">
        <v>761</v>
      </c>
      <c r="G6" s="87" t="s">
        <v>764</v>
      </c>
    </row>
    <row r="7" spans="2:15" ht="14.65" thickBot="1" x14ac:dyDescent="0.5">
      <c r="C7" s="17" t="s">
        <v>751</v>
      </c>
      <c r="D7" s="71"/>
      <c r="F7" s="3" t="s">
        <v>762</v>
      </c>
      <c r="G7" s="57" t="s">
        <v>766</v>
      </c>
    </row>
    <row r="8" spans="2:15" x14ac:dyDescent="0.45">
      <c r="C8" s="34" t="s">
        <v>75</v>
      </c>
      <c r="D8" s="70">
        <v>20</v>
      </c>
    </row>
    <row r="9" spans="2:15" ht="14.65" thickBot="1" x14ac:dyDescent="0.5">
      <c r="C9" s="69" t="s">
        <v>74</v>
      </c>
      <c r="D9" s="72">
        <v>5</v>
      </c>
    </row>
    <row r="11" spans="2:15" ht="18" x14ac:dyDescent="0.55000000000000004">
      <c r="C11" s="46" t="s">
        <v>748</v>
      </c>
    </row>
    <row r="12" spans="2:15" x14ac:dyDescent="0.45">
      <c r="C12" s="5"/>
    </row>
    <row r="13" spans="2:15" ht="14.65" thickBot="1" x14ac:dyDescent="0.5">
      <c r="B13" s="59" t="s">
        <v>744</v>
      </c>
      <c r="C13" s="5" t="s">
        <v>23</v>
      </c>
      <c r="D13" s="25" t="s">
        <v>24</v>
      </c>
      <c r="E13" s="25" t="s">
        <v>725</v>
      </c>
    </row>
    <row r="14" spans="2:15" x14ac:dyDescent="0.45">
      <c r="B14" s="25"/>
      <c r="C14" s="76" t="str">
        <f>IF(Initialisatie!B10="","",Initialisatie!B10)</f>
        <v>Vul product in</v>
      </c>
      <c r="D14" s="77" t="str">
        <f>IF(Initialisatie!D10="","",Initialisatie!D10)</f>
        <v>Nee</v>
      </c>
      <c r="E14" s="78" t="str">
        <f>IF(Initialisatie!C10="","",Initialisatie!C10)</f>
        <v/>
      </c>
      <c r="M14" s="41" t="str">
        <f>IFERROR(
    IF(
        INDEX(Initialisatie!B$10:B$21,
            SMALL(
                IF('Hulp (control forms)'!$G$13:$G$24=TRUE,
                    ROW(Initialisatie!B$10:B$21)-ROW(Initialisatie!B$10)+1),
                ROW(B1)
            )
        )="",
        "",
        INDEX(Initialisatie!B$10:B$21,
            SMALL(
                IF('Hulp (control forms)'!$G$13:$G$24=TRUE,
                    ROW(Initialisatie!B$10:B$21)-ROW(Initialisatie!B$10)+1),
                ROW(B1)
            )
        )
    ),
"")</f>
        <v/>
      </c>
      <c r="N14" s="41" t="str">
        <f t="array" ref="N14">IFERROR(
    IF(
        INDEX(Initialisatie!D$10:D$21,
            SMALL(
                IF('Hulp (control forms)'!$G$13:$G$24=TRUE,
                    ROW(Initialisatie!D$10:D$21)-ROW(Initialisatie!D$10)+1),
                ROW(C1)
            )
        )="",
        "",
        INDEX(Initialisatie!D$10:D$21,
            SMALL(
                IF('Hulp (control forms)'!$G$13:$G$24=TRUE,
                    ROW(Initialisatie!D$10:D$21)-ROW(Initialisatie!D$10)+1),
                ROW(C1)
            )
        )
    ),
"")</f>
        <v/>
      </c>
      <c r="O14" s="41" t="str">
        <f t="array" ref="O14">IFERROR(
    IF(
        INDEX(Initialisatie!C$10:C$21,
            SMALL(
                IF('Hulp (control forms)'!$G$13:$G$24=TRUE,
                    ROW(Initialisatie!C$10:C$21)-ROW(Initialisatie!C$10)+1),
                ROW(D1)
            )
        )="",
        "",
        INDEX(Initialisatie!C$10:C$21,
            SMALL(
                IF('Hulp (control forms)'!$G$13:$G$24=TRUE,
                    ROW(Initialisatie!C$10:C$21)-ROW(Initialisatie!C$10)+1),
                ROW(D1)
            )
        )
    ),
"")</f>
        <v/>
      </c>
    </row>
    <row r="15" spans="2:15" x14ac:dyDescent="0.45">
      <c r="C15" s="79" t="str">
        <f>IF(Initialisatie!B11="","",Initialisatie!B11)</f>
        <v/>
      </c>
      <c r="D15" s="80" t="str">
        <f>IF(Initialisatie!D11="","",Initialisatie!D11)</f>
        <v>Nee</v>
      </c>
      <c r="E15" s="81" t="str">
        <f>IF(Initialisatie!C11="","",Initialisatie!C11)</f>
        <v/>
      </c>
      <c r="M15" s="21" t="str">
        <f t="array" ref="M15">IFERROR(
    IF(
        INDEX(Initialisatie!B$10:B$21,
            SMALL(
                IF('Hulp (control forms)'!$G$13:$G$24=TRUE,
                    ROW(Initialisatie!B$10:B$21)-ROW(Initialisatie!B$10)+1),
                ROW(B2)
            )
        )="",
        "",
        INDEX(Initialisatie!B$10:B$21,
            SMALL(
                IF('Hulp (control forms)'!$G$13:$G$24=TRUE,
                    ROW(Initialisatie!B$10:B$21)-ROW(Initialisatie!B$10)+1),
                ROW(B2)
            )
        )
    ),
"")</f>
        <v/>
      </c>
      <c r="N15" s="21" t="str">
        <f t="array" ref="N15">IFERROR(
    IF(
        INDEX(Initialisatie!D$10:D$21,
            SMALL(
                IF('Hulp (control forms)'!$G$13:$G$24=TRUE,
                    ROW(Initialisatie!D$10:D$21)-ROW(Initialisatie!D$10)+1),
                ROW(C2)
            )
        )="",
        "",
        INDEX(Initialisatie!D$10:D$21,
            SMALL(
                IF('Hulp (control forms)'!$G$13:$G$24=TRUE,
                    ROW(Initialisatie!D$10:D$21)-ROW(Initialisatie!D$10)+1),
                ROW(C2)
            )
        )
    ),
"")</f>
        <v/>
      </c>
      <c r="O15" s="21" t="str">
        <f t="array" ref="O15">IFERROR(
    IF(
        INDEX(Initialisatie!C$10:C$21,
            SMALL(
                IF('Hulp (control forms)'!$G$13:$G$24=TRUE,
                    ROW(Initialisatie!C$10:C$21)-ROW(Initialisatie!C$10)+1),
                ROW(D2)
            )
        )="",
        "",
        INDEX(Initialisatie!C$10:C$21,
            SMALL(
                IF('Hulp (control forms)'!$G$13:$G$24=TRUE,
                    ROW(Initialisatie!C$10:C$21)-ROW(Initialisatie!C$10)+1),
                ROW(D2)
            )
        )
    ),
"")</f>
        <v/>
      </c>
    </row>
    <row r="16" spans="2:15" x14ac:dyDescent="0.45">
      <c r="C16" s="79" t="str">
        <f>IF(Initialisatie!B12="","",Initialisatie!B12)</f>
        <v/>
      </c>
      <c r="D16" s="80" t="str">
        <f>IF(Initialisatie!D12="","",Initialisatie!D12)</f>
        <v>Nee</v>
      </c>
      <c r="E16" s="81" t="str">
        <f>IF(Initialisatie!C12="","",Initialisatie!C12)</f>
        <v/>
      </c>
      <c r="M16" s="21" t="str">
        <f t="array" ref="M16">IFERROR(
    IF(
        INDEX(Initialisatie!B$10:B$21,
            SMALL(
                IF('Hulp (control forms)'!$G$13:$G$24=TRUE,
                    ROW(Initialisatie!B$10:B$21)-ROW(Initialisatie!B$10)+1),
                ROW(B3)
            )
        )="",
        "",
        INDEX(Initialisatie!B$10:B$21,
            SMALL(
                IF('Hulp (control forms)'!$G$13:$G$24=TRUE,
                    ROW(Initialisatie!B$10:B$21)-ROW(Initialisatie!B$10)+1),
                ROW(B3)
            )
        )
    ),
"")</f>
        <v/>
      </c>
      <c r="N16" s="21" t="str">
        <f t="array" ref="N16">IFERROR(
    IF(
        INDEX(Initialisatie!D$10:D$21,
            SMALL(
                IF('Hulp (control forms)'!$G$13:$G$24=TRUE,
                    ROW(Initialisatie!D$10:D$21)-ROW(Initialisatie!D$10)+1),
                ROW(C3)
            )
        )="",
        "",
        INDEX(Initialisatie!D$10:D$21,
            SMALL(
                IF('Hulp (control forms)'!$G$13:$G$24=TRUE,
                    ROW(Initialisatie!D$10:D$21)-ROW(Initialisatie!D$10)+1),
                ROW(C3)
            )
        )
    ),
"")</f>
        <v/>
      </c>
      <c r="O16" s="21" t="str">
        <f t="array" ref="O16">IFERROR(
    IF(
        INDEX(Initialisatie!C$10:C$21,
            SMALL(
                IF('Hulp (control forms)'!$G$13:$G$24=TRUE,
                    ROW(Initialisatie!C$10:C$21)-ROW(Initialisatie!C$10)+1),
                ROW(D3)
            )
        )="",
        "",
        INDEX(Initialisatie!C$10:C$21,
            SMALL(
                IF('Hulp (control forms)'!$G$13:$G$24=TRUE,
                    ROW(Initialisatie!C$10:C$21)-ROW(Initialisatie!C$10)+1),
                ROW(D3)
            )
        )
    ),
"")</f>
        <v/>
      </c>
    </row>
    <row r="17" spans="1:15" x14ac:dyDescent="0.45">
      <c r="C17" s="79" t="str">
        <f>IF(Initialisatie!B13="","",Initialisatie!B13)</f>
        <v/>
      </c>
      <c r="D17" s="80" t="str">
        <f>IF(Initialisatie!D13="","",Initialisatie!D13)</f>
        <v/>
      </c>
      <c r="E17" s="81" t="str">
        <f>IF(Initialisatie!C13="","",Initialisatie!C13)</f>
        <v/>
      </c>
      <c r="M17" s="21" t="str">
        <f t="array" ref="M17">IFERROR(
    IF(
        INDEX(Initialisatie!B$10:B$21,
            SMALL(
                IF('Hulp (control forms)'!$G$13:$G$24=TRUE,
                    ROW(Initialisatie!B$10:B$21)-ROW(Initialisatie!B$10)+1),
                ROW(B4)
            )
        )="",
        "",
        INDEX(Initialisatie!B$10:B$21,
            SMALL(
                IF('Hulp (control forms)'!$G$13:$G$24=TRUE,
                    ROW(Initialisatie!B$10:B$21)-ROW(Initialisatie!B$10)+1),
                ROW(B4)
            )
        )
    ),
"")</f>
        <v/>
      </c>
      <c r="N17" s="21" t="str">
        <f t="array" ref="N17">IFERROR(
    IF(
        INDEX(Initialisatie!D$10:D$21,
            SMALL(
                IF('Hulp (control forms)'!$G$13:$G$24=TRUE,
                    ROW(Initialisatie!D$10:D$21)-ROW(Initialisatie!D$10)+1),
                ROW(C4)
            )
        )="",
        "",
        INDEX(Initialisatie!D$10:D$21,
            SMALL(
                IF('Hulp (control forms)'!$G$13:$G$24=TRUE,
                    ROW(Initialisatie!D$10:D$21)-ROW(Initialisatie!D$10)+1),
                ROW(C4)
            )
        )
    ),
"")</f>
        <v/>
      </c>
      <c r="O17" s="21" t="str">
        <f t="array" ref="O17">IFERROR(
    IF(
        INDEX(Initialisatie!C$10:C$21,
            SMALL(
                IF('Hulp (control forms)'!$G$13:$G$24=TRUE,
                    ROW(Initialisatie!C$10:C$21)-ROW(Initialisatie!C$10)+1),
                ROW(D4)
            )
        )="",
        "",
        INDEX(Initialisatie!C$10:C$21,
            SMALL(
                IF('Hulp (control forms)'!$G$13:$G$24=TRUE,
                    ROW(Initialisatie!C$10:C$21)-ROW(Initialisatie!C$10)+1),
                ROW(D4)
            )
        )
    ),
"")</f>
        <v/>
      </c>
    </row>
    <row r="18" spans="1:15" x14ac:dyDescent="0.45">
      <c r="C18" s="79" t="str">
        <f>IF(Initialisatie!B14="","",Initialisatie!B14)</f>
        <v/>
      </c>
      <c r="D18" s="80" t="str">
        <f>IF(Initialisatie!D14="","",Initialisatie!D14)</f>
        <v/>
      </c>
      <c r="E18" s="81" t="str">
        <f>IF(Initialisatie!C14="","",Initialisatie!C14)</f>
        <v/>
      </c>
      <c r="M18" s="21" t="str">
        <f t="array" ref="M18">IFERROR(
    IF(
        INDEX(Initialisatie!B$10:B$21,
            SMALL(
                IF('Hulp (control forms)'!$G$13:$G$24=TRUE,
                    ROW(Initialisatie!B$10:B$21)-ROW(Initialisatie!B$10)+1),
                ROW(B5)
            )
        )="",
        "",
        INDEX(Initialisatie!B$10:B$21,
            SMALL(
                IF('Hulp (control forms)'!$G$13:$G$24=TRUE,
                    ROW(Initialisatie!B$10:B$21)-ROW(Initialisatie!B$10)+1),
                ROW(B5)
            )
        )
    ),
"")</f>
        <v/>
      </c>
      <c r="N18" s="21" t="str">
        <f t="array" ref="N18">IFERROR(
    IF(
        INDEX(Initialisatie!D$10:D$21,
            SMALL(
                IF('Hulp (control forms)'!$G$13:$G$24=TRUE,
                    ROW(Initialisatie!D$10:D$21)-ROW(Initialisatie!D$10)+1),
                ROW(C5)
            )
        )="",
        "",
        INDEX(Initialisatie!D$10:D$21,
            SMALL(
                IF('Hulp (control forms)'!$G$13:$G$24=TRUE,
                    ROW(Initialisatie!D$10:D$21)-ROW(Initialisatie!D$10)+1),
                ROW(C5)
            )
        )
    ),
"")</f>
        <v/>
      </c>
      <c r="O18" s="21" t="str">
        <f t="array" ref="O18">IFERROR(
    IF(
        INDEX(Initialisatie!C$10:C$21,
            SMALL(
                IF('Hulp (control forms)'!$G$13:$G$24=TRUE,
                    ROW(Initialisatie!C$10:C$21)-ROW(Initialisatie!C$10)+1),
                ROW(D5)
            )
        )="",
        "",
        INDEX(Initialisatie!C$10:C$21,
            SMALL(
                IF('Hulp (control forms)'!$G$13:$G$24=TRUE,
                    ROW(Initialisatie!C$10:C$21)-ROW(Initialisatie!C$10)+1),
                ROW(D5)
            )
        )
    ),
"")</f>
        <v/>
      </c>
    </row>
    <row r="19" spans="1:15" x14ac:dyDescent="0.45">
      <c r="C19" s="79" t="str">
        <f>IF(Initialisatie!B15="","",Initialisatie!B15)</f>
        <v/>
      </c>
      <c r="D19" s="80" t="str">
        <f>IF(Initialisatie!D15="","",Initialisatie!D15)</f>
        <v/>
      </c>
      <c r="E19" s="81" t="str">
        <f>IF(Initialisatie!C15="","",Initialisatie!C15)</f>
        <v/>
      </c>
      <c r="M19" s="21" t="str">
        <f t="array" ref="M19">IFERROR(
    IF(
        INDEX(Initialisatie!B$10:B$21,
            SMALL(
                IF('Hulp (control forms)'!$G$13:$G$24=TRUE,
                    ROW(Initialisatie!B$10:B$21)-ROW(Initialisatie!B$10)+1),
                ROW(B6)
            )
        )="",
        "",
        INDEX(Initialisatie!B$10:B$21,
            SMALL(
                IF('Hulp (control forms)'!$G$13:$G$24=TRUE,
                    ROW(Initialisatie!B$10:B$21)-ROW(Initialisatie!B$10)+1),
                ROW(B6)
            )
        )
    ),
"")</f>
        <v/>
      </c>
      <c r="N19" s="21" t="str">
        <f t="array" ref="N19">IFERROR(
    IF(
        INDEX(Initialisatie!D$10:D$21,
            SMALL(
                IF('Hulp (control forms)'!$G$13:$G$24=TRUE,
                    ROW(Initialisatie!D$10:D$21)-ROW(Initialisatie!D$10)+1),
                ROW(C6)
            )
        )="",
        "",
        INDEX(Initialisatie!D$10:D$21,
            SMALL(
                IF('Hulp (control forms)'!$G$13:$G$24=TRUE,
                    ROW(Initialisatie!D$10:D$21)-ROW(Initialisatie!D$10)+1),
                ROW(C6)
            )
        )
    ),
"")</f>
        <v/>
      </c>
      <c r="O19" s="21" t="str">
        <f t="array" ref="O19">IFERROR(
    IF(
        INDEX(Initialisatie!C$10:C$21,
            SMALL(
                IF('Hulp (control forms)'!$G$13:$G$24=TRUE,
                    ROW(Initialisatie!C$10:C$21)-ROW(Initialisatie!C$10)+1),
                ROW(D6)
            )
        )="",
        "",
        INDEX(Initialisatie!C$10:C$21,
            SMALL(
                IF('Hulp (control forms)'!$G$13:$G$24=TRUE,
                    ROW(Initialisatie!C$10:C$21)-ROW(Initialisatie!C$10)+1),
                ROW(D6)
            )
        )
    ),
"")</f>
        <v/>
      </c>
    </row>
    <row r="20" spans="1:15" x14ac:dyDescent="0.45">
      <c r="C20" s="79" t="str">
        <f>IF(Initialisatie!B16="","",Initialisatie!B16)</f>
        <v/>
      </c>
      <c r="D20" s="80" t="str">
        <f>IF(Initialisatie!D16="","",Initialisatie!D16)</f>
        <v/>
      </c>
      <c r="E20" s="81" t="str">
        <f>IF(Initialisatie!C16="","",Initialisatie!C16)</f>
        <v/>
      </c>
      <c r="M20" s="21" t="str">
        <f t="array" ref="M20">IFERROR(
    IF(
        INDEX(Initialisatie!B$10:B$21,
            SMALL(
                IF('Hulp (control forms)'!$G$13:$G$24=TRUE,
                    ROW(Initialisatie!B$10:B$21)-ROW(Initialisatie!B$10)+1),
                ROW(B7)
            )
        )="",
        "",
        INDEX(Initialisatie!B$10:B$21,
            SMALL(
                IF('Hulp (control forms)'!$G$13:$G$24=TRUE,
                    ROW(Initialisatie!B$10:B$21)-ROW(Initialisatie!B$10)+1),
                ROW(B7)
            )
        )
    ),
"")</f>
        <v/>
      </c>
      <c r="N20" s="21" t="str">
        <f t="array" ref="N20">IFERROR(
    IF(
        INDEX(Initialisatie!D$10:D$21,
            SMALL(
                IF('Hulp (control forms)'!$G$13:$G$24=TRUE,
                    ROW(Initialisatie!D$10:D$21)-ROW(Initialisatie!D$10)+1),
                ROW(C7)
            )
        )="",
        "",
        INDEX(Initialisatie!D$10:D$21,
            SMALL(
                IF('Hulp (control forms)'!$G$13:$G$24=TRUE,
                    ROW(Initialisatie!D$10:D$21)-ROW(Initialisatie!D$10)+1),
                ROW(C7)
            )
        )
    ),
"")</f>
        <v/>
      </c>
      <c r="O20" s="21" t="str">
        <f t="array" ref="O20">IFERROR(
    IF(
        INDEX(Initialisatie!C$10:C$21,
            SMALL(
                IF('Hulp (control forms)'!$G$13:$G$24=TRUE,
                    ROW(Initialisatie!C$10:C$21)-ROW(Initialisatie!C$10)+1),
                ROW(D7)
            )
        )="",
        "",
        INDEX(Initialisatie!C$10:C$21,
            SMALL(
                IF('Hulp (control forms)'!$G$13:$G$24=TRUE,
                    ROW(Initialisatie!C$10:C$21)-ROW(Initialisatie!C$10)+1),
                ROW(D7)
            )
        )
    ),
"")</f>
        <v/>
      </c>
    </row>
    <row r="21" spans="1:15" x14ac:dyDescent="0.45">
      <c r="C21" s="79" t="str">
        <f>IF(Initialisatie!B17="","",Initialisatie!B17)</f>
        <v/>
      </c>
      <c r="D21" s="80" t="str">
        <f>IF(Initialisatie!D17="","",Initialisatie!D17)</f>
        <v/>
      </c>
      <c r="E21" s="81" t="str">
        <f>IF(Initialisatie!C17="","",Initialisatie!C17)</f>
        <v/>
      </c>
      <c r="M21" s="21" t="str">
        <f t="array" ref="M21">IFERROR(
    IF(
        INDEX(Initialisatie!B$10:B$21,
            SMALL(
                IF('Hulp (control forms)'!$G$13:$G$24=TRUE,
                    ROW(Initialisatie!B$10:B$21)-ROW(Initialisatie!B$10)+1),
                ROW(B8)
            )
        )="",
        "",
        INDEX(Initialisatie!B$10:B$21,
            SMALL(
                IF('Hulp (control forms)'!$G$13:$G$24=TRUE,
                    ROW(Initialisatie!B$10:B$21)-ROW(Initialisatie!B$10)+1),
                ROW(B8)
            )
        )
    ),
"")</f>
        <v/>
      </c>
      <c r="N21" s="21" t="str">
        <f t="array" ref="N21">IFERROR(
    IF(
        INDEX(Initialisatie!D$10:D$21,
            SMALL(
                IF('Hulp (control forms)'!$G$13:$G$24=TRUE,
                    ROW(Initialisatie!D$10:D$21)-ROW(Initialisatie!D$10)+1),
                ROW(C8)
            )
        )="",
        "",
        INDEX(Initialisatie!D$10:D$21,
            SMALL(
                IF('Hulp (control forms)'!$G$13:$G$24=TRUE,
                    ROW(Initialisatie!D$10:D$21)-ROW(Initialisatie!D$10)+1),
                ROW(C8)
            )
        )
    ),
"")</f>
        <v/>
      </c>
      <c r="O21" s="21" t="str">
        <f t="array" ref="O21">IFERROR(
    IF(
        INDEX(Initialisatie!C$10:C$21,
            SMALL(
                IF('Hulp (control forms)'!$G$13:$G$24=TRUE,
                    ROW(Initialisatie!C$10:C$21)-ROW(Initialisatie!C$10)+1),
                ROW(D8)
            )
        )="",
        "",
        INDEX(Initialisatie!C$10:C$21,
            SMALL(
                IF('Hulp (control forms)'!$G$13:$G$24=TRUE,
                    ROW(Initialisatie!C$10:C$21)-ROW(Initialisatie!C$10)+1),
                ROW(D8)
            )
        )
    ),
"")</f>
        <v/>
      </c>
    </row>
    <row r="22" spans="1:15" x14ac:dyDescent="0.45">
      <c r="C22" s="79" t="str">
        <f>IF(Initialisatie!B18="","",Initialisatie!B18)</f>
        <v/>
      </c>
      <c r="D22" s="80" t="str">
        <f>IF(Initialisatie!D18="","",Initialisatie!D18)</f>
        <v/>
      </c>
      <c r="E22" s="81" t="str">
        <f>IF(Initialisatie!C18="","",Initialisatie!C18)</f>
        <v/>
      </c>
      <c r="M22" s="21" t="str">
        <f t="array" ref="M22">IFERROR(
    IF(
        INDEX(Initialisatie!B$10:B$21,
            SMALL(
                IF('Hulp (control forms)'!$G$13:$G$24=TRUE,
                    ROW(Initialisatie!B$10:B$21)-ROW(Initialisatie!B$10)+1),
                ROW(B9)
            )
        )="",
        "",
        INDEX(Initialisatie!B$10:B$21,
            SMALL(
                IF('Hulp (control forms)'!$G$13:$G$24=TRUE,
                    ROW(Initialisatie!B$10:B$21)-ROW(Initialisatie!B$10)+1),
                ROW(B9)
            )
        )
    ),
"")</f>
        <v/>
      </c>
      <c r="N22" s="21" t="str">
        <f t="array" ref="N22">IFERROR(
    IF(
        INDEX(Initialisatie!D$10:D$21,
            SMALL(
                IF('Hulp (control forms)'!$G$13:$G$24=TRUE,
                    ROW(Initialisatie!D$10:D$21)-ROW(Initialisatie!D$10)+1),
                ROW(C9)
            )
        )="",
        "",
        INDEX(Initialisatie!D$10:D$21,
            SMALL(
                IF('Hulp (control forms)'!$G$13:$G$24=TRUE,
                    ROW(Initialisatie!D$10:D$21)-ROW(Initialisatie!D$10)+1),
                ROW(C9)
            )
        )
    ),
"")</f>
        <v/>
      </c>
      <c r="O22" s="21" t="str">
        <f t="array" ref="O22">IFERROR(
    IF(
        INDEX(Initialisatie!C$10:C$21,
            SMALL(
                IF('Hulp (control forms)'!$G$13:$G$24=TRUE,
                    ROW(Initialisatie!C$10:C$21)-ROW(Initialisatie!C$10)+1),
                ROW(D9)
            )
        )="",
        "",
        INDEX(Initialisatie!C$10:C$21,
            SMALL(
                IF('Hulp (control forms)'!$G$13:$G$24=TRUE,
                    ROW(Initialisatie!C$10:C$21)-ROW(Initialisatie!C$10)+1),
                ROW(D9)
            )
        )
    ),
"")</f>
        <v/>
      </c>
    </row>
    <row r="23" spans="1:15" x14ac:dyDescent="0.45">
      <c r="C23" s="79" t="str">
        <f>IF(Initialisatie!B19="","",Initialisatie!B19)</f>
        <v/>
      </c>
      <c r="D23" s="80" t="str">
        <f>IF(Initialisatie!D19="","",Initialisatie!D19)</f>
        <v/>
      </c>
      <c r="E23" s="81" t="str">
        <f>IF(Initialisatie!C19="","",Initialisatie!C19)</f>
        <v/>
      </c>
      <c r="M23" s="21" t="str">
        <f t="array" ref="M23">IFERROR(
    IF(
        INDEX(Initialisatie!B$10:B$21,
            SMALL(
                IF('Hulp (control forms)'!$G$13:$G$24=TRUE,
                    ROW(Initialisatie!B$10:B$21)-ROW(Initialisatie!B$10)+1),
                ROW(B10)
            )
        )="",
        "",
        INDEX(Initialisatie!B$10:B$21,
            SMALL(
                IF('Hulp (control forms)'!$G$13:$G$24=TRUE,
                    ROW(Initialisatie!B$10:B$21)-ROW(Initialisatie!B$10)+1),
                ROW(B10)
            )
        )
    ),
"")</f>
        <v/>
      </c>
      <c r="N23" s="21" t="str">
        <f t="array" ref="N23">IFERROR(
    IF(
        INDEX(Initialisatie!D$10:D$21,
            SMALL(
                IF('Hulp (control forms)'!$G$13:$G$24=TRUE,
                    ROW(Initialisatie!D$10:D$21)-ROW(Initialisatie!D$10)+1),
                ROW(C10)
            )
        )="",
        "",
        INDEX(Initialisatie!D$10:D$21,
            SMALL(
                IF('Hulp (control forms)'!$G$13:$G$24=TRUE,
                    ROW(Initialisatie!D$10:D$21)-ROW(Initialisatie!D$10)+1),
                ROW(C10)
            )
        )
    ),
"")</f>
        <v/>
      </c>
      <c r="O23" s="21" t="str">
        <f t="array" ref="O23">IFERROR(
    IF(
        INDEX(Initialisatie!C$10:C$21,
            SMALL(
                IF('Hulp (control forms)'!$G$13:$G$24=TRUE,
                    ROW(Initialisatie!C$10:C$21)-ROW(Initialisatie!C$10)+1),
                ROW(D10)
            )
        )="",
        "",
        INDEX(Initialisatie!C$10:C$21,
            SMALL(
                IF('Hulp (control forms)'!$G$13:$G$24=TRUE,
                    ROW(Initialisatie!C$10:C$21)-ROW(Initialisatie!C$10)+1),
                ROW(D10)
            )
        )
    ),
"")</f>
        <v/>
      </c>
    </row>
    <row r="24" spans="1:15" x14ac:dyDescent="0.45">
      <c r="C24" s="79" t="str">
        <f>IF(Initialisatie!B20="","",Initialisatie!B20)</f>
        <v/>
      </c>
      <c r="D24" s="80" t="str">
        <f>IF(Initialisatie!D20="","",Initialisatie!D20)</f>
        <v/>
      </c>
      <c r="E24" s="81" t="str">
        <f>IF(Initialisatie!C20="","",Initialisatie!C20)</f>
        <v/>
      </c>
      <c r="M24" s="21" t="str">
        <f t="array" ref="M24">IFERROR(
    IF(
        INDEX(Initialisatie!B$10:B$21,
            SMALL(
                IF('Hulp (control forms)'!$G$13:$G$24=TRUE,
                    ROW(Initialisatie!B$10:B$21)-ROW(Initialisatie!B$10)+1),
                ROW(B11)
            )
        )="",
        "",
        INDEX(Initialisatie!B$10:B$21,
            SMALL(
                IF('Hulp (control forms)'!$G$13:$G$24=TRUE,
                    ROW(Initialisatie!B$10:B$21)-ROW(Initialisatie!B$10)+1),
                ROW(B11)
            )
        )
    ),
"")</f>
        <v/>
      </c>
      <c r="N24" s="21" t="str">
        <f t="array" ref="N24">IFERROR(
    IF(
        INDEX(Initialisatie!D$10:D$21,
            SMALL(
                IF('Hulp (control forms)'!$G$13:$G$24=TRUE,
                    ROW(Initialisatie!D$10:D$21)-ROW(Initialisatie!D$10)+1),
                ROW(C11)
            )
        )="",
        "",
        INDEX(Initialisatie!D$10:D$21,
            SMALL(
                IF('Hulp (control forms)'!$G$13:$G$24=TRUE,
                    ROW(Initialisatie!D$10:D$21)-ROW(Initialisatie!D$10)+1),
                ROW(C11)
            )
        )
    ),
"")</f>
        <v/>
      </c>
      <c r="O24" s="21" t="str">
        <f t="array" ref="O24">IFERROR(
    IF(
        INDEX(Initialisatie!C$10:C$21,
            SMALL(
                IF('Hulp (control forms)'!$G$13:$G$24=TRUE,
                    ROW(Initialisatie!C$10:C$21)-ROW(Initialisatie!C$10)+1),
                ROW(D11)
            )
        )="",
        "",
        INDEX(Initialisatie!C$10:C$21,
            SMALL(
                IF('Hulp (control forms)'!$G$13:$G$24=TRUE,
                    ROW(Initialisatie!C$10:C$21)-ROW(Initialisatie!C$10)+1),
                ROW(D11)
            )
        )
    ),
"")</f>
        <v/>
      </c>
    </row>
    <row r="25" spans="1:15" ht="14.65" thickBot="1" x14ac:dyDescent="0.5">
      <c r="C25" s="82" t="str">
        <f>IF(Initialisatie!B21="","",Initialisatie!B21)</f>
        <v/>
      </c>
      <c r="D25" s="83" t="str">
        <f>IF(Initialisatie!D21="","",Initialisatie!D21)</f>
        <v/>
      </c>
      <c r="E25" s="84" t="str">
        <f>IF(Initialisatie!C21="","",Initialisatie!C21)</f>
        <v/>
      </c>
      <c r="M25" s="36" t="str">
        <f t="array" ref="M25">IFERROR(
    IF(
        INDEX(Initialisatie!B$10:B$21,
            SMALL(
                IF('Hulp (control forms)'!$G$13:$G$24=TRUE,
                    ROW(Initialisatie!B$10:B$21)-ROW(Initialisatie!B$10)+1),
                ROW(B12)
            )
        )="",
        "",
        INDEX(Initialisatie!B$10:B$21,
            SMALL(
                IF('Hulp (control forms)'!$G$13:$G$24=TRUE,
                    ROW(Initialisatie!B$10:B$21)-ROW(Initialisatie!B$10)+1),
                ROW(B12)
            )
        )
    ),
"")</f>
        <v/>
      </c>
      <c r="N25" s="36" t="str">
        <f t="array" ref="N25">IFERROR(
    IF(
        INDEX(Initialisatie!D$10:D$21,
            SMALL(
                IF('Hulp (control forms)'!$G$13:$G$24=TRUE,
                    ROW(Initialisatie!D$10:D$21)-ROW(Initialisatie!D$10)+1),
                ROW(C12)
            )
        )="",
        "",
        INDEX(Initialisatie!D$10:D$21,
            SMALL(
                IF('Hulp (control forms)'!$G$13:$G$24=TRUE,
                    ROW(Initialisatie!D$10:D$21)-ROW(Initialisatie!D$10)+1),
                ROW(C12)
            )
        )
    ),
"")</f>
        <v/>
      </c>
      <c r="O25" s="36" t="str">
        <f t="array" ref="O25">IFERROR(
    IF(
        INDEX(Initialisatie!C$10:C$21,
            SMALL(
                IF('Hulp (control forms)'!$G$13:$G$24=TRUE,
                    ROW(Initialisatie!C$10:C$21)-ROW(Initialisatie!C$10)+1),
                ROW(D12)
            )
        )="",
        "",
        INDEX(Initialisatie!C$10:C$21,
            SMALL(
                IF('Hulp (control forms)'!$G$13:$G$24=TRUE,
                    ROW(Initialisatie!C$10:C$21)-ROW(Initialisatie!C$10)+1),
                ROW(D12)
            )
        )
    ),
"")</f>
        <v/>
      </c>
    </row>
    <row r="27" spans="1:15" x14ac:dyDescent="0.45">
      <c r="A27"/>
      <c r="B27" s="68" t="s">
        <v>758</v>
      </c>
    </row>
    <row r="29" spans="1:15" ht="18" x14ac:dyDescent="0.55000000000000004">
      <c r="C29" s="46" t="s">
        <v>3</v>
      </c>
    </row>
    <row r="30" spans="1:15" ht="14.65" thickBot="1" x14ac:dyDescent="0.5"/>
    <row r="31" spans="1:15" x14ac:dyDescent="0.45">
      <c r="C31" s="14" t="s">
        <v>16</v>
      </c>
      <c r="D31" s="15"/>
    </row>
    <row r="32" spans="1:15" x14ac:dyDescent="0.45">
      <c r="B32" s="59" t="s">
        <v>745</v>
      </c>
      <c r="C32" s="23" t="s">
        <v>722</v>
      </c>
      <c r="D32" s="33">
        <v>90</v>
      </c>
    </row>
    <row r="33" spans="2:8" x14ac:dyDescent="0.45">
      <c r="C33" s="31" t="s">
        <v>17</v>
      </c>
      <c r="D33" s="19">
        <v>0.08</v>
      </c>
      <c r="E33" s="75" t="str">
        <f>HYPERLINK("#C50", "Vul in bij 'Productgroep-specifieke parameters'")</f>
        <v>Vul in bij 'Productgroep-specifieke parameters'</v>
      </c>
    </row>
    <row r="34" spans="2:8" x14ac:dyDescent="0.45">
      <c r="C34" s="17" t="s">
        <v>8</v>
      </c>
      <c r="D34" s="16"/>
    </row>
    <row r="35" spans="2:8" x14ac:dyDescent="0.45">
      <c r="C35" s="23" t="s">
        <v>18</v>
      </c>
      <c r="D35" s="53">
        <v>6.3500000000000001E-2</v>
      </c>
      <c r="F35" s="74"/>
    </row>
    <row r="36" spans="2:8" x14ac:dyDescent="0.45">
      <c r="C36" s="23" t="s">
        <v>19</v>
      </c>
      <c r="D36" s="32">
        <f>IFERROR((D8/(D8+D9))*0.0274 + (D9/(D8+D9))*0.0774, "")</f>
        <v>3.7400000000000003E-2</v>
      </c>
    </row>
    <row r="37" spans="2:8" x14ac:dyDescent="0.45">
      <c r="C37" s="23" t="s">
        <v>20</v>
      </c>
      <c r="D37" s="53">
        <v>6.5100000000000005E-2</v>
      </c>
      <c r="H37" s="68"/>
    </row>
    <row r="38" spans="2:8" x14ac:dyDescent="0.45">
      <c r="C38" s="23" t="s">
        <v>21</v>
      </c>
      <c r="D38" s="53">
        <v>1.3299999999999999E-2</v>
      </c>
    </row>
    <row r="39" spans="2:8" x14ac:dyDescent="0.45">
      <c r="C39" s="23" t="s">
        <v>22</v>
      </c>
      <c r="D39" s="53">
        <v>0</v>
      </c>
    </row>
    <row r="40" spans="2:8" x14ac:dyDescent="0.45">
      <c r="B40" s="59" t="s">
        <v>745</v>
      </c>
      <c r="C40" s="17" t="s">
        <v>70</v>
      </c>
      <c r="D40" s="16"/>
    </row>
    <row r="41" spans="2:8" x14ac:dyDescent="0.45">
      <c r="C41" s="23" t="s">
        <v>76</v>
      </c>
      <c r="D41" s="53">
        <v>1.4999999999999999E-2</v>
      </c>
      <c r="E41" s="75" t="str">
        <f>HYPERLINK("#C50", "Vul in bij 'Productgroep-specifieke parameters'")</f>
        <v>Vul in bij 'Productgroep-specifieke parameters'</v>
      </c>
    </row>
    <row r="42" spans="2:8" x14ac:dyDescent="0.45">
      <c r="C42" s="23" t="s">
        <v>77</v>
      </c>
      <c r="D42" s="53">
        <v>5.0000000000000001E-3</v>
      </c>
      <c r="E42" s="75" t="str">
        <f>HYPERLINK("#C50", "Vul in bij 'Productgroep-specifieke parameters'")</f>
        <v>Vul in bij 'Productgroep-specifieke parameters'</v>
      </c>
    </row>
    <row r="43" spans="2:8" x14ac:dyDescent="0.45">
      <c r="C43" s="23" t="s">
        <v>78</v>
      </c>
      <c r="D43" s="53">
        <v>0.02</v>
      </c>
      <c r="E43" s="75" t="str">
        <f>HYPERLINK("#C50", "Vul in bij 'Productgroep-specifieke parameters'")</f>
        <v>Vul in bij 'Productgroep-specifieke parameters'</v>
      </c>
    </row>
    <row r="44" spans="2:8" x14ac:dyDescent="0.45">
      <c r="B44" s="59" t="s">
        <v>745</v>
      </c>
      <c r="C44" s="17" t="s">
        <v>71</v>
      </c>
      <c r="D44" s="16"/>
    </row>
    <row r="45" spans="2:8" x14ac:dyDescent="0.45">
      <c r="C45" s="23" t="s">
        <v>714</v>
      </c>
      <c r="D45" s="53">
        <v>7.0000000000000007E-2</v>
      </c>
      <c r="E45" s="75" t="str">
        <f>HYPERLINK("#C50", "Vul in bij 'Productgroep-specifieke parameters'")</f>
        <v>Vul in bij 'Productgroep-specifieke parameters'</v>
      </c>
    </row>
    <row r="46" spans="2:8" x14ac:dyDescent="0.45">
      <c r="C46" s="23" t="s">
        <v>715</v>
      </c>
      <c r="D46" s="53">
        <v>7.0000000000000007E-2</v>
      </c>
      <c r="E46" s="75" t="str">
        <f>HYPERLINK("#C50", "Vul in bij 'Productgroep-specifieke parameters'")</f>
        <v>Vul in bij 'Productgroep-specifieke parameters'</v>
      </c>
    </row>
    <row r="47" spans="2:8" x14ac:dyDescent="0.45">
      <c r="C47" s="23" t="s">
        <v>15</v>
      </c>
      <c r="D47" s="53">
        <v>7.0000000000000007E-2</v>
      </c>
    </row>
    <row r="48" spans="2:8" ht="14.65" thickBot="1" x14ac:dyDescent="0.5">
      <c r="C48" s="24" t="s">
        <v>68</v>
      </c>
      <c r="D48" s="20">
        <v>1.4999999999999999E-4</v>
      </c>
    </row>
    <row r="50" spans="1:6" ht="18" x14ac:dyDescent="0.55000000000000004">
      <c r="C50" s="46" t="s">
        <v>58</v>
      </c>
    </row>
    <row r="52" spans="1:6" s="5" customFormat="1" ht="14.65" thickBot="1" x14ac:dyDescent="0.5">
      <c r="A52" s="59"/>
      <c r="C52" s="5" t="s">
        <v>24</v>
      </c>
      <c r="D52" s="25" t="str">
        <f t="array" ref="D52">IFERROR(
  INDEX($N$14:$N$25,
    MATCH(1,
      (COUNTIF($C$52:$C$52,$N$14:$N$25)=0)*
      ($N$14:$N$25&lt;&gt;""),
      0)
  ),
"")</f>
        <v/>
      </c>
      <c r="E52" s="25" t="str">
        <f t="array" ref="E52">IFERROR(
  INDEX($N$14:$N$25,
    MATCH(1,
      (COUNTIF($C$52:$D$52,$N$14:$N$25)=0)*
      ($N$14:$N$25&lt;&gt;""),
      0)
  ),
"")</f>
        <v/>
      </c>
      <c r="F52" s="25" t="str">
        <f t="array" ref="F52">IFERROR(
  INDEX($N$14:$N$25,
    MATCH(1,
      (COUNTIF($C$52:$E$52,$N$14:$N$25)=0)*
      ($N$14:$N$25&lt;&gt;""),
      0)
  ),
"")</f>
        <v/>
      </c>
    </row>
    <row r="53" spans="1:6" x14ac:dyDescent="0.45">
      <c r="C53" s="22" t="s">
        <v>17</v>
      </c>
      <c r="D53" s="66">
        <v>0.02</v>
      </c>
      <c r="E53" s="66">
        <v>0.03</v>
      </c>
      <c r="F53" s="67">
        <v>0.04</v>
      </c>
    </row>
    <row r="54" spans="1:6" x14ac:dyDescent="0.45">
      <c r="C54" s="23" t="s">
        <v>54</v>
      </c>
      <c r="D54" s="51">
        <v>0.02</v>
      </c>
      <c r="E54" s="51">
        <v>0.03</v>
      </c>
      <c r="F54" s="54">
        <v>0.03</v>
      </c>
    </row>
    <row r="55" spans="1:6" x14ac:dyDescent="0.45">
      <c r="C55" s="23" t="s">
        <v>55</v>
      </c>
      <c r="D55" s="51">
        <v>0.01</v>
      </c>
      <c r="E55" s="51">
        <v>0.02</v>
      </c>
      <c r="F55" s="54">
        <v>0.03</v>
      </c>
    </row>
    <row r="56" spans="1:6" x14ac:dyDescent="0.45">
      <c r="C56" s="23" t="s">
        <v>56</v>
      </c>
      <c r="D56" s="51">
        <v>0.02</v>
      </c>
      <c r="E56" s="51">
        <v>0.02</v>
      </c>
      <c r="F56" s="54">
        <v>0.03</v>
      </c>
    </row>
    <row r="57" spans="1:6" x14ac:dyDescent="0.45">
      <c r="C57" s="23" t="s">
        <v>726</v>
      </c>
      <c r="D57" s="62">
        <v>0.95</v>
      </c>
      <c r="E57" s="62">
        <v>0.95</v>
      </c>
      <c r="F57" s="63">
        <v>0.95</v>
      </c>
    </row>
    <row r="58" spans="1:6" x14ac:dyDescent="0.45">
      <c r="C58" s="23" t="s">
        <v>714</v>
      </c>
      <c r="D58" s="51">
        <v>0.06</v>
      </c>
      <c r="E58" s="51">
        <v>0.04</v>
      </c>
      <c r="F58" s="54">
        <v>0.04</v>
      </c>
    </row>
    <row r="59" spans="1:6" x14ac:dyDescent="0.45">
      <c r="C59" s="23" t="s">
        <v>724</v>
      </c>
      <c r="D59" s="51">
        <v>0.06</v>
      </c>
      <c r="E59" s="51">
        <v>0.05</v>
      </c>
      <c r="F59" s="54">
        <v>0.04</v>
      </c>
    </row>
    <row r="60" spans="1:6" x14ac:dyDescent="0.45">
      <c r="C60" s="23" t="s">
        <v>25</v>
      </c>
      <c r="D60" s="49">
        <v>1</v>
      </c>
      <c r="E60" s="49">
        <v>1</v>
      </c>
      <c r="F60" s="50">
        <v>1</v>
      </c>
    </row>
    <row r="61" spans="1:6" ht="14.65" thickBot="1" x14ac:dyDescent="0.5">
      <c r="C61" s="24" t="s">
        <v>26</v>
      </c>
      <c r="D61" s="64">
        <v>0.4</v>
      </c>
      <c r="E61" s="64">
        <v>0.3</v>
      </c>
      <c r="F61" s="65">
        <v>0.4</v>
      </c>
    </row>
  </sheetData>
  <conditionalFormatting sqref="B13 A14:A25">
    <cfRule type="expression" dxfId="185" priority="17">
      <formula>$C13=""</formula>
    </cfRule>
  </conditionalFormatting>
  <conditionalFormatting sqref="C14:E25">
    <cfRule type="expression" dxfId="184" priority="42">
      <formula>$C14=""</formula>
    </cfRule>
  </conditionalFormatting>
  <conditionalFormatting sqref="D57">
    <cfRule type="expression" dxfId="177" priority="20">
      <formula>$D$52&lt;&gt;"Verblijf"</formula>
    </cfRule>
  </conditionalFormatting>
  <conditionalFormatting sqref="D60:F61">
    <cfRule type="expression" dxfId="173" priority="35">
      <formula>D$52&lt;&gt;"Ambulant"</formula>
    </cfRule>
  </conditionalFormatting>
  <conditionalFormatting sqref="E57">
    <cfRule type="expression" dxfId="166" priority="19">
      <formula>$E$52&lt;&gt;"Verblijf"</formula>
    </cfRule>
  </conditionalFormatting>
  <conditionalFormatting sqref="F57">
    <cfRule type="expression" dxfId="165" priority="18">
      <formula>$F$52&lt;&gt;"Verblijf"</formula>
    </cfRule>
  </conditionalFormatting>
  <dataValidations count="3">
    <dataValidation allowBlank="1" showInputMessage="1" showErrorMessage="1" prompt="Het aantal uren waarvoor toestemming is om afwezig te zijn van werk, anders dan reguliere vrije dagen." sqref="D32" xr:uid="{00000000-0002-0000-0B00-000000000000}"/>
    <dataValidation type="list" allowBlank="1" showInputMessage="1" showErrorMessage="1" sqref="D35" xr:uid="{00000000-0002-0000-0B00-000001000000}">
      <formula1>"0.0635, 0.0758"</formula1>
    </dataValidation>
    <dataValidation type="list" allowBlank="1" showInputMessage="1" showErrorMessage="1" sqref="D5" xr:uid="{00000000-0002-0000-0B00-000002000000}">
      <formula1>"GGZ, GHZ, JZ, Sociaal Werk, VVT"</formula1>
    </dataValidation>
  </dataValidations>
  <hyperlinks>
    <hyperlink ref="G6" r:id="rId1" xr:uid="{00000000-0004-0000-0B00-000000000000}"/>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7889" r:id="rId5" name="Check Box 1">
              <controlPr defaultSize="0" autoFill="0" autoLine="0" autoPict="0">
                <anchor moveWithCells="1">
                  <from>
                    <xdr:col>1</xdr:col>
                    <xdr:colOff>71438</xdr:colOff>
                    <xdr:row>31</xdr:row>
                    <xdr:rowOff>176213</xdr:rowOff>
                  </from>
                  <to>
                    <xdr:col>1</xdr:col>
                    <xdr:colOff>290513</xdr:colOff>
                    <xdr:row>33</xdr:row>
                    <xdr:rowOff>23813</xdr:rowOff>
                  </to>
                </anchor>
              </controlPr>
            </control>
          </mc:Choice>
        </mc:AlternateContent>
        <mc:AlternateContent xmlns:mc="http://schemas.openxmlformats.org/markup-compatibility/2006">
          <mc:Choice Requires="x14">
            <control shapeId="37890" r:id="rId6" name="Check Box 2">
              <controlPr defaultSize="0" autoFill="0" autoLine="0" autoPict="0">
                <anchor moveWithCells="1">
                  <from>
                    <xdr:col>1</xdr:col>
                    <xdr:colOff>76200</xdr:colOff>
                    <xdr:row>39</xdr:row>
                    <xdr:rowOff>166688</xdr:rowOff>
                  </from>
                  <to>
                    <xdr:col>2</xdr:col>
                    <xdr:colOff>0</xdr:colOff>
                    <xdr:row>41</xdr:row>
                    <xdr:rowOff>23813</xdr:rowOff>
                  </to>
                </anchor>
              </controlPr>
            </control>
          </mc:Choice>
        </mc:AlternateContent>
        <mc:AlternateContent xmlns:mc="http://schemas.openxmlformats.org/markup-compatibility/2006">
          <mc:Choice Requires="x14">
            <control shapeId="37891" r:id="rId7" name="Check Box 3">
              <controlPr defaultSize="0" autoFill="0" autoLine="0" autoPict="0">
                <anchor moveWithCells="1">
                  <from>
                    <xdr:col>1</xdr:col>
                    <xdr:colOff>76200</xdr:colOff>
                    <xdr:row>40</xdr:row>
                    <xdr:rowOff>176213</xdr:rowOff>
                  </from>
                  <to>
                    <xdr:col>1</xdr:col>
                    <xdr:colOff>300038</xdr:colOff>
                    <xdr:row>42</xdr:row>
                    <xdr:rowOff>23813</xdr:rowOff>
                  </to>
                </anchor>
              </controlPr>
            </control>
          </mc:Choice>
        </mc:AlternateContent>
        <mc:AlternateContent xmlns:mc="http://schemas.openxmlformats.org/markup-compatibility/2006">
          <mc:Choice Requires="x14">
            <control shapeId="37892" r:id="rId8" name="Check Box 4">
              <controlPr defaultSize="0" autoFill="0" autoLine="0" autoPict="0">
                <anchor moveWithCells="1">
                  <from>
                    <xdr:col>1</xdr:col>
                    <xdr:colOff>76200</xdr:colOff>
                    <xdr:row>41</xdr:row>
                    <xdr:rowOff>176213</xdr:rowOff>
                  </from>
                  <to>
                    <xdr:col>1</xdr:col>
                    <xdr:colOff>290513</xdr:colOff>
                    <xdr:row>43</xdr:row>
                    <xdr:rowOff>23813</xdr:rowOff>
                  </to>
                </anchor>
              </controlPr>
            </control>
          </mc:Choice>
        </mc:AlternateContent>
        <mc:AlternateContent xmlns:mc="http://schemas.openxmlformats.org/markup-compatibility/2006">
          <mc:Choice Requires="x14">
            <control shapeId="37893" r:id="rId9" name="Check Box 5">
              <controlPr defaultSize="0" autoFill="0" autoLine="0" autoPict="0">
                <anchor moveWithCells="1">
                  <from>
                    <xdr:col>1</xdr:col>
                    <xdr:colOff>76200</xdr:colOff>
                    <xdr:row>43</xdr:row>
                    <xdr:rowOff>157163</xdr:rowOff>
                  </from>
                  <to>
                    <xdr:col>2</xdr:col>
                    <xdr:colOff>14288</xdr:colOff>
                    <xdr:row>45</xdr:row>
                    <xdr:rowOff>33338</xdr:rowOff>
                  </to>
                </anchor>
              </controlPr>
            </control>
          </mc:Choice>
        </mc:AlternateContent>
        <mc:AlternateContent xmlns:mc="http://schemas.openxmlformats.org/markup-compatibility/2006">
          <mc:Choice Requires="x14">
            <control shapeId="37894" r:id="rId10" name="Check Box 6">
              <controlPr defaultSize="0" autoFill="0" autoLine="0" autoPict="0">
                <anchor moveWithCells="1">
                  <from>
                    <xdr:col>1</xdr:col>
                    <xdr:colOff>80963</xdr:colOff>
                    <xdr:row>44</xdr:row>
                    <xdr:rowOff>166688</xdr:rowOff>
                  </from>
                  <to>
                    <xdr:col>2</xdr:col>
                    <xdr:colOff>14288</xdr:colOff>
                    <xdr:row>46</xdr:row>
                    <xdr:rowOff>14288</xdr:rowOff>
                  </to>
                </anchor>
              </controlPr>
            </control>
          </mc:Choice>
        </mc:AlternateContent>
        <mc:AlternateContent xmlns:mc="http://schemas.openxmlformats.org/markup-compatibility/2006">
          <mc:Choice Requires="x14">
            <control shapeId="37895" r:id="rId11" name="Check Box 7">
              <controlPr defaultSize="0" autoFill="0" autoLine="0" autoPict="0">
                <anchor moveWithCells="1">
                  <from>
                    <xdr:col>1</xdr:col>
                    <xdr:colOff>71438</xdr:colOff>
                    <xdr:row>23</xdr:row>
                    <xdr:rowOff>166688</xdr:rowOff>
                  </from>
                  <to>
                    <xdr:col>2</xdr:col>
                    <xdr:colOff>33338</xdr:colOff>
                    <xdr:row>25</xdr:row>
                    <xdr:rowOff>14288</xdr:rowOff>
                  </to>
                </anchor>
              </controlPr>
            </control>
          </mc:Choice>
        </mc:AlternateContent>
        <mc:AlternateContent xmlns:mc="http://schemas.openxmlformats.org/markup-compatibility/2006">
          <mc:Choice Requires="x14">
            <control shapeId="37896" r:id="rId12" name="Check Box 8">
              <controlPr defaultSize="0" autoFill="0" autoLine="0" autoPict="0">
                <anchor moveWithCells="1">
                  <from>
                    <xdr:col>1</xdr:col>
                    <xdr:colOff>71438</xdr:colOff>
                    <xdr:row>22</xdr:row>
                    <xdr:rowOff>157163</xdr:rowOff>
                  </from>
                  <to>
                    <xdr:col>2</xdr:col>
                    <xdr:colOff>33338</xdr:colOff>
                    <xdr:row>24</xdr:row>
                    <xdr:rowOff>14288</xdr:rowOff>
                  </to>
                </anchor>
              </controlPr>
            </control>
          </mc:Choice>
        </mc:AlternateContent>
        <mc:AlternateContent xmlns:mc="http://schemas.openxmlformats.org/markup-compatibility/2006">
          <mc:Choice Requires="x14">
            <control shapeId="37897" r:id="rId13" name="Check Box 9">
              <controlPr defaultSize="0" autoFill="0" autoLine="0" autoPict="0">
                <anchor moveWithCells="1">
                  <from>
                    <xdr:col>1</xdr:col>
                    <xdr:colOff>71438</xdr:colOff>
                    <xdr:row>21</xdr:row>
                    <xdr:rowOff>157163</xdr:rowOff>
                  </from>
                  <to>
                    <xdr:col>2</xdr:col>
                    <xdr:colOff>33338</xdr:colOff>
                    <xdr:row>23</xdr:row>
                    <xdr:rowOff>14288</xdr:rowOff>
                  </to>
                </anchor>
              </controlPr>
            </control>
          </mc:Choice>
        </mc:AlternateContent>
        <mc:AlternateContent xmlns:mc="http://schemas.openxmlformats.org/markup-compatibility/2006">
          <mc:Choice Requires="x14">
            <control shapeId="37898" r:id="rId14" name="Check Box 10">
              <controlPr defaultSize="0" autoFill="0" autoLine="0" autoPict="0">
                <anchor moveWithCells="1">
                  <from>
                    <xdr:col>1</xdr:col>
                    <xdr:colOff>71438</xdr:colOff>
                    <xdr:row>20</xdr:row>
                    <xdr:rowOff>157163</xdr:rowOff>
                  </from>
                  <to>
                    <xdr:col>2</xdr:col>
                    <xdr:colOff>33338</xdr:colOff>
                    <xdr:row>22</xdr:row>
                    <xdr:rowOff>14288</xdr:rowOff>
                  </to>
                </anchor>
              </controlPr>
            </control>
          </mc:Choice>
        </mc:AlternateContent>
        <mc:AlternateContent xmlns:mc="http://schemas.openxmlformats.org/markup-compatibility/2006">
          <mc:Choice Requires="x14">
            <control shapeId="37899" r:id="rId15" name="Check Box 11">
              <controlPr defaultSize="0" autoFill="0" autoLine="0" autoPict="0">
                <anchor moveWithCells="1">
                  <from>
                    <xdr:col>1</xdr:col>
                    <xdr:colOff>76200</xdr:colOff>
                    <xdr:row>19</xdr:row>
                    <xdr:rowOff>157163</xdr:rowOff>
                  </from>
                  <to>
                    <xdr:col>2</xdr:col>
                    <xdr:colOff>33338</xdr:colOff>
                    <xdr:row>21</xdr:row>
                    <xdr:rowOff>14288</xdr:rowOff>
                  </to>
                </anchor>
              </controlPr>
            </control>
          </mc:Choice>
        </mc:AlternateContent>
        <mc:AlternateContent xmlns:mc="http://schemas.openxmlformats.org/markup-compatibility/2006">
          <mc:Choice Requires="x14">
            <control shapeId="37900" r:id="rId16" name="Check Box 12">
              <controlPr defaultSize="0" autoFill="0" autoLine="0" autoPict="0">
                <anchor moveWithCells="1">
                  <from>
                    <xdr:col>1</xdr:col>
                    <xdr:colOff>71438</xdr:colOff>
                    <xdr:row>18</xdr:row>
                    <xdr:rowOff>166688</xdr:rowOff>
                  </from>
                  <to>
                    <xdr:col>2</xdr:col>
                    <xdr:colOff>33338</xdr:colOff>
                    <xdr:row>20</xdr:row>
                    <xdr:rowOff>23813</xdr:rowOff>
                  </to>
                </anchor>
              </controlPr>
            </control>
          </mc:Choice>
        </mc:AlternateContent>
        <mc:AlternateContent xmlns:mc="http://schemas.openxmlformats.org/markup-compatibility/2006">
          <mc:Choice Requires="x14">
            <control shapeId="37901" r:id="rId17" name="Check Box 13">
              <controlPr defaultSize="0" autoFill="0" autoLine="0" autoPict="0">
                <anchor moveWithCells="1">
                  <from>
                    <xdr:col>1</xdr:col>
                    <xdr:colOff>71438</xdr:colOff>
                    <xdr:row>17</xdr:row>
                    <xdr:rowOff>166688</xdr:rowOff>
                  </from>
                  <to>
                    <xdr:col>2</xdr:col>
                    <xdr:colOff>33338</xdr:colOff>
                    <xdr:row>19</xdr:row>
                    <xdr:rowOff>23813</xdr:rowOff>
                  </to>
                </anchor>
              </controlPr>
            </control>
          </mc:Choice>
        </mc:AlternateContent>
        <mc:AlternateContent xmlns:mc="http://schemas.openxmlformats.org/markup-compatibility/2006">
          <mc:Choice Requires="x14">
            <control shapeId="37902" r:id="rId18" name="Check Box 14">
              <controlPr defaultSize="0" autoFill="0" autoLine="0" autoPict="0">
                <anchor moveWithCells="1">
                  <from>
                    <xdr:col>1</xdr:col>
                    <xdr:colOff>76200</xdr:colOff>
                    <xdr:row>16</xdr:row>
                    <xdr:rowOff>166688</xdr:rowOff>
                  </from>
                  <to>
                    <xdr:col>2</xdr:col>
                    <xdr:colOff>33338</xdr:colOff>
                    <xdr:row>18</xdr:row>
                    <xdr:rowOff>23813</xdr:rowOff>
                  </to>
                </anchor>
              </controlPr>
            </control>
          </mc:Choice>
        </mc:AlternateContent>
        <mc:AlternateContent xmlns:mc="http://schemas.openxmlformats.org/markup-compatibility/2006">
          <mc:Choice Requires="x14">
            <control shapeId="37903" r:id="rId19" name="Check Box 15">
              <controlPr defaultSize="0" autoFill="0" autoLine="0" autoPict="0">
                <anchor moveWithCells="1">
                  <from>
                    <xdr:col>1</xdr:col>
                    <xdr:colOff>76200</xdr:colOff>
                    <xdr:row>15</xdr:row>
                    <xdr:rowOff>166688</xdr:rowOff>
                  </from>
                  <to>
                    <xdr:col>2</xdr:col>
                    <xdr:colOff>33338</xdr:colOff>
                    <xdr:row>17</xdr:row>
                    <xdr:rowOff>23813</xdr:rowOff>
                  </to>
                </anchor>
              </controlPr>
            </control>
          </mc:Choice>
        </mc:AlternateContent>
        <mc:AlternateContent xmlns:mc="http://schemas.openxmlformats.org/markup-compatibility/2006">
          <mc:Choice Requires="x14">
            <control shapeId="37904" r:id="rId20" name="Check Box 16">
              <controlPr defaultSize="0" autoFill="0" autoLine="0" autoPict="0">
                <anchor moveWithCells="1">
                  <from>
                    <xdr:col>1</xdr:col>
                    <xdr:colOff>76200</xdr:colOff>
                    <xdr:row>14</xdr:row>
                    <xdr:rowOff>152400</xdr:rowOff>
                  </from>
                  <to>
                    <xdr:col>2</xdr:col>
                    <xdr:colOff>33338</xdr:colOff>
                    <xdr:row>16</xdr:row>
                    <xdr:rowOff>14288</xdr:rowOff>
                  </to>
                </anchor>
              </controlPr>
            </control>
          </mc:Choice>
        </mc:AlternateContent>
        <mc:AlternateContent xmlns:mc="http://schemas.openxmlformats.org/markup-compatibility/2006">
          <mc:Choice Requires="x14">
            <control shapeId="37905" r:id="rId21" name="Check Box 17">
              <controlPr defaultSize="0" autoFill="0" autoLine="0" autoPict="0">
                <anchor moveWithCells="1">
                  <from>
                    <xdr:col>1</xdr:col>
                    <xdr:colOff>76200</xdr:colOff>
                    <xdr:row>13</xdr:row>
                    <xdr:rowOff>157163</xdr:rowOff>
                  </from>
                  <to>
                    <xdr:col>2</xdr:col>
                    <xdr:colOff>33338</xdr:colOff>
                    <xdr:row>15</xdr:row>
                    <xdr:rowOff>14288</xdr:rowOff>
                  </to>
                </anchor>
              </controlPr>
            </control>
          </mc:Choice>
        </mc:AlternateContent>
        <mc:AlternateContent xmlns:mc="http://schemas.openxmlformats.org/markup-compatibility/2006">
          <mc:Choice Requires="x14">
            <control shapeId="37906" r:id="rId22" name="Check Box 18">
              <controlPr defaultSize="0" autoFill="0" autoLine="0" autoPict="0">
                <anchor moveWithCells="1">
                  <from>
                    <xdr:col>1</xdr:col>
                    <xdr:colOff>76200</xdr:colOff>
                    <xdr:row>12</xdr:row>
                    <xdr:rowOff>176213</xdr:rowOff>
                  </from>
                  <to>
                    <xdr:col>2</xdr:col>
                    <xdr:colOff>33338</xdr:colOff>
                    <xdr:row>14</xdr:row>
                    <xdr:rowOff>23813</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 id="{A5CB0AEB-7837-4793-BEF8-341841F3FCF4}">
            <xm:f>'Hulp (control forms)'!$C$6=TRUE</xm:f>
            <x14:dxf>
              <font>
                <color theme="6" tint="0.59996337778862885"/>
              </font>
              <fill>
                <patternFill>
                  <bgColor theme="6" tint="0.59996337778862885"/>
                </patternFill>
              </fill>
            </x14:dxf>
          </x14:cfRule>
          <xm:sqref>D33</xm:sqref>
        </x14:conditionalFormatting>
        <x14:conditionalFormatting xmlns:xm="http://schemas.microsoft.com/office/excel/2006/main">
          <x14:cfRule type="expression" priority="40" id="{CCE210BD-B583-4A88-BDE2-B781456A3B50}">
            <xm:f>'Hulp (control forms)'!$C$7=TRUE</xm:f>
            <x14:dxf>
              <font>
                <color theme="6" tint="0.59996337778862885"/>
              </font>
              <fill>
                <patternFill>
                  <bgColor theme="6" tint="0.59996337778862885"/>
                </patternFill>
              </fill>
            </x14:dxf>
          </x14:cfRule>
          <xm:sqref>D41</xm:sqref>
        </x14:conditionalFormatting>
        <x14:conditionalFormatting xmlns:xm="http://schemas.microsoft.com/office/excel/2006/main">
          <x14:cfRule type="expression" priority="39" id="{DA383E38-5761-41C2-817B-32752AFE570F}">
            <xm:f>'Hulp (control forms)'!$C$8=TRUE</xm:f>
            <x14:dxf>
              <font>
                <color theme="6" tint="0.59996337778862885"/>
              </font>
              <fill>
                <patternFill>
                  <bgColor theme="6" tint="0.59996337778862885"/>
                </patternFill>
              </fill>
            </x14:dxf>
          </x14:cfRule>
          <xm:sqref>D42</xm:sqref>
        </x14:conditionalFormatting>
        <x14:conditionalFormatting xmlns:xm="http://schemas.microsoft.com/office/excel/2006/main">
          <x14:cfRule type="expression" priority="38" id="{8DA99A6A-B731-44CF-84A3-B98D1B3A3D7A}">
            <xm:f>'Hulp (control forms)'!$C$9=TRUE</xm:f>
            <x14:dxf>
              <font>
                <color theme="6" tint="0.59996337778862885"/>
              </font>
              <fill>
                <patternFill>
                  <bgColor theme="6" tint="0.59996337778862885"/>
                </patternFill>
              </fill>
            </x14:dxf>
          </x14:cfRule>
          <xm:sqref>D43</xm:sqref>
        </x14:conditionalFormatting>
        <x14:conditionalFormatting xmlns:xm="http://schemas.microsoft.com/office/excel/2006/main">
          <x14:cfRule type="expression" priority="37" id="{BC14C813-1DB0-4ADA-A931-F7698BFF8443}">
            <xm:f>'Hulp (control forms)'!$C$10=TRUE</xm:f>
            <x14:dxf>
              <font>
                <color theme="6" tint="0.59996337778862885"/>
              </font>
              <fill>
                <patternFill>
                  <bgColor theme="6" tint="0.59996337778862885"/>
                </patternFill>
              </fill>
            </x14:dxf>
          </x14:cfRule>
          <xm:sqref>D45</xm:sqref>
        </x14:conditionalFormatting>
        <x14:conditionalFormatting xmlns:xm="http://schemas.microsoft.com/office/excel/2006/main">
          <x14:cfRule type="expression" priority="36" id="{62ACDEE9-948B-437B-B580-96D909F942CD}">
            <xm:f>'Hulp (control forms)'!$C$11=TRUE</xm:f>
            <x14:dxf>
              <font>
                <color theme="6" tint="0.59996337778862885"/>
              </font>
              <fill>
                <patternFill>
                  <bgColor theme="6" tint="0.59996337778862885"/>
                </patternFill>
              </fill>
            </x14:dxf>
          </x14:cfRule>
          <xm:sqref>D46</xm:sqref>
        </x14:conditionalFormatting>
        <x14:conditionalFormatting xmlns:xm="http://schemas.microsoft.com/office/excel/2006/main">
          <x14:cfRule type="expression" priority="15" id="{F6C60F48-BB31-40E0-83A9-AA8CDE0654EE}">
            <xm:f>OR(D$52="", 'Hulp (control forms)'!$C6&lt;&gt;TRUE)</xm:f>
            <x14:dxf>
              <font>
                <color theme="6" tint="0.59996337778862885"/>
              </font>
              <fill>
                <patternFill>
                  <bgColor theme="6" tint="0.59996337778862885"/>
                </patternFill>
              </fill>
            </x14:dxf>
          </x14:cfRule>
          <xm:sqref>D53:F56</xm:sqref>
        </x14:conditionalFormatting>
        <x14:conditionalFormatting xmlns:xm="http://schemas.microsoft.com/office/excel/2006/main">
          <x14:cfRule type="expression" priority="30" id="{C0A54CF5-17BB-4FBB-A7BE-919A33EA4953}">
            <xm:f>OR(D$52="", 'Hulp (control forms)'!$C$10&lt;&gt;TRUE)</xm:f>
            <x14:dxf>
              <font>
                <color theme="6" tint="0.59996337778862885"/>
              </font>
              <fill>
                <patternFill>
                  <bgColor theme="6" tint="0.59996337778862885"/>
                </patternFill>
              </fill>
            </x14:dxf>
          </x14:cfRule>
          <xm:sqref>D58:F58</xm:sqref>
        </x14:conditionalFormatting>
        <x14:conditionalFormatting xmlns:xm="http://schemas.microsoft.com/office/excel/2006/main">
          <x14:cfRule type="expression" priority="27" id="{74074134-3C5D-48C7-8523-DBC81F8F126D}">
            <xm:f>OR(D$52="", 'Hulp (control forms)'!$C$11&lt;&gt;TRUE)</xm:f>
            <x14:dxf>
              <font>
                <color theme="6" tint="0.59996337778862885"/>
              </font>
              <fill>
                <patternFill>
                  <bgColor theme="6" tint="0.59996337778862885"/>
                </patternFill>
              </fill>
            </x14:dxf>
          </x14:cfRule>
          <xm:sqref>D59:F59</xm:sqref>
        </x14:conditionalFormatting>
        <x14:conditionalFormatting xmlns:xm="http://schemas.microsoft.com/office/excel/2006/main">
          <x14:cfRule type="expression" priority="26" id="{D915C028-B8D0-4F39-A1E0-C3A7361BC4C8}">
            <xm:f>OR(   'Hulp (control forms)'!$C$6&lt;&gt;TRUE,   AND(     OR(D52="", D53&lt;&gt;""),     OR(E52="", E53&lt;&gt;""),     OR(F52="", F53&lt;&gt;"")   ) )</xm:f>
            <x14:dxf>
              <font>
                <color theme="0"/>
              </font>
            </x14:dxf>
          </x14:cfRule>
          <xm:sqref>E33</xm:sqref>
        </x14:conditionalFormatting>
        <x14:conditionalFormatting xmlns:xm="http://schemas.microsoft.com/office/excel/2006/main">
          <x14:cfRule type="expression" priority="25" id="{E55E6DFA-3FB7-4EDC-93D8-4C3F59ACA22B}">
            <xm:f>OR(   'Hulp (control forms)'!$C$7&lt;&gt;TRUE,   AND(     OR(D52="", D54&lt;&gt;""),     OR(E52="", E54&lt;&gt;""),     OR(F52="", F54&lt;&gt;"")   ) )</xm:f>
            <x14:dxf>
              <font>
                <color theme="0"/>
              </font>
            </x14:dxf>
          </x14:cfRule>
          <xm:sqref>E41</xm:sqref>
        </x14:conditionalFormatting>
        <x14:conditionalFormatting xmlns:xm="http://schemas.microsoft.com/office/excel/2006/main">
          <x14:cfRule type="expression" priority="24" id="{CB68FF36-FA10-420D-9744-600CCC4CB4CA}">
            <xm:f>OR(   'Hulp (control forms)'!$C$8&lt;&gt;TRUE,   AND(     OR(D52="", D55&lt;&gt;""),     OR(E52="", E55&lt;&gt;""),     OR(F52="", F55&lt;&gt;"")   ) )</xm:f>
            <x14:dxf>
              <font>
                <color theme="0"/>
              </font>
            </x14:dxf>
          </x14:cfRule>
          <xm:sqref>E42</xm:sqref>
        </x14:conditionalFormatting>
        <x14:conditionalFormatting xmlns:xm="http://schemas.microsoft.com/office/excel/2006/main">
          <x14:cfRule type="expression" priority="23" id="{708939D7-99B6-4D00-9A0A-FB3E44DE901E}">
            <xm:f>OR(   'Hulp (control forms)'!$C$9&lt;&gt;TRUE,   AND(     OR(D52="", D56&lt;&gt;""),     OR(E52="", E56&lt;&gt;""),     OR(F52="", F56&lt;&gt;"")   ) )</xm:f>
            <x14:dxf>
              <font>
                <color theme="0"/>
              </font>
            </x14:dxf>
          </x14:cfRule>
          <xm:sqref>E43</xm:sqref>
        </x14:conditionalFormatting>
        <x14:conditionalFormatting xmlns:xm="http://schemas.microsoft.com/office/excel/2006/main">
          <x14:cfRule type="expression" priority="695" id="{95C9C342-97FE-491F-B032-9CED05D5E4F5}">
            <xm:f>OR(   'Hulp (control forms)'!$C$10&lt;&gt;TRUE,   AND(     OR(D52="", D58&lt;&gt;""),     OR(E52="", E58&lt;&gt;""),     OR(F52="", F58&lt;&gt;"")   ) )</xm:f>
            <x14:dxf>
              <font>
                <color theme="0"/>
              </font>
            </x14:dxf>
          </x14:cfRule>
          <xm:sqref>E45</xm:sqref>
        </x14:conditionalFormatting>
        <x14:conditionalFormatting xmlns:xm="http://schemas.microsoft.com/office/excel/2006/main">
          <x14:cfRule type="expression" priority="696" id="{BBF97085-ED36-4C06-86C9-309B23A73151}">
            <xm:f>OR(   'Hulp (control forms)'!$C$11&lt;&gt;TRUE,   AND(     OR(D52="", D59&lt;&gt;""),     OR(E52="", E59&lt;&gt;""),     OR(F52="", F59&lt;&gt;"")   ) )</xm:f>
            <x14:dxf>
              <font>
                <color theme="0"/>
              </font>
            </x14:dxf>
          </x14:cfRule>
          <xm:sqref>E46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2:X75"/>
  <sheetViews>
    <sheetView zoomScale="70" zoomScaleNormal="70" workbookViewId="0">
      <selection activeCell="B5" sqref="B5"/>
    </sheetView>
  </sheetViews>
  <sheetFormatPr defaultRowHeight="15.75" x14ac:dyDescent="0.5"/>
  <cols>
    <col min="1" max="1" width="18.06640625" customWidth="1"/>
    <col min="2" max="2" width="26.46484375" style="12" customWidth="1"/>
    <col min="3" max="3" width="7.06640625" customWidth="1"/>
    <col min="4" max="4" width="24.06640625" customWidth="1"/>
    <col min="5" max="20" width="4.53125" customWidth="1"/>
    <col min="22" max="22" width="19.53125" customWidth="1"/>
    <col min="23" max="23" width="3.796875" customWidth="1"/>
    <col min="24" max="24" width="24.53125" style="60" customWidth="1"/>
  </cols>
  <sheetData>
    <row r="2" spans="1:24" s="47" customFormat="1" ht="18" x14ac:dyDescent="0.55000000000000004">
      <c r="B2" s="46" t="s">
        <v>1</v>
      </c>
      <c r="D2" s="46" t="s">
        <v>31</v>
      </c>
      <c r="V2" s="46" t="s">
        <v>30</v>
      </c>
      <c r="X2" s="60"/>
    </row>
    <row r="3" spans="1:24" x14ac:dyDescent="0.5">
      <c r="D3" s="12"/>
      <c r="V3" s="12"/>
    </row>
    <row r="4" spans="1:24" ht="16.149999999999999" thickBot="1" x14ac:dyDescent="0.55000000000000004">
      <c r="A4" s="5"/>
      <c r="B4" s="44" t="str">
        <f ca="1">IF(B5="","",IF(
   OR(
      INDIRECT("'1a. Input organisatieniveau'!N" &amp; (14 + INT((ROW()-4)/6)))="",
      INDIRECT("'1a. Input organisatieniveau'!N" &amp; (14 + INT((ROW()-4)/6)))=0
   ),
   "",
   INDIRECT("'1a. Input organisatieniveau'!N" &amp; (14 + INT((ROW()-4)/6)))
))</f>
        <v/>
      </c>
      <c r="E4" s="61" t="str">
        <f ca="1">IF(AND(AND(E5&lt;&gt;"",E6&lt;&gt;""),E7=""),"!","")</f>
        <v/>
      </c>
      <c r="F4" s="61" t="str">
        <f t="shared" ref="F4:T4" ca="1" si="0">IF(AND(AND(F5&lt;&gt;"",F6&lt;&gt;""),F7=""),"!","")</f>
        <v/>
      </c>
      <c r="G4" s="61" t="str">
        <f t="shared" ca="1" si="0"/>
        <v/>
      </c>
      <c r="H4" s="61" t="str">
        <f t="shared" ca="1" si="0"/>
        <v/>
      </c>
      <c r="I4" s="61" t="str">
        <f t="shared" ca="1" si="0"/>
        <v/>
      </c>
      <c r="J4" s="61" t="str">
        <f t="shared" ca="1" si="0"/>
        <v/>
      </c>
      <c r="K4" s="61" t="str">
        <f t="shared" ca="1" si="0"/>
        <v/>
      </c>
      <c r="L4" s="61" t="str">
        <f t="shared" ca="1" si="0"/>
        <v/>
      </c>
      <c r="M4" s="61" t="str">
        <f t="shared" ca="1" si="0"/>
        <v/>
      </c>
      <c r="N4" s="61" t="str">
        <f t="shared" ca="1" si="0"/>
        <v/>
      </c>
      <c r="O4" s="61" t="str">
        <f t="shared" ca="1" si="0"/>
        <v/>
      </c>
      <c r="P4" s="61" t="str">
        <f t="shared" ca="1" si="0"/>
        <v/>
      </c>
      <c r="Q4" s="61" t="str">
        <f t="shared" ca="1" si="0"/>
        <v/>
      </c>
      <c r="R4" s="61" t="str">
        <f t="shared" ca="1" si="0"/>
        <v/>
      </c>
      <c r="S4" s="61" t="str">
        <f t="shared" ca="1" si="0"/>
        <v/>
      </c>
      <c r="T4" s="61" t="str">
        <f t="shared" ca="1" si="0"/>
        <v/>
      </c>
    </row>
    <row r="5" spans="1:24" ht="16.149999999999999" thickBot="1" x14ac:dyDescent="0.55000000000000004">
      <c r="B5" s="45" t="str">
        <f ca="1">IF(
   OR(
      INDIRECT("'1a. Input organisatieniveau'!M" &amp; (14 + INT((ROW()-4)/6)))="",
      INDIRECT("'1a. Input organisatieniveau'!M" &amp; (14 + INT((ROW()-4)/6)))=0
   ),
   "",
   INDIRECT("'1a. Input organisatieniveau'!M" &amp; (14 + INT((ROW()-4)/6)))
)</f>
        <v/>
      </c>
      <c r="D5" s="22" t="s">
        <v>28</v>
      </c>
      <c r="E5" s="10" t="str">
        <f t="array" aca="1" ref="E5" ca="1">IF($B5="", "", INDEX('Hulp (CAO''s)'!J$3:J$6, MATCH(TRUE, 'Hulp (CAO''s)'!$D$3:$D$6, 0)))</f>
        <v/>
      </c>
      <c r="F5" s="10" t="str">
        <f t="array" aca="1" ref="F5" ca="1">IF($B5="", "", INDEX('Hulp (CAO''s)'!K$3:K$6, MATCH(TRUE, 'Hulp (CAO''s)'!$D$3:$D$6, 0)))</f>
        <v/>
      </c>
      <c r="G5" s="10" t="str">
        <f t="array" aca="1" ref="G5" ca="1">IF($B5="", "", INDEX('Hulp (CAO''s)'!L$3:L$6, MATCH(TRUE, 'Hulp (CAO''s)'!$D$3:$D$6, 0)))</f>
        <v/>
      </c>
      <c r="H5" s="10" t="str">
        <f t="array" aca="1" ref="H5" ca="1">IF($B5="", "", INDEX('Hulp (CAO''s)'!M$3:M$6, MATCH(TRUE, 'Hulp (CAO''s)'!$D$3:$D$6, 0)))</f>
        <v/>
      </c>
      <c r="I5" s="10" t="str">
        <f t="array" aca="1" ref="I5" ca="1">IF($B5="", "", INDEX('Hulp (CAO''s)'!N$3:N$6, MATCH(TRUE, 'Hulp (CAO''s)'!$D$3:$D$6, 0)))</f>
        <v/>
      </c>
      <c r="J5" s="10" t="str">
        <f t="array" aca="1" ref="J5" ca="1">IF($B5="", "", INDEX('Hulp (CAO''s)'!O$3:O$6, MATCH(TRUE, 'Hulp (CAO''s)'!$D$3:$D$6, 0)))</f>
        <v/>
      </c>
      <c r="K5" s="10" t="str">
        <f t="array" aca="1" ref="K5" ca="1">IF($B5="", "", INDEX('Hulp (CAO''s)'!P$3:P$6, MATCH(TRUE, 'Hulp (CAO''s)'!$D$3:$D$6, 0)))</f>
        <v/>
      </c>
      <c r="L5" s="10" t="str">
        <f t="array" aca="1" ref="L5" ca="1">IF($B5="", "", INDEX('Hulp (CAO''s)'!Q$3:Q$6, MATCH(TRUE, 'Hulp (CAO''s)'!$D$3:$D$6, 0)))</f>
        <v/>
      </c>
      <c r="M5" s="10" t="str">
        <f t="array" aca="1" ref="M5" ca="1">IF($B5="", "", INDEX('Hulp (CAO''s)'!R$3:R$6, MATCH(TRUE, 'Hulp (CAO''s)'!$D$3:$D$6, 0)))</f>
        <v/>
      </c>
      <c r="N5" s="10" t="str">
        <f t="array" aca="1" ref="N5" ca="1">IF($B5="", "", INDEX('Hulp (CAO''s)'!S$3:S$6, MATCH(TRUE, 'Hulp (CAO''s)'!$D$3:$D$6, 0)))</f>
        <v/>
      </c>
      <c r="O5" s="10" t="str">
        <f t="array" aca="1" ref="O5" ca="1">IF($B5="", "", INDEX('Hulp (CAO''s)'!T$3:T$6, MATCH(TRUE, 'Hulp (CAO''s)'!$D$3:$D$6, 0)))</f>
        <v/>
      </c>
      <c r="P5" s="10" t="str">
        <f t="array" aca="1" ref="P5" ca="1">IF($B5="", "", INDEX('Hulp (CAO''s)'!U$3:U$6, MATCH(TRUE, 'Hulp (CAO''s)'!$D$3:$D$6, 0)))</f>
        <v/>
      </c>
      <c r="Q5" s="10" t="str">
        <f t="array" aca="1" ref="Q5" ca="1">IF($B5="", "", INDEX('Hulp (CAO''s)'!V$3:V$6, MATCH(TRUE, 'Hulp (CAO''s)'!$D$3:$D$6, 0)))</f>
        <v/>
      </c>
      <c r="R5" s="10" t="str">
        <f t="array" aca="1" ref="R5" ca="1">IF($B5="", "", INDEX('Hulp (CAO''s)'!W$3:W$6, MATCH(TRUE, 'Hulp (CAO''s)'!$D$3:$D$6, 0)))</f>
        <v/>
      </c>
      <c r="S5" s="10" t="str">
        <f t="array" aca="1" ref="S5" ca="1">IF($B5="", "", INDEX('Hulp (CAO''s)'!X$3:X$6, MATCH(TRUE, 'Hulp (CAO''s)'!$D$3:$D$6, 0)))</f>
        <v/>
      </c>
      <c r="T5" s="11" t="str">
        <f t="array" aca="1" ref="T5" ca="1">IF($B5="", "", INDEX('Hulp (CAO''s)'!Y$3:Y$6, MATCH(TRUE, 'Hulp (CAO''s)'!$D$3:$D$6, 0)))</f>
        <v/>
      </c>
      <c r="V5" s="25" t="s">
        <v>32</v>
      </c>
      <c r="W5" s="5"/>
    </row>
    <row r="6" spans="1:24" x14ac:dyDescent="0.5">
      <c r="D6" s="23" t="s">
        <v>29</v>
      </c>
      <c r="E6" s="6">
        <v>9</v>
      </c>
      <c r="F6" s="6">
        <v>10</v>
      </c>
      <c r="G6" s="6">
        <v>10</v>
      </c>
      <c r="H6" s="6">
        <v>9</v>
      </c>
      <c r="I6" s="6">
        <v>10</v>
      </c>
      <c r="J6" s="6">
        <v>11</v>
      </c>
      <c r="K6" s="6">
        <v>10</v>
      </c>
      <c r="L6" s="6">
        <v>10</v>
      </c>
      <c r="M6" s="6">
        <v>9</v>
      </c>
      <c r="N6" s="6">
        <v>10</v>
      </c>
      <c r="O6" s="6">
        <v>11</v>
      </c>
      <c r="P6" s="6">
        <v>12</v>
      </c>
      <c r="Q6" s="6">
        <v>13</v>
      </c>
      <c r="R6" s="6">
        <v>12</v>
      </c>
      <c r="S6" s="6">
        <v>10</v>
      </c>
      <c r="T6" s="4">
        <v>5</v>
      </c>
      <c r="V6" s="52">
        <v>4300</v>
      </c>
      <c r="X6" s="60" t="s">
        <v>747</v>
      </c>
    </row>
    <row r="7" spans="1:24" ht="14.65" thickBot="1" x14ac:dyDescent="0.5">
      <c r="B7"/>
      <c r="D7" s="40" t="str">
        <f>IFERROR(
   INDEX('Hulp (CAO''s)'!$I$3:$I$6, MATCH(TRUE, 'Hulp (CAO''s)'!$D$3:$D$6, 0)),
"")</f>
        <v>Bruto maandsalaris</v>
      </c>
      <c r="E7" s="86" t="str">
        <f t="array" aca="1" ref="E7" ca="1">IF(
    IFERROR(MIN(
        IF(
            (TRIM(INDIRECT("'" &amp; INDEX('Hulp (CAO''s)'!$C$3:$C$6,
                MATCH(TRUE,'Hulp (CAO''s)'!$D$3:$D$6,0)) &amp; "'!B1:B1000")) = TEXT(E6,"0")) *
            (ROW(INDIRECT("'" &amp; INDEX('Hulp (CAO''s)'!$C$3:$C$6,
                MATCH(TRUE,'Hulp (CAO''s)'!$D$3:$D$6,0)) &amp; "'!B1:B1000")) &gt; MATCH(
                E5,
                INDIRECT("'" &amp; INDEX('Hulp (CAO''s)'!$C$3:$C$6,
                    MATCH(TRUE,'Hulp (CAO''s)'!$D$3:$D$6,0)) &amp; "'!A:A"),
                0
            )) *
            IF(
                F5="",
                1,
                (ROW(INDIRECT("'" &amp; INDEX('Hulp (CAO''s)'!$C$3:$C$6,
                    MATCH(TRUE,'Hulp (CAO''s)'!$D$3:$D$6,0)) &amp; "'!B1:B1000")) &lt; MATCH(
                    F5,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TEXT(E6,"0")) *
                (ROW(INDIRECT("'" &amp; INDEX('Hulp (CAO''s)'!$C$3:$C$6,
                    MATCH(TRUE,'Hulp (CAO''s)'!$D$3:$D$6,0)) &amp; "'!B1:B1000")) &gt; MATCH(
                    E5,
                    INDIRECT("'" &amp; INDEX('Hulp (CAO''s)'!$C$3:$C$6,
                        MATCH(TRUE,'Hulp (CAO''s)'!$D$3:$D$6,0)) &amp; "'!A:A"),
                    0
                )) *
                IF(
                    F5="",
                    1,
                    (ROW(INDIRECT("'" &amp; INDEX('Hulp (CAO''s)'!$C$3:$C$6,
                        MATCH(TRUE,'Hulp (CAO''s)'!$D$3:$D$6,0)) &amp; "'!B1:B1000")) &lt; MATCH(
                        F5,
                        INDIRECT("'" &amp; INDEX('Hulp (CAO''s)'!$C$3:$C$6,
                            MATCH(TRUE,'Hulp (CAO''s)'!$D$3:$D$6,0)) &amp; "'!A:A"),
                        0
                    ))
                ),
                ROW(INDIRECT("'" &amp; INDEX('Hulp (CAO''s)'!$C$3:$C$6,
                    MATCH(TRUE,'Hulp (CAO''s)'!$D$3:$D$6,0)) &amp; "'!B1:B1000"))
            )
        ),0)
    )
)</f>
        <v/>
      </c>
      <c r="F7" s="86" t="str">
        <f t="array" aca="1" ref="F7" ca="1">IF(
    IFERROR(MIN(
        IF(
            (TRIM(INDIRECT("'" &amp; INDEX('Hulp (CAO''s)'!$C$3:$C$6,
                MATCH(TRUE,'Hulp (CAO''s)'!$D$3:$D$6,0)) &amp; "'!B1:B1000")) = TEXT(F6,"0")) *
            (ROW(INDIRECT("'" &amp; INDEX('Hulp (CAO''s)'!$C$3:$C$6,
                MATCH(TRUE,'Hulp (CAO''s)'!$D$3:$D$6,0)) &amp; "'!B1:B1000")) &gt; MATCH(
                F5,
                INDIRECT("'" &amp; INDEX('Hulp (CAO''s)'!$C$3:$C$6,
                    MATCH(TRUE,'Hulp (CAO''s)'!$D$3:$D$6,0)) &amp; "'!A:A"),
                0
            )) *
            IF(
                G5="",
                1,
                (ROW(INDIRECT("'" &amp; INDEX('Hulp (CAO''s)'!$C$3:$C$6,
                    MATCH(TRUE,'Hulp (CAO''s)'!$D$3:$D$6,0)) &amp; "'!B1:B1000")) &lt; MATCH(
                    G5,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TEXT(F6,"0")) *
                (ROW(INDIRECT("'" &amp; INDEX('Hulp (CAO''s)'!$C$3:$C$6,
                    MATCH(TRUE,'Hulp (CAO''s)'!$D$3:$D$6,0)) &amp; "'!B1:B1000")) &gt; MATCH(
                    F5,
                    INDIRECT("'" &amp; INDEX('Hulp (CAO''s)'!$C$3:$C$6,
                        MATCH(TRUE,'Hulp (CAO''s)'!$D$3:$D$6,0)) &amp; "'!A:A"),
                    0
                )) *
                IF(
                    G5="",
                    1,
                    (ROW(INDIRECT("'" &amp; INDEX('Hulp (CAO''s)'!$C$3:$C$6,
                        MATCH(TRUE,'Hulp (CAO''s)'!$D$3:$D$6,0)) &amp; "'!B1:B1000")) &lt; MATCH(
                        G5,
                        INDIRECT("'" &amp; INDEX('Hulp (CAO''s)'!$C$3:$C$6,
                            MATCH(TRUE,'Hulp (CAO''s)'!$D$3:$D$6,0)) &amp; "'!A:A"),
                        0
                    ))
                ),
                ROW(INDIRECT("'" &amp; INDEX('Hulp (CAO''s)'!$C$3:$C$6,
                    MATCH(TRUE,'Hulp (CAO''s)'!$D$3:$D$6,0)) &amp; "'!B1:B1000"))
            )
        ),0)
    )
)</f>
        <v/>
      </c>
      <c r="G7" s="86" t="str">
        <f t="array" aca="1" ref="G7" ca="1">IF(
    IFERROR(MIN(
        IF(
            (TRIM(INDIRECT("'" &amp; INDEX('Hulp (CAO''s)'!$C$3:$C$6,
                MATCH(TRUE,'Hulp (CAO''s)'!$D$3:$D$6,0)) &amp; "'!B1:B1000")) = TEXT(G6,"0")) *
            (ROW(INDIRECT("'" &amp; INDEX('Hulp (CAO''s)'!$C$3:$C$6,
                MATCH(TRUE,'Hulp (CAO''s)'!$D$3:$D$6,0)) &amp; "'!B1:B1000")) &gt; MATCH(
                G5,
                INDIRECT("'" &amp; INDEX('Hulp (CAO''s)'!$C$3:$C$6,
                    MATCH(TRUE,'Hulp (CAO''s)'!$D$3:$D$6,0)) &amp; "'!A:A"),
                0
            )) *
            IF(
                H5="",
                1,
                (ROW(INDIRECT("'" &amp; INDEX('Hulp (CAO''s)'!$C$3:$C$6,
                    MATCH(TRUE,'Hulp (CAO''s)'!$D$3:$D$6,0)) &amp; "'!B1:B1000")) &lt; MATCH(
                    H5,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TEXT(G6,"0")) *
                (ROW(INDIRECT("'" &amp; INDEX('Hulp (CAO''s)'!$C$3:$C$6,
                    MATCH(TRUE,'Hulp (CAO''s)'!$D$3:$D$6,0)) &amp; "'!B1:B1000")) &gt; MATCH(
                    G5,
                    INDIRECT("'" &amp; INDEX('Hulp (CAO''s)'!$C$3:$C$6,
                        MATCH(TRUE,'Hulp (CAO''s)'!$D$3:$D$6,0)) &amp; "'!A:A"),
                    0
                )) *
                IF(
                    H5="",
                    1,
                    (ROW(INDIRECT("'" &amp; INDEX('Hulp (CAO''s)'!$C$3:$C$6,
                        MATCH(TRUE,'Hulp (CAO''s)'!$D$3:$D$6,0)) &amp; "'!B1:B1000")) &lt; MATCH(
                        H5,
                        INDIRECT("'" &amp; INDEX('Hulp (CAO''s)'!$C$3:$C$6,
                            MATCH(TRUE,'Hulp (CAO''s)'!$D$3:$D$6,0)) &amp; "'!A:A"),
                        0
                    ))
                ),
                ROW(INDIRECT("'" &amp; INDEX('Hulp (CAO''s)'!$C$3:$C$6,
                    MATCH(TRUE,'Hulp (CAO''s)'!$D$3:$D$6,0)) &amp; "'!B1:B1000"))
            )
        ),0)
    )
)</f>
        <v/>
      </c>
      <c r="H7" s="86" t="str">
        <f t="array" aca="1" ref="H7" ca="1">IF(
    IFERROR(MIN(
        IF(
            (TRIM(INDIRECT("'" &amp; INDEX('Hulp (CAO''s)'!$C$3:$C$6,
                MATCH(TRUE,'Hulp (CAO''s)'!$D$3:$D$6,0)) &amp; "'!B1:B1000")) = TEXT(H6,"0")) *
            (ROW(INDIRECT("'" &amp; INDEX('Hulp (CAO''s)'!$C$3:$C$6,
                MATCH(TRUE,'Hulp (CAO''s)'!$D$3:$D$6,0)) &amp; "'!B1:B1000")) &gt; MATCH(
                H5,
                INDIRECT("'" &amp; INDEX('Hulp (CAO''s)'!$C$3:$C$6,
                    MATCH(TRUE,'Hulp (CAO''s)'!$D$3:$D$6,0)) &amp; "'!A:A"),
                0
            )) *
            IF(
                I5="",
                1,
                (ROW(INDIRECT("'" &amp; INDEX('Hulp (CAO''s)'!$C$3:$C$6,
                    MATCH(TRUE,'Hulp (CAO''s)'!$D$3:$D$6,0)) &amp; "'!B1:B1000")) &lt; MATCH(
                    I5,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TEXT(H6,"0")) *
                (ROW(INDIRECT("'" &amp; INDEX('Hulp (CAO''s)'!$C$3:$C$6,
                    MATCH(TRUE,'Hulp (CAO''s)'!$D$3:$D$6,0)) &amp; "'!B1:B1000")) &gt; MATCH(
                    H5,
                    INDIRECT("'" &amp; INDEX('Hulp (CAO''s)'!$C$3:$C$6,
                        MATCH(TRUE,'Hulp (CAO''s)'!$D$3:$D$6,0)) &amp; "'!A:A"),
                    0
                )) *
                IF(
                    I5="",
                    1,
                    (ROW(INDIRECT("'" &amp; INDEX('Hulp (CAO''s)'!$C$3:$C$6,
                        MATCH(TRUE,'Hulp (CAO''s)'!$D$3:$D$6,0)) &amp; "'!B1:B1000")) &lt; MATCH(
                        I5,
                        INDIRECT("'" &amp; INDEX('Hulp (CAO''s)'!$C$3:$C$6,
                            MATCH(TRUE,'Hulp (CAO''s)'!$D$3:$D$6,0)) &amp; "'!A:A"),
                        0
                    ))
                ),
                ROW(INDIRECT("'" &amp; INDEX('Hulp (CAO''s)'!$C$3:$C$6,
                    MATCH(TRUE,'Hulp (CAO''s)'!$D$3:$D$6,0)) &amp; "'!B1:B1000"))
            )
        ),0)
    )
)</f>
        <v/>
      </c>
      <c r="I7" s="86" t="str">
        <f t="array" aca="1" ref="I7" ca="1">IF(
    IFERROR(MIN(
        IF(
            (TRIM(INDIRECT("'" &amp; INDEX('Hulp (CAO''s)'!$C$3:$C$6,
                MATCH(TRUE,'Hulp (CAO''s)'!$D$3:$D$6,0)) &amp; "'!B1:B1000")) = TEXT(I6,"0")) *
            (ROW(INDIRECT("'" &amp; INDEX('Hulp (CAO''s)'!$C$3:$C$6,
                MATCH(TRUE,'Hulp (CAO''s)'!$D$3:$D$6,0)) &amp; "'!B1:B1000")) &gt; MATCH(
                I5,
                INDIRECT("'" &amp; INDEX('Hulp (CAO''s)'!$C$3:$C$6,
                    MATCH(TRUE,'Hulp (CAO''s)'!$D$3:$D$6,0)) &amp; "'!A:A"),
                0
            )) *
            IF(
                J5="",
                1,
                (ROW(INDIRECT("'" &amp; INDEX('Hulp (CAO''s)'!$C$3:$C$6,
                    MATCH(TRUE,'Hulp (CAO''s)'!$D$3:$D$6,0)) &amp; "'!B1:B1000")) &lt; MATCH(
                    J5,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TEXT(I6,"0")) *
                (ROW(INDIRECT("'" &amp; INDEX('Hulp (CAO''s)'!$C$3:$C$6,
                    MATCH(TRUE,'Hulp (CAO''s)'!$D$3:$D$6,0)) &amp; "'!B1:B1000")) &gt; MATCH(
                    I5,
                    INDIRECT("'" &amp; INDEX('Hulp (CAO''s)'!$C$3:$C$6,
                        MATCH(TRUE,'Hulp (CAO''s)'!$D$3:$D$6,0)) &amp; "'!A:A"),
                    0
                )) *
                IF(
                    J5="",
                    1,
                    (ROW(INDIRECT("'" &amp; INDEX('Hulp (CAO''s)'!$C$3:$C$6,
                        MATCH(TRUE,'Hulp (CAO''s)'!$D$3:$D$6,0)) &amp; "'!B1:B1000")) &lt; MATCH(
                        J5,
                        INDIRECT("'" &amp; INDEX('Hulp (CAO''s)'!$C$3:$C$6,
                            MATCH(TRUE,'Hulp (CAO''s)'!$D$3:$D$6,0)) &amp; "'!A:A"),
                        0
                    ))
                ),
                ROW(INDIRECT("'" &amp; INDEX('Hulp (CAO''s)'!$C$3:$C$6,
                    MATCH(TRUE,'Hulp (CAO''s)'!$D$3:$D$6,0)) &amp; "'!B1:B1000"))
            )
        ),0)
    )
)</f>
        <v/>
      </c>
      <c r="J7" s="86" t="str">
        <f t="array" aca="1" ref="J7" ca="1">IF(
    IFERROR(MIN(
        IF(
            (TRIM(INDIRECT("'" &amp; INDEX('Hulp (CAO''s)'!$C$3:$C$6,
                MATCH(TRUE,'Hulp (CAO''s)'!$D$3:$D$6,0)) &amp; "'!B1:B1000")) = TEXT(J6,"0")) *
            (ROW(INDIRECT("'" &amp; INDEX('Hulp (CAO''s)'!$C$3:$C$6,
                MATCH(TRUE,'Hulp (CAO''s)'!$D$3:$D$6,0)) &amp; "'!B1:B1000")) &gt; MATCH(
                J5,
                INDIRECT("'" &amp; INDEX('Hulp (CAO''s)'!$C$3:$C$6,
                    MATCH(TRUE,'Hulp (CAO''s)'!$D$3:$D$6,0)) &amp; "'!A:A"),
                0
            )) *
            IF(
                K5="",
                1,
                (ROW(INDIRECT("'" &amp; INDEX('Hulp (CAO''s)'!$C$3:$C$6,
                    MATCH(TRUE,'Hulp (CAO''s)'!$D$3:$D$6,0)) &amp; "'!B1:B1000")) &lt; MATCH(
                    K5,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TEXT(J6,"0")) *
                (ROW(INDIRECT("'" &amp; INDEX('Hulp (CAO''s)'!$C$3:$C$6,
                    MATCH(TRUE,'Hulp (CAO''s)'!$D$3:$D$6,0)) &amp; "'!B1:B1000")) &gt; MATCH(
                    J5,
                    INDIRECT("'" &amp; INDEX('Hulp (CAO''s)'!$C$3:$C$6,
                        MATCH(TRUE,'Hulp (CAO''s)'!$D$3:$D$6,0)) &amp; "'!A:A"),
                    0
                )) *
                IF(
                    K5="",
                    1,
                    (ROW(INDIRECT("'" &amp; INDEX('Hulp (CAO''s)'!$C$3:$C$6,
                        MATCH(TRUE,'Hulp (CAO''s)'!$D$3:$D$6,0)) &amp; "'!B1:B1000")) &lt; MATCH(
                        K5,
                        INDIRECT("'" &amp; INDEX('Hulp (CAO''s)'!$C$3:$C$6,
                            MATCH(TRUE,'Hulp (CAO''s)'!$D$3:$D$6,0)) &amp; "'!A:A"),
                        0
                    ))
                ),
                ROW(INDIRECT("'" &amp; INDEX('Hulp (CAO''s)'!$C$3:$C$6,
                    MATCH(TRUE,'Hulp (CAO''s)'!$D$3:$D$6,0)) &amp; "'!B1:B1000"))
            )
        ),0)
    )
)</f>
        <v/>
      </c>
      <c r="K7" s="86" t="str">
        <f t="array" aca="1" ref="K7" ca="1">IF(
    IFERROR(MIN(
        IF(
            (TRIM(INDIRECT("'" &amp; INDEX('Hulp (CAO''s)'!$C$3:$C$6,
                MATCH(TRUE,'Hulp (CAO''s)'!$D$3:$D$6,0)) &amp; "'!B1:B1000")) = TEXT(K6,"0")) *
            (ROW(INDIRECT("'" &amp; INDEX('Hulp (CAO''s)'!$C$3:$C$6,
                MATCH(TRUE,'Hulp (CAO''s)'!$D$3:$D$6,0)) &amp; "'!B1:B1000")) &gt; MATCH(
                K5,
                INDIRECT("'" &amp; INDEX('Hulp (CAO''s)'!$C$3:$C$6,
                    MATCH(TRUE,'Hulp (CAO''s)'!$D$3:$D$6,0)) &amp; "'!A:A"),
                0
            )) *
            IF(
                L5="",
                1,
                (ROW(INDIRECT("'" &amp; INDEX('Hulp (CAO''s)'!$C$3:$C$6,
                    MATCH(TRUE,'Hulp (CAO''s)'!$D$3:$D$6,0)) &amp; "'!B1:B1000")) &lt; MATCH(
                    L5,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TEXT(K6,"0")) *
                (ROW(INDIRECT("'" &amp; INDEX('Hulp (CAO''s)'!$C$3:$C$6,
                    MATCH(TRUE,'Hulp (CAO''s)'!$D$3:$D$6,0)) &amp; "'!B1:B1000")) &gt; MATCH(
                    K5,
                    INDIRECT("'" &amp; INDEX('Hulp (CAO''s)'!$C$3:$C$6,
                        MATCH(TRUE,'Hulp (CAO''s)'!$D$3:$D$6,0)) &amp; "'!A:A"),
                    0
                )) *
                IF(
                    L5="",
                    1,
                    (ROW(INDIRECT("'" &amp; INDEX('Hulp (CAO''s)'!$C$3:$C$6,
                        MATCH(TRUE,'Hulp (CAO''s)'!$D$3:$D$6,0)) &amp; "'!B1:B1000")) &lt; MATCH(
                        L5,
                        INDIRECT("'" &amp; INDEX('Hulp (CAO''s)'!$C$3:$C$6,
                            MATCH(TRUE,'Hulp (CAO''s)'!$D$3:$D$6,0)) &amp; "'!A:A"),
                        0
                    ))
                ),
                ROW(INDIRECT("'" &amp; INDEX('Hulp (CAO''s)'!$C$3:$C$6,
                    MATCH(TRUE,'Hulp (CAO''s)'!$D$3:$D$6,0)) &amp; "'!B1:B1000"))
            )
        ),0)
    )
)</f>
        <v/>
      </c>
      <c r="L7" s="86" t="str">
        <f t="array" aca="1" ref="L7" ca="1">IF(
    IFERROR(MIN(
        IF(
            (TRIM(INDIRECT("'" &amp; INDEX('Hulp (CAO''s)'!$C$3:$C$6,
                MATCH(TRUE,'Hulp (CAO''s)'!$D$3:$D$6,0)) &amp; "'!B1:B1000")) = TEXT(L6,"0")) *
            (ROW(INDIRECT("'" &amp; INDEX('Hulp (CAO''s)'!$C$3:$C$6,
                MATCH(TRUE,'Hulp (CAO''s)'!$D$3:$D$6,0)) &amp; "'!B1:B1000")) &gt; MATCH(
                L5,
                INDIRECT("'" &amp; INDEX('Hulp (CAO''s)'!$C$3:$C$6,
                    MATCH(TRUE,'Hulp (CAO''s)'!$D$3:$D$6,0)) &amp; "'!A:A"),
                0
            )) *
            IF(
                M5="",
                1,
                (ROW(INDIRECT("'" &amp; INDEX('Hulp (CAO''s)'!$C$3:$C$6,
                    MATCH(TRUE,'Hulp (CAO''s)'!$D$3:$D$6,0)) &amp; "'!B1:B1000")) &lt; MATCH(
                    M5,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TEXT(L6,"0")) *
                (ROW(INDIRECT("'" &amp; INDEX('Hulp (CAO''s)'!$C$3:$C$6,
                    MATCH(TRUE,'Hulp (CAO''s)'!$D$3:$D$6,0)) &amp; "'!B1:B1000")) &gt; MATCH(
                    L5,
                    INDIRECT("'" &amp; INDEX('Hulp (CAO''s)'!$C$3:$C$6,
                        MATCH(TRUE,'Hulp (CAO''s)'!$D$3:$D$6,0)) &amp; "'!A:A"),
                    0
                )) *
                IF(
                    M5="",
                    1,
                    (ROW(INDIRECT("'" &amp; INDEX('Hulp (CAO''s)'!$C$3:$C$6,
                        MATCH(TRUE,'Hulp (CAO''s)'!$D$3:$D$6,0)) &amp; "'!B1:B1000")) &lt; MATCH(
                        M5,
                        INDIRECT("'" &amp; INDEX('Hulp (CAO''s)'!$C$3:$C$6,
                            MATCH(TRUE,'Hulp (CAO''s)'!$D$3:$D$6,0)) &amp; "'!A:A"),
                        0
                    ))
                ),
                ROW(INDIRECT("'" &amp; INDEX('Hulp (CAO''s)'!$C$3:$C$6,
                    MATCH(TRUE,'Hulp (CAO''s)'!$D$3:$D$6,0)) &amp; "'!B1:B1000"))
            )
        ),0)
    )
)</f>
        <v/>
      </c>
      <c r="M7" s="86" t="str">
        <f t="array" aca="1" ref="M7" ca="1">IF(
    IFERROR(MIN(
        IF(
            (TRIM(INDIRECT("'" &amp; INDEX('Hulp (CAO''s)'!$C$3:$C$6,
                MATCH(TRUE,'Hulp (CAO''s)'!$D$3:$D$6,0)) &amp; "'!B1:B1000")) = TEXT(M6,"0")) *
            (ROW(INDIRECT("'" &amp; INDEX('Hulp (CAO''s)'!$C$3:$C$6,
                MATCH(TRUE,'Hulp (CAO''s)'!$D$3:$D$6,0)) &amp; "'!B1:B1000")) &gt; MATCH(
                M5,
                INDIRECT("'" &amp; INDEX('Hulp (CAO''s)'!$C$3:$C$6,
                    MATCH(TRUE,'Hulp (CAO''s)'!$D$3:$D$6,0)) &amp; "'!A:A"),
                0
            )) *
            IF(
                N5="",
                1,
                (ROW(INDIRECT("'" &amp; INDEX('Hulp (CAO''s)'!$C$3:$C$6,
                    MATCH(TRUE,'Hulp (CAO''s)'!$D$3:$D$6,0)) &amp; "'!B1:B1000")) &lt; MATCH(
                    N5,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TEXT(M6,"0")) *
                (ROW(INDIRECT("'" &amp; INDEX('Hulp (CAO''s)'!$C$3:$C$6,
                    MATCH(TRUE,'Hulp (CAO''s)'!$D$3:$D$6,0)) &amp; "'!B1:B1000")) &gt; MATCH(
                    M5,
                    INDIRECT("'" &amp; INDEX('Hulp (CAO''s)'!$C$3:$C$6,
                        MATCH(TRUE,'Hulp (CAO''s)'!$D$3:$D$6,0)) &amp; "'!A:A"),
                    0
                )) *
                IF(
                    N5="",
                    1,
                    (ROW(INDIRECT("'" &amp; INDEX('Hulp (CAO''s)'!$C$3:$C$6,
                        MATCH(TRUE,'Hulp (CAO''s)'!$D$3:$D$6,0)) &amp; "'!B1:B1000")) &lt; MATCH(
                        N5,
                        INDIRECT("'" &amp; INDEX('Hulp (CAO''s)'!$C$3:$C$6,
                            MATCH(TRUE,'Hulp (CAO''s)'!$D$3:$D$6,0)) &amp; "'!A:A"),
                        0
                    ))
                ),
                ROW(INDIRECT("'" &amp; INDEX('Hulp (CAO''s)'!$C$3:$C$6,
                    MATCH(TRUE,'Hulp (CAO''s)'!$D$3:$D$6,0)) &amp; "'!B1:B1000"))
            )
        ),0)
    )
)</f>
        <v/>
      </c>
      <c r="N7" s="86" t="str">
        <f t="array" aca="1" ref="N7" ca="1">IF(
    IFERROR(MIN(
        IF(
            (TRIM(INDIRECT("'" &amp; INDEX('Hulp (CAO''s)'!$C$3:$C$6,
                MATCH(TRUE,'Hulp (CAO''s)'!$D$3:$D$6,0)) &amp; "'!B1:B1000")) = TEXT(N6,"0")) *
            (ROW(INDIRECT("'" &amp; INDEX('Hulp (CAO''s)'!$C$3:$C$6,
                MATCH(TRUE,'Hulp (CAO''s)'!$D$3:$D$6,0)) &amp; "'!B1:B1000")) &gt; MATCH(
                N5,
                INDIRECT("'" &amp; INDEX('Hulp (CAO''s)'!$C$3:$C$6,
                    MATCH(TRUE,'Hulp (CAO''s)'!$D$3:$D$6,0)) &amp; "'!A:A"),
                0
            )) *
            IF(
                O5="",
                1,
                (ROW(INDIRECT("'" &amp; INDEX('Hulp (CAO''s)'!$C$3:$C$6,
                    MATCH(TRUE,'Hulp (CAO''s)'!$D$3:$D$6,0)) &amp; "'!B1:B1000")) &lt; MATCH(
                    O5,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TEXT(N6,"0")) *
                (ROW(INDIRECT("'" &amp; INDEX('Hulp (CAO''s)'!$C$3:$C$6,
                    MATCH(TRUE,'Hulp (CAO''s)'!$D$3:$D$6,0)) &amp; "'!B1:B1000")) &gt; MATCH(
                    N5,
                    INDIRECT("'" &amp; INDEX('Hulp (CAO''s)'!$C$3:$C$6,
                        MATCH(TRUE,'Hulp (CAO''s)'!$D$3:$D$6,0)) &amp; "'!A:A"),
                    0
                )) *
                IF(
                    O5="",
                    1,
                    (ROW(INDIRECT("'" &amp; INDEX('Hulp (CAO''s)'!$C$3:$C$6,
                        MATCH(TRUE,'Hulp (CAO''s)'!$D$3:$D$6,0)) &amp; "'!B1:B1000")) &lt; MATCH(
                        O5,
                        INDIRECT("'" &amp; INDEX('Hulp (CAO''s)'!$C$3:$C$6,
                            MATCH(TRUE,'Hulp (CAO''s)'!$D$3:$D$6,0)) &amp; "'!A:A"),
                        0
                    ))
                ),
                ROW(INDIRECT("'" &amp; INDEX('Hulp (CAO''s)'!$C$3:$C$6,
                    MATCH(TRUE,'Hulp (CAO''s)'!$D$3:$D$6,0)) &amp; "'!B1:B1000"))
            )
        ),0)
    )
)</f>
        <v/>
      </c>
      <c r="O7" s="86" t="str">
        <f t="array" aca="1" ref="O7" ca="1">IF(
    IFERROR(MIN(
        IF(
            (TRIM(INDIRECT("'" &amp; INDEX('Hulp (CAO''s)'!$C$3:$C$6,
                MATCH(TRUE,'Hulp (CAO''s)'!$D$3:$D$6,0)) &amp; "'!B1:B1000")) = TEXT(O6,"0")) *
            (ROW(INDIRECT("'" &amp; INDEX('Hulp (CAO''s)'!$C$3:$C$6,
                MATCH(TRUE,'Hulp (CAO''s)'!$D$3:$D$6,0)) &amp; "'!B1:B1000")) &gt; MATCH(
                O5,
                INDIRECT("'" &amp; INDEX('Hulp (CAO''s)'!$C$3:$C$6,
                    MATCH(TRUE,'Hulp (CAO''s)'!$D$3:$D$6,0)) &amp; "'!A:A"),
                0
            )) *
            IF(
                P5="",
                1,
                (ROW(INDIRECT("'" &amp; INDEX('Hulp (CAO''s)'!$C$3:$C$6,
                    MATCH(TRUE,'Hulp (CAO''s)'!$D$3:$D$6,0)) &amp; "'!B1:B1000")) &lt; MATCH(
                    P5,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TEXT(O6,"0")) *
                (ROW(INDIRECT("'" &amp; INDEX('Hulp (CAO''s)'!$C$3:$C$6,
                    MATCH(TRUE,'Hulp (CAO''s)'!$D$3:$D$6,0)) &amp; "'!B1:B1000")) &gt; MATCH(
                    O5,
                    INDIRECT("'" &amp; INDEX('Hulp (CAO''s)'!$C$3:$C$6,
                        MATCH(TRUE,'Hulp (CAO''s)'!$D$3:$D$6,0)) &amp; "'!A:A"),
                    0
                )) *
                IF(
                    P5="",
                    1,
                    (ROW(INDIRECT("'" &amp; INDEX('Hulp (CAO''s)'!$C$3:$C$6,
                        MATCH(TRUE,'Hulp (CAO''s)'!$D$3:$D$6,0)) &amp; "'!B1:B1000")) &lt; MATCH(
                        P5,
                        INDIRECT("'" &amp; INDEX('Hulp (CAO''s)'!$C$3:$C$6,
                            MATCH(TRUE,'Hulp (CAO''s)'!$D$3:$D$6,0)) &amp; "'!A:A"),
                        0
                    ))
                ),
                ROW(INDIRECT("'" &amp; INDEX('Hulp (CAO''s)'!$C$3:$C$6,
                    MATCH(TRUE,'Hulp (CAO''s)'!$D$3:$D$6,0)) &amp; "'!B1:B1000"))
            )
        ),0)
    )
)</f>
        <v/>
      </c>
      <c r="P7" s="86" t="str">
        <f t="array" aca="1" ref="P7" ca="1">IF(
    IFERROR(MIN(
        IF(
            (TRIM(INDIRECT("'" &amp; INDEX('Hulp (CAO''s)'!$C$3:$C$6,
                MATCH(TRUE,'Hulp (CAO''s)'!$D$3:$D$6,0)) &amp; "'!B1:B1000")) = TEXT(P6,"0")) *
            (ROW(INDIRECT("'" &amp; INDEX('Hulp (CAO''s)'!$C$3:$C$6,
                MATCH(TRUE,'Hulp (CAO''s)'!$D$3:$D$6,0)) &amp; "'!B1:B1000")) &gt; MATCH(
                P5,
                INDIRECT("'" &amp; INDEX('Hulp (CAO''s)'!$C$3:$C$6,
                    MATCH(TRUE,'Hulp (CAO''s)'!$D$3:$D$6,0)) &amp; "'!A:A"),
                0
            )) *
            IF(
                Q5="",
                1,
                (ROW(INDIRECT("'" &amp; INDEX('Hulp (CAO''s)'!$C$3:$C$6,
                    MATCH(TRUE,'Hulp (CAO''s)'!$D$3:$D$6,0)) &amp; "'!B1:B1000")) &lt; MATCH(
                    Q5,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TEXT(P6,"0")) *
                (ROW(INDIRECT("'" &amp; INDEX('Hulp (CAO''s)'!$C$3:$C$6,
                    MATCH(TRUE,'Hulp (CAO''s)'!$D$3:$D$6,0)) &amp; "'!B1:B1000")) &gt; MATCH(
                    P5,
                    INDIRECT("'" &amp; INDEX('Hulp (CAO''s)'!$C$3:$C$6,
                        MATCH(TRUE,'Hulp (CAO''s)'!$D$3:$D$6,0)) &amp; "'!A:A"),
                    0
                )) *
                IF(
                    Q5="",
                    1,
                    (ROW(INDIRECT("'" &amp; INDEX('Hulp (CAO''s)'!$C$3:$C$6,
                        MATCH(TRUE,'Hulp (CAO''s)'!$D$3:$D$6,0)) &amp; "'!B1:B1000")) &lt; MATCH(
                        Q5,
                        INDIRECT("'" &amp; INDEX('Hulp (CAO''s)'!$C$3:$C$6,
                            MATCH(TRUE,'Hulp (CAO''s)'!$D$3:$D$6,0)) &amp; "'!A:A"),
                        0
                    ))
                ),
                ROW(INDIRECT("'" &amp; INDEX('Hulp (CAO''s)'!$C$3:$C$6,
                    MATCH(TRUE,'Hulp (CAO''s)'!$D$3:$D$6,0)) &amp; "'!B1:B1000"))
            )
        ),0)
    )
)</f>
        <v/>
      </c>
      <c r="Q7" s="86" t="str">
        <f t="array" aca="1" ref="Q7" ca="1">IF(
    IFERROR(MIN(
        IF(
            (TRIM(INDIRECT("'" &amp; INDEX('Hulp (CAO''s)'!$C$3:$C$6,
                MATCH(TRUE,'Hulp (CAO''s)'!$D$3:$D$6,0)) &amp; "'!B1:B1000")) = TEXT(Q6,"0")) *
            (ROW(INDIRECT("'" &amp; INDEX('Hulp (CAO''s)'!$C$3:$C$6,
                MATCH(TRUE,'Hulp (CAO''s)'!$D$3:$D$6,0)) &amp; "'!B1:B1000")) &gt; MATCH(
                Q5,
                INDIRECT("'" &amp; INDEX('Hulp (CAO''s)'!$C$3:$C$6,
                    MATCH(TRUE,'Hulp (CAO''s)'!$D$3:$D$6,0)) &amp; "'!A:A"),
                0
            )) *
            IF(
                R5="",
                1,
                (ROW(INDIRECT("'" &amp; INDEX('Hulp (CAO''s)'!$C$3:$C$6,
                    MATCH(TRUE,'Hulp (CAO''s)'!$D$3:$D$6,0)) &amp; "'!B1:B1000")) &lt; MATCH(
                    R5,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TEXT(Q6,"0")) *
                (ROW(INDIRECT("'" &amp; INDEX('Hulp (CAO''s)'!$C$3:$C$6,
                    MATCH(TRUE,'Hulp (CAO''s)'!$D$3:$D$6,0)) &amp; "'!B1:B1000")) &gt; MATCH(
                    Q5,
                    INDIRECT("'" &amp; INDEX('Hulp (CAO''s)'!$C$3:$C$6,
                        MATCH(TRUE,'Hulp (CAO''s)'!$D$3:$D$6,0)) &amp; "'!A:A"),
                    0
                )) *
                IF(
                    R5="",
                    1,
                    (ROW(INDIRECT("'" &amp; INDEX('Hulp (CAO''s)'!$C$3:$C$6,
                        MATCH(TRUE,'Hulp (CAO''s)'!$D$3:$D$6,0)) &amp; "'!B1:B1000")) &lt; MATCH(
                        R5,
                        INDIRECT("'" &amp; INDEX('Hulp (CAO''s)'!$C$3:$C$6,
                            MATCH(TRUE,'Hulp (CAO''s)'!$D$3:$D$6,0)) &amp; "'!A:A"),
                        0
                    ))
                ),
                ROW(INDIRECT("'" &amp; INDEX('Hulp (CAO''s)'!$C$3:$C$6,
                    MATCH(TRUE,'Hulp (CAO''s)'!$D$3:$D$6,0)) &amp; "'!B1:B1000"))
            )
        ),0)
    )
)</f>
        <v/>
      </c>
      <c r="R7" s="86" t="str">
        <f t="array" aca="1" ref="R7" ca="1">IF(
    IFERROR(MIN(
        IF(
            (TRIM(INDIRECT("'" &amp; INDEX('Hulp (CAO''s)'!$C$3:$C$6,
                MATCH(TRUE,'Hulp (CAO''s)'!$D$3:$D$6,0)) &amp; "'!B1:B1000")) = TEXT(R6,"0")) *
            (ROW(INDIRECT("'" &amp; INDEX('Hulp (CAO''s)'!$C$3:$C$6,
                MATCH(TRUE,'Hulp (CAO''s)'!$D$3:$D$6,0)) &amp; "'!B1:B1000")) &gt; MATCH(
                R5,
                INDIRECT("'" &amp; INDEX('Hulp (CAO''s)'!$C$3:$C$6,
                    MATCH(TRUE,'Hulp (CAO''s)'!$D$3:$D$6,0)) &amp; "'!A:A"),
                0
            )) *
            IF(
                S5="",
                1,
                (ROW(INDIRECT("'" &amp; INDEX('Hulp (CAO''s)'!$C$3:$C$6,
                    MATCH(TRUE,'Hulp (CAO''s)'!$D$3:$D$6,0)) &amp; "'!B1:B1000")) &lt; MATCH(
                    S5,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TEXT(R6,"0")) *
                (ROW(INDIRECT("'" &amp; INDEX('Hulp (CAO''s)'!$C$3:$C$6,
                    MATCH(TRUE,'Hulp (CAO''s)'!$D$3:$D$6,0)) &amp; "'!B1:B1000")) &gt; MATCH(
                    R5,
                    INDIRECT("'" &amp; INDEX('Hulp (CAO''s)'!$C$3:$C$6,
                        MATCH(TRUE,'Hulp (CAO''s)'!$D$3:$D$6,0)) &amp; "'!A:A"),
                    0
                )) *
                IF(
                    S5="",
                    1,
                    (ROW(INDIRECT("'" &amp; INDEX('Hulp (CAO''s)'!$C$3:$C$6,
                        MATCH(TRUE,'Hulp (CAO''s)'!$D$3:$D$6,0)) &amp; "'!B1:B1000")) &lt; MATCH(
                        S5,
                        INDIRECT("'" &amp; INDEX('Hulp (CAO''s)'!$C$3:$C$6,
                            MATCH(TRUE,'Hulp (CAO''s)'!$D$3:$D$6,0)) &amp; "'!A:A"),
                        0
                    ))
                ),
                ROW(INDIRECT("'" &amp; INDEX('Hulp (CAO''s)'!$C$3:$C$6,
                    MATCH(TRUE,'Hulp (CAO''s)'!$D$3:$D$6,0)) &amp; "'!B1:B1000"))
            )
        ),0)
    )
)</f>
        <v/>
      </c>
      <c r="S7" s="86" t="str">
        <f t="array" aca="1" ref="S7" ca="1">IF(
    IFERROR(MIN(
        IF(
            (TRIM(INDIRECT("'" &amp; INDEX('Hulp (CAO''s)'!$C$3:$C$6,
                MATCH(TRUE,'Hulp (CAO''s)'!$D$3:$D$6,0)) &amp; "'!B1:B1000")) = TEXT(S6,"0")) *
            (ROW(INDIRECT("'" &amp; INDEX('Hulp (CAO''s)'!$C$3:$C$6,
                MATCH(TRUE,'Hulp (CAO''s)'!$D$3:$D$6,0)) &amp; "'!B1:B1000")) &gt; MATCH(
                S5,
                INDIRECT("'" &amp; INDEX('Hulp (CAO''s)'!$C$3:$C$6,
                    MATCH(TRUE,'Hulp (CAO''s)'!$D$3:$D$6,0)) &amp; "'!A:A"),
                0
            )) *
            IF(
                T5="",
                1,
                (ROW(INDIRECT("'" &amp; INDEX('Hulp (CAO''s)'!$C$3:$C$6,
                    MATCH(TRUE,'Hulp (CAO''s)'!$D$3:$D$6,0)) &amp; "'!B1:B1000")) &lt; MATCH(
                    T5,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TEXT(S6,"0")) *
                (ROW(INDIRECT("'" &amp; INDEX('Hulp (CAO''s)'!$C$3:$C$6,
                    MATCH(TRUE,'Hulp (CAO''s)'!$D$3:$D$6,0)) &amp; "'!B1:B1000")) &gt; MATCH(
                    S5,
                    INDIRECT("'" &amp; INDEX('Hulp (CAO''s)'!$C$3:$C$6,
                        MATCH(TRUE,'Hulp (CAO''s)'!$D$3:$D$6,0)) &amp; "'!A:A"),
                    0
                )) *
                IF(
                    T5="",
                    1,
                    (ROW(INDIRECT("'" &amp; INDEX('Hulp (CAO''s)'!$C$3:$C$6,
                        MATCH(TRUE,'Hulp (CAO''s)'!$D$3:$D$6,0)) &amp; "'!B1:B1000")) &lt; MATCH(
                        T5,
                        INDIRECT("'" &amp; INDEX('Hulp (CAO''s)'!$C$3:$C$6,
                            MATCH(TRUE,'Hulp (CAO''s)'!$D$3:$D$6,0)) &amp; "'!A:A"),
                        0
                    ))
                ),
                ROW(INDIRECT("'" &amp; INDEX('Hulp (CAO''s)'!$C$3:$C$6,
                    MATCH(TRUE,'Hulp (CAO''s)'!$D$3:$D$6,0)) &amp; "'!B1:B1000"))
            )
        ),0)
    )
)</f>
        <v/>
      </c>
      <c r="T7" s="39" t="str">
        <f t="array" aca="1" ref="T7" ca="1">IF(
    IFERROR(MIN(
        IF(
            (TRIM(INDIRECT("'" &amp; INDEX('Hulp (CAO''s)'!$C$3:$C$6,
                MATCH(TRUE,'Hulp (CAO''s)'!$D$3:$D$6,0)) &amp; "'!B1:B1000")) = TEXT(T6,"0")) *
            (ROW(INDIRECT("'" &amp; INDEX('Hulp (CAO''s)'!$C$3:$C$6,
                MATCH(TRUE,'Hulp (CAO''s)'!$D$3:$D$6,0)) &amp; "'!B1:B1000")) &gt; MATCH(
                T5,
                INDIRECT("'" &amp; INDEX('Hulp (CAO''s)'!$C$3:$C$6,
                    MATCH(TRUE,'Hulp (CAO''s)'!$D$3:$D$6,0)) &amp; "'!A:A"),
                0
            )) *
            IF(
                U5="",
                1,
                (ROW(INDIRECT("'" &amp; INDEX('Hulp (CAO''s)'!$C$3:$C$6,
                    MATCH(TRUE,'Hulp (CAO''s)'!$D$3:$D$6,0)) &amp; "'!B1:B1000")) &lt; MATCH(
                    U5,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TEXT(T6,"0")) *
                (ROW(INDIRECT("'" &amp; INDEX('Hulp (CAO''s)'!$C$3:$C$6,
                    MATCH(TRUE,'Hulp (CAO''s)'!$D$3:$D$6,0)) &amp; "'!B1:B1000")) &gt; MATCH(
                    T5,
                    INDIRECT("'" &amp; INDEX('Hulp (CAO''s)'!$C$3:$C$6,
                        MATCH(TRUE,'Hulp (CAO''s)'!$D$3:$D$6,0)) &amp; "'!A:A"),
                    0
                )) *
                IF(
                    U5="",
                    1,
                    (ROW(INDIRECT("'" &amp; INDEX('Hulp (CAO''s)'!$C$3:$C$6,
                        MATCH(TRUE,'Hulp (CAO''s)'!$D$3:$D$6,0)) &amp; "'!B1:B1000")) &lt; MATCH(
                        U5,
                        INDIRECT("'" &amp; INDEX('Hulp (CAO''s)'!$C$3:$C$6,
                            MATCH(TRUE,'Hulp (CAO''s)'!$D$3:$D$6,0)) &amp; "'!A:A"),
                        0
                    ))
                ),
                ROW(INDIRECT("'" &amp; INDEX('Hulp (CAO''s)'!$C$3:$C$6,
                    MATCH(TRUE,'Hulp (CAO''s)'!$D$3:$D$6,0)) &amp; "'!B1:B1000"))
            )
        ),0)
    )
)</f>
        <v/>
      </c>
      <c r="V7" s="38" t="str">
        <f t="array" aca="1" ref="V7" ca="1">IF(
   SUM(E7:T7)=0,
   "",
   (
      SUMPRODUCT(
         IF(E7:T7="",0,E7:T7),
         IF(E8:T8="",0,E8:T8) * SUM(E8:T8)
      )
   ) *
   IF(
      'Hulp (CAO''s)'!#REF!,
      IF(
         OR(
            INDEX(#REF!, ROW(#REF!) + INT((ROW()-ROW($V$7))/6)*8)="",
            ISNA(INDEX(#REF!, ROW(#REF!) + INT((ROW()-ROW($V$7))/6)*8))
         ),
         1878/12,
         INDEX(#REF!, ROW(#REF!) + INT((ROW()-ROW($V$7))/6)*8)/12
      ),
      1
   )
)</f>
        <v/>
      </c>
    </row>
    <row r="8" spans="1:24" ht="14.65" thickBot="1" x14ac:dyDescent="0.5">
      <c r="B8" s="48" t="s">
        <v>774</v>
      </c>
      <c r="D8" s="24" t="s">
        <v>59</v>
      </c>
      <c r="E8" s="8">
        <v>0.05</v>
      </c>
      <c r="F8" s="8">
        <v>0.1</v>
      </c>
      <c r="G8" s="8">
        <v>0.1</v>
      </c>
      <c r="H8" s="8">
        <v>0.15</v>
      </c>
      <c r="I8" s="8">
        <v>0.2</v>
      </c>
      <c r="J8" s="8">
        <v>0.15</v>
      </c>
      <c r="K8" s="8">
        <v>0.1</v>
      </c>
      <c r="L8" s="8">
        <v>0.05</v>
      </c>
      <c r="M8" s="8">
        <v>0.05</v>
      </c>
      <c r="N8" s="8">
        <v>0.05</v>
      </c>
      <c r="O8" s="8">
        <v>0</v>
      </c>
      <c r="P8" s="8"/>
      <c r="Q8" s="8"/>
      <c r="R8" s="8"/>
      <c r="S8" s="8"/>
      <c r="T8" s="9"/>
      <c r="U8" s="7"/>
      <c r="V8" s="37" t="str">
        <f ca="1">IF(B5="","",IF(INDIRECT("'Hulp (control forms)'!C" &amp; (13 + INT((ROW()-ROW($B$5))/6))), V6, V7))</f>
        <v/>
      </c>
      <c r="W8" s="7"/>
    </row>
    <row r="9" spans="1:24" x14ac:dyDescent="0.5">
      <c r="S9" s="7" t="str">
        <f>IF($B8="Aandeel in %",
   "Totaal: "&amp;SUM(E8:T8)*100&amp;"%",
   "Totaal: "&amp;SUM(E8:T8)&amp;" uur"
)</f>
        <v>Totaal: 1 uur</v>
      </c>
      <c r="T9" s="7"/>
    </row>
    <row r="10" spans="1:24" ht="16.149999999999999" thickBot="1" x14ac:dyDescent="0.55000000000000004">
      <c r="B10" s="44" t="str">
        <f ca="1">IF(B11="","",IF(
   OR(
      INDIRECT("'1a. Input organisatieniveau'!N" &amp; (14 + INT((ROW()-4)/6)))="",
      INDIRECT("'1a. Input organisatieniveau'!N" &amp; (14 + INT((ROW()-4)/6)))=0
   ),
   "",
   INDIRECT("'1a. Input organisatieniveau'!N" &amp; (14 + INT((ROW()-4)/6)))
))</f>
        <v/>
      </c>
      <c r="E10" s="61" t="str">
        <f t="shared" ref="E10:T10" ca="1" si="1">IF(AND(AND(E11&lt;&gt;"",E12&lt;&gt;""),E13=""),"!","")</f>
        <v/>
      </c>
      <c r="F10" s="61" t="str">
        <f t="shared" ca="1" si="1"/>
        <v/>
      </c>
      <c r="G10" s="61" t="str">
        <f t="shared" ca="1" si="1"/>
        <v/>
      </c>
      <c r="H10" s="61" t="str">
        <f t="shared" ca="1" si="1"/>
        <v/>
      </c>
      <c r="I10" s="61" t="str">
        <f t="shared" ca="1" si="1"/>
        <v/>
      </c>
      <c r="J10" s="61" t="str">
        <f t="shared" ca="1" si="1"/>
        <v/>
      </c>
      <c r="K10" s="61" t="str">
        <f t="shared" ca="1" si="1"/>
        <v/>
      </c>
      <c r="L10" s="61" t="str">
        <f t="shared" ca="1" si="1"/>
        <v/>
      </c>
      <c r="M10" s="61" t="str">
        <f t="shared" ca="1" si="1"/>
        <v/>
      </c>
      <c r="N10" s="61" t="str">
        <f t="shared" ca="1" si="1"/>
        <v/>
      </c>
      <c r="O10" s="61" t="str">
        <f t="shared" ca="1" si="1"/>
        <v/>
      </c>
      <c r="P10" s="61" t="str">
        <f t="shared" ca="1" si="1"/>
        <v/>
      </c>
      <c r="Q10" s="61" t="str">
        <f t="shared" ca="1" si="1"/>
        <v/>
      </c>
      <c r="R10" s="61" t="str">
        <f t="shared" ca="1" si="1"/>
        <v/>
      </c>
      <c r="S10" s="61" t="str">
        <f t="shared" ca="1" si="1"/>
        <v/>
      </c>
      <c r="T10" s="61" t="str">
        <f t="shared" ca="1" si="1"/>
        <v/>
      </c>
    </row>
    <row r="11" spans="1:24" ht="16.149999999999999" thickBot="1" x14ac:dyDescent="0.55000000000000004">
      <c r="B11" s="45" t="str">
        <f ca="1">IF(
   OR(
      INDIRECT("'1a. Input organisatieniveau'!M" &amp; (14 + INT((ROW()-4)/6)))="",
      INDIRECT("'1a. Input organisatieniveau'!M" &amp; (14 + INT((ROW()-4)/6)))=0
   ),
   "",
   INDIRECT("'1a. Input organisatieniveau'!M" &amp; (14 + INT((ROW()-4)/6)))
)</f>
        <v/>
      </c>
      <c r="D11" s="22" t="s">
        <v>28</v>
      </c>
      <c r="E11" s="10" t="str">
        <f t="array" aca="1" ref="E11" ca="1">IF($B11="", "", INDEX('Hulp (CAO''s)'!J$3:J$6, MATCH(TRUE, 'Hulp (CAO''s)'!$D$3:$D$6, 0)))</f>
        <v/>
      </c>
      <c r="F11" s="10" t="str">
        <f t="array" aca="1" ref="F11" ca="1">IF($B11="", "", INDEX('Hulp (CAO''s)'!K$3:K$6, MATCH(TRUE, 'Hulp (CAO''s)'!$D$3:$D$6, 0)))</f>
        <v/>
      </c>
      <c r="G11" s="10" t="str">
        <f t="array" aca="1" ref="G11" ca="1">IF($B11="", "", INDEX('Hulp (CAO''s)'!L$3:L$6, MATCH(TRUE, 'Hulp (CAO''s)'!$D$3:$D$6, 0)))</f>
        <v/>
      </c>
      <c r="H11" s="10" t="str">
        <f t="array" aca="1" ref="H11" ca="1">IF($B11="", "", INDEX('Hulp (CAO''s)'!M$3:M$6, MATCH(TRUE, 'Hulp (CAO''s)'!$D$3:$D$6, 0)))</f>
        <v/>
      </c>
      <c r="I11" s="10" t="str">
        <f t="array" aca="1" ref="I11" ca="1">IF($B11="", "", INDEX('Hulp (CAO''s)'!N$3:N$6, MATCH(TRUE, 'Hulp (CAO''s)'!$D$3:$D$6, 0)))</f>
        <v/>
      </c>
      <c r="J11" s="10" t="str">
        <f t="array" aca="1" ref="J11" ca="1">IF($B11="", "", INDEX('Hulp (CAO''s)'!O$3:O$6, MATCH(TRUE, 'Hulp (CAO''s)'!$D$3:$D$6, 0)))</f>
        <v/>
      </c>
      <c r="K11" s="10" t="str">
        <f t="array" aca="1" ref="K11" ca="1">IF($B11="", "", INDEX('Hulp (CAO''s)'!P$3:P$6, MATCH(TRUE, 'Hulp (CAO''s)'!$D$3:$D$6, 0)))</f>
        <v/>
      </c>
      <c r="L11" s="10" t="str">
        <f t="array" aca="1" ref="L11" ca="1">IF($B11="", "", INDEX('Hulp (CAO''s)'!Q$3:Q$6, MATCH(TRUE, 'Hulp (CAO''s)'!$D$3:$D$6, 0)))</f>
        <v/>
      </c>
      <c r="M11" s="10" t="str">
        <f t="array" aca="1" ref="M11" ca="1">IF($B11="", "", INDEX('Hulp (CAO''s)'!R$3:R$6, MATCH(TRUE, 'Hulp (CAO''s)'!$D$3:$D$6, 0)))</f>
        <v/>
      </c>
      <c r="N11" s="10" t="str">
        <f t="array" aca="1" ref="N11" ca="1">IF($B11="", "", INDEX('Hulp (CAO''s)'!S$3:S$6, MATCH(TRUE, 'Hulp (CAO''s)'!$D$3:$D$6, 0)))</f>
        <v/>
      </c>
      <c r="O11" s="10" t="str">
        <f t="array" aca="1" ref="O11" ca="1">IF($B11="", "", INDEX('Hulp (CAO''s)'!T$3:T$6, MATCH(TRUE, 'Hulp (CAO''s)'!$D$3:$D$6, 0)))</f>
        <v/>
      </c>
      <c r="P11" s="10" t="str">
        <f t="array" aca="1" ref="P11" ca="1">IF($B11="", "", INDEX('Hulp (CAO''s)'!U$3:U$6, MATCH(TRUE, 'Hulp (CAO''s)'!$D$3:$D$6, 0)))</f>
        <v/>
      </c>
      <c r="Q11" s="10" t="str">
        <f t="array" aca="1" ref="Q11" ca="1">IF($B11="", "", INDEX('Hulp (CAO''s)'!V$3:V$6, MATCH(TRUE, 'Hulp (CAO''s)'!$D$3:$D$6, 0)))</f>
        <v/>
      </c>
      <c r="R11" s="10" t="str">
        <f t="array" aca="1" ref="R11" ca="1">IF($B11="", "", INDEX('Hulp (CAO''s)'!W$3:W$6, MATCH(TRUE, 'Hulp (CAO''s)'!$D$3:$D$6, 0)))</f>
        <v/>
      </c>
      <c r="S11" s="10" t="str">
        <f t="array" aca="1" ref="S11" ca="1">IF($B11="", "", INDEX('Hulp (CAO''s)'!X$3:X$6, MATCH(TRUE, 'Hulp (CAO''s)'!$D$3:$D$6, 0)))</f>
        <v/>
      </c>
      <c r="T11" s="11" t="str">
        <f t="array" aca="1" ref="T11" ca="1">IF($B11="", "", INDEX('Hulp (CAO''s)'!Y$3:Y$6, MATCH(TRUE, 'Hulp (CAO''s)'!$D$3:$D$6, 0)))</f>
        <v/>
      </c>
      <c r="V11" s="25" t="s">
        <v>32</v>
      </c>
      <c r="W11" s="5"/>
    </row>
    <row r="12" spans="1:24" x14ac:dyDescent="0.5">
      <c r="D12" s="23" t="s">
        <v>29</v>
      </c>
      <c r="E12" s="6">
        <v>6</v>
      </c>
      <c r="F12" s="6">
        <v>6</v>
      </c>
      <c r="G12" s="6">
        <v>9</v>
      </c>
      <c r="H12" s="6">
        <v>9</v>
      </c>
      <c r="I12" s="6">
        <v>10</v>
      </c>
      <c r="J12" s="6">
        <v>10</v>
      </c>
      <c r="K12" s="6">
        <v>10</v>
      </c>
      <c r="L12" s="6">
        <v>10</v>
      </c>
      <c r="M12" s="6">
        <v>10</v>
      </c>
      <c r="N12" s="6">
        <v>10</v>
      </c>
      <c r="O12" s="6">
        <v>11</v>
      </c>
      <c r="P12" s="6">
        <v>12</v>
      </c>
      <c r="Q12" s="6">
        <v>13</v>
      </c>
      <c r="R12" s="6">
        <v>12</v>
      </c>
      <c r="S12" s="6">
        <v>10</v>
      </c>
      <c r="T12" s="4">
        <v>5</v>
      </c>
      <c r="V12" s="52">
        <v>4300</v>
      </c>
      <c r="X12" s="60" t="s">
        <v>747</v>
      </c>
    </row>
    <row r="13" spans="1:24" ht="14.65" thickBot="1" x14ac:dyDescent="0.5">
      <c r="B13"/>
      <c r="D13" s="40" t="str">
        <f>IFERROR(
   INDEX('Hulp (CAO''s)'!$I$3:$I$6, MATCH(TRUE, 'Hulp (CAO''s)'!$D$3:$D$6, 0)),
"")</f>
        <v>Bruto maandsalaris</v>
      </c>
      <c r="E13" s="86" t="str">
        <f t="array" aca="1" ref="E13" ca="1">IF(
    IFERROR(MIN(
        IF(
            (TRIM(INDIRECT("'" &amp; INDEX('Hulp (CAO''s)'!$C$3:$C$6,
                MATCH(TRUE,'Hulp (CAO''s)'!$D$3:$D$6,0)) &amp; "'!B1:B1000")) = TEXT(E12,"0")) *
            (ROW(INDIRECT("'" &amp; INDEX('Hulp (CAO''s)'!$C$3:$C$6,
                MATCH(TRUE,'Hulp (CAO''s)'!$D$3:$D$6,0)) &amp; "'!B1:B1000")) &gt; MATCH(
                E11,
                INDIRECT("'" &amp; INDEX('Hulp (CAO''s)'!$C$3:$C$6,
                    MATCH(TRUE,'Hulp (CAO''s)'!$D$3:$D$6,0)) &amp; "'!A:A"),
                0
            )) *
            IF(
                F11="",
                1,
                (ROW(INDIRECT("'" &amp; INDEX('Hulp (CAO''s)'!$C$3:$C$6,
                    MATCH(TRUE,'Hulp (CAO''s)'!$D$3:$D$6,0)) &amp; "'!B1:B1000")) &lt; MATCH(
                    F11,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TEXT(E12,"0")) *
                (ROW(INDIRECT("'" &amp; INDEX('Hulp (CAO''s)'!$C$3:$C$6,
                    MATCH(TRUE,'Hulp (CAO''s)'!$D$3:$D$6,0)) &amp; "'!B1:B1000")) &gt; MATCH(
                    E11,
                    INDIRECT("'" &amp; INDEX('Hulp (CAO''s)'!$C$3:$C$6,
                        MATCH(TRUE,'Hulp (CAO''s)'!$D$3:$D$6,0)) &amp; "'!A:A"),
                    0
                )) *
                IF(
                    F11="",
                    1,
                    (ROW(INDIRECT("'" &amp; INDEX('Hulp (CAO''s)'!$C$3:$C$6,
                        MATCH(TRUE,'Hulp (CAO''s)'!$D$3:$D$6,0)) &amp; "'!B1:B1000")) &lt; MATCH(
                        F11,
                        INDIRECT("'" &amp; INDEX('Hulp (CAO''s)'!$C$3:$C$6,
                            MATCH(TRUE,'Hulp (CAO''s)'!$D$3:$D$6,0)) &amp; "'!A:A"),
                        0
                    ))
                ),
                ROW(INDIRECT("'" &amp; INDEX('Hulp (CAO''s)'!$C$3:$C$6,
                    MATCH(TRUE,'Hulp (CAO''s)'!$D$3:$D$6,0)) &amp; "'!B1:B1000"))
            )
        ),0)
    )
)</f>
        <v/>
      </c>
      <c r="F13" s="86" t="str">
        <f t="array" aca="1" ref="F13" ca="1">IF(
    IFERROR(MIN(
        IF(
            (TRIM(INDIRECT("'" &amp; INDEX('Hulp (CAO''s)'!$C$3:$C$6,
                MATCH(TRUE,'Hulp (CAO''s)'!$D$3:$D$6,0)) &amp; "'!B1:B1000")) = TEXT(F12,"0")) *
            (ROW(INDIRECT("'" &amp; INDEX('Hulp (CAO''s)'!$C$3:$C$6,
                MATCH(TRUE,'Hulp (CAO''s)'!$D$3:$D$6,0)) &amp; "'!B1:B1000")) &gt; MATCH(
                F11,
                INDIRECT("'" &amp; INDEX('Hulp (CAO''s)'!$C$3:$C$6,
                    MATCH(TRUE,'Hulp (CAO''s)'!$D$3:$D$6,0)) &amp; "'!A:A"),
                0
            )) *
            IF(
                G11="",
                1,
                (ROW(INDIRECT("'" &amp; INDEX('Hulp (CAO''s)'!$C$3:$C$6,
                    MATCH(TRUE,'Hulp (CAO''s)'!$D$3:$D$6,0)) &amp; "'!B1:B1000")) &lt; MATCH(
                    G11,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TEXT(F12,"0")) *
                (ROW(INDIRECT("'" &amp; INDEX('Hulp (CAO''s)'!$C$3:$C$6,
                    MATCH(TRUE,'Hulp (CAO''s)'!$D$3:$D$6,0)) &amp; "'!B1:B1000")) &gt; MATCH(
                    F11,
                    INDIRECT("'" &amp; INDEX('Hulp (CAO''s)'!$C$3:$C$6,
                        MATCH(TRUE,'Hulp (CAO''s)'!$D$3:$D$6,0)) &amp; "'!A:A"),
                    0
                )) *
                IF(
                    G11="",
                    1,
                    (ROW(INDIRECT("'" &amp; INDEX('Hulp (CAO''s)'!$C$3:$C$6,
                        MATCH(TRUE,'Hulp (CAO''s)'!$D$3:$D$6,0)) &amp; "'!B1:B1000")) &lt; MATCH(
                        G11,
                        INDIRECT("'" &amp; INDEX('Hulp (CAO''s)'!$C$3:$C$6,
                            MATCH(TRUE,'Hulp (CAO''s)'!$D$3:$D$6,0)) &amp; "'!A:A"),
                        0
                    ))
                ),
                ROW(INDIRECT("'" &amp; INDEX('Hulp (CAO''s)'!$C$3:$C$6,
                    MATCH(TRUE,'Hulp (CAO''s)'!$D$3:$D$6,0)) &amp; "'!B1:B1000"))
            )
        ),0)
    )
)</f>
        <v/>
      </c>
      <c r="G13" s="86" t="str">
        <f t="array" aca="1" ref="G13" ca="1">IF(
    IFERROR(MIN(
        IF(
            (TRIM(INDIRECT("'" &amp; INDEX('Hulp (CAO''s)'!$C$3:$C$6,
                MATCH(TRUE,'Hulp (CAO''s)'!$D$3:$D$6,0)) &amp; "'!B1:B1000")) = TEXT(G12,"0")) *
            (ROW(INDIRECT("'" &amp; INDEX('Hulp (CAO''s)'!$C$3:$C$6,
                MATCH(TRUE,'Hulp (CAO''s)'!$D$3:$D$6,0)) &amp; "'!B1:B1000")) &gt; MATCH(
                G11,
                INDIRECT("'" &amp; INDEX('Hulp (CAO''s)'!$C$3:$C$6,
                    MATCH(TRUE,'Hulp (CAO''s)'!$D$3:$D$6,0)) &amp; "'!A:A"),
                0
            )) *
            IF(
                H11="",
                1,
                (ROW(INDIRECT("'" &amp; INDEX('Hulp (CAO''s)'!$C$3:$C$6,
                    MATCH(TRUE,'Hulp (CAO''s)'!$D$3:$D$6,0)) &amp; "'!B1:B1000")) &lt; MATCH(
                    H11,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TEXT(G12,"0")) *
                (ROW(INDIRECT("'" &amp; INDEX('Hulp (CAO''s)'!$C$3:$C$6,
                    MATCH(TRUE,'Hulp (CAO''s)'!$D$3:$D$6,0)) &amp; "'!B1:B1000")) &gt; MATCH(
                    G11,
                    INDIRECT("'" &amp; INDEX('Hulp (CAO''s)'!$C$3:$C$6,
                        MATCH(TRUE,'Hulp (CAO''s)'!$D$3:$D$6,0)) &amp; "'!A:A"),
                    0
                )) *
                IF(
                    H11="",
                    1,
                    (ROW(INDIRECT("'" &amp; INDEX('Hulp (CAO''s)'!$C$3:$C$6,
                        MATCH(TRUE,'Hulp (CAO''s)'!$D$3:$D$6,0)) &amp; "'!B1:B1000")) &lt; MATCH(
                        H11,
                        INDIRECT("'" &amp; INDEX('Hulp (CAO''s)'!$C$3:$C$6,
                            MATCH(TRUE,'Hulp (CAO''s)'!$D$3:$D$6,0)) &amp; "'!A:A"),
                        0
                    ))
                ),
                ROW(INDIRECT("'" &amp; INDEX('Hulp (CAO''s)'!$C$3:$C$6,
                    MATCH(TRUE,'Hulp (CAO''s)'!$D$3:$D$6,0)) &amp; "'!B1:B1000"))
            )
        ),0)
    )
)</f>
        <v/>
      </c>
      <c r="H13" s="86" t="str">
        <f t="array" aca="1" ref="H13" ca="1">IF(
    IFERROR(MIN(
        IF(
            (TRIM(INDIRECT("'" &amp; INDEX('Hulp (CAO''s)'!$C$3:$C$6,
                MATCH(TRUE,'Hulp (CAO''s)'!$D$3:$D$6,0)) &amp; "'!B1:B1000")) = TEXT(H12,"0")) *
            (ROW(INDIRECT("'" &amp; INDEX('Hulp (CAO''s)'!$C$3:$C$6,
                MATCH(TRUE,'Hulp (CAO''s)'!$D$3:$D$6,0)) &amp; "'!B1:B1000")) &gt; MATCH(
                H11,
                INDIRECT("'" &amp; INDEX('Hulp (CAO''s)'!$C$3:$C$6,
                    MATCH(TRUE,'Hulp (CAO''s)'!$D$3:$D$6,0)) &amp; "'!A:A"),
                0
            )) *
            IF(
                I11="",
                1,
                (ROW(INDIRECT("'" &amp; INDEX('Hulp (CAO''s)'!$C$3:$C$6,
                    MATCH(TRUE,'Hulp (CAO''s)'!$D$3:$D$6,0)) &amp; "'!B1:B1000")) &lt; MATCH(
                    I11,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TEXT(H12,"0")) *
                (ROW(INDIRECT("'" &amp; INDEX('Hulp (CAO''s)'!$C$3:$C$6,
                    MATCH(TRUE,'Hulp (CAO''s)'!$D$3:$D$6,0)) &amp; "'!B1:B1000")) &gt; MATCH(
                    H11,
                    INDIRECT("'" &amp; INDEX('Hulp (CAO''s)'!$C$3:$C$6,
                        MATCH(TRUE,'Hulp (CAO''s)'!$D$3:$D$6,0)) &amp; "'!A:A"),
                    0
                )) *
                IF(
                    I11="",
                    1,
                    (ROW(INDIRECT("'" &amp; INDEX('Hulp (CAO''s)'!$C$3:$C$6,
                        MATCH(TRUE,'Hulp (CAO''s)'!$D$3:$D$6,0)) &amp; "'!B1:B1000")) &lt; MATCH(
                        I11,
                        INDIRECT("'" &amp; INDEX('Hulp (CAO''s)'!$C$3:$C$6,
                            MATCH(TRUE,'Hulp (CAO''s)'!$D$3:$D$6,0)) &amp; "'!A:A"),
                        0
                    ))
                ),
                ROW(INDIRECT("'" &amp; INDEX('Hulp (CAO''s)'!$C$3:$C$6,
                    MATCH(TRUE,'Hulp (CAO''s)'!$D$3:$D$6,0)) &amp; "'!B1:B1000"))
            )
        ),0)
    )
)</f>
        <v/>
      </c>
      <c r="I13" s="86" t="str">
        <f t="array" aca="1" ref="I13" ca="1">IF(
    IFERROR(MIN(
        IF(
            (TRIM(INDIRECT("'" &amp; INDEX('Hulp (CAO''s)'!$C$3:$C$6,
                MATCH(TRUE,'Hulp (CAO''s)'!$D$3:$D$6,0)) &amp; "'!B1:B1000")) = TEXT(I12,"0")) *
            (ROW(INDIRECT("'" &amp; INDEX('Hulp (CAO''s)'!$C$3:$C$6,
                MATCH(TRUE,'Hulp (CAO''s)'!$D$3:$D$6,0)) &amp; "'!B1:B1000")) &gt; MATCH(
                I11,
                INDIRECT("'" &amp; INDEX('Hulp (CAO''s)'!$C$3:$C$6,
                    MATCH(TRUE,'Hulp (CAO''s)'!$D$3:$D$6,0)) &amp; "'!A:A"),
                0
            )) *
            IF(
                J11="",
                1,
                (ROW(INDIRECT("'" &amp; INDEX('Hulp (CAO''s)'!$C$3:$C$6,
                    MATCH(TRUE,'Hulp (CAO''s)'!$D$3:$D$6,0)) &amp; "'!B1:B1000")) &lt; MATCH(
                    J11,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TEXT(I12,"0")) *
                (ROW(INDIRECT("'" &amp; INDEX('Hulp (CAO''s)'!$C$3:$C$6,
                    MATCH(TRUE,'Hulp (CAO''s)'!$D$3:$D$6,0)) &amp; "'!B1:B1000")) &gt; MATCH(
                    I11,
                    INDIRECT("'" &amp; INDEX('Hulp (CAO''s)'!$C$3:$C$6,
                        MATCH(TRUE,'Hulp (CAO''s)'!$D$3:$D$6,0)) &amp; "'!A:A"),
                    0
                )) *
                IF(
                    J11="",
                    1,
                    (ROW(INDIRECT("'" &amp; INDEX('Hulp (CAO''s)'!$C$3:$C$6,
                        MATCH(TRUE,'Hulp (CAO''s)'!$D$3:$D$6,0)) &amp; "'!B1:B1000")) &lt; MATCH(
                        J11,
                        INDIRECT("'" &amp; INDEX('Hulp (CAO''s)'!$C$3:$C$6,
                            MATCH(TRUE,'Hulp (CAO''s)'!$D$3:$D$6,0)) &amp; "'!A:A"),
                        0
                    ))
                ),
                ROW(INDIRECT("'" &amp; INDEX('Hulp (CAO''s)'!$C$3:$C$6,
                    MATCH(TRUE,'Hulp (CAO''s)'!$D$3:$D$6,0)) &amp; "'!B1:B1000"))
            )
        ),0)
    )
)</f>
        <v/>
      </c>
      <c r="J13" s="86" t="str">
        <f t="array" aca="1" ref="J13" ca="1">IF(
    IFERROR(MIN(
        IF(
            (TRIM(INDIRECT("'" &amp; INDEX('Hulp (CAO''s)'!$C$3:$C$6,
                MATCH(TRUE,'Hulp (CAO''s)'!$D$3:$D$6,0)) &amp; "'!B1:B1000")) = TEXT(J12,"0")) *
            (ROW(INDIRECT("'" &amp; INDEX('Hulp (CAO''s)'!$C$3:$C$6,
                MATCH(TRUE,'Hulp (CAO''s)'!$D$3:$D$6,0)) &amp; "'!B1:B1000")) &gt; MATCH(
                J11,
                INDIRECT("'" &amp; INDEX('Hulp (CAO''s)'!$C$3:$C$6,
                    MATCH(TRUE,'Hulp (CAO''s)'!$D$3:$D$6,0)) &amp; "'!A:A"),
                0
            )) *
            IF(
                K11="",
                1,
                (ROW(INDIRECT("'" &amp; INDEX('Hulp (CAO''s)'!$C$3:$C$6,
                    MATCH(TRUE,'Hulp (CAO''s)'!$D$3:$D$6,0)) &amp; "'!B1:B1000")) &lt; MATCH(
                    K11,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TEXT(J12,"0")) *
                (ROW(INDIRECT("'" &amp; INDEX('Hulp (CAO''s)'!$C$3:$C$6,
                    MATCH(TRUE,'Hulp (CAO''s)'!$D$3:$D$6,0)) &amp; "'!B1:B1000")) &gt; MATCH(
                    J11,
                    INDIRECT("'" &amp; INDEX('Hulp (CAO''s)'!$C$3:$C$6,
                        MATCH(TRUE,'Hulp (CAO''s)'!$D$3:$D$6,0)) &amp; "'!A:A"),
                    0
                )) *
                IF(
                    K11="",
                    1,
                    (ROW(INDIRECT("'" &amp; INDEX('Hulp (CAO''s)'!$C$3:$C$6,
                        MATCH(TRUE,'Hulp (CAO''s)'!$D$3:$D$6,0)) &amp; "'!B1:B1000")) &lt; MATCH(
                        K11,
                        INDIRECT("'" &amp; INDEX('Hulp (CAO''s)'!$C$3:$C$6,
                            MATCH(TRUE,'Hulp (CAO''s)'!$D$3:$D$6,0)) &amp; "'!A:A"),
                        0
                    ))
                ),
                ROW(INDIRECT("'" &amp; INDEX('Hulp (CAO''s)'!$C$3:$C$6,
                    MATCH(TRUE,'Hulp (CAO''s)'!$D$3:$D$6,0)) &amp; "'!B1:B1000"))
            )
        ),0)
    )
)</f>
        <v/>
      </c>
      <c r="K13" s="86" t="str">
        <f t="array" aca="1" ref="K13" ca="1">IF(
    IFERROR(MIN(
        IF(
            (TRIM(INDIRECT("'" &amp; INDEX('Hulp (CAO''s)'!$C$3:$C$6,
                MATCH(TRUE,'Hulp (CAO''s)'!$D$3:$D$6,0)) &amp; "'!B1:B1000")) = TEXT(K12,"0")) *
            (ROW(INDIRECT("'" &amp; INDEX('Hulp (CAO''s)'!$C$3:$C$6,
                MATCH(TRUE,'Hulp (CAO''s)'!$D$3:$D$6,0)) &amp; "'!B1:B1000")) &gt; MATCH(
                K11,
                INDIRECT("'" &amp; INDEX('Hulp (CAO''s)'!$C$3:$C$6,
                    MATCH(TRUE,'Hulp (CAO''s)'!$D$3:$D$6,0)) &amp; "'!A:A"),
                0
            )) *
            IF(
                L11="",
                1,
                (ROW(INDIRECT("'" &amp; INDEX('Hulp (CAO''s)'!$C$3:$C$6,
                    MATCH(TRUE,'Hulp (CAO''s)'!$D$3:$D$6,0)) &amp; "'!B1:B1000")) &lt; MATCH(
                    L11,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TEXT(K12,"0")) *
                (ROW(INDIRECT("'" &amp; INDEX('Hulp (CAO''s)'!$C$3:$C$6,
                    MATCH(TRUE,'Hulp (CAO''s)'!$D$3:$D$6,0)) &amp; "'!B1:B1000")) &gt; MATCH(
                    K11,
                    INDIRECT("'" &amp; INDEX('Hulp (CAO''s)'!$C$3:$C$6,
                        MATCH(TRUE,'Hulp (CAO''s)'!$D$3:$D$6,0)) &amp; "'!A:A"),
                    0
                )) *
                IF(
                    L11="",
                    1,
                    (ROW(INDIRECT("'" &amp; INDEX('Hulp (CAO''s)'!$C$3:$C$6,
                        MATCH(TRUE,'Hulp (CAO''s)'!$D$3:$D$6,0)) &amp; "'!B1:B1000")) &lt; MATCH(
                        L11,
                        INDIRECT("'" &amp; INDEX('Hulp (CAO''s)'!$C$3:$C$6,
                            MATCH(TRUE,'Hulp (CAO''s)'!$D$3:$D$6,0)) &amp; "'!A:A"),
                        0
                    ))
                ),
                ROW(INDIRECT("'" &amp; INDEX('Hulp (CAO''s)'!$C$3:$C$6,
                    MATCH(TRUE,'Hulp (CAO''s)'!$D$3:$D$6,0)) &amp; "'!B1:B1000"))
            )
        ),0)
    )
)</f>
        <v/>
      </c>
      <c r="L13" s="86" t="str">
        <f t="array" aca="1" ref="L13" ca="1">IF(
    IFERROR(MIN(
        IF(
            (TRIM(INDIRECT("'" &amp; INDEX('Hulp (CAO''s)'!$C$3:$C$6,
                MATCH(TRUE,'Hulp (CAO''s)'!$D$3:$D$6,0)) &amp; "'!B1:B1000")) = TEXT(L12,"0")) *
            (ROW(INDIRECT("'" &amp; INDEX('Hulp (CAO''s)'!$C$3:$C$6,
                MATCH(TRUE,'Hulp (CAO''s)'!$D$3:$D$6,0)) &amp; "'!B1:B1000")) &gt; MATCH(
                L11,
                INDIRECT("'" &amp; INDEX('Hulp (CAO''s)'!$C$3:$C$6,
                    MATCH(TRUE,'Hulp (CAO''s)'!$D$3:$D$6,0)) &amp; "'!A:A"),
                0
            )) *
            IF(
                M11="",
                1,
                (ROW(INDIRECT("'" &amp; INDEX('Hulp (CAO''s)'!$C$3:$C$6,
                    MATCH(TRUE,'Hulp (CAO''s)'!$D$3:$D$6,0)) &amp; "'!B1:B1000")) &lt; MATCH(
                    M11,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TEXT(L12,"0")) *
                (ROW(INDIRECT("'" &amp; INDEX('Hulp (CAO''s)'!$C$3:$C$6,
                    MATCH(TRUE,'Hulp (CAO''s)'!$D$3:$D$6,0)) &amp; "'!B1:B1000")) &gt; MATCH(
                    L11,
                    INDIRECT("'" &amp; INDEX('Hulp (CAO''s)'!$C$3:$C$6,
                        MATCH(TRUE,'Hulp (CAO''s)'!$D$3:$D$6,0)) &amp; "'!A:A"),
                    0
                )) *
                IF(
                    M11="",
                    1,
                    (ROW(INDIRECT("'" &amp; INDEX('Hulp (CAO''s)'!$C$3:$C$6,
                        MATCH(TRUE,'Hulp (CAO''s)'!$D$3:$D$6,0)) &amp; "'!B1:B1000")) &lt; MATCH(
                        M11,
                        INDIRECT("'" &amp; INDEX('Hulp (CAO''s)'!$C$3:$C$6,
                            MATCH(TRUE,'Hulp (CAO''s)'!$D$3:$D$6,0)) &amp; "'!A:A"),
                        0
                    ))
                ),
                ROW(INDIRECT("'" &amp; INDEX('Hulp (CAO''s)'!$C$3:$C$6,
                    MATCH(TRUE,'Hulp (CAO''s)'!$D$3:$D$6,0)) &amp; "'!B1:B1000"))
            )
        ),0)
    )
)</f>
        <v/>
      </c>
      <c r="M13" s="86" t="str">
        <f t="array" aca="1" ref="M13" ca="1">IF(
    IFERROR(MIN(
        IF(
            (TRIM(INDIRECT("'" &amp; INDEX('Hulp (CAO''s)'!$C$3:$C$6,
                MATCH(TRUE,'Hulp (CAO''s)'!$D$3:$D$6,0)) &amp; "'!B1:B1000")) = TEXT(M12,"0")) *
            (ROW(INDIRECT("'" &amp; INDEX('Hulp (CAO''s)'!$C$3:$C$6,
                MATCH(TRUE,'Hulp (CAO''s)'!$D$3:$D$6,0)) &amp; "'!B1:B1000")) &gt; MATCH(
                M11,
                INDIRECT("'" &amp; INDEX('Hulp (CAO''s)'!$C$3:$C$6,
                    MATCH(TRUE,'Hulp (CAO''s)'!$D$3:$D$6,0)) &amp; "'!A:A"),
                0
            )) *
            IF(
                N11="",
                1,
                (ROW(INDIRECT("'" &amp; INDEX('Hulp (CAO''s)'!$C$3:$C$6,
                    MATCH(TRUE,'Hulp (CAO''s)'!$D$3:$D$6,0)) &amp; "'!B1:B1000")) &lt; MATCH(
                    N11,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TEXT(M12,"0")) *
                (ROW(INDIRECT("'" &amp; INDEX('Hulp (CAO''s)'!$C$3:$C$6,
                    MATCH(TRUE,'Hulp (CAO''s)'!$D$3:$D$6,0)) &amp; "'!B1:B1000")) &gt; MATCH(
                    M11,
                    INDIRECT("'" &amp; INDEX('Hulp (CAO''s)'!$C$3:$C$6,
                        MATCH(TRUE,'Hulp (CAO''s)'!$D$3:$D$6,0)) &amp; "'!A:A"),
                    0
                )) *
                IF(
                    N11="",
                    1,
                    (ROW(INDIRECT("'" &amp; INDEX('Hulp (CAO''s)'!$C$3:$C$6,
                        MATCH(TRUE,'Hulp (CAO''s)'!$D$3:$D$6,0)) &amp; "'!B1:B1000")) &lt; MATCH(
                        N11,
                        INDIRECT("'" &amp; INDEX('Hulp (CAO''s)'!$C$3:$C$6,
                            MATCH(TRUE,'Hulp (CAO''s)'!$D$3:$D$6,0)) &amp; "'!A:A"),
                        0
                    ))
                ),
                ROW(INDIRECT("'" &amp; INDEX('Hulp (CAO''s)'!$C$3:$C$6,
                    MATCH(TRUE,'Hulp (CAO''s)'!$D$3:$D$6,0)) &amp; "'!B1:B1000"))
            )
        ),0)
    )
)</f>
        <v/>
      </c>
      <c r="N13" s="86" t="str">
        <f t="array" aca="1" ref="N13" ca="1">IF(
    IFERROR(MIN(
        IF(
            (TRIM(INDIRECT("'" &amp; INDEX('Hulp (CAO''s)'!$C$3:$C$6,
                MATCH(TRUE,'Hulp (CAO''s)'!$D$3:$D$6,0)) &amp; "'!B1:B1000")) = TEXT(N12,"0")) *
            (ROW(INDIRECT("'" &amp; INDEX('Hulp (CAO''s)'!$C$3:$C$6,
                MATCH(TRUE,'Hulp (CAO''s)'!$D$3:$D$6,0)) &amp; "'!B1:B1000")) &gt; MATCH(
                N11,
                INDIRECT("'" &amp; INDEX('Hulp (CAO''s)'!$C$3:$C$6,
                    MATCH(TRUE,'Hulp (CAO''s)'!$D$3:$D$6,0)) &amp; "'!A:A"),
                0
            )) *
            IF(
                O11="",
                1,
                (ROW(INDIRECT("'" &amp; INDEX('Hulp (CAO''s)'!$C$3:$C$6,
                    MATCH(TRUE,'Hulp (CAO''s)'!$D$3:$D$6,0)) &amp; "'!B1:B1000")) &lt; MATCH(
                    O11,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TEXT(N12,"0")) *
                (ROW(INDIRECT("'" &amp; INDEX('Hulp (CAO''s)'!$C$3:$C$6,
                    MATCH(TRUE,'Hulp (CAO''s)'!$D$3:$D$6,0)) &amp; "'!B1:B1000")) &gt; MATCH(
                    N11,
                    INDIRECT("'" &amp; INDEX('Hulp (CAO''s)'!$C$3:$C$6,
                        MATCH(TRUE,'Hulp (CAO''s)'!$D$3:$D$6,0)) &amp; "'!A:A"),
                    0
                )) *
                IF(
                    O11="",
                    1,
                    (ROW(INDIRECT("'" &amp; INDEX('Hulp (CAO''s)'!$C$3:$C$6,
                        MATCH(TRUE,'Hulp (CAO''s)'!$D$3:$D$6,0)) &amp; "'!B1:B1000")) &lt; MATCH(
                        O11,
                        INDIRECT("'" &amp; INDEX('Hulp (CAO''s)'!$C$3:$C$6,
                            MATCH(TRUE,'Hulp (CAO''s)'!$D$3:$D$6,0)) &amp; "'!A:A"),
                        0
                    ))
                ),
                ROW(INDIRECT("'" &amp; INDEX('Hulp (CAO''s)'!$C$3:$C$6,
                    MATCH(TRUE,'Hulp (CAO''s)'!$D$3:$D$6,0)) &amp; "'!B1:B1000"))
            )
        ),0)
    )
)</f>
        <v/>
      </c>
      <c r="O13" s="86" t="str">
        <f t="array" aca="1" ref="O13" ca="1">IF(
    IFERROR(MIN(
        IF(
            (TRIM(INDIRECT("'" &amp; INDEX('Hulp (CAO''s)'!$C$3:$C$6,
                MATCH(TRUE,'Hulp (CAO''s)'!$D$3:$D$6,0)) &amp; "'!B1:B1000")) = TEXT(O12,"0")) *
            (ROW(INDIRECT("'" &amp; INDEX('Hulp (CAO''s)'!$C$3:$C$6,
                MATCH(TRUE,'Hulp (CAO''s)'!$D$3:$D$6,0)) &amp; "'!B1:B1000")) &gt; MATCH(
                O11,
                INDIRECT("'" &amp; INDEX('Hulp (CAO''s)'!$C$3:$C$6,
                    MATCH(TRUE,'Hulp (CAO''s)'!$D$3:$D$6,0)) &amp; "'!A:A"),
                0
            )) *
            IF(
                P11="",
                1,
                (ROW(INDIRECT("'" &amp; INDEX('Hulp (CAO''s)'!$C$3:$C$6,
                    MATCH(TRUE,'Hulp (CAO''s)'!$D$3:$D$6,0)) &amp; "'!B1:B1000")) &lt; MATCH(
                    P11,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TEXT(O12,"0")) *
                (ROW(INDIRECT("'" &amp; INDEX('Hulp (CAO''s)'!$C$3:$C$6,
                    MATCH(TRUE,'Hulp (CAO''s)'!$D$3:$D$6,0)) &amp; "'!B1:B1000")) &gt; MATCH(
                    O11,
                    INDIRECT("'" &amp; INDEX('Hulp (CAO''s)'!$C$3:$C$6,
                        MATCH(TRUE,'Hulp (CAO''s)'!$D$3:$D$6,0)) &amp; "'!A:A"),
                    0
                )) *
                IF(
                    P11="",
                    1,
                    (ROW(INDIRECT("'" &amp; INDEX('Hulp (CAO''s)'!$C$3:$C$6,
                        MATCH(TRUE,'Hulp (CAO''s)'!$D$3:$D$6,0)) &amp; "'!B1:B1000")) &lt; MATCH(
                        P11,
                        INDIRECT("'" &amp; INDEX('Hulp (CAO''s)'!$C$3:$C$6,
                            MATCH(TRUE,'Hulp (CAO''s)'!$D$3:$D$6,0)) &amp; "'!A:A"),
                        0
                    ))
                ),
                ROW(INDIRECT("'" &amp; INDEX('Hulp (CAO''s)'!$C$3:$C$6,
                    MATCH(TRUE,'Hulp (CAO''s)'!$D$3:$D$6,0)) &amp; "'!B1:B1000"))
            )
        ),0)
    )
)</f>
        <v/>
      </c>
      <c r="P13" s="86" t="str">
        <f t="array" aca="1" ref="P13" ca="1">IF(
    IFERROR(MIN(
        IF(
            (TRIM(INDIRECT("'" &amp; INDEX('Hulp (CAO''s)'!$C$3:$C$6,
                MATCH(TRUE,'Hulp (CAO''s)'!$D$3:$D$6,0)) &amp; "'!B1:B1000")) = TEXT(P12,"0")) *
            (ROW(INDIRECT("'" &amp; INDEX('Hulp (CAO''s)'!$C$3:$C$6,
                MATCH(TRUE,'Hulp (CAO''s)'!$D$3:$D$6,0)) &amp; "'!B1:B1000")) &gt; MATCH(
                P11,
                INDIRECT("'" &amp; INDEX('Hulp (CAO''s)'!$C$3:$C$6,
                    MATCH(TRUE,'Hulp (CAO''s)'!$D$3:$D$6,0)) &amp; "'!A:A"),
                0
            )) *
            IF(
                Q11="",
                1,
                (ROW(INDIRECT("'" &amp; INDEX('Hulp (CAO''s)'!$C$3:$C$6,
                    MATCH(TRUE,'Hulp (CAO''s)'!$D$3:$D$6,0)) &amp; "'!B1:B1000")) &lt; MATCH(
                    Q11,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TEXT(P12,"0")) *
                (ROW(INDIRECT("'" &amp; INDEX('Hulp (CAO''s)'!$C$3:$C$6,
                    MATCH(TRUE,'Hulp (CAO''s)'!$D$3:$D$6,0)) &amp; "'!B1:B1000")) &gt; MATCH(
                    P11,
                    INDIRECT("'" &amp; INDEX('Hulp (CAO''s)'!$C$3:$C$6,
                        MATCH(TRUE,'Hulp (CAO''s)'!$D$3:$D$6,0)) &amp; "'!A:A"),
                    0
                )) *
                IF(
                    Q11="",
                    1,
                    (ROW(INDIRECT("'" &amp; INDEX('Hulp (CAO''s)'!$C$3:$C$6,
                        MATCH(TRUE,'Hulp (CAO''s)'!$D$3:$D$6,0)) &amp; "'!B1:B1000")) &lt; MATCH(
                        Q11,
                        INDIRECT("'" &amp; INDEX('Hulp (CAO''s)'!$C$3:$C$6,
                            MATCH(TRUE,'Hulp (CAO''s)'!$D$3:$D$6,0)) &amp; "'!A:A"),
                        0
                    ))
                ),
                ROW(INDIRECT("'" &amp; INDEX('Hulp (CAO''s)'!$C$3:$C$6,
                    MATCH(TRUE,'Hulp (CAO''s)'!$D$3:$D$6,0)) &amp; "'!B1:B1000"))
            )
        ),0)
    )
)</f>
        <v/>
      </c>
      <c r="Q13" s="86" t="str">
        <f t="array" aca="1" ref="Q13" ca="1">IF(
    IFERROR(MIN(
        IF(
            (TRIM(INDIRECT("'" &amp; INDEX('Hulp (CAO''s)'!$C$3:$C$6,
                MATCH(TRUE,'Hulp (CAO''s)'!$D$3:$D$6,0)) &amp; "'!B1:B1000")) = TEXT(Q12,"0")) *
            (ROW(INDIRECT("'" &amp; INDEX('Hulp (CAO''s)'!$C$3:$C$6,
                MATCH(TRUE,'Hulp (CAO''s)'!$D$3:$D$6,0)) &amp; "'!B1:B1000")) &gt; MATCH(
                Q11,
                INDIRECT("'" &amp; INDEX('Hulp (CAO''s)'!$C$3:$C$6,
                    MATCH(TRUE,'Hulp (CAO''s)'!$D$3:$D$6,0)) &amp; "'!A:A"),
                0
            )) *
            IF(
                R11="",
                1,
                (ROW(INDIRECT("'" &amp; INDEX('Hulp (CAO''s)'!$C$3:$C$6,
                    MATCH(TRUE,'Hulp (CAO''s)'!$D$3:$D$6,0)) &amp; "'!B1:B1000")) &lt; MATCH(
                    R11,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TEXT(Q12,"0")) *
                (ROW(INDIRECT("'" &amp; INDEX('Hulp (CAO''s)'!$C$3:$C$6,
                    MATCH(TRUE,'Hulp (CAO''s)'!$D$3:$D$6,0)) &amp; "'!B1:B1000")) &gt; MATCH(
                    Q11,
                    INDIRECT("'" &amp; INDEX('Hulp (CAO''s)'!$C$3:$C$6,
                        MATCH(TRUE,'Hulp (CAO''s)'!$D$3:$D$6,0)) &amp; "'!A:A"),
                    0
                )) *
                IF(
                    R11="",
                    1,
                    (ROW(INDIRECT("'" &amp; INDEX('Hulp (CAO''s)'!$C$3:$C$6,
                        MATCH(TRUE,'Hulp (CAO''s)'!$D$3:$D$6,0)) &amp; "'!B1:B1000")) &lt; MATCH(
                        R11,
                        INDIRECT("'" &amp; INDEX('Hulp (CAO''s)'!$C$3:$C$6,
                            MATCH(TRUE,'Hulp (CAO''s)'!$D$3:$D$6,0)) &amp; "'!A:A"),
                        0
                    ))
                ),
                ROW(INDIRECT("'" &amp; INDEX('Hulp (CAO''s)'!$C$3:$C$6,
                    MATCH(TRUE,'Hulp (CAO''s)'!$D$3:$D$6,0)) &amp; "'!B1:B1000"))
            )
        ),0)
    )
)</f>
        <v/>
      </c>
      <c r="R13" s="86" t="str">
        <f t="array" aca="1" ref="R13" ca="1">IF(
    IFERROR(MIN(
        IF(
            (TRIM(INDIRECT("'" &amp; INDEX('Hulp (CAO''s)'!$C$3:$C$6,
                MATCH(TRUE,'Hulp (CAO''s)'!$D$3:$D$6,0)) &amp; "'!B1:B1000")) = TEXT(R12,"0")) *
            (ROW(INDIRECT("'" &amp; INDEX('Hulp (CAO''s)'!$C$3:$C$6,
                MATCH(TRUE,'Hulp (CAO''s)'!$D$3:$D$6,0)) &amp; "'!B1:B1000")) &gt; MATCH(
                R11,
                INDIRECT("'" &amp; INDEX('Hulp (CAO''s)'!$C$3:$C$6,
                    MATCH(TRUE,'Hulp (CAO''s)'!$D$3:$D$6,0)) &amp; "'!A:A"),
                0
            )) *
            IF(
                S11="",
                1,
                (ROW(INDIRECT("'" &amp; INDEX('Hulp (CAO''s)'!$C$3:$C$6,
                    MATCH(TRUE,'Hulp (CAO''s)'!$D$3:$D$6,0)) &amp; "'!B1:B1000")) &lt; MATCH(
                    S11,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TEXT(R12,"0")) *
                (ROW(INDIRECT("'" &amp; INDEX('Hulp (CAO''s)'!$C$3:$C$6,
                    MATCH(TRUE,'Hulp (CAO''s)'!$D$3:$D$6,0)) &amp; "'!B1:B1000")) &gt; MATCH(
                    R11,
                    INDIRECT("'" &amp; INDEX('Hulp (CAO''s)'!$C$3:$C$6,
                        MATCH(TRUE,'Hulp (CAO''s)'!$D$3:$D$6,0)) &amp; "'!A:A"),
                    0
                )) *
                IF(
                    S11="",
                    1,
                    (ROW(INDIRECT("'" &amp; INDEX('Hulp (CAO''s)'!$C$3:$C$6,
                        MATCH(TRUE,'Hulp (CAO''s)'!$D$3:$D$6,0)) &amp; "'!B1:B1000")) &lt; MATCH(
                        S11,
                        INDIRECT("'" &amp; INDEX('Hulp (CAO''s)'!$C$3:$C$6,
                            MATCH(TRUE,'Hulp (CAO''s)'!$D$3:$D$6,0)) &amp; "'!A:A"),
                        0
                    ))
                ),
                ROW(INDIRECT("'" &amp; INDEX('Hulp (CAO''s)'!$C$3:$C$6,
                    MATCH(TRUE,'Hulp (CAO''s)'!$D$3:$D$6,0)) &amp; "'!B1:B1000"))
            )
        ),0)
    )
)</f>
        <v/>
      </c>
      <c r="S13" s="86" t="str">
        <f t="array" aca="1" ref="S13" ca="1">IF(
    IFERROR(MIN(
        IF(
            (TRIM(INDIRECT("'" &amp; INDEX('Hulp (CAO''s)'!$C$3:$C$6,
                MATCH(TRUE,'Hulp (CAO''s)'!$D$3:$D$6,0)) &amp; "'!B1:B1000")) = TEXT(S12,"0")) *
            (ROW(INDIRECT("'" &amp; INDEX('Hulp (CAO''s)'!$C$3:$C$6,
                MATCH(TRUE,'Hulp (CAO''s)'!$D$3:$D$6,0)) &amp; "'!B1:B1000")) &gt; MATCH(
                S11,
                INDIRECT("'" &amp; INDEX('Hulp (CAO''s)'!$C$3:$C$6,
                    MATCH(TRUE,'Hulp (CAO''s)'!$D$3:$D$6,0)) &amp; "'!A:A"),
                0
            )) *
            IF(
                T11="",
                1,
                (ROW(INDIRECT("'" &amp; INDEX('Hulp (CAO''s)'!$C$3:$C$6,
                    MATCH(TRUE,'Hulp (CAO''s)'!$D$3:$D$6,0)) &amp; "'!B1:B1000")) &lt; MATCH(
                    T11,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TEXT(S12,"0")) *
                (ROW(INDIRECT("'" &amp; INDEX('Hulp (CAO''s)'!$C$3:$C$6,
                    MATCH(TRUE,'Hulp (CAO''s)'!$D$3:$D$6,0)) &amp; "'!B1:B1000")) &gt; MATCH(
                    S11,
                    INDIRECT("'" &amp; INDEX('Hulp (CAO''s)'!$C$3:$C$6,
                        MATCH(TRUE,'Hulp (CAO''s)'!$D$3:$D$6,0)) &amp; "'!A:A"),
                    0
                )) *
                IF(
                    T11="",
                    1,
                    (ROW(INDIRECT("'" &amp; INDEX('Hulp (CAO''s)'!$C$3:$C$6,
                        MATCH(TRUE,'Hulp (CAO''s)'!$D$3:$D$6,0)) &amp; "'!B1:B1000")) &lt; MATCH(
                        T11,
                        INDIRECT("'" &amp; INDEX('Hulp (CAO''s)'!$C$3:$C$6,
                            MATCH(TRUE,'Hulp (CAO''s)'!$D$3:$D$6,0)) &amp; "'!A:A"),
                        0
                    ))
                ),
                ROW(INDIRECT("'" &amp; INDEX('Hulp (CAO''s)'!$C$3:$C$6,
                    MATCH(TRUE,'Hulp (CAO''s)'!$D$3:$D$6,0)) &amp; "'!B1:B1000"))
            )
        ),0)
    )
)</f>
        <v/>
      </c>
      <c r="T13" s="39" t="str">
        <f t="array" aca="1" ref="T13" ca="1">IF(
    IFERROR(MIN(
        IF(
            (TRIM(INDIRECT("'" &amp; INDEX('Hulp (CAO''s)'!$C$3:$C$6,
                MATCH(TRUE,'Hulp (CAO''s)'!$D$3:$D$6,0)) &amp; "'!B1:B1000")) = TEXT(T12,"0")) *
            (ROW(INDIRECT("'" &amp; INDEX('Hulp (CAO''s)'!$C$3:$C$6,
                MATCH(TRUE,'Hulp (CAO''s)'!$D$3:$D$6,0)) &amp; "'!B1:B1000")) &gt; MATCH(
                T11,
                INDIRECT("'" &amp; INDEX('Hulp (CAO''s)'!$C$3:$C$6,
                    MATCH(TRUE,'Hulp (CAO''s)'!$D$3:$D$6,0)) &amp; "'!A:A"),
                0
            )) *
            IF(
                U11="",
                1,
                (ROW(INDIRECT("'" &amp; INDEX('Hulp (CAO''s)'!$C$3:$C$6,
                    MATCH(TRUE,'Hulp (CAO''s)'!$D$3:$D$6,0)) &amp; "'!B1:B1000")) &lt; MATCH(
                    U11,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TEXT(T12,"0")) *
                (ROW(INDIRECT("'" &amp; INDEX('Hulp (CAO''s)'!$C$3:$C$6,
                    MATCH(TRUE,'Hulp (CAO''s)'!$D$3:$D$6,0)) &amp; "'!B1:B1000")) &gt; MATCH(
                    T11,
                    INDIRECT("'" &amp; INDEX('Hulp (CAO''s)'!$C$3:$C$6,
                        MATCH(TRUE,'Hulp (CAO''s)'!$D$3:$D$6,0)) &amp; "'!A:A"),
                    0
                )) *
                IF(
                    U11="",
                    1,
                    (ROW(INDIRECT("'" &amp; INDEX('Hulp (CAO''s)'!$C$3:$C$6,
                        MATCH(TRUE,'Hulp (CAO''s)'!$D$3:$D$6,0)) &amp; "'!B1:B1000")) &lt; MATCH(
                        U11,
                        INDIRECT("'" &amp; INDEX('Hulp (CAO''s)'!$C$3:$C$6,
                            MATCH(TRUE,'Hulp (CAO''s)'!$D$3:$D$6,0)) &amp; "'!A:A"),
                        0
                    ))
                ),
                ROW(INDIRECT("'" &amp; INDEX('Hulp (CAO''s)'!$C$3:$C$6,
                    MATCH(TRUE,'Hulp (CAO''s)'!$D$3:$D$6,0)) &amp; "'!B1:B1000"))
            )
        ),0)
    )
)</f>
        <v/>
      </c>
      <c r="V13" s="38" t="str">
        <f t="array" aca="1" ref="V13" ca="1">IF(
   SUM(E13:T13)=0,
   "",
   (
      SUMPRODUCT(
         IF(E13:T13="",0,E13:T13),
         IF(E14:T14="",0,E14:T14) * SUM(E14:T14)
      )
   ) *
   IF(
      'Hulp (CAO''s)'!#REF!,
      IF(
         OR(
            INDEX(#REF!, ROW(#REF!) + INT((ROW()-ROW($V$7))/6)*8)="",
            ISNA(INDEX(#REF!, ROW(#REF!) + INT((ROW()-ROW($V$7))/6)*8))
         ),
         1878/12,
         INDEX(#REF!, ROW(#REF!) + INT((ROW()-ROW($V$7))/6)*8)/12
      ),
      1
   )
)</f>
        <v/>
      </c>
    </row>
    <row r="14" spans="1:24" ht="14.65" thickBot="1" x14ac:dyDescent="0.5">
      <c r="B14" s="48" t="s">
        <v>774</v>
      </c>
      <c r="D14" s="24" t="s">
        <v>59</v>
      </c>
      <c r="E14" s="8">
        <v>0.05</v>
      </c>
      <c r="F14" s="8">
        <v>0.1</v>
      </c>
      <c r="G14" s="8">
        <v>0.1</v>
      </c>
      <c r="H14" s="8">
        <v>0.15</v>
      </c>
      <c r="I14" s="8">
        <v>0.2</v>
      </c>
      <c r="J14" s="8">
        <v>0.15</v>
      </c>
      <c r="K14" s="8">
        <v>0.1</v>
      </c>
      <c r="L14" s="8">
        <v>0.05</v>
      </c>
      <c r="M14" s="8">
        <v>0.05</v>
      </c>
      <c r="N14" s="8">
        <v>0.05</v>
      </c>
      <c r="O14" s="8">
        <v>0</v>
      </c>
      <c r="P14" s="8"/>
      <c r="Q14" s="8"/>
      <c r="R14" s="8"/>
      <c r="S14" s="8"/>
      <c r="T14" s="9"/>
      <c r="U14" s="7"/>
      <c r="V14" s="37" t="str">
        <f ca="1">IF(B11="","",IF(INDIRECT("'Hulp (control forms)'!C" &amp; (13 + INT((ROW()-ROW($B$5))/6))), V12, V13))</f>
        <v/>
      </c>
      <c r="W14" s="7"/>
    </row>
    <row r="15" spans="1:24" x14ac:dyDescent="0.5">
      <c r="S15" s="7" t="str">
        <f>IF($B14="Aandeel in %",
   "Totaal: "&amp;SUM(E14:T14)*100&amp;"%",
   "Totaal: "&amp;SUM(E14:T14)&amp;" uur"
)</f>
        <v>Totaal: 1 uur</v>
      </c>
      <c r="T15" s="7"/>
    </row>
    <row r="16" spans="1:24" ht="16.149999999999999" thickBot="1" x14ac:dyDescent="0.55000000000000004">
      <c r="B16" s="44" t="str">
        <f ca="1">IF(B17="","",IF(
   OR(
      INDIRECT("'1a. Input organisatieniveau'!N" &amp; (14 + INT((ROW()-4)/6)))="",
      INDIRECT("'1a. Input organisatieniveau'!N" &amp; (14 + INT((ROW()-4)/6)))=0
   ),
   "",
   INDIRECT("'1a. Input organisatieniveau'!N" &amp; (14 + INT((ROW()-4)/6)))
))</f>
        <v/>
      </c>
      <c r="E16" s="61" t="str">
        <f t="shared" ref="E16:T16" ca="1" si="2">IF(AND(AND(E17&lt;&gt;"",E18&lt;&gt;""),E19=""),"!","")</f>
        <v/>
      </c>
      <c r="F16" s="61" t="str">
        <f t="shared" ca="1" si="2"/>
        <v/>
      </c>
      <c r="G16" s="61" t="str">
        <f t="shared" ca="1" si="2"/>
        <v/>
      </c>
      <c r="H16" s="61" t="str">
        <f t="shared" ca="1" si="2"/>
        <v/>
      </c>
      <c r="I16" s="61" t="str">
        <f t="shared" ca="1" si="2"/>
        <v/>
      </c>
      <c r="J16" s="61" t="str">
        <f t="shared" ca="1" si="2"/>
        <v/>
      </c>
      <c r="K16" s="61" t="str">
        <f t="shared" ca="1" si="2"/>
        <v/>
      </c>
      <c r="L16" s="61" t="str">
        <f t="shared" ca="1" si="2"/>
        <v/>
      </c>
      <c r="M16" s="61" t="str">
        <f t="shared" ca="1" si="2"/>
        <v/>
      </c>
      <c r="N16" s="61" t="str">
        <f t="shared" ca="1" si="2"/>
        <v/>
      </c>
      <c r="O16" s="61" t="str">
        <f t="shared" ca="1" si="2"/>
        <v/>
      </c>
      <c r="P16" s="61" t="str">
        <f t="shared" ca="1" si="2"/>
        <v/>
      </c>
      <c r="Q16" s="61" t="str">
        <f t="shared" ca="1" si="2"/>
        <v/>
      </c>
      <c r="R16" s="61" t="str">
        <f t="shared" ca="1" si="2"/>
        <v/>
      </c>
      <c r="S16" s="61" t="str">
        <f t="shared" ca="1" si="2"/>
        <v/>
      </c>
      <c r="T16" s="61" t="str">
        <f t="shared" ca="1" si="2"/>
        <v/>
      </c>
    </row>
    <row r="17" spans="2:24" ht="16.149999999999999" thickBot="1" x14ac:dyDescent="0.55000000000000004">
      <c r="B17" s="45" t="str">
        <f ca="1">IF(
   OR(
      INDIRECT("'1a. Input organisatieniveau'!M" &amp; (14 + INT((ROW()-4)/6)))="",
      INDIRECT("'1a. Input organisatieniveau'!M" &amp; (14 + INT((ROW()-4)/6)))=0
   ),
   "",
   INDIRECT("'1a. Input organisatieniveau'!M" &amp; (14 + INT((ROW()-4)/6)))
)</f>
        <v/>
      </c>
      <c r="D17" s="22" t="s">
        <v>28</v>
      </c>
      <c r="E17" s="10" t="str">
        <f t="array" aca="1" ref="E17" ca="1">IF($B17="", "", INDEX('Hulp (CAO''s)'!J$3:J$6, MATCH(TRUE, 'Hulp (CAO''s)'!$D$3:$D$6, 0)))</f>
        <v/>
      </c>
      <c r="F17" s="10" t="str">
        <f t="array" aca="1" ref="F17" ca="1">IF($B17="", "", INDEX('Hulp (CAO''s)'!K$3:K$6, MATCH(TRUE, 'Hulp (CAO''s)'!$D$3:$D$6, 0)))</f>
        <v/>
      </c>
      <c r="G17" s="10" t="str">
        <f t="array" aca="1" ref="G17" ca="1">IF($B17="", "", INDEX('Hulp (CAO''s)'!L$3:L$6, MATCH(TRUE, 'Hulp (CAO''s)'!$D$3:$D$6, 0)))</f>
        <v/>
      </c>
      <c r="H17" s="10" t="str">
        <f t="array" aca="1" ref="H17" ca="1">IF($B17="", "", INDEX('Hulp (CAO''s)'!M$3:M$6, MATCH(TRUE, 'Hulp (CAO''s)'!$D$3:$D$6, 0)))</f>
        <v/>
      </c>
      <c r="I17" s="10" t="str">
        <f t="array" aca="1" ref="I17" ca="1">IF($B17="", "", INDEX('Hulp (CAO''s)'!N$3:N$6, MATCH(TRUE, 'Hulp (CAO''s)'!$D$3:$D$6, 0)))</f>
        <v/>
      </c>
      <c r="J17" s="10" t="str">
        <f t="array" aca="1" ref="J17" ca="1">IF($B17="", "", INDEX('Hulp (CAO''s)'!O$3:O$6, MATCH(TRUE, 'Hulp (CAO''s)'!$D$3:$D$6, 0)))</f>
        <v/>
      </c>
      <c r="K17" s="10" t="str">
        <f t="array" aca="1" ref="K17" ca="1">IF($B17="", "", INDEX('Hulp (CAO''s)'!P$3:P$6, MATCH(TRUE, 'Hulp (CAO''s)'!$D$3:$D$6, 0)))</f>
        <v/>
      </c>
      <c r="L17" s="10" t="str">
        <f t="array" aca="1" ref="L17" ca="1">IF($B17="", "", INDEX('Hulp (CAO''s)'!Q$3:Q$6, MATCH(TRUE, 'Hulp (CAO''s)'!$D$3:$D$6, 0)))</f>
        <v/>
      </c>
      <c r="M17" s="10" t="str">
        <f t="array" aca="1" ref="M17" ca="1">IF($B17="", "", INDEX('Hulp (CAO''s)'!R$3:R$6, MATCH(TRUE, 'Hulp (CAO''s)'!$D$3:$D$6, 0)))</f>
        <v/>
      </c>
      <c r="N17" s="10" t="str">
        <f t="array" aca="1" ref="N17" ca="1">IF($B17="", "", INDEX('Hulp (CAO''s)'!S$3:S$6, MATCH(TRUE, 'Hulp (CAO''s)'!$D$3:$D$6, 0)))</f>
        <v/>
      </c>
      <c r="O17" s="10" t="str">
        <f t="array" aca="1" ref="O17" ca="1">IF($B17="", "", INDEX('Hulp (CAO''s)'!T$3:T$6, MATCH(TRUE, 'Hulp (CAO''s)'!$D$3:$D$6, 0)))</f>
        <v/>
      </c>
      <c r="P17" s="10" t="str">
        <f t="array" aca="1" ref="P17" ca="1">IF($B17="", "", INDEX('Hulp (CAO''s)'!U$3:U$6, MATCH(TRUE, 'Hulp (CAO''s)'!$D$3:$D$6, 0)))</f>
        <v/>
      </c>
      <c r="Q17" s="10" t="str">
        <f t="array" aca="1" ref="Q17" ca="1">IF($B17="", "", INDEX('Hulp (CAO''s)'!V$3:V$6, MATCH(TRUE, 'Hulp (CAO''s)'!$D$3:$D$6, 0)))</f>
        <v/>
      </c>
      <c r="R17" s="10" t="str">
        <f t="array" aca="1" ref="R17" ca="1">IF($B17="", "", INDEX('Hulp (CAO''s)'!W$3:W$6, MATCH(TRUE, 'Hulp (CAO''s)'!$D$3:$D$6, 0)))</f>
        <v/>
      </c>
      <c r="S17" s="10" t="str">
        <f t="array" aca="1" ref="S17" ca="1">IF($B17="", "", INDEX('Hulp (CAO''s)'!X$3:X$6, MATCH(TRUE, 'Hulp (CAO''s)'!$D$3:$D$6, 0)))</f>
        <v/>
      </c>
      <c r="T17" s="11" t="str">
        <f t="array" aca="1" ref="T17" ca="1">IF($B17="", "", INDEX('Hulp (CAO''s)'!Y$3:Y$6, MATCH(TRUE, 'Hulp (CAO''s)'!$D$3:$D$6, 0)))</f>
        <v/>
      </c>
      <c r="V17" s="25" t="s">
        <v>32</v>
      </c>
      <c r="W17" s="5"/>
    </row>
    <row r="18" spans="2:24" x14ac:dyDescent="0.5">
      <c r="D18" s="23" t="s">
        <v>29</v>
      </c>
      <c r="E18" s="6">
        <v>7</v>
      </c>
      <c r="F18" s="6">
        <v>10</v>
      </c>
      <c r="G18" s="6">
        <v>10</v>
      </c>
      <c r="H18" s="6">
        <v>7</v>
      </c>
      <c r="I18" s="6">
        <v>7</v>
      </c>
      <c r="J18" s="6">
        <v>10</v>
      </c>
      <c r="K18" s="6">
        <v>10</v>
      </c>
      <c r="L18" s="6">
        <v>10</v>
      </c>
      <c r="M18" s="6">
        <v>10</v>
      </c>
      <c r="N18" s="6">
        <v>10</v>
      </c>
      <c r="O18" s="6">
        <v>11</v>
      </c>
      <c r="P18" s="6">
        <v>12</v>
      </c>
      <c r="Q18" s="6">
        <v>13</v>
      </c>
      <c r="R18" s="6">
        <v>12</v>
      </c>
      <c r="S18" s="6">
        <v>10</v>
      </c>
      <c r="T18" s="4">
        <v>5</v>
      </c>
      <c r="V18" s="52">
        <v>4300</v>
      </c>
      <c r="X18" s="60" t="s">
        <v>747</v>
      </c>
    </row>
    <row r="19" spans="2:24" ht="14.65" thickBot="1" x14ac:dyDescent="0.5">
      <c r="B19"/>
      <c r="D19" s="40" t="str">
        <f>IFERROR(
   INDEX('Hulp (CAO''s)'!$I$3:$I$6, MATCH(TRUE, 'Hulp (CAO''s)'!$D$3:$D$6, 0)),
"")</f>
        <v>Bruto maandsalaris</v>
      </c>
      <c r="E19" s="86" t="str">
        <f t="array" aca="1" ref="E19" ca="1">IF(
    IFERROR(MIN(
        IF(
            (TRIM(INDIRECT("'" &amp; INDEX('Hulp (CAO''s)'!$C$3:$C$6,
                MATCH(TRUE,'Hulp (CAO''s)'!$D$3:$D$6,0)) &amp; "'!B1:B1000")) = TEXT(E18,"0")) *
            (ROW(INDIRECT("'" &amp; INDEX('Hulp (CAO''s)'!$C$3:$C$6,
                MATCH(TRUE,'Hulp (CAO''s)'!$D$3:$D$6,0)) &amp; "'!B1:B1000")) &gt; MATCH(
                E17,
                INDIRECT("'" &amp; INDEX('Hulp (CAO''s)'!$C$3:$C$6,
                    MATCH(TRUE,'Hulp (CAO''s)'!$D$3:$D$6,0)) &amp; "'!A:A"),
                0
            )) *
            IF(
                F17="",
                1,
                (ROW(INDIRECT("'" &amp; INDEX('Hulp (CAO''s)'!$C$3:$C$6,
                    MATCH(TRUE,'Hulp (CAO''s)'!$D$3:$D$6,0)) &amp; "'!B1:B1000")) &lt; MATCH(
                    F17,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TEXT(E18,"0")) *
                (ROW(INDIRECT("'" &amp; INDEX('Hulp (CAO''s)'!$C$3:$C$6,
                    MATCH(TRUE,'Hulp (CAO''s)'!$D$3:$D$6,0)) &amp; "'!B1:B1000")) &gt; MATCH(
                    E17,
                    INDIRECT("'" &amp; INDEX('Hulp (CAO''s)'!$C$3:$C$6,
                        MATCH(TRUE,'Hulp (CAO''s)'!$D$3:$D$6,0)) &amp; "'!A:A"),
                    0
                )) *
                IF(
                    F17="",
                    1,
                    (ROW(INDIRECT("'" &amp; INDEX('Hulp (CAO''s)'!$C$3:$C$6,
                        MATCH(TRUE,'Hulp (CAO''s)'!$D$3:$D$6,0)) &amp; "'!B1:B1000")) &lt; MATCH(
                        F17,
                        INDIRECT("'" &amp; INDEX('Hulp (CAO''s)'!$C$3:$C$6,
                            MATCH(TRUE,'Hulp (CAO''s)'!$D$3:$D$6,0)) &amp; "'!A:A"),
                        0
                    ))
                ),
                ROW(INDIRECT("'" &amp; INDEX('Hulp (CAO''s)'!$C$3:$C$6,
                    MATCH(TRUE,'Hulp (CAO''s)'!$D$3:$D$6,0)) &amp; "'!B1:B1000"))
            )
        ),0)
    )
)</f>
        <v/>
      </c>
      <c r="F19" s="86" t="str">
        <f t="array" aca="1" ref="F19" ca="1">IF(
    IFERROR(MIN(
        IF(
            (TRIM(INDIRECT("'" &amp; INDEX('Hulp (CAO''s)'!$C$3:$C$6,
                MATCH(TRUE,'Hulp (CAO''s)'!$D$3:$D$6,0)) &amp; "'!B1:B1000")) = TEXT(F18,"0")) *
            (ROW(INDIRECT("'" &amp; INDEX('Hulp (CAO''s)'!$C$3:$C$6,
                MATCH(TRUE,'Hulp (CAO''s)'!$D$3:$D$6,0)) &amp; "'!B1:B1000")) &gt; MATCH(
                F17,
                INDIRECT("'" &amp; INDEX('Hulp (CAO''s)'!$C$3:$C$6,
                    MATCH(TRUE,'Hulp (CAO''s)'!$D$3:$D$6,0)) &amp; "'!A:A"),
                0
            )) *
            IF(
                G17="",
                1,
                (ROW(INDIRECT("'" &amp; INDEX('Hulp (CAO''s)'!$C$3:$C$6,
                    MATCH(TRUE,'Hulp (CAO''s)'!$D$3:$D$6,0)) &amp; "'!B1:B1000")) &lt; MATCH(
                    G17,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TEXT(F18,"0")) *
                (ROW(INDIRECT("'" &amp; INDEX('Hulp (CAO''s)'!$C$3:$C$6,
                    MATCH(TRUE,'Hulp (CAO''s)'!$D$3:$D$6,0)) &amp; "'!B1:B1000")) &gt; MATCH(
                    F17,
                    INDIRECT("'" &amp; INDEX('Hulp (CAO''s)'!$C$3:$C$6,
                        MATCH(TRUE,'Hulp (CAO''s)'!$D$3:$D$6,0)) &amp; "'!A:A"),
                    0
                )) *
                IF(
                    G17="",
                    1,
                    (ROW(INDIRECT("'" &amp; INDEX('Hulp (CAO''s)'!$C$3:$C$6,
                        MATCH(TRUE,'Hulp (CAO''s)'!$D$3:$D$6,0)) &amp; "'!B1:B1000")) &lt; MATCH(
                        G17,
                        INDIRECT("'" &amp; INDEX('Hulp (CAO''s)'!$C$3:$C$6,
                            MATCH(TRUE,'Hulp (CAO''s)'!$D$3:$D$6,0)) &amp; "'!A:A"),
                        0
                    ))
                ),
                ROW(INDIRECT("'" &amp; INDEX('Hulp (CAO''s)'!$C$3:$C$6,
                    MATCH(TRUE,'Hulp (CAO''s)'!$D$3:$D$6,0)) &amp; "'!B1:B1000"))
            )
        ),0)
    )
)</f>
        <v/>
      </c>
      <c r="G19" s="86" t="str">
        <f t="array" aca="1" ref="G19" ca="1">IF(
    IFERROR(MIN(
        IF(
            (TRIM(INDIRECT("'" &amp; INDEX('Hulp (CAO''s)'!$C$3:$C$6,
                MATCH(TRUE,'Hulp (CAO''s)'!$D$3:$D$6,0)) &amp; "'!B1:B1000")) = TEXT(G18,"0")) *
            (ROW(INDIRECT("'" &amp; INDEX('Hulp (CAO''s)'!$C$3:$C$6,
                MATCH(TRUE,'Hulp (CAO''s)'!$D$3:$D$6,0)) &amp; "'!B1:B1000")) &gt; MATCH(
                G17,
                INDIRECT("'" &amp; INDEX('Hulp (CAO''s)'!$C$3:$C$6,
                    MATCH(TRUE,'Hulp (CAO''s)'!$D$3:$D$6,0)) &amp; "'!A:A"),
                0
            )) *
            IF(
                H17="",
                1,
                (ROW(INDIRECT("'" &amp; INDEX('Hulp (CAO''s)'!$C$3:$C$6,
                    MATCH(TRUE,'Hulp (CAO''s)'!$D$3:$D$6,0)) &amp; "'!B1:B1000")) &lt; MATCH(
                    H17,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TEXT(G18,"0")) *
                (ROW(INDIRECT("'" &amp; INDEX('Hulp (CAO''s)'!$C$3:$C$6,
                    MATCH(TRUE,'Hulp (CAO''s)'!$D$3:$D$6,0)) &amp; "'!B1:B1000")) &gt; MATCH(
                    G17,
                    INDIRECT("'" &amp; INDEX('Hulp (CAO''s)'!$C$3:$C$6,
                        MATCH(TRUE,'Hulp (CAO''s)'!$D$3:$D$6,0)) &amp; "'!A:A"),
                    0
                )) *
                IF(
                    H17="",
                    1,
                    (ROW(INDIRECT("'" &amp; INDEX('Hulp (CAO''s)'!$C$3:$C$6,
                        MATCH(TRUE,'Hulp (CAO''s)'!$D$3:$D$6,0)) &amp; "'!B1:B1000")) &lt; MATCH(
                        H17,
                        INDIRECT("'" &amp; INDEX('Hulp (CAO''s)'!$C$3:$C$6,
                            MATCH(TRUE,'Hulp (CAO''s)'!$D$3:$D$6,0)) &amp; "'!A:A"),
                        0
                    ))
                ),
                ROW(INDIRECT("'" &amp; INDEX('Hulp (CAO''s)'!$C$3:$C$6,
                    MATCH(TRUE,'Hulp (CAO''s)'!$D$3:$D$6,0)) &amp; "'!B1:B1000"))
            )
        ),0)
    )
)</f>
        <v/>
      </c>
      <c r="H19" s="86" t="str">
        <f t="array" aca="1" ref="H19" ca="1">IF(
    IFERROR(MIN(
        IF(
            (TRIM(INDIRECT("'" &amp; INDEX('Hulp (CAO''s)'!$C$3:$C$6,
                MATCH(TRUE,'Hulp (CAO''s)'!$D$3:$D$6,0)) &amp; "'!B1:B1000")) = TEXT(H18,"0")) *
            (ROW(INDIRECT("'" &amp; INDEX('Hulp (CAO''s)'!$C$3:$C$6,
                MATCH(TRUE,'Hulp (CAO''s)'!$D$3:$D$6,0)) &amp; "'!B1:B1000")) &gt; MATCH(
                H17,
                INDIRECT("'" &amp; INDEX('Hulp (CAO''s)'!$C$3:$C$6,
                    MATCH(TRUE,'Hulp (CAO''s)'!$D$3:$D$6,0)) &amp; "'!A:A"),
                0
            )) *
            IF(
                I17="",
                1,
                (ROW(INDIRECT("'" &amp; INDEX('Hulp (CAO''s)'!$C$3:$C$6,
                    MATCH(TRUE,'Hulp (CAO''s)'!$D$3:$D$6,0)) &amp; "'!B1:B1000")) &lt; MATCH(
                    I17,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TEXT(H18,"0")) *
                (ROW(INDIRECT("'" &amp; INDEX('Hulp (CAO''s)'!$C$3:$C$6,
                    MATCH(TRUE,'Hulp (CAO''s)'!$D$3:$D$6,0)) &amp; "'!B1:B1000")) &gt; MATCH(
                    H17,
                    INDIRECT("'" &amp; INDEX('Hulp (CAO''s)'!$C$3:$C$6,
                        MATCH(TRUE,'Hulp (CAO''s)'!$D$3:$D$6,0)) &amp; "'!A:A"),
                    0
                )) *
                IF(
                    I17="",
                    1,
                    (ROW(INDIRECT("'" &amp; INDEX('Hulp (CAO''s)'!$C$3:$C$6,
                        MATCH(TRUE,'Hulp (CAO''s)'!$D$3:$D$6,0)) &amp; "'!B1:B1000")) &lt; MATCH(
                        I17,
                        INDIRECT("'" &amp; INDEX('Hulp (CAO''s)'!$C$3:$C$6,
                            MATCH(TRUE,'Hulp (CAO''s)'!$D$3:$D$6,0)) &amp; "'!A:A"),
                        0
                    ))
                ),
                ROW(INDIRECT("'" &amp; INDEX('Hulp (CAO''s)'!$C$3:$C$6,
                    MATCH(TRUE,'Hulp (CAO''s)'!$D$3:$D$6,0)) &amp; "'!B1:B1000"))
            )
        ),0)
    )
)</f>
        <v/>
      </c>
      <c r="I19" s="86" t="str">
        <f t="array" aca="1" ref="I19" ca="1">IF(
    IFERROR(MIN(
        IF(
            (TRIM(INDIRECT("'" &amp; INDEX('Hulp (CAO''s)'!$C$3:$C$6,
                MATCH(TRUE,'Hulp (CAO''s)'!$D$3:$D$6,0)) &amp; "'!B1:B1000")) = TEXT(I18,"0")) *
            (ROW(INDIRECT("'" &amp; INDEX('Hulp (CAO''s)'!$C$3:$C$6,
                MATCH(TRUE,'Hulp (CAO''s)'!$D$3:$D$6,0)) &amp; "'!B1:B1000")) &gt; MATCH(
                I17,
                INDIRECT("'" &amp; INDEX('Hulp (CAO''s)'!$C$3:$C$6,
                    MATCH(TRUE,'Hulp (CAO''s)'!$D$3:$D$6,0)) &amp; "'!A:A"),
                0
            )) *
            IF(
                J17="",
                1,
                (ROW(INDIRECT("'" &amp; INDEX('Hulp (CAO''s)'!$C$3:$C$6,
                    MATCH(TRUE,'Hulp (CAO''s)'!$D$3:$D$6,0)) &amp; "'!B1:B1000")) &lt; MATCH(
                    J17,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TEXT(I18,"0")) *
                (ROW(INDIRECT("'" &amp; INDEX('Hulp (CAO''s)'!$C$3:$C$6,
                    MATCH(TRUE,'Hulp (CAO''s)'!$D$3:$D$6,0)) &amp; "'!B1:B1000")) &gt; MATCH(
                    I17,
                    INDIRECT("'" &amp; INDEX('Hulp (CAO''s)'!$C$3:$C$6,
                        MATCH(TRUE,'Hulp (CAO''s)'!$D$3:$D$6,0)) &amp; "'!A:A"),
                    0
                )) *
                IF(
                    J17="",
                    1,
                    (ROW(INDIRECT("'" &amp; INDEX('Hulp (CAO''s)'!$C$3:$C$6,
                        MATCH(TRUE,'Hulp (CAO''s)'!$D$3:$D$6,0)) &amp; "'!B1:B1000")) &lt; MATCH(
                        J17,
                        INDIRECT("'" &amp; INDEX('Hulp (CAO''s)'!$C$3:$C$6,
                            MATCH(TRUE,'Hulp (CAO''s)'!$D$3:$D$6,0)) &amp; "'!A:A"),
                        0
                    ))
                ),
                ROW(INDIRECT("'" &amp; INDEX('Hulp (CAO''s)'!$C$3:$C$6,
                    MATCH(TRUE,'Hulp (CAO''s)'!$D$3:$D$6,0)) &amp; "'!B1:B1000"))
            )
        ),0)
    )
)</f>
        <v/>
      </c>
      <c r="J19" s="86" t="str">
        <f t="array" aca="1" ref="J19" ca="1">IF(
    IFERROR(MIN(
        IF(
            (TRIM(INDIRECT("'" &amp; INDEX('Hulp (CAO''s)'!$C$3:$C$6,
                MATCH(TRUE,'Hulp (CAO''s)'!$D$3:$D$6,0)) &amp; "'!B1:B1000")) = TEXT(J18,"0")) *
            (ROW(INDIRECT("'" &amp; INDEX('Hulp (CAO''s)'!$C$3:$C$6,
                MATCH(TRUE,'Hulp (CAO''s)'!$D$3:$D$6,0)) &amp; "'!B1:B1000")) &gt; MATCH(
                J17,
                INDIRECT("'" &amp; INDEX('Hulp (CAO''s)'!$C$3:$C$6,
                    MATCH(TRUE,'Hulp (CAO''s)'!$D$3:$D$6,0)) &amp; "'!A:A"),
                0
            )) *
            IF(
                K17="",
                1,
                (ROW(INDIRECT("'" &amp; INDEX('Hulp (CAO''s)'!$C$3:$C$6,
                    MATCH(TRUE,'Hulp (CAO''s)'!$D$3:$D$6,0)) &amp; "'!B1:B1000")) &lt; MATCH(
                    K17,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TEXT(J18,"0")) *
                (ROW(INDIRECT("'" &amp; INDEX('Hulp (CAO''s)'!$C$3:$C$6,
                    MATCH(TRUE,'Hulp (CAO''s)'!$D$3:$D$6,0)) &amp; "'!B1:B1000")) &gt; MATCH(
                    J17,
                    INDIRECT("'" &amp; INDEX('Hulp (CAO''s)'!$C$3:$C$6,
                        MATCH(TRUE,'Hulp (CAO''s)'!$D$3:$D$6,0)) &amp; "'!A:A"),
                    0
                )) *
                IF(
                    K17="",
                    1,
                    (ROW(INDIRECT("'" &amp; INDEX('Hulp (CAO''s)'!$C$3:$C$6,
                        MATCH(TRUE,'Hulp (CAO''s)'!$D$3:$D$6,0)) &amp; "'!B1:B1000")) &lt; MATCH(
                        K17,
                        INDIRECT("'" &amp; INDEX('Hulp (CAO''s)'!$C$3:$C$6,
                            MATCH(TRUE,'Hulp (CAO''s)'!$D$3:$D$6,0)) &amp; "'!A:A"),
                        0
                    ))
                ),
                ROW(INDIRECT("'" &amp; INDEX('Hulp (CAO''s)'!$C$3:$C$6,
                    MATCH(TRUE,'Hulp (CAO''s)'!$D$3:$D$6,0)) &amp; "'!B1:B1000"))
            )
        ),0)
    )
)</f>
        <v/>
      </c>
      <c r="K19" s="86" t="str">
        <f t="array" aca="1" ref="K19" ca="1">IF(
    IFERROR(MIN(
        IF(
            (TRIM(INDIRECT("'" &amp; INDEX('Hulp (CAO''s)'!$C$3:$C$6,
                MATCH(TRUE,'Hulp (CAO''s)'!$D$3:$D$6,0)) &amp; "'!B1:B1000")) = TEXT(K18,"0")) *
            (ROW(INDIRECT("'" &amp; INDEX('Hulp (CAO''s)'!$C$3:$C$6,
                MATCH(TRUE,'Hulp (CAO''s)'!$D$3:$D$6,0)) &amp; "'!B1:B1000")) &gt; MATCH(
                K17,
                INDIRECT("'" &amp; INDEX('Hulp (CAO''s)'!$C$3:$C$6,
                    MATCH(TRUE,'Hulp (CAO''s)'!$D$3:$D$6,0)) &amp; "'!A:A"),
                0
            )) *
            IF(
                L17="",
                1,
                (ROW(INDIRECT("'" &amp; INDEX('Hulp (CAO''s)'!$C$3:$C$6,
                    MATCH(TRUE,'Hulp (CAO''s)'!$D$3:$D$6,0)) &amp; "'!B1:B1000")) &lt; MATCH(
                    L17,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TEXT(K18,"0")) *
                (ROW(INDIRECT("'" &amp; INDEX('Hulp (CAO''s)'!$C$3:$C$6,
                    MATCH(TRUE,'Hulp (CAO''s)'!$D$3:$D$6,0)) &amp; "'!B1:B1000")) &gt; MATCH(
                    K17,
                    INDIRECT("'" &amp; INDEX('Hulp (CAO''s)'!$C$3:$C$6,
                        MATCH(TRUE,'Hulp (CAO''s)'!$D$3:$D$6,0)) &amp; "'!A:A"),
                    0
                )) *
                IF(
                    L17="",
                    1,
                    (ROW(INDIRECT("'" &amp; INDEX('Hulp (CAO''s)'!$C$3:$C$6,
                        MATCH(TRUE,'Hulp (CAO''s)'!$D$3:$D$6,0)) &amp; "'!B1:B1000")) &lt; MATCH(
                        L17,
                        INDIRECT("'" &amp; INDEX('Hulp (CAO''s)'!$C$3:$C$6,
                            MATCH(TRUE,'Hulp (CAO''s)'!$D$3:$D$6,0)) &amp; "'!A:A"),
                        0
                    ))
                ),
                ROW(INDIRECT("'" &amp; INDEX('Hulp (CAO''s)'!$C$3:$C$6,
                    MATCH(TRUE,'Hulp (CAO''s)'!$D$3:$D$6,0)) &amp; "'!B1:B1000"))
            )
        ),0)
    )
)</f>
        <v/>
      </c>
      <c r="L19" s="86" t="str">
        <f t="array" aca="1" ref="L19" ca="1">IF(
    IFERROR(MIN(
        IF(
            (TRIM(INDIRECT("'" &amp; INDEX('Hulp (CAO''s)'!$C$3:$C$6,
                MATCH(TRUE,'Hulp (CAO''s)'!$D$3:$D$6,0)) &amp; "'!B1:B1000")) = TEXT(L18,"0")) *
            (ROW(INDIRECT("'" &amp; INDEX('Hulp (CAO''s)'!$C$3:$C$6,
                MATCH(TRUE,'Hulp (CAO''s)'!$D$3:$D$6,0)) &amp; "'!B1:B1000")) &gt; MATCH(
                L17,
                INDIRECT("'" &amp; INDEX('Hulp (CAO''s)'!$C$3:$C$6,
                    MATCH(TRUE,'Hulp (CAO''s)'!$D$3:$D$6,0)) &amp; "'!A:A"),
                0
            )) *
            IF(
                M17="",
                1,
                (ROW(INDIRECT("'" &amp; INDEX('Hulp (CAO''s)'!$C$3:$C$6,
                    MATCH(TRUE,'Hulp (CAO''s)'!$D$3:$D$6,0)) &amp; "'!B1:B1000")) &lt; MATCH(
                    M17,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TEXT(L18,"0")) *
                (ROW(INDIRECT("'" &amp; INDEX('Hulp (CAO''s)'!$C$3:$C$6,
                    MATCH(TRUE,'Hulp (CAO''s)'!$D$3:$D$6,0)) &amp; "'!B1:B1000")) &gt; MATCH(
                    L17,
                    INDIRECT("'" &amp; INDEX('Hulp (CAO''s)'!$C$3:$C$6,
                        MATCH(TRUE,'Hulp (CAO''s)'!$D$3:$D$6,0)) &amp; "'!A:A"),
                    0
                )) *
                IF(
                    M17="",
                    1,
                    (ROW(INDIRECT("'" &amp; INDEX('Hulp (CAO''s)'!$C$3:$C$6,
                        MATCH(TRUE,'Hulp (CAO''s)'!$D$3:$D$6,0)) &amp; "'!B1:B1000")) &lt; MATCH(
                        M17,
                        INDIRECT("'" &amp; INDEX('Hulp (CAO''s)'!$C$3:$C$6,
                            MATCH(TRUE,'Hulp (CAO''s)'!$D$3:$D$6,0)) &amp; "'!A:A"),
                        0
                    ))
                ),
                ROW(INDIRECT("'" &amp; INDEX('Hulp (CAO''s)'!$C$3:$C$6,
                    MATCH(TRUE,'Hulp (CAO''s)'!$D$3:$D$6,0)) &amp; "'!B1:B1000"))
            )
        ),0)
    )
)</f>
        <v/>
      </c>
      <c r="M19" s="86" t="str">
        <f t="array" aca="1" ref="M19" ca="1">IF(
    IFERROR(MIN(
        IF(
            (TRIM(INDIRECT("'" &amp; INDEX('Hulp (CAO''s)'!$C$3:$C$6,
                MATCH(TRUE,'Hulp (CAO''s)'!$D$3:$D$6,0)) &amp; "'!B1:B1000")) = TEXT(M18,"0")) *
            (ROW(INDIRECT("'" &amp; INDEX('Hulp (CAO''s)'!$C$3:$C$6,
                MATCH(TRUE,'Hulp (CAO''s)'!$D$3:$D$6,0)) &amp; "'!B1:B1000")) &gt; MATCH(
                M17,
                INDIRECT("'" &amp; INDEX('Hulp (CAO''s)'!$C$3:$C$6,
                    MATCH(TRUE,'Hulp (CAO''s)'!$D$3:$D$6,0)) &amp; "'!A:A"),
                0
            )) *
            IF(
                N17="",
                1,
                (ROW(INDIRECT("'" &amp; INDEX('Hulp (CAO''s)'!$C$3:$C$6,
                    MATCH(TRUE,'Hulp (CAO''s)'!$D$3:$D$6,0)) &amp; "'!B1:B1000")) &lt; MATCH(
                    N17,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TEXT(M18,"0")) *
                (ROW(INDIRECT("'" &amp; INDEX('Hulp (CAO''s)'!$C$3:$C$6,
                    MATCH(TRUE,'Hulp (CAO''s)'!$D$3:$D$6,0)) &amp; "'!B1:B1000")) &gt; MATCH(
                    M17,
                    INDIRECT("'" &amp; INDEX('Hulp (CAO''s)'!$C$3:$C$6,
                        MATCH(TRUE,'Hulp (CAO''s)'!$D$3:$D$6,0)) &amp; "'!A:A"),
                    0
                )) *
                IF(
                    N17="",
                    1,
                    (ROW(INDIRECT("'" &amp; INDEX('Hulp (CAO''s)'!$C$3:$C$6,
                        MATCH(TRUE,'Hulp (CAO''s)'!$D$3:$D$6,0)) &amp; "'!B1:B1000")) &lt; MATCH(
                        N17,
                        INDIRECT("'" &amp; INDEX('Hulp (CAO''s)'!$C$3:$C$6,
                            MATCH(TRUE,'Hulp (CAO''s)'!$D$3:$D$6,0)) &amp; "'!A:A"),
                        0
                    ))
                ),
                ROW(INDIRECT("'" &amp; INDEX('Hulp (CAO''s)'!$C$3:$C$6,
                    MATCH(TRUE,'Hulp (CAO''s)'!$D$3:$D$6,0)) &amp; "'!B1:B1000"))
            )
        ),0)
    )
)</f>
        <v/>
      </c>
      <c r="N19" s="86" t="str">
        <f t="array" aca="1" ref="N19" ca="1">IF(
    IFERROR(MIN(
        IF(
            (TRIM(INDIRECT("'" &amp; INDEX('Hulp (CAO''s)'!$C$3:$C$6,
                MATCH(TRUE,'Hulp (CAO''s)'!$D$3:$D$6,0)) &amp; "'!B1:B1000")) = TEXT(N18,"0")) *
            (ROW(INDIRECT("'" &amp; INDEX('Hulp (CAO''s)'!$C$3:$C$6,
                MATCH(TRUE,'Hulp (CAO''s)'!$D$3:$D$6,0)) &amp; "'!B1:B1000")) &gt; MATCH(
                N17,
                INDIRECT("'" &amp; INDEX('Hulp (CAO''s)'!$C$3:$C$6,
                    MATCH(TRUE,'Hulp (CAO''s)'!$D$3:$D$6,0)) &amp; "'!A:A"),
                0
            )) *
            IF(
                O17="",
                1,
                (ROW(INDIRECT("'" &amp; INDEX('Hulp (CAO''s)'!$C$3:$C$6,
                    MATCH(TRUE,'Hulp (CAO''s)'!$D$3:$D$6,0)) &amp; "'!B1:B1000")) &lt; MATCH(
                    O17,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TEXT(N18,"0")) *
                (ROW(INDIRECT("'" &amp; INDEX('Hulp (CAO''s)'!$C$3:$C$6,
                    MATCH(TRUE,'Hulp (CAO''s)'!$D$3:$D$6,0)) &amp; "'!B1:B1000")) &gt; MATCH(
                    N17,
                    INDIRECT("'" &amp; INDEX('Hulp (CAO''s)'!$C$3:$C$6,
                        MATCH(TRUE,'Hulp (CAO''s)'!$D$3:$D$6,0)) &amp; "'!A:A"),
                    0
                )) *
                IF(
                    O17="",
                    1,
                    (ROW(INDIRECT("'" &amp; INDEX('Hulp (CAO''s)'!$C$3:$C$6,
                        MATCH(TRUE,'Hulp (CAO''s)'!$D$3:$D$6,0)) &amp; "'!B1:B1000")) &lt; MATCH(
                        O17,
                        INDIRECT("'" &amp; INDEX('Hulp (CAO''s)'!$C$3:$C$6,
                            MATCH(TRUE,'Hulp (CAO''s)'!$D$3:$D$6,0)) &amp; "'!A:A"),
                        0
                    ))
                ),
                ROW(INDIRECT("'" &amp; INDEX('Hulp (CAO''s)'!$C$3:$C$6,
                    MATCH(TRUE,'Hulp (CAO''s)'!$D$3:$D$6,0)) &amp; "'!B1:B1000"))
            )
        ),0)
    )
)</f>
        <v/>
      </c>
      <c r="O19" s="86" t="str">
        <f t="array" aca="1" ref="O19" ca="1">IF(
    IFERROR(MIN(
        IF(
            (TRIM(INDIRECT("'" &amp; INDEX('Hulp (CAO''s)'!$C$3:$C$6,
                MATCH(TRUE,'Hulp (CAO''s)'!$D$3:$D$6,0)) &amp; "'!B1:B1000")) = TEXT(O18,"0")) *
            (ROW(INDIRECT("'" &amp; INDEX('Hulp (CAO''s)'!$C$3:$C$6,
                MATCH(TRUE,'Hulp (CAO''s)'!$D$3:$D$6,0)) &amp; "'!B1:B1000")) &gt; MATCH(
                O17,
                INDIRECT("'" &amp; INDEX('Hulp (CAO''s)'!$C$3:$C$6,
                    MATCH(TRUE,'Hulp (CAO''s)'!$D$3:$D$6,0)) &amp; "'!A:A"),
                0
            )) *
            IF(
                P17="",
                1,
                (ROW(INDIRECT("'" &amp; INDEX('Hulp (CAO''s)'!$C$3:$C$6,
                    MATCH(TRUE,'Hulp (CAO''s)'!$D$3:$D$6,0)) &amp; "'!B1:B1000")) &lt; MATCH(
                    P17,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TEXT(O18,"0")) *
                (ROW(INDIRECT("'" &amp; INDEX('Hulp (CAO''s)'!$C$3:$C$6,
                    MATCH(TRUE,'Hulp (CAO''s)'!$D$3:$D$6,0)) &amp; "'!B1:B1000")) &gt; MATCH(
                    O17,
                    INDIRECT("'" &amp; INDEX('Hulp (CAO''s)'!$C$3:$C$6,
                        MATCH(TRUE,'Hulp (CAO''s)'!$D$3:$D$6,0)) &amp; "'!A:A"),
                    0
                )) *
                IF(
                    P17="",
                    1,
                    (ROW(INDIRECT("'" &amp; INDEX('Hulp (CAO''s)'!$C$3:$C$6,
                        MATCH(TRUE,'Hulp (CAO''s)'!$D$3:$D$6,0)) &amp; "'!B1:B1000")) &lt; MATCH(
                        P17,
                        INDIRECT("'" &amp; INDEX('Hulp (CAO''s)'!$C$3:$C$6,
                            MATCH(TRUE,'Hulp (CAO''s)'!$D$3:$D$6,0)) &amp; "'!A:A"),
                        0
                    ))
                ),
                ROW(INDIRECT("'" &amp; INDEX('Hulp (CAO''s)'!$C$3:$C$6,
                    MATCH(TRUE,'Hulp (CAO''s)'!$D$3:$D$6,0)) &amp; "'!B1:B1000"))
            )
        ),0)
    )
)</f>
        <v/>
      </c>
      <c r="P19" s="86" t="str">
        <f t="array" aca="1" ref="P19" ca="1">IF(
    IFERROR(MIN(
        IF(
            (TRIM(INDIRECT("'" &amp; INDEX('Hulp (CAO''s)'!$C$3:$C$6,
                MATCH(TRUE,'Hulp (CAO''s)'!$D$3:$D$6,0)) &amp; "'!B1:B1000")) = TEXT(P18,"0")) *
            (ROW(INDIRECT("'" &amp; INDEX('Hulp (CAO''s)'!$C$3:$C$6,
                MATCH(TRUE,'Hulp (CAO''s)'!$D$3:$D$6,0)) &amp; "'!B1:B1000")) &gt; MATCH(
                P17,
                INDIRECT("'" &amp; INDEX('Hulp (CAO''s)'!$C$3:$C$6,
                    MATCH(TRUE,'Hulp (CAO''s)'!$D$3:$D$6,0)) &amp; "'!A:A"),
                0
            )) *
            IF(
                Q17="",
                1,
                (ROW(INDIRECT("'" &amp; INDEX('Hulp (CAO''s)'!$C$3:$C$6,
                    MATCH(TRUE,'Hulp (CAO''s)'!$D$3:$D$6,0)) &amp; "'!B1:B1000")) &lt; MATCH(
                    Q17,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TEXT(P18,"0")) *
                (ROW(INDIRECT("'" &amp; INDEX('Hulp (CAO''s)'!$C$3:$C$6,
                    MATCH(TRUE,'Hulp (CAO''s)'!$D$3:$D$6,0)) &amp; "'!B1:B1000")) &gt; MATCH(
                    P17,
                    INDIRECT("'" &amp; INDEX('Hulp (CAO''s)'!$C$3:$C$6,
                        MATCH(TRUE,'Hulp (CAO''s)'!$D$3:$D$6,0)) &amp; "'!A:A"),
                    0
                )) *
                IF(
                    Q17="",
                    1,
                    (ROW(INDIRECT("'" &amp; INDEX('Hulp (CAO''s)'!$C$3:$C$6,
                        MATCH(TRUE,'Hulp (CAO''s)'!$D$3:$D$6,0)) &amp; "'!B1:B1000")) &lt; MATCH(
                        Q17,
                        INDIRECT("'" &amp; INDEX('Hulp (CAO''s)'!$C$3:$C$6,
                            MATCH(TRUE,'Hulp (CAO''s)'!$D$3:$D$6,0)) &amp; "'!A:A"),
                        0
                    ))
                ),
                ROW(INDIRECT("'" &amp; INDEX('Hulp (CAO''s)'!$C$3:$C$6,
                    MATCH(TRUE,'Hulp (CAO''s)'!$D$3:$D$6,0)) &amp; "'!B1:B1000"))
            )
        ),0)
    )
)</f>
        <v/>
      </c>
      <c r="Q19" s="86" t="str">
        <f t="array" aca="1" ref="Q19" ca="1">IF(
    IFERROR(MIN(
        IF(
            (TRIM(INDIRECT("'" &amp; INDEX('Hulp (CAO''s)'!$C$3:$C$6,
                MATCH(TRUE,'Hulp (CAO''s)'!$D$3:$D$6,0)) &amp; "'!B1:B1000")) = TEXT(Q18,"0")) *
            (ROW(INDIRECT("'" &amp; INDEX('Hulp (CAO''s)'!$C$3:$C$6,
                MATCH(TRUE,'Hulp (CAO''s)'!$D$3:$D$6,0)) &amp; "'!B1:B1000")) &gt; MATCH(
                Q17,
                INDIRECT("'" &amp; INDEX('Hulp (CAO''s)'!$C$3:$C$6,
                    MATCH(TRUE,'Hulp (CAO''s)'!$D$3:$D$6,0)) &amp; "'!A:A"),
                0
            )) *
            IF(
                R17="",
                1,
                (ROW(INDIRECT("'" &amp; INDEX('Hulp (CAO''s)'!$C$3:$C$6,
                    MATCH(TRUE,'Hulp (CAO''s)'!$D$3:$D$6,0)) &amp; "'!B1:B1000")) &lt; MATCH(
                    R17,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TEXT(Q18,"0")) *
                (ROW(INDIRECT("'" &amp; INDEX('Hulp (CAO''s)'!$C$3:$C$6,
                    MATCH(TRUE,'Hulp (CAO''s)'!$D$3:$D$6,0)) &amp; "'!B1:B1000")) &gt; MATCH(
                    Q17,
                    INDIRECT("'" &amp; INDEX('Hulp (CAO''s)'!$C$3:$C$6,
                        MATCH(TRUE,'Hulp (CAO''s)'!$D$3:$D$6,0)) &amp; "'!A:A"),
                    0
                )) *
                IF(
                    R17="",
                    1,
                    (ROW(INDIRECT("'" &amp; INDEX('Hulp (CAO''s)'!$C$3:$C$6,
                        MATCH(TRUE,'Hulp (CAO''s)'!$D$3:$D$6,0)) &amp; "'!B1:B1000")) &lt; MATCH(
                        R17,
                        INDIRECT("'" &amp; INDEX('Hulp (CAO''s)'!$C$3:$C$6,
                            MATCH(TRUE,'Hulp (CAO''s)'!$D$3:$D$6,0)) &amp; "'!A:A"),
                        0
                    ))
                ),
                ROW(INDIRECT("'" &amp; INDEX('Hulp (CAO''s)'!$C$3:$C$6,
                    MATCH(TRUE,'Hulp (CAO''s)'!$D$3:$D$6,0)) &amp; "'!B1:B1000"))
            )
        ),0)
    )
)</f>
        <v/>
      </c>
      <c r="R19" s="86" t="str">
        <f t="array" aca="1" ref="R19" ca="1">IF(
    IFERROR(MIN(
        IF(
            (TRIM(INDIRECT("'" &amp; INDEX('Hulp (CAO''s)'!$C$3:$C$6,
                MATCH(TRUE,'Hulp (CAO''s)'!$D$3:$D$6,0)) &amp; "'!B1:B1000")) = TEXT(R18,"0")) *
            (ROW(INDIRECT("'" &amp; INDEX('Hulp (CAO''s)'!$C$3:$C$6,
                MATCH(TRUE,'Hulp (CAO''s)'!$D$3:$D$6,0)) &amp; "'!B1:B1000")) &gt; MATCH(
                R17,
                INDIRECT("'" &amp; INDEX('Hulp (CAO''s)'!$C$3:$C$6,
                    MATCH(TRUE,'Hulp (CAO''s)'!$D$3:$D$6,0)) &amp; "'!A:A"),
                0
            )) *
            IF(
                S17="",
                1,
                (ROW(INDIRECT("'" &amp; INDEX('Hulp (CAO''s)'!$C$3:$C$6,
                    MATCH(TRUE,'Hulp (CAO''s)'!$D$3:$D$6,0)) &amp; "'!B1:B1000")) &lt; MATCH(
                    S17,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TEXT(R18,"0")) *
                (ROW(INDIRECT("'" &amp; INDEX('Hulp (CAO''s)'!$C$3:$C$6,
                    MATCH(TRUE,'Hulp (CAO''s)'!$D$3:$D$6,0)) &amp; "'!B1:B1000")) &gt; MATCH(
                    R17,
                    INDIRECT("'" &amp; INDEX('Hulp (CAO''s)'!$C$3:$C$6,
                        MATCH(TRUE,'Hulp (CAO''s)'!$D$3:$D$6,0)) &amp; "'!A:A"),
                    0
                )) *
                IF(
                    S17="",
                    1,
                    (ROW(INDIRECT("'" &amp; INDEX('Hulp (CAO''s)'!$C$3:$C$6,
                        MATCH(TRUE,'Hulp (CAO''s)'!$D$3:$D$6,0)) &amp; "'!B1:B1000")) &lt; MATCH(
                        S17,
                        INDIRECT("'" &amp; INDEX('Hulp (CAO''s)'!$C$3:$C$6,
                            MATCH(TRUE,'Hulp (CAO''s)'!$D$3:$D$6,0)) &amp; "'!A:A"),
                        0
                    ))
                ),
                ROW(INDIRECT("'" &amp; INDEX('Hulp (CAO''s)'!$C$3:$C$6,
                    MATCH(TRUE,'Hulp (CAO''s)'!$D$3:$D$6,0)) &amp; "'!B1:B1000"))
            )
        ),0)
    )
)</f>
        <v/>
      </c>
      <c r="S19" s="86" t="str">
        <f t="array" aca="1" ref="S19" ca="1">IF(
    IFERROR(MIN(
        IF(
            (TRIM(INDIRECT("'" &amp; INDEX('Hulp (CAO''s)'!$C$3:$C$6,
                MATCH(TRUE,'Hulp (CAO''s)'!$D$3:$D$6,0)) &amp; "'!B1:B1000")) = TEXT(S18,"0")) *
            (ROW(INDIRECT("'" &amp; INDEX('Hulp (CAO''s)'!$C$3:$C$6,
                MATCH(TRUE,'Hulp (CAO''s)'!$D$3:$D$6,0)) &amp; "'!B1:B1000")) &gt; MATCH(
                S17,
                INDIRECT("'" &amp; INDEX('Hulp (CAO''s)'!$C$3:$C$6,
                    MATCH(TRUE,'Hulp (CAO''s)'!$D$3:$D$6,0)) &amp; "'!A:A"),
                0
            )) *
            IF(
                T17="",
                1,
                (ROW(INDIRECT("'" &amp; INDEX('Hulp (CAO''s)'!$C$3:$C$6,
                    MATCH(TRUE,'Hulp (CAO''s)'!$D$3:$D$6,0)) &amp; "'!B1:B1000")) &lt; MATCH(
                    T17,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TEXT(S18,"0")) *
                (ROW(INDIRECT("'" &amp; INDEX('Hulp (CAO''s)'!$C$3:$C$6,
                    MATCH(TRUE,'Hulp (CAO''s)'!$D$3:$D$6,0)) &amp; "'!B1:B1000")) &gt; MATCH(
                    S17,
                    INDIRECT("'" &amp; INDEX('Hulp (CAO''s)'!$C$3:$C$6,
                        MATCH(TRUE,'Hulp (CAO''s)'!$D$3:$D$6,0)) &amp; "'!A:A"),
                    0
                )) *
                IF(
                    T17="",
                    1,
                    (ROW(INDIRECT("'" &amp; INDEX('Hulp (CAO''s)'!$C$3:$C$6,
                        MATCH(TRUE,'Hulp (CAO''s)'!$D$3:$D$6,0)) &amp; "'!B1:B1000")) &lt; MATCH(
                        T17,
                        INDIRECT("'" &amp; INDEX('Hulp (CAO''s)'!$C$3:$C$6,
                            MATCH(TRUE,'Hulp (CAO''s)'!$D$3:$D$6,0)) &amp; "'!A:A"),
                        0
                    ))
                ),
                ROW(INDIRECT("'" &amp; INDEX('Hulp (CAO''s)'!$C$3:$C$6,
                    MATCH(TRUE,'Hulp (CAO''s)'!$D$3:$D$6,0)) &amp; "'!B1:B1000"))
            )
        ),0)
    )
)</f>
        <v/>
      </c>
      <c r="T19" s="39" t="str">
        <f t="array" aca="1" ref="T19" ca="1">IF(
    IFERROR(MIN(
        IF(
            (TRIM(INDIRECT("'" &amp; INDEX('Hulp (CAO''s)'!$C$3:$C$6,
                MATCH(TRUE,'Hulp (CAO''s)'!$D$3:$D$6,0)) &amp; "'!B1:B1000")) = TEXT(T18,"0")) *
            (ROW(INDIRECT("'" &amp; INDEX('Hulp (CAO''s)'!$C$3:$C$6,
                MATCH(TRUE,'Hulp (CAO''s)'!$D$3:$D$6,0)) &amp; "'!B1:B1000")) &gt; MATCH(
                T17,
                INDIRECT("'" &amp; INDEX('Hulp (CAO''s)'!$C$3:$C$6,
                    MATCH(TRUE,'Hulp (CAO''s)'!$D$3:$D$6,0)) &amp; "'!A:A"),
                0
            )) *
            IF(
                U17="",
                1,
                (ROW(INDIRECT("'" &amp; INDEX('Hulp (CAO''s)'!$C$3:$C$6,
                    MATCH(TRUE,'Hulp (CAO''s)'!$D$3:$D$6,0)) &amp; "'!B1:B1000")) &lt; MATCH(
                    U17,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TEXT(T18,"0")) *
                (ROW(INDIRECT("'" &amp; INDEX('Hulp (CAO''s)'!$C$3:$C$6,
                    MATCH(TRUE,'Hulp (CAO''s)'!$D$3:$D$6,0)) &amp; "'!B1:B1000")) &gt; MATCH(
                    T17,
                    INDIRECT("'" &amp; INDEX('Hulp (CAO''s)'!$C$3:$C$6,
                        MATCH(TRUE,'Hulp (CAO''s)'!$D$3:$D$6,0)) &amp; "'!A:A"),
                    0
                )) *
                IF(
                    U17="",
                    1,
                    (ROW(INDIRECT("'" &amp; INDEX('Hulp (CAO''s)'!$C$3:$C$6,
                        MATCH(TRUE,'Hulp (CAO''s)'!$D$3:$D$6,0)) &amp; "'!B1:B1000")) &lt; MATCH(
                        U17,
                        INDIRECT("'" &amp; INDEX('Hulp (CAO''s)'!$C$3:$C$6,
                            MATCH(TRUE,'Hulp (CAO''s)'!$D$3:$D$6,0)) &amp; "'!A:A"),
                        0
                    ))
                ),
                ROW(INDIRECT("'" &amp; INDEX('Hulp (CAO''s)'!$C$3:$C$6,
                    MATCH(TRUE,'Hulp (CAO''s)'!$D$3:$D$6,0)) &amp; "'!B1:B1000"))
            )
        ),0)
    )
)</f>
        <v/>
      </c>
      <c r="V19" s="38" t="str">
        <f t="array" aca="1" ref="V19" ca="1">IF(
   SUM(E19:T19)=0,
   "",
   (
      SUMPRODUCT(
         IF(E19:T19="",0,E19:T19),
         IF(E20:T20="",0,E20:T20) * SUM(E20:T20)
      )
   ) *
   IF(
      'Hulp (CAO''s)'!#REF!,
      IF(
         OR(
            INDEX(#REF!, ROW(#REF!) + INT((ROW()-ROW($V$7))/6)*8)="",
            ISNA(INDEX(#REF!, ROW(#REF!) + INT((ROW()-ROW($V$7))/6)*8))
         ),
         1878/12,
         INDEX(#REF!, ROW(#REF!) + INT((ROW()-ROW($V$7))/6)*8)/12
      ),
      1
   )
)</f>
        <v/>
      </c>
    </row>
    <row r="20" spans="2:24" ht="14.65" thickBot="1" x14ac:dyDescent="0.5">
      <c r="B20" s="48" t="s">
        <v>60</v>
      </c>
      <c r="D20" s="24" t="s">
        <v>59</v>
      </c>
      <c r="E20" s="8">
        <v>0.05</v>
      </c>
      <c r="F20" s="8">
        <v>0.1</v>
      </c>
      <c r="G20" s="8">
        <v>0.1</v>
      </c>
      <c r="H20" s="8">
        <v>0.15</v>
      </c>
      <c r="I20" s="8">
        <v>0.2</v>
      </c>
      <c r="J20" s="8">
        <v>0.15</v>
      </c>
      <c r="K20" s="8">
        <v>0.1</v>
      </c>
      <c r="L20" s="8">
        <v>0.05</v>
      </c>
      <c r="M20" s="8">
        <v>0.05</v>
      </c>
      <c r="N20" s="8">
        <v>0.05</v>
      </c>
      <c r="O20" s="8">
        <v>0</v>
      </c>
      <c r="P20" s="8"/>
      <c r="Q20" s="8"/>
      <c r="R20" s="8"/>
      <c r="S20" s="8"/>
      <c r="T20" s="9"/>
      <c r="U20" s="7"/>
      <c r="V20" s="37" t="str">
        <f ca="1">IF(B17="","",IF(INDIRECT("'Hulp (control forms)'!C" &amp; (13 + INT((ROW()-ROW($B$5))/6))), V18, V19))</f>
        <v/>
      </c>
      <c r="W20" s="7"/>
    </row>
    <row r="21" spans="2:24" x14ac:dyDescent="0.5">
      <c r="S21" s="7" t="str">
        <f>IF($B20="Aandeel in %",
   "Totaal: "&amp;SUM(E20:T20)*100&amp;"%",
   "Totaal: "&amp;SUM(E20:T20)&amp;" uur"
)</f>
        <v>Totaal: 100%</v>
      </c>
      <c r="T21" s="7"/>
    </row>
    <row r="22" spans="2:24" ht="16.149999999999999" thickBot="1" x14ac:dyDescent="0.55000000000000004">
      <c r="B22" s="44" t="str">
        <f ca="1">IF(B23="","",IF(
   OR(
      INDIRECT("'1a. Input organisatieniveau'!N" &amp; (14 + INT((ROW()-4)/6)))="",
      INDIRECT("'1a. Input organisatieniveau'!N" &amp; (14 + INT((ROW()-4)/6)))=0
   ),
   "",
   INDIRECT("'1a. Input organisatieniveau'!N" &amp; (14 + INT((ROW()-4)/6)))
))</f>
        <v/>
      </c>
      <c r="E22" s="61" t="str">
        <f t="shared" ref="E22:T22" ca="1" si="3">IF(AND(AND(E23&lt;&gt;"",E24&lt;&gt;""),E25=""),"!","")</f>
        <v/>
      </c>
      <c r="F22" s="61" t="str">
        <f t="shared" ca="1" si="3"/>
        <v/>
      </c>
      <c r="G22" s="61" t="str">
        <f t="shared" ca="1" si="3"/>
        <v/>
      </c>
      <c r="H22" s="61" t="str">
        <f t="shared" ca="1" si="3"/>
        <v/>
      </c>
      <c r="I22" s="61" t="str">
        <f t="shared" ca="1" si="3"/>
        <v/>
      </c>
      <c r="J22" s="61" t="str">
        <f t="shared" ca="1" si="3"/>
        <v/>
      </c>
      <c r="K22" s="61" t="str">
        <f t="shared" ca="1" si="3"/>
        <v/>
      </c>
      <c r="L22" s="61" t="str">
        <f t="shared" ca="1" si="3"/>
        <v/>
      </c>
      <c r="M22" s="61" t="str">
        <f t="shared" ca="1" si="3"/>
        <v/>
      </c>
      <c r="N22" s="61" t="str">
        <f t="shared" ca="1" si="3"/>
        <v/>
      </c>
      <c r="O22" s="61" t="str">
        <f t="shared" ca="1" si="3"/>
        <v/>
      </c>
      <c r="P22" s="61" t="str">
        <f t="shared" ca="1" si="3"/>
        <v/>
      </c>
      <c r="Q22" s="61" t="str">
        <f t="shared" ca="1" si="3"/>
        <v/>
      </c>
      <c r="R22" s="61" t="str">
        <f t="shared" ca="1" si="3"/>
        <v/>
      </c>
      <c r="S22" s="61" t="str">
        <f t="shared" ca="1" si="3"/>
        <v/>
      </c>
      <c r="T22" s="61" t="str">
        <f t="shared" ca="1" si="3"/>
        <v/>
      </c>
    </row>
    <row r="23" spans="2:24" ht="16.149999999999999" thickBot="1" x14ac:dyDescent="0.55000000000000004">
      <c r="B23" s="45" t="str">
        <f ca="1">IF(
   OR(
      INDIRECT("'1a. Input organisatieniveau'!M" &amp; (14 + INT((ROW()-4)/6)))="",
      INDIRECT("'1a. Input organisatieniveau'!M" &amp; (14 + INT((ROW()-4)/6)))=0
   ),
   "",
   INDIRECT("'1a. Input organisatieniveau'!M" &amp; (14 + INT((ROW()-4)/6)))
)</f>
        <v/>
      </c>
      <c r="D23" s="22" t="s">
        <v>28</v>
      </c>
      <c r="E23" s="10" t="str">
        <f t="array" aca="1" ref="E23" ca="1">IF($B23="", "", INDEX('Hulp (CAO''s)'!J$3:J$6, MATCH(TRUE, 'Hulp (CAO''s)'!$D$3:$D$6, 0)))</f>
        <v/>
      </c>
      <c r="F23" s="10" t="str">
        <f t="array" aca="1" ref="F23" ca="1">IF($B23="", "", INDEX('Hulp (CAO''s)'!K$3:K$6, MATCH(TRUE, 'Hulp (CAO''s)'!$D$3:$D$6, 0)))</f>
        <v/>
      </c>
      <c r="G23" s="10" t="str">
        <f t="array" aca="1" ref="G23" ca="1">IF($B23="", "", INDEX('Hulp (CAO''s)'!L$3:L$6, MATCH(TRUE, 'Hulp (CAO''s)'!$D$3:$D$6, 0)))</f>
        <v/>
      </c>
      <c r="H23" s="10" t="str">
        <f t="array" aca="1" ref="H23" ca="1">IF($B23="", "", INDEX('Hulp (CAO''s)'!M$3:M$6, MATCH(TRUE, 'Hulp (CAO''s)'!$D$3:$D$6, 0)))</f>
        <v/>
      </c>
      <c r="I23" s="10" t="str">
        <f t="array" aca="1" ref="I23" ca="1">IF($B23="", "", INDEX('Hulp (CAO''s)'!N$3:N$6, MATCH(TRUE, 'Hulp (CAO''s)'!$D$3:$D$6, 0)))</f>
        <v/>
      </c>
      <c r="J23" s="10" t="str">
        <f t="array" aca="1" ref="J23" ca="1">IF($B23="", "", INDEX('Hulp (CAO''s)'!O$3:O$6, MATCH(TRUE, 'Hulp (CAO''s)'!$D$3:$D$6, 0)))</f>
        <v/>
      </c>
      <c r="K23" s="10" t="str">
        <f t="array" aca="1" ref="K23" ca="1">IF($B23="", "", INDEX('Hulp (CAO''s)'!P$3:P$6, MATCH(TRUE, 'Hulp (CAO''s)'!$D$3:$D$6, 0)))</f>
        <v/>
      </c>
      <c r="L23" s="10" t="str">
        <f t="array" aca="1" ref="L23" ca="1">IF($B23="", "", INDEX('Hulp (CAO''s)'!Q$3:Q$6, MATCH(TRUE, 'Hulp (CAO''s)'!$D$3:$D$6, 0)))</f>
        <v/>
      </c>
      <c r="M23" s="10" t="str">
        <f t="array" aca="1" ref="M23" ca="1">IF($B23="", "", INDEX('Hulp (CAO''s)'!R$3:R$6, MATCH(TRUE, 'Hulp (CAO''s)'!$D$3:$D$6, 0)))</f>
        <v/>
      </c>
      <c r="N23" s="10" t="str">
        <f t="array" aca="1" ref="N23" ca="1">IF($B23="", "", INDEX('Hulp (CAO''s)'!S$3:S$6, MATCH(TRUE, 'Hulp (CAO''s)'!$D$3:$D$6, 0)))</f>
        <v/>
      </c>
      <c r="O23" s="10" t="str">
        <f t="array" aca="1" ref="O23" ca="1">IF($B23="", "", INDEX('Hulp (CAO''s)'!T$3:T$6, MATCH(TRUE, 'Hulp (CAO''s)'!$D$3:$D$6, 0)))</f>
        <v/>
      </c>
      <c r="P23" s="10" t="str">
        <f t="array" aca="1" ref="P23" ca="1">IF($B23="", "", INDEX('Hulp (CAO''s)'!U$3:U$6, MATCH(TRUE, 'Hulp (CAO''s)'!$D$3:$D$6, 0)))</f>
        <v/>
      </c>
      <c r="Q23" s="10" t="str">
        <f t="array" aca="1" ref="Q23" ca="1">IF($B23="", "", INDEX('Hulp (CAO''s)'!V$3:V$6, MATCH(TRUE, 'Hulp (CAO''s)'!$D$3:$D$6, 0)))</f>
        <v/>
      </c>
      <c r="R23" s="10" t="str">
        <f t="array" aca="1" ref="R23" ca="1">IF($B23="", "", INDEX('Hulp (CAO''s)'!W$3:W$6, MATCH(TRUE, 'Hulp (CAO''s)'!$D$3:$D$6, 0)))</f>
        <v/>
      </c>
      <c r="S23" s="10" t="str">
        <f t="array" aca="1" ref="S23" ca="1">IF($B23="", "", INDEX('Hulp (CAO''s)'!X$3:X$6, MATCH(TRUE, 'Hulp (CAO''s)'!$D$3:$D$6, 0)))</f>
        <v/>
      </c>
      <c r="T23" s="11" t="str">
        <f t="array" aca="1" ref="T23" ca="1">IF($B23="", "", INDEX('Hulp (CAO''s)'!Y$3:Y$6, MATCH(TRUE, 'Hulp (CAO''s)'!$D$3:$D$6, 0)))</f>
        <v/>
      </c>
      <c r="V23" s="25" t="s">
        <v>32</v>
      </c>
      <c r="W23" s="5"/>
    </row>
    <row r="24" spans="2:24" x14ac:dyDescent="0.5">
      <c r="D24" s="23" t="s">
        <v>29</v>
      </c>
      <c r="E24" s="6">
        <v>8</v>
      </c>
      <c r="F24" s="6">
        <v>8</v>
      </c>
      <c r="G24" s="6">
        <v>8</v>
      </c>
      <c r="H24" s="6">
        <v>8</v>
      </c>
      <c r="I24" s="6">
        <v>8</v>
      </c>
      <c r="J24" s="6">
        <v>8</v>
      </c>
      <c r="K24" s="6">
        <v>8</v>
      </c>
      <c r="L24" s="6">
        <v>8</v>
      </c>
      <c r="M24" s="6">
        <v>8</v>
      </c>
      <c r="N24" s="6">
        <v>8</v>
      </c>
      <c r="O24" s="6">
        <v>8</v>
      </c>
      <c r="P24" s="6">
        <v>8</v>
      </c>
      <c r="Q24" s="6">
        <v>8</v>
      </c>
      <c r="R24" s="6">
        <v>8</v>
      </c>
      <c r="S24" s="6">
        <v>8</v>
      </c>
      <c r="T24" s="4">
        <v>8</v>
      </c>
      <c r="V24" s="52">
        <v>4300</v>
      </c>
      <c r="X24" s="60" t="s">
        <v>747</v>
      </c>
    </row>
    <row r="25" spans="2:24" ht="14.65" thickBot="1" x14ac:dyDescent="0.5">
      <c r="B25"/>
      <c r="D25" s="40" t="str">
        <f>IFERROR(
   INDEX('Hulp (CAO''s)'!$I$3:$I$6, MATCH(TRUE, 'Hulp (CAO''s)'!$D$3:$D$6, 0)),
"")</f>
        <v>Bruto maandsalaris</v>
      </c>
      <c r="E25" s="86" t="str">
        <f t="array" aca="1" ref="E25" ca="1">IF(
    IFERROR(MIN(
        IF(
            (TRIM(INDIRECT("'" &amp; INDEX('Hulp (CAO''s)'!$C$3:$C$6,
                MATCH(TRUE,'Hulp (CAO''s)'!$D$3:$D$6,0)) &amp; "'!B1:B1000")) = TEXT(E24,"0")) *
            (ROW(INDIRECT("'" &amp; INDEX('Hulp (CAO''s)'!$C$3:$C$6,
                MATCH(TRUE,'Hulp (CAO''s)'!$D$3:$D$6,0)) &amp; "'!B1:B1000")) &gt; MATCH(
                E23,
                INDIRECT("'" &amp; INDEX('Hulp (CAO''s)'!$C$3:$C$6,
                    MATCH(TRUE,'Hulp (CAO''s)'!$D$3:$D$6,0)) &amp; "'!A:A"),
                0
            )) *
            IF(
                F23="",
                1,
                (ROW(INDIRECT("'" &amp; INDEX('Hulp (CAO''s)'!$C$3:$C$6,
                    MATCH(TRUE,'Hulp (CAO''s)'!$D$3:$D$6,0)) &amp; "'!B1:B1000")) &lt; MATCH(
                    F23,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TEXT(E24,"0")) *
                (ROW(INDIRECT("'" &amp; INDEX('Hulp (CAO''s)'!$C$3:$C$6,
                    MATCH(TRUE,'Hulp (CAO''s)'!$D$3:$D$6,0)) &amp; "'!B1:B1000")) &gt; MATCH(
                    E23,
                    INDIRECT("'" &amp; INDEX('Hulp (CAO''s)'!$C$3:$C$6,
                        MATCH(TRUE,'Hulp (CAO''s)'!$D$3:$D$6,0)) &amp; "'!A:A"),
                    0
                )) *
                IF(
                    F23="",
                    1,
                    (ROW(INDIRECT("'" &amp; INDEX('Hulp (CAO''s)'!$C$3:$C$6,
                        MATCH(TRUE,'Hulp (CAO''s)'!$D$3:$D$6,0)) &amp; "'!B1:B1000")) &lt; MATCH(
                        F23,
                        INDIRECT("'" &amp; INDEX('Hulp (CAO''s)'!$C$3:$C$6,
                            MATCH(TRUE,'Hulp (CAO''s)'!$D$3:$D$6,0)) &amp; "'!A:A"),
                        0
                    ))
                ),
                ROW(INDIRECT("'" &amp; INDEX('Hulp (CAO''s)'!$C$3:$C$6,
                    MATCH(TRUE,'Hulp (CAO''s)'!$D$3:$D$6,0)) &amp; "'!B1:B1000"))
            )
        ),0)
    )
)</f>
        <v/>
      </c>
      <c r="F25" s="86" t="str">
        <f t="array" aca="1" ref="F25" ca="1">IF(
    IFERROR(MIN(
        IF(
            (TRIM(INDIRECT("'" &amp; INDEX('Hulp (CAO''s)'!$C$3:$C$6,
                MATCH(TRUE,'Hulp (CAO''s)'!$D$3:$D$6,0)) &amp; "'!B1:B1000")) = TEXT(F24,"0")) *
            (ROW(INDIRECT("'" &amp; INDEX('Hulp (CAO''s)'!$C$3:$C$6,
                MATCH(TRUE,'Hulp (CAO''s)'!$D$3:$D$6,0)) &amp; "'!B1:B1000")) &gt; MATCH(
                F23,
                INDIRECT("'" &amp; INDEX('Hulp (CAO''s)'!$C$3:$C$6,
                    MATCH(TRUE,'Hulp (CAO''s)'!$D$3:$D$6,0)) &amp; "'!A:A"),
                0
            )) *
            IF(
                G23="",
                1,
                (ROW(INDIRECT("'" &amp; INDEX('Hulp (CAO''s)'!$C$3:$C$6,
                    MATCH(TRUE,'Hulp (CAO''s)'!$D$3:$D$6,0)) &amp; "'!B1:B1000")) &lt; MATCH(
                    G23,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TEXT(F24,"0")) *
                (ROW(INDIRECT("'" &amp; INDEX('Hulp (CAO''s)'!$C$3:$C$6,
                    MATCH(TRUE,'Hulp (CAO''s)'!$D$3:$D$6,0)) &amp; "'!B1:B1000")) &gt; MATCH(
                    F23,
                    INDIRECT("'" &amp; INDEX('Hulp (CAO''s)'!$C$3:$C$6,
                        MATCH(TRUE,'Hulp (CAO''s)'!$D$3:$D$6,0)) &amp; "'!A:A"),
                    0
                )) *
                IF(
                    G23="",
                    1,
                    (ROW(INDIRECT("'" &amp; INDEX('Hulp (CAO''s)'!$C$3:$C$6,
                        MATCH(TRUE,'Hulp (CAO''s)'!$D$3:$D$6,0)) &amp; "'!B1:B1000")) &lt; MATCH(
                        G23,
                        INDIRECT("'" &amp; INDEX('Hulp (CAO''s)'!$C$3:$C$6,
                            MATCH(TRUE,'Hulp (CAO''s)'!$D$3:$D$6,0)) &amp; "'!A:A"),
                        0
                    ))
                ),
                ROW(INDIRECT("'" &amp; INDEX('Hulp (CAO''s)'!$C$3:$C$6,
                    MATCH(TRUE,'Hulp (CAO''s)'!$D$3:$D$6,0)) &amp; "'!B1:B1000"))
            )
        ),0)
    )
)</f>
        <v/>
      </c>
      <c r="G25" s="86" t="str">
        <f t="array" aca="1" ref="G25" ca="1">IF(
    IFERROR(MIN(
        IF(
            (TRIM(INDIRECT("'" &amp; INDEX('Hulp (CAO''s)'!$C$3:$C$6,
                MATCH(TRUE,'Hulp (CAO''s)'!$D$3:$D$6,0)) &amp; "'!B1:B1000")) = TEXT(G24,"0")) *
            (ROW(INDIRECT("'" &amp; INDEX('Hulp (CAO''s)'!$C$3:$C$6,
                MATCH(TRUE,'Hulp (CAO''s)'!$D$3:$D$6,0)) &amp; "'!B1:B1000")) &gt; MATCH(
                G23,
                INDIRECT("'" &amp; INDEX('Hulp (CAO''s)'!$C$3:$C$6,
                    MATCH(TRUE,'Hulp (CAO''s)'!$D$3:$D$6,0)) &amp; "'!A:A"),
                0
            )) *
            IF(
                H23="",
                1,
                (ROW(INDIRECT("'" &amp; INDEX('Hulp (CAO''s)'!$C$3:$C$6,
                    MATCH(TRUE,'Hulp (CAO''s)'!$D$3:$D$6,0)) &amp; "'!B1:B1000")) &lt; MATCH(
                    H23,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TEXT(G24,"0")) *
                (ROW(INDIRECT("'" &amp; INDEX('Hulp (CAO''s)'!$C$3:$C$6,
                    MATCH(TRUE,'Hulp (CAO''s)'!$D$3:$D$6,0)) &amp; "'!B1:B1000")) &gt; MATCH(
                    G23,
                    INDIRECT("'" &amp; INDEX('Hulp (CAO''s)'!$C$3:$C$6,
                        MATCH(TRUE,'Hulp (CAO''s)'!$D$3:$D$6,0)) &amp; "'!A:A"),
                    0
                )) *
                IF(
                    H23="",
                    1,
                    (ROW(INDIRECT("'" &amp; INDEX('Hulp (CAO''s)'!$C$3:$C$6,
                        MATCH(TRUE,'Hulp (CAO''s)'!$D$3:$D$6,0)) &amp; "'!B1:B1000")) &lt; MATCH(
                        H23,
                        INDIRECT("'" &amp; INDEX('Hulp (CAO''s)'!$C$3:$C$6,
                            MATCH(TRUE,'Hulp (CAO''s)'!$D$3:$D$6,0)) &amp; "'!A:A"),
                        0
                    ))
                ),
                ROW(INDIRECT("'" &amp; INDEX('Hulp (CAO''s)'!$C$3:$C$6,
                    MATCH(TRUE,'Hulp (CAO''s)'!$D$3:$D$6,0)) &amp; "'!B1:B1000"))
            )
        ),0)
    )
)</f>
        <v/>
      </c>
      <c r="H25" s="86" t="str">
        <f t="array" aca="1" ref="H25" ca="1">IF(
    IFERROR(MIN(
        IF(
            (TRIM(INDIRECT("'" &amp; INDEX('Hulp (CAO''s)'!$C$3:$C$6,
                MATCH(TRUE,'Hulp (CAO''s)'!$D$3:$D$6,0)) &amp; "'!B1:B1000")) = TEXT(H24,"0")) *
            (ROW(INDIRECT("'" &amp; INDEX('Hulp (CAO''s)'!$C$3:$C$6,
                MATCH(TRUE,'Hulp (CAO''s)'!$D$3:$D$6,0)) &amp; "'!B1:B1000")) &gt; MATCH(
                H23,
                INDIRECT("'" &amp; INDEX('Hulp (CAO''s)'!$C$3:$C$6,
                    MATCH(TRUE,'Hulp (CAO''s)'!$D$3:$D$6,0)) &amp; "'!A:A"),
                0
            )) *
            IF(
                I23="",
                1,
                (ROW(INDIRECT("'" &amp; INDEX('Hulp (CAO''s)'!$C$3:$C$6,
                    MATCH(TRUE,'Hulp (CAO''s)'!$D$3:$D$6,0)) &amp; "'!B1:B1000")) &lt; MATCH(
                    I23,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TEXT(H24,"0")) *
                (ROW(INDIRECT("'" &amp; INDEX('Hulp (CAO''s)'!$C$3:$C$6,
                    MATCH(TRUE,'Hulp (CAO''s)'!$D$3:$D$6,0)) &amp; "'!B1:B1000")) &gt; MATCH(
                    H23,
                    INDIRECT("'" &amp; INDEX('Hulp (CAO''s)'!$C$3:$C$6,
                        MATCH(TRUE,'Hulp (CAO''s)'!$D$3:$D$6,0)) &amp; "'!A:A"),
                    0
                )) *
                IF(
                    I23="",
                    1,
                    (ROW(INDIRECT("'" &amp; INDEX('Hulp (CAO''s)'!$C$3:$C$6,
                        MATCH(TRUE,'Hulp (CAO''s)'!$D$3:$D$6,0)) &amp; "'!B1:B1000")) &lt; MATCH(
                        I23,
                        INDIRECT("'" &amp; INDEX('Hulp (CAO''s)'!$C$3:$C$6,
                            MATCH(TRUE,'Hulp (CAO''s)'!$D$3:$D$6,0)) &amp; "'!A:A"),
                        0
                    ))
                ),
                ROW(INDIRECT("'" &amp; INDEX('Hulp (CAO''s)'!$C$3:$C$6,
                    MATCH(TRUE,'Hulp (CAO''s)'!$D$3:$D$6,0)) &amp; "'!B1:B1000"))
            )
        ),0)
    )
)</f>
        <v/>
      </c>
      <c r="I25" s="86" t="str">
        <f t="array" aca="1" ref="I25" ca="1">IF(
    IFERROR(MIN(
        IF(
            (TRIM(INDIRECT("'" &amp; INDEX('Hulp (CAO''s)'!$C$3:$C$6,
                MATCH(TRUE,'Hulp (CAO''s)'!$D$3:$D$6,0)) &amp; "'!B1:B1000")) = TEXT(I24,"0")) *
            (ROW(INDIRECT("'" &amp; INDEX('Hulp (CAO''s)'!$C$3:$C$6,
                MATCH(TRUE,'Hulp (CAO''s)'!$D$3:$D$6,0)) &amp; "'!B1:B1000")) &gt; MATCH(
                I23,
                INDIRECT("'" &amp; INDEX('Hulp (CAO''s)'!$C$3:$C$6,
                    MATCH(TRUE,'Hulp (CAO''s)'!$D$3:$D$6,0)) &amp; "'!A:A"),
                0
            )) *
            IF(
                J23="",
                1,
                (ROW(INDIRECT("'" &amp; INDEX('Hulp (CAO''s)'!$C$3:$C$6,
                    MATCH(TRUE,'Hulp (CAO''s)'!$D$3:$D$6,0)) &amp; "'!B1:B1000")) &lt; MATCH(
                    J23,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TEXT(I24,"0")) *
                (ROW(INDIRECT("'" &amp; INDEX('Hulp (CAO''s)'!$C$3:$C$6,
                    MATCH(TRUE,'Hulp (CAO''s)'!$D$3:$D$6,0)) &amp; "'!B1:B1000")) &gt; MATCH(
                    I23,
                    INDIRECT("'" &amp; INDEX('Hulp (CAO''s)'!$C$3:$C$6,
                        MATCH(TRUE,'Hulp (CAO''s)'!$D$3:$D$6,0)) &amp; "'!A:A"),
                    0
                )) *
                IF(
                    J23="",
                    1,
                    (ROW(INDIRECT("'" &amp; INDEX('Hulp (CAO''s)'!$C$3:$C$6,
                        MATCH(TRUE,'Hulp (CAO''s)'!$D$3:$D$6,0)) &amp; "'!B1:B1000")) &lt; MATCH(
                        J23,
                        INDIRECT("'" &amp; INDEX('Hulp (CAO''s)'!$C$3:$C$6,
                            MATCH(TRUE,'Hulp (CAO''s)'!$D$3:$D$6,0)) &amp; "'!A:A"),
                        0
                    ))
                ),
                ROW(INDIRECT("'" &amp; INDEX('Hulp (CAO''s)'!$C$3:$C$6,
                    MATCH(TRUE,'Hulp (CAO''s)'!$D$3:$D$6,0)) &amp; "'!B1:B1000"))
            )
        ),0)
    )
)</f>
        <v/>
      </c>
      <c r="J25" s="86" t="str">
        <f t="array" aca="1" ref="J25" ca="1">IF(
    IFERROR(MIN(
        IF(
            (TRIM(INDIRECT("'" &amp; INDEX('Hulp (CAO''s)'!$C$3:$C$6,
                MATCH(TRUE,'Hulp (CAO''s)'!$D$3:$D$6,0)) &amp; "'!B1:B1000")) = TEXT(J24,"0")) *
            (ROW(INDIRECT("'" &amp; INDEX('Hulp (CAO''s)'!$C$3:$C$6,
                MATCH(TRUE,'Hulp (CAO''s)'!$D$3:$D$6,0)) &amp; "'!B1:B1000")) &gt; MATCH(
                J23,
                INDIRECT("'" &amp; INDEX('Hulp (CAO''s)'!$C$3:$C$6,
                    MATCH(TRUE,'Hulp (CAO''s)'!$D$3:$D$6,0)) &amp; "'!A:A"),
                0
            )) *
            IF(
                K23="",
                1,
                (ROW(INDIRECT("'" &amp; INDEX('Hulp (CAO''s)'!$C$3:$C$6,
                    MATCH(TRUE,'Hulp (CAO''s)'!$D$3:$D$6,0)) &amp; "'!B1:B1000")) &lt; MATCH(
                    K23,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TEXT(J24,"0")) *
                (ROW(INDIRECT("'" &amp; INDEX('Hulp (CAO''s)'!$C$3:$C$6,
                    MATCH(TRUE,'Hulp (CAO''s)'!$D$3:$D$6,0)) &amp; "'!B1:B1000")) &gt; MATCH(
                    J23,
                    INDIRECT("'" &amp; INDEX('Hulp (CAO''s)'!$C$3:$C$6,
                        MATCH(TRUE,'Hulp (CAO''s)'!$D$3:$D$6,0)) &amp; "'!A:A"),
                    0
                )) *
                IF(
                    K23="",
                    1,
                    (ROW(INDIRECT("'" &amp; INDEX('Hulp (CAO''s)'!$C$3:$C$6,
                        MATCH(TRUE,'Hulp (CAO''s)'!$D$3:$D$6,0)) &amp; "'!B1:B1000")) &lt; MATCH(
                        K23,
                        INDIRECT("'" &amp; INDEX('Hulp (CAO''s)'!$C$3:$C$6,
                            MATCH(TRUE,'Hulp (CAO''s)'!$D$3:$D$6,0)) &amp; "'!A:A"),
                        0
                    ))
                ),
                ROW(INDIRECT("'" &amp; INDEX('Hulp (CAO''s)'!$C$3:$C$6,
                    MATCH(TRUE,'Hulp (CAO''s)'!$D$3:$D$6,0)) &amp; "'!B1:B1000"))
            )
        ),0)
    )
)</f>
        <v/>
      </c>
      <c r="K25" s="86" t="str">
        <f t="array" aca="1" ref="K25" ca="1">IF(
    IFERROR(MIN(
        IF(
            (TRIM(INDIRECT("'" &amp; INDEX('Hulp (CAO''s)'!$C$3:$C$6,
                MATCH(TRUE,'Hulp (CAO''s)'!$D$3:$D$6,0)) &amp; "'!B1:B1000")) = TEXT(K24,"0")) *
            (ROW(INDIRECT("'" &amp; INDEX('Hulp (CAO''s)'!$C$3:$C$6,
                MATCH(TRUE,'Hulp (CAO''s)'!$D$3:$D$6,0)) &amp; "'!B1:B1000")) &gt; MATCH(
                K23,
                INDIRECT("'" &amp; INDEX('Hulp (CAO''s)'!$C$3:$C$6,
                    MATCH(TRUE,'Hulp (CAO''s)'!$D$3:$D$6,0)) &amp; "'!A:A"),
                0
            )) *
            IF(
                L23="",
                1,
                (ROW(INDIRECT("'" &amp; INDEX('Hulp (CAO''s)'!$C$3:$C$6,
                    MATCH(TRUE,'Hulp (CAO''s)'!$D$3:$D$6,0)) &amp; "'!B1:B1000")) &lt; MATCH(
                    L23,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TEXT(K24,"0")) *
                (ROW(INDIRECT("'" &amp; INDEX('Hulp (CAO''s)'!$C$3:$C$6,
                    MATCH(TRUE,'Hulp (CAO''s)'!$D$3:$D$6,0)) &amp; "'!B1:B1000")) &gt; MATCH(
                    K23,
                    INDIRECT("'" &amp; INDEX('Hulp (CAO''s)'!$C$3:$C$6,
                        MATCH(TRUE,'Hulp (CAO''s)'!$D$3:$D$6,0)) &amp; "'!A:A"),
                    0
                )) *
                IF(
                    L23="",
                    1,
                    (ROW(INDIRECT("'" &amp; INDEX('Hulp (CAO''s)'!$C$3:$C$6,
                        MATCH(TRUE,'Hulp (CAO''s)'!$D$3:$D$6,0)) &amp; "'!B1:B1000")) &lt; MATCH(
                        L23,
                        INDIRECT("'" &amp; INDEX('Hulp (CAO''s)'!$C$3:$C$6,
                            MATCH(TRUE,'Hulp (CAO''s)'!$D$3:$D$6,0)) &amp; "'!A:A"),
                        0
                    ))
                ),
                ROW(INDIRECT("'" &amp; INDEX('Hulp (CAO''s)'!$C$3:$C$6,
                    MATCH(TRUE,'Hulp (CAO''s)'!$D$3:$D$6,0)) &amp; "'!B1:B1000"))
            )
        ),0)
    )
)</f>
        <v/>
      </c>
      <c r="L25" s="86" t="str">
        <f t="array" aca="1" ref="L25" ca="1">IF(
    IFERROR(MIN(
        IF(
            (TRIM(INDIRECT("'" &amp; INDEX('Hulp (CAO''s)'!$C$3:$C$6,
                MATCH(TRUE,'Hulp (CAO''s)'!$D$3:$D$6,0)) &amp; "'!B1:B1000")) = TEXT(L24,"0")) *
            (ROW(INDIRECT("'" &amp; INDEX('Hulp (CAO''s)'!$C$3:$C$6,
                MATCH(TRUE,'Hulp (CAO''s)'!$D$3:$D$6,0)) &amp; "'!B1:B1000")) &gt; MATCH(
                L23,
                INDIRECT("'" &amp; INDEX('Hulp (CAO''s)'!$C$3:$C$6,
                    MATCH(TRUE,'Hulp (CAO''s)'!$D$3:$D$6,0)) &amp; "'!A:A"),
                0
            )) *
            IF(
                M23="",
                1,
                (ROW(INDIRECT("'" &amp; INDEX('Hulp (CAO''s)'!$C$3:$C$6,
                    MATCH(TRUE,'Hulp (CAO''s)'!$D$3:$D$6,0)) &amp; "'!B1:B1000")) &lt; MATCH(
                    M23,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TEXT(L24,"0")) *
                (ROW(INDIRECT("'" &amp; INDEX('Hulp (CAO''s)'!$C$3:$C$6,
                    MATCH(TRUE,'Hulp (CAO''s)'!$D$3:$D$6,0)) &amp; "'!B1:B1000")) &gt; MATCH(
                    L23,
                    INDIRECT("'" &amp; INDEX('Hulp (CAO''s)'!$C$3:$C$6,
                        MATCH(TRUE,'Hulp (CAO''s)'!$D$3:$D$6,0)) &amp; "'!A:A"),
                    0
                )) *
                IF(
                    M23="",
                    1,
                    (ROW(INDIRECT("'" &amp; INDEX('Hulp (CAO''s)'!$C$3:$C$6,
                        MATCH(TRUE,'Hulp (CAO''s)'!$D$3:$D$6,0)) &amp; "'!B1:B1000")) &lt; MATCH(
                        M23,
                        INDIRECT("'" &amp; INDEX('Hulp (CAO''s)'!$C$3:$C$6,
                            MATCH(TRUE,'Hulp (CAO''s)'!$D$3:$D$6,0)) &amp; "'!A:A"),
                        0
                    ))
                ),
                ROW(INDIRECT("'" &amp; INDEX('Hulp (CAO''s)'!$C$3:$C$6,
                    MATCH(TRUE,'Hulp (CAO''s)'!$D$3:$D$6,0)) &amp; "'!B1:B1000"))
            )
        ),0)
    )
)</f>
        <v/>
      </c>
      <c r="M25" s="86" t="str">
        <f t="array" aca="1" ref="M25" ca="1">IF(
    IFERROR(MIN(
        IF(
            (TRIM(INDIRECT("'" &amp; INDEX('Hulp (CAO''s)'!$C$3:$C$6,
                MATCH(TRUE,'Hulp (CAO''s)'!$D$3:$D$6,0)) &amp; "'!B1:B1000")) = TEXT(M24,"0")) *
            (ROW(INDIRECT("'" &amp; INDEX('Hulp (CAO''s)'!$C$3:$C$6,
                MATCH(TRUE,'Hulp (CAO''s)'!$D$3:$D$6,0)) &amp; "'!B1:B1000")) &gt; MATCH(
                M23,
                INDIRECT("'" &amp; INDEX('Hulp (CAO''s)'!$C$3:$C$6,
                    MATCH(TRUE,'Hulp (CAO''s)'!$D$3:$D$6,0)) &amp; "'!A:A"),
                0
            )) *
            IF(
                N23="",
                1,
                (ROW(INDIRECT("'" &amp; INDEX('Hulp (CAO''s)'!$C$3:$C$6,
                    MATCH(TRUE,'Hulp (CAO''s)'!$D$3:$D$6,0)) &amp; "'!B1:B1000")) &lt; MATCH(
                    N23,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TEXT(M24,"0")) *
                (ROW(INDIRECT("'" &amp; INDEX('Hulp (CAO''s)'!$C$3:$C$6,
                    MATCH(TRUE,'Hulp (CAO''s)'!$D$3:$D$6,0)) &amp; "'!B1:B1000")) &gt; MATCH(
                    M23,
                    INDIRECT("'" &amp; INDEX('Hulp (CAO''s)'!$C$3:$C$6,
                        MATCH(TRUE,'Hulp (CAO''s)'!$D$3:$D$6,0)) &amp; "'!A:A"),
                    0
                )) *
                IF(
                    N23="",
                    1,
                    (ROW(INDIRECT("'" &amp; INDEX('Hulp (CAO''s)'!$C$3:$C$6,
                        MATCH(TRUE,'Hulp (CAO''s)'!$D$3:$D$6,0)) &amp; "'!B1:B1000")) &lt; MATCH(
                        N23,
                        INDIRECT("'" &amp; INDEX('Hulp (CAO''s)'!$C$3:$C$6,
                            MATCH(TRUE,'Hulp (CAO''s)'!$D$3:$D$6,0)) &amp; "'!A:A"),
                        0
                    ))
                ),
                ROW(INDIRECT("'" &amp; INDEX('Hulp (CAO''s)'!$C$3:$C$6,
                    MATCH(TRUE,'Hulp (CAO''s)'!$D$3:$D$6,0)) &amp; "'!B1:B1000"))
            )
        ),0)
    )
)</f>
        <v/>
      </c>
      <c r="N25" s="86" t="str">
        <f t="array" aca="1" ref="N25" ca="1">IF(
    IFERROR(MIN(
        IF(
            (TRIM(INDIRECT("'" &amp; INDEX('Hulp (CAO''s)'!$C$3:$C$6,
                MATCH(TRUE,'Hulp (CAO''s)'!$D$3:$D$6,0)) &amp; "'!B1:B1000")) = TEXT(N24,"0")) *
            (ROW(INDIRECT("'" &amp; INDEX('Hulp (CAO''s)'!$C$3:$C$6,
                MATCH(TRUE,'Hulp (CAO''s)'!$D$3:$D$6,0)) &amp; "'!B1:B1000")) &gt; MATCH(
                N23,
                INDIRECT("'" &amp; INDEX('Hulp (CAO''s)'!$C$3:$C$6,
                    MATCH(TRUE,'Hulp (CAO''s)'!$D$3:$D$6,0)) &amp; "'!A:A"),
                0
            )) *
            IF(
                O23="",
                1,
                (ROW(INDIRECT("'" &amp; INDEX('Hulp (CAO''s)'!$C$3:$C$6,
                    MATCH(TRUE,'Hulp (CAO''s)'!$D$3:$D$6,0)) &amp; "'!B1:B1000")) &lt; MATCH(
                    O23,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TEXT(N24,"0")) *
                (ROW(INDIRECT("'" &amp; INDEX('Hulp (CAO''s)'!$C$3:$C$6,
                    MATCH(TRUE,'Hulp (CAO''s)'!$D$3:$D$6,0)) &amp; "'!B1:B1000")) &gt; MATCH(
                    N23,
                    INDIRECT("'" &amp; INDEX('Hulp (CAO''s)'!$C$3:$C$6,
                        MATCH(TRUE,'Hulp (CAO''s)'!$D$3:$D$6,0)) &amp; "'!A:A"),
                    0
                )) *
                IF(
                    O23="",
                    1,
                    (ROW(INDIRECT("'" &amp; INDEX('Hulp (CAO''s)'!$C$3:$C$6,
                        MATCH(TRUE,'Hulp (CAO''s)'!$D$3:$D$6,0)) &amp; "'!B1:B1000")) &lt; MATCH(
                        O23,
                        INDIRECT("'" &amp; INDEX('Hulp (CAO''s)'!$C$3:$C$6,
                            MATCH(TRUE,'Hulp (CAO''s)'!$D$3:$D$6,0)) &amp; "'!A:A"),
                        0
                    ))
                ),
                ROW(INDIRECT("'" &amp; INDEX('Hulp (CAO''s)'!$C$3:$C$6,
                    MATCH(TRUE,'Hulp (CAO''s)'!$D$3:$D$6,0)) &amp; "'!B1:B1000"))
            )
        ),0)
    )
)</f>
        <v/>
      </c>
      <c r="O25" s="86" t="str">
        <f t="array" aca="1" ref="O25" ca="1">IF(
    IFERROR(MIN(
        IF(
            (TRIM(INDIRECT("'" &amp; INDEX('Hulp (CAO''s)'!$C$3:$C$6,
                MATCH(TRUE,'Hulp (CAO''s)'!$D$3:$D$6,0)) &amp; "'!B1:B1000")) = TEXT(O24,"0")) *
            (ROW(INDIRECT("'" &amp; INDEX('Hulp (CAO''s)'!$C$3:$C$6,
                MATCH(TRUE,'Hulp (CAO''s)'!$D$3:$D$6,0)) &amp; "'!B1:B1000")) &gt; MATCH(
                O23,
                INDIRECT("'" &amp; INDEX('Hulp (CAO''s)'!$C$3:$C$6,
                    MATCH(TRUE,'Hulp (CAO''s)'!$D$3:$D$6,0)) &amp; "'!A:A"),
                0
            )) *
            IF(
                P23="",
                1,
                (ROW(INDIRECT("'" &amp; INDEX('Hulp (CAO''s)'!$C$3:$C$6,
                    MATCH(TRUE,'Hulp (CAO''s)'!$D$3:$D$6,0)) &amp; "'!B1:B1000")) &lt; MATCH(
                    P23,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TEXT(O24,"0")) *
                (ROW(INDIRECT("'" &amp; INDEX('Hulp (CAO''s)'!$C$3:$C$6,
                    MATCH(TRUE,'Hulp (CAO''s)'!$D$3:$D$6,0)) &amp; "'!B1:B1000")) &gt; MATCH(
                    O23,
                    INDIRECT("'" &amp; INDEX('Hulp (CAO''s)'!$C$3:$C$6,
                        MATCH(TRUE,'Hulp (CAO''s)'!$D$3:$D$6,0)) &amp; "'!A:A"),
                    0
                )) *
                IF(
                    P23="",
                    1,
                    (ROW(INDIRECT("'" &amp; INDEX('Hulp (CAO''s)'!$C$3:$C$6,
                        MATCH(TRUE,'Hulp (CAO''s)'!$D$3:$D$6,0)) &amp; "'!B1:B1000")) &lt; MATCH(
                        P23,
                        INDIRECT("'" &amp; INDEX('Hulp (CAO''s)'!$C$3:$C$6,
                            MATCH(TRUE,'Hulp (CAO''s)'!$D$3:$D$6,0)) &amp; "'!A:A"),
                        0
                    ))
                ),
                ROW(INDIRECT("'" &amp; INDEX('Hulp (CAO''s)'!$C$3:$C$6,
                    MATCH(TRUE,'Hulp (CAO''s)'!$D$3:$D$6,0)) &amp; "'!B1:B1000"))
            )
        ),0)
    )
)</f>
        <v/>
      </c>
      <c r="P25" s="86" t="str">
        <f t="array" aca="1" ref="P25" ca="1">IF(
    IFERROR(MIN(
        IF(
            (TRIM(INDIRECT("'" &amp; INDEX('Hulp (CAO''s)'!$C$3:$C$6,
                MATCH(TRUE,'Hulp (CAO''s)'!$D$3:$D$6,0)) &amp; "'!B1:B1000")) = TEXT(P24,"0")) *
            (ROW(INDIRECT("'" &amp; INDEX('Hulp (CAO''s)'!$C$3:$C$6,
                MATCH(TRUE,'Hulp (CAO''s)'!$D$3:$D$6,0)) &amp; "'!B1:B1000")) &gt; MATCH(
                P23,
                INDIRECT("'" &amp; INDEX('Hulp (CAO''s)'!$C$3:$C$6,
                    MATCH(TRUE,'Hulp (CAO''s)'!$D$3:$D$6,0)) &amp; "'!A:A"),
                0
            )) *
            IF(
                Q23="",
                1,
                (ROW(INDIRECT("'" &amp; INDEX('Hulp (CAO''s)'!$C$3:$C$6,
                    MATCH(TRUE,'Hulp (CAO''s)'!$D$3:$D$6,0)) &amp; "'!B1:B1000")) &lt; MATCH(
                    Q23,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TEXT(P24,"0")) *
                (ROW(INDIRECT("'" &amp; INDEX('Hulp (CAO''s)'!$C$3:$C$6,
                    MATCH(TRUE,'Hulp (CAO''s)'!$D$3:$D$6,0)) &amp; "'!B1:B1000")) &gt; MATCH(
                    P23,
                    INDIRECT("'" &amp; INDEX('Hulp (CAO''s)'!$C$3:$C$6,
                        MATCH(TRUE,'Hulp (CAO''s)'!$D$3:$D$6,0)) &amp; "'!A:A"),
                    0
                )) *
                IF(
                    Q23="",
                    1,
                    (ROW(INDIRECT("'" &amp; INDEX('Hulp (CAO''s)'!$C$3:$C$6,
                        MATCH(TRUE,'Hulp (CAO''s)'!$D$3:$D$6,0)) &amp; "'!B1:B1000")) &lt; MATCH(
                        Q23,
                        INDIRECT("'" &amp; INDEX('Hulp (CAO''s)'!$C$3:$C$6,
                            MATCH(TRUE,'Hulp (CAO''s)'!$D$3:$D$6,0)) &amp; "'!A:A"),
                        0
                    ))
                ),
                ROW(INDIRECT("'" &amp; INDEX('Hulp (CAO''s)'!$C$3:$C$6,
                    MATCH(TRUE,'Hulp (CAO''s)'!$D$3:$D$6,0)) &amp; "'!B1:B1000"))
            )
        ),0)
    )
)</f>
        <v/>
      </c>
      <c r="Q25" s="86" t="str">
        <f t="array" aca="1" ref="Q25" ca="1">IF(
    IFERROR(MIN(
        IF(
            (TRIM(INDIRECT("'" &amp; INDEX('Hulp (CAO''s)'!$C$3:$C$6,
                MATCH(TRUE,'Hulp (CAO''s)'!$D$3:$D$6,0)) &amp; "'!B1:B1000")) = TEXT(Q24,"0")) *
            (ROW(INDIRECT("'" &amp; INDEX('Hulp (CAO''s)'!$C$3:$C$6,
                MATCH(TRUE,'Hulp (CAO''s)'!$D$3:$D$6,0)) &amp; "'!B1:B1000")) &gt; MATCH(
                Q23,
                INDIRECT("'" &amp; INDEX('Hulp (CAO''s)'!$C$3:$C$6,
                    MATCH(TRUE,'Hulp (CAO''s)'!$D$3:$D$6,0)) &amp; "'!A:A"),
                0
            )) *
            IF(
                R23="",
                1,
                (ROW(INDIRECT("'" &amp; INDEX('Hulp (CAO''s)'!$C$3:$C$6,
                    MATCH(TRUE,'Hulp (CAO''s)'!$D$3:$D$6,0)) &amp; "'!B1:B1000")) &lt; MATCH(
                    R23,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TEXT(Q24,"0")) *
                (ROW(INDIRECT("'" &amp; INDEX('Hulp (CAO''s)'!$C$3:$C$6,
                    MATCH(TRUE,'Hulp (CAO''s)'!$D$3:$D$6,0)) &amp; "'!B1:B1000")) &gt; MATCH(
                    Q23,
                    INDIRECT("'" &amp; INDEX('Hulp (CAO''s)'!$C$3:$C$6,
                        MATCH(TRUE,'Hulp (CAO''s)'!$D$3:$D$6,0)) &amp; "'!A:A"),
                    0
                )) *
                IF(
                    R23="",
                    1,
                    (ROW(INDIRECT("'" &amp; INDEX('Hulp (CAO''s)'!$C$3:$C$6,
                        MATCH(TRUE,'Hulp (CAO''s)'!$D$3:$D$6,0)) &amp; "'!B1:B1000")) &lt; MATCH(
                        R23,
                        INDIRECT("'" &amp; INDEX('Hulp (CAO''s)'!$C$3:$C$6,
                            MATCH(TRUE,'Hulp (CAO''s)'!$D$3:$D$6,0)) &amp; "'!A:A"),
                        0
                    ))
                ),
                ROW(INDIRECT("'" &amp; INDEX('Hulp (CAO''s)'!$C$3:$C$6,
                    MATCH(TRUE,'Hulp (CAO''s)'!$D$3:$D$6,0)) &amp; "'!B1:B1000"))
            )
        ),0)
    )
)</f>
        <v/>
      </c>
      <c r="R25" s="86" t="str">
        <f t="array" aca="1" ref="R25" ca="1">IF(
    IFERROR(MIN(
        IF(
            (TRIM(INDIRECT("'" &amp; INDEX('Hulp (CAO''s)'!$C$3:$C$6,
                MATCH(TRUE,'Hulp (CAO''s)'!$D$3:$D$6,0)) &amp; "'!B1:B1000")) = TEXT(R24,"0")) *
            (ROW(INDIRECT("'" &amp; INDEX('Hulp (CAO''s)'!$C$3:$C$6,
                MATCH(TRUE,'Hulp (CAO''s)'!$D$3:$D$6,0)) &amp; "'!B1:B1000")) &gt; MATCH(
                R23,
                INDIRECT("'" &amp; INDEX('Hulp (CAO''s)'!$C$3:$C$6,
                    MATCH(TRUE,'Hulp (CAO''s)'!$D$3:$D$6,0)) &amp; "'!A:A"),
                0
            )) *
            IF(
                S23="",
                1,
                (ROW(INDIRECT("'" &amp; INDEX('Hulp (CAO''s)'!$C$3:$C$6,
                    MATCH(TRUE,'Hulp (CAO''s)'!$D$3:$D$6,0)) &amp; "'!B1:B1000")) &lt; MATCH(
                    S23,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TEXT(R24,"0")) *
                (ROW(INDIRECT("'" &amp; INDEX('Hulp (CAO''s)'!$C$3:$C$6,
                    MATCH(TRUE,'Hulp (CAO''s)'!$D$3:$D$6,0)) &amp; "'!B1:B1000")) &gt; MATCH(
                    R23,
                    INDIRECT("'" &amp; INDEX('Hulp (CAO''s)'!$C$3:$C$6,
                        MATCH(TRUE,'Hulp (CAO''s)'!$D$3:$D$6,0)) &amp; "'!A:A"),
                    0
                )) *
                IF(
                    S23="",
                    1,
                    (ROW(INDIRECT("'" &amp; INDEX('Hulp (CAO''s)'!$C$3:$C$6,
                        MATCH(TRUE,'Hulp (CAO''s)'!$D$3:$D$6,0)) &amp; "'!B1:B1000")) &lt; MATCH(
                        S23,
                        INDIRECT("'" &amp; INDEX('Hulp (CAO''s)'!$C$3:$C$6,
                            MATCH(TRUE,'Hulp (CAO''s)'!$D$3:$D$6,0)) &amp; "'!A:A"),
                        0
                    ))
                ),
                ROW(INDIRECT("'" &amp; INDEX('Hulp (CAO''s)'!$C$3:$C$6,
                    MATCH(TRUE,'Hulp (CAO''s)'!$D$3:$D$6,0)) &amp; "'!B1:B1000"))
            )
        ),0)
    )
)</f>
        <v/>
      </c>
      <c r="S25" s="86" t="str">
        <f t="array" aca="1" ref="S25" ca="1">IF(
    IFERROR(MIN(
        IF(
            (TRIM(INDIRECT("'" &amp; INDEX('Hulp (CAO''s)'!$C$3:$C$6,
                MATCH(TRUE,'Hulp (CAO''s)'!$D$3:$D$6,0)) &amp; "'!B1:B1000")) = TEXT(S24,"0")) *
            (ROW(INDIRECT("'" &amp; INDEX('Hulp (CAO''s)'!$C$3:$C$6,
                MATCH(TRUE,'Hulp (CAO''s)'!$D$3:$D$6,0)) &amp; "'!B1:B1000")) &gt; MATCH(
                S23,
                INDIRECT("'" &amp; INDEX('Hulp (CAO''s)'!$C$3:$C$6,
                    MATCH(TRUE,'Hulp (CAO''s)'!$D$3:$D$6,0)) &amp; "'!A:A"),
                0
            )) *
            IF(
                T23="",
                1,
                (ROW(INDIRECT("'" &amp; INDEX('Hulp (CAO''s)'!$C$3:$C$6,
                    MATCH(TRUE,'Hulp (CAO''s)'!$D$3:$D$6,0)) &amp; "'!B1:B1000")) &lt; MATCH(
                    T23,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TEXT(S24,"0")) *
                (ROW(INDIRECT("'" &amp; INDEX('Hulp (CAO''s)'!$C$3:$C$6,
                    MATCH(TRUE,'Hulp (CAO''s)'!$D$3:$D$6,0)) &amp; "'!B1:B1000")) &gt; MATCH(
                    S23,
                    INDIRECT("'" &amp; INDEX('Hulp (CAO''s)'!$C$3:$C$6,
                        MATCH(TRUE,'Hulp (CAO''s)'!$D$3:$D$6,0)) &amp; "'!A:A"),
                    0
                )) *
                IF(
                    T23="",
                    1,
                    (ROW(INDIRECT("'" &amp; INDEX('Hulp (CAO''s)'!$C$3:$C$6,
                        MATCH(TRUE,'Hulp (CAO''s)'!$D$3:$D$6,0)) &amp; "'!B1:B1000")) &lt; MATCH(
                        T23,
                        INDIRECT("'" &amp; INDEX('Hulp (CAO''s)'!$C$3:$C$6,
                            MATCH(TRUE,'Hulp (CAO''s)'!$D$3:$D$6,0)) &amp; "'!A:A"),
                        0
                    ))
                ),
                ROW(INDIRECT("'" &amp; INDEX('Hulp (CAO''s)'!$C$3:$C$6,
                    MATCH(TRUE,'Hulp (CAO''s)'!$D$3:$D$6,0)) &amp; "'!B1:B1000"))
            )
        ),0)
    )
)</f>
        <v/>
      </c>
      <c r="T25" s="39" t="str">
        <f t="array" aca="1" ref="T25" ca="1">IF(
    IFERROR(MIN(
        IF(
            (TRIM(INDIRECT("'" &amp; INDEX('Hulp (CAO''s)'!$C$3:$C$6,
                MATCH(TRUE,'Hulp (CAO''s)'!$D$3:$D$6,0)) &amp; "'!B1:B1000")) = TEXT(T24,"0")) *
            (ROW(INDIRECT("'" &amp; INDEX('Hulp (CAO''s)'!$C$3:$C$6,
                MATCH(TRUE,'Hulp (CAO''s)'!$D$3:$D$6,0)) &amp; "'!B1:B1000")) &gt; MATCH(
                T23,
                INDIRECT("'" &amp; INDEX('Hulp (CAO''s)'!$C$3:$C$6,
                    MATCH(TRUE,'Hulp (CAO''s)'!$D$3:$D$6,0)) &amp; "'!A:A"),
                0
            )) *
            IF(
                U23="",
                1,
                (ROW(INDIRECT("'" &amp; INDEX('Hulp (CAO''s)'!$C$3:$C$6,
                    MATCH(TRUE,'Hulp (CAO''s)'!$D$3:$D$6,0)) &amp; "'!B1:B1000")) &lt; MATCH(
                    U23,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TEXT(T24,"0")) *
                (ROW(INDIRECT("'" &amp; INDEX('Hulp (CAO''s)'!$C$3:$C$6,
                    MATCH(TRUE,'Hulp (CAO''s)'!$D$3:$D$6,0)) &amp; "'!B1:B1000")) &gt; MATCH(
                    T23,
                    INDIRECT("'" &amp; INDEX('Hulp (CAO''s)'!$C$3:$C$6,
                        MATCH(TRUE,'Hulp (CAO''s)'!$D$3:$D$6,0)) &amp; "'!A:A"),
                    0
                )) *
                IF(
                    U23="",
                    1,
                    (ROW(INDIRECT("'" &amp; INDEX('Hulp (CAO''s)'!$C$3:$C$6,
                        MATCH(TRUE,'Hulp (CAO''s)'!$D$3:$D$6,0)) &amp; "'!B1:B1000")) &lt; MATCH(
                        U23,
                        INDIRECT("'" &amp; INDEX('Hulp (CAO''s)'!$C$3:$C$6,
                            MATCH(TRUE,'Hulp (CAO''s)'!$D$3:$D$6,0)) &amp; "'!A:A"),
                        0
                    ))
                ),
                ROW(INDIRECT("'" &amp; INDEX('Hulp (CAO''s)'!$C$3:$C$6,
                    MATCH(TRUE,'Hulp (CAO''s)'!$D$3:$D$6,0)) &amp; "'!B1:B1000"))
            )
        ),0)
    )
)</f>
        <v/>
      </c>
      <c r="V25" s="38" t="str">
        <f t="array" aca="1" ref="V25" ca="1">IF(
   SUM(E25:T25)=0,
   "",
   (
      SUMPRODUCT(
         IF(E25:T25="",0,E25:T25),
         IF(E26:T26="",0,E26:T26) * SUM(E26:T26)
      )
   ) *
   IF(
      'Hulp (CAO''s)'!#REF!,
      IF(
         OR(
            INDEX(#REF!, ROW(#REF!) + INT((ROW()-ROW($V$7))/6)*8)="",
            ISNA(INDEX(#REF!, ROW(#REF!) + INT((ROW()-ROW($V$7))/6)*8))
         ),
         1878/12,
         INDEX(#REF!, ROW(#REF!) + INT((ROW()-ROW($V$7))/6)*8)/12
      ),
      1
   )
)</f>
        <v/>
      </c>
    </row>
    <row r="26" spans="2:24" ht="14.65" thickBot="1" x14ac:dyDescent="0.5">
      <c r="B26" s="48" t="s">
        <v>60</v>
      </c>
      <c r="D26" s="24" t="s">
        <v>59</v>
      </c>
      <c r="E26" s="8">
        <v>0.05</v>
      </c>
      <c r="F26" s="8">
        <v>0.1</v>
      </c>
      <c r="G26" s="8">
        <v>0.1</v>
      </c>
      <c r="H26" s="8">
        <v>0.15</v>
      </c>
      <c r="I26" s="8">
        <v>0.1</v>
      </c>
      <c r="J26" s="8">
        <v>0.15</v>
      </c>
      <c r="K26" s="8">
        <v>0.1</v>
      </c>
      <c r="L26" s="8">
        <v>0.15</v>
      </c>
      <c r="M26" s="8">
        <v>0.05</v>
      </c>
      <c r="N26" s="8">
        <v>0.05</v>
      </c>
      <c r="O26" s="8">
        <v>0</v>
      </c>
      <c r="P26" s="8"/>
      <c r="Q26" s="8"/>
      <c r="R26" s="8"/>
      <c r="S26" s="8"/>
      <c r="T26" s="9"/>
      <c r="U26" s="7"/>
      <c r="V26" s="37" t="str">
        <f ca="1">IF(B23="","",IF(INDIRECT("'Hulp (control forms)'!C" &amp; (13 + INT((ROW()-ROW($B$5))/6))), V24, V25))</f>
        <v/>
      </c>
      <c r="W26" s="7"/>
    </row>
    <row r="27" spans="2:24" x14ac:dyDescent="0.5">
      <c r="S27" s="7" t="str">
        <f>IF($B26="Aandeel in %",
   "Totaal: "&amp;SUM(E26:T26)*100&amp;"%",
   "Totaal: "&amp;SUM(E26:T26)&amp;" uur"
)</f>
        <v>Totaal: 100%</v>
      </c>
      <c r="T27" s="7"/>
    </row>
    <row r="28" spans="2:24" ht="16.149999999999999" thickBot="1" x14ac:dyDescent="0.55000000000000004">
      <c r="B28" s="44" t="str">
        <f ca="1">IF(B29="","",IF(
   OR(
      INDIRECT("'1a. Input organisatieniveau'!N" &amp; (14 + INT((ROW()-4)/6)))="",
      INDIRECT("'1a. Input organisatieniveau'!N" &amp; (14 + INT((ROW()-4)/6)))=0
   ),
   "",
   INDIRECT("'1a. Input organisatieniveau'!N" &amp; (14 + INT((ROW()-4)/6)))
))</f>
        <v/>
      </c>
      <c r="E28" s="61" t="str">
        <f t="shared" ref="E28:T28" ca="1" si="4">IF(AND(AND(E29&lt;&gt;"",E30&lt;&gt;""),E31=""),"!","")</f>
        <v/>
      </c>
      <c r="F28" s="61" t="str">
        <f t="shared" ca="1" si="4"/>
        <v/>
      </c>
      <c r="G28" s="61" t="str">
        <f t="shared" ca="1" si="4"/>
        <v/>
      </c>
      <c r="H28" s="61" t="str">
        <f t="shared" ca="1" si="4"/>
        <v/>
      </c>
      <c r="I28" s="61" t="str">
        <f t="shared" ca="1" si="4"/>
        <v/>
      </c>
      <c r="J28" s="61" t="str">
        <f t="shared" ca="1" si="4"/>
        <v/>
      </c>
      <c r="K28" s="61" t="str">
        <f t="shared" ca="1" si="4"/>
        <v/>
      </c>
      <c r="L28" s="61" t="str">
        <f t="shared" ca="1" si="4"/>
        <v/>
      </c>
      <c r="M28" s="61" t="str">
        <f t="shared" ca="1" si="4"/>
        <v/>
      </c>
      <c r="N28" s="61" t="str">
        <f t="shared" ca="1" si="4"/>
        <v/>
      </c>
      <c r="O28" s="61" t="str">
        <f t="shared" ca="1" si="4"/>
        <v/>
      </c>
      <c r="P28" s="61" t="str">
        <f t="shared" ca="1" si="4"/>
        <v/>
      </c>
      <c r="Q28" s="61" t="str">
        <f t="shared" ca="1" si="4"/>
        <v/>
      </c>
      <c r="R28" s="61" t="str">
        <f t="shared" ca="1" si="4"/>
        <v/>
      </c>
      <c r="S28" s="61" t="str">
        <f t="shared" ca="1" si="4"/>
        <v/>
      </c>
      <c r="T28" s="61" t="str">
        <f t="shared" ca="1" si="4"/>
        <v/>
      </c>
    </row>
    <row r="29" spans="2:24" ht="16.149999999999999" thickBot="1" x14ac:dyDescent="0.55000000000000004">
      <c r="B29" s="45" t="str">
        <f ca="1">IF(
   OR(
      INDIRECT("'1a. Input organisatieniveau'!M" &amp; (14 + INT((ROW()-4)/6)))="",
      INDIRECT("'1a. Input organisatieniveau'!M" &amp; (14 + INT((ROW()-4)/6)))=0
   ),
   "",
   INDIRECT("'1a. Input organisatieniveau'!M" &amp; (14 + INT((ROW()-4)/6)))
)</f>
        <v/>
      </c>
      <c r="D29" s="22" t="s">
        <v>28</v>
      </c>
      <c r="E29" s="10" t="str">
        <f t="array" aca="1" ref="E29" ca="1">IF($B29="", "", INDEX('Hulp (CAO''s)'!J$3:J$6, MATCH(TRUE, 'Hulp (CAO''s)'!$D$3:$D$6, 0)))</f>
        <v/>
      </c>
      <c r="F29" s="10" t="str">
        <f t="array" aca="1" ref="F29" ca="1">IF($B29="", "", INDEX('Hulp (CAO''s)'!K$3:K$6, MATCH(TRUE, 'Hulp (CAO''s)'!$D$3:$D$6, 0)))</f>
        <v/>
      </c>
      <c r="G29" s="10" t="str">
        <f t="array" aca="1" ref="G29" ca="1">IF($B29="", "", INDEX('Hulp (CAO''s)'!L$3:L$6, MATCH(TRUE, 'Hulp (CAO''s)'!$D$3:$D$6, 0)))</f>
        <v/>
      </c>
      <c r="H29" s="10" t="str">
        <f t="array" aca="1" ref="H29" ca="1">IF($B29="", "", INDEX('Hulp (CAO''s)'!M$3:M$6, MATCH(TRUE, 'Hulp (CAO''s)'!$D$3:$D$6, 0)))</f>
        <v/>
      </c>
      <c r="I29" s="10" t="str">
        <f t="array" aca="1" ref="I29" ca="1">IF($B29="", "", INDEX('Hulp (CAO''s)'!N$3:N$6, MATCH(TRUE, 'Hulp (CAO''s)'!$D$3:$D$6, 0)))</f>
        <v/>
      </c>
      <c r="J29" s="10" t="str">
        <f t="array" aca="1" ref="J29" ca="1">IF($B29="", "", INDEX('Hulp (CAO''s)'!O$3:O$6, MATCH(TRUE, 'Hulp (CAO''s)'!$D$3:$D$6, 0)))</f>
        <v/>
      </c>
      <c r="K29" s="10" t="str">
        <f t="array" aca="1" ref="K29" ca="1">IF($B29="", "", INDEX('Hulp (CAO''s)'!P$3:P$6, MATCH(TRUE, 'Hulp (CAO''s)'!$D$3:$D$6, 0)))</f>
        <v/>
      </c>
      <c r="L29" s="10" t="str">
        <f t="array" aca="1" ref="L29" ca="1">IF($B29="", "", INDEX('Hulp (CAO''s)'!Q$3:Q$6, MATCH(TRUE, 'Hulp (CAO''s)'!$D$3:$D$6, 0)))</f>
        <v/>
      </c>
      <c r="M29" s="10" t="str">
        <f t="array" aca="1" ref="M29" ca="1">IF($B29="", "", INDEX('Hulp (CAO''s)'!R$3:R$6, MATCH(TRUE, 'Hulp (CAO''s)'!$D$3:$D$6, 0)))</f>
        <v/>
      </c>
      <c r="N29" s="10" t="str">
        <f t="array" aca="1" ref="N29" ca="1">IF($B29="", "", INDEX('Hulp (CAO''s)'!S$3:S$6, MATCH(TRUE, 'Hulp (CAO''s)'!$D$3:$D$6, 0)))</f>
        <v/>
      </c>
      <c r="O29" s="10" t="str">
        <f t="array" aca="1" ref="O29" ca="1">IF($B29="", "", INDEX('Hulp (CAO''s)'!T$3:T$6, MATCH(TRUE, 'Hulp (CAO''s)'!$D$3:$D$6, 0)))</f>
        <v/>
      </c>
      <c r="P29" s="10" t="str">
        <f t="array" aca="1" ref="P29" ca="1">IF($B29="", "", INDEX('Hulp (CAO''s)'!U$3:U$6, MATCH(TRUE, 'Hulp (CAO''s)'!$D$3:$D$6, 0)))</f>
        <v/>
      </c>
      <c r="Q29" s="10" t="str">
        <f t="array" aca="1" ref="Q29" ca="1">IF($B29="", "", INDEX('Hulp (CAO''s)'!V$3:V$6, MATCH(TRUE, 'Hulp (CAO''s)'!$D$3:$D$6, 0)))</f>
        <v/>
      </c>
      <c r="R29" s="10" t="str">
        <f t="array" aca="1" ref="R29" ca="1">IF($B29="", "", INDEX('Hulp (CAO''s)'!W$3:W$6, MATCH(TRUE, 'Hulp (CAO''s)'!$D$3:$D$6, 0)))</f>
        <v/>
      </c>
      <c r="S29" s="10" t="str">
        <f t="array" aca="1" ref="S29" ca="1">IF($B29="", "", INDEX('Hulp (CAO''s)'!X$3:X$6, MATCH(TRUE, 'Hulp (CAO''s)'!$D$3:$D$6, 0)))</f>
        <v/>
      </c>
      <c r="T29" s="11" t="str">
        <f t="array" aca="1" ref="T29" ca="1">IF($B29="", "", INDEX('Hulp (CAO''s)'!Y$3:Y$6, MATCH(TRUE, 'Hulp (CAO''s)'!$D$3:$D$6, 0)))</f>
        <v/>
      </c>
      <c r="V29" s="25" t="s">
        <v>32</v>
      </c>
      <c r="W29" s="5"/>
    </row>
    <row r="30" spans="2:24" x14ac:dyDescent="0.5">
      <c r="D30" s="23" t="s">
        <v>29</v>
      </c>
      <c r="E30" s="6">
        <v>8</v>
      </c>
      <c r="F30" s="6">
        <v>8</v>
      </c>
      <c r="G30" s="6">
        <v>8</v>
      </c>
      <c r="H30" s="6">
        <v>8</v>
      </c>
      <c r="I30" s="6">
        <v>8</v>
      </c>
      <c r="J30" s="6">
        <v>8</v>
      </c>
      <c r="K30" s="6">
        <v>6</v>
      </c>
      <c r="L30" s="6">
        <v>8</v>
      </c>
      <c r="M30" s="6">
        <v>8</v>
      </c>
      <c r="N30" s="6">
        <v>8</v>
      </c>
      <c r="O30" s="6">
        <v>8</v>
      </c>
      <c r="P30" s="6">
        <v>8</v>
      </c>
      <c r="Q30" s="6">
        <v>8</v>
      </c>
      <c r="R30" s="6">
        <v>8</v>
      </c>
      <c r="S30" s="6">
        <v>8</v>
      </c>
      <c r="T30" s="4">
        <v>8</v>
      </c>
      <c r="V30" s="52">
        <v>4300</v>
      </c>
      <c r="X30" s="60" t="s">
        <v>747</v>
      </c>
    </row>
    <row r="31" spans="2:24" ht="14.65" thickBot="1" x14ac:dyDescent="0.5">
      <c r="B31"/>
      <c r="D31" s="40" t="str">
        <f>IFERROR(
   INDEX('Hulp (CAO''s)'!$I$3:$I$6, MATCH(TRUE, 'Hulp (CAO''s)'!$D$3:$D$6, 0)),
"")</f>
        <v>Bruto maandsalaris</v>
      </c>
      <c r="E31" s="86" t="str">
        <f t="array" aca="1" ref="E31" ca="1">IF(
    IFERROR(MIN(
        IF(
            (TRIM(INDIRECT("'" &amp; INDEX('Hulp (CAO''s)'!$C$3:$C$6,
                MATCH(TRUE,'Hulp (CAO''s)'!$D$3:$D$6,0)) &amp; "'!B1:B1000")) = TEXT(E30,"0")) *
            (ROW(INDIRECT("'" &amp; INDEX('Hulp (CAO''s)'!$C$3:$C$6,
                MATCH(TRUE,'Hulp (CAO''s)'!$D$3:$D$6,0)) &amp; "'!B1:B1000")) &gt; MATCH(
                E29,
                INDIRECT("'" &amp; INDEX('Hulp (CAO''s)'!$C$3:$C$6,
                    MATCH(TRUE,'Hulp (CAO''s)'!$D$3:$D$6,0)) &amp; "'!A:A"),
                0
            )) *
            IF(
                F29="",
                1,
                (ROW(INDIRECT("'" &amp; INDEX('Hulp (CAO''s)'!$C$3:$C$6,
                    MATCH(TRUE,'Hulp (CAO''s)'!$D$3:$D$6,0)) &amp; "'!B1:B1000")) &lt; MATCH(
                    F29,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TEXT(E30,"0")) *
                (ROW(INDIRECT("'" &amp; INDEX('Hulp (CAO''s)'!$C$3:$C$6,
                    MATCH(TRUE,'Hulp (CAO''s)'!$D$3:$D$6,0)) &amp; "'!B1:B1000")) &gt; MATCH(
                    E29,
                    INDIRECT("'" &amp; INDEX('Hulp (CAO''s)'!$C$3:$C$6,
                        MATCH(TRUE,'Hulp (CAO''s)'!$D$3:$D$6,0)) &amp; "'!A:A"),
                    0
                )) *
                IF(
                    F29="",
                    1,
                    (ROW(INDIRECT("'" &amp; INDEX('Hulp (CAO''s)'!$C$3:$C$6,
                        MATCH(TRUE,'Hulp (CAO''s)'!$D$3:$D$6,0)) &amp; "'!B1:B1000")) &lt; MATCH(
                        F29,
                        INDIRECT("'" &amp; INDEX('Hulp (CAO''s)'!$C$3:$C$6,
                            MATCH(TRUE,'Hulp (CAO''s)'!$D$3:$D$6,0)) &amp; "'!A:A"),
                        0
                    ))
                ),
                ROW(INDIRECT("'" &amp; INDEX('Hulp (CAO''s)'!$C$3:$C$6,
                    MATCH(TRUE,'Hulp (CAO''s)'!$D$3:$D$6,0)) &amp; "'!B1:B1000"))
            )
        ),0)
    )
)</f>
        <v/>
      </c>
      <c r="F31" s="86" t="str">
        <f t="array" aca="1" ref="F31" ca="1">IF(
    IFERROR(MIN(
        IF(
            (TRIM(INDIRECT("'" &amp; INDEX('Hulp (CAO''s)'!$C$3:$C$6,
                MATCH(TRUE,'Hulp (CAO''s)'!$D$3:$D$6,0)) &amp; "'!B1:B1000")) = TEXT(F30,"0")) *
            (ROW(INDIRECT("'" &amp; INDEX('Hulp (CAO''s)'!$C$3:$C$6,
                MATCH(TRUE,'Hulp (CAO''s)'!$D$3:$D$6,0)) &amp; "'!B1:B1000")) &gt; MATCH(
                F29,
                INDIRECT("'" &amp; INDEX('Hulp (CAO''s)'!$C$3:$C$6,
                    MATCH(TRUE,'Hulp (CAO''s)'!$D$3:$D$6,0)) &amp; "'!A:A"),
                0
            )) *
            IF(
                G29="",
                1,
                (ROW(INDIRECT("'" &amp; INDEX('Hulp (CAO''s)'!$C$3:$C$6,
                    MATCH(TRUE,'Hulp (CAO''s)'!$D$3:$D$6,0)) &amp; "'!B1:B1000")) &lt; MATCH(
                    G29,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TEXT(F30,"0")) *
                (ROW(INDIRECT("'" &amp; INDEX('Hulp (CAO''s)'!$C$3:$C$6,
                    MATCH(TRUE,'Hulp (CAO''s)'!$D$3:$D$6,0)) &amp; "'!B1:B1000")) &gt; MATCH(
                    F29,
                    INDIRECT("'" &amp; INDEX('Hulp (CAO''s)'!$C$3:$C$6,
                        MATCH(TRUE,'Hulp (CAO''s)'!$D$3:$D$6,0)) &amp; "'!A:A"),
                    0
                )) *
                IF(
                    G29="",
                    1,
                    (ROW(INDIRECT("'" &amp; INDEX('Hulp (CAO''s)'!$C$3:$C$6,
                        MATCH(TRUE,'Hulp (CAO''s)'!$D$3:$D$6,0)) &amp; "'!B1:B1000")) &lt; MATCH(
                        G29,
                        INDIRECT("'" &amp; INDEX('Hulp (CAO''s)'!$C$3:$C$6,
                            MATCH(TRUE,'Hulp (CAO''s)'!$D$3:$D$6,0)) &amp; "'!A:A"),
                        0
                    ))
                ),
                ROW(INDIRECT("'" &amp; INDEX('Hulp (CAO''s)'!$C$3:$C$6,
                    MATCH(TRUE,'Hulp (CAO''s)'!$D$3:$D$6,0)) &amp; "'!B1:B1000"))
            )
        ),0)
    )
)</f>
        <v/>
      </c>
      <c r="G31" s="86" t="str">
        <f t="array" aca="1" ref="G31" ca="1">IF(
    IFERROR(MIN(
        IF(
            (TRIM(INDIRECT("'" &amp; INDEX('Hulp (CAO''s)'!$C$3:$C$6,
                MATCH(TRUE,'Hulp (CAO''s)'!$D$3:$D$6,0)) &amp; "'!B1:B1000")) = TEXT(G30,"0")) *
            (ROW(INDIRECT("'" &amp; INDEX('Hulp (CAO''s)'!$C$3:$C$6,
                MATCH(TRUE,'Hulp (CAO''s)'!$D$3:$D$6,0)) &amp; "'!B1:B1000")) &gt; MATCH(
                G29,
                INDIRECT("'" &amp; INDEX('Hulp (CAO''s)'!$C$3:$C$6,
                    MATCH(TRUE,'Hulp (CAO''s)'!$D$3:$D$6,0)) &amp; "'!A:A"),
                0
            )) *
            IF(
                H29="",
                1,
                (ROW(INDIRECT("'" &amp; INDEX('Hulp (CAO''s)'!$C$3:$C$6,
                    MATCH(TRUE,'Hulp (CAO''s)'!$D$3:$D$6,0)) &amp; "'!B1:B1000")) &lt; MATCH(
                    H29,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TEXT(G30,"0")) *
                (ROW(INDIRECT("'" &amp; INDEX('Hulp (CAO''s)'!$C$3:$C$6,
                    MATCH(TRUE,'Hulp (CAO''s)'!$D$3:$D$6,0)) &amp; "'!B1:B1000")) &gt; MATCH(
                    G29,
                    INDIRECT("'" &amp; INDEX('Hulp (CAO''s)'!$C$3:$C$6,
                        MATCH(TRUE,'Hulp (CAO''s)'!$D$3:$D$6,0)) &amp; "'!A:A"),
                    0
                )) *
                IF(
                    H29="",
                    1,
                    (ROW(INDIRECT("'" &amp; INDEX('Hulp (CAO''s)'!$C$3:$C$6,
                        MATCH(TRUE,'Hulp (CAO''s)'!$D$3:$D$6,0)) &amp; "'!B1:B1000")) &lt; MATCH(
                        H29,
                        INDIRECT("'" &amp; INDEX('Hulp (CAO''s)'!$C$3:$C$6,
                            MATCH(TRUE,'Hulp (CAO''s)'!$D$3:$D$6,0)) &amp; "'!A:A"),
                        0
                    ))
                ),
                ROW(INDIRECT("'" &amp; INDEX('Hulp (CAO''s)'!$C$3:$C$6,
                    MATCH(TRUE,'Hulp (CAO''s)'!$D$3:$D$6,0)) &amp; "'!B1:B1000"))
            )
        ),0)
    )
)</f>
        <v/>
      </c>
      <c r="H31" s="86" t="str">
        <f t="array" aca="1" ref="H31" ca="1">IF(
    IFERROR(MIN(
        IF(
            (TRIM(INDIRECT("'" &amp; INDEX('Hulp (CAO''s)'!$C$3:$C$6,
                MATCH(TRUE,'Hulp (CAO''s)'!$D$3:$D$6,0)) &amp; "'!B1:B1000")) = TEXT(H30,"0")) *
            (ROW(INDIRECT("'" &amp; INDEX('Hulp (CAO''s)'!$C$3:$C$6,
                MATCH(TRUE,'Hulp (CAO''s)'!$D$3:$D$6,0)) &amp; "'!B1:B1000")) &gt; MATCH(
                H29,
                INDIRECT("'" &amp; INDEX('Hulp (CAO''s)'!$C$3:$C$6,
                    MATCH(TRUE,'Hulp (CAO''s)'!$D$3:$D$6,0)) &amp; "'!A:A"),
                0
            )) *
            IF(
                I29="",
                1,
                (ROW(INDIRECT("'" &amp; INDEX('Hulp (CAO''s)'!$C$3:$C$6,
                    MATCH(TRUE,'Hulp (CAO''s)'!$D$3:$D$6,0)) &amp; "'!B1:B1000")) &lt; MATCH(
                    I29,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TEXT(H30,"0")) *
                (ROW(INDIRECT("'" &amp; INDEX('Hulp (CAO''s)'!$C$3:$C$6,
                    MATCH(TRUE,'Hulp (CAO''s)'!$D$3:$D$6,0)) &amp; "'!B1:B1000")) &gt; MATCH(
                    H29,
                    INDIRECT("'" &amp; INDEX('Hulp (CAO''s)'!$C$3:$C$6,
                        MATCH(TRUE,'Hulp (CAO''s)'!$D$3:$D$6,0)) &amp; "'!A:A"),
                    0
                )) *
                IF(
                    I29="",
                    1,
                    (ROW(INDIRECT("'" &amp; INDEX('Hulp (CAO''s)'!$C$3:$C$6,
                        MATCH(TRUE,'Hulp (CAO''s)'!$D$3:$D$6,0)) &amp; "'!B1:B1000")) &lt; MATCH(
                        I29,
                        INDIRECT("'" &amp; INDEX('Hulp (CAO''s)'!$C$3:$C$6,
                            MATCH(TRUE,'Hulp (CAO''s)'!$D$3:$D$6,0)) &amp; "'!A:A"),
                        0
                    ))
                ),
                ROW(INDIRECT("'" &amp; INDEX('Hulp (CAO''s)'!$C$3:$C$6,
                    MATCH(TRUE,'Hulp (CAO''s)'!$D$3:$D$6,0)) &amp; "'!B1:B1000"))
            )
        ),0)
    )
)</f>
        <v/>
      </c>
      <c r="I31" s="86" t="str">
        <f t="array" aca="1" ref="I31" ca="1">IF(
    IFERROR(MIN(
        IF(
            (TRIM(INDIRECT("'" &amp; INDEX('Hulp (CAO''s)'!$C$3:$C$6,
                MATCH(TRUE,'Hulp (CAO''s)'!$D$3:$D$6,0)) &amp; "'!B1:B1000")) = TEXT(I30,"0")) *
            (ROW(INDIRECT("'" &amp; INDEX('Hulp (CAO''s)'!$C$3:$C$6,
                MATCH(TRUE,'Hulp (CAO''s)'!$D$3:$D$6,0)) &amp; "'!B1:B1000")) &gt; MATCH(
                I29,
                INDIRECT("'" &amp; INDEX('Hulp (CAO''s)'!$C$3:$C$6,
                    MATCH(TRUE,'Hulp (CAO''s)'!$D$3:$D$6,0)) &amp; "'!A:A"),
                0
            )) *
            IF(
                J29="",
                1,
                (ROW(INDIRECT("'" &amp; INDEX('Hulp (CAO''s)'!$C$3:$C$6,
                    MATCH(TRUE,'Hulp (CAO''s)'!$D$3:$D$6,0)) &amp; "'!B1:B1000")) &lt; MATCH(
                    J29,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TEXT(I30,"0")) *
                (ROW(INDIRECT("'" &amp; INDEX('Hulp (CAO''s)'!$C$3:$C$6,
                    MATCH(TRUE,'Hulp (CAO''s)'!$D$3:$D$6,0)) &amp; "'!B1:B1000")) &gt; MATCH(
                    I29,
                    INDIRECT("'" &amp; INDEX('Hulp (CAO''s)'!$C$3:$C$6,
                        MATCH(TRUE,'Hulp (CAO''s)'!$D$3:$D$6,0)) &amp; "'!A:A"),
                    0
                )) *
                IF(
                    J29="",
                    1,
                    (ROW(INDIRECT("'" &amp; INDEX('Hulp (CAO''s)'!$C$3:$C$6,
                        MATCH(TRUE,'Hulp (CAO''s)'!$D$3:$D$6,0)) &amp; "'!B1:B1000")) &lt; MATCH(
                        J29,
                        INDIRECT("'" &amp; INDEX('Hulp (CAO''s)'!$C$3:$C$6,
                            MATCH(TRUE,'Hulp (CAO''s)'!$D$3:$D$6,0)) &amp; "'!A:A"),
                        0
                    ))
                ),
                ROW(INDIRECT("'" &amp; INDEX('Hulp (CAO''s)'!$C$3:$C$6,
                    MATCH(TRUE,'Hulp (CAO''s)'!$D$3:$D$6,0)) &amp; "'!B1:B1000"))
            )
        ),0)
    )
)</f>
        <v/>
      </c>
      <c r="J31" s="86" t="str">
        <f t="array" aca="1" ref="J31" ca="1">IF(
    IFERROR(MIN(
        IF(
            (TRIM(INDIRECT("'" &amp; INDEX('Hulp (CAO''s)'!$C$3:$C$6,
                MATCH(TRUE,'Hulp (CAO''s)'!$D$3:$D$6,0)) &amp; "'!B1:B1000")) = TEXT(J30,"0")) *
            (ROW(INDIRECT("'" &amp; INDEX('Hulp (CAO''s)'!$C$3:$C$6,
                MATCH(TRUE,'Hulp (CAO''s)'!$D$3:$D$6,0)) &amp; "'!B1:B1000")) &gt; MATCH(
                J29,
                INDIRECT("'" &amp; INDEX('Hulp (CAO''s)'!$C$3:$C$6,
                    MATCH(TRUE,'Hulp (CAO''s)'!$D$3:$D$6,0)) &amp; "'!A:A"),
                0
            )) *
            IF(
                K29="",
                1,
                (ROW(INDIRECT("'" &amp; INDEX('Hulp (CAO''s)'!$C$3:$C$6,
                    MATCH(TRUE,'Hulp (CAO''s)'!$D$3:$D$6,0)) &amp; "'!B1:B1000")) &lt; MATCH(
                    K29,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TEXT(J30,"0")) *
                (ROW(INDIRECT("'" &amp; INDEX('Hulp (CAO''s)'!$C$3:$C$6,
                    MATCH(TRUE,'Hulp (CAO''s)'!$D$3:$D$6,0)) &amp; "'!B1:B1000")) &gt; MATCH(
                    J29,
                    INDIRECT("'" &amp; INDEX('Hulp (CAO''s)'!$C$3:$C$6,
                        MATCH(TRUE,'Hulp (CAO''s)'!$D$3:$D$6,0)) &amp; "'!A:A"),
                    0
                )) *
                IF(
                    K29="",
                    1,
                    (ROW(INDIRECT("'" &amp; INDEX('Hulp (CAO''s)'!$C$3:$C$6,
                        MATCH(TRUE,'Hulp (CAO''s)'!$D$3:$D$6,0)) &amp; "'!B1:B1000")) &lt; MATCH(
                        K29,
                        INDIRECT("'" &amp; INDEX('Hulp (CAO''s)'!$C$3:$C$6,
                            MATCH(TRUE,'Hulp (CAO''s)'!$D$3:$D$6,0)) &amp; "'!A:A"),
                        0
                    ))
                ),
                ROW(INDIRECT("'" &amp; INDEX('Hulp (CAO''s)'!$C$3:$C$6,
                    MATCH(TRUE,'Hulp (CAO''s)'!$D$3:$D$6,0)) &amp; "'!B1:B1000"))
            )
        ),0)
    )
)</f>
        <v/>
      </c>
      <c r="K31" s="86" t="str">
        <f t="array" aca="1" ref="K31" ca="1">IF(
    IFERROR(MIN(
        IF(
            (TRIM(INDIRECT("'" &amp; INDEX('Hulp (CAO''s)'!$C$3:$C$6,
                MATCH(TRUE,'Hulp (CAO''s)'!$D$3:$D$6,0)) &amp; "'!B1:B1000")) = TEXT(K30,"0")) *
            (ROW(INDIRECT("'" &amp; INDEX('Hulp (CAO''s)'!$C$3:$C$6,
                MATCH(TRUE,'Hulp (CAO''s)'!$D$3:$D$6,0)) &amp; "'!B1:B1000")) &gt; MATCH(
                K29,
                INDIRECT("'" &amp; INDEX('Hulp (CAO''s)'!$C$3:$C$6,
                    MATCH(TRUE,'Hulp (CAO''s)'!$D$3:$D$6,0)) &amp; "'!A:A"),
                0
            )) *
            IF(
                L29="",
                1,
                (ROW(INDIRECT("'" &amp; INDEX('Hulp (CAO''s)'!$C$3:$C$6,
                    MATCH(TRUE,'Hulp (CAO''s)'!$D$3:$D$6,0)) &amp; "'!B1:B1000")) &lt; MATCH(
                    L29,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TEXT(K30,"0")) *
                (ROW(INDIRECT("'" &amp; INDEX('Hulp (CAO''s)'!$C$3:$C$6,
                    MATCH(TRUE,'Hulp (CAO''s)'!$D$3:$D$6,0)) &amp; "'!B1:B1000")) &gt; MATCH(
                    K29,
                    INDIRECT("'" &amp; INDEX('Hulp (CAO''s)'!$C$3:$C$6,
                        MATCH(TRUE,'Hulp (CAO''s)'!$D$3:$D$6,0)) &amp; "'!A:A"),
                    0
                )) *
                IF(
                    L29="",
                    1,
                    (ROW(INDIRECT("'" &amp; INDEX('Hulp (CAO''s)'!$C$3:$C$6,
                        MATCH(TRUE,'Hulp (CAO''s)'!$D$3:$D$6,0)) &amp; "'!B1:B1000")) &lt; MATCH(
                        L29,
                        INDIRECT("'" &amp; INDEX('Hulp (CAO''s)'!$C$3:$C$6,
                            MATCH(TRUE,'Hulp (CAO''s)'!$D$3:$D$6,0)) &amp; "'!A:A"),
                        0
                    ))
                ),
                ROW(INDIRECT("'" &amp; INDEX('Hulp (CAO''s)'!$C$3:$C$6,
                    MATCH(TRUE,'Hulp (CAO''s)'!$D$3:$D$6,0)) &amp; "'!B1:B1000"))
            )
        ),0)
    )
)</f>
        <v/>
      </c>
      <c r="L31" s="86" t="str">
        <f t="array" aca="1" ref="L31" ca="1">IF(
    IFERROR(MIN(
        IF(
            (TRIM(INDIRECT("'" &amp; INDEX('Hulp (CAO''s)'!$C$3:$C$6,
                MATCH(TRUE,'Hulp (CAO''s)'!$D$3:$D$6,0)) &amp; "'!B1:B1000")) = TEXT(L30,"0")) *
            (ROW(INDIRECT("'" &amp; INDEX('Hulp (CAO''s)'!$C$3:$C$6,
                MATCH(TRUE,'Hulp (CAO''s)'!$D$3:$D$6,0)) &amp; "'!B1:B1000")) &gt; MATCH(
                L29,
                INDIRECT("'" &amp; INDEX('Hulp (CAO''s)'!$C$3:$C$6,
                    MATCH(TRUE,'Hulp (CAO''s)'!$D$3:$D$6,0)) &amp; "'!A:A"),
                0
            )) *
            IF(
                M29="",
                1,
                (ROW(INDIRECT("'" &amp; INDEX('Hulp (CAO''s)'!$C$3:$C$6,
                    MATCH(TRUE,'Hulp (CAO''s)'!$D$3:$D$6,0)) &amp; "'!B1:B1000")) &lt; MATCH(
                    M29,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TEXT(L30,"0")) *
                (ROW(INDIRECT("'" &amp; INDEX('Hulp (CAO''s)'!$C$3:$C$6,
                    MATCH(TRUE,'Hulp (CAO''s)'!$D$3:$D$6,0)) &amp; "'!B1:B1000")) &gt; MATCH(
                    L29,
                    INDIRECT("'" &amp; INDEX('Hulp (CAO''s)'!$C$3:$C$6,
                        MATCH(TRUE,'Hulp (CAO''s)'!$D$3:$D$6,0)) &amp; "'!A:A"),
                    0
                )) *
                IF(
                    M29="",
                    1,
                    (ROW(INDIRECT("'" &amp; INDEX('Hulp (CAO''s)'!$C$3:$C$6,
                        MATCH(TRUE,'Hulp (CAO''s)'!$D$3:$D$6,0)) &amp; "'!B1:B1000")) &lt; MATCH(
                        M29,
                        INDIRECT("'" &amp; INDEX('Hulp (CAO''s)'!$C$3:$C$6,
                            MATCH(TRUE,'Hulp (CAO''s)'!$D$3:$D$6,0)) &amp; "'!A:A"),
                        0
                    ))
                ),
                ROW(INDIRECT("'" &amp; INDEX('Hulp (CAO''s)'!$C$3:$C$6,
                    MATCH(TRUE,'Hulp (CAO''s)'!$D$3:$D$6,0)) &amp; "'!B1:B1000"))
            )
        ),0)
    )
)</f>
        <v/>
      </c>
      <c r="M31" s="86" t="str">
        <f t="array" aca="1" ref="M31" ca="1">IF(
    IFERROR(MIN(
        IF(
            (TRIM(INDIRECT("'" &amp; INDEX('Hulp (CAO''s)'!$C$3:$C$6,
                MATCH(TRUE,'Hulp (CAO''s)'!$D$3:$D$6,0)) &amp; "'!B1:B1000")) = TEXT(M30,"0")) *
            (ROW(INDIRECT("'" &amp; INDEX('Hulp (CAO''s)'!$C$3:$C$6,
                MATCH(TRUE,'Hulp (CAO''s)'!$D$3:$D$6,0)) &amp; "'!B1:B1000")) &gt; MATCH(
                M29,
                INDIRECT("'" &amp; INDEX('Hulp (CAO''s)'!$C$3:$C$6,
                    MATCH(TRUE,'Hulp (CAO''s)'!$D$3:$D$6,0)) &amp; "'!A:A"),
                0
            )) *
            IF(
                N29="",
                1,
                (ROW(INDIRECT("'" &amp; INDEX('Hulp (CAO''s)'!$C$3:$C$6,
                    MATCH(TRUE,'Hulp (CAO''s)'!$D$3:$D$6,0)) &amp; "'!B1:B1000")) &lt; MATCH(
                    N29,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TEXT(M30,"0")) *
                (ROW(INDIRECT("'" &amp; INDEX('Hulp (CAO''s)'!$C$3:$C$6,
                    MATCH(TRUE,'Hulp (CAO''s)'!$D$3:$D$6,0)) &amp; "'!B1:B1000")) &gt; MATCH(
                    M29,
                    INDIRECT("'" &amp; INDEX('Hulp (CAO''s)'!$C$3:$C$6,
                        MATCH(TRUE,'Hulp (CAO''s)'!$D$3:$D$6,0)) &amp; "'!A:A"),
                    0
                )) *
                IF(
                    N29="",
                    1,
                    (ROW(INDIRECT("'" &amp; INDEX('Hulp (CAO''s)'!$C$3:$C$6,
                        MATCH(TRUE,'Hulp (CAO''s)'!$D$3:$D$6,0)) &amp; "'!B1:B1000")) &lt; MATCH(
                        N29,
                        INDIRECT("'" &amp; INDEX('Hulp (CAO''s)'!$C$3:$C$6,
                            MATCH(TRUE,'Hulp (CAO''s)'!$D$3:$D$6,0)) &amp; "'!A:A"),
                        0
                    ))
                ),
                ROW(INDIRECT("'" &amp; INDEX('Hulp (CAO''s)'!$C$3:$C$6,
                    MATCH(TRUE,'Hulp (CAO''s)'!$D$3:$D$6,0)) &amp; "'!B1:B1000"))
            )
        ),0)
    )
)</f>
        <v/>
      </c>
      <c r="N31" s="86" t="str">
        <f t="array" aca="1" ref="N31" ca="1">IF(
    IFERROR(MIN(
        IF(
            (TRIM(INDIRECT("'" &amp; INDEX('Hulp (CAO''s)'!$C$3:$C$6,
                MATCH(TRUE,'Hulp (CAO''s)'!$D$3:$D$6,0)) &amp; "'!B1:B1000")) = TEXT(N30,"0")) *
            (ROW(INDIRECT("'" &amp; INDEX('Hulp (CAO''s)'!$C$3:$C$6,
                MATCH(TRUE,'Hulp (CAO''s)'!$D$3:$D$6,0)) &amp; "'!B1:B1000")) &gt; MATCH(
                N29,
                INDIRECT("'" &amp; INDEX('Hulp (CAO''s)'!$C$3:$C$6,
                    MATCH(TRUE,'Hulp (CAO''s)'!$D$3:$D$6,0)) &amp; "'!A:A"),
                0
            )) *
            IF(
                O29="",
                1,
                (ROW(INDIRECT("'" &amp; INDEX('Hulp (CAO''s)'!$C$3:$C$6,
                    MATCH(TRUE,'Hulp (CAO''s)'!$D$3:$D$6,0)) &amp; "'!B1:B1000")) &lt; MATCH(
                    O29,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TEXT(N30,"0")) *
                (ROW(INDIRECT("'" &amp; INDEX('Hulp (CAO''s)'!$C$3:$C$6,
                    MATCH(TRUE,'Hulp (CAO''s)'!$D$3:$D$6,0)) &amp; "'!B1:B1000")) &gt; MATCH(
                    N29,
                    INDIRECT("'" &amp; INDEX('Hulp (CAO''s)'!$C$3:$C$6,
                        MATCH(TRUE,'Hulp (CAO''s)'!$D$3:$D$6,0)) &amp; "'!A:A"),
                    0
                )) *
                IF(
                    O29="",
                    1,
                    (ROW(INDIRECT("'" &amp; INDEX('Hulp (CAO''s)'!$C$3:$C$6,
                        MATCH(TRUE,'Hulp (CAO''s)'!$D$3:$D$6,0)) &amp; "'!B1:B1000")) &lt; MATCH(
                        O29,
                        INDIRECT("'" &amp; INDEX('Hulp (CAO''s)'!$C$3:$C$6,
                            MATCH(TRUE,'Hulp (CAO''s)'!$D$3:$D$6,0)) &amp; "'!A:A"),
                        0
                    ))
                ),
                ROW(INDIRECT("'" &amp; INDEX('Hulp (CAO''s)'!$C$3:$C$6,
                    MATCH(TRUE,'Hulp (CAO''s)'!$D$3:$D$6,0)) &amp; "'!B1:B1000"))
            )
        ),0)
    )
)</f>
        <v/>
      </c>
      <c r="O31" s="86" t="str">
        <f t="array" aca="1" ref="O31" ca="1">IF(
    IFERROR(MIN(
        IF(
            (TRIM(INDIRECT("'" &amp; INDEX('Hulp (CAO''s)'!$C$3:$C$6,
                MATCH(TRUE,'Hulp (CAO''s)'!$D$3:$D$6,0)) &amp; "'!B1:B1000")) = TEXT(O30,"0")) *
            (ROW(INDIRECT("'" &amp; INDEX('Hulp (CAO''s)'!$C$3:$C$6,
                MATCH(TRUE,'Hulp (CAO''s)'!$D$3:$D$6,0)) &amp; "'!B1:B1000")) &gt; MATCH(
                O29,
                INDIRECT("'" &amp; INDEX('Hulp (CAO''s)'!$C$3:$C$6,
                    MATCH(TRUE,'Hulp (CAO''s)'!$D$3:$D$6,0)) &amp; "'!A:A"),
                0
            )) *
            IF(
                P29="",
                1,
                (ROW(INDIRECT("'" &amp; INDEX('Hulp (CAO''s)'!$C$3:$C$6,
                    MATCH(TRUE,'Hulp (CAO''s)'!$D$3:$D$6,0)) &amp; "'!B1:B1000")) &lt; MATCH(
                    P29,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TEXT(O30,"0")) *
                (ROW(INDIRECT("'" &amp; INDEX('Hulp (CAO''s)'!$C$3:$C$6,
                    MATCH(TRUE,'Hulp (CAO''s)'!$D$3:$D$6,0)) &amp; "'!B1:B1000")) &gt; MATCH(
                    O29,
                    INDIRECT("'" &amp; INDEX('Hulp (CAO''s)'!$C$3:$C$6,
                        MATCH(TRUE,'Hulp (CAO''s)'!$D$3:$D$6,0)) &amp; "'!A:A"),
                    0
                )) *
                IF(
                    P29="",
                    1,
                    (ROW(INDIRECT("'" &amp; INDEX('Hulp (CAO''s)'!$C$3:$C$6,
                        MATCH(TRUE,'Hulp (CAO''s)'!$D$3:$D$6,0)) &amp; "'!B1:B1000")) &lt; MATCH(
                        P29,
                        INDIRECT("'" &amp; INDEX('Hulp (CAO''s)'!$C$3:$C$6,
                            MATCH(TRUE,'Hulp (CAO''s)'!$D$3:$D$6,0)) &amp; "'!A:A"),
                        0
                    ))
                ),
                ROW(INDIRECT("'" &amp; INDEX('Hulp (CAO''s)'!$C$3:$C$6,
                    MATCH(TRUE,'Hulp (CAO''s)'!$D$3:$D$6,0)) &amp; "'!B1:B1000"))
            )
        ),0)
    )
)</f>
        <v/>
      </c>
      <c r="P31" s="86" t="str">
        <f t="array" aca="1" ref="P31" ca="1">IF(
    IFERROR(MIN(
        IF(
            (TRIM(INDIRECT("'" &amp; INDEX('Hulp (CAO''s)'!$C$3:$C$6,
                MATCH(TRUE,'Hulp (CAO''s)'!$D$3:$D$6,0)) &amp; "'!B1:B1000")) = TEXT(P30,"0")) *
            (ROW(INDIRECT("'" &amp; INDEX('Hulp (CAO''s)'!$C$3:$C$6,
                MATCH(TRUE,'Hulp (CAO''s)'!$D$3:$D$6,0)) &amp; "'!B1:B1000")) &gt; MATCH(
                P29,
                INDIRECT("'" &amp; INDEX('Hulp (CAO''s)'!$C$3:$C$6,
                    MATCH(TRUE,'Hulp (CAO''s)'!$D$3:$D$6,0)) &amp; "'!A:A"),
                0
            )) *
            IF(
                Q29="",
                1,
                (ROW(INDIRECT("'" &amp; INDEX('Hulp (CAO''s)'!$C$3:$C$6,
                    MATCH(TRUE,'Hulp (CAO''s)'!$D$3:$D$6,0)) &amp; "'!B1:B1000")) &lt; MATCH(
                    Q29,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TEXT(P30,"0")) *
                (ROW(INDIRECT("'" &amp; INDEX('Hulp (CAO''s)'!$C$3:$C$6,
                    MATCH(TRUE,'Hulp (CAO''s)'!$D$3:$D$6,0)) &amp; "'!B1:B1000")) &gt; MATCH(
                    P29,
                    INDIRECT("'" &amp; INDEX('Hulp (CAO''s)'!$C$3:$C$6,
                        MATCH(TRUE,'Hulp (CAO''s)'!$D$3:$D$6,0)) &amp; "'!A:A"),
                    0
                )) *
                IF(
                    Q29="",
                    1,
                    (ROW(INDIRECT("'" &amp; INDEX('Hulp (CAO''s)'!$C$3:$C$6,
                        MATCH(TRUE,'Hulp (CAO''s)'!$D$3:$D$6,0)) &amp; "'!B1:B1000")) &lt; MATCH(
                        Q29,
                        INDIRECT("'" &amp; INDEX('Hulp (CAO''s)'!$C$3:$C$6,
                            MATCH(TRUE,'Hulp (CAO''s)'!$D$3:$D$6,0)) &amp; "'!A:A"),
                        0
                    ))
                ),
                ROW(INDIRECT("'" &amp; INDEX('Hulp (CAO''s)'!$C$3:$C$6,
                    MATCH(TRUE,'Hulp (CAO''s)'!$D$3:$D$6,0)) &amp; "'!B1:B1000"))
            )
        ),0)
    )
)</f>
        <v/>
      </c>
      <c r="Q31" s="86" t="str">
        <f t="array" aca="1" ref="Q31" ca="1">IF(
    IFERROR(MIN(
        IF(
            (TRIM(INDIRECT("'" &amp; INDEX('Hulp (CAO''s)'!$C$3:$C$6,
                MATCH(TRUE,'Hulp (CAO''s)'!$D$3:$D$6,0)) &amp; "'!B1:B1000")) = TEXT(Q30,"0")) *
            (ROW(INDIRECT("'" &amp; INDEX('Hulp (CAO''s)'!$C$3:$C$6,
                MATCH(TRUE,'Hulp (CAO''s)'!$D$3:$D$6,0)) &amp; "'!B1:B1000")) &gt; MATCH(
                Q29,
                INDIRECT("'" &amp; INDEX('Hulp (CAO''s)'!$C$3:$C$6,
                    MATCH(TRUE,'Hulp (CAO''s)'!$D$3:$D$6,0)) &amp; "'!A:A"),
                0
            )) *
            IF(
                R29="",
                1,
                (ROW(INDIRECT("'" &amp; INDEX('Hulp (CAO''s)'!$C$3:$C$6,
                    MATCH(TRUE,'Hulp (CAO''s)'!$D$3:$D$6,0)) &amp; "'!B1:B1000")) &lt; MATCH(
                    R29,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TEXT(Q30,"0")) *
                (ROW(INDIRECT("'" &amp; INDEX('Hulp (CAO''s)'!$C$3:$C$6,
                    MATCH(TRUE,'Hulp (CAO''s)'!$D$3:$D$6,0)) &amp; "'!B1:B1000")) &gt; MATCH(
                    Q29,
                    INDIRECT("'" &amp; INDEX('Hulp (CAO''s)'!$C$3:$C$6,
                        MATCH(TRUE,'Hulp (CAO''s)'!$D$3:$D$6,0)) &amp; "'!A:A"),
                    0
                )) *
                IF(
                    R29="",
                    1,
                    (ROW(INDIRECT("'" &amp; INDEX('Hulp (CAO''s)'!$C$3:$C$6,
                        MATCH(TRUE,'Hulp (CAO''s)'!$D$3:$D$6,0)) &amp; "'!B1:B1000")) &lt; MATCH(
                        R29,
                        INDIRECT("'" &amp; INDEX('Hulp (CAO''s)'!$C$3:$C$6,
                            MATCH(TRUE,'Hulp (CAO''s)'!$D$3:$D$6,0)) &amp; "'!A:A"),
                        0
                    ))
                ),
                ROW(INDIRECT("'" &amp; INDEX('Hulp (CAO''s)'!$C$3:$C$6,
                    MATCH(TRUE,'Hulp (CAO''s)'!$D$3:$D$6,0)) &amp; "'!B1:B1000"))
            )
        ),0)
    )
)</f>
        <v/>
      </c>
      <c r="R31" s="86" t="str">
        <f t="array" aca="1" ref="R31" ca="1">IF(
    IFERROR(MIN(
        IF(
            (TRIM(INDIRECT("'" &amp; INDEX('Hulp (CAO''s)'!$C$3:$C$6,
                MATCH(TRUE,'Hulp (CAO''s)'!$D$3:$D$6,0)) &amp; "'!B1:B1000")) = TEXT(R30,"0")) *
            (ROW(INDIRECT("'" &amp; INDEX('Hulp (CAO''s)'!$C$3:$C$6,
                MATCH(TRUE,'Hulp (CAO''s)'!$D$3:$D$6,0)) &amp; "'!B1:B1000")) &gt; MATCH(
                R29,
                INDIRECT("'" &amp; INDEX('Hulp (CAO''s)'!$C$3:$C$6,
                    MATCH(TRUE,'Hulp (CAO''s)'!$D$3:$D$6,0)) &amp; "'!A:A"),
                0
            )) *
            IF(
                S29="",
                1,
                (ROW(INDIRECT("'" &amp; INDEX('Hulp (CAO''s)'!$C$3:$C$6,
                    MATCH(TRUE,'Hulp (CAO''s)'!$D$3:$D$6,0)) &amp; "'!B1:B1000")) &lt; MATCH(
                    S29,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TEXT(R30,"0")) *
                (ROW(INDIRECT("'" &amp; INDEX('Hulp (CAO''s)'!$C$3:$C$6,
                    MATCH(TRUE,'Hulp (CAO''s)'!$D$3:$D$6,0)) &amp; "'!B1:B1000")) &gt; MATCH(
                    R29,
                    INDIRECT("'" &amp; INDEX('Hulp (CAO''s)'!$C$3:$C$6,
                        MATCH(TRUE,'Hulp (CAO''s)'!$D$3:$D$6,0)) &amp; "'!A:A"),
                    0
                )) *
                IF(
                    S29="",
                    1,
                    (ROW(INDIRECT("'" &amp; INDEX('Hulp (CAO''s)'!$C$3:$C$6,
                        MATCH(TRUE,'Hulp (CAO''s)'!$D$3:$D$6,0)) &amp; "'!B1:B1000")) &lt; MATCH(
                        S29,
                        INDIRECT("'" &amp; INDEX('Hulp (CAO''s)'!$C$3:$C$6,
                            MATCH(TRUE,'Hulp (CAO''s)'!$D$3:$D$6,0)) &amp; "'!A:A"),
                        0
                    ))
                ),
                ROW(INDIRECT("'" &amp; INDEX('Hulp (CAO''s)'!$C$3:$C$6,
                    MATCH(TRUE,'Hulp (CAO''s)'!$D$3:$D$6,0)) &amp; "'!B1:B1000"))
            )
        ),0)
    )
)</f>
        <v/>
      </c>
      <c r="S31" s="86" t="str">
        <f t="array" aca="1" ref="S31" ca="1">IF(
    IFERROR(MIN(
        IF(
            (TRIM(INDIRECT("'" &amp; INDEX('Hulp (CAO''s)'!$C$3:$C$6,
                MATCH(TRUE,'Hulp (CAO''s)'!$D$3:$D$6,0)) &amp; "'!B1:B1000")) = TEXT(S30,"0")) *
            (ROW(INDIRECT("'" &amp; INDEX('Hulp (CAO''s)'!$C$3:$C$6,
                MATCH(TRUE,'Hulp (CAO''s)'!$D$3:$D$6,0)) &amp; "'!B1:B1000")) &gt; MATCH(
                S29,
                INDIRECT("'" &amp; INDEX('Hulp (CAO''s)'!$C$3:$C$6,
                    MATCH(TRUE,'Hulp (CAO''s)'!$D$3:$D$6,0)) &amp; "'!A:A"),
                0
            )) *
            IF(
                T29="",
                1,
                (ROW(INDIRECT("'" &amp; INDEX('Hulp (CAO''s)'!$C$3:$C$6,
                    MATCH(TRUE,'Hulp (CAO''s)'!$D$3:$D$6,0)) &amp; "'!B1:B1000")) &lt; MATCH(
                    T29,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TEXT(S30,"0")) *
                (ROW(INDIRECT("'" &amp; INDEX('Hulp (CAO''s)'!$C$3:$C$6,
                    MATCH(TRUE,'Hulp (CAO''s)'!$D$3:$D$6,0)) &amp; "'!B1:B1000")) &gt; MATCH(
                    S29,
                    INDIRECT("'" &amp; INDEX('Hulp (CAO''s)'!$C$3:$C$6,
                        MATCH(TRUE,'Hulp (CAO''s)'!$D$3:$D$6,0)) &amp; "'!A:A"),
                    0
                )) *
                IF(
                    T29="",
                    1,
                    (ROW(INDIRECT("'" &amp; INDEX('Hulp (CAO''s)'!$C$3:$C$6,
                        MATCH(TRUE,'Hulp (CAO''s)'!$D$3:$D$6,0)) &amp; "'!B1:B1000")) &lt; MATCH(
                        T29,
                        INDIRECT("'" &amp; INDEX('Hulp (CAO''s)'!$C$3:$C$6,
                            MATCH(TRUE,'Hulp (CAO''s)'!$D$3:$D$6,0)) &amp; "'!A:A"),
                        0
                    ))
                ),
                ROW(INDIRECT("'" &amp; INDEX('Hulp (CAO''s)'!$C$3:$C$6,
                    MATCH(TRUE,'Hulp (CAO''s)'!$D$3:$D$6,0)) &amp; "'!B1:B1000"))
            )
        ),0)
    )
)</f>
        <v/>
      </c>
      <c r="T31" s="39" t="str">
        <f t="array" aca="1" ref="T31" ca="1">IF(
    IFERROR(MIN(
        IF(
            (TRIM(INDIRECT("'" &amp; INDEX('Hulp (CAO''s)'!$C$3:$C$6,
                MATCH(TRUE,'Hulp (CAO''s)'!$D$3:$D$6,0)) &amp; "'!B1:B1000")) = TEXT(T30,"0")) *
            (ROW(INDIRECT("'" &amp; INDEX('Hulp (CAO''s)'!$C$3:$C$6,
                MATCH(TRUE,'Hulp (CAO''s)'!$D$3:$D$6,0)) &amp; "'!B1:B1000")) &gt; MATCH(
                T29,
                INDIRECT("'" &amp; INDEX('Hulp (CAO''s)'!$C$3:$C$6,
                    MATCH(TRUE,'Hulp (CAO''s)'!$D$3:$D$6,0)) &amp; "'!A:A"),
                0
            )) *
            IF(
                U29="",
                1,
                (ROW(INDIRECT("'" &amp; INDEX('Hulp (CAO''s)'!$C$3:$C$6,
                    MATCH(TRUE,'Hulp (CAO''s)'!$D$3:$D$6,0)) &amp; "'!B1:B1000")) &lt; MATCH(
                    U29,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TEXT(T30,"0")) *
                (ROW(INDIRECT("'" &amp; INDEX('Hulp (CAO''s)'!$C$3:$C$6,
                    MATCH(TRUE,'Hulp (CAO''s)'!$D$3:$D$6,0)) &amp; "'!B1:B1000")) &gt; MATCH(
                    T29,
                    INDIRECT("'" &amp; INDEX('Hulp (CAO''s)'!$C$3:$C$6,
                        MATCH(TRUE,'Hulp (CAO''s)'!$D$3:$D$6,0)) &amp; "'!A:A"),
                    0
                )) *
                IF(
                    U29="",
                    1,
                    (ROW(INDIRECT("'" &amp; INDEX('Hulp (CAO''s)'!$C$3:$C$6,
                        MATCH(TRUE,'Hulp (CAO''s)'!$D$3:$D$6,0)) &amp; "'!B1:B1000")) &lt; MATCH(
                        U29,
                        INDIRECT("'" &amp; INDEX('Hulp (CAO''s)'!$C$3:$C$6,
                            MATCH(TRUE,'Hulp (CAO''s)'!$D$3:$D$6,0)) &amp; "'!A:A"),
                        0
                    ))
                ),
                ROW(INDIRECT("'" &amp; INDEX('Hulp (CAO''s)'!$C$3:$C$6,
                    MATCH(TRUE,'Hulp (CAO''s)'!$D$3:$D$6,0)) &amp; "'!B1:B1000"))
            )
        ),0)
    )
)</f>
        <v/>
      </c>
      <c r="V31" s="38" t="str">
        <f t="array" aca="1" ref="V31" ca="1">IF(
   SUM(E31:T31)=0,
   "",
   (
      SUMPRODUCT(
         IF(E31:T31="",0,E31:T31),
         IF(E32:T32="",0,E32:T32) * SUM(E32:T32)
      )
   ) *
   IF(
      'Hulp (CAO''s)'!#REF!,
      IF(
         OR(
            INDEX(#REF!, ROW(#REF!) + INT((ROW()-ROW($V$7))/6)*8)="",
            ISNA(INDEX(#REF!, ROW(#REF!) + INT((ROW()-ROW($V$7))/6)*8))
         ),
         1878/12,
         INDEX(#REF!, ROW(#REF!) + INT((ROW()-ROW($V$7))/6)*8)/12
      ),
      1
   )
)</f>
        <v/>
      </c>
    </row>
    <row r="32" spans="2:24" ht="14.65" thickBot="1" x14ac:dyDescent="0.5">
      <c r="B32" s="48" t="s">
        <v>60</v>
      </c>
      <c r="D32" s="24" t="s">
        <v>59</v>
      </c>
      <c r="E32" s="8">
        <v>0.05</v>
      </c>
      <c r="F32" s="8">
        <v>0.1</v>
      </c>
      <c r="G32" s="8">
        <v>0.05</v>
      </c>
      <c r="H32" s="8">
        <v>0.15</v>
      </c>
      <c r="I32" s="8">
        <v>0.1</v>
      </c>
      <c r="J32" s="8">
        <v>0.15</v>
      </c>
      <c r="K32" s="8">
        <v>0.1</v>
      </c>
      <c r="L32" s="8">
        <v>0.15</v>
      </c>
      <c r="M32" s="8">
        <v>0.05</v>
      </c>
      <c r="N32" s="8">
        <v>0.05</v>
      </c>
      <c r="O32" s="8">
        <v>0.05</v>
      </c>
      <c r="P32" s="8"/>
      <c r="Q32" s="8"/>
      <c r="R32" s="8"/>
      <c r="S32" s="8"/>
      <c r="T32" s="9"/>
      <c r="U32" s="7"/>
      <c r="V32" s="37" t="str">
        <f ca="1">IF(B29="","",IF(INDIRECT("'Hulp (control forms)'!C" &amp; (13 + INT((ROW()-ROW($B$5))/6))), V30, V31))</f>
        <v/>
      </c>
      <c r="W32" s="7"/>
    </row>
    <row r="33" spans="2:24" x14ac:dyDescent="0.5">
      <c r="S33" s="7" t="str">
        <f>IF($B32="Aandeel in %",
   "Totaal: "&amp;SUM(E32:T32)*100&amp;"%",
   "Totaal: "&amp;SUM(E32:T32)&amp;" uur"
)</f>
        <v>Totaal: 100%</v>
      </c>
      <c r="T33" s="7"/>
    </row>
    <row r="34" spans="2:24" ht="16.149999999999999" thickBot="1" x14ac:dyDescent="0.55000000000000004">
      <c r="B34" s="44" t="str">
        <f ca="1">IF(B35="","",IF(
   OR(
      INDIRECT("'1a. Input organisatieniveau'!N" &amp; (14 + INT((ROW()-4)/6)))="",
      INDIRECT("'1a. Input organisatieniveau'!N" &amp; (14 + INT((ROW()-4)/6)))=0
   ),
   "",
   INDIRECT("'1a. Input organisatieniveau'!N" &amp; (14 + INT((ROW()-4)/6)))
))</f>
        <v/>
      </c>
      <c r="E34" s="61" t="str">
        <f t="shared" ref="E34:T34" ca="1" si="5">IF(AND(AND(E35&lt;&gt;"",E36&lt;&gt;""),E37=""),"!","")</f>
        <v/>
      </c>
      <c r="F34" s="61" t="str">
        <f t="shared" ca="1" si="5"/>
        <v/>
      </c>
      <c r="G34" s="61" t="str">
        <f t="shared" ca="1" si="5"/>
        <v/>
      </c>
      <c r="H34" s="61" t="str">
        <f t="shared" ca="1" si="5"/>
        <v/>
      </c>
      <c r="I34" s="61" t="str">
        <f t="shared" ca="1" si="5"/>
        <v/>
      </c>
      <c r="J34" s="61" t="str">
        <f t="shared" ca="1" si="5"/>
        <v/>
      </c>
      <c r="K34" s="61" t="str">
        <f t="shared" ca="1" si="5"/>
        <v/>
      </c>
      <c r="L34" s="61" t="str">
        <f t="shared" ca="1" si="5"/>
        <v/>
      </c>
      <c r="M34" s="61" t="str">
        <f t="shared" ca="1" si="5"/>
        <v/>
      </c>
      <c r="N34" s="61" t="str">
        <f t="shared" ca="1" si="5"/>
        <v/>
      </c>
      <c r="O34" s="61" t="str">
        <f t="shared" ca="1" si="5"/>
        <v/>
      </c>
      <c r="P34" s="61" t="str">
        <f t="shared" ca="1" si="5"/>
        <v/>
      </c>
      <c r="Q34" s="61" t="str">
        <f t="shared" ca="1" si="5"/>
        <v/>
      </c>
      <c r="R34" s="61" t="str">
        <f t="shared" ca="1" si="5"/>
        <v/>
      </c>
      <c r="S34" s="61" t="str">
        <f t="shared" ca="1" si="5"/>
        <v/>
      </c>
      <c r="T34" s="61" t="str">
        <f t="shared" ca="1" si="5"/>
        <v/>
      </c>
    </row>
    <row r="35" spans="2:24" ht="16.149999999999999" thickBot="1" x14ac:dyDescent="0.55000000000000004">
      <c r="B35" s="45" t="str">
        <f ca="1">IF(
   OR(
      INDIRECT("'1a. Input organisatieniveau'!M" &amp; (14 + INT((ROW()-4)/6)))="",
      INDIRECT("'1a. Input organisatieniveau'!M" &amp; (14 + INT((ROW()-4)/6)))=0
   ),
   "",
   INDIRECT("'1a. Input organisatieniveau'!M" &amp; (14 + INT((ROW()-4)/6)))
)</f>
        <v/>
      </c>
      <c r="D35" s="22" t="s">
        <v>28</v>
      </c>
      <c r="E35" s="10" t="str">
        <f t="array" aca="1" ref="E35" ca="1">IF($B35="", "", INDEX('Hulp (CAO''s)'!J$3:J$6, MATCH(TRUE, 'Hulp (CAO''s)'!$D$3:$D$6, 0)))</f>
        <v/>
      </c>
      <c r="F35" s="10" t="str">
        <f t="array" aca="1" ref="F35" ca="1">IF($B35="", "", INDEX('Hulp (CAO''s)'!K$3:K$6, MATCH(TRUE, 'Hulp (CAO''s)'!$D$3:$D$6, 0)))</f>
        <v/>
      </c>
      <c r="G35" s="10" t="str">
        <f t="array" aca="1" ref="G35" ca="1">IF($B35="", "", INDEX('Hulp (CAO''s)'!L$3:L$6, MATCH(TRUE, 'Hulp (CAO''s)'!$D$3:$D$6, 0)))</f>
        <v/>
      </c>
      <c r="H35" s="10" t="str">
        <f t="array" aca="1" ref="H35" ca="1">IF($B35="", "", INDEX('Hulp (CAO''s)'!M$3:M$6, MATCH(TRUE, 'Hulp (CAO''s)'!$D$3:$D$6, 0)))</f>
        <v/>
      </c>
      <c r="I35" s="10" t="str">
        <f t="array" aca="1" ref="I35" ca="1">IF($B35="", "", INDEX('Hulp (CAO''s)'!N$3:N$6, MATCH(TRUE, 'Hulp (CAO''s)'!$D$3:$D$6, 0)))</f>
        <v/>
      </c>
      <c r="J35" s="10" t="str">
        <f t="array" aca="1" ref="J35" ca="1">IF($B35="", "", INDEX('Hulp (CAO''s)'!O$3:O$6, MATCH(TRUE, 'Hulp (CAO''s)'!$D$3:$D$6, 0)))</f>
        <v/>
      </c>
      <c r="K35" s="10" t="str">
        <f t="array" aca="1" ref="K35" ca="1">IF($B35="", "", INDEX('Hulp (CAO''s)'!P$3:P$6, MATCH(TRUE, 'Hulp (CAO''s)'!$D$3:$D$6, 0)))</f>
        <v/>
      </c>
      <c r="L35" s="10" t="str">
        <f t="array" aca="1" ref="L35" ca="1">IF($B35="", "", INDEX('Hulp (CAO''s)'!Q$3:Q$6, MATCH(TRUE, 'Hulp (CAO''s)'!$D$3:$D$6, 0)))</f>
        <v/>
      </c>
      <c r="M35" s="10" t="str">
        <f t="array" aca="1" ref="M35" ca="1">IF($B35="", "", INDEX('Hulp (CAO''s)'!R$3:R$6, MATCH(TRUE, 'Hulp (CAO''s)'!$D$3:$D$6, 0)))</f>
        <v/>
      </c>
      <c r="N35" s="10" t="str">
        <f t="array" aca="1" ref="N35" ca="1">IF($B35="", "", INDEX('Hulp (CAO''s)'!S$3:S$6, MATCH(TRUE, 'Hulp (CAO''s)'!$D$3:$D$6, 0)))</f>
        <v/>
      </c>
      <c r="O35" s="10" t="str">
        <f t="array" aca="1" ref="O35" ca="1">IF($B35="", "", INDEX('Hulp (CAO''s)'!T$3:T$6, MATCH(TRUE, 'Hulp (CAO''s)'!$D$3:$D$6, 0)))</f>
        <v/>
      </c>
      <c r="P35" s="10" t="str">
        <f t="array" aca="1" ref="P35" ca="1">IF($B35="", "", INDEX('Hulp (CAO''s)'!U$3:U$6, MATCH(TRUE, 'Hulp (CAO''s)'!$D$3:$D$6, 0)))</f>
        <v/>
      </c>
      <c r="Q35" s="10" t="str">
        <f t="array" aca="1" ref="Q35" ca="1">IF($B35="", "", INDEX('Hulp (CAO''s)'!V$3:V$6, MATCH(TRUE, 'Hulp (CAO''s)'!$D$3:$D$6, 0)))</f>
        <v/>
      </c>
      <c r="R35" s="10" t="str">
        <f t="array" aca="1" ref="R35" ca="1">IF($B35="", "", INDEX('Hulp (CAO''s)'!W$3:W$6, MATCH(TRUE, 'Hulp (CAO''s)'!$D$3:$D$6, 0)))</f>
        <v/>
      </c>
      <c r="S35" s="10" t="str">
        <f t="array" aca="1" ref="S35" ca="1">IF($B35="", "", INDEX('Hulp (CAO''s)'!X$3:X$6, MATCH(TRUE, 'Hulp (CAO''s)'!$D$3:$D$6, 0)))</f>
        <v/>
      </c>
      <c r="T35" s="11" t="str">
        <f t="array" aca="1" ref="T35" ca="1">IF($B35="", "", INDEX('Hulp (CAO''s)'!Y$3:Y$6, MATCH(TRUE, 'Hulp (CAO''s)'!$D$3:$D$6, 0)))</f>
        <v/>
      </c>
      <c r="V35" s="25" t="s">
        <v>32</v>
      </c>
      <c r="W35" s="5"/>
    </row>
    <row r="36" spans="2:24" x14ac:dyDescent="0.5">
      <c r="D36" s="23" t="s">
        <v>29</v>
      </c>
      <c r="E36" s="6"/>
      <c r="F36" s="6"/>
      <c r="G36" s="6"/>
      <c r="H36" s="6"/>
      <c r="I36" s="6"/>
      <c r="J36" s="6"/>
      <c r="K36" s="6"/>
      <c r="L36" s="6"/>
      <c r="M36" s="6"/>
      <c r="N36" s="6"/>
      <c r="O36" s="6"/>
      <c r="P36" s="6"/>
      <c r="Q36" s="6"/>
      <c r="R36" s="6"/>
      <c r="S36" s="6"/>
      <c r="T36" s="4"/>
      <c r="V36" s="52">
        <v>4300</v>
      </c>
      <c r="X36" s="60" t="s">
        <v>747</v>
      </c>
    </row>
    <row r="37" spans="2:24" ht="14.65" thickBot="1" x14ac:dyDescent="0.5">
      <c r="B37"/>
      <c r="D37" s="40" t="str">
        <f>IFERROR(
   INDEX('Hulp (CAO''s)'!$I$3:$I$6, MATCH(TRUE, 'Hulp (CAO''s)'!$D$3:$D$6, 0)),
"")</f>
        <v>Bruto maandsalaris</v>
      </c>
      <c r="E37" s="86" t="str">
        <f t="array" aca="1" ref="E37" ca="1">IF(
    IFERROR(MIN(
        IF(
            (TRIM(INDIRECT("'" &amp; INDEX('Hulp (CAO''s)'!$C$3:$C$6,
                MATCH(TRUE,'Hulp (CAO''s)'!$D$3:$D$6,0)) &amp; "'!B1:B1000")) = TEXT(E36,"0")) *
            (ROW(INDIRECT("'" &amp; INDEX('Hulp (CAO''s)'!$C$3:$C$6,
                MATCH(TRUE,'Hulp (CAO''s)'!$D$3:$D$6,0)) &amp; "'!B1:B1000")) &gt; MATCH(
                E35,
                INDIRECT("'" &amp; INDEX('Hulp (CAO''s)'!$C$3:$C$6,
                    MATCH(TRUE,'Hulp (CAO''s)'!$D$3:$D$6,0)) &amp; "'!A:A"),
                0
            )) *
            IF(
                F35="",
                1,
                (ROW(INDIRECT("'" &amp; INDEX('Hulp (CAO''s)'!$C$3:$C$6,
                    MATCH(TRUE,'Hulp (CAO''s)'!$D$3:$D$6,0)) &amp; "'!B1:B1000")) &lt; MATCH(
                    F35,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TEXT(E36,"0")) *
                (ROW(INDIRECT("'" &amp; INDEX('Hulp (CAO''s)'!$C$3:$C$6,
                    MATCH(TRUE,'Hulp (CAO''s)'!$D$3:$D$6,0)) &amp; "'!B1:B1000")) &gt; MATCH(
                    E35,
                    INDIRECT("'" &amp; INDEX('Hulp (CAO''s)'!$C$3:$C$6,
                        MATCH(TRUE,'Hulp (CAO''s)'!$D$3:$D$6,0)) &amp; "'!A:A"),
                    0
                )) *
                IF(
                    F35="",
                    1,
                    (ROW(INDIRECT("'" &amp; INDEX('Hulp (CAO''s)'!$C$3:$C$6,
                        MATCH(TRUE,'Hulp (CAO''s)'!$D$3:$D$6,0)) &amp; "'!B1:B1000")) &lt; MATCH(
                        F35,
                        INDIRECT("'" &amp; INDEX('Hulp (CAO''s)'!$C$3:$C$6,
                            MATCH(TRUE,'Hulp (CAO''s)'!$D$3:$D$6,0)) &amp; "'!A:A"),
                        0
                    ))
                ),
                ROW(INDIRECT("'" &amp; INDEX('Hulp (CAO''s)'!$C$3:$C$6,
                    MATCH(TRUE,'Hulp (CAO''s)'!$D$3:$D$6,0)) &amp; "'!B1:B1000"))
            )
        ),0)
    )
)</f>
        <v/>
      </c>
      <c r="F37" s="86" t="str">
        <f t="array" aca="1" ref="F37" ca="1">IF(
    IFERROR(MIN(
        IF(
            (TRIM(INDIRECT("'" &amp; INDEX('Hulp (CAO''s)'!$C$3:$C$6,
                MATCH(TRUE,'Hulp (CAO''s)'!$D$3:$D$6,0)) &amp; "'!B1:B1000")) = TEXT(F36,"0")) *
            (ROW(INDIRECT("'" &amp; INDEX('Hulp (CAO''s)'!$C$3:$C$6,
                MATCH(TRUE,'Hulp (CAO''s)'!$D$3:$D$6,0)) &amp; "'!B1:B1000")) &gt; MATCH(
                F35,
                INDIRECT("'" &amp; INDEX('Hulp (CAO''s)'!$C$3:$C$6,
                    MATCH(TRUE,'Hulp (CAO''s)'!$D$3:$D$6,0)) &amp; "'!A:A"),
                0
            )) *
            IF(
                G35="",
                1,
                (ROW(INDIRECT("'" &amp; INDEX('Hulp (CAO''s)'!$C$3:$C$6,
                    MATCH(TRUE,'Hulp (CAO''s)'!$D$3:$D$6,0)) &amp; "'!B1:B1000")) &lt; MATCH(
                    G35,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TEXT(F36,"0")) *
                (ROW(INDIRECT("'" &amp; INDEX('Hulp (CAO''s)'!$C$3:$C$6,
                    MATCH(TRUE,'Hulp (CAO''s)'!$D$3:$D$6,0)) &amp; "'!B1:B1000")) &gt; MATCH(
                    F35,
                    INDIRECT("'" &amp; INDEX('Hulp (CAO''s)'!$C$3:$C$6,
                        MATCH(TRUE,'Hulp (CAO''s)'!$D$3:$D$6,0)) &amp; "'!A:A"),
                    0
                )) *
                IF(
                    G35="",
                    1,
                    (ROW(INDIRECT("'" &amp; INDEX('Hulp (CAO''s)'!$C$3:$C$6,
                        MATCH(TRUE,'Hulp (CAO''s)'!$D$3:$D$6,0)) &amp; "'!B1:B1000")) &lt; MATCH(
                        G35,
                        INDIRECT("'" &amp; INDEX('Hulp (CAO''s)'!$C$3:$C$6,
                            MATCH(TRUE,'Hulp (CAO''s)'!$D$3:$D$6,0)) &amp; "'!A:A"),
                        0
                    ))
                ),
                ROW(INDIRECT("'" &amp; INDEX('Hulp (CAO''s)'!$C$3:$C$6,
                    MATCH(TRUE,'Hulp (CAO''s)'!$D$3:$D$6,0)) &amp; "'!B1:B1000"))
            )
        ),0)
    )
)</f>
        <v/>
      </c>
      <c r="G37" s="86" t="str">
        <f t="array" aca="1" ref="G37" ca="1">IF(
    IFERROR(MIN(
        IF(
            (TRIM(INDIRECT("'" &amp; INDEX('Hulp (CAO''s)'!$C$3:$C$6,
                MATCH(TRUE,'Hulp (CAO''s)'!$D$3:$D$6,0)) &amp; "'!B1:B1000")) = TEXT(G36,"0")) *
            (ROW(INDIRECT("'" &amp; INDEX('Hulp (CAO''s)'!$C$3:$C$6,
                MATCH(TRUE,'Hulp (CAO''s)'!$D$3:$D$6,0)) &amp; "'!B1:B1000")) &gt; MATCH(
                G35,
                INDIRECT("'" &amp; INDEX('Hulp (CAO''s)'!$C$3:$C$6,
                    MATCH(TRUE,'Hulp (CAO''s)'!$D$3:$D$6,0)) &amp; "'!A:A"),
                0
            )) *
            IF(
                H35="",
                1,
                (ROW(INDIRECT("'" &amp; INDEX('Hulp (CAO''s)'!$C$3:$C$6,
                    MATCH(TRUE,'Hulp (CAO''s)'!$D$3:$D$6,0)) &amp; "'!B1:B1000")) &lt; MATCH(
                    H35,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TEXT(G36,"0")) *
                (ROW(INDIRECT("'" &amp; INDEX('Hulp (CAO''s)'!$C$3:$C$6,
                    MATCH(TRUE,'Hulp (CAO''s)'!$D$3:$D$6,0)) &amp; "'!B1:B1000")) &gt; MATCH(
                    G35,
                    INDIRECT("'" &amp; INDEX('Hulp (CAO''s)'!$C$3:$C$6,
                        MATCH(TRUE,'Hulp (CAO''s)'!$D$3:$D$6,0)) &amp; "'!A:A"),
                    0
                )) *
                IF(
                    H35="",
                    1,
                    (ROW(INDIRECT("'" &amp; INDEX('Hulp (CAO''s)'!$C$3:$C$6,
                        MATCH(TRUE,'Hulp (CAO''s)'!$D$3:$D$6,0)) &amp; "'!B1:B1000")) &lt; MATCH(
                        H35,
                        INDIRECT("'" &amp; INDEX('Hulp (CAO''s)'!$C$3:$C$6,
                            MATCH(TRUE,'Hulp (CAO''s)'!$D$3:$D$6,0)) &amp; "'!A:A"),
                        0
                    ))
                ),
                ROW(INDIRECT("'" &amp; INDEX('Hulp (CAO''s)'!$C$3:$C$6,
                    MATCH(TRUE,'Hulp (CAO''s)'!$D$3:$D$6,0)) &amp; "'!B1:B1000"))
            )
        ),0)
    )
)</f>
        <v/>
      </c>
      <c r="H37" s="86" t="str">
        <f t="array" aca="1" ref="H37" ca="1">IF(
    IFERROR(MIN(
        IF(
            (TRIM(INDIRECT("'" &amp; INDEX('Hulp (CAO''s)'!$C$3:$C$6,
                MATCH(TRUE,'Hulp (CAO''s)'!$D$3:$D$6,0)) &amp; "'!B1:B1000")) = TEXT(H36,"0")) *
            (ROW(INDIRECT("'" &amp; INDEX('Hulp (CAO''s)'!$C$3:$C$6,
                MATCH(TRUE,'Hulp (CAO''s)'!$D$3:$D$6,0)) &amp; "'!B1:B1000")) &gt; MATCH(
                H35,
                INDIRECT("'" &amp; INDEX('Hulp (CAO''s)'!$C$3:$C$6,
                    MATCH(TRUE,'Hulp (CAO''s)'!$D$3:$D$6,0)) &amp; "'!A:A"),
                0
            )) *
            IF(
                I35="",
                1,
                (ROW(INDIRECT("'" &amp; INDEX('Hulp (CAO''s)'!$C$3:$C$6,
                    MATCH(TRUE,'Hulp (CAO''s)'!$D$3:$D$6,0)) &amp; "'!B1:B1000")) &lt; MATCH(
                    I35,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TEXT(H36,"0")) *
                (ROW(INDIRECT("'" &amp; INDEX('Hulp (CAO''s)'!$C$3:$C$6,
                    MATCH(TRUE,'Hulp (CAO''s)'!$D$3:$D$6,0)) &amp; "'!B1:B1000")) &gt; MATCH(
                    H35,
                    INDIRECT("'" &amp; INDEX('Hulp (CAO''s)'!$C$3:$C$6,
                        MATCH(TRUE,'Hulp (CAO''s)'!$D$3:$D$6,0)) &amp; "'!A:A"),
                    0
                )) *
                IF(
                    I35="",
                    1,
                    (ROW(INDIRECT("'" &amp; INDEX('Hulp (CAO''s)'!$C$3:$C$6,
                        MATCH(TRUE,'Hulp (CAO''s)'!$D$3:$D$6,0)) &amp; "'!B1:B1000")) &lt; MATCH(
                        I35,
                        INDIRECT("'" &amp; INDEX('Hulp (CAO''s)'!$C$3:$C$6,
                            MATCH(TRUE,'Hulp (CAO''s)'!$D$3:$D$6,0)) &amp; "'!A:A"),
                        0
                    ))
                ),
                ROW(INDIRECT("'" &amp; INDEX('Hulp (CAO''s)'!$C$3:$C$6,
                    MATCH(TRUE,'Hulp (CAO''s)'!$D$3:$D$6,0)) &amp; "'!B1:B1000"))
            )
        ),0)
    )
)</f>
        <v/>
      </c>
      <c r="I37" s="86" t="str">
        <f t="array" aca="1" ref="I37" ca="1">IF(
    IFERROR(MIN(
        IF(
            (TRIM(INDIRECT("'" &amp; INDEX('Hulp (CAO''s)'!$C$3:$C$6,
                MATCH(TRUE,'Hulp (CAO''s)'!$D$3:$D$6,0)) &amp; "'!B1:B1000")) = TEXT(I36,"0")) *
            (ROW(INDIRECT("'" &amp; INDEX('Hulp (CAO''s)'!$C$3:$C$6,
                MATCH(TRUE,'Hulp (CAO''s)'!$D$3:$D$6,0)) &amp; "'!B1:B1000")) &gt; MATCH(
                I35,
                INDIRECT("'" &amp; INDEX('Hulp (CAO''s)'!$C$3:$C$6,
                    MATCH(TRUE,'Hulp (CAO''s)'!$D$3:$D$6,0)) &amp; "'!A:A"),
                0
            )) *
            IF(
                J35="",
                1,
                (ROW(INDIRECT("'" &amp; INDEX('Hulp (CAO''s)'!$C$3:$C$6,
                    MATCH(TRUE,'Hulp (CAO''s)'!$D$3:$D$6,0)) &amp; "'!B1:B1000")) &lt; MATCH(
                    J35,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TEXT(I36,"0")) *
                (ROW(INDIRECT("'" &amp; INDEX('Hulp (CAO''s)'!$C$3:$C$6,
                    MATCH(TRUE,'Hulp (CAO''s)'!$D$3:$D$6,0)) &amp; "'!B1:B1000")) &gt; MATCH(
                    I35,
                    INDIRECT("'" &amp; INDEX('Hulp (CAO''s)'!$C$3:$C$6,
                        MATCH(TRUE,'Hulp (CAO''s)'!$D$3:$D$6,0)) &amp; "'!A:A"),
                    0
                )) *
                IF(
                    J35="",
                    1,
                    (ROW(INDIRECT("'" &amp; INDEX('Hulp (CAO''s)'!$C$3:$C$6,
                        MATCH(TRUE,'Hulp (CAO''s)'!$D$3:$D$6,0)) &amp; "'!B1:B1000")) &lt; MATCH(
                        J35,
                        INDIRECT("'" &amp; INDEX('Hulp (CAO''s)'!$C$3:$C$6,
                            MATCH(TRUE,'Hulp (CAO''s)'!$D$3:$D$6,0)) &amp; "'!A:A"),
                        0
                    ))
                ),
                ROW(INDIRECT("'" &amp; INDEX('Hulp (CAO''s)'!$C$3:$C$6,
                    MATCH(TRUE,'Hulp (CAO''s)'!$D$3:$D$6,0)) &amp; "'!B1:B1000"))
            )
        ),0)
    )
)</f>
        <v/>
      </c>
      <c r="J37" s="86" t="str">
        <f t="array" aca="1" ref="J37" ca="1">IF(
    IFERROR(MIN(
        IF(
            (TRIM(INDIRECT("'" &amp; INDEX('Hulp (CAO''s)'!$C$3:$C$6,
                MATCH(TRUE,'Hulp (CAO''s)'!$D$3:$D$6,0)) &amp; "'!B1:B1000")) = TEXT(J36,"0")) *
            (ROW(INDIRECT("'" &amp; INDEX('Hulp (CAO''s)'!$C$3:$C$6,
                MATCH(TRUE,'Hulp (CAO''s)'!$D$3:$D$6,0)) &amp; "'!B1:B1000")) &gt; MATCH(
                J35,
                INDIRECT("'" &amp; INDEX('Hulp (CAO''s)'!$C$3:$C$6,
                    MATCH(TRUE,'Hulp (CAO''s)'!$D$3:$D$6,0)) &amp; "'!A:A"),
                0
            )) *
            IF(
                K35="",
                1,
                (ROW(INDIRECT("'" &amp; INDEX('Hulp (CAO''s)'!$C$3:$C$6,
                    MATCH(TRUE,'Hulp (CAO''s)'!$D$3:$D$6,0)) &amp; "'!B1:B1000")) &lt; MATCH(
                    K35,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TEXT(J36,"0")) *
                (ROW(INDIRECT("'" &amp; INDEX('Hulp (CAO''s)'!$C$3:$C$6,
                    MATCH(TRUE,'Hulp (CAO''s)'!$D$3:$D$6,0)) &amp; "'!B1:B1000")) &gt; MATCH(
                    J35,
                    INDIRECT("'" &amp; INDEX('Hulp (CAO''s)'!$C$3:$C$6,
                        MATCH(TRUE,'Hulp (CAO''s)'!$D$3:$D$6,0)) &amp; "'!A:A"),
                    0
                )) *
                IF(
                    K35="",
                    1,
                    (ROW(INDIRECT("'" &amp; INDEX('Hulp (CAO''s)'!$C$3:$C$6,
                        MATCH(TRUE,'Hulp (CAO''s)'!$D$3:$D$6,0)) &amp; "'!B1:B1000")) &lt; MATCH(
                        K35,
                        INDIRECT("'" &amp; INDEX('Hulp (CAO''s)'!$C$3:$C$6,
                            MATCH(TRUE,'Hulp (CAO''s)'!$D$3:$D$6,0)) &amp; "'!A:A"),
                        0
                    ))
                ),
                ROW(INDIRECT("'" &amp; INDEX('Hulp (CAO''s)'!$C$3:$C$6,
                    MATCH(TRUE,'Hulp (CAO''s)'!$D$3:$D$6,0)) &amp; "'!B1:B1000"))
            )
        ),0)
    )
)</f>
        <v/>
      </c>
      <c r="K37" s="86" t="str">
        <f t="array" aca="1" ref="K37" ca="1">IF(
    IFERROR(MIN(
        IF(
            (TRIM(INDIRECT("'" &amp; INDEX('Hulp (CAO''s)'!$C$3:$C$6,
                MATCH(TRUE,'Hulp (CAO''s)'!$D$3:$D$6,0)) &amp; "'!B1:B1000")) = TEXT(K36,"0")) *
            (ROW(INDIRECT("'" &amp; INDEX('Hulp (CAO''s)'!$C$3:$C$6,
                MATCH(TRUE,'Hulp (CAO''s)'!$D$3:$D$6,0)) &amp; "'!B1:B1000")) &gt; MATCH(
                K35,
                INDIRECT("'" &amp; INDEX('Hulp (CAO''s)'!$C$3:$C$6,
                    MATCH(TRUE,'Hulp (CAO''s)'!$D$3:$D$6,0)) &amp; "'!A:A"),
                0
            )) *
            IF(
                L35="",
                1,
                (ROW(INDIRECT("'" &amp; INDEX('Hulp (CAO''s)'!$C$3:$C$6,
                    MATCH(TRUE,'Hulp (CAO''s)'!$D$3:$D$6,0)) &amp; "'!B1:B1000")) &lt; MATCH(
                    L35,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TEXT(K36,"0")) *
                (ROW(INDIRECT("'" &amp; INDEX('Hulp (CAO''s)'!$C$3:$C$6,
                    MATCH(TRUE,'Hulp (CAO''s)'!$D$3:$D$6,0)) &amp; "'!B1:B1000")) &gt; MATCH(
                    K35,
                    INDIRECT("'" &amp; INDEX('Hulp (CAO''s)'!$C$3:$C$6,
                        MATCH(TRUE,'Hulp (CAO''s)'!$D$3:$D$6,0)) &amp; "'!A:A"),
                    0
                )) *
                IF(
                    L35="",
                    1,
                    (ROW(INDIRECT("'" &amp; INDEX('Hulp (CAO''s)'!$C$3:$C$6,
                        MATCH(TRUE,'Hulp (CAO''s)'!$D$3:$D$6,0)) &amp; "'!B1:B1000")) &lt; MATCH(
                        L35,
                        INDIRECT("'" &amp; INDEX('Hulp (CAO''s)'!$C$3:$C$6,
                            MATCH(TRUE,'Hulp (CAO''s)'!$D$3:$D$6,0)) &amp; "'!A:A"),
                        0
                    ))
                ),
                ROW(INDIRECT("'" &amp; INDEX('Hulp (CAO''s)'!$C$3:$C$6,
                    MATCH(TRUE,'Hulp (CAO''s)'!$D$3:$D$6,0)) &amp; "'!B1:B1000"))
            )
        ),0)
    )
)</f>
        <v/>
      </c>
      <c r="L37" s="86" t="str">
        <f t="array" aca="1" ref="L37" ca="1">IF(
    IFERROR(MIN(
        IF(
            (TRIM(INDIRECT("'" &amp; INDEX('Hulp (CAO''s)'!$C$3:$C$6,
                MATCH(TRUE,'Hulp (CAO''s)'!$D$3:$D$6,0)) &amp; "'!B1:B1000")) = TEXT(L36,"0")) *
            (ROW(INDIRECT("'" &amp; INDEX('Hulp (CAO''s)'!$C$3:$C$6,
                MATCH(TRUE,'Hulp (CAO''s)'!$D$3:$D$6,0)) &amp; "'!B1:B1000")) &gt; MATCH(
                L35,
                INDIRECT("'" &amp; INDEX('Hulp (CAO''s)'!$C$3:$C$6,
                    MATCH(TRUE,'Hulp (CAO''s)'!$D$3:$D$6,0)) &amp; "'!A:A"),
                0
            )) *
            IF(
                M35="",
                1,
                (ROW(INDIRECT("'" &amp; INDEX('Hulp (CAO''s)'!$C$3:$C$6,
                    MATCH(TRUE,'Hulp (CAO''s)'!$D$3:$D$6,0)) &amp; "'!B1:B1000")) &lt; MATCH(
                    M35,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TEXT(L36,"0")) *
                (ROW(INDIRECT("'" &amp; INDEX('Hulp (CAO''s)'!$C$3:$C$6,
                    MATCH(TRUE,'Hulp (CAO''s)'!$D$3:$D$6,0)) &amp; "'!B1:B1000")) &gt; MATCH(
                    L35,
                    INDIRECT("'" &amp; INDEX('Hulp (CAO''s)'!$C$3:$C$6,
                        MATCH(TRUE,'Hulp (CAO''s)'!$D$3:$D$6,0)) &amp; "'!A:A"),
                    0
                )) *
                IF(
                    M35="",
                    1,
                    (ROW(INDIRECT("'" &amp; INDEX('Hulp (CAO''s)'!$C$3:$C$6,
                        MATCH(TRUE,'Hulp (CAO''s)'!$D$3:$D$6,0)) &amp; "'!B1:B1000")) &lt; MATCH(
                        M35,
                        INDIRECT("'" &amp; INDEX('Hulp (CAO''s)'!$C$3:$C$6,
                            MATCH(TRUE,'Hulp (CAO''s)'!$D$3:$D$6,0)) &amp; "'!A:A"),
                        0
                    ))
                ),
                ROW(INDIRECT("'" &amp; INDEX('Hulp (CAO''s)'!$C$3:$C$6,
                    MATCH(TRUE,'Hulp (CAO''s)'!$D$3:$D$6,0)) &amp; "'!B1:B1000"))
            )
        ),0)
    )
)</f>
        <v/>
      </c>
      <c r="M37" s="86" t="str">
        <f t="array" aca="1" ref="M37" ca="1">IF(
    IFERROR(MIN(
        IF(
            (TRIM(INDIRECT("'" &amp; INDEX('Hulp (CAO''s)'!$C$3:$C$6,
                MATCH(TRUE,'Hulp (CAO''s)'!$D$3:$D$6,0)) &amp; "'!B1:B1000")) = TEXT(M36,"0")) *
            (ROW(INDIRECT("'" &amp; INDEX('Hulp (CAO''s)'!$C$3:$C$6,
                MATCH(TRUE,'Hulp (CAO''s)'!$D$3:$D$6,0)) &amp; "'!B1:B1000")) &gt; MATCH(
                M35,
                INDIRECT("'" &amp; INDEX('Hulp (CAO''s)'!$C$3:$C$6,
                    MATCH(TRUE,'Hulp (CAO''s)'!$D$3:$D$6,0)) &amp; "'!A:A"),
                0
            )) *
            IF(
                N35="",
                1,
                (ROW(INDIRECT("'" &amp; INDEX('Hulp (CAO''s)'!$C$3:$C$6,
                    MATCH(TRUE,'Hulp (CAO''s)'!$D$3:$D$6,0)) &amp; "'!B1:B1000")) &lt; MATCH(
                    N35,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TEXT(M36,"0")) *
                (ROW(INDIRECT("'" &amp; INDEX('Hulp (CAO''s)'!$C$3:$C$6,
                    MATCH(TRUE,'Hulp (CAO''s)'!$D$3:$D$6,0)) &amp; "'!B1:B1000")) &gt; MATCH(
                    M35,
                    INDIRECT("'" &amp; INDEX('Hulp (CAO''s)'!$C$3:$C$6,
                        MATCH(TRUE,'Hulp (CAO''s)'!$D$3:$D$6,0)) &amp; "'!A:A"),
                    0
                )) *
                IF(
                    N35="",
                    1,
                    (ROW(INDIRECT("'" &amp; INDEX('Hulp (CAO''s)'!$C$3:$C$6,
                        MATCH(TRUE,'Hulp (CAO''s)'!$D$3:$D$6,0)) &amp; "'!B1:B1000")) &lt; MATCH(
                        N35,
                        INDIRECT("'" &amp; INDEX('Hulp (CAO''s)'!$C$3:$C$6,
                            MATCH(TRUE,'Hulp (CAO''s)'!$D$3:$D$6,0)) &amp; "'!A:A"),
                        0
                    ))
                ),
                ROW(INDIRECT("'" &amp; INDEX('Hulp (CAO''s)'!$C$3:$C$6,
                    MATCH(TRUE,'Hulp (CAO''s)'!$D$3:$D$6,0)) &amp; "'!B1:B1000"))
            )
        ),0)
    )
)</f>
        <v/>
      </c>
      <c r="N37" s="86" t="str">
        <f t="array" aca="1" ref="N37" ca="1">IF(
    IFERROR(MIN(
        IF(
            (TRIM(INDIRECT("'" &amp; INDEX('Hulp (CAO''s)'!$C$3:$C$6,
                MATCH(TRUE,'Hulp (CAO''s)'!$D$3:$D$6,0)) &amp; "'!B1:B1000")) = TEXT(N36,"0")) *
            (ROW(INDIRECT("'" &amp; INDEX('Hulp (CAO''s)'!$C$3:$C$6,
                MATCH(TRUE,'Hulp (CAO''s)'!$D$3:$D$6,0)) &amp; "'!B1:B1000")) &gt; MATCH(
                N35,
                INDIRECT("'" &amp; INDEX('Hulp (CAO''s)'!$C$3:$C$6,
                    MATCH(TRUE,'Hulp (CAO''s)'!$D$3:$D$6,0)) &amp; "'!A:A"),
                0
            )) *
            IF(
                O35="",
                1,
                (ROW(INDIRECT("'" &amp; INDEX('Hulp (CAO''s)'!$C$3:$C$6,
                    MATCH(TRUE,'Hulp (CAO''s)'!$D$3:$D$6,0)) &amp; "'!B1:B1000")) &lt; MATCH(
                    O35,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TEXT(N36,"0")) *
                (ROW(INDIRECT("'" &amp; INDEX('Hulp (CAO''s)'!$C$3:$C$6,
                    MATCH(TRUE,'Hulp (CAO''s)'!$D$3:$D$6,0)) &amp; "'!B1:B1000")) &gt; MATCH(
                    N35,
                    INDIRECT("'" &amp; INDEX('Hulp (CAO''s)'!$C$3:$C$6,
                        MATCH(TRUE,'Hulp (CAO''s)'!$D$3:$D$6,0)) &amp; "'!A:A"),
                    0
                )) *
                IF(
                    O35="",
                    1,
                    (ROW(INDIRECT("'" &amp; INDEX('Hulp (CAO''s)'!$C$3:$C$6,
                        MATCH(TRUE,'Hulp (CAO''s)'!$D$3:$D$6,0)) &amp; "'!B1:B1000")) &lt; MATCH(
                        O35,
                        INDIRECT("'" &amp; INDEX('Hulp (CAO''s)'!$C$3:$C$6,
                            MATCH(TRUE,'Hulp (CAO''s)'!$D$3:$D$6,0)) &amp; "'!A:A"),
                        0
                    ))
                ),
                ROW(INDIRECT("'" &amp; INDEX('Hulp (CAO''s)'!$C$3:$C$6,
                    MATCH(TRUE,'Hulp (CAO''s)'!$D$3:$D$6,0)) &amp; "'!B1:B1000"))
            )
        ),0)
    )
)</f>
        <v/>
      </c>
      <c r="O37" s="86" t="str">
        <f t="array" aca="1" ref="O37" ca="1">IF(
    IFERROR(MIN(
        IF(
            (TRIM(INDIRECT("'" &amp; INDEX('Hulp (CAO''s)'!$C$3:$C$6,
                MATCH(TRUE,'Hulp (CAO''s)'!$D$3:$D$6,0)) &amp; "'!B1:B1000")) = TEXT(O36,"0")) *
            (ROW(INDIRECT("'" &amp; INDEX('Hulp (CAO''s)'!$C$3:$C$6,
                MATCH(TRUE,'Hulp (CAO''s)'!$D$3:$D$6,0)) &amp; "'!B1:B1000")) &gt; MATCH(
                O35,
                INDIRECT("'" &amp; INDEX('Hulp (CAO''s)'!$C$3:$C$6,
                    MATCH(TRUE,'Hulp (CAO''s)'!$D$3:$D$6,0)) &amp; "'!A:A"),
                0
            )) *
            IF(
                P35="",
                1,
                (ROW(INDIRECT("'" &amp; INDEX('Hulp (CAO''s)'!$C$3:$C$6,
                    MATCH(TRUE,'Hulp (CAO''s)'!$D$3:$D$6,0)) &amp; "'!B1:B1000")) &lt; MATCH(
                    P35,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TEXT(O36,"0")) *
                (ROW(INDIRECT("'" &amp; INDEX('Hulp (CAO''s)'!$C$3:$C$6,
                    MATCH(TRUE,'Hulp (CAO''s)'!$D$3:$D$6,0)) &amp; "'!B1:B1000")) &gt; MATCH(
                    O35,
                    INDIRECT("'" &amp; INDEX('Hulp (CAO''s)'!$C$3:$C$6,
                        MATCH(TRUE,'Hulp (CAO''s)'!$D$3:$D$6,0)) &amp; "'!A:A"),
                    0
                )) *
                IF(
                    P35="",
                    1,
                    (ROW(INDIRECT("'" &amp; INDEX('Hulp (CAO''s)'!$C$3:$C$6,
                        MATCH(TRUE,'Hulp (CAO''s)'!$D$3:$D$6,0)) &amp; "'!B1:B1000")) &lt; MATCH(
                        P35,
                        INDIRECT("'" &amp; INDEX('Hulp (CAO''s)'!$C$3:$C$6,
                            MATCH(TRUE,'Hulp (CAO''s)'!$D$3:$D$6,0)) &amp; "'!A:A"),
                        0
                    ))
                ),
                ROW(INDIRECT("'" &amp; INDEX('Hulp (CAO''s)'!$C$3:$C$6,
                    MATCH(TRUE,'Hulp (CAO''s)'!$D$3:$D$6,0)) &amp; "'!B1:B1000"))
            )
        ),0)
    )
)</f>
        <v/>
      </c>
      <c r="P37" s="86" t="str">
        <f t="array" aca="1" ref="P37" ca="1">IF(
    IFERROR(MIN(
        IF(
            (TRIM(INDIRECT("'" &amp; INDEX('Hulp (CAO''s)'!$C$3:$C$6,
                MATCH(TRUE,'Hulp (CAO''s)'!$D$3:$D$6,0)) &amp; "'!B1:B1000")) = TEXT(P36,"0")) *
            (ROW(INDIRECT("'" &amp; INDEX('Hulp (CAO''s)'!$C$3:$C$6,
                MATCH(TRUE,'Hulp (CAO''s)'!$D$3:$D$6,0)) &amp; "'!B1:B1000")) &gt; MATCH(
                P35,
                INDIRECT("'" &amp; INDEX('Hulp (CAO''s)'!$C$3:$C$6,
                    MATCH(TRUE,'Hulp (CAO''s)'!$D$3:$D$6,0)) &amp; "'!A:A"),
                0
            )) *
            IF(
                Q35="",
                1,
                (ROW(INDIRECT("'" &amp; INDEX('Hulp (CAO''s)'!$C$3:$C$6,
                    MATCH(TRUE,'Hulp (CAO''s)'!$D$3:$D$6,0)) &amp; "'!B1:B1000")) &lt; MATCH(
                    Q35,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TEXT(P36,"0")) *
                (ROW(INDIRECT("'" &amp; INDEX('Hulp (CAO''s)'!$C$3:$C$6,
                    MATCH(TRUE,'Hulp (CAO''s)'!$D$3:$D$6,0)) &amp; "'!B1:B1000")) &gt; MATCH(
                    P35,
                    INDIRECT("'" &amp; INDEX('Hulp (CAO''s)'!$C$3:$C$6,
                        MATCH(TRUE,'Hulp (CAO''s)'!$D$3:$D$6,0)) &amp; "'!A:A"),
                    0
                )) *
                IF(
                    Q35="",
                    1,
                    (ROW(INDIRECT("'" &amp; INDEX('Hulp (CAO''s)'!$C$3:$C$6,
                        MATCH(TRUE,'Hulp (CAO''s)'!$D$3:$D$6,0)) &amp; "'!B1:B1000")) &lt; MATCH(
                        Q35,
                        INDIRECT("'" &amp; INDEX('Hulp (CAO''s)'!$C$3:$C$6,
                            MATCH(TRUE,'Hulp (CAO''s)'!$D$3:$D$6,0)) &amp; "'!A:A"),
                        0
                    ))
                ),
                ROW(INDIRECT("'" &amp; INDEX('Hulp (CAO''s)'!$C$3:$C$6,
                    MATCH(TRUE,'Hulp (CAO''s)'!$D$3:$D$6,0)) &amp; "'!B1:B1000"))
            )
        ),0)
    )
)</f>
        <v/>
      </c>
      <c r="Q37" s="86" t="str">
        <f t="array" aca="1" ref="Q37" ca="1">IF(
    IFERROR(MIN(
        IF(
            (TRIM(INDIRECT("'" &amp; INDEX('Hulp (CAO''s)'!$C$3:$C$6,
                MATCH(TRUE,'Hulp (CAO''s)'!$D$3:$D$6,0)) &amp; "'!B1:B1000")) = TEXT(Q36,"0")) *
            (ROW(INDIRECT("'" &amp; INDEX('Hulp (CAO''s)'!$C$3:$C$6,
                MATCH(TRUE,'Hulp (CAO''s)'!$D$3:$D$6,0)) &amp; "'!B1:B1000")) &gt; MATCH(
                Q35,
                INDIRECT("'" &amp; INDEX('Hulp (CAO''s)'!$C$3:$C$6,
                    MATCH(TRUE,'Hulp (CAO''s)'!$D$3:$D$6,0)) &amp; "'!A:A"),
                0
            )) *
            IF(
                R35="",
                1,
                (ROW(INDIRECT("'" &amp; INDEX('Hulp (CAO''s)'!$C$3:$C$6,
                    MATCH(TRUE,'Hulp (CAO''s)'!$D$3:$D$6,0)) &amp; "'!B1:B1000")) &lt; MATCH(
                    R35,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TEXT(Q36,"0")) *
                (ROW(INDIRECT("'" &amp; INDEX('Hulp (CAO''s)'!$C$3:$C$6,
                    MATCH(TRUE,'Hulp (CAO''s)'!$D$3:$D$6,0)) &amp; "'!B1:B1000")) &gt; MATCH(
                    Q35,
                    INDIRECT("'" &amp; INDEX('Hulp (CAO''s)'!$C$3:$C$6,
                        MATCH(TRUE,'Hulp (CAO''s)'!$D$3:$D$6,0)) &amp; "'!A:A"),
                    0
                )) *
                IF(
                    R35="",
                    1,
                    (ROW(INDIRECT("'" &amp; INDEX('Hulp (CAO''s)'!$C$3:$C$6,
                        MATCH(TRUE,'Hulp (CAO''s)'!$D$3:$D$6,0)) &amp; "'!B1:B1000")) &lt; MATCH(
                        R35,
                        INDIRECT("'" &amp; INDEX('Hulp (CAO''s)'!$C$3:$C$6,
                            MATCH(TRUE,'Hulp (CAO''s)'!$D$3:$D$6,0)) &amp; "'!A:A"),
                        0
                    ))
                ),
                ROW(INDIRECT("'" &amp; INDEX('Hulp (CAO''s)'!$C$3:$C$6,
                    MATCH(TRUE,'Hulp (CAO''s)'!$D$3:$D$6,0)) &amp; "'!B1:B1000"))
            )
        ),0)
    )
)</f>
        <v/>
      </c>
      <c r="R37" s="86" t="str">
        <f t="array" aca="1" ref="R37" ca="1">IF(
    IFERROR(MIN(
        IF(
            (TRIM(INDIRECT("'" &amp; INDEX('Hulp (CAO''s)'!$C$3:$C$6,
                MATCH(TRUE,'Hulp (CAO''s)'!$D$3:$D$6,0)) &amp; "'!B1:B1000")) = TEXT(R36,"0")) *
            (ROW(INDIRECT("'" &amp; INDEX('Hulp (CAO''s)'!$C$3:$C$6,
                MATCH(TRUE,'Hulp (CAO''s)'!$D$3:$D$6,0)) &amp; "'!B1:B1000")) &gt; MATCH(
                R35,
                INDIRECT("'" &amp; INDEX('Hulp (CAO''s)'!$C$3:$C$6,
                    MATCH(TRUE,'Hulp (CAO''s)'!$D$3:$D$6,0)) &amp; "'!A:A"),
                0
            )) *
            IF(
                S35="",
                1,
                (ROW(INDIRECT("'" &amp; INDEX('Hulp (CAO''s)'!$C$3:$C$6,
                    MATCH(TRUE,'Hulp (CAO''s)'!$D$3:$D$6,0)) &amp; "'!B1:B1000")) &lt; MATCH(
                    S35,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TEXT(R36,"0")) *
                (ROW(INDIRECT("'" &amp; INDEX('Hulp (CAO''s)'!$C$3:$C$6,
                    MATCH(TRUE,'Hulp (CAO''s)'!$D$3:$D$6,0)) &amp; "'!B1:B1000")) &gt; MATCH(
                    R35,
                    INDIRECT("'" &amp; INDEX('Hulp (CAO''s)'!$C$3:$C$6,
                        MATCH(TRUE,'Hulp (CAO''s)'!$D$3:$D$6,0)) &amp; "'!A:A"),
                    0
                )) *
                IF(
                    S35="",
                    1,
                    (ROW(INDIRECT("'" &amp; INDEX('Hulp (CAO''s)'!$C$3:$C$6,
                        MATCH(TRUE,'Hulp (CAO''s)'!$D$3:$D$6,0)) &amp; "'!B1:B1000")) &lt; MATCH(
                        S35,
                        INDIRECT("'" &amp; INDEX('Hulp (CAO''s)'!$C$3:$C$6,
                            MATCH(TRUE,'Hulp (CAO''s)'!$D$3:$D$6,0)) &amp; "'!A:A"),
                        0
                    ))
                ),
                ROW(INDIRECT("'" &amp; INDEX('Hulp (CAO''s)'!$C$3:$C$6,
                    MATCH(TRUE,'Hulp (CAO''s)'!$D$3:$D$6,0)) &amp; "'!B1:B1000"))
            )
        ),0)
    )
)</f>
        <v/>
      </c>
      <c r="S37" s="86" t="str">
        <f t="array" aca="1" ref="S37" ca="1">IF(
    IFERROR(MIN(
        IF(
            (TRIM(INDIRECT("'" &amp; INDEX('Hulp (CAO''s)'!$C$3:$C$6,
                MATCH(TRUE,'Hulp (CAO''s)'!$D$3:$D$6,0)) &amp; "'!B1:B1000")) = TEXT(S36,"0")) *
            (ROW(INDIRECT("'" &amp; INDEX('Hulp (CAO''s)'!$C$3:$C$6,
                MATCH(TRUE,'Hulp (CAO''s)'!$D$3:$D$6,0)) &amp; "'!B1:B1000")) &gt; MATCH(
                S35,
                INDIRECT("'" &amp; INDEX('Hulp (CAO''s)'!$C$3:$C$6,
                    MATCH(TRUE,'Hulp (CAO''s)'!$D$3:$D$6,0)) &amp; "'!A:A"),
                0
            )) *
            IF(
                T35="",
                1,
                (ROW(INDIRECT("'" &amp; INDEX('Hulp (CAO''s)'!$C$3:$C$6,
                    MATCH(TRUE,'Hulp (CAO''s)'!$D$3:$D$6,0)) &amp; "'!B1:B1000")) &lt; MATCH(
                    T35,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TEXT(S36,"0")) *
                (ROW(INDIRECT("'" &amp; INDEX('Hulp (CAO''s)'!$C$3:$C$6,
                    MATCH(TRUE,'Hulp (CAO''s)'!$D$3:$D$6,0)) &amp; "'!B1:B1000")) &gt; MATCH(
                    S35,
                    INDIRECT("'" &amp; INDEX('Hulp (CAO''s)'!$C$3:$C$6,
                        MATCH(TRUE,'Hulp (CAO''s)'!$D$3:$D$6,0)) &amp; "'!A:A"),
                    0
                )) *
                IF(
                    T35="",
                    1,
                    (ROW(INDIRECT("'" &amp; INDEX('Hulp (CAO''s)'!$C$3:$C$6,
                        MATCH(TRUE,'Hulp (CAO''s)'!$D$3:$D$6,0)) &amp; "'!B1:B1000")) &lt; MATCH(
                        T35,
                        INDIRECT("'" &amp; INDEX('Hulp (CAO''s)'!$C$3:$C$6,
                            MATCH(TRUE,'Hulp (CAO''s)'!$D$3:$D$6,0)) &amp; "'!A:A"),
                        0
                    ))
                ),
                ROW(INDIRECT("'" &amp; INDEX('Hulp (CAO''s)'!$C$3:$C$6,
                    MATCH(TRUE,'Hulp (CAO''s)'!$D$3:$D$6,0)) &amp; "'!B1:B1000"))
            )
        ),0)
    )
)</f>
        <v/>
      </c>
      <c r="T37" s="39" t="str">
        <f t="array" aca="1" ref="T37" ca="1">IF(
    IFERROR(MIN(
        IF(
            (TRIM(INDIRECT("'" &amp; INDEX('Hulp (CAO''s)'!$C$3:$C$6,
                MATCH(TRUE,'Hulp (CAO''s)'!$D$3:$D$6,0)) &amp; "'!B1:B1000")) = TEXT(T36,"0")) *
            (ROW(INDIRECT("'" &amp; INDEX('Hulp (CAO''s)'!$C$3:$C$6,
                MATCH(TRUE,'Hulp (CAO''s)'!$D$3:$D$6,0)) &amp; "'!B1:B1000")) &gt; MATCH(
                T35,
                INDIRECT("'" &amp; INDEX('Hulp (CAO''s)'!$C$3:$C$6,
                    MATCH(TRUE,'Hulp (CAO''s)'!$D$3:$D$6,0)) &amp; "'!A:A"),
                0
            )) *
            IF(
                U35="",
                1,
                (ROW(INDIRECT("'" &amp; INDEX('Hulp (CAO''s)'!$C$3:$C$6,
                    MATCH(TRUE,'Hulp (CAO''s)'!$D$3:$D$6,0)) &amp; "'!B1:B1000")) &lt; MATCH(
                    U35,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TEXT(T36,"0")) *
                (ROW(INDIRECT("'" &amp; INDEX('Hulp (CAO''s)'!$C$3:$C$6,
                    MATCH(TRUE,'Hulp (CAO''s)'!$D$3:$D$6,0)) &amp; "'!B1:B1000")) &gt; MATCH(
                    T35,
                    INDIRECT("'" &amp; INDEX('Hulp (CAO''s)'!$C$3:$C$6,
                        MATCH(TRUE,'Hulp (CAO''s)'!$D$3:$D$6,0)) &amp; "'!A:A"),
                    0
                )) *
                IF(
                    U35="",
                    1,
                    (ROW(INDIRECT("'" &amp; INDEX('Hulp (CAO''s)'!$C$3:$C$6,
                        MATCH(TRUE,'Hulp (CAO''s)'!$D$3:$D$6,0)) &amp; "'!B1:B1000")) &lt; MATCH(
                        U35,
                        INDIRECT("'" &amp; INDEX('Hulp (CAO''s)'!$C$3:$C$6,
                            MATCH(TRUE,'Hulp (CAO''s)'!$D$3:$D$6,0)) &amp; "'!A:A"),
                        0
                    ))
                ),
                ROW(INDIRECT("'" &amp; INDEX('Hulp (CAO''s)'!$C$3:$C$6,
                    MATCH(TRUE,'Hulp (CAO''s)'!$D$3:$D$6,0)) &amp; "'!B1:B1000"))
            )
        ),0)
    )
)</f>
        <v/>
      </c>
      <c r="V37" s="38" t="str">
        <f t="array" aca="1" ref="V37" ca="1">IF(
   SUM(E37:T37)=0,
   "",
   (
      SUMPRODUCT(
         IF(E37:T37="",0,E37:T37),
         IF(E38:T38="",0,E38:T38) * SUM(E38:T38)
      )
   ) *
   IF(
      'Hulp (CAO''s)'!#REF!,
      IF(
         OR(
            INDEX(#REF!, ROW(#REF!) + INT((ROW()-ROW($V$7))/6)*8)="",
            ISNA(INDEX(#REF!, ROW(#REF!) + INT((ROW()-ROW($V$7))/6)*8))
         ),
         1878/12,
         INDEX(#REF!, ROW(#REF!) + INT((ROW()-ROW($V$7))/6)*8)/12
      ),
      1
   )
)</f>
        <v/>
      </c>
    </row>
    <row r="38" spans="2:24" ht="14.65" thickBot="1" x14ac:dyDescent="0.5">
      <c r="B38" s="48" t="s">
        <v>60</v>
      </c>
      <c r="D38" s="24" t="s">
        <v>59</v>
      </c>
      <c r="E38" s="8"/>
      <c r="F38" s="8"/>
      <c r="G38" s="8"/>
      <c r="H38" s="8"/>
      <c r="I38" s="8"/>
      <c r="J38" s="8"/>
      <c r="K38" s="8"/>
      <c r="L38" s="8"/>
      <c r="M38" s="8"/>
      <c r="N38" s="8"/>
      <c r="O38" s="8"/>
      <c r="P38" s="8"/>
      <c r="Q38" s="8"/>
      <c r="R38" s="8"/>
      <c r="S38" s="8"/>
      <c r="T38" s="9"/>
      <c r="U38" s="7"/>
      <c r="V38" s="37" t="str">
        <f ca="1">IF(B35="","",IF(INDIRECT("'Hulp (control forms)'!C" &amp; (13 + INT((ROW()-ROW($B$5))/6))), V36, V37))</f>
        <v/>
      </c>
      <c r="W38" s="7"/>
    </row>
    <row r="39" spans="2:24" x14ac:dyDescent="0.5">
      <c r="S39" s="7" t="str">
        <f>IF($B38="Aandeel in %",
   "Totaal: "&amp;SUM(E38:T38)*100&amp;"%",
   "Totaal: "&amp;SUM(E38:T38)&amp;" uur"
)</f>
        <v>Totaal: 0%</v>
      </c>
      <c r="T39" s="7"/>
    </row>
    <row r="40" spans="2:24" ht="16.149999999999999" thickBot="1" x14ac:dyDescent="0.55000000000000004">
      <c r="B40" s="44" t="str">
        <f ca="1">IF(B41="","",IF(
   OR(
      INDIRECT("'1a. Input organisatieniveau'!N" &amp; (14 + INT((ROW()-4)/6)))="",
      INDIRECT("'1a. Input organisatieniveau'!N" &amp; (14 + INT((ROW()-4)/6)))=0
   ),
   "",
   INDIRECT("'1a. Input organisatieniveau'!N" &amp; (14 + INT((ROW()-4)/6)))
))</f>
        <v/>
      </c>
      <c r="E40" s="61" t="str">
        <f t="shared" ref="E40:T40" ca="1" si="6">IF(AND(AND(E41&lt;&gt;"",E42&lt;&gt;""),E43=""),"!","")</f>
        <v/>
      </c>
      <c r="F40" s="61" t="str">
        <f t="shared" ca="1" si="6"/>
        <v/>
      </c>
      <c r="G40" s="61" t="str">
        <f t="shared" ca="1" si="6"/>
        <v/>
      </c>
      <c r="H40" s="61" t="str">
        <f t="shared" ca="1" si="6"/>
        <v/>
      </c>
      <c r="I40" s="61" t="str">
        <f t="shared" ca="1" si="6"/>
        <v/>
      </c>
      <c r="J40" s="61" t="str">
        <f t="shared" ca="1" si="6"/>
        <v/>
      </c>
      <c r="K40" s="61" t="str">
        <f t="shared" ca="1" si="6"/>
        <v/>
      </c>
      <c r="L40" s="61" t="str">
        <f t="shared" ca="1" si="6"/>
        <v/>
      </c>
      <c r="M40" s="61" t="str">
        <f t="shared" ca="1" si="6"/>
        <v/>
      </c>
      <c r="N40" s="61" t="str">
        <f t="shared" ca="1" si="6"/>
        <v/>
      </c>
      <c r="O40" s="61" t="str">
        <f t="shared" ca="1" si="6"/>
        <v/>
      </c>
      <c r="P40" s="61" t="str">
        <f t="shared" ca="1" si="6"/>
        <v/>
      </c>
      <c r="Q40" s="61" t="str">
        <f t="shared" ca="1" si="6"/>
        <v/>
      </c>
      <c r="R40" s="61" t="str">
        <f t="shared" ca="1" si="6"/>
        <v/>
      </c>
      <c r="S40" s="61" t="str">
        <f t="shared" ca="1" si="6"/>
        <v/>
      </c>
      <c r="T40" s="61" t="str">
        <f t="shared" ca="1" si="6"/>
        <v/>
      </c>
    </row>
    <row r="41" spans="2:24" ht="16.149999999999999" thickBot="1" x14ac:dyDescent="0.55000000000000004">
      <c r="B41" s="45" t="str">
        <f ca="1">IF(
   OR(
      INDIRECT("'1a. Input organisatieniveau'!M" &amp; (14 + INT((ROW()-4)/6)))="",
      INDIRECT("'1a. Input organisatieniveau'!M" &amp; (14 + INT((ROW()-4)/6)))=0
   ),
   "",
   INDIRECT("'1a. Input organisatieniveau'!M" &amp; (14 + INT((ROW()-4)/6)))
)</f>
        <v/>
      </c>
      <c r="D41" s="22" t="s">
        <v>28</v>
      </c>
      <c r="E41" s="10" t="str">
        <f t="array" aca="1" ref="E41" ca="1">IF($B41="", "", INDEX('Hulp (CAO''s)'!J$3:J$6, MATCH(TRUE, 'Hulp (CAO''s)'!$D$3:$D$6, 0)))</f>
        <v/>
      </c>
      <c r="F41" s="10" t="str">
        <f t="array" aca="1" ref="F41" ca="1">IF($B41="", "", INDEX('Hulp (CAO''s)'!K$3:K$6, MATCH(TRUE, 'Hulp (CAO''s)'!$D$3:$D$6, 0)))</f>
        <v/>
      </c>
      <c r="G41" s="10" t="str">
        <f t="array" aca="1" ref="G41" ca="1">IF($B41="", "", INDEX('Hulp (CAO''s)'!L$3:L$6, MATCH(TRUE, 'Hulp (CAO''s)'!$D$3:$D$6, 0)))</f>
        <v/>
      </c>
      <c r="H41" s="10" t="str">
        <f t="array" aca="1" ref="H41" ca="1">IF($B41="", "", INDEX('Hulp (CAO''s)'!M$3:M$6, MATCH(TRUE, 'Hulp (CAO''s)'!$D$3:$D$6, 0)))</f>
        <v/>
      </c>
      <c r="I41" s="10" t="str">
        <f t="array" aca="1" ref="I41" ca="1">IF($B41="", "", INDEX('Hulp (CAO''s)'!N$3:N$6, MATCH(TRUE, 'Hulp (CAO''s)'!$D$3:$D$6, 0)))</f>
        <v/>
      </c>
      <c r="J41" s="10" t="str">
        <f t="array" aca="1" ref="J41" ca="1">IF($B41="", "", INDEX('Hulp (CAO''s)'!O$3:O$6, MATCH(TRUE, 'Hulp (CAO''s)'!$D$3:$D$6, 0)))</f>
        <v/>
      </c>
      <c r="K41" s="10" t="str">
        <f t="array" aca="1" ref="K41" ca="1">IF($B41="", "", INDEX('Hulp (CAO''s)'!P$3:P$6, MATCH(TRUE, 'Hulp (CAO''s)'!$D$3:$D$6, 0)))</f>
        <v/>
      </c>
      <c r="L41" s="10" t="str">
        <f t="array" aca="1" ref="L41" ca="1">IF($B41="", "", INDEX('Hulp (CAO''s)'!Q$3:Q$6, MATCH(TRUE, 'Hulp (CAO''s)'!$D$3:$D$6, 0)))</f>
        <v/>
      </c>
      <c r="M41" s="10" t="str">
        <f t="array" aca="1" ref="M41" ca="1">IF($B41="", "", INDEX('Hulp (CAO''s)'!R$3:R$6, MATCH(TRUE, 'Hulp (CAO''s)'!$D$3:$D$6, 0)))</f>
        <v/>
      </c>
      <c r="N41" s="10" t="str">
        <f t="array" aca="1" ref="N41" ca="1">IF($B41="", "", INDEX('Hulp (CAO''s)'!S$3:S$6, MATCH(TRUE, 'Hulp (CAO''s)'!$D$3:$D$6, 0)))</f>
        <v/>
      </c>
      <c r="O41" s="10" t="str">
        <f t="array" aca="1" ref="O41" ca="1">IF($B41="", "", INDEX('Hulp (CAO''s)'!T$3:T$6, MATCH(TRUE, 'Hulp (CAO''s)'!$D$3:$D$6, 0)))</f>
        <v/>
      </c>
      <c r="P41" s="10" t="str">
        <f t="array" aca="1" ref="P41" ca="1">IF($B41="", "", INDEX('Hulp (CAO''s)'!U$3:U$6, MATCH(TRUE, 'Hulp (CAO''s)'!$D$3:$D$6, 0)))</f>
        <v/>
      </c>
      <c r="Q41" s="10" t="str">
        <f t="array" aca="1" ref="Q41" ca="1">IF($B41="", "", INDEX('Hulp (CAO''s)'!V$3:V$6, MATCH(TRUE, 'Hulp (CAO''s)'!$D$3:$D$6, 0)))</f>
        <v/>
      </c>
      <c r="R41" s="10" t="str">
        <f t="array" aca="1" ref="R41" ca="1">IF($B41="", "", INDEX('Hulp (CAO''s)'!W$3:W$6, MATCH(TRUE, 'Hulp (CAO''s)'!$D$3:$D$6, 0)))</f>
        <v/>
      </c>
      <c r="S41" s="10" t="str">
        <f t="array" aca="1" ref="S41" ca="1">IF($B41="", "", INDEX('Hulp (CAO''s)'!X$3:X$6, MATCH(TRUE, 'Hulp (CAO''s)'!$D$3:$D$6, 0)))</f>
        <v/>
      </c>
      <c r="T41" s="11" t="str">
        <f t="array" aca="1" ref="T41" ca="1">IF($B41="", "", INDEX('Hulp (CAO''s)'!Y$3:Y$6, MATCH(TRUE, 'Hulp (CAO''s)'!$D$3:$D$6, 0)))</f>
        <v/>
      </c>
      <c r="V41" s="25" t="s">
        <v>32</v>
      </c>
      <c r="W41" s="5"/>
    </row>
    <row r="42" spans="2:24" x14ac:dyDescent="0.5">
      <c r="D42" s="23" t="s">
        <v>29</v>
      </c>
      <c r="E42" s="6"/>
      <c r="F42" s="6"/>
      <c r="G42" s="6"/>
      <c r="H42" s="6"/>
      <c r="I42" s="6"/>
      <c r="J42" s="6"/>
      <c r="K42" s="6"/>
      <c r="L42" s="6"/>
      <c r="M42" s="6"/>
      <c r="N42" s="6"/>
      <c r="O42" s="6"/>
      <c r="P42" s="6"/>
      <c r="Q42" s="6"/>
      <c r="R42" s="6"/>
      <c r="S42" s="6"/>
      <c r="T42" s="4"/>
      <c r="V42" s="52">
        <v>4300</v>
      </c>
      <c r="X42" s="60" t="s">
        <v>747</v>
      </c>
    </row>
    <row r="43" spans="2:24" ht="14.65" thickBot="1" x14ac:dyDescent="0.5">
      <c r="B43"/>
      <c r="D43" s="40" t="str">
        <f>IFERROR(
   INDEX('Hulp (CAO''s)'!$I$3:$I$6, MATCH(TRUE, 'Hulp (CAO''s)'!$D$3:$D$6, 0)),
"")</f>
        <v>Bruto maandsalaris</v>
      </c>
      <c r="E43" s="86" t="str">
        <f t="array" aca="1" ref="E43" ca="1">IF(
    IFERROR(MIN(
        IF(
            (TRIM(INDIRECT("'" &amp; INDEX('Hulp (CAO''s)'!$C$3:$C$6,
                MATCH(TRUE,'Hulp (CAO''s)'!$D$3:$D$6,0)) &amp; "'!B1:B1000")) = TEXT(E42,"0")) *
            (ROW(INDIRECT("'" &amp; INDEX('Hulp (CAO''s)'!$C$3:$C$6,
                MATCH(TRUE,'Hulp (CAO''s)'!$D$3:$D$6,0)) &amp; "'!B1:B1000")) &gt; MATCH(
                E41,
                INDIRECT("'" &amp; INDEX('Hulp (CAO''s)'!$C$3:$C$6,
                    MATCH(TRUE,'Hulp (CAO''s)'!$D$3:$D$6,0)) &amp; "'!A:A"),
                0
            )) *
            IF(
                F41="",
                1,
                (ROW(INDIRECT("'" &amp; INDEX('Hulp (CAO''s)'!$C$3:$C$6,
                    MATCH(TRUE,'Hulp (CAO''s)'!$D$3:$D$6,0)) &amp; "'!B1:B1000")) &lt; MATCH(
                    F41,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TEXT(E42,"0")) *
                (ROW(INDIRECT("'" &amp; INDEX('Hulp (CAO''s)'!$C$3:$C$6,
                    MATCH(TRUE,'Hulp (CAO''s)'!$D$3:$D$6,0)) &amp; "'!B1:B1000")) &gt; MATCH(
                    E41,
                    INDIRECT("'" &amp; INDEX('Hulp (CAO''s)'!$C$3:$C$6,
                        MATCH(TRUE,'Hulp (CAO''s)'!$D$3:$D$6,0)) &amp; "'!A:A"),
                    0
                )) *
                IF(
                    F41="",
                    1,
                    (ROW(INDIRECT("'" &amp; INDEX('Hulp (CAO''s)'!$C$3:$C$6,
                        MATCH(TRUE,'Hulp (CAO''s)'!$D$3:$D$6,0)) &amp; "'!B1:B1000")) &lt; MATCH(
                        F41,
                        INDIRECT("'" &amp; INDEX('Hulp (CAO''s)'!$C$3:$C$6,
                            MATCH(TRUE,'Hulp (CAO''s)'!$D$3:$D$6,0)) &amp; "'!A:A"),
                        0
                    ))
                ),
                ROW(INDIRECT("'" &amp; INDEX('Hulp (CAO''s)'!$C$3:$C$6,
                    MATCH(TRUE,'Hulp (CAO''s)'!$D$3:$D$6,0)) &amp; "'!B1:B1000"))
            )
        ),0)
    )
)</f>
        <v/>
      </c>
      <c r="F43" s="86" t="str">
        <f t="array" aca="1" ref="F43" ca="1">IF(
    IFERROR(MIN(
        IF(
            (TRIM(INDIRECT("'" &amp; INDEX('Hulp (CAO''s)'!$C$3:$C$6,
                MATCH(TRUE,'Hulp (CAO''s)'!$D$3:$D$6,0)) &amp; "'!B1:B1000")) = TEXT(F42,"0")) *
            (ROW(INDIRECT("'" &amp; INDEX('Hulp (CAO''s)'!$C$3:$C$6,
                MATCH(TRUE,'Hulp (CAO''s)'!$D$3:$D$6,0)) &amp; "'!B1:B1000")) &gt; MATCH(
                F41,
                INDIRECT("'" &amp; INDEX('Hulp (CAO''s)'!$C$3:$C$6,
                    MATCH(TRUE,'Hulp (CAO''s)'!$D$3:$D$6,0)) &amp; "'!A:A"),
                0
            )) *
            IF(
                G41="",
                1,
                (ROW(INDIRECT("'" &amp; INDEX('Hulp (CAO''s)'!$C$3:$C$6,
                    MATCH(TRUE,'Hulp (CAO''s)'!$D$3:$D$6,0)) &amp; "'!B1:B1000")) &lt; MATCH(
                    G41,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TEXT(F42,"0")) *
                (ROW(INDIRECT("'" &amp; INDEX('Hulp (CAO''s)'!$C$3:$C$6,
                    MATCH(TRUE,'Hulp (CAO''s)'!$D$3:$D$6,0)) &amp; "'!B1:B1000")) &gt; MATCH(
                    F41,
                    INDIRECT("'" &amp; INDEX('Hulp (CAO''s)'!$C$3:$C$6,
                        MATCH(TRUE,'Hulp (CAO''s)'!$D$3:$D$6,0)) &amp; "'!A:A"),
                    0
                )) *
                IF(
                    G41="",
                    1,
                    (ROW(INDIRECT("'" &amp; INDEX('Hulp (CAO''s)'!$C$3:$C$6,
                        MATCH(TRUE,'Hulp (CAO''s)'!$D$3:$D$6,0)) &amp; "'!B1:B1000")) &lt; MATCH(
                        G41,
                        INDIRECT("'" &amp; INDEX('Hulp (CAO''s)'!$C$3:$C$6,
                            MATCH(TRUE,'Hulp (CAO''s)'!$D$3:$D$6,0)) &amp; "'!A:A"),
                        0
                    ))
                ),
                ROW(INDIRECT("'" &amp; INDEX('Hulp (CAO''s)'!$C$3:$C$6,
                    MATCH(TRUE,'Hulp (CAO''s)'!$D$3:$D$6,0)) &amp; "'!B1:B1000"))
            )
        ),0)
    )
)</f>
        <v/>
      </c>
      <c r="G43" s="86" t="str">
        <f t="array" aca="1" ref="G43" ca="1">IF(
    IFERROR(MIN(
        IF(
            (TRIM(INDIRECT("'" &amp; INDEX('Hulp (CAO''s)'!$C$3:$C$6,
                MATCH(TRUE,'Hulp (CAO''s)'!$D$3:$D$6,0)) &amp; "'!B1:B1000")) = TEXT(G42,"0")) *
            (ROW(INDIRECT("'" &amp; INDEX('Hulp (CAO''s)'!$C$3:$C$6,
                MATCH(TRUE,'Hulp (CAO''s)'!$D$3:$D$6,0)) &amp; "'!B1:B1000")) &gt; MATCH(
                G41,
                INDIRECT("'" &amp; INDEX('Hulp (CAO''s)'!$C$3:$C$6,
                    MATCH(TRUE,'Hulp (CAO''s)'!$D$3:$D$6,0)) &amp; "'!A:A"),
                0
            )) *
            IF(
                H41="",
                1,
                (ROW(INDIRECT("'" &amp; INDEX('Hulp (CAO''s)'!$C$3:$C$6,
                    MATCH(TRUE,'Hulp (CAO''s)'!$D$3:$D$6,0)) &amp; "'!B1:B1000")) &lt; MATCH(
                    H41,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TEXT(G42,"0")) *
                (ROW(INDIRECT("'" &amp; INDEX('Hulp (CAO''s)'!$C$3:$C$6,
                    MATCH(TRUE,'Hulp (CAO''s)'!$D$3:$D$6,0)) &amp; "'!B1:B1000")) &gt; MATCH(
                    G41,
                    INDIRECT("'" &amp; INDEX('Hulp (CAO''s)'!$C$3:$C$6,
                        MATCH(TRUE,'Hulp (CAO''s)'!$D$3:$D$6,0)) &amp; "'!A:A"),
                    0
                )) *
                IF(
                    H41="",
                    1,
                    (ROW(INDIRECT("'" &amp; INDEX('Hulp (CAO''s)'!$C$3:$C$6,
                        MATCH(TRUE,'Hulp (CAO''s)'!$D$3:$D$6,0)) &amp; "'!B1:B1000")) &lt; MATCH(
                        H41,
                        INDIRECT("'" &amp; INDEX('Hulp (CAO''s)'!$C$3:$C$6,
                            MATCH(TRUE,'Hulp (CAO''s)'!$D$3:$D$6,0)) &amp; "'!A:A"),
                        0
                    ))
                ),
                ROW(INDIRECT("'" &amp; INDEX('Hulp (CAO''s)'!$C$3:$C$6,
                    MATCH(TRUE,'Hulp (CAO''s)'!$D$3:$D$6,0)) &amp; "'!B1:B1000"))
            )
        ),0)
    )
)</f>
        <v/>
      </c>
      <c r="H43" s="86" t="str">
        <f t="array" aca="1" ref="H43" ca="1">IF(
    IFERROR(MIN(
        IF(
            (TRIM(INDIRECT("'" &amp; INDEX('Hulp (CAO''s)'!$C$3:$C$6,
                MATCH(TRUE,'Hulp (CAO''s)'!$D$3:$D$6,0)) &amp; "'!B1:B1000")) = TEXT(H42,"0")) *
            (ROW(INDIRECT("'" &amp; INDEX('Hulp (CAO''s)'!$C$3:$C$6,
                MATCH(TRUE,'Hulp (CAO''s)'!$D$3:$D$6,0)) &amp; "'!B1:B1000")) &gt; MATCH(
                H41,
                INDIRECT("'" &amp; INDEX('Hulp (CAO''s)'!$C$3:$C$6,
                    MATCH(TRUE,'Hulp (CAO''s)'!$D$3:$D$6,0)) &amp; "'!A:A"),
                0
            )) *
            IF(
                I41="",
                1,
                (ROW(INDIRECT("'" &amp; INDEX('Hulp (CAO''s)'!$C$3:$C$6,
                    MATCH(TRUE,'Hulp (CAO''s)'!$D$3:$D$6,0)) &amp; "'!B1:B1000")) &lt; MATCH(
                    I41,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TEXT(H42,"0")) *
                (ROW(INDIRECT("'" &amp; INDEX('Hulp (CAO''s)'!$C$3:$C$6,
                    MATCH(TRUE,'Hulp (CAO''s)'!$D$3:$D$6,0)) &amp; "'!B1:B1000")) &gt; MATCH(
                    H41,
                    INDIRECT("'" &amp; INDEX('Hulp (CAO''s)'!$C$3:$C$6,
                        MATCH(TRUE,'Hulp (CAO''s)'!$D$3:$D$6,0)) &amp; "'!A:A"),
                    0
                )) *
                IF(
                    I41="",
                    1,
                    (ROW(INDIRECT("'" &amp; INDEX('Hulp (CAO''s)'!$C$3:$C$6,
                        MATCH(TRUE,'Hulp (CAO''s)'!$D$3:$D$6,0)) &amp; "'!B1:B1000")) &lt; MATCH(
                        I41,
                        INDIRECT("'" &amp; INDEX('Hulp (CAO''s)'!$C$3:$C$6,
                            MATCH(TRUE,'Hulp (CAO''s)'!$D$3:$D$6,0)) &amp; "'!A:A"),
                        0
                    ))
                ),
                ROW(INDIRECT("'" &amp; INDEX('Hulp (CAO''s)'!$C$3:$C$6,
                    MATCH(TRUE,'Hulp (CAO''s)'!$D$3:$D$6,0)) &amp; "'!B1:B1000"))
            )
        ),0)
    )
)</f>
        <v/>
      </c>
      <c r="I43" s="86" t="str">
        <f t="array" aca="1" ref="I43" ca="1">IF(
    IFERROR(MIN(
        IF(
            (TRIM(INDIRECT("'" &amp; INDEX('Hulp (CAO''s)'!$C$3:$C$6,
                MATCH(TRUE,'Hulp (CAO''s)'!$D$3:$D$6,0)) &amp; "'!B1:B1000")) = TEXT(I42,"0")) *
            (ROW(INDIRECT("'" &amp; INDEX('Hulp (CAO''s)'!$C$3:$C$6,
                MATCH(TRUE,'Hulp (CAO''s)'!$D$3:$D$6,0)) &amp; "'!B1:B1000")) &gt; MATCH(
                I41,
                INDIRECT("'" &amp; INDEX('Hulp (CAO''s)'!$C$3:$C$6,
                    MATCH(TRUE,'Hulp (CAO''s)'!$D$3:$D$6,0)) &amp; "'!A:A"),
                0
            )) *
            IF(
                J41="",
                1,
                (ROW(INDIRECT("'" &amp; INDEX('Hulp (CAO''s)'!$C$3:$C$6,
                    MATCH(TRUE,'Hulp (CAO''s)'!$D$3:$D$6,0)) &amp; "'!B1:B1000")) &lt; MATCH(
                    J41,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TEXT(I42,"0")) *
                (ROW(INDIRECT("'" &amp; INDEX('Hulp (CAO''s)'!$C$3:$C$6,
                    MATCH(TRUE,'Hulp (CAO''s)'!$D$3:$D$6,0)) &amp; "'!B1:B1000")) &gt; MATCH(
                    I41,
                    INDIRECT("'" &amp; INDEX('Hulp (CAO''s)'!$C$3:$C$6,
                        MATCH(TRUE,'Hulp (CAO''s)'!$D$3:$D$6,0)) &amp; "'!A:A"),
                    0
                )) *
                IF(
                    J41="",
                    1,
                    (ROW(INDIRECT("'" &amp; INDEX('Hulp (CAO''s)'!$C$3:$C$6,
                        MATCH(TRUE,'Hulp (CAO''s)'!$D$3:$D$6,0)) &amp; "'!B1:B1000")) &lt; MATCH(
                        J41,
                        INDIRECT("'" &amp; INDEX('Hulp (CAO''s)'!$C$3:$C$6,
                            MATCH(TRUE,'Hulp (CAO''s)'!$D$3:$D$6,0)) &amp; "'!A:A"),
                        0
                    ))
                ),
                ROW(INDIRECT("'" &amp; INDEX('Hulp (CAO''s)'!$C$3:$C$6,
                    MATCH(TRUE,'Hulp (CAO''s)'!$D$3:$D$6,0)) &amp; "'!B1:B1000"))
            )
        ),0)
    )
)</f>
        <v/>
      </c>
      <c r="J43" s="86" t="str">
        <f t="array" aca="1" ref="J43" ca="1">IF(
    IFERROR(MIN(
        IF(
            (TRIM(INDIRECT("'" &amp; INDEX('Hulp (CAO''s)'!$C$3:$C$6,
                MATCH(TRUE,'Hulp (CAO''s)'!$D$3:$D$6,0)) &amp; "'!B1:B1000")) = TEXT(J42,"0")) *
            (ROW(INDIRECT("'" &amp; INDEX('Hulp (CAO''s)'!$C$3:$C$6,
                MATCH(TRUE,'Hulp (CAO''s)'!$D$3:$D$6,0)) &amp; "'!B1:B1000")) &gt; MATCH(
                J41,
                INDIRECT("'" &amp; INDEX('Hulp (CAO''s)'!$C$3:$C$6,
                    MATCH(TRUE,'Hulp (CAO''s)'!$D$3:$D$6,0)) &amp; "'!A:A"),
                0
            )) *
            IF(
                K41="",
                1,
                (ROW(INDIRECT("'" &amp; INDEX('Hulp (CAO''s)'!$C$3:$C$6,
                    MATCH(TRUE,'Hulp (CAO''s)'!$D$3:$D$6,0)) &amp; "'!B1:B1000")) &lt; MATCH(
                    K41,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TEXT(J42,"0")) *
                (ROW(INDIRECT("'" &amp; INDEX('Hulp (CAO''s)'!$C$3:$C$6,
                    MATCH(TRUE,'Hulp (CAO''s)'!$D$3:$D$6,0)) &amp; "'!B1:B1000")) &gt; MATCH(
                    J41,
                    INDIRECT("'" &amp; INDEX('Hulp (CAO''s)'!$C$3:$C$6,
                        MATCH(TRUE,'Hulp (CAO''s)'!$D$3:$D$6,0)) &amp; "'!A:A"),
                    0
                )) *
                IF(
                    K41="",
                    1,
                    (ROW(INDIRECT("'" &amp; INDEX('Hulp (CAO''s)'!$C$3:$C$6,
                        MATCH(TRUE,'Hulp (CAO''s)'!$D$3:$D$6,0)) &amp; "'!B1:B1000")) &lt; MATCH(
                        K41,
                        INDIRECT("'" &amp; INDEX('Hulp (CAO''s)'!$C$3:$C$6,
                            MATCH(TRUE,'Hulp (CAO''s)'!$D$3:$D$6,0)) &amp; "'!A:A"),
                        0
                    ))
                ),
                ROW(INDIRECT("'" &amp; INDEX('Hulp (CAO''s)'!$C$3:$C$6,
                    MATCH(TRUE,'Hulp (CAO''s)'!$D$3:$D$6,0)) &amp; "'!B1:B1000"))
            )
        ),0)
    )
)</f>
        <v/>
      </c>
      <c r="K43" s="86" t="str">
        <f t="array" aca="1" ref="K43" ca="1">IF(
    IFERROR(MIN(
        IF(
            (TRIM(INDIRECT("'" &amp; INDEX('Hulp (CAO''s)'!$C$3:$C$6,
                MATCH(TRUE,'Hulp (CAO''s)'!$D$3:$D$6,0)) &amp; "'!B1:B1000")) = TEXT(K42,"0")) *
            (ROW(INDIRECT("'" &amp; INDEX('Hulp (CAO''s)'!$C$3:$C$6,
                MATCH(TRUE,'Hulp (CAO''s)'!$D$3:$D$6,0)) &amp; "'!B1:B1000")) &gt; MATCH(
                K41,
                INDIRECT("'" &amp; INDEX('Hulp (CAO''s)'!$C$3:$C$6,
                    MATCH(TRUE,'Hulp (CAO''s)'!$D$3:$D$6,0)) &amp; "'!A:A"),
                0
            )) *
            IF(
                L41="",
                1,
                (ROW(INDIRECT("'" &amp; INDEX('Hulp (CAO''s)'!$C$3:$C$6,
                    MATCH(TRUE,'Hulp (CAO''s)'!$D$3:$D$6,0)) &amp; "'!B1:B1000")) &lt; MATCH(
                    L41,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TEXT(K42,"0")) *
                (ROW(INDIRECT("'" &amp; INDEX('Hulp (CAO''s)'!$C$3:$C$6,
                    MATCH(TRUE,'Hulp (CAO''s)'!$D$3:$D$6,0)) &amp; "'!B1:B1000")) &gt; MATCH(
                    K41,
                    INDIRECT("'" &amp; INDEX('Hulp (CAO''s)'!$C$3:$C$6,
                        MATCH(TRUE,'Hulp (CAO''s)'!$D$3:$D$6,0)) &amp; "'!A:A"),
                    0
                )) *
                IF(
                    L41="",
                    1,
                    (ROW(INDIRECT("'" &amp; INDEX('Hulp (CAO''s)'!$C$3:$C$6,
                        MATCH(TRUE,'Hulp (CAO''s)'!$D$3:$D$6,0)) &amp; "'!B1:B1000")) &lt; MATCH(
                        L41,
                        INDIRECT("'" &amp; INDEX('Hulp (CAO''s)'!$C$3:$C$6,
                            MATCH(TRUE,'Hulp (CAO''s)'!$D$3:$D$6,0)) &amp; "'!A:A"),
                        0
                    ))
                ),
                ROW(INDIRECT("'" &amp; INDEX('Hulp (CAO''s)'!$C$3:$C$6,
                    MATCH(TRUE,'Hulp (CAO''s)'!$D$3:$D$6,0)) &amp; "'!B1:B1000"))
            )
        ),0)
    )
)</f>
        <v/>
      </c>
      <c r="L43" s="86" t="str">
        <f t="array" aca="1" ref="L43" ca="1">IF(
    IFERROR(MIN(
        IF(
            (TRIM(INDIRECT("'" &amp; INDEX('Hulp (CAO''s)'!$C$3:$C$6,
                MATCH(TRUE,'Hulp (CAO''s)'!$D$3:$D$6,0)) &amp; "'!B1:B1000")) = TEXT(L42,"0")) *
            (ROW(INDIRECT("'" &amp; INDEX('Hulp (CAO''s)'!$C$3:$C$6,
                MATCH(TRUE,'Hulp (CAO''s)'!$D$3:$D$6,0)) &amp; "'!B1:B1000")) &gt; MATCH(
                L41,
                INDIRECT("'" &amp; INDEX('Hulp (CAO''s)'!$C$3:$C$6,
                    MATCH(TRUE,'Hulp (CAO''s)'!$D$3:$D$6,0)) &amp; "'!A:A"),
                0
            )) *
            IF(
                M41="",
                1,
                (ROW(INDIRECT("'" &amp; INDEX('Hulp (CAO''s)'!$C$3:$C$6,
                    MATCH(TRUE,'Hulp (CAO''s)'!$D$3:$D$6,0)) &amp; "'!B1:B1000")) &lt; MATCH(
                    M41,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TEXT(L42,"0")) *
                (ROW(INDIRECT("'" &amp; INDEX('Hulp (CAO''s)'!$C$3:$C$6,
                    MATCH(TRUE,'Hulp (CAO''s)'!$D$3:$D$6,0)) &amp; "'!B1:B1000")) &gt; MATCH(
                    L41,
                    INDIRECT("'" &amp; INDEX('Hulp (CAO''s)'!$C$3:$C$6,
                        MATCH(TRUE,'Hulp (CAO''s)'!$D$3:$D$6,0)) &amp; "'!A:A"),
                    0
                )) *
                IF(
                    M41="",
                    1,
                    (ROW(INDIRECT("'" &amp; INDEX('Hulp (CAO''s)'!$C$3:$C$6,
                        MATCH(TRUE,'Hulp (CAO''s)'!$D$3:$D$6,0)) &amp; "'!B1:B1000")) &lt; MATCH(
                        M41,
                        INDIRECT("'" &amp; INDEX('Hulp (CAO''s)'!$C$3:$C$6,
                            MATCH(TRUE,'Hulp (CAO''s)'!$D$3:$D$6,0)) &amp; "'!A:A"),
                        0
                    ))
                ),
                ROW(INDIRECT("'" &amp; INDEX('Hulp (CAO''s)'!$C$3:$C$6,
                    MATCH(TRUE,'Hulp (CAO''s)'!$D$3:$D$6,0)) &amp; "'!B1:B1000"))
            )
        ),0)
    )
)</f>
        <v/>
      </c>
      <c r="M43" s="86" t="str">
        <f t="array" aca="1" ref="M43" ca="1">IF(
    IFERROR(MIN(
        IF(
            (TRIM(INDIRECT("'" &amp; INDEX('Hulp (CAO''s)'!$C$3:$C$6,
                MATCH(TRUE,'Hulp (CAO''s)'!$D$3:$D$6,0)) &amp; "'!B1:B1000")) = TEXT(M42,"0")) *
            (ROW(INDIRECT("'" &amp; INDEX('Hulp (CAO''s)'!$C$3:$C$6,
                MATCH(TRUE,'Hulp (CAO''s)'!$D$3:$D$6,0)) &amp; "'!B1:B1000")) &gt; MATCH(
                M41,
                INDIRECT("'" &amp; INDEX('Hulp (CAO''s)'!$C$3:$C$6,
                    MATCH(TRUE,'Hulp (CAO''s)'!$D$3:$D$6,0)) &amp; "'!A:A"),
                0
            )) *
            IF(
                N41="",
                1,
                (ROW(INDIRECT("'" &amp; INDEX('Hulp (CAO''s)'!$C$3:$C$6,
                    MATCH(TRUE,'Hulp (CAO''s)'!$D$3:$D$6,0)) &amp; "'!B1:B1000")) &lt; MATCH(
                    N41,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TEXT(M42,"0")) *
                (ROW(INDIRECT("'" &amp; INDEX('Hulp (CAO''s)'!$C$3:$C$6,
                    MATCH(TRUE,'Hulp (CAO''s)'!$D$3:$D$6,0)) &amp; "'!B1:B1000")) &gt; MATCH(
                    M41,
                    INDIRECT("'" &amp; INDEX('Hulp (CAO''s)'!$C$3:$C$6,
                        MATCH(TRUE,'Hulp (CAO''s)'!$D$3:$D$6,0)) &amp; "'!A:A"),
                    0
                )) *
                IF(
                    N41="",
                    1,
                    (ROW(INDIRECT("'" &amp; INDEX('Hulp (CAO''s)'!$C$3:$C$6,
                        MATCH(TRUE,'Hulp (CAO''s)'!$D$3:$D$6,0)) &amp; "'!B1:B1000")) &lt; MATCH(
                        N41,
                        INDIRECT("'" &amp; INDEX('Hulp (CAO''s)'!$C$3:$C$6,
                            MATCH(TRUE,'Hulp (CAO''s)'!$D$3:$D$6,0)) &amp; "'!A:A"),
                        0
                    ))
                ),
                ROW(INDIRECT("'" &amp; INDEX('Hulp (CAO''s)'!$C$3:$C$6,
                    MATCH(TRUE,'Hulp (CAO''s)'!$D$3:$D$6,0)) &amp; "'!B1:B1000"))
            )
        ),0)
    )
)</f>
        <v/>
      </c>
      <c r="N43" s="86" t="str">
        <f t="array" aca="1" ref="N43" ca="1">IF(
    IFERROR(MIN(
        IF(
            (TRIM(INDIRECT("'" &amp; INDEX('Hulp (CAO''s)'!$C$3:$C$6,
                MATCH(TRUE,'Hulp (CAO''s)'!$D$3:$D$6,0)) &amp; "'!B1:B1000")) = TEXT(N42,"0")) *
            (ROW(INDIRECT("'" &amp; INDEX('Hulp (CAO''s)'!$C$3:$C$6,
                MATCH(TRUE,'Hulp (CAO''s)'!$D$3:$D$6,0)) &amp; "'!B1:B1000")) &gt; MATCH(
                N41,
                INDIRECT("'" &amp; INDEX('Hulp (CAO''s)'!$C$3:$C$6,
                    MATCH(TRUE,'Hulp (CAO''s)'!$D$3:$D$6,0)) &amp; "'!A:A"),
                0
            )) *
            IF(
                O41="",
                1,
                (ROW(INDIRECT("'" &amp; INDEX('Hulp (CAO''s)'!$C$3:$C$6,
                    MATCH(TRUE,'Hulp (CAO''s)'!$D$3:$D$6,0)) &amp; "'!B1:B1000")) &lt; MATCH(
                    O41,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TEXT(N42,"0")) *
                (ROW(INDIRECT("'" &amp; INDEX('Hulp (CAO''s)'!$C$3:$C$6,
                    MATCH(TRUE,'Hulp (CAO''s)'!$D$3:$D$6,0)) &amp; "'!B1:B1000")) &gt; MATCH(
                    N41,
                    INDIRECT("'" &amp; INDEX('Hulp (CAO''s)'!$C$3:$C$6,
                        MATCH(TRUE,'Hulp (CAO''s)'!$D$3:$D$6,0)) &amp; "'!A:A"),
                    0
                )) *
                IF(
                    O41="",
                    1,
                    (ROW(INDIRECT("'" &amp; INDEX('Hulp (CAO''s)'!$C$3:$C$6,
                        MATCH(TRUE,'Hulp (CAO''s)'!$D$3:$D$6,0)) &amp; "'!B1:B1000")) &lt; MATCH(
                        O41,
                        INDIRECT("'" &amp; INDEX('Hulp (CAO''s)'!$C$3:$C$6,
                            MATCH(TRUE,'Hulp (CAO''s)'!$D$3:$D$6,0)) &amp; "'!A:A"),
                        0
                    ))
                ),
                ROW(INDIRECT("'" &amp; INDEX('Hulp (CAO''s)'!$C$3:$C$6,
                    MATCH(TRUE,'Hulp (CAO''s)'!$D$3:$D$6,0)) &amp; "'!B1:B1000"))
            )
        ),0)
    )
)</f>
        <v/>
      </c>
      <c r="O43" s="86" t="str">
        <f t="array" aca="1" ref="O43" ca="1">IF(
    IFERROR(MIN(
        IF(
            (TRIM(INDIRECT("'" &amp; INDEX('Hulp (CAO''s)'!$C$3:$C$6,
                MATCH(TRUE,'Hulp (CAO''s)'!$D$3:$D$6,0)) &amp; "'!B1:B1000")) = TEXT(O42,"0")) *
            (ROW(INDIRECT("'" &amp; INDEX('Hulp (CAO''s)'!$C$3:$C$6,
                MATCH(TRUE,'Hulp (CAO''s)'!$D$3:$D$6,0)) &amp; "'!B1:B1000")) &gt; MATCH(
                O41,
                INDIRECT("'" &amp; INDEX('Hulp (CAO''s)'!$C$3:$C$6,
                    MATCH(TRUE,'Hulp (CAO''s)'!$D$3:$D$6,0)) &amp; "'!A:A"),
                0
            )) *
            IF(
                P41="",
                1,
                (ROW(INDIRECT("'" &amp; INDEX('Hulp (CAO''s)'!$C$3:$C$6,
                    MATCH(TRUE,'Hulp (CAO''s)'!$D$3:$D$6,0)) &amp; "'!B1:B1000")) &lt; MATCH(
                    P41,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TEXT(O42,"0")) *
                (ROW(INDIRECT("'" &amp; INDEX('Hulp (CAO''s)'!$C$3:$C$6,
                    MATCH(TRUE,'Hulp (CAO''s)'!$D$3:$D$6,0)) &amp; "'!B1:B1000")) &gt; MATCH(
                    O41,
                    INDIRECT("'" &amp; INDEX('Hulp (CAO''s)'!$C$3:$C$6,
                        MATCH(TRUE,'Hulp (CAO''s)'!$D$3:$D$6,0)) &amp; "'!A:A"),
                    0
                )) *
                IF(
                    P41="",
                    1,
                    (ROW(INDIRECT("'" &amp; INDEX('Hulp (CAO''s)'!$C$3:$C$6,
                        MATCH(TRUE,'Hulp (CAO''s)'!$D$3:$D$6,0)) &amp; "'!B1:B1000")) &lt; MATCH(
                        P41,
                        INDIRECT("'" &amp; INDEX('Hulp (CAO''s)'!$C$3:$C$6,
                            MATCH(TRUE,'Hulp (CAO''s)'!$D$3:$D$6,0)) &amp; "'!A:A"),
                        0
                    ))
                ),
                ROW(INDIRECT("'" &amp; INDEX('Hulp (CAO''s)'!$C$3:$C$6,
                    MATCH(TRUE,'Hulp (CAO''s)'!$D$3:$D$6,0)) &amp; "'!B1:B1000"))
            )
        ),0)
    )
)</f>
        <v/>
      </c>
      <c r="P43" s="86" t="str">
        <f t="array" aca="1" ref="P43" ca="1">IF(
    IFERROR(MIN(
        IF(
            (TRIM(INDIRECT("'" &amp; INDEX('Hulp (CAO''s)'!$C$3:$C$6,
                MATCH(TRUE,'Hulp (CAO''s)'!$D$3:$D$6,0)) &amp; "'!B1:B1000")) = TEXT(P42,"0")) *
            (ROW(INDIRECT("'" &amp; INDEX('Hulp (CAO''s)'!$C$3:$C$6,
                MATCH(TRUE,'Hulp (CAO''s)'!$D$3:$D$6,0)) &amp; "'!B1:B1000")) &gt; MATCH(
                P41,
                INDIRECT("'" &amp; INDEX('Hulp (CAO''s)'!$C$3:$C$6,
                    MATCH(TRUE,'Hulp (CAO''s)'!$D$3:$D$6,0)) &amp; "'!A:A"),
                0
            )) *
            IF(
                Q41="",
                1,
                (ROW(INDIRECT("'" &amp; INDEX('Hulp (CAO''s)'!$C$3:$C$6,
                    MATCH(TRUE,'Hulp (CAO''s)'!$D$3:$D$6,0)) &amp; "'!B1:B1000")) &lt; MATCH(
                    Q41,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TEXT(P42,"0")) *
                (ROW(INDIRECT("'" &amp; INDEX('Hulp (CAO''s)'!$C$3:$C$6,
                    MATCH(TRUE,'Hulp (CAO''s)'!$D$3:$D$6,0)) &amp; "'!B1:B1000")) &gt; MATCH(
                    P41,
                    INDIRECT("'" &amp; INDEX('Hulp (CAO''s)'!$C$3:$C$6,
                        MATCH(TRUE,'Hulp (CAO''s)'!$D$3:$D$6,0)) &amp; "'!A:A"),
                    0
                )) *
                IF(
                    Q41="",
                    1,
                    (ROW(INDIRECT("'" &amp; INDEX('Hulp (CAO''s)'!$C$3:$C$6,
                        MATCH(TRUE,'Hulp (CAO''s)'!$D$3:$D$6,0)) &amp; "'!B1:B1000")) &lt; MATCH(
                        Q41,
                        INDIRECT("'" &amp; INDEX('Hulp (CAO''s)'!$C$3:$C$6,
                            MATCH(TRUE,'Hulp (CAO''s)'!$D$3:$D$6,0)) &amp; "'!A:A"),
                        0
                    ))
                ),
                ROW(INDIRECT("'" &amp; INDEX('Hulp (CAO''s)'!$C$3:$C$6,
                    MATCH(TRUE,'Hulp (CAO''s)'!$D$3:$D$6,0)) &amp; "'!B1:B1000"))
            )
        ),0)
    )
)</f>
        <v/>
      </c>
      <c r="Q43" s="86" t="str">
        <f t="array" aca="1" ref="Q43" ca="1">IF(
    IFERROR(MIN(
        IF(
            (TRIM(INDIRECT("'" &amp; INDEX('Hulp (CAO''s)'!$C$3:$C$6,
                MATCH(TRUE,'Hulp (CAO''s)'!$D$3:$D$6,0)) &amp; "'!B1:B1000")) = TEXT(Q42,"0")) *
            (ROW(INDIRECT("'" &amp; INDEX('Hulp (CAO''s)'!$C$3:$C$6,
                MATCH(TRUE,'Hulp (CAO''s)'!$D$3:$D$6,0)) &amp; "'!B1:B1000")) &gt; MATCH(
                Q41,
                INDIRECT("'" &amp; INDEX('Hulp (CAO''s)'!$C$3:$C$6,
                    MATCH(TRUE,'Hulp (CAO''s)'!$D$3:$D$6,0)) &amp; "'!A:A"),
                0
            )) *
            IF(
                R41="",
                1,
                (ROW(INDIRECT("'" &amp; INDEX('Hulp (CAO''s)'!$C$3:$C$6,
                    MATCH(TRUE,'Hulp (CAO''s)'!$D$3:$D$6,0)) &amp; "'!B1:B1000")) &lt; MATCH(
                    R41,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TEXT(Q42,"0")) *
                (ROW(INDIRECT("'" &amp; INDEX('Hulp (CAO''s)'!$C$3:$C$6,
                    MATCH(TRUE,'Hulp (CAO''s)'!$D$3:$D$6,0)) &amp; "'!B1:B1000")) &gt; MATCH(
                    Q41,
                    INDIRECT("'" &amp; INDEX('Hulp (CAO''s)'!$C$3:$C$6,
                        MATCH(TRUE,'Hulp (CAO''s)'!$D$3:$D$6,0)) &amp; "'!A:A"),
                    0
                )) *
                IF(
                    R41="",
                    1,
                    (ROW(INDIRECT("'" &amp; INDEX('Hulp (CAO''s)'!$C$3:$C$6,
                        MATCH(TRUE,'Hulp (CAO''s)'!$D$3:$D$6,0)) &amp; "'!B1:B1000")) &lt; MATCH(
                        R41,
                        INDIRECT("'" &amp; INDEX('Hulp (CAO''s)'!$C$3:$C$6,
                            MATCH(TRUE,'Hulp (CAO''s)'!$D$3:$D$6,0)) &amp; "'!A:A"),
                        0
                    ))
                ),
                ROW(INDIRECT("'" &amp; INDEX('Hulp (CAO''s)'!$C$3:$C$6,
                    MATCH(TRUE,'Hulp (CAO''s)'!$D$3:$D$6,0)) &amp; "'!B1:B1000"))
            )
        ),0)
    )
)</f>
        <v/>
      </c>
      <c r="R43" s="86" t="str">
        <f t="array" aca="1" ref="R43" ca="1">IF(
    IFERROR(MIN(
        IF(
            (TRIM(INDIRECT("'" &amp; INDEX('Hulp (CAO''s)'!$C$3:$C$6,
                MATCH(TRUE,'Hulp (CAO''s)'!$D$3:$D$6,0)) &amp; "'!B1:B1000")) = TEXT(R42,"0")) *
            (ROW(INDIRECT("'" &amp; INDEX('Hulp (CAO''s)'!$C$3:$C$6,
                MATCH(TRUE,'Hulp (CAO''s)'!$D$3:$D$6,0)) &amp; "'!B1:B1000")) &gt; MATCH(
                R41,
                INDIRECT("'" &amp; INDEX('Hulp (CAO''s)'!$C$3:$C$6,
                    MATCH(TRUE,'Hulp (CAO''s)'!$D$3:$D$6,0)) &amp; "'!A:A"),
                0
            )) *
            IF(
                S41="",
                1,
                (ROW(INDIRECT("'" &amp; INDEX('Hulp (CAO''s)'!$C$3:$C$6,
                    MATCH(TRUE,'Hulp (CAO''s)'!$D$3:$D$6,0)) &amp; "'!B1:B1000")) &lt; MATCH(
                    S41,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TEXT(R42,"0")) *
                (ROW(INDIRECT("'" &amp; INDEX('Hulp (CAO''s)'!$C$3:$C$6,
                    MATCH(TRUE,'Hulp (CAO''s)'!$D$3:$D$6,0)) &amp; "'!B1:B1000")) &gt; MATCH(
                    R41,
                    INDIRECT("'" &amp; INDEX('Hulp (CAO''s)'!$C$3:$C$6,
                        MATCH(TRUE,'Hulp (CAO''s)'!$D$3:$D$6,0)) &amp; "'!A:A"),
                    0
                )) *
                IF(
                    S41="",
                    1,
                    (ROW(INDIRECT("'" &amp; INDEX('Hulp (CAO''s)'!$C$3:$C$6,
                        MATCH(TRUE,'Hulp (CAO''s)'!$D$3:$D$6,0)) &amp; "'!B1:B1000")) &lt; MATCH(
                        S41,
                        INDIRECT("'" &amp; INDEX('Hulp (CAO''s)'!$C$3:$C$6,
                            MATCH(TRUE,'Hulp (CAO''s)'!$D$3:$D$6,0)) &amp; "'!A:A"),
                        0
                    ))
                ),
                ROW(INDIRECT("'" &amp; INDEX('Hulp (CAO''s)'!$C$3:$C$6,
                    MATCH(TRUE,'Hulp (CAO''s)'!$D$3:$D$6,0)) &amp; "'!B1:B1000"))
            )
        ),0)
    )
)</f>
        <v/>
      </c>
      <c r="S43" s="86" t="str">
        <f t="array" aca="1" ref="S43" ca="1">IF(
    IFERROR(MIN(
        IF(
            (TRIM(INDIRECT("'" &amp; INDEX('Hulp (CAO''s)'!$C$3:$C$6,
                MATCH(TRUE,'Hulp (CAO''s)'!$D$3:$D$6,0)) &amp; "'!B1:B1000")) = TEXT(S42,"0")) *
            (ROW(INDIRECT("'" &amp; INDEX('Hulp (CAO''s)'!$C$3:$C$6,
                MATCH(TRUE,'Hulp (CAO''s)'!$D$3:$D$6,0)) &amp; "'!B1:B1000")) &gt; MATCH(
                S41,
                INDIRECT("'" &amp; INDEX('Hulp (CAO''s)'!$C$3:$C$6,
                    MATCH(TRUE,'Hulp (CAO''s)'!$D$3:$D$6,0)) &amp; "'!A:A"),
                0
            )) *
            IF(
                T41="",
                1,
                (ROW(INDIRECT("'" &amp; INDEX('Hulp (CAO''s)'!$C$3:$C$6,
                    MATCH(TRUE,'Hulp (CAO''s)'!$D$3:$D$6,0)) &amp; "'!B1:B1000")) &lt; MATCH(
                    T41,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TEXT(S42,"0")) *
                (ROW(INDIRECT("'" &amp; INDEX('Hulp (CAO''s)'!$C$3:$C$6,
                    MATCH(TRUE,'Hulp (CAO''s)'!$D$3:$D$6,0)) &amp; "'!B1:B1000")) &gt; MATCH(
                    S41,
                    INDIRECT("'" &amp; INDEX('Hulp (CAO''s)'!$C$3:$C$6,
                        MATCH(TRUE,'Hulp (CAO''s)'!$D$3:$D$6,0)) &amp; "'!A:A"),
                    0
                )) *
                IF(
                    T41="",
                    1,
                    (ROW(INDIRECT("'" &amp; INDEX('Hulp (CAO''s)'!$C$3:$C$6,
                        MATCH(TRUE,'Hulp (CAO''s)'!$D$3:$D$6,0)) &amp; "'!B1:B1000")) &lt; MATCH(
                        T41,
                        INDIRECT("'" &amp; INDEX('Hulp (CAO''s)'!$C$3:$C$6,
                            MATCH(TRUE,'Hulp (CAO''s)'!$D$3:$D$6,0)) &amp; "'!A:A"),
                        0
                    ))
                ),
                ROW(INDIRECT("'" &amp; INDEX('Hulp (CAO''s)'!$C$3:$C$6,
                    MATCH(TRUE,'Hulp (CAO''s)'!$D$3:$D$6,0)) &amp; "'!B1:B1000"))
            )
        ),0)
    )
)</f>
        <v/>
      </c>
      <c r="T43" s="39" t="str">
        <f t="array" aca="1" ref="T43" ca="1">IF(
    IFERROR(MIN(
        IF(
            (TRIM(INDIRECT("'" &amp; INDEX('Hulp (CAO''s)'!$C$3:$C$6,
                MATCH(TRUE,'Hulp (CAO''s)'!$D$3:$D$6,0)) &amp; "'!B1:B1000")) = TEXT(T42,"0")) *
            (ROW(INDIRECT("'" &amp; INDEX('Hulp (CAO''s)'!$C$3:$C$6,
                MATCH(TRUE,'Hulp (CAO''s)'!$D$3:$D$6,0)) &amp; "'!B1:B1000")) &gt; MATCH(
                T41,
                INDIRECT("'" &amp; INDEX('Hulp (CAO''s)'!$C$3:$C$6,
                    MATCH(TRUE,'Hulp (CAO''s)'!$D$3:$D$6,0)) &amp; "'!A:A"),
                0
            )) *
            IF(
                U41="",
                1,
                (ROW(INDIRECT("'" &amp; INDEX('Hulp (CAO''s)'!$C$3:$C$6,
                    MATCH(TRUE,'Hulp (CAO''s)'!$D$3:$D$6,0)) &amp; "'!B1:B1000")) &lt; MATCH(
                    U41,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TEXT(T42,"0")) *
                (ROW(INDIRECT("'" &amp; INDEX('Hulp (CAO''s)'!$C$3:$C$6,
                    MATCH(TRUE,'Hulp (CAO''s)'!$D$3:$D$6,0)) &amp; "'!B1:B1000")) &gt; MATCH(
                    T41,
                    INDIRECT("'" &amp; INDEX('Hulp (CAO''s)'!$C$3:$C$6,
                        MATCH(TRUE,'Hulp (CAO''s)'!$D$3:$D$6,0)) &amp; "'!A:A"),
                    0
                )) *
                IF(
                    U41="",
                    1,
                    (ROW(INDIRECT("'" &amp; INDEX('Hulp (CAO''s)'!$C$3:$C$6,
                        MATCH(TRUE,'Hulp (CAO''s)'!$D$3:$D$6,0)) &amp; "'!B1:B1000")) &lt; MATCH(
                        U41,
                        INDIRECT("'" &amp; INDEX('Hulp (CAO''s)'!$C$3:$C$6,
                            MATCH(TRUE,'Hulp (CAO''s)'!$D$3:$D$6,0)) &amp; "'!A:A"),
                        0
                    ))
                ),
                ROW(INDIRECT("'" &amp; INDEX('Hulp (CAO''s)'!$C$3:$C$6,
                    MATCH(TRUE,'Hulp (CAO''s)'!$D$3:$D$6,0)) &amp; "'!B1:B1000"))
            )
        ),0)
    )
)</f>
        <v/>
      </c>
      <c r="V43" s="38" t="str">
        <f t="array" aca="1" ref="V43" ca="1">IF(
   SUM(E43:T43)=0,
   "",
   (
      SUMPRODUCT(
         IF(E43:T43="",0,E43:T43),
         IF(E44:T44="",0,E44:T44) * SUM(E44:T44)
      )
   ) *
   IF(
      'Hulp (CAO''s)'!#REF!,
      IF(
         OR(
            INDEX(#REF!, ROW(#REF!) + INT((ROW()-ROW($V$7))/6)*8)="",
            ISNA(INDEX(#REF!, ROW(#REF!) + INT((ROW()-ROW($V$7))/6)*8))
         ),
         1878/12,
         INDEX(#REF!, ROW(#REF!) + INT((ROW()-ROW($V$7))/6)*8)/12
      ),
      1
   )
)</f>
        <v/>
      </c>
    </row>
    <row r="44" spans="2:24" ht="14.65" thickBot="1" x14ac:dyDescent="0.5">
      <c r="B44" s="48" t="s">
        <v>60</v>
      </c>
      <c r="D44" s="24" t="s">
        <v>59</v>
      </c>
      <c r="E44" s="8"/>
      <c r="F44" s="8"/>
      <c r="G44" s="8"/>
      <c r="H44" s="8"/>
      <c r="I44" s="8"/>
      <c r="J44" s="8"/>
      <c r="K44" s="8"/>
      <c r="L44" s="8"/>
      <c r="M44" s="8"/>
      <c r="N44" s="8"/>
      <c r="O44" s="8"/>
      <c r="P44" s="8"/>
      <c r="Q44" s="8"/>
      <c r="R44" s="8"/>
      <c r="S44" s="8"/>
      <c r="T44" s="9"/>
      <c r="U44" s="7"/>
      <c r="V44" s="37" t="str">
        <f ca="1">IF(B41="","",IF(INDIRECT("'Hulp (control forms)'!C" &amp; (13 + INT((ROW()-ROW($B$5))/6))), V42, V43))</f>
        <v/>
      </c>
      <c r="W44" s="7"/>
    </row>
    <row r="45" spans="2:24" x14ac:dyDescent="0.5">
      <c r="S45" s="7" t="str">
        <f>IF($B44="Aandeel in %",
   "Totaal: "&amp;SUM(E44:T44)*100&amp;"%",
   "Totaal: "&amp;SUM(E44:T44)&amp;" uur"
)</f>
        <v>Totaal: 0%</v>
      </c>
      <c r="T45" s="7"/>
    </row>
    <row r="46" spans="2:24" ht="16.149999999999999" thickBot="1" x14ac:dyDescent="0.55000000000000004">
      <c r="B46" s="44" t="str">
        <f ca="1">IF(B47="","",IF(
   OR(
      INDIRECT("'1a. Input organisatieniveau'!N" &amp; (14 + INT((ROW()-4)/6)))="",
      INDIRECT("'1a. Input organisatieniveau'!N" &amp; (14 + INT((ROW()-4)/6)))=0
   ),
   "",
   INDIRECT("'1a. Input organisatieniveau'!N" &amp; (14 + INT((ROW()-4)/6)))
))</f>
        <v/>
      </c>
      <c r="E46" s="61" t="str">
        <f t="shared" ref="E46:T46" ca="1" si="7">IF(AND(AND(E47&lt;&gt;"",E48&lt;&gt;""),E49=""),"!","")</f>
        <v/>
      </c>
      <c r="F46" s="61" t="str">
        <f t="shared" ca="1" si="7"/>
        <v/>
      </c>
      <c r="G46" s="61" t="str">
        <f t="shared" ca="1" si="7"/>
        <v/>
      </c>
      <c r="H46" s="61" t="str">
        <f t="shared" ca="1" si="7"/>
        <v/>
      </c>
      <c r="I46" s="61" t="str">
        <f t="shared" ca="1" si="7"/>
        <v/>
      </c>
      <c r="J46" s="61" t="str">
        <f t="shared" ca="1" si="7"/>
        <v/>
      </c>
      <c r="K46" s="61" t="str">
        <f t="shared" ca="1" si="7"/>
        <v/>
      </c>
      <c r="L46" s="61" t="str">
        <f t="shared" ca="1" si="7"/>
        <v/>
      </c>
      <c r="M46" s="61" t="str">
        <f t="shared" ca="1" si="7"/>
        <v/>
      </c>
      <c r="N46" s="61" t="str">
        <f t="shared" ca="1" si="7"/>
        <v/>
      </c>
      <c r="O46" s="61" t="str">
        <f t="shared" ca="1" si="7"/>
        <v/>
      </c>
      <c r="P46" s="61" t="str">
        <f t="shared" ca="1" si="7"/>
        <v/>
      </c>
      <c r="Q46" s="61" t="str">
        <f t="shared" ca="1" si="7"/>
        <v/>
      </c>
      <c r="R46" s="61" t="str">
        <f t="shared" ca="1" si="7"/>
        <v/>
      </c>
      <c r="S46" s="61" t="str">
        <f t="shared" ca="1" si="7"/>
        <v/>
      </c>
      <c r="T46" s="61" t="str">
        <f t="shared" ca="1" si="7"/>
        <v/>
      </c>
    </row>
    <row r="47" spans="2:24" ht="16.149999999999999" thickBot="1" x14ac:dyDescent="0.55000000000000004">
      <c r="B47" s="45" t="str">
        <f ca="1">IF(
   OR(
      INDIRECT("'1a. Input organisatieniveau'!M" &amp; (14 + INT((ROW()-4)/6)))="",
      INDIRECT("'1a. Input organisatieniveau'!M" &amp; (14 + INT((ROW()-4)/6)))=0
   ),
   "",
   INDIRECT("'1a. Input organisatieniveau'!M" &amp; (14 + INT((ROW()-4)/6)))
)</f>
        <v/>
      </c>
      <c r="D47" s="22" t="s">
        <v>28</v>
      </c>
      <c r="E47" s="10" t="str">
        <f t="array" aca="1" ref="E47" ca="1">IF($B47="", "", INDEX('Hulp (CAO''s)'!J$3:J$6, MATCH(TRUE, 'Hulp (CAO''s)'!$D$3:$D$6, 0)))</f>
        <v/>
      </c>
      <c r="F47" s="10" t="str">
        <f t="array" aca="1" ref="F47" ca="1">IF($B47="", "", INDEX('Hulp (CAO''s)'!K$3:K$6, MATCH(TRUE, 'Hulp (CAO''s)'!$D$3:$D$6, 0)))</f>
        <v/>
      </c>
      <c r="G47" s="10" t="str">
        <f t="array" aca="1" ref="G47" ca="1">IF($B47="", "", INDEX('Hulp (CAO''s)'!L$3:L$6, MATCH(TRUE, 'Hulp (CAO''s)'!$D$3:$D$6, 0)))</f>
        <v/>
      </c>
      <c r="H47" s="10" t="str">
        <f t="array" aca="1" ref="H47" ca="1">IF($B47="", "", INDEX('Hulp (CAO''s)'!M$3:M$6, MATCH(TRUE, 'Hulp (CAO''s)'!$D$3:$D$6, 0)))</f>
        <v/>
      </c>
      <c r="I47" s="10" t="str">
        <f t="array" aca="1" ref="I47" ca="1">IF($B47="", "", INDEX('Hulp (CAO''s)'!N$3:N$6, MATCH(TRUE, 'Hulp (CAO''s)'!$D$3:$D$6, 0)))</f>
        <v/>
      </c>
      <c r="J47" s="10" t="str">
        <f t="array" aca="1" ref="J47" ca="1">IF($B47="", "", INDEX('Hulp (CAO''s)'!O$3:O$6, MATCH(TRUE, 'Hulp (CAO''s)'!$D$3:$D$6, 0)))</f>
        <v/>
      </c>
      <c r="K47" s="10" t="str">
        <f t="array" aca="1" ref="K47" ca="1">IF($B47="", "", INDEX('Hulp (CAO''s)'!P$3:P$6, MATCH(TRUE, 'Hulp (CAO''s)'!$D$3:$D$6, 0)))</f>
        <v/>
      </c>
      <c r="L47" s="10" t="str">
        <f t="array" aca="1" ref="L47" ca="1">IF($B47="", "", INDEX('Hulp (CAO''s)'!Q$3:Q$6, MATCH(TRUE, 'Hulp (CAO''s)'!$D$3:$D$6, 0)))</f>
        <v/>
      </c>
      <c r="M47" s="10" t="str">
        <f t="array" aca="1" ref="M47" ca="1">IF($B47="", "", INDEX('Hulp (CAO''s)'!R$3:R$6, MATCH(TRUE, 'Hulp (CAO''s)'!$D$3:$D$6, 0)))</f>
        <v/>
      </c>
      <c r="N47" s="10" t="str">
        <f t="array" aca="1" ref="N47" ca="1">IF($B47="", "", INDEX('Hulp (CAO''s)'!S$3:S$6, MATCH(TRUE, 'Hulp (CAO''s)'!$D$3:$D$6, 0)))</f>
        <v/>
      </c>
      <c r="O47" s="10" t="str">
        <f t="array" aca="1" ref="O47" ca="1">IF($B47="", "", INDEX('Hulp (CAO''s)'!T$3:T$6, MATCH(TRUE, 'Hulp (CAO''s)'!$D$3:$D$6, 0)))</f>
        <v/>
      </c>
      <c r="P47" s="10" t="str">
        <f t="array" aca="1" ref="P47" ca="1">IF($B47="", "", INDEX('Hulp (CAO''s)'!U$3:U$6, MATCH(TRUE, 'Hulp (CAO''s)'!$D$3:$D$6, 0)))</f>
        <v/>
      </c>
      <c r="Q47" s="10" t="str">
        <f t="array" aca="1" ref="Q47" ca="1">IF($B47="", "", INDEX('Hulp (CAO''s)'!V$3:V$6, MATCH(TRUE, 'Hulp (CAO''s)'!$D$3:$D$6, 0)))</f>
        <v/>
      </c>
      <c r="R47" s="10" t="str">
        <f t="array" aca="1" ref="R47" ca="1">IF($B47="", "", INDEX('Hulp (CAO''s)'!W$3:W$6, MATCH(TRUE, 'Hulp (CAO''s)'!$D$3:$D$6, 0)))</f>
        <v/>
      </c>
      <c r="S47" s="10" t="str">
        <f t="array" aca="1" ref="S47" ca="1">IF($B47="", "", INDEX('Hulp (CAO''s)'!X$3:X$6, MATCH(TRUE, 'Hulp (CAO''s)'!$D$3:$D$6, 0)))</f>
        <v/>
      </c>
      <c r="T47" s="11" t="str">
        <f t="array" aca="1" ref="T47" ca="1">IF($B47="", "", INDEX('Hulp (CAO''s)'!Y$3:Y$6, MATCH(TRUE, 'Hulp (CAO''s)'!$D$3:$D$6, 0)))</f>
        <v/>
      </c>
      <c r="V47" s="25" t="s">
        <v>32</v>
      </c>
      <c r="W47" s="5"/>
    </row>
    <row r="48" spans="2:24" x14ac:dyDescent="0.5">
      <c r="D48" s="23" t="s">
        <v>29</v>
      </c>
      <c r="E48" s="6"/>
      <c r="F48" s="6"/>
      <c r="G48" s="6"/>
      <c r="H48" s="6"/>
      <c r="I48" s="6"/>
      <c r="J48" s="6"/>
      <c r="K48" s="6"/>
      <c r="L48" s="6"/>
      <c r="M48" s="6"/>
      <c r="N48" s="6"/>
      <c r="O48" s="6"/>
      <c r="P48" s="6"/>
      <c r="Q48" s="6"/>
      <c r="R48" s="6"/>
      <c r="S48" s="6"/>
      <c r="T48" s="4"/>
      <c r="V48" s="52">
        <v>4300</v>
      </c>
      <c r="X48" s="60" t="s">
        <v>747</v>
      </c>
    </row>
    <row r="49" spans="2:24" ht="14.65" thickBot="1" x14ac:dyDescent="0.5">
      <c r="B49"/>
      <c r="D49" s="40" t="str">
        <f>IFERROR(
   INDEX('Hulp (CAO''s)'!$I$3:$I$6, MATCH(TRUE, 'Hulp (CAO''s)'!$D$3:$D$6, 0)),
"")</f>
        <v>Bruto maandsalaris</v>
      </c>
      <c r="E49" s="86" t="str">
        <f t="array" aca="1" ref="E49" ca="1">IF(
    IFERROR(MIN(
        IF(
            (TRIM(INDIRECT("'" &amp; INDEX('Hulp (CAO''s)'!$C$3:$C$6,
                MATCH(TRUE,'Hulp (CAO''s)'!$D$3:$D$6,0)) &amp; "'!B1:B1000")) = TEXT(E48,"0")) *
            (ROW(INDIRECT("'" &amp; INDEX('Hulp (CAO''s)'!$C$3:$C$6,
                MATCH(TRUE,'Hulp (CAO''s)'!$D$3:$D$6,0)) &amp; "'!B1:B1000")) &gt; MATCH(
                E47,
                INDIRECT("'" &amp; INDEX('Hulp (CAO''s)'!$C$3:$C$6,
                    MATCH(TRUE,'Hulp (CAO''s)'!$D$3:$D$6,0)) &amp; "'!A:A"),
                0
            )) *
            IF(
                F47="",
                1,
                (ROW(INDIRECT("'" &amp; INDEX('Hulp (CAO''s)'!$C$3:$C$6,
                    MATCH(TRUE,'Hulp (CAO''s)'!$D$3:$D$6,0)) &amp; "'!B1:B1000")) &lt; MATCH(
                    F47,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TEXT(E48,"0")) *
                (ROW(INDIRECT("'" &amp; INDEX('Hulp (CAO''s)'!$C$3:$C$6,
                    MATCH(TRUE,'Hulp (CAO''s)'!$D$3:$D$6,0)) &amp; "'!B1:B1000")) &gt; MATCH(
                    E47,
                    INDIRECT("'" &amp; INDEX('Hulp (CAO''s)'!$C$3:$C$6,
                        MATCH(TRUE,'Hulp (CAO''s)'!$D$3:$D$6,0)) &amp; "'!A:A"),
                    0
                )) *
                IF(
                    F47="",
                    1,
                    (ROW(INDIRECT("'" &amp; INDEX('Hulp (CAO''s)'!$C$3:$C$6,
                        MATCH(TRUE,'Hulp (CAO''s)'!$D$3:$D$6,0)) &amp; "'!B1:B1000")) &lt; MATCH(
                        F47,
                        INDIRECT("'" &amp; INDEX('Hulp (CAO''s)'!$C$3:$C$6,
                            MATCH(TRUE,'Hulp (CAO''s)'!$D$3:$D$6,0)) &amp; "'!A:A"),
                        0
                    ))
                ),
                ROW(INDIRECT("'" &amp; INDEX('Hulp (CAO''s)'!$C$3:$C$6,
                    MATCH(TRUE,'Hulp (CAO''s)'!$D$3:$D$6,0)) &amp; "'!B1:B1000"))
            )
        ),0)
    )
)</f>
        <v/>
      </c>
      <c r="F49" s="86" t="str">
        <f t="array" aca="1" ref="F49" ca="1">IF(
    IFERROR(MIN(
        IF(
            (TRIM(INDIRECT("'" &amp; INDEX('Hulp (CAO''s)'!$C$3:$C$6,
                MATCH(TRUE,'Hulp (CAO''s)'!$D$3:$D$6,0)) &amp; "'!B1:B1000")) = TEXT(F48,"0")) *
            (ROW(INDIRECT("'" &amp; INDEX('Hulp (CAO''s)'!$C$3:$C$6,
                MATCH(TRUE,'Hulp (CAO''s)'!$D$3:$D$6,0)) &amp; "'!B1:B1000")) &gt; MATCH(
                F47,
                INDIRECT("'" &amp; INDEX('Hulp (CAO''s)'!$C$3:$C$6,
                    MATCH(TRUE,'Hulp (CAO''s)'!$D$3:$D$6,0)) &amp; "'!A:A"),
                0
            )) *
            IF(
                G47="",
                1,
                (ROW(INDIRECT("'" &amp; INDEX('Hulp (CAO''s)'!$C$3:$C$6,
                    MATCH(TRUE,'Hulp (CAO''s)'!$D$3:$D$6,0)) &amp; "'!B1:B1000")) &lt; MATCH(
                    G47,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TEXT(F48,"0")) *
                (ROW(INDIRECT("'" &amp; INDEX('Hulp (CAO''s)'!$C$3:$C$6,
                    MATCH(TRUE,'Hulp (CAO''s)'!$D$3:$D$6,0)) &amp; "'!B1:B1000")) &gt; MATCH(
                    F47,
                    INDIRECT("'" &amp; INDEX('Hulp (CAO''s)'!$C$3:$C$6,
                        MATCH(TRUE,'Hulp (CAO''s)'!$D$3:$D$6,0)) &amp; "'!A:A"),
                    0
                )) *
                IF(
                    G47="",
                    1,
                    (ROW(INDIRECT("'" &amp; INDEX('Hulp (CAO''s)'!$C$3:$C$6,
                        MATCH(TRUE,'Hulp (CAO''s)'!$D$3:$D$6,0)) &amp; "'!B1:B1000")) &lt; MATCH(
                        G47,
                        INDIRECT("'" &amp; INDEX('Hulp (CAO''s)'!$C$3:$C$6,
                            MATCH(TRUE,'Hulp (CAO''s)'!$D$3:$D$6,0)) &amp; "'!A:A"),
                        0
                    ))
                ),
                ROW(INDIRECT("'" &amp; INDEX('Hulp (CAO''s)'!$C$3:$C$6,
                    MATCH(TRUE,'Hulp (CAO''s)'!$D$3:$D$6,0)) &amp; "'!B1:B1000"))
            )
        ),0)
    )
)</f>
        <v/>
      </c>
      <c r="G49" s="86" t="str">
        <f t="array" aca="1" ref="G49" ca="1">IF(
    IFERROR(MIN(
        IF(
            (TRIM(INDIRECT("'" &amp; INDEX('Hulp (CAO''s)'!$C$3:$C$6,
                MATCH(TRUE,'Hulp (CAO''s)'!$D$3:$D$6,0)) &amp; "'!B1:B1000")) = TEXT(G48,"0")) *
            (ROW(INDIRECT("'" &amp; INDEX('Hulp (CAO''s)'!$C$3:$C$6,
                MATCH(TRUE,'Hulp (CAO''s)'!$D$3:$D$6,0)) &amp; "'!B1:B1000")) &gt; MATCH(
                G47,
                INDIRECT("'" &amp; INDEX('Hulp (CAO''s)'!$C$3:$C$6,
                    MATCH(TRUE,'Hulp (CAO''s)'!$D$3:$D$6,0)) &amp; "'!A:A"),
                0
            )) *
            IF(
                H47="",
                1,
                (ROW(INDIRECT("'" &amp; INDEX('Hulp (CAO''s)'!$C$3:$C$6,
                    MATCH(TRUE,'Hulp (CAO''s)'!$D$3:$D$6,0)) &amp; "'!B1:B1000")) &lt; MATCH(
                    H47,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TEXT(G48,"0")) *
                (ROW(INDIRECT("'" &amp; INDEX('Hulp (CAO''s)'!$C$3:$C$6,
                    MATCH(TRUE,'Hulp (CAO''s)'!$D$3:$D$6,0)) &amp; "'!B1:B1000")) &gt; MATCH(
                    G47,
                    INDIRECT("'" &amp; INDEX('Hulp (CAO''s)'!$C$3:$C$6,
                        MATCH(TRUE,'Hulp (CAO''s)'!$D$3:$D$6,0)) &amp; "'!A:A"),
                    0
                )) *
                IF(
                    H47="",
                    1,
                    (ROW(INDIRECT("'" &amp; INDEX('Hulp (CAO''s)'!$C$3:$C$6,
                        MATCH(TRUE,'Hulp (CAO''s)'!$D$3:$D$6,0)) &amp; "'!B1:B1000")) &lt; MATCH(
                        H47,
                        INDIRECT("'" &amp; INDEX('Hulp (CAO''s)'!$C$3:$C$6,
                            MATCH(TRUE,'Hulp (CAO''s)'!$D$3:$D$6,0)) &amp; "'!A:A"),
                        0
                    ))
                ),
                ROW(INDIRECT("'" &amp; INDEX('Hulp (CAO''s)'!$C$3:$C$6,
                    MATCH(TRUE,'Hulp (CAO''s)'!$D$3:$D$6,0)) &amp; "'!B1:B1000"))
            )
        ),0)
    )
)</f>
        <v/>
      </c>
      <c r="H49" s="86" t="str">
        <f t="array" aca="1" ref="H49" ca="1">IF(
    IFERROR(MIN(
        IF(
            (TRIM(INDIRECT("'" &amp; INDEX('Hulp (CAO''s)'!$C$3:$C$6,
                MATCH(TRUE,'Hulp (CAO''s)'!$D$3:$D$6,0)) &amp; "'!B1:B1000")) = TEXT(H48,"0")) *
            (ROW(INDIRECT("'" &amp; INDEX('Hulp (CAO''s)'!$C$3:$C$6,
                MATCH(TRUE,'Hulp (CAO''s)'!$D$3:$D$6,0)) &amp; "'!B1:B1000")) &gt; MATCH(
                H47,
                INDIRECT("'" &amp; INDEX('Hulp (CAO''s)'!$C$3:$C$6,
                    MATCH(TRUE,'Hulp (CAO''s)'!$D$3:$D$6,0)) &amp; "'!A:A"),
                0
            )) *
            IF(
                I47="",
                1,
                (ROW(INDIRECT("'" &amp; INDEX('Hulp (CAO''s)'!$C$3:$C$6,
                    MATCH(TRUE,'Hulp (CAO''s)'!$D$3:$D$6,0)) &amp; "'!B1:B1000")) &lt; MATCH(
                    I47,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TEXT(H48,"0")) *
                (ROW(INDIRECT("'" &amp; INDEX('Hulp (CAO''s)'!$C$3:$C$6,
                    MATCH(TRUE,'Hulp (CAO''s)'!$D$3:$D$6,0)) &amp; "'!B1:B1000")) &gt; MATCH(
                    H47,
                    INDIRECT("'" &amp; INDEX('Hulp (CAO''s)'!$C$3:$C$6,
                        MATCH(TRUE,'Hulp (CAO''s)'!$D$3:$D$6,0)) &amp; "'!A:A"),
                    0
                )) *
                IF(
                    I47="",
                    1,
                    (ROW(INDIRECT("'" &amp; INDEX('Hulp (CAO''s)'!$C$3:$C$6,
                        MATCH(TRUE,'Hulp (CAO''s)'!$D$3:$D$6,0)) &amp; "'!B1:B1000")) &lt; MATCH(
                        I47,
                        INDIRECT("'" &amp; INDEX('Hulp (CAO''s)'!$C$3:$C$6,
                            MATCH(TRUE,'Hulp (CAO''s)'!$D$3:$D$6,0)) &amp; "'!A:A"),
                        0
                    ))
                ),
                ROW(INDIRECT("'" &amp; INDEX('Hulp (CAO''s)'!$C$3:$C$6,
                    MATCH(TRUE,'Hulp (CAO''s)'!$D$3:$D$6,0)) &amp; "'!B1:B1000"))
            )
        ),0)
    )
)</f>
        <v/>
      </c>
      <c r="I49" s="86" t="str">
        <f t="array" aca="1" ref="I49" ca="1">IF(
    IFERROR(MIN(
        IF(
            (TRIM(INDIRECT("'" &amp; INDEX('Hulp (CAO''s)'!$C$3:$C$6,
                MATCH(TRUE,'Hulp (CAO''s)'!$D$3:$D$6,0)) &amp; "'!B1:B1000")) = TEXT(I48,"0")) *
            (ROW(INDIRECT("'" &amp; INDEX('Hulp (CAO''s)'!$C$3:$C$6,
                MATCH(TRUE,'Hulp (CAO''s)'!$D$3:$D$6,0)) &amp; "'!B1:B1000")) &gt; MATCH(
                I47,
                INDIRECT("'" &amp; INDEX('Hulp (CAO''s)'!$C$3:$C$6,
                    MATCH(TRUE,'Hulp (CAO''s)'!$D$3:$D$6,0)) &amp; "'!A:A"),
                0
            )) *
            IF(
                J47="",
                1,
                (ROW(INDIRECT("'" &amp; INDEX('Hulp (CAO''s)'!$C$3:$C$6,
                    MATCH(TRUE,'Hulp (CAO''s)'!$D$3:$D$6,0)) &amp; "'!B1:B1000")) &lt; MATCH(
                    J47,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TEXT(I48,"0")) *
                (ROW(INDIRECT("'" &amp; INDEX('Hulp (CAO''s)'!$C$3:$C$6,
                    MATCH(TRUE,'Hulp (CAO''s)'!$D$3:$D$6,0)) &amp; "'!B1:B1000")) &gt; MATCH(
                    I47,
                    INDIRECT("'" &amp; INDEX('Hulp (CAO''s)'!$C$3:$C$6,
                        MATCH(TRUE,'Hulp (CAO''s)'!$D$3:$D$6,0)) &amp; "'!A:A"),
                    0
                )) *
                IF(
                    J47="",
                    1,
                    (ROW(INDIRECT("'" &amp; INDEX('Hulp (CAO''s)'!$C$3:$C$6,
                        MATCH(TRUE,'Hulp (CAO''s)'!$D$3:$D$6,0)) &amp; "'!B1:B1000")) &lt; MATCH(
                        J47,
                        INDIRECT("'" &amp; INDEX('Hulp (CAO''s)'!$C$3:$C$6,
                            MATCH(TRUE,'Hulp (CAO''s)'!$D$3:$D$6,0)) &amp; "'!A:A"),
                        0
                    ))
                ),
                ROW(INDIRECT("'" &amp; INDEX('Hulp (CAO''s)'!$C$3:$C$6,
                    MATCH(TRUE,'Hulp (CAO''s)'!$D$3:$D$6,0)) &amp; "'!B1:B1000"))
            )
        ),0)
    )
)</f>
        <v/>
      </c>
      <c r="J49" s="86" t="str">
        <f t="array" aca="1" ref="J49" ca="1">IF(
    IFERROR(MIN(
        IF(
            (TRIM(INDIRECT("'" &amp; INDEX('Hulp (CAO''s)'!$C$3:$C$6,
                MATCH(TRUE,'Hulp (CAO''s)'!$D$3:$D$6,0)) &amp; "'!B1:B1000")) = TEXT(J48,"0")) *
            (ROW(INDIRECT("'" &amp; INDEX('Hulp (CAO''s)'!$C$3:$C$6,
                MATCH(TRUE,'Hulp (CAO''s)'!$D$3:$D$6,0)) &amp; "'!B1:B1000")) &gt; MATCH(
                J47,
                INDIRECT("'" &amp; INDEX('Hulp (CAO''s)'!$C$3:$C$6,
                    MATCH(TRUE,'Hulp (CAO''s)'!$D$3:$D$6,0)) &amp; "'!A:A"),
                0
            )) *
            IF(
                K47="",
                1,
                (ROW(INDIRECT("'" &amp; INDEX('Hulp (CAO''s)'!$C$3:$C$6,
                    MATCH(TRUE,'Hulp (CAO''s)'!$D$3:$D$6,0)) &amp; "'!B1:B1000")) &lt; MATCH(
                    K47,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TEXT(J48,"0")) *
                (ROW(INDIRECT("'" &amp; INDEX('Hulp (CAO''s)'!$C$3:$C$6,
                    MATCH(TRUE,'Hulp (CAO''s)'!$D$3:$D$6,0)) &amp; "'!B1:B1000")) &gt; MATCH(
                    J47,
                    INDIRECT("'" &amp; INDEX('Hulp (CAO''s)'!$C$3:$C$6,
                        MATCH(TRUE,'Hulp (CAO''s)'!$D$3:$D$6,0)) &amp; "'!A:A"),
                    0
                )) *
                IF(
                    K47="",
                    1,
                    (ROW(INDIRECT("'" &amp; INDEX('Hulp (CAO''s)'!$C$3:$C$6,
                        MATCH(TRUE,'Hulp (CAO''s)'!$D$3:$D$6,0)) &amp; "'!B1:B1000")) &lt; MATCH(
                        K47,
                        INDIRECT("'" &amp; INDEX('Hulp (CAO''s)'!$C$3:$C$6,
                            MATCH(TRUE,'Hulp (CAO''s)'!$D$3:$D$6,0)) &amp; "'!A:A"),
                        0
                    ))
                ),
                ROW(INDIRECT("'" &amp; INDEX('Hulp (CAO''s)'!$C$3:$C$6,
                    MATCH(TRUE,'Hulp (CAO''s)'!$D$3:$D$6,0)) &amp; "'!B1:B1000"))
            )
        ),0)
    )
)</f>
        <v/>
      </c>
      <c r="K49" s="86" t="str">
        <f t="array" aca="1" ref="K49" ca="1">IF(
    IFERROR(MIN(
        IF(
            (TRIM(INDIRECT("'" &amp; INDEX('Hulp (CAO''s)'!$C$3:$C$6,
                MATCH(TRUE,'Hulp (CAO''s)'!$D$3:$D$6,0)) &amp; "'!B1:B1000")) = TEXT(K48,"0")) *
            (ROW(INDIRECT("'" &amp; INDEX('Hulp (CAO''s)'!$C$3:$C$6,
                MATCH(TRUE,'Hulp (CAO''s)'!$D$3:$D$6,0)) &amp; "'!B1:B1000")) &gt; MATCH(
                K47,
                INDIRECT("'" &amp; INDEX('Hulp (CAO''s)'!$C$3:$C$6,
                    MATCH(TRUE,'Hulp (CAO''s)'!$D$3:$D$6,0)) &amp; "'!A:A"),
                0
            )) *
            IF(
                L47="",
                1,
                (ROW(INDIRECT("'" &amp; INDEX('Hulp (CAO''s)'!$C$3:$C$6,
                    MATCH(TRUE,'Hulp (CAO''s)'!$D$3:$D$6,0)) &amp; "'!B1:B1000")) &lt; MATCH(
                    L47,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TEXT(K48,"0")) *
                (ROW(INDIRECT("'" &amp; INDEX('Hulp (CAO''s)'!$C$3:$C$6,
                    MATCH(TRUE,'Hulp (CAO''s)'!$D$3:$D$6,0)) &amp; "'!B1:B1000")) &gt; MATCH(
                    K47,
                    INDIRECT("'" &amp; INDEX('Hulp (CAO''s)'!$C$3:$C$6,
                        MATCH(TRUE,'Hulp (CAO''s)'!$D$3:$D$6,0)) &amp; "'!A:A"),
                    0
                )) *
                IF(
                    L47="",
                    1,
                    (ROW(INDIRECT("'" &amp; INDEX('Hulp (CAO''s)'!$C$3:$C$6,
                        MATCH(TRUE,'Hulp (CAO''s)'!$D$3:$D$6,0)) &amp; "'!B1:B1000")) &lt; MATCH(
                        L47,
                        INDIRECT("'" &amp; INDEX('Hulp (CAO''s)'!$C$3:$C$6,
                            MATCH(TRUE,'Hulp (CAO''s)'!$D$3:$D$6,0)) &amp; "'!A:A"),
                        0
                    ))
                ),
                ROW(INDIRECT("'" &amp; INDEX('Hulp (CAO''s)'!$C$3:$C$6,
                    MATCH(TRUE,'Hulp (CAO''s)'!$D$3:$D$6,0)) &amp; "'!B1:B1000"))
            )
        ),0)
    )
)</f>
        <v/>
      </c>
      <c r="L49" s="86" t="str">
        <f t="array" aca="1" ref="L49" ca="1">IF(
    IFERROR(MIN(
        IF(
            (TRIM(INDIRECT("'" &amp; INDEX('Hulp (CAO''s)'!$C$3:$C$6,
                MATCH(TRUE,'Hulp (CAO''s)'!$D$3:$D$6,0)) &amp; "'!B1:B1000")) = TEXT(L48,"0")) *
            (ROW(INDIRECT("'" &amp; INDEX('Hulp (CAO''s)'!$C$3:$C$6,
                MATCH(TRUE,'Hulp (CAO''s)'!$D$3:$D$6,0)) &amp; "'!B1:B1000")) &gt; MATCH(
                L47,
                INDIRECT("'" &amp; INDEX('Hulp (CAO''s)'!$C$3:$C$6,
                    MATCH(TRUE,'Hulp (CAO''s)'!$D$3:$D$6,0)) &amp; "'!A:A"),
                0
            )) *
            IF(
                M47="",
                1,
                (ROW(INDIRECT("'" &amp; INDEX('Hulp (CAO''s)'!$C$3:$C$6,
                    MATCH(TRUE,'Hulp (CAO''s)'!$D$3:$D$6,0)) &amp; "'!B1:B1000")) &lt; MATCH(
                    M47,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TEXT(L48,"0")) *
                (ROW(INDIRECT("'" &amp; INDEX('Hulp (CAO''s)'!$C$3:$C$6,
                    MATCH(TRUE,'Hulp (CAO''s)'!$D$3:$D$6,0)) &amp; "'!B1:B1000")) &gt; MATCH(
                    L47,
                    INDIRECT("'" &amp; INDEX('Hulp (CAO''s)'!$C$3:$C$6,
                        MATCH(TRUE,'Hulp (CAO''s)'!$D$3:$D$6,0)) &amp; "'!A:A"),
                    0
                )) *
                IF(
                    M47="",
                    1,
                    (ROW(INDIRECT("'" &amp; INDEX('Hulp (CAO''s)'!$C$3:$C$6,
                        MATCH(TRUE,'Hulp (CAO''s)'!$D$3:$D$6,0)) &amp; "'!B1:B1000")) &lt; MATCH(
                        M47,
                        INDIRECT("'" &amp; INDEX('Hulp (CAO''s)'!$C$3:$C$6,
                            MATCH(TRUE,'Hulp (CAO''s)'!$D$3:$D$6,0)) &amp; "'!A:A"),
                        0
                    ))
                ),
                ROW(INDIRECT("'" &amp; INDEX('Hulp (CAO''s)'!$C$3:$C$6,
                    MATCH(TRUE,'Hulp (CAO''s)'!$D$3:$D$6,0)) &amp; "'!B1:B1000"))
            )
        ),0)
    )
)</f>
        <v/>
      </c>
      <c r="M49" s="86" t="str">
        <f t="array" aca="1" ref="M49" ca="1">IF(
    IFERROR(MIN(
        IF(
            (TRIM(INDIRECT("'" &amp; INDEX('Hulp (CAO''s)'!$C$3:$C$6,
                MATCH(TRUE,'Hulp (CAO''s)'!$D$3:$D$6,0)) &amp; "'!B1:B1000")) = TEXT(M48,"0")) *
            (ROW(INDIRECT("'" &amp; INDEX('Hulp (CAO''s)'!$C$3:$C$6,
                MATCH(TRUE,'Hulp (CAO''s)'!$D$3:$D$6,0)) &amp; "'!B1:B1000")) &gt; MATCH(
                M47,
                INDIRECT("'" &amp; INDEX('Hulp (CAO''s)'!$C$3:$C$6,
                    MATCH(TRUE,'Hulp (CAO''s)'!$D$3:$D$6,0)) &amp; "'!A:A"),
                0
            )) *
            IF(
                N47="",
                1,
                (ROW(INDIRECT("'" &amp; INDEX('Hulp (CAO''s)'!$C$3:$C$6,
                    MATCH(TRUE,'Hulp (CAO''s)'!$D$3:$D$6,0)) &amp; "'!B1:B1000")) &lt; MATCH(
                    N47,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TEXT(M48,"0")) *
                (ROW(INDIRECT("'" &amp; INDEX('Hulp (CAO''s)'!$C$3:$C$6,
                    MATCH(TRUE,'Hulp (CAO''s)'!$D$3:$D$6,0)) &amp; "'!B1:B1000")) &gt; MATCH(
                    M47,
                    INDIRECT("'" &amp; INDEX('Hulp (CAO''s)'!$C$3:$C$6,
                        MATCH(TRUE,'Hulp (CAO''s)'!$D$3:$D$6,0)) &amp; "'!A:A"),
                    0
                )) *
                IF(
                    N47="",
                    1,
                    (ROW(INDIRECT("'" &amp; INDEX('Hulp (CAO''s)'!$C$3:$C$6,
                        MATCH(TRUE,'Hulp (CAO''s)'!$D$3:$D$6,0)) &amp; "'!B1:B1000")) &lt; MATCH(
                        N47,
                        INDIRECT("'" &amp; INDEX('Hulp (CAO''s)'!$C$3:$C$6,
                            MATCH(TRUE,'Hulp (CAO''s)'!$D$3:$D$6,0)) &amp; "'!A:A"),
                        0
                    ))
                ),
                ROW(INDIRECT("'" &amp; INDEX('Hulp (CAO''s)'!$C$3:$C$6,
                    MATCH(TRUE,'Hulp (CAO''s)'!$D$3:$D$6,0)) &amp; "'!B1:B1000"))
            )
        ),0)
    )
)</f>
        <v/>
      </c>
      <c r="N49" s="86" t="str">
        <f t="array" aca="1" ref="N49" ca="1">IF(
    IFERROR(MIN(
        IF(
            (TRIM(INDIRECT("'" &amp; INDEX('Hulp (CAO''s)'!$C$3:$C$6,
                MATCH(TRUE,'Hulp (CAO''s)'!$D$3:$D$6,0)) &amp; "'!B1:B1000")) = TEXT(N48,"0")) *
            (ROW(INDIRECT("'" &amp; INDEX('Hulp (CAO''s)'!$C$3:$C$6,
                MATCH(TRUE,'Hulp (CAO''s)'!$D$3:$D$6,0)) &amp; "'!B1:B1000")) &gt; MATCH(
                N47,
                INDIRECT("'" &amp; INDEX('Hulp (CAO''s)'!$C$3:$C$6,
                    MATCH(TRUE,'Hulp (CAO''s)'!$D$3:$D$6,0)) &amp; "'!A:A"),
                0
            )) *
            IF(
                O47="",
                1,
                (ROW(INDIRECT("'" &amp; INDEX('Hulp (CAO''s)'!$C$3:$C$6,
                    MATCH(TRUE,'Hulp (CAO''s)'!$D$3:$D$6,0)) &amp; "'!B1:B1000")) &lt; MATCH(
                    O47,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TEXT(N48,"0")) *
                (ROW(INDIRECT("'" &amp; INDEX('Hulp (CAO''s)'!$C$3:$C$6,
                    MATCH(TRUE,'Hulp (CAO''s)'!$D$3:$D$6,0)) &amp; "'!B1:B1000")) &gt; MATCH(
                    N47,
                    INDIRECT("'" &amp; INDEX('Hulp (CAO''s)'!$C$3:$C$6,
                        MATCH(TRUE,'Hulp (CAO''s)'!$D$3:$D$6,0)) &amp; "'!A:A"),
                    0
                )) *
                IF(
                    O47="",
                    1,
                    (ROW(INDIRECT("'" &amp; INDEX('Hulp (CAO''s)'!$C$3:$C$6,
                        MATCH(TRUE,'Hulp (CAO''s)'!$D$3:$D$6,0)) &amp; "'!B1:B1000")) &lt; MATCH(
                        O47,
                        INDIRECT("'" &amp; INDEX('Hulp (CAO''s)'!$C$3:$C$6,
                            MATCH(TRUE,'Hulp (CAO''s)'!$D$3:$D$6,0)) &amp; "'!A:A"),
                        0
                    ))
                ),
                ROW(INDIRECT("'" &amp; INDEX('Hulp (CAO''s)'!$C$3:$C$6,
                    MATCH(TRUE,'Hulp (CAO''s)'!$D$3:$D$6,0)) &amp; "'!B1:B1000"))
            )
        ),0)
    )
)</f>
        <v/>
      </c>
      <c r="O49" s="86" t="str">
        <f t="array" aca="1" ref="O49" ca="1">IF(
    IFERROR(MIN(
        IF(
            (TRIM(INDIRECT("'" &amp; INDEX('Hulp (CAO''s)'!$C$3:$C$6,
                MATCH(TRUE,'Hulp (CAO''s)'!$D$3:$D$6,0)) &amp; "'!B1:B1000")) = TEXT(O48,"0")) *
            (ROW(INDIRECT("'" &amp; INDEX('Hulp (CAO''s)'!$C$3:$C$6,
                MATCH(TRUE,'Hulp (CAO''s)'!$D$3:$D$6,0)) &amp; "'!B1:B1000")) &gt; MATCH(
                O47,
                INDIRECT("'" &amp; INDEX('Hulp (CAO''s)'!$C$3:$C$6,
                    MATCH(TRUE,'Hulp (CAO''s)'!$D$3:$D$6,0)) &amp; "'!A:A"),
                0
            )) *
            IF(
                P47="",
                1,
                (ROW(INDIRECT("'" &amp; INDEX('Hulp (CAO''s)'!$C$3:$C$6,
                    MATCH(TRUE,'Hulp (CAO''s)'!$D$3:$D$6,0)) &amp; "'!B1:B1000")) &lt; MATCH(
                    P47,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TEXT(O48,"0")) *
                (ROW(INDIRECT("'" &amp; INDEX('Hulp (CAO''s)'!$C$3:$C$6,
                    MATCH(TRUE,'Hulp (CAO''s)'!$D$3:$D$6,0)) &amp; "'!B1:B1000")) &gt; MATCH(
                    O47,
                    INDIRECT("'" &amp; INDEX('Hulp (CAO''s)'!$C$3:$C$6,
                        MATCH(TRUE,'Hulp (CAO''s)'!$D$3:$D$6,0)) &amp; "'!A:A"),
                    0
                )) *
                IF(
                    P47="",
                    1,
                    (ROW(INDIRECT("'" &amp; INDEX('Hulp (CAO''s)'!$C$3:$C$6,
                        MATCH(TRUE,'Hulp (CAO''s)'!$D$3:$D$6,0)) &amp; "'!B1:B1000")) &lt; MATCH(
                        P47,
                        INDIRECT("'" &amp; INDEX('Hulp (CAO''s)'!$C$3:$C$6,
                            MATCH(TRUE,'Hulp (CAO''s)'!$D$3:$D$6,0)) &amp; "'!A:A"),
                        0
                    ))
                ),
                ROW(INDIRECT("'" &amp; INDEX('Hulp (CAO''s)'!$C$3:$C$6,
                    MATCH(TRUE,'Hulp (CAO''s)'!$D$3:$D$6,0)) &amp; "'!B1:B1000"))
            )
        ),0)
    )
)</f>
        <v/>
      </c>
      <c r="P49" s="86" t="str">
        <f t="array" aca="1" ref="P49" ca="1">IF(
    IFERROR(MIN(
        IF(
            (TRIM(INDIRECT("'" &amp; INDEX('Hulp (CAO''s)'!$C$3:$C$6,
                MATCH(TRUE,'Hulp (CAO''s)'!$D$3:$D$6,0)) &amp; "'!B1:B1000")) = TEXT(P48,"0")) *
            (ROW(INDIRECT("'" &amp; INDEX('Hulp (CAO''s)'!$C$3:$C$6,
                MATCH(TRUE,'Hulp (CAO''s)'!$D$3:$D$6,0)) &amp; "'!B1:B1000")) &gt; MATCH(
                P47,
                INDIRECT("'" &amp; INDEX('Hulp (CAO''s)'!$C$3:$C$6,
                    MATCH(TRUE,'Hulp (CAO''s)'!$D$3:$D$6,0)) &amp; "'!A:A"),
                0
            )) *
            IF(
                Q47="",
                1,
                (ROW(INDIRECT("'" &amp; INDEX('Hulp (CAO''s)'!$C$3:$C$6,
                    MATCH(TRUE,'Hulp (CAO''s)'!$D$3:$D$6,0)) &amp; "'!B1:B1000")) &lt; MATCH(
                    Q47,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TEXT(P48,"0")) *
                (ROW(INDIRECT("'" &amp; INDEX('Hulp (CAO''s)'!$C$3:$C$6,
                    MATCH(TRUE,'Hulp (CAO''s)'!$D$3:$D$6,0)) &amp; "'!B1:B1000")) &gt; MATCH(
                    P47,
                    INDIRECT("'" &amp; INDEX('Hulp (CAO''s)'!$C$3:$C$6,
                        MATCH(TRUE,'Hulp (CAO''s)'!$D$3:$D$6,0)) &amp; "'!A:A"),
                    0
                )) *
                IF(
                    Q47="",
                    1,
                    (ROW(INDIRECT("'" &amp; INDEX('Hulp (CAO''s)'!$C$3:$C$6,
                        MATCH(TRUE,'Hulp (CAO''s)'!$D$3:$D$6,0)) &amp; "'!B1:B1000")) &lt; MATCH(
                        Q47,
                        INDIRECT("'" &amp; INDEX('Hulp (CAO''s)'!$C$3:$C$6,
                            MATCH(TRUE,'Hulp (CAO''s)'!$D$3:$D$6,0)) &amp; "'!A:A"),
                        0
                    ))
                ),
                ROW(INDIRECT("'" &amp; INDEX('Hulp (CAO''s)'!$C$3:$C$6,
                    MATCH(TRUE,'Hulp (CAO''s)'!$D$3:$D$6,0)) &amp; "'!B1:B1000"))
            )
        ),0)
    )
)</f>
        <v/>
      </c>
      <c r="Q49" s="86" t="str">
        <f t="array" aca="1" ref="Q49" ca="1">IF(
    IFERROR(MIN(
        IF(
            (TRIM(INDIRECT("'" &amp; INDEX('Hulp (CAO''s)'!$C$3:$C$6,
                MATCH(TRUE,'Hulp (CAO''s)'!$D$3:$D$6,0)) &amp; "'!B1:B1000")) = TEXT(Q48,"0")) *
            (ROW(INDIRECT("'" &amp; INDEX('Hulp (CAO''s)'!$C$3:$C$6,
                MATCH(TRUE,'Hulp (CAO''s)'!$D$3:$D$6,0)) &amp; "'!B1:B1000")) &gt; MATCH(
                Q47,
                INDIRECT("'" &amp; INDEX('Hulp (CAO''s)'!$C$3:$C$6,
                    MATCH(TRUE,'Hulp (CAO''s)'!$D$3:$D$6,0)) &amp; "'!A:A"),
                0
            )) *
            IF(
                R47="",
                1,
                (ROW(INDIRECT("'" &amp; INDEX('Hulp (CAO''s)'!$C$3:$C$6,
                    MATCH(TRUE,'Hulp (CAO''s)'!$D$3:$D$6,0)) &amp; "'!B1:B1000")) &lt; MATCH(
                    R47,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TEXT(Q48,"0")) *
                (ROW(INDIRECT("'" &amp; INDEX('Hulp (CAO''s)'!$C$3:$C$6,
                    MATCH(TRUE,'Hulp (CAO''s)'!$D$3:$D$6,0)) &amp; "'!B1:B1000")) &gt; MATCH(
                    Q47,
                    INDIRECT("'" &amp; INDEX('Hulp (CAO''s)'!$C$3:$C$6,
                        MATCH(TRUE,'Hulp (CAO''s)'!$D$3:$D$6,0)) &amp; "'!A:A"),
                    0
                )) *
                IF(
                    R47="",
                    1,
                    (ROW(INDIRECT("'" &amp; INDEX('Hulp (CAO''s)'!$C$3:$C$6,
                        MATCH(TRUE,'Hulp (CAO''s)'!$D$3:$D$6,0)) &amp; "'!B1:B1000")) &lt; MATCH(
                        R47,
                        INDIRECT("'" &amp; INDEX('Hulp (CAO''s)'!$C$3:$C$6,
                            MATCH(TRUE,'Hulp (CAO''s)'!$D$3:$D$6,0)) &amp; "'!A:A"),
                        0
                    ))
                ),
                ROW(INDIRECT("'" &amp; INDEX('Hulp (CAO''s)'!$C$3:$C$6,
                    MATCH(TRUE,'Hulp (CAO''s)'!$D$3:$D$6,0)) &amp; "'!B1:B1000"))
            )
        ),0)
    )
)</f>
        <v/>
      </c>
      <c r="R49" s="86" t="str">
        <f t="array" aca="1" ref="R49" ca="1">IF(
    IFERROR(MIN(
        IF(
            (TRIM(INDIRECT("'" &amp; INDEX('Hulp (CAO''s)'!$C$3:$C$6,
                MATCH(TRUE,'Hulp (CAO''s)'!$D$3:$D$6,0)) &amp; "'!B1:B1000")) = TEXT(R48,"0")) *
            (ROW(INDIRECT("'" &amp; INDEX('Hulp (CAO''s)'!$C$3:$C$6,
                MATCH(TRUE,'Hulp (CAO''s)'!$D$3:$D$6,0)) &amp; "'!B1:B1000")) &gt; MATCH(
                R47,
                INDIRECT("'" &amp; INDEX('Hulp (CAO''s)'!$C$3:$C$6,
                    MATCH(TRUE,'Hulp (CAO''s)'!$D$3:$D$6,0)) &amp; "'!A:A"),
                0
            )) *
            IF(
                S47="",
                1,
                (ROW(INDIRECT("'" &amp; INDEX('Hulp (CAO''s)'!$C$3:$C$6,
                    MATCH(TRUE,'Hulp (CAO''s)'!$D$3:$D$6,0)) &amp; "'!B1:B1000")) &lt; MATCH(
                    S47,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TEXT(R48,"0")) *
                (ROW(INDIRECT("'" &amp; INDEX('Hulp (CAO''s)'!$C$3:$C$6,
                    MATCH(TRUE,'Hulp (CAO''s)'!$D$3:$D$6,0)) &amp; "'!B1:B1000")) &gt; MATCH(
                    R47,
                    INDIRECT("'" &amp; INDEX('Hulp (CAO''s)'!$C$3:$C$6,
                        MATCH(TRUE,'Hulp (CAO''s)'!$D$3:$D$6,0)) &amp; "'!A:A"),
                    0
                )) *
                IF(
                    S47="",
                    1,
                    (ROW(INDIRECT("'" &amp; INDEX('Hulp (CAO''s)'!$C$3:$C$6,
                        MATCH(TRUE,'Hulp (CAO''s)'!$D$3:$D$6,0)) &amp; "'!B1:B1000")) &lt; MATCH(
                        S47,
                        INDIRECT("'" &amp; INDEX('Hulp (CAO''s)'!$C$3:$C$6,
                            MATCH(TRUE,'Hulp (CAO''s)'!$D$3:$D$6,0)) &amp; "'!A:A"),
                        0
                    ))
                ),
                ROW(INDIRECT("'" &amp; INDEX('Hulp (CAO''s)'!$C$3:$C$6,
                    MATCH(TRUE,'Hulp (CAO''s)'!$D$3:$D$6,0)) &amp; "'!B1:B1000"))
            )
        ),0)
    )
)</f>
        <v/>
      </c>
      <c r="S49" s="86" t="str">
        <f t="array" aca="1" ref="S49" ca="1">IF(
    IFERROR(MIN(
        IF(
            (TRIM(INDIRECT("'" &amp; INDEX('Hulp (CAO''s)'!$C$3:$C$6,
                MATCH(TRUE,'Hulp (CAO''s)'!$D$3:$D$6,0)) &amp; "'!B1:B1000")) = TEXT(S48,"0")) *
            (ROW(INDIRECT("'" &amp; INDEX('Hulp (CAO''s)'!$C$3:$C$6,
                MATCH(TRUE,'Hulp (CAO''s)'!$D$3:$D$6,0)) &amp; "'!B1:B1000")) &gt; MATCH(
                S47,
                INDIRECT("'" &amp; INDEX('Hulp (CAO''s)'!$C$3:$C$6,
                    MATCH(TRUE,'Hulp (CAO''s)'!$D$3:$D$6,0)) &amp; "'!A:A"),
                0
            )) *
            IF(
                T47="",
                1,
                (ROW(INDIRECT("'" &amp; INDEX('Hulp (CAO''s)'!$C$3:$C$6,
                    MATCH(TRUE,'Hulp (CAO''s)'!$D$3:$D$6,0)) &amp; "'!B1:B1000")) &lt; MATCH(
                    T47,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TEXT(S48,"0")) *
                (ROW(INDIRECT("'" &amp; INDEX('Hulp (CAO''s)'!$C$3:$C$6,
                    MATCH(TRUE,'Hulp (CAO''s)'!$D$3:$D$6,0)) &amp; "'!B1:B1000")) &gt; MATCH(
                    S47,
                    INDIRECT("'" &amp; INDEX('Hulp (CAO''s)'!$C$3:$C$6,
                        MATCH(TRUE,'Hulp (CAO''s)'!$D$3:$D$6,0)) &amp; "'!A:A"),
                    0
                )) *
                IF(
                    T47="",
                    1,
                    (ROW(INDIRECT("'" &amp; INDEX('Hulp (CAO''s)'!$C$3:$C$6,
                        MATCH(TRUE,'Hulp (CAO''s)'!$D$3:$D$6,0)) &amp; "'!B1:B1000")) &lt; MATCH(
                        T47,
                        INDIRECT("'" &amp; INDEX('Hulp (CAO''s)'!$C$3:$C$6,
                            MATCH(TRUE,'Hulp (CAO''s)'!$D$3:$D$6,0)) &amp; "'!A:A"),
                        0
                    ))
                ),
                ROW(INDIRECT("'" &amp; INDEX('Hulp (CAO''s)'!$C$3:$C$6,
                    MATCH(TRUE,'Hulp (CAO''s)'!$D$3:$D$6,0)) &amp; "'!B1:B1000"))
            )
        ),0)
    )
)</f>
        <v/>
      </c>
      <c r="T49" s="39" t="str">
        <f t="array" aca="1" ref="T49" ca="1">IF(
    IFERROR(MIN(
        IF(
            (TRIM(INDIRECT("'" &amp; INDEX('Hulp (CAO''s)'!$C$3:$C$6,
                MATCH(TRUE,'Hulp (CAO''s)'!$D$3:$D$6,0)) &amp; "'!B1:B1000")) = TEXT(T48,"0")) *
            (ROW(INDIRECT("'" &amp; INDEX('Hulp (CAO''s)'!$C$3:$C$6,
                MATCH(TRUE,'Hulp (CAO''s)'!$D$3:$D$6,0)) &amp; "'!B1:B1000")) &gt; MATCH(
                T47,
                INDIRECT("'" &amp; INDEX('Hulp (CAO''s)'!$C$3:$C$6,
                    MATCH(TRUE,'Hulp (CAO''s)'!$D$3:$D$6,0)) &amp; "'!A:A"),
                0
            )) *
            IF(
                U47="",
                1,
                (ROW(INDIRECT("'" &amp; INDEX('Hulp (CAO''s)'!$C$3:$C$6,
                    MATCH(TRUE,'Hulp (CAO''s)'!$D$3:$D$6,0)) &amp; "'!B1:B1000")) &lt; MATCH(
                    U47,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TEXT(T48,"0")) *
                (ROW(INDIRECT("'" &amp; INDEX('Hulp (CAO''s)'!$C$3:$C$6,
                    MATCH(TRUE,'Hulp (CAO''s)'!$D$3:$D$6,0)) &amp; "'!B1:B1000")) &gt; MATCH(
                    T47,
                    INDIRECT("'" &amp; INDEX('Hulp (CAO''s)'!$C$3:$C$6,
                        MATCH(TRUE,'Hulp (CAO''s)'!$D$3:$D$6,0)) &amp; "'!A:A"),
                    0
                )) *
                IF(
                    U47="",
                    1,
                    (ROW(INDIRECT("'" &amp; INDEX('Hulp (CAO''s)'!$C$3:$C$6,
                        MATCH(TRUE,'Hulp (CAO''s)'!$D$3:$D$6,0)) &amp; "'!B1:B1000")) &lt; MATCH(
                        U47,
                        INDIRECT("'" &amp; INDEX('Hulp (CAO''s)'!$C$3:$C$6,
                            MATCH(TRUE,'Hulp (CAO''s)'!$D$3:$D$6,0)) &amp; "'!A:A"),
                        0
                    ))
                ),
                ROW(INDIRECT("'" &amp; INDEX('Hulp (CAO''s)'!$C$3:$C$6,
                    MATCH(TRUE,'Hulp (CAO''s)'!$D$3:$D$6,0)) &amp; "'!B1:B1000"))
            )
        ),0)
    )
)</f>
        <v/>
      </c>
      <c r="V49" s="38" t="str">
        <f t="array" aca="1" ref="V49" ca="1">IF(
   SUM(E49:T49)=0,
   "",
   (
      SUMPRODUCT(
         IF(E49:T49="",0,E49:T49),
         IF(E50:T50="",0,E50:T50) * SUM(E50:T50)
      )
   ) *
   IF(
      'Hulp (CAO''s)'!#REF!,
      IF(
         OR(
            INDEX(#REF!, ROW(#REF!) + INT((ROW()-ROW($V$7))/6)*8)="",
            ISNA(INDEX(#REF!, ROW(#REF!) + INT((ROW()-ROW($V$7))/6)*8))
         ),
         1878/12,
         INDEX(#REF!, ROW(#REF!) + INT((ROW()-ROW($V$7))/6)*8)/12
      ),
      1
   )
)</f>
        <v/>
      </c>
    </row>
    <row r="50" spans="2:24" ht="14.65" thickBot="1" x14ac:dyDescent="0.5">
      <c r="B50" s="48" t="s">
        <v>60</v>
      </c>
      <c r="D50" s="24" t="s">
        <v>59</v>
      </c>
      <c r="E50" s="8"/>
      <c r="F50" s="8"/>
      <c r="G50" s="8"/>
      <c r="H50" s="8"/>
      <c r="I50" s="8"/>
      <c r="J50" s="8"/>
      <c r="K50" s="8"/>
      <c r="L50" s="8"/>
      <c r="M50" s="8"/>
      <c r="N50" s="8"/>
      <c r="O50" s="8"/>
      <c r="P50" s="8"/>
      <c r="Q50" s="8"/>
      <c r="R50" s="8"/>
      <c r="S50" s="8"/>
      <c r="T50" s="9"/>
      <c r="U50" s="7"/>
      <c r="V50" s="37" t="str">
        <f ca="1">IF(B47="","",IF(INDIRECT("'Hulp (control forms)'!C" &amp; (13 + INT((ROW()-ROW($B$5))/6))), V48, V49))</f>
        <v/>
      </c>
      <c r="W50" s="7"/>
    </row>
    <row r="51" spans="2:24" x14ac:dyDescent="0.5">
      <c r="S51" s="7" t="str">
        <f>IF($B50="Aandeel in %",
   "Totaal: "&amp;SUM(E50:T50)*100&amp;"%",
   "Totaal: "&amp;SUM(E50:T50)&amp;" uur"
)</f>
        <v>Totaal: 0%</v>
      </c>
      <c r="T51" s="7"/>
    </row>
    <row r="52" spans="2:24" ht="16.149999999999999" thickBot="1" x14ac:dyDescent="0.55000000000000004">
      <c r="B52" s="44" t="str">
        <f ca="1">IF(B53="","",IF(
   OR(
      INDIRECT("'1a. Input organisatieniveau'!N" &amp; (14 + INT((ROW()-4)/6)))="",
      INDIRECT("'1a. Input organisatieniveau'!N" &amp; (14 + INT((ROW()-4)/6)))=0
   ),
   "",
   INDIRECT("'1a. Input organisatieniveau'!N" &amp; (14 + INT((ROW()-4)/6)))
))</f>
        <v/>
      </c>
      <c r="E52" s="61" t="str">
        <f t="shared" ref="E52:T52" ca="1" si="8">IF(AND(AND(E53&lt;&gt;"",E54&lt;&gt;""),E55=""),"!","")</f>
        <v/>
      </c>
      <c r="F52" s="61" t="str">
        <f t="shared" ca="1" si="8"/>
        <v/>
      </c>
      <c r="G52" s="61" t="str">
        <f t="shared" ca="1" si="8"/>
        <v/>
      </c>
      <c r="H52" s="61" t="str">
        <f t="shared" ca="1" si="8"/>
        <v/>
      </c>
      <c r="I52" s="61" t="str">
        <f t="shared" ca="1" si="8"/>
        <v/>
      </c>
      <c r="J52" s="61" t="str">
        <f t="shared" ca="1" si="8"/>
        <v/>
      </c>
      <c r="K52" s="61" t="str">
        <f t="shared" ca="1" si="8"/>
        <v/>
      </c>
      <c r="L52" s="61" t="str">
        <f t="shared" ca="1" si="8"/>
        <v/>
      </c>
      <c r="M52" s="61" t="str">
        <f t="shared" ca="1" si="8"/>
        <v/>
      </c>
      <c r="N52" s="61" t="str">
        <f t="shared" ca="1" si="8"/>
        <v/>
      </c>
      <c r="O52" s="61" t="str">
        <f t="shared" ca="1" si="8"/>
        <v/>
      </c>
      <c r="P52" s="61" t="str">
        <f t="shared" ca="1" si="8"/>
        <v/>
      </c>
      <c r="Q52" s="61" t="str">
        <f t="shared" ca="1" si="8"/>
        <v/>
      </c>
      <c r="R52" s="61" t="str">
        <f t="shared" ca="1" si="8"/>
        <v/>
      </c>
      <c r="S52" s="61" t="str">
        <f t="shared" ca="1" si="8"/>
        <v/>
      </c>
      <c r="T52" s="61" t="str">
        <f t="shared" ca="1" si="8"/>
        <v/>
      </c>
    </row>
    <row r="53" spans="2:24" ht="16.149999999999999" thickBot="1" x14ac:dyDescent="0.55000000000000004">
      <c r="B53" s="45" t="str">
        <f ca="1">IF(
   OR(
      INDIRECT("'1a. Input organisatieniveau'!M" &amp; (14 + INT((ROW()-4)/6)))="",
      INDIRECT("'1a. Input organisatieniveau'!M" &amp; (14 + INT((ROW()-4)/6)))=0
   ),
   "",
   INDIRECT("'1a. Input organisatieniveau'!M" &amp; (14 + INT((ROW()-4)/6)))
)</f>
        <v/>
      </c>
      <c r="D53" s="22" t="s">
        <v>28</v>
      </c>
      <c r="E53" s="10" t="str">
        <f t="array" aca="1" ref="E53" ca="1">IF($B53="", "", INDEX('Hulp (CAO''s)'!J$3:J$6, MATCH(TRUE, 'Hulp (CAO''s)'!$D$3:$D$6, 0)))</f>
        <v/>
      </c>
      <c r="F53" s="10" t="str">
        <f t="array" aca="1" ref="F53" ca="1">IF($B53="", "", INDEX('Hulp (CAO''s)'!K$3:K$6, MATCH(TRUE, 'Hulp (CAO''s)'!$D$3:$D$6, 0)))</f>
        <v/>
      </c>
      <c r="G53" s="10" t="str">
        <f t="array" aca="1" ref="G53" ca="1">IF($B53="", "", INDEX('Hulp (CAO''s)'!L$3:L$6, MATCH(TRUE, 'Hulp (CAO''s)'!$D$3:$D$6, 0)))</f>
        <v/>
      </c>
      <c r="H53" s="10" t="str">
        <f t="array" aca="1" ref="H53" ca="1">IF($B53="", "", INDEX('Hulp (CAO''s)'!M$3:M$6, MATCH(TRUE, 'Hulp (CAO''s)'!$D$3:$D$6, 0)))</f>
        <v/>
      </c>
      <c r="I53" s="10" t="str">
        <f t="array" aca="1" ref="I53" ca="1">IF($B53="", "", INDEX('Hulp (CAO''s)'!N$3:N$6, MATCH(TRUE, 'Hulp (CAO''s)'!$D$3:$D$6, 0)))</f>
        <v/>
      </c>
      <c r="J53" s="10" t="str">
        <f t="array" aca="1" ref="J53" ca="1">IF($B53="", "", INDEX('Hulp (CAO''s)'!O$3:O$6, MATCH(TRUE, 'Hulp (CAO''s)'!$D$3:$D$6, 0)))</f>
        <v/>
      </c>
      <c r="K53" s="10" t="str">
        <f t="array" aca="1" ref="K53" ca="1">IF($B53="", "", INDEX('Hulp (CAO''s)'!P$3:P$6, MATCH(TRUE, 'Hulp (CAO''s)'!$D$3:$D$6, 0)))</f>
        <v/>
      </c>
      <c r="L53" s="10" t="str">
        <f t="array" aca="1" ref="L53" ca="1">IF($B53="", "", INDEX('Hulp (CAO''s)'!Q$3:Q$6, MATCH(TRUE, 'Hulp (CAO''s)'!$D$3:$D$6, 0)))</f>
        <v/>
      </c>
      <c r="M53" s="10" t="str">
        <f t="array" aca="1" ref="M53" ca="1">IF($B53="", "", INDEX('Hulp (CAO''s)'!R$3:R$6, MATCH(TRUE, 'Hulp (CAO''s)'!$D$3:$D$6, 0)))</f>
        <v/>
      </c>
      <c r="N53" s="10" t="str">
        <f t="array" aca="1" ref="N53" ca="1">IF($B53="", "", INDEX('Hulp (CAO''s)'!S$3:S$6, MATCH(TRUE, 'Hulp (CAO''s)'!$D$3:$D$6, 0)))</f>
        <v/>
      </c>
      <c r="O53" s="10" t="str">
        <f t="array" aca="1" ref="O53" ca="1">IF($B53="", "", INDEX('Hulp (CAO''s)'!T$3:T$6, MATCH(TRUE, 'Hulp (CAO''s)'!$D$3:$D$6, 0)))</f>
        <v/>
      </c>
      <c r="P53" s="10" t="str">
        <f t="array" aca="1" ref="P53" ca="1">IF($B53="", "", INDEX('Hulp (CAO''s)'!U$3:U$6, MATCH(TRUE, 'Hulp (CAO''s)'!$D$3:$D$6, 0)))</f>
        <v/>
      </c>
      <c r="Q53" s="10" t="str">
        <f t="array" aca="1" ref="Q53" ca="1">IF($B53="", "", INDEX('Hulp (CAO''s)'!V$3:V$6, MATCH(TRUE, 'Hulp (CAO''s)'!$D$3:$D$6, 0)))</f>
        <v/>
      </c>
      <c r="R53" s="10" t="str">
        <f t="array" aca="1" ref="R53" ca="1">IF($B53="", "", INDEX('Hulp (CAO''s)'!W$3:W$6, MATCH(TRUE, 'Hulp (CAO''s)'!$D$3:$D$6, 0)))</f>
        <v/>
      </c>
      <c r="S53" s="10" t="str">
        <f t="array" aca="1" ref="S53" ca="1">IF($B53="", "", INDEX('Hulp (CAO''s)'!X$3:X$6, MATCH(TRUE, 'Hulp (CAO''s)'!$D$3:$D$6, 0)))</f>
        <v/>
      </c>
      <c r="T53" s="11" t="str">
        <f t="array" aca="1" ref="T53" ca="1">IF($B53="", "", INDEX('Hulp (CAO''s)'!Y$3:Y$6, MATCH(TRUE, 'Hulp (CAO''s)'!$D$3:$D$6, 0)))</f>
        <v/>
      </c>
      <c r="V53" s="25" t="s">
        <v>32</v>
      </c>
      <c r="W53" s="5"/>
    </row>
    <row r="54" spans="2:24" x14ac:dyDescent="0.5">
      <c r="D54" s="23" t="s">
        <v>29</v>
      </c>
      <c r="E54" s="6"/>
      <c r="F54" s="6"/>
      <c r="G54" s="6"/>
      <c r="H54" s="6"/>
      <c r="I54" s="6"/>
      <c r="J54" s="6"/>
      <c r="K54" s="6"/>
      <c r="L54" s="6"/>
      <c r="M54" s="6"/>
      <c r="N54" s="6"/>
      <c r="O54" s="6"/>
      <c r="P54" s="6"/>
      <c r="Q54" s="6"/>
      <c r="R54" s="6"/>
      <c r="S54" s="6"/>
      <c r="T54" s="4"/>
      <c r="V54" s="52">
        <v>4300</v>
      </c>
      <c r="X54" s="60" t="s">
        <v>747</v>
      </c>
    </row>
    <row r="55" spans="2:24" ht="14.65" thickBot="1" x14ac:dyDescent="0.5">
      <c r="B55"/>
      <c r="D55" s="40" t="str">
        <f>IFERROR(
   INDEX('Hulp (CAO''s)'!$I$3:$I$6, MATCH(TRUE, 'Hulp (CAO''s)'!$D$3:$D$6, 0)),
"")</f>
        <v>Bruto maandsalaris</v>
      </c>
      <c r="E55" s="86" t="str">
        <f t="array" aca="1" ref="E55" ca="1">IF(
    IFERROR(MIN(
        IF(
            (TRIM(INDIRECT("'" &amp; INDEX('Hulp (CAO''s)'!$C$3:$C$6,
                MATCH(TRUE,'Hulp (CAO''s)'!$D$3:$D$6,0)) &amp; "'!B1:B1000")) = TEXT(E54,"0")) *
            (ROW(INDIRECT("'" &amp; INDEX('Hulp (CAO''s)'!$C$3:$C$6,
                MATCH(TRUE,'Hulp (CAO''s)'!$D$3:$D$6,0)) &amp; "'!B1:B1000")) &gt; MATCH(
                E53,
                INDIRECT("'" &amp; INDEX('Hulp (CAO''s)'!$C$3:$C$6,
                    MATCH(TRUE,'Hulp (CAO''s)'!$D$3:$D$6,0)) &amp; "'!A:A"),
                0
            )) *
            IF(
                F53="",
                1,
                (ROW(INDIRECT("'" &amp; INDEX('Hulp (CAO''s)'!$C$3:$C$6,
                    MATCH(TRUE,'Hulp (CAO''s)'!$D$3:$D$6,0)) &amp; "'!B1:B1000")) &lt; MATCH(
                    F53,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TEXT(E54,"0")) *
                (ROW(INDIRECT("'" &amp; INDEX('Hulp (CAO''s)'!$C$3:$C$6,
                    MATCH(TRUE,'Hulp (CAO''s)'!$D$3:$D$6,0)) &amp; "'!B1:B1000")) &gt; MATCH(
                    E53,
                    INDIRECT("'" &amp; INDEX('Hulp (CAO''s)'!$C$3:$C$6,
                        MATCH(TRUE,'Hulp (CAO''s)'!$D$3:$D$6,0)) &amp; "'!A:A"),
                    0
                )) *
                IF(
                    F53="",
                    1,
                    (ROW(INDIRECT("'" &amp; INDEX('Hulp (CAO''s)'!$C$3:$C$6,
                        MATCH(TRUE,'Hulp (CAO''s)'!$D$3:$D$6,0)) &amp; "'!B1:B1000")) &lt; MATCH(
                        F53,
                        INDIRECT("'" &amp; INDEX('Hulp (CAO''s)'!$C$3:$C$6,
                            MATCH(TRUE,'Hulp (CAO''s)'!$D$3:$D$6,0)) &amp; "'!A:A"),
                        0
                    ))
                ),
                ROW(INDIRECT("'" &amp; INDEX('Hulp (CAO''s)'!$C$3:$C$6,
                    MATCH(TRUE,'Hulp (CAO''s)'!$D$3:$D$6,0)) &amp; "'!B1:B1000"))
            )
        ),0)
    )
)</f>
        <v/>
      </c>
      <c r="F55" s="86" t="str">
        <f t="array" aca="1" ref="F55" ca="1">IF(
    IFERROR(MIN(
        IF(
            (TRIM(INDIRECT("'" &amp; INDEX('Hulp (CAO''s)'!$C$3:$C$6,
                MATCH(TRUE,'Hulp (CAO''s)'!$D$3:$D$6,0)) &amp; "'!B1:B1000")) = TEXT(F54,"0")) *
            (ROW(INDIRECT("'" &amp; INDEX('Hulp (CAO''s)'!$C$3:$C$6,
                MATCH(TRUE,'Hulp (CAO''s)'!$D$3:$D$6,0)) &amp; "'!B1:B1000")) &gt; MATCH(
                F53,
                INDIRECT("'" &amp; INDEX('Hulp (CAO''s)'!$C$3:$C$6,
                    MATCH(TRUE,'Hulp (CAO''s)'!$D$3:$D$6,0)) &amp; "'!A:A"),
                0
            )) *
            IF(
                G53="",
                1,
                (ROW(INDIRECT("'" &amp; INDEX('Hulp (CAO''s)'!$C$3:$C$6,
                    MATCH(TRUE,'Hulp (CAO''s)'!$D$3:$D$6,0)) &amp; "'!B1:B1000")) &lt; MATCH(
                    G53,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TEXT(F54,"0")) *
                (ROW(INDIRECT("'" &amp; INDEX('Hulp (CAO''s)'!$C$3:$C$6,
                    MATCH(TRUE,'Hulp (CAO''s)'!$D$3:$D$6,0)) &amp; "'!B1:B1000")) &gt; MATCH(
                    F53,
                    INDIRECT("'" &amp; INDEX('Hulp (CAO''s)'!$C$3:$C$6,
                        MATCH(TRUE,'Hulp (CAO''s)'!$D$3:$D$6,0)) &amp; "'!A:A"),
                    0
                )) *
                IF(
                    G53="",
                    1,
                    (ROW(INDIRECT("'" &amp; INDEX('Hulp (CAO''s)'!$C$3:$C$6,
                        MATCH(TRUE,'Hulp (CAO''s)'!$D$3:$D$6,0)) &amp; "'!B1:B1000")) &lt; MATCH(
                        G53,
                        INDIRECT("'" &amp; INDEX('Hulp (CAO''s)'!$C$3:$C$6,
                            MATCH(TRUE,'Hulp (CAO''s)'!$D$3:$D$6,0)) &amp; "'!A:A"),
                        0
                    ))
                ),
                ROW(INDIRECT("'" &amp; INDEX('Hulp (CAO''s)'!$C$3:$C$6,
                    MATCH(TRUE,'Hulp (CAO''s)'!$D$3:$D$6,0)) &amp; "'!B1:B1000"))
            )
        ),0)
    )
)</f>
        <v/>
      </c>
      <c r="G55" s="86" t="str">
        <f t="array" aca="1" ref="G55" ca="1">IF(
    IFERROR(MIN(
        IF(
            (TRIM(INDIRECT("'" &amp; INDEX('Hulp (CAO''s)'!$C$3:$C$6,
                MATCH(TRUE,'Hulp (CAO''s)'!$D$3:$D$6,0)) &amp; "'!B1:B1000")) = TEXT(G54,"0")) *
            (ROW(INDIRECT("'" &amp; INDEX('Hulp (CAO''s)'!$C$3:$C$6,
                MATCH(TRUE,'Hulp (CAO''s)'!$D$3:$D$6,0)) &amp; "'!B1:B1000")) &gt; MATCH(
                G53,
                INDIRECT("'" &amp; INDEX('Hulp (CAO''s)'!$C$3:$C$6,
                    MATCH(TRUE,'Hulp (CAO''s)'!$D$3:$D$6,0)) &amp; "'!A:A"),
                0
            )) *
            IF(
                H53="",
                1,
                (ROW(INDIRECT("'" &amp; INDEX('Hulp (CAO''s)'!$C$3:$C$6,
                    MATCH(TRUE,'Hulp (CAO''s)'!$D$3:$D$6,0)) &amp; "'!B1:B1000")) &lt; MATCH(
                    H53,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TEXT(G54,"0")) *
                (ROW(INDIRECT("'" &amp; INDEX('Hulp (CAO''s)'!$C$3:$C$6,
                    MATCH(TRUE,'Hulp (CAO''s)'!$D$3:$D$6,0)) &amp; "'!B1:B1000")) &gt; MATCH(
                    G53,
                    INDIRECT("'" &amp; INDEX('Hulp (CAO''s)'!$C$3:$C$6,
                        MATCH(TRUE,'Hulp (CAO''s)'!$D$3:$D$6,0)) &amp; "'!A:A"),
                    0
                )) *
                IF(
                    H53="",
                    1,
                    (ROW(INDIRECT("'" &amp; INDEX('Hulp (CAO''s)'!$C$3:$C$6,
                        MATCH(TRUE,'Hulp (CAO''s)'!$D$3:$D$6,0)) &amp; "'!B1:B1000")) &lt; MATCH(
                        H53,
                        INDIRECT("'" &amp; INDEX('Hulp (CAO''s)'!$C$3:$C$6,
                            MATCH(TRUE,'Hulp (CAO''s)'!$D$3:$D$6,0)) &amp; "'!A:A"),
                        0
                    ))
                ),
                ROW(INDIRECT("'" &amp; INDEX('Hulp (CAO''s)'!$C$3:$C$6,
                    MATCH(TRUE,'Hulp (CAO''s)'!$D$3:$D$6,0)) &amp; "'!B1:B1000"))
            )
        ),0)
    )
)</f>
        <v/>
      </c>
      <c r="H55" s="86" t="str">
        <f t="array" aca="1" ref="H55" ca="1">IF(
    IFERROR(MIN(
        IF(
            (TRIM(INDIRECT("'" &amp; INDEX('Hulp (CAO''s)'!$C$3:$C$6,
                MATCH(TRUE,'Hulp (CAO''s)'!$D$3:$D$6,0)) &amp; "'!B1:B1000")) = TEXT(H54,"0")) *
            (ROW(INDIRECT("'" &amp; INDEX('Hulp (CAO''s)'!$C$3:$C$6,
                MATCH(TRUE,'Hulp (CAO''s)'!$D$3:$D$6,0)) &amp; "'!B1:B1000")) &gt; MATCH(
                H53,
                INDIRECT("'" &amp; INDEX('Hulp (CAO''s)'!$C$3:$C$6,
                    MATCH(TRUE,'Hulp (CAO''s)'!$D$3:$D$6,0)) &amp; "'!A:A"),
                0
            )) *
            IF(
                I53="",
                1,
                (ROW(INDIRECT("'" &amp; INDEX('Hulp (CAO''s)'!$C$3:$C$6,
                    MATCH(TRUE,'Hulp (CAO''s)'!$D$3:$D$6,0)) &amp; "'!B1:B1000")) &lt; MATCH(
                    I53,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TEXT(H54,"0")) *
                (ROW(INDIRECT("'" &amp; INDEX('Hulp (CAO''s)'!$C$3:$C$6,
                    MATCH(TRUE,'Hulp (CAO''s)'!$D$3:$D$6,0)) &amp; "'!B1:B1000")) &gt; MATCH(
                    H53,
                    INDIRECT("'" &amp; INDEX('Hulp (CAO''s)'!$C$3:$C$6,
                        MATCH(TRUE,'Hulp (CAO''s)'!$D$3:$D$6,0)) &amp; "'!A:A"),
                    0
                )) *
                IF(
                    I53="",
                    1,
                    (ROW(INDIRECT("'" &amp; INDEX('Hulp (CAO''s)'!$C$3:$C$6,
                        MATCH(TRUE,'Hulp (CAO''s)'!$D$3:$D$6,0)) &amp; "'!B1:B1000")) &lt; MATCH(
                        I53,
                        INDIRECT("'" &amp; INDEX('Hulp (CAO''s)'!$C$3:$C$6,
                            MATCH(TRUE,'Hulp (CAO''s)'!$D$3:$D$6,0)) &amp; "'!A:A"),
                        0
                    ))
                ),
                ROW(INDIRECT("'" &amp; INDEX('Hulp (CAO''s)'!$C$3:$C$6,
                    MATCH(TRUE,'Hulp (CAO''s)'!$D$3:$D$6,0)) &amp; "'!B1:B1000"))
            )
        ),0)
    )
)</f>
        <v/>
      </c>
      <c r="I55" s="86" t="str">
        <f t="array" aca="1" ref="I55" ca="1">IF(
    IFERROR(MIN(
        IF(
            (TRIM(INDIRECT("'" &amp; INDEX('Hulp (CAO''s)'!$C$3:$C$6,
                MATCH(TRUE,'Hulp (CAO''s)'!$D$3:$D$6,0)) &amp; "'!B1:B1000")) = TEXT(I54,"0")) *
            (ROW(INDIRECT("'" &amp; INDEX('Hulp (CAO''s)'!$C$3:$C$6,
                MATCH(TRUE,'Hulp (CAO''s)'!$D$3:$D$6,0)) &amp; "'!B1:B1000")) &gt; MATCH(
                I53,
                INDIRECT("'" &amp; INDEX('Hulp (CAO''s)'!$C$3:$C$6,
                    MATCH(TRUE,'Hulp (CAO''s)'!$D$3:$D$6,0)) &amp; "'!A:A"),
                0
            )) *
            IF(
                J53="",
                1,
                (ROW(INDIRECT("'" &amp; INDEX('Hulp (CAO''s)'!$C$3:$C$6,
                    MATCH(TRUE,'Hulp (CAO''s)'!$D$3:$D$6,0)) &amp; "'!B1:B1000")) &lt; MATCH(
                    J53,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TEXT(I54,"0")) *
                (ROW(INDIRECT("'" &amp; INDEX('Hulp (CAO''s)'!$C$3:$C$6,
                    MATCH(TRUE,'Hulp (CAO''s)'!$D$3:$D$6,0)) &amp; "'!B1:B1000")) &gt; MATCH(
                    I53,
                    INDIRECT("'" &amp; INDEX('Hulp (CAO''s)'!$C$3:$C$6,
                        MATCH(TRUE,'Hulp (CAO''s)'!$D$3:$D$6,0)) &amp; "'!A:A"),
                    0
                )) *
                IF(
                    J53="",
                    1,
                    (ROW(INDIRECT("'" &amp; INDEX('Hulp (CAO''s)'!$C$3:$C$6,
                        MATCH(TRUE,'Hulp (CAO''s)'!$D$3:$D$6,0)) &amp; "'!B1:B1000")) &lt; MATCH(
                        J53,
                        INDIRECT("'" &amp; INDEX('Hulp (CAO''s)'!$C$3:$C$6,
                            MATCH(TRUE,'Hulp (CAO''s)'!$D$3:$D$6,0)) &amp; "'!A:A"),
                        0
                    ))
                ),
                ROW(INDIRECT("'" &amp; INDEX('Hulp (CAO''s)'!$C$3:$C$6,
                    MATCH(TRUE,'Hulp (CAO''s)'!$D$3:$D$6,0)) &amp; "'!B1:B1000"))
            )
        ),0)
    )
)</f>
        <v/>
      </c>
      <c r="J55" s="86" t="str">
        <f t="array" aca="1" ref="J55" ca="1">IF(
    IFERROR(MIN(
        IF(
            (TRIM(INDIRECT("'" &amp; INDEX('Hulp (CAO''s)'!$C$3:$C$6,
                MATCH(TRUE,'Hulp (CAO''s)'!$D$3:$D$6,0)) &amp; "'!B1:B1000")) = TEXT(J54,"0")) *
            (ROW(INDIRECT("'" &amp; INDEX('Hulp (CAO''s)'!$C$3:$C$6,
                MATCH(TRUE,'Hulp (CAO''s)'!$D$3:$D$6,0)) &amp; "'!B1:B1000")) &gt; MATCH(
                J53,
                INDIRECT("'" &amp; INDEX('Hulp (CAO''s)'!$C$3:$C$6,
                    MATCH(TRUE,'Hulp (CAO''s)'!$D$3:$D$6,0)) &amp; "'!A:A"),
                0
            )) *
            IF(
                K53="",
                1,
                (ROW(INDIRECT("'" &amp; INDEX('Hulp (CAO''s)'!$C$3:$C$6,
                    MATCH(TRUE,'Hulp (CAO''s)'!$D$3:$D$6,0)) &amp; "'!B1:B1000")) &lt; MATCH(
                    K53,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TEXT(J54,"0")) *
                (ROW(INDIRECT("'" &amp; INDEX('Hulp (CAO''s)'!$C$3:$C$6,
                    MATCH(TRUE,'Hulp (CAO''s)'!$D$3:$D$6,0)) &amp; "'!B1:B1000")) &gt; MATCH(
                    J53,
                    INDIRECT("'" &amp; INDEX('Hulp (CAO''s)'!$C$3:$C$6,
                        MATCH(TRUE,'Hulp (CAO''s)'!$D$3:$D$6,0)) &amp; "'!A:A"),
                    0
                )) *
                IF(
                    K53="",
                    1,
                    (ROW(INDIRECT("'" &amp; INDEX('Hulp (CAO''s)'!$C$3:$C$6,
                        MATCH(TRUE,'Hulp (CAO''s)'!$D$3:$D$6,0)) &amp; "'!B1:B1000")) &lt; MATCH(
                        K53,
                        INDIRECT("'" &amp; INDEX('Hulp (CAO''s)'!$C$3:$C$6,
                            MATCH(TRUE,'Hulp (CAO''s)'!$D$3:$D$6,0)) &amp; "'!A:A"),
                        0
                    ))
                ),
                ROW(INDIRECT("'" &amp; INDEX('Hulp (CAO''s)'!$C$3:$C$6,
                    MATCH(TRUE,'Hulp (CAO''s)'!$D$3:$D$6,0)) &amp; "'!B1:B1000"))
            )
        ),0)
    )
)</f>
        <v/>
      </c>
      <c r="K55" s="86" t="str">
        <f t="array" aca="1" ref="K55" ca="1">IF(
    IFERROR(MIN(
        IF(
            (TRIM(INDIRECT("'" &amp; INDEX('Hulp (CAO''s)'!$C$3:$C$6,
                MATCH(TRUE,'Hulp (CAO''s)'!$D$3:$D$6,0)) &amp; "'!B1:B1000")) = TEXT(K54,"0")) *
            (ROW(INDIRECT("'" &amp; INDEX('Hulp (CAO''s)'!$C$3:$C$6,
                MATCH(TRUE,'Hulp (CAO''s)'!$D$3:$D$6,0)) &amp; "'!B1:B1000")) &gt; MATCH(
                K53,
                INDIRECT("'" &amp; INDEX('Hulp (CAO''s)'!$C$3:$C$6,
                    MATCH(TRUE,'Hulp (CAO''s)'!$D$3:$D$6,0)) &amp; "'!A:A"),
                0
            )) *
            IF(
                L53="",
                1,
                (ROW(INDIRECT("'" &amp; INDEX('Hulp (CAO''s)'!$C$3:$C$6,
                    MATCH(TRUE,'Hulp (CAO''s)'!$D$3:$D$6,0)) &amp; "'!B1:B1000")) &lt; MATCH(
                    L53,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TEXT(K54,"0")) *
                (ROW(INDIRECT("'" &amp; INDEX('Hulp (CAO''s)'!$C$3:$C$6,
                    MATCH(TRUE,'Hulp (CAO''s)'!$D$3:$D$6,0)) &amp; "'!B1:B1000")) &gt; MATCH(
                    K53,
                    INDIRECT("'" &amp; INDEX('Hulp (CAO''s)'!$C$3:$C$6,
                        MATCH(TRUE,'Hulp (CAO''s)'!$D$3:$D$6,0)) &amp; "'!A:A"),
                    0
                )) *
                IF(
                    L53="",
                    1,
                    (ROW(INDIRECT("'" &amp; INDEX('Hulp (CAO''s)'!$C$3:$C$6,
                        MATCH(TRUE,'Hulp (CAO''s)'!$D$3:$D$6,0)) &amp; "'!B1:B1000")) &lt; MATCH(
                        L53,
                        INDIRECT("'" &amp; INDEX('Hulp (CAO''s)'!$C$3:$C$6,
                            MATCH(TRUE,'Hulp (CAO''s)'!$D$3:$D$6,0)) &amp; "'!A:A"),
                        0
                    ))
                ),
                ROW(INDIRECT("'" &amp; INDEX('Hulp (CAO''s)'!$C$3:$C$6,
                    MATCH(TRUE,'Hulp (CAO''s)'!$D$3:$D$6,0)) &amp; "'!B1:B1000"))
            )
        ),0)
    )
)</f>
        <v/>
      </c>
      <c r="L55" s="86" t="str">
        <f t="array" aca="1" ref="L55" ca="1">IF(
    IFERROR(MIN(
        IF(
            (TRIM(INDIRECT("'" &amp; INDEX('Hulp (CAO''s)'!$C$3:$C$6,
                MATCH(TRUE,'Hulp (CAO''s)'!$D$3:$D$6,0)) &amp; "'!B1:B1000")) = TEXT(L54,"0")) *
            (ROW(INDIRECT("'" &amp; INDEX('Hulp (CAO''s)'!$C$3:$C$6,
                MATCH(TRUE,'Hulp (CAO''s)'!$D$3:$D$6,0)) &amp; "'!B1:B1000")) &gt; MATCH(
                L53,
                INDIRECT("'" &amp; INDEX('Hulp (CAO''s)'!$C$3:$C$6,
                    MATCH(TRUE,'Hulp (CAO''s)'!$D$3:$D$6,0)) &amp; "'!A:A"),
                0
            )) *
            IF(
                M53="",
                1,
                (ROW(INDIRECT("'" &amp; INDEX('Hulp (CAO''s)'!$C$3:$C$6,
                    MATCH(TRUE,'Hulp (CAO''s)'!$D$3:$D$6,0)) &amp; "'!B1:B1000")) &lt; MATCH(
                    M53,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TEXT(L54,"0")) *
                (ROW(INDIRECT("'" &amp; INDEX('Hulp (CAO''s)'!$C$3:$C$6,
                    MATCH(TRUE,'Hulp (CAO''s)'!$D$3:$D$6,0)) &amp; "'!B1:B1000")) &gt; MATCH(
                    L53,
                    INDIRECT("'" &amp; INDEX('Hulp (CAO''s)'!$C$3:$C$6,
                        MATCH(TRUE,'Hulp (CAO''s)'!$D$3:$D$6,0)) &amp; "'!A:A"),
                    0
                )) *
                IF(
                    M53="",
                    1,
                    (ROW(INDIRECT("'" &amp; INDEX('Hulp (CAO''s)'!$C$3:$C$6,
                        MATCH(TRUE,'Hulp (CAO''s)'!$D$3:$D$6,0)) &amp; "'!B1:B1000")) &lt; MATCH(
                        M53,
                        INDIRECT("'" &amp; INDEX('Hulp (CAO''s)'!$C$3:$C$6,
                            MATCH(TRUE,'Hulp (CAO''s)'!$D$3:$D$6,0)) &amp; "'!A:A"),
                        0
                    ))
                ),
                ROW(INDIRECT("'" &amp; INDEX('Hulp (CAO''s)'!$C$3:$C$6,
                    MATCH(TRUE,'Hulp (CAO''s)'!$D$3:$D$6,0)) &amp; "'!B1:B1000"))
            )
        ),0)
    )
)</f>
        <v/>
      </c>
      <c r="M55" s="86" t="str">
        <f t="array" aca="1" ref="M55" ca="1">IF(
    IFERROR(MIN(
        IF(
            (TRIM(INDIRECT("'" &amp; INDEX('Hulp (CAO''s)'!$C$3:$C$6,
                MATCH(TRUE,'Hulp (CAO''s)'!$D$3:$D$6,0)) &amp; "'!B1:B1000")) = TEXT(M54,"0")) *
            (ROW(INDIRECT("'" &amp; INDEX('Hulp (CAO''s)'!$C$3:$C$6,
                MATCH(TRUE,'Hulp (CAO''s)'!$D$3:$D$6,0)) &amp; "'!B1:B1000")) &gt; MATCH(
                M53,
                INDIRECT("'" &amp; INDEX('Hulp (CAO''s)'!$C$3:$C$6,
                    MATCH(TRUE,'Hulp (CAO''s)'!$D$3:$D$6,0)) &amp; "'!A:A"),
                0
            )) *
            IF(
                N53="",
                1,
                (ROW(INDIRECT("'" &amp; INDEX('Hulp (CAO''s)'!$C$3:$C$6,
                    MATCH(TRUE,'Hulp (CAO''s)'!$D$3:$D$6,0)) &amp; "'!B1:B1000")) &lt; MATCH(
                    N53,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TEXT(M54,"0")) *
                (ROW(INDIRECT("'" &amp; INDEX('Hulp (CAO''s)'!$C$3:$C$6,
                    MATCH(TRUE,'Hulp (CAO''s)'!$D$3:$D$6,0)) &amp; "'!B1:B1000")) &gt; MATCH(
                    M53,
                    INDIRECT("'" &amp; INDEX('Hulp (CAO''s)'!$C$3:$C$6,
                        MATCH(TRUE,'Hulp (CAO''s)'!$D$3:$D$6,0)) &amp; "'!A:A"),
                    0
                )) *
                IF(
                    N53="",
                    1,
                    (ROW(INDIRECT("'" &amp; INDEX('Hulp (CAO''s)'!$C$3:$C$6,
                        MATCH(TRUE,'Hulp (CAO''s)'!$D$3:$D$6,0)) &amp; "'!B1:B1000")) &lt; MATCH(
                        N53,
                        INDIRECT("'" &amp; INDEX('Hulp (CAO''s)'!$C$3:$C$6,
                            MATCH(TRUE,'Hulp (CAO''s)'!$D$3:$D$6,0)) &amp; "'!A:A"),
                        0
                    ))
                ),
                ROW(INDIRECT("'" &amp; INDEX('Hulp (CAO''s)'!$C$3:$C$6,
                    MATCH(TRUE,'Hulp (CAO''s)'!$D$3:$D$6,0)) &amp; "'!B1:B1000"))
            )
        ),0)
    )
)</f>
        <v/>
      </c>
      <c r="N55" s="86" t="str">
        <f t="array" aca="1" ref="N55" ca="1">IF(
    IFERROR(MIN(
        IF(
            (TRIM(INDIRECT("'" &amp; INDEX('Hulp (CAO''s)'!$C$3:$C$6,
                MATCH(TRUE,'Hulp (CAO''s)'!$D$3:$D$6,0)) &amp; "'!B1:B1000")) = TEXT(N54,"0")) *
            (ROW(INDIRECT("'" &amp; INDEX('Hulp (CAO''s)'!$C$3:$C$6,
                MATCH(TRUE,'Hulp (CAO''s)'!$D$3:$D$6,0)) &amp; "'!B1:B1000")) &gt; MATCH(
                N53,
                INDIRECT("'" &amp; INDEX('Hulp (CAO''s)'!$C$3:$C$6,
                    MATCH(TRUE,'Hulp (CAO''s)'!$D$3:$D$6,0)) &amp; "'!A:A"),
                0
            )) *
            IF(
                O53="",
                1,
                (ROW(INDIRECT("'" &amp; INDEX('Hulp (CAO''s)'!$C$3:$C$6,
                    MATCH(TRUE,'Hulp (CAO''s)'!$D$3:$D$6,0)) &amp; "'!B1:B1000")) &lt; MATCH(
                    O53,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TEXT(N54,"0")) *
                (ROW(INDIRECT("'" &amp; INDEX('Hulp (CAO''s)'!$C$3:$C$6,
                    MATCH(TRUE,'Hulp (CAO''s)'!$D$3:$D$6,0)) &amp; "'!B1:B1000")) &gt; MATCH(
                    N53,
                    INDIRECT("'" &amp; INDEX('Hulp (CAO''s)'!$C$3:$C$6,
                        MATCH(TRUE,'Hulp (CAO''s)'!$D$3:$D$6,0)) &amp; "'!A:A"),
                    0
                )) *
                IF(
                    O53="",
                    1,
                    (ROW(INDIRECT("'" &amp; INDEX('Hulp (CAO''s)'!$C$3:$C$6,
                        MATCH(TRUE,'Hulp (CAO''s)'!$D$3:$D$6,0)) &amp; "'!B1:B1000")) &lt; MATCH(
                        O53,
                        INDIRECT("'" &amp; INDEX('Hulp (CAO''s)'!$C$3:$C$6,
                            MATCH(TRUE,'Hulp (CAO''s)'!$D$3:$D$6,0)) &amp; "'!A:A"),
                        0
                    ))
                ),
                ROW(INDIRECT("'" &amp; INDEX('Hulp (CAO''s)'!$C$3:$C$6,
                    MATCH(TRUE,'Hulp (CAO''s)'!$D$3:$D$6,0)) &amp; "'!B1:B1000"))
            )
        ),0)
    )
)</f>
        <v/>
      </c>
      <c r="O55" s="86" t="str">
        <f t="array" aca="1" ref="O55" ca="1">IF(
    IFERROR(MIN(
        IF(
            (TRIM(INDIRECT("'" &amp; INDEX('Hulp (CAO''s)'!$C$3:$C$6,
                MATCH(TRUE,'Hulp (CAO''s)'!$D$3:$D$6,0)) &amp; "'!B1:B1000")) = TEXT(O54,"0")) *
            (ROW(INDIRECT("'" &amp; INDEX('Hulp (CAO''s)'!$C$3:$C$6,
                MATCH(TRUE,'Hulp (CAO''s)'!$D$3:$D$6,0)) &amp; "'!B1:B1000")) &gt; MATCH(
                O53,
                INDIRECT("'" &amp; INDEX('Hulp (CAO''s)'!$C$3:$C$6,
                    MATCH(TRUE,'Hulp (CAO''s)'!$D$3:$D$6,0)) &amp; "'!A:A"),
                0
            )) *
            IF(
                P53="",
                1,
                (ROW(INDIRECT("'" &amp; INDEX('Hulp (CAO''s)'!$C$3:$C$6,
                    MATCH(TRUE,'Hulp (CAO''s)'!$D$3:$D$6,0)) &amp; "'!B1:B1000")) &lt; MATCH(
                    P53,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TEXT(O54,"0")) *
                (ROW(INDIRECT("'" &amp; INDEX('Hulp (CAO''s)'!$C$3:$C$6,
                    MATCH(TRUE,'Hulp (CAO''s)'!$D$3:$D$6,0)) &amp; "'!B1:B1000")) &gt; MATCH(
                    O53,
                    INDIRECT("'" &amp; INDEX('Hulp (CAO''s)'!$C$3:$C$6,
                        MATCH(TRUE,'Hulp (CAO''s)'!$D$3:$D$6,0)) &amp; "'!A:A"),
                    0
                )) *
                IF(
                    P53="",
                    1,
                    (ROW(INDIRECT("'" &amp; INDEX('Hulp (CAO''s)'!$C$3:$C$6,
                        MATCH(TRUE,'Hulp (CAO''s)'!$D$3:$D$6,0)) &amp; "'!B1:B1000")) &lt; MATCH(
                        P53,
                        INDIRECT("'" &amp; INDEX('Hulp (CAO''s)'!$C$3:$C$6,
                            MATCH(TRUE,'Hulp (CAO''s)'!$D$3:$D$6,0)) &amp; "'!A:A"),
                        0
                    ))
                ),
                ROW(INDIRECT("'" &amp; INDEX('Hulp (CAO''s)'!$C$3:$C$6,
                    MATCH(TRUE,'Hulp (CAO''s)'!$D$3:$D$6,0)) &amp; "'!B1:B1000"))
            )
        ),0)
    )
)</f>
        <v/>
      </c>
      <c r="P55" s="86" t="str">
        <f t="array" aca="1" ref="P55" ca="1">IF(
    IFERROR(MIN(
        IF(
            (TRIM(INDIRECT("'" &amp; INDEX('Hulp (CAO''s)'!$C$3:$C$6,
                MATCH(TRUE,'Hulp (CAO''s)'!$D$3:$D$6,0)) &amp; "'!B1:B1000")) = TEXT(P54,"0")) *
            (ROW(INDIRECT("'" &amp; INDEX('Hulp (CAO''s)'!$C$3:$C$6,
                MATCH(TRUE,'Hulp (CAO''s)'!$D$3:$D$6,0)) &amp; "'!B1:B1000")) &gt; MATCH(
                P53,
                INDIRECT("'" &amp; INDEX('Hulp (CAO''s)'!$C$3:$C$6,
                    MATCH(TRUE,'Hulp (CAO''s)'!$D$3:$D$6,0)) &amp; "'!A:A"),
                0
            )) *
            IF(
                Q53="",
                1,
                (ROW(INDIRECT("'" &amp; INDEX('Hulp (CAO''s)'!$C$3:$C$6,
                    MATCH(TRUE,'Hulp (CAO''s)'!$D$3:$D$6,0)) &amp; "'!B1:B1000")) &lt; MATCH(
                    Q53,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TEXT(P54,"0")) *
                (ROW(INDIRECT("'" &amp; INDEX('Hulp (CAO''s)'!$C$3:$C$6,
                    MATCH(TRUE,'Hulp (CAO''s)'!$D$3:$D$6,0)) &amp; "'!B1:B1000")) &gt; MATCH(
                    P53,
                    INDIRECT("'" &amp; INDEX('Hulp (CAO''s)'!$C$3:$C$6,
                        MATCH(TRUE,'Hulp (CAO''s)'!$D$3:$D$6,0)) &amp; "'!A:A"),
                    0
                )) *
                IF(
                    Q53="",
                    1,
                    (ROW(INDIRECT("'" &amp; INDEX('Hulp (CAO''s)'!$C$3:$C$6,
                        MATCH(TRUE,'Hulp (CAO''s)'!$D$3:$D$6,0)) &amp; "'!B1:B1000")) &lt; MATCH(
                        Q53,
                        INDIRECT("'" &amp; INDEX('Hulp (CAO''s)'!$C$3:$C$6,
                            MATCH(TRUE,'Hulp (CAO''s)'!$D$3:$D$6,0)) &amp; "'!A:A"),
                        0
                    ))
                ),
                ROW(INDIRECT("'" &amp; INDEX('Hulp (CAO''s)'!$C$3:$C$6,
                    MATCH(TRUE,'Hulp (CAO''s)'!$D$3:$D$6,0)) &amp; "'!B1:B1000"))
            )
        ),0)
    )
)</f>
        <v/>
      </c>
      <c r="Q55" s="86" t="str">
        <f t="array" aca="1" ref="Q55" ca="1">IF(
    IFERROR(MIN(
        IF(
            (TRIM(INDIRECT("'" &amp; INDEX('Hulp (CAO''s)'!$C$3:$C$6,
                MATCH(TRUE,'Hulp (CAO''s)'!$D$3:$D$6,0)) &amp; "'!B1:B1000")) = TEXT(Q54,"0")) *
            (ROW(INDIRECT("'" &amp; INDEX('Hulp (CAO''s)'!$C$3:$C$6,
                MATCH(TRUE,'Hulp (CAO''s)'!$D$3:$D$6,0)) &amp; "'!B1:B1000")) &gt; MATCH(
                Q53,
                INDIRECT("'" &amp; INDEX('Hulp (CAO''s)'!$C$3:$C$6,
                    MATCH(TRUE,'Hulp (CAO''s)'!$D$3:$D$6,0)) &amp; "'!A:A"),
                0
            )) *
            IF(
                R53="",
                1,
                (ROW(INDIRECT("'" &amp; INDEX('Hulp (CAO''s)'!$C$3:$C$6,
                    MATCH(TRUE,'Hulp (CAO''s)'!$D$3:$D$6,0)) &amp; "'!B1:B1000")) &lt; MATCH(
                    R53,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TEXT(Q54,"0")) *
                (ROW(INDIRECT("'" &amp; INDEX('Hulp (CAO''s)'!$C$3:$C$6,
                    MATCH(TRUE,'Hulp (CAO''s)'!$D$3:$D$6,0)) &amp; "'!B1:B1000")) &gt; MATCH(
                    Q53,
                    INDIRECT("'" &amp; INDEX('Hulp (CAO''s)'!$C$3:$C$6,
                        MATCH(TRUE,'Hulp (CAO''s)'!$D$3:$D$6,0)) &amp; "'!A:A"),
                    0
                )) *
                IF(
                    R53="",
                    1,
                    (ROW(INDIRECT("'" &amp; INDEX('Hulp (CAO''s)'!$C$3:$C$6,
                        MATCH(TRUE,'Hulp (CAO''s)'!$D$3:$D$6,0)) &amp; "'!B1:B1000")) &lt; MATCH(
                        R53,
                        INDIRECT("'" &amp; INDEX('Hulp (CAO''s)'!$C$3:$C$6,
                            MATCH(TRUE,'Hulp (CAO''s)'!$D$3:$D$6,0)) &amp; "'!A:A"),
                        0
                    ))
                ),
                ROW(INDIRECT("'" &amp; INDEX('Hulp (CAO''s)'!$C$3:$C$6,
                    MATCH(TRUE,'Hulp (CAO''s)'!$D$3:$D$6,0)) &amp; "'!B1:B1000"))
            )
        ),0)
    )
)</f>
        <v/>
      </c>
      <c r="R55" s="86" t="str">
        <f t="array" aca="1" ref="R55" ca="1">IF(
    IFERROR(MIN(
        IF(
            (TRIM(INDIRECT("'" &amp; INDEX('Hulp (CAO''s)'!$C$3:$C$6,
                MATCH(TRUE,'Hulp (CAO''s)'!$D$3:$D$6,0)) &amp; "'!B1:B1000")) = TEXT(R54,"0")) *
            (ROW(INDIRECT("'" &amp; INDEX('Hulp (CAO''s)'!$C$3:$C$6,
                MATCH(TRUE,'Hulp (CAO''s)'!$D$3:$D$6,0)) &amp; "'!B1:B1000")) &gt; MATCH(
                R53,
                INDIRECT("'" &amp; INDEX('Hulp (CAO''s)'!$C$3:$C$6,
                    MATCH(TRUE,'Hulp (CAO''s)'!$D$3:$D$6,0)) &amp; "'!A:A"),
                0
            )) *
            IF(
                S53="",
                1,
                (ROW(INDIRECT("'" &amp; INDEX('Hulp (CAO''s)'!$C$3:$C$6,
                    MATCH(TRUE,'Hulp (CAO''s)'!$D$3:$D$6,0)) &amp; "'!B1:B1000")) &lt; MATCH(
                    S53,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TEXT(R54,"0")) *
                (ROW(INDIRECT("'" &amp; INDEX('Hulp (CAO''s)'!$C$3:$C$6,
                    MATCH(TRUE,'Hulp (CAO''s)'!$D$3:$D$6,0)) &amp; "'!B1:B1000")) &gt; MATCH(
                    R53,
                    INDIRECT("'" &amp; INDEX('Hulp (CAO''s)'!$C$3:$C$6,
                        MATCH(TRUE,'Hulp (CAO''s)'!$D$3:$D$6,0)) &amp; "'!A:A"),
                    0
                )) *
                IF(
                    S53="",
                    1,
                    (ROW(INDIRECT("'" &amp; INDEX('Hulp (CAO''s)'!$C$3:$C$6,
                        MATCH(TRUE,'Hulp (CAO''s)'!$D$3:$D$6,0)) &amp; "'!B1:B1000")) &lt; MATCH(
                        S53,
                        INDIRECT("'" &amp; INDEX('Hulp (CAO''s)'!$C$3:$C$6,
                            MATCH(TRUE,'Hulp (CAO''s)'!$D$3:$D$6,0)) &amp; "'!A:A"),
                        0
                    ))
                ),
                ROW(INDIRECT("'" &amp; INDEX('Hulp (CAO''s)'!$C$3:$C$6,
                    MATCH(TRUE,'Hulp (CAO''s)'!$D$3:$D$6,0)) &amp; "'!B1:B1000"))
            )
        ),0)
    )
)</f>
        <v/>
      </c>
      <c r="S55" s="86" t="str">
        <f t="array" aca="1" ref="S55" ca="1">IF(
    IFERROR(MIN(
        IF(
            (TRIM(INDIRECT("'" &amp; INDEX('Hulp (CAO''s)'!$C$3:$C$6,
                MATCH(TRUE,'Hulp (CAO''s)'!$D$3:$D$6,0)) &amp; "'!B1:B1000")) = TEXT(S54,"0")) *
            (ROW(INDIRECT("'" &amp; INDEX('Hulp (CAO''s)'!$C$3:$C$6,
                MATCH(TRUE,'Hulp (CAO''s)'!$D$3:$D$6,0)) &amp; "'!B1:B1000")) &gt; MATCH(
                S53,
                INDIRECT("'" &amp; INDEX('Hulp (CAO''s)'!$C$3:$C$6,
                    MATCH(TRUE,'Hulp (CAO''s)'!$D$3:$D$6,0)) &amp; "'!A:A"),
                0
            )) *
            IF(
                T53="",
                1,
                (ROW(INDIRECT("'" &amp; INDEX('Hulp (CAO''s)'!$C$3:$C$6,
                    MATCH(TRUE,'Hulp (CAO''s)'!$D$3:$D$6,0)) &amp; "'!B1:B1000")) &lt; MATCH(
                    T53,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TEXT(S54,"0")) *
                (ROW(INDIRECT("'" &amp; INDEX('Hulp (CAO''s)'!$C$3:$C$6,
                    MATCH(TRUE,'Hulp (CAO''s)'!$D$3:$D$6,0)) &amp; "'!B1:B1000")) &gt; MATCH(
                    S53,
                    INDIRECT("'" &amp; INDEX('Hulp (CAO''s)'!$C$3:$C$6,
                        MATCH(TRUE,'Hulp (CAO''s)'!$D$3:$D$6,0)) &amp; "'!A:A"),
                    0
                )) *
                IF(
                    T53="",
                    1,
                    (ROW(INDIRECT("'" &amp; INDEX('Hulp (CAO''s)'!$C$3:$C$6,
                        MATCH(TRUE,'Hulp (CAO''s)'!$D$3:$D$6,0)) &amp; "'!B1:B1000")) &lt; MATCH(
                        T53,
                        INDIRECT("'" &amp; INDEX('Hulp (CAO''s)'!$C$3:$C$6,
                            MATCH(TRUE,'Hulp (CAO''s)'!$D$3:$D$6,0)) &amp; "'!A:A"),
                        0
                    ))
                ),
                ROW(INDIRECT("'" &amp; INDEX('Hulp (CAO''s)'!$C$3:$C$6,
                    MATCH(TRUE,'Hulp (CAO''s)'!$D$3:$D$6,0)) &amp; "'!B1:B1000"))
            )
        ),0)
    )
)</f>
        <v/>
      </c>
      <c r="T55" s="39" t="str">
        <f t="array" aca="1" ref="T55" ca="1">IF(
    IFERROR(MIN(
        IF(
            (TRIM(INDIRECT("'" &amp; INDEX('Hulp (CAO''s)'!$C$3:$C$6,
                MATCH(TRUE,'Hulp (CAO''s)'!$D$3:$D$6,0)) &amp; "'!B1:B1000")) = TEXT(T54,"0")) *
            (ROW(INDIRECT("'" &amp; INDEX('Hulp (CAO''s)'!$C$3:$C$6,
                MATCH(TRUE,'Hulp (CAO''s)'!$D$3:$D$6,0)) &amp; "'!B1:B1000")) &gt; MATCH(
                T53,
                INDIRECT("'" &amp; INDEX('Hulp (CAO''s)'!$C$3:$C$6,
                    MATCH(TRUE,'Hulp (CAO''s)'!$D$3:$D$6,0)) &amp; "'!A:A"),
                0
            )) *
            IF(
                U53="",
                1,
                (ROW(INDIRECT("'" &amp; INDEX('Hulp (CAO''s)'!$C$3:$C$6,
                    MATCH(TRUE,'Hulp (CAO''s)'!$D$3:$D$6,0)) &amp; "'!B1:B1000")) &lt; MATCH(
                    U53,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TEXT(T54,"0")) *
                (ROW(INDIRECT("'" &amp; INDEX('Hulp (CAO''s)'!$C$3:$C$6,
                    MATCH(TRUE,'Hulp (CAO''s)'!$D$3:$D$6,0)) &amp; "'!B1:B1000")) &gt; MATCH(
                    T53,
                    INDIRECT("'" &amp; INDEX('Hulp (CAO''s)'!$C$3:$C$6,
                        MATCH(TRUE,'Hulp (CAO''s)'!$D$3:$D$6,0)) &amp; "'!A:A"),
                    0
                )) *
                IF(
                    U53="",
                    1,
                    (ROW(INDIRECT("'" &amp; INDEX('Hulp (CAO''s)'!$C$3:$C$6,
                        MATCH(TRUE,'Hulp (CAO''s)'!$D$3:$D$6,0)) &amp; "'!B1:B1000")) &lt; MATCH(
                        U53,
                        INDIRECT("'" &amp; INDEX('Hulp (CAO''s)'!$C$3:$C$6,
                            MATCH(TRUE,'Hulp (CAO''s)'!$D$3:$D$6,0)) &amp; "'!A:A"),
                        0
                    ))
                ),
                ROW(INDIRECT("'" &amp; INDEX('Hulp (CAO''s)'!$C$3:$C$6,
                    MATCH(TRUE,'Hulp (CAO''s)'!$D$3:$D$6,0)) &amp; "'!B1:B1000"))
            )
        ),0)
    )
)</f>
        <v/>
      </c>
      <c r="V55" s="38" t="str">
        <f t="array" aca="1" ref="V55" ca="1">IF(
   SUM(E55:T55)=0,
   "",
   (
      SUMPRODUCT(
         IF(E55:T55="",0,E55:T55),
         IF(E56:T56="",0,E56:T56) * SUM(E56:T56)
      )
   ) *
   IF(
      'Hulp (CAO''s)'!#REF!,
      IF(
         OR(
            INDEX(#REF!, ROW(#REF!) + INT((ROW()-ROW($V$7))/6)*8)="",
            ISNA(INDEX(#REF!, ROW(#REF!) + INT((ROW()-ROW($V$7))/6)*8))
         ),
         1878/12,
         INDEX(#REF!, ROW(#REF!) + INT((ROW()-ROW($V$7))/6)*8)/12
      ),
      1
   )
)</f>
        <v/>
      </c>
    </row>
    <row r="56" spans="2:24" ht="14.65" thickBot="1" x14ac:dyDescent="0.5">
      <c r="B56" s="48" t="s">
        <v>60</v>
      </c>
      <c r="D56" s="24" t="s">
        <v>59</v>
      </c>
      <c r="E56" s="8"/>
      <c r="F56" s="8"/>
      <c r="G56" s="8"/>
      <c r="H56" s="8"/>
      <c r="I56" s="8"/>
      <c r="J56" s="8"/>
      <c r="K56" s="8"/>
      <c r="L56" s="8"/>
      <c r="M56" s="8"/>
      <c r="N56" s="8"/>
      <c r="O56" s="8"/>
      <c r="P56" s="8"/>
      <c r="Q56" s="8"/>
      <c r="R56" s="8"/>
      <c r="S56" s="8"/>
      <c r="T56" s="9"/>
      <c r="U56" s="7"/>
      <c r="V56" s="37" t="str">
        <f ca="1">IF(B53="","",IF(INDIRECT("'Hulp (control forms)'!C" &amp; (13 + INT((ROW()-ROW($B$5))/6))), V54, V55))</f>
        <v/>
      </c>
      <c r="W56" s="7"/>
    </row>
    <row r="57" spans="2:24" x14ac:dyDescent="0.5">
      <c r="S57" s="7" t="str">
        <f>IF($B56="Aandeel in %",
   "Totaal: "&amp;SUM(E56:T56)*100&amp;"%",
   "Totaal: "&amp;SUM(E56:T56)&amp;" uur"
)</f>
        <v>Totaal: 0%</v>
      </c>
      <c r="T57" s="7"/>
    </row>
    <row r="58" spans="2:24" ht="16.149999999999999" thickBot="1" x14ac:dyDescent="0.55000000000000004">
      <c r="B58" s="44" t="str">
        <f ca="1">IF(B59="","",IF(
   OR(
      INDIRECT("'1a. Input organisatieniveau'!N" &amp; (14 + INT((ROW()-4)/6)))="",
      INDIRECT("'1a. Input organisatieniveau'!N" &amp; (14 + INT((ROW()-4)/6)))=0
   ),
   "",
   INDIRECT("'1a. Input organisatieniveau'!N" &amp; (14 + INT((ROW()-4)/6)))
))</f>
        <v/>
      </c>
      <c r="E58" s="61" t="str">
        <f t="shared" ref="E58:T58" ca="1" si="9">IF(AND(AND(E59&lt;&gt;"",E60&lt;&gt;""),E61=""),"!","")</f>
        <v/>
      </c>
      <c r="F58" s="61" t="str">
        <f t="shared" ca="1" si="9"/>
        <v/>
      </c>
      <c r="G58" s="61" t="str">
        <f t="shared" ca="1" si="9"/>
        <v/>
      </c>
      <c r="H58" s="61" t="str">
        <f t="shared" ca="1" si="9"/>
        <v/>
      </c>
      <c r="I58" s="61" t="str">
        <f t="shared" ca="1" si="9"/>
        <v/>
      </c>
      <c r="J58" s="61" t="str">
        <f t="shared" ca="1" si="9"/>
        <v/>
      </c>
      <c r="K58" s="61" t="str">
        <f t="shared" ca="1" si="9"/>
        <v/>
      </c>
      <c r="L58" s="61" t="str">
        <f t="shared" ca="1" si="9"/>
        <v/>
      </c>
      <c r="M58" s="61" t="str">
        <f t="shared" ca="1" si="9"/>
        <v/>
      </c>
      <c r="N58" s="61" t="str">
        <f t="shared" ca="1" si="9"/>
        <v/>
      </c>
      <c r="O58" s="61" t="str">
        <f t="shared" ca="1" si="9"/>
        <v/>
      </c>
      <c r="P58" s="61" t="str">
        <f t="shared" ca="1" si="9"/>
        <v/>
      </c>
      <c r="Q58" s="61" t="str">
        <f t="shared" ca="1" si="9"/>
        <v/>
      </c>
      <c r="R58" s="61" t="str">
        <f t="shared" ca="1" si="9"/>
        <v/>
      </c>
      <c r="S58" s="61" t="str">
        <f t="shared" ca="1" si="9"/>
        <v/>
      </c>
      <c r="T58" s="61" t="str">
        <f t="shared" ca="1" si="9"/>
        <v/>
      </c>
    </row>
    <row r="59" spans="2:24" ht="16.149999999999999" thickBot="1" x14ac:dyDescent="0.55000000000000004">
      <c r="B59" s="45" t="str">
        <f ca="1">IF(
   OR(
      INDIRECT("'1a. Input organisatieniveau'!M" &amp; (14 + INT((ROW()-4)/6)))="",
      INDIRECT("'1a. Input organisatieniveau'!M" &amp; (14 + INT((ROW()-4)/6)))=0
   ),
   "",
   INDIRECT("'1a. Input organisatieniveau'!M" &amp; (14 + INT((ROW()-4)/6)))
)</f>
        <v/>
      </c>
      <c r="D59" s="22" t="s">
        <v>28</v>
      </c>
      <c r="E59" s="10" t="str">
        <f t="array" aca="1" ref="E59" ca="1">IF($B59="", "", INDEX('Hulp (CAO''s)'!J$3:J$6, MATCH(TRUE, 'Hulp (CAO''s)'!$D$3:$D$6, 0)))</f>
        <v/>
      </c>
      <c r="F59" s="10" t="str">
        <f t="array" aca="1" ref="F59" ca="1">IF($B59="", "", INDEX('Hulp (CAO''s)'!K$3:K$6, MATCH(TRUE, 'Hulp (CAO''s)'!$D$3:$D$6, 0)))</f>
        <v/>
      </c>
      <c r="G59" s="10" t="str">
        <f t="array" aca="1" ref="G59" ca="1">IF($B59="", "", INDEX('Hulp (CAO''s)'!L$3:L$6, MATCH(TRUE, 'Hulp (CAO''s)'!$D$3:$D$6, 0)))</f>
        <v/>
      </c>
      <c r="H59" s="10" t="str">
        <f t="array" aca="1" ref="H59" ca="1">IF($B59="", "", INDEX('Hulp (CAO''s)'!M$3:M$6, MATCH(TRUE, 'Hulp (CAO''s)'!$D$3:$D$6, 0)))</f>
        <v/>
      </c>
      <c r="I59" s="10" t="str">
        <f t="array" aca="1" ref="I59" ca="1">IF($B59="", "", INDEX('Hulp (CAO''s)'!N$3:N$6, MATCH(TRUE, 'Hulp (CAO''s)'!$D$3:$D$6, 0)))</f>
        <v/>
      </c>
      <c r="J59" s="10" t="str">
        <f t="array" aca="1" ref="J59" ca="1">IF($B59="", "", INDEX('Hulp (CAO''s)'!O$3:O$6, MATCH(TRUE, 'Hulp (CAO''s)'!$D$3:$D$6, 0)))</f>
        <v/>
      </c>
      <c r="K59" s="10" t="str">
        <f t="array" aca="1" ref="K59" ca="1">IF($B59="", "", INDEX('Hulp (CAO''s)'!P$3:P$6, MATCH(TRUE, 'Hulp (CAO''s)'!$D$3:$D$6, 0)))</f>
        <v/>
      </c>
      <c r="L59" s="10" t="str">
        <f t="array" aca="1" ref="L59" ca="1">IF($B59="", "", INDEX('Hulp (CAO''s)'!Q$3:Q$6, MATCH(TRUE, 'Hulp (CAO''s)'!$D$3:$D$6, 0)))</f>
        <v/>
      </c>
      <c r="M59" s="10" t="str">
        <f t="array" aca="1" ref="M59" ca="1">IF($B59="", "", INDEX('Hulp (CAO''s)'!R$3:R$6, MATCH(TRUE, 'Hulp (CAO''s)'!$D$3:$D$6, 0)))</f>
        <v/>
      </c>
      <c r="N59" s="10" t="str">
        <f t="array" aca="1" ref="N59" ca="1">IF($B59="", "", INDEX('Hulp (CAO''s)'!S$3:S$6, MATCH(TRUE, 'Hulp (CAO''s)'!$D$3:$D$6, 0)))</f>
        <v/>
      </c>
      <c r="O59" s="10" t="str">
        <f t="array" aca="1" ref="O59" ca="1">IF($B59="", "", INDEX('Hulp (CAO''s)'!T$3:T$6, MATCH(TRUE, 'Hulp (CAO''s)'!$D$3:$D$6, 0)))</f>
        <v/>
      </c>
      <c r="P59" s="10" t="str">
        <f t="array" aca="1" ref="P59" ca="1">IF($B59="", "", INDEX('Hulp (CAO''s)'!U$3:U$6, MATCH(TRUE, 'Hulp (CAO''s)'!$D$3:$D$6, 0)))</f>
        <v/>
      </c>
      <c r="Q59" s="10" t="str">
        <f t="array" aca="1" ref="Q59" ca="1">IF($B59="", "", INDEX('Hulp (CAO''s)'!V$3:V$6, MATCH(TRUE, 'Hulp (CAO''s)'!$D$3:$D$6, 0)))</f>
        <v/>
      </c>
      <c r="R59" s="10" t="str">
        <f t="array" aca="1" ref="R59" ca="1">IF($B59="", "", INDEX('Hulp (CAO''s)'!W$3:W$6, MATCH(TRUE, 'Hulp (CAO''s)'!$D$3:$D$6, 0)))</f>
        <v/>
      </c>
      <c r="S59" s="10" t="str">
        <f t="array" aca="1" ref="S59" ca="1">IF($B59="", "", INDEX('Hulp (CAO''s)'!X$3:X$6, MATCH(TRUE, 'Hulp (CAO''s)'!$D$3:$D$6, 0)))</f>
        <v/>
      </c>
      <c r="T59" s="11" t="str">
        <f t="array" aca="1" ref="T59" ca="1">IF($B59="", "", INDEX('Hulp (CAO''s)'!Y$3:Y$6, MATCH(TRUE, 'Hulp (CAO''s)'!$D$3:$D$6, 0)))</f>
        <v/>
      </c>
      <c r="V59" s="25" t="s">
        <v>32</v>
      </c>
      <c r="W59" s="5"/>
    </row>
    <row r="60" spans="2:24" x14ac:dyDescent="0.5">
      <c r="D60" s="23" t="s">
        <v>29</v>
      </c>
      <c r="E60" s="6"/>
      <c r="F60" s="6"/>
      <c r="G60" s="6"/>
      <c r="H60" s="6"/>
      <c r="I60" s="6"/>
      <c r="J60" s="6"/>
      <c r="K60" s="6"/>
      <c r="L60" s="6"/>
      <c r="M60" s="6"/>
      <c r="N60" s="6"/>
      <c r="O60" s="6"/>
      <c r="P60" s="6"/>
      <c r="Q60" s="6"/>
      <c r="R60" s="6"/>
      <c r="S60" s="6"/>
      <c r="T60" s="4"/>
      <c r="V60" s="52">
        <v>4300</v>
      </c>
      <c r="X60" s="60" t="s">
        <v>747</v>
      </c>
    </row>
    <row r="61" spans="2:24" ht="14.65" thickBot="1" x14ac:dyDescent="0.5">
      <c r="B61"/>
      <c r="D61" s="40" t="str">
        <f>IFERROR(
   INDEX('Hulp (CAO''s)'!$I$3:$I$6, MATCH(TRUE, 'Hulp (CAO''s)'!$D$3:$D$6, 0)),
"")</f>
        <v>Bruto maandsalaris</v>
      </c>
      <c r="E61" s="86" t="str">
        <f t="array" aca="1" ref="E61" ca="1">IF(
    IFERROR(MIN(
        IF(
            (TRIM(INDIRECT("'" &amp; INDEX('Hulp (CAO''s)'!$C$3:$C$6,
                MATCH(TRUE,'Hulp (CAO''s)'!$D$3:$D$6,0)) &amp; "'!B1:B1000")) = TEXT(E60,"0")) *
            (ROW(INDIRECT("'" &amp; INDEX('Hulp (CAO''s)'!$C$3:$C$6,
                MATCH(TRUE,'Hulp (CAO''s)'!$D$3:$D$6,0)) &amp; "'!B1:B1000")) &gt; MATCH(
                E59,
                INDIRECT("'" &amp; INDEX('Hulp (CAO''s)'!$C$3:$C$6,
                    MATCH(TRUE,'Hulp (CAO''s)'!$D$3:$D$6,0)) &amp; "'!A:A"),
                0
            )) *
            IF(
                F59="",
                1,
                (ROW(INDIRECT("'" &amp; INDEX('Hulp (CAO''s)'!$C$3:$C$6,
                    MATCH(TRUE,'Hulp (CAO''s)'!$D$3:$D$6,0)) &amp; "'!B1:B1000")) &lt; MATCH(
                    F59,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TEXT(E60,"0")) *
                (ROW(INDIRECT("'" &amp; INDEX('Hulp (CAO''s)'!$C$3:$C$6,
                    MATCH(TRUE,'Hulp (CAO''s)'!$D$3:$D$6,0)) &amp; "'!B1:B1000")) &gt; MATCH(
                    E59,
                    INDIRECT("'" &amp; INDEX('Hulp (CAO''s)'!$C$3:$C$6,
                        MATCH(TRUE,'Hulp (CAO''s)'!$D$3:$D$6,0)) &amp; "'!A:A"),
                    0
                )) *
                IF(
                    F59="",
                    1,
                    (ROW(INDIRECT("'" &amp; INDEX('Hulp (CAO''s)'!$C$3:$C$6,
                        MATCH(TRUE,'Hulp (CAO''s)'!$D$3:$D$6,0)) &amp; "'!B1:B1000")) &lt; MATCH(
                        F59,
                        INDIRECT("'" &amp; INDEX('Hulp (CAO''s)'!$C$3:$C$6,
                            MATCH(TRUE,'Hulp (CAO''s)'!$D$3:$D$6,0)) &amp; "'!A:A"),
                        0
                    ))
                ),
                ROW(INDIRECT("'" &amp; INDEX('Hulp (CAO''s)'!$C$3:$C$6,
                    MATCH(TRUE,'Hulp (CAO''s)'!$D$3:$D$6,0)) &amp; "'!B1:B1000"))
            )
        ),0)
    )
)</f>
        <v/>
      </c>
      <c r="F61" s="86" t="str">
        <f t="array" aca="1" ref="F61" ca="1">IF(
    IFERROR(MIN(
        IF(
            (TRIM(INDIRECT("'" &amp; INDEX('Hulp (CAO''s)'!$C$3:$C$6,
                MATCH(TRUE,'Hulp (CAO''s)'!$D$3:$D$6,0)) &amp; "'!B1:B1000")) = TEXT(F60,"0")) *
            (ROW(INDIRECT("'" &amp; INDEX('Hulp (CAO''s)'!$C$3:$C$6,
                MATCH(TRUE,'Hulp (CAO''s)'!$D$3:$D$6,0)) &amp; "'!B1:B1000")) &gt; MATCH(
                F59,
                INDIRECT("'" &amp; INDEX('Hulp (CAO''s)'!$C$3:$C$6,
                    MATCH(TRUE,'Hulp (CAO''s)'!$D$3:$D$6,0)) &amp; "'!A:A"),
                0
            )) *
            IF(
                G59="",
                1,
                (ROW(INDIRECT("'" &amp; INDEX('Hulp (CAO''s)'!$C$3:$C$6,
                    MATCH(TRUE,'Hulp (CAO''s)'!$D$3:$D$6,0)) &amp; "'!B1:B1000")) &lt; MATCH(
                    G59,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TEXT(F60,"0")) *
                (ROW(INDIRECT("'" &amp; INDEX('Hulp (CAO''s)'!$C$3:$C$6,
                    MATCH(TRUE,'Hulp (CAO''s)'!$D$3:$D$6,0)) &amp; "'!B1:B1000")) &gt; MATCH(
                    F59,
                    INDIRECT("'" &amp; INDEX('Hulp (CAO''s)'!$C$3:$C$6,
                        MATCH(TRUE,'Hulp (CAO''s)'!$D$3:$D$6,0)) &amp; "'!A:A"),
                    0
                )) *
                IF(
                    G59="",
                    1,
                    (ROW(INDIRECT("'" &amp; INDEX('Hulp (CAO''s)'!$C$3:$C$6,
                        MATCH(TRUE,'Hulp (CAO''s)'!$D$3:$D$6,0)) &amp; "'!B1:B1000")) &lt; MATCH(
                        G59,
                        INDIRECT("'" &amp; INDEX('Hulp (CAO''s)'!$C$3:$C$6,
                            MATCH(TRUE,'Hulp (CAO''s)'!$D$3:$D$6,0)) &amp; "'!A:A"),
                        0
                    ))
                ),
                ROW(INDIRECT("'" &amp; INDEX('Hulp (CAO''s)'!$C$3:$C$6,
                    MATCH(TRUE,'Hulp (CAO''s)'!$D$3:$D$6,0)) &amp; "'!B1:B1000"))
            )
        ),0)
    )
)</f>
        <v/>
      </c>
      <c r="G61" s="86" t="str">
        <f t="array" aca="1" ref="G61" ca="1">IF(
    IFERROR(MIN(
        IF(
            (TRIM(INDIRECT("'" &amp; INDEX('Hulp (CAO''s)'!$C$3:$C$6,
                MATCH(TRUE,'Hulp (CAO''s)'!$D$3:$D$6,0)) &amp; "'!B1:B1000")) = TEXT(G60,"0")) *
            (ROW(INDIRECT("'" &amp; INDEX('Hulp (CAO''s)'!$C$3:$C$6,
                MATCH(TRUE,'Hulp (CAO''s)'!$D$3:$D$6,0)) &amp; "'!B1:B1000")) &gt; MATCH(
                G59,
                INDIRECT("'" &amp; INDEX('Hulp (CAO''s)'!$C$3:$C$6,
                    MATCH(TRUE,'Hulp (CAO''s)'!$D$3:$D$6,0)) &amp; "'!A:A"),
                0
            )) *
            IF(
                H59="",
                1,
                (ROW(INDIRECT("'" &amp; INDEX('Hulp (CAO''s)'!$C$3:$C$6,
                    MATCH(TRUE,'Hulp (CAO''s)'!$D$3:$D$6,0)) &amp; "'!B1:B1000")) &lt; MATCH(
                    H59,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TEXT(G60,"0")) *
                (ROW(INDIRECT("'" &amp; INDEX('Hulp (CAO''s)'!$C$3:$C$6,
                    MATCH(TRUE,'Hulp (CAO''s)'!$D$3:$D$6,0)) &amp; "'!B1:B1000")) &gt; MATCH(
                    G59,
                    INDIRECT("'" &amp; INDEX('Hulp (CAO''s)'!$C$3:$C$6,
                        MATCH(TRUE,'Hulp (CAO''s)'!$D$3:$D$6,0)) &amp; "'!A:A"),
                    0
                )) *
                IF(
                    H59="",
                    1,
                    (ROW(INDIRECT("'" &amp; INDEX('Hulp (CAO''s)'!$C$3:$C$6,
                        MATCH(TRUE,'Hulp (CAO''s)'!$D$3:$D$6,0)) &amp; "'!B1:B1000")) &lt; MATCH(
                        H59,
                        INDIRECT("'" &amp; INDEX('Hulp (CAO''s)'!$C$3:$C$6,
                            MATCH(TRUE,'Hulp (CAO''s)'!$D$3:$D$6,0)) &amp; "'!A:A"),
                        0
                    ))
                ),
                ROW(INDIRECT("'" &amp; INDEX('Hulp (CAO''s)'!$C$3:$C$6,
                    MATCH(TRUE,'Hulp (CAO''s)'!$D$3:$D$6,0)) &amp; "'!B1:B1000"))
            )
        ),0)
    )
)</f>
        <v/>
      </c>
      <c r="H61" s="86" t="str">
        <f t="array" aca="1" ref="H61" ca="1">IF(
    IFERROR(MIN(
        IF(
            (TRIM(INDIRECT("'" &amp; INDEX('Hulp (CAO''s)'!$C$3:$C$6,
                MATCH(TRUE,'Hulp (CAO''s)'!$D$3:$D$6,0)) &amp; "'!B1:B1000")) = TEXT(H60,"0")) *
            (ROW(INDIRECT("'" &amp; INDEX('Hulp (CAO''s)'!$C$3:$C$6,
                MATCH(TRUE,'Hulp (CAO''s)'!$D$3:$D$6,0)) &amp; "'!B1:B1000")) &gt; MATCH(
                H59,
                INDIRECT("'" &amp; INDEX('Hulp (CAO''s)'!$C$3:$C$6,
                    MATCH(TRUE,'Hulp (CAO''s)'!$D$3:$D$6,0)) &amp; "'!A:A"),
                0
            )) *
            IF(
                I59="",
                1,
                (ROW(INDIRECT("'" &amp; INDEX('Hulp (CAO''s)'!$C$3:$C$6,
                    MATCH(TRUE,'Hulp (CAO''s)'!$D$3:$D$6,0)) &amp; "'!B1:B1000")) &lt; MATCH(
                    I59,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TEXT(H60,"0")) *
                (ROW(INDIRECT("'" &amp; INDEX('Hulp (CAO''s)'!$C$3:$C$6,
                    MATCH(TRUE,'Hulp (CAO''s)'!$D$3:$D$6,0)) &amp; "'!B1:B1000")) &gt; MATCH(
                    H59,
                    INDIRECT("'" &amp; INDEX('Hulp (CAO''s)'!$C$3:$C$6,
                        MATCH(TRUE,'Hulp (CAO''s)'!$D$3:$D$6,0)) &amp; "'!A:A"),
                    0
                )) *
                IF(
                    I59="",
                    1,
                    (ROW(INDIRECT("'" &amp; INDEX('Hulp (CAO''s)'!$C$3:$C$6,
                        MATCH(TRUE,'Hulp (CAO''s)'!$D$3:$D$6,0)) &amp; "'!B1:B1000")) &lt; MATCH(
                        I59,
                        INDIRECT("'" &amp; INDEX('Hulp (CAO''s)'!$C$3:$C$6,
                            MATCH(TRUE,'Hulp (CAO''s)'!$D$3:$D$6,0)) &amp; "'!A:A"),
                        0
                    ))
                ),
                ROW(INDIRECT("'" &amp; INDEX('Hulp (CAO''s)'!$C$3:$C$6,
                    MATCH(TRUE,'Hulp (CAO''s)'!$D$3:$D$6,0)) &amp; "'!B1:B1000"))
            )
        ),0)
    )
)</f>
        <v/>
      </c>
      <c r="I61" s="86" t="str">
        <f t="array" aca="1" ref="I61" ca="1">IF(
    IFERROR(MIN(
        IF(
            (TRIM(INDIRECT("'" &amp; INDEX('Hulp (CAO''s)'!$C$3:$C$6,
                MATCH(TRUE,'Hulp (CAO''s)'!$D$3:$D$6,0)) &amp; "'!B1:B1000")) = TEXT(I60,"0")) *
            (ROW(INDIRECT("'" &amp; INDEX('Hulp (CAO''s)'!$C$3:$C$6,
                MATCH(TRUE,'Hulp (CAO''s)'!$D$3:$D$6,0)) &amp; "'!B1:B1000")) &gt; MATCH(
                I59,
                INDIRECT("'" &amp; INDEX('Hulp (CAO''s)'!$C$3:$C$6,
                    MATCH(TRUE,'Hulp (CAO''s)'!$D$3:$D$6,0)) &amp; "'!A:A"),
                0
            )) *
            IF(
                J59="",
                1,
                (ROW(INDIRECT("'" &amp; INDEX('Hulp (CAO''s)'!$C$3:$C$6,
                    MATCH(TRUE,'Hulp (CAO''s)'!$D$3:$D$6,0)) &amp; "'!B1:B1000")) &lt; MATCH(
                    J59,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TEXT(I60,"0")) *
                (ROW(INDIRECT("'" &amp; INDEX('Hulp (CAO''s)'!$C$3:$C$6,
                    MATCH(TRUE,'Hulp (CAO''s)'!$D$3:$D$6,0)) &amp; "'!B1:B1000")) &gt; MATCH(
                    I59,
                    INDIRECT("'" &amp; INDEX('Hulp (CAO''s)'!$C$3:$C$6,
                        MATCH(TRUE,'Hulp (CAO''s)'!$D$3:$D$6,0)) &amp; "'!A:A"),
                    0
                )) *
                IF(
                    J59="",
                    1,
                    (ROW(INDIRECT("'" &amp; INDEX('Hulp (CAO''s)'!$C$3:$C$6,
                        MATCH(TRUE,'Hulp (CAO''s)'!$D$3:$D$6,0)) &amp; "'!B1:B1000")) &lt; MATCH(
                        J59,
                        INDIRECT("'" &amp; INDEX('Hulp (CAO''s)'!$C$3:$C$6,
                            MATCH(TRUE,'Hulp (CAO''s)'!$D$3:$D$6,0)) &amp; "'!A:A"),
                        0
                    ))
                ),
                ROW(INDIRECT("'" &amp; INDEX('Hulp (CAO''s)'!$C$3:$C$6,
                    MATCH(TRUE,'Hulp (CAO''s)'!$D$3:$D$6,0)) &amp; "'!B1:B1000"))
            )
        ),0)
    )
)</f>
        <v/>
      </c>
      <c r="J61" s="86" t="str">
        <f t="array" aca="1" ref="J61" ca="1">IF(
    IFERROR(MIN(
        IF(
            (TRIM(INDIRECT("'" &amp; INDEX('Hulp (CAO''s)'!$C$3:$C$6,
                MATCH(TRUE,'Hulp (CAO''s)'!$D$3:$D$6,0)) &amp; "'!B1:B1000")) = TEXT(J60,"0")) *
            (ROW(INDIRECT("'" &amp; INDEX('Hulp (CAO''s)'!$C$3:$C$6,
                MATCH(TRUE,'Hulp (CAO''s)'!$D$3:$D$6,0)) &amp; "'!B1:B1000")) &gt; MATCH(
                J59,
                INDIRECT("'" &amp; INDEX('Hulp (CAO''s)'!$C$3:$C$6,
                    MATCH(TRUE,'Hulp (CAO''s)'!$D$3:$D$6,0)) &amp; "'!A:A"),
                0
            )) *
            IF(
                K59="",
                1,
                (ROW(INDIRECT("'" &amp; INDEX('Hulp (CAO''s)'!$C$3:$C$6,
                    MATCH(TRUE,'Hulp (CAO''s)'!$D$3:$D$6,0)) &amp; "'!B1:B1000")) &lt; MATCH(
                    K59,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TEXT(J60,"0")) *
                (ROW(INDIRECT("'" &amp; INDEX('Hulp (CAO''s)'!$C$3:$C$6,
                    MATCH(TRUE,'Hulp (CAO''s)'!$D$3:$D$6,0)) &amp; "'!B1:B1000")) &gt; MATCH(
                    J59,
                    INDIRECT("'" &amp; INDEX('Hulp (CAO''s)'!$C$3:$C$6,
                        MATCH(TRUE,'Hulp (CAO''s)'!$D$3:$D$6,0)) &amp; "'!A:A"),
                    0
                )) *
                IF(
                    K59="",
                    1,
                    (ROW(INDIRECT("'" &amp; INDEX('Hulp (CAO''s)'!$C$3:$C$6,
                        MATCH(TRUE,'Hulp (CAO''s)'!$D$3:$D$6,0)) &amp; "'!B1:B1000")) &lt; MATCH(
                        K59,
                        INDIRECT("'" &amp; INDEX('Hulp (CAO''s)'!$C$3:$C$6,
                            MATCH(TRUE,'Hulp (CAO''s)'!$D$3:$D$6,0)) &amp; "'!A:A"),
                        0
                    ))
                ),
                ROW(INDIRECT("'" &amp; INDEX('Hulp (CAO''s)'!$C$3:$C$6,
                    MATCH(TRUE,'Hulp (CAO''s)'!$D$3:$D$6,0)) &amp; "'!B1:B1000"))
            )
        ),0)
    )
)</f>
        <v/>
      </c>
      <c r="K61" s="86" t="str">
        <f t="array" aca="1" ref="K61" ca="1">IF(
    IFERROR(MIN(
        IF(
            (TRIM(INDIRECT("'" &amp; INDEX('Hulp (CAO''s)'!$C$3:$C$6,
                MATCH(TRUE,'Hulp (CAO''s)'!$D$3:$D$6,0)) &amp; "'!B1:B1000")) = TEXT(K60,"0")) *
            (ROW(INDIRECT("'" &amp; INDEX('Hulp (CAO''s)'!$C$3:$C$6,
                MATCH(TRUE,'Hulp (CAO''s)'!$D$3:$D$6,0)) &amp; "'!B1:B1000")) &gt; MATCH(
                K59,
                INDIRECT("'" &amp; INDEX('Hulp (CAO''s)'!$C$3:$C$6,
                    MATCH(TRUE,'Hulp (CAO''s)'!$D$3:$D$6,0)) &amp; "'!A:A"),
                0
            )) *
            IF(
                L59="",
                1,
                (ROW(INDIRECT("'" &amp; INDEX('Hulp (CAO''s)'!$C$3:$C$6,
                    MATCH(TRUE,'Hulp (CAO''s)'!$D$3:$D$6,0)) &amp; "'!B1:B1000")) &lt; MATCH(
                    L59,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TEXT(K60,"0")) *
                (ROW(INDIRECT("'" &amp; INDEX('Hulp (CAO''s)'!$C$3:$C$6,
                    MATCH(TRUE,'Hulp (CAO''s)'!$D$3:$D$6,0)) &amp; "'!B1:B1000")) &gt; MATCH(
                    K59,
                    INDIRECT("'" &amp; INDEX('Hulp (CAO''s)'!$C$3:$C$6,
                        MATCH(TRUE,'Hulp (CAO''s)'!$D$3:$D$6,0)) &amp; "'!A:A"),
                    0
                )) *
                IF(
                    L59="",
                    1,
                    (ROW(INDIRECT("'" &amp; INDEX('Hulp (CAO''s)'!$C$3:$C$6,
                        MATCH(TRUE,'Hulp (CAO''s)'!$D$3:$D$6,0)) &amp; "'!B1:B1000")) &lt; MATCH(
                        L59,
                        INDIRECT("'" &amp; INDEX('Hulp (CAO''s)'!$C$3:$C$6,
                            MATCH(TRUE,'Hulp (CAO''s)'!$D$3:$D$6,0)) &amp; "'!A:A"),
                        0
                    ))
                ),
                ROW(INDIRECT("'" &amp; INDEX('Hulp (CAO''s)'!$C$3:$C$6,
                    MATCH(TRUE,'Hulp (CAO''s)'!$D$3:$D$6,0)) &amp; "'!B1:B1000"))
            )
        ),0)
    )
)</f>
        <v/>
      </c>
      <c r="L61" s="86" t="str">
        <f t="array" aca="1" ref="L61" ca="1">IF(
    IFERROR(MIN(
        IF(
            (TRIM(INDIRECT("'" &amp; INDEX('Hulp (CAO''s)'!$C$3:$C$6,
                MATCH(TRUE,'Hulp (CAO''s)'!$D$3:$D$6,0)) &amp; "'!B1:B1000")) = TEXT(L60,"0")) *
            (ROW(INDIRECT("'" &amp; INDEX('Hulp (CAO''s)'!$C$3:$C$6,
                MATCH(TRUE,'Hulp (CAO''s)'!$D$3:$D$6,0)) &amp; "'!B1:B1000")) &gt; MATCH(
                L59,
                INDIRECT("'" &amp; INDEX('Hulp (CAO''s)'!$C$3:$C$6,
                    MATCH(TRUE,'Hulp (CAO''s)'!$D$3:$D$6,0)) &amp; "'!A:A"),
                0
            )) *
            IF(
                M59="",
                1,
                (ROW(INDIRECT("'" &amp; INDEX('Hulp (CAO''s)'!$C$3:$C$6,
                    MATCH(TRUE,'Hulp (CAO''s)'!$D$3:$D$6,0)) &amp; "'!B1:B1000")) &lt; MATCH(
                    M59,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TEXT(L60,"0")) *
                (ROW(INDIRECT("'" &amp; INDEX('Hulp (CAO''s)'!$C$3:$C$6,
                    MATCH(TRUE,'Hulp (CAO''s)'!$D$3:$D$6,0)) &amp; "'!B1:B1000")) &gt; MATCH(
                    L59,
                    INDIRECT("'" &amp; INDEX('Hulp (CAO''s)'!$C$3:$C$6,
                        MATCH(TRUE,'Hulp (CAO''s)'!$D$3:$D$6,0)) &amp; "'!A:A"),
                    0
                )) *
                IF(
                    M59="",
                    1,
                    (ROW(INDIRECT("'" &amp; INDEX('Hulp (CAO''s)'!$C$3:$C$6,
                        MATCH(TRUE,'Hulp (CAO''s)'!$D$3:$D$6,0)) &amp; "'!B1:B1000")) &lt; MATCH(
                        M59,
                        INDIRECT("'" &amp; INDEX('Hulp (CAO''s)'!$C$3:$C$6,
                            MATCH(TRUE,'Hulp (CAO''s)'!$D$3:$D$6,0)) &amp; "'!A:A"),
                        0
                    ))
                ),
                ROW(INDIRECT("'" &amp; INDEX('Hulp (CAO''s)'!$C$3:$C$6,
                    MATCH(TRUE,'Hulp (CAO''s)'!$D$3:$D$6,0)) &amp; "'!B1:B1000"))
            )
        ),0)
    )
)</f>
        <v/>
      </c>
      <c r="M61" s="86" t="str">
        <f t="array" aca="1" ref="M61" ca="1">IF(
    IFERROR(MIN(
        IF(
            (TRIM(INDIRECT("'" &amp; INDEX('Hulp (CAO''s)'!$C$3:$C$6,
                MATCH(TRUE,'Hulp (CAO''s)'!$D$3:$D$6,0)) &amp; "'!B1:B1000")) = TEXT(M60,"0")) *
            (ROW(INDIRECT("'" &amp; INDEX('Hulp (CAO''s)'!$C$3:$C$6,
                MATCH(TRUE,'Hulp (CAO''s)'!$D$3:$D$6,0)) &amp; "'!B1:B1000")) &gt; MATCH(
                M59,
                INDIRECT("'" &amp; INDEX('Hulp (CAO''s)'!$C$3:$C$6,
                    MATCH(TRUE,'Hulp (CAO''s)'!$D$3:$D$6,0)) &amp; "'!A:A"),
                0
            )) *
            IF(
                N59="",
                1,
                (ROW(INDIRECT("'" &amp; INDEX('Hulp (CAO''s)'!$C$3:$C$6,
                    MATCH(TRUE,'Hulp (CAO''s)'!$D$3:$D$6,0)) &amp; "'!B1:B1000")) &lt; MATCH(
                    N59,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TEXT(M60,"0")) *
                (ROW(INDIRECT("'" &amp; INDEX('Hulp (CAO''s)'!$C$3:$C$6,
                    MATCH(TRUE,'Hulp (CAO''s)'!$D$3:$D$6,0)) &amp; "'!B1:B1000")) &gt; MATCH(
                    M59,
                    INDIRECT("'" &amp; INDEX('Hulp (CAO''s)'!$C$3:$C$6,
                        MATCH(TRUE,'Hulp (CAO''s)'!$D$3:$D$6,0)) &amp; "'!A:A"),
                    0
                )) *
                IF(
                    N59="",
                    1,
                    (ROW(INDIRECT("'" &amp; INDEX('Hulp (CAO''s)'!$C$3:$C$6,
                        MATCH(TRUE,'Hulp (CAO''s)'!$D$3:$D$6,0)) &amp; "'!B1:B1000")) &lt; MATCH(
                        N59,
                        INDIRECT("'" &amp; INDEX('Hulp (CAO''s)'!$C$3:$C$6,
                            MATCH(TRUE,'Hulp (CAO''s)'!$D$3:$D$6,0)) &amp; "'!A:A"),
                        0
                    ))
                ),
                ROW(INDIRECT("'" &amp; INDEX('Hulp (CAO''s)'!$C$3:$C$6,
                    MATCH(TRUE,'Hulp (CAO''s)'!$D$3:$D$6,0)) &amp; "'!B1:B1000"))
            )
        ),0)
    )
)</f>
        <v/>
      </c>
      <c r="N61" s="86" t="str">
        <f t="array" aca="1" ref="N61" ca="1">IF(
    IFERROR(MIN(
        IF(
            (TRIM(INDIRECT("'" &amp; INDEX('Hulp (CAO''s)'!$C$3:$C$6,
                MATCH(TRUE,'Hulp (CAO''s)'!$D$3:$D$6,0)) &amp; "'!B1:B1000")) = TEXT(N60,"0")) *
            (ROW(INDIRECT("'" &amp; INDEX('Hulp (CAO''s)'!$C$3:$C$6,
                MATCH(TRUE,'Hulp (CAO''s)'!$D$3:$D$6,0)) &amp; "'!B1:B1000")) &gt; MATCH(
                N59,
                INDIRECT("'" &amp; INDEX('Hulp (CAO''s)'!$C$3:$C$6,
                    MATCH(TRUE,'Hulp (CAO''s)'!$D$3:$D$6,0)) &amp; "'!A:A"),
                0
            )) *
            IF(
                O59="",
                1,
                (ROW(INDIRECT("'" &amp; INDEX('Hulp (CAO''s)'!$C$3:$C$6,
                    MATCH(TRUE,'Hulp (CAO''s)'!$D$3:$D$6,0)) &amp; "'!B1:B1000")) &lt; MATCH(
                    O59,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TEXT(N60,"0")) *
                (ROW(INDIRECT("'" &amp; INDEX('Hulp (CAO''s)'!$C$3:$C$6,
                    MATCH(TRUE,'Hulp (CAO''s)'!$D$3:$D$6,0)) &amp; "'!B1:B1000")) &gt; MATCH(
                    N59,
                    INDIRECT("'" &amp; INDEX('Hulp (CAO''s)'!$C$3:$C$6,
                        MATCH(TRUE,'Hulp (CAO''s)'!$D$3:$D$6,0)) &amp; "'!A:A"),
                    0
                )) *
                IF(
                    O59="",
                    1,
                    (ROW(INDIRECT("'" &amp; INDEX('Hulp (CAO''s)'!$C$3:$C$6,
                        MATCH(TRUE,'Hulp (CAO''s)'!$D$3:$D$6,0)) &amp; "'!B1:B1000")) &lt; MATCH(
                        O59,
                        INDIRECT("'" &amp; INDEX('Hulp (CAO''s)'!$C$3:$C$6,
                            MATCH(TRUE,'Hulp (CAO''s)'!$D$3:$D$6,0)) &amp; "'!A:A"),
                        0
                    ))
                ),
                ROW(INDIRECT("'" &amp; INDEX('Hulp (CAO''s)'!$C$3:$C$6,
                    MATCH(TRUE,'Hulp (CAO''s)'!$D$3:$D$6,0)) &amp; "'!B1:B1000"))
            )
        ),0)
    )
)</f>
        <v/>
      </c>
      <c r="O61" s="86" t="str">
        <f t="array" aca="1" ref="O61" ca="1">IF(
    IFERROR(MIN(
        IF(
            (TRIM(INDIRECT("'" &amp; INDEX('Hulp (CAO''s)'!$C$3:$C$6,
                MATCH(TRUE,'Hulp (CAO''s)'!$D$3:$D$6,0)) &amp; "'!B1:B1000")) = TEXT(O60,"0")) *
            (ROW(INDIRECT("'" &amp; INDEX('Hulp (CAO''s)'!$C$3:$C$6,
                MATCH(TRUE,'Hulp (CAO''s)'!$D$3:$D$6,0)) &amp; "'!B1:B1000")) &gt; MATCH(
                O59,
                INDIRECT("'" &amp; INDEX('Hulp (CAO''s)'!$C$3:$C$6,
                    MATCH(TRUE,'Hulp (CAO''s)'!$D$3:$D$6,0)) &amp; "'!A:A"),
                0
            )) *
            IF(
                P59="",
                1,
                (ROW(INDIRECT("'" &amp; INDEX('Hulp (CAO''s)'!$C$3:$C$6,
                    MATCH(TRUE,'Hulp (CAO''s)'!$D$3:$D$6,0)) &amp; "'!B1:B1000")) &lt; MATCH(
                    P59,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TEXT(O60,"0")) *
                (ROW(INDIRECT("'" &amp; INDEX('Hulp (CAO''s)'!$C$3:$C$6,
                    MATCH(TRUE,'Hulp (CAO''s)'!$D$3:$D$6,0)) &amp; "'!B1:B1000")) &gt; MATCH(
                    O59,
                    INDIRECT("'" &amp; INDEX('Hulp (CAO''s)'!$C$3:$C$6,
                        MATCH(TRUE,'Hulp (CAO''s)'!$D$3:$D$6,0)) &amp; "'!A:A"),
                    0
                )) *
                IF(
                    P59="",
                    1,
                    (ROW(INDIRECT("'" &amp; INDEX('Hulp (CAO''s)'!$C$3:$C$6,
                        MATCH(TRUE,'Hulp (CAO''s)'!$D$3:$D$6,0)) &amp; "'!B1:B1000")) &lt; MATCH(
                        P59,
                        INDIRECT("'" &amp; INDEX('Hulp (CAO''s)'!$C$3:$C$6,
                            MATCH(TRUE,'Hulp (CAO''s)'!$D$3:$D$6,0)) &amp; "'!A:A"),
                        0
                    ))
                ),
                ROW(INDIRECT("'" &amp; INDEX('Hulp (CAO''s)'!$C$3:$C$6,
                    MATCH(TRUE,'Hulp (CAO''s)'!$D$3:$D$6,0)) &amp; "'!B1:B1000"))
            )
        ),0)
    )
)</f>
        <v/>
      </c>
      <c r="P61" s="86" t="str">
        <f t="array" aca="1" ref="P61" ca="1">IF(
    IFERROR(MIN(
        IF(
            (TRIM(INDIRECT("'" &amp; INDEX('Hulp (CAO''s)'!$C$3:$C$6,
                MATCH(TRUE,'Hulp (CAO''s)'!$D$3:$D$6,0)) &amp; "'!B1:B1000")) = TEXT(P60,"0")) *
            (ROW(INDIRECT("'" &amp; INDEX('Hulp (CAO''s)'!$C$3:$C$6,
                MATCH(TRUE,'Hulp (CAO''s)'!$D$3:$D$6,0)) &amp; "'!B1:B1000")) &gt; MATCH(
                P59,
                INDIRECT("'" &amp; INDEX('Hulp (CAO''s)'!$C$3:$C$6,
                    MATCH(TRUE,'Hulp (CAO''s)'!$D$3:$D$6,0)) &amp; "'!A:A"),
                0
            )) *
            IF(
                Q59="",
                1,
                (ROW(INDIRECT("'" &amp; INDEX('Hulp (CAO''s)'!$C$3:$C$6,
                    MATCH(TRUE,'Hulp (CAO''s)'!$D$3:$D$6,0)) &amp; "'!B1:B1000")) &lt; MATCH(
                    Q59,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TEXT(P60,"0")) *
                (ROW(INDIRECT("'" &amp; INDEX('Hulp (CAO''s)'!$C$3:$C$6,
                    MATCH(TRUE,'Hulp (CAO''s)'!$D$3:$D$6,0)) &amp; "'!B1:B1000")) &gt; MATCH(
                    P59,
                    INDIRECT("'" &amp; INDEX('Hulp (CAO''s)'!$C$3:$C$6,
                        MATCH(TRUE,'Hulp (CAO''s)'!$D$3:$D$6,0)) &amp; "'!A:A"),
                    0
                )) *
                IF(
                    Q59="",
                    1,
                    (ROW(INDIRECT("'" &amp; INDEX('Hulp (CAO''s)'!$C$3:$C$6,
                        MATCH(TRUE,'Hulp (CAO''s)'!$D$3:$D$6,0)) &amp; "'!B1:B1000")) &lt; MATCH(
                        Q59,
                        INDIRECT("'" &amp; INDEX('Hulp (CAO''s)'!$C$3:$C$6,
                            MATCH(TRUE,'Hulp (CAO''s)'!$D$3:$D$6,0)) &amp; "'!A:A"),
                        0
                    ))
                ),
                ROW(INDIRECT("'" &amp; INDEX('Hulp (CAO''s)'!$C$3:$C$6,
                    MATCH(TRUE,'Hulp (CAO''s)'!$D$3:$D$6,0)) &amp; "'!B1:B1000"))
            )
        ),0)
    )
)</f>
        <v/>
      </c>
      <c r="Q61" s="86" t="str">
        <f t="array" aca="1" ref="Q61" ca="1">IF(
    IFERROR(MIN(
        IF(
            (TRIM(INDIRECT("'" &amp; INDEX('Hulp (CAO''s)'!$C$3:$C$6,
                MATCH(TRUE,'Hulp (CAO''s)'!$D$3:$D$6,0)) &amp; "'!B1:B1000")) = TEXT(Q60,"0")) *
            (ROW(INDIRECT("'" &amp; INDEX('Hulp (CAO''s)'!$C$3:$C$6,
                MATCH(TRUE,'Hulp (CAO''s)'!$D$3:$D$6,0)) &amp; "'!B1:B1000")) &gt; MATCH(
                Q59,
                INDIRECT("'" &amp; INDEX('Hulp (CAO''s)'!$C$3:$C$6,
                    MATCH(TRUE,'Hulp (CAO''s)'!$D$3:$D$6,0)) &amp; "'!A:A"),
                0
            )) *
            IF(
                R59="",
                1,
                (ROW(INDIRECT("'" &amp; INDEX('Hulp (CAO''s)'!$C$3:$C$6,
                    MATCH(TRUE,'Hulp (CAO''s)'!$D$3:$D$6,0)) &amp; "'!B1:B1000")) &lt; MATCH(
                    R59,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TEXT(Q60,"0")) *
                (ROW(INDIRECT("'" &amp; INDEX('Hulp (CAO''s)'!$C$3:$C$6,
                    MATCH(TRUE,'Hulp (CAO''s)'!$D$3:$D$6,0)) &amp; "'!B1:B1000")) &gt; MATCH(
                    Q59,
                    INDIRECT("'" &amp; INDEX('Hulp (CAO''s)'!$C$3:$C$6,
                        MATCH(TRUE,'Hulp (CAO''s)'!$D$3:$D$6,0)) &amp; "'!A:A"),
                    0
                )) *
                IF(
                    R59="",
                    1,
                    (ROW(INDIRECT("'" &amp; INDEX('Hulp (CAO''s)'!$C$3:$C$6,
                        MATCH(TRUE,'Hulp (CAO''s)'!$D$3:$D$6,0)) &amp; "'!B1:B1000")) &lt; MATCH(
                        R59,
                        INDIRECT("'" &amp; INDEX('Hulp (CAO''s)'!$C$3:$C$6,
                            MATCH(TRUE,'Hulp (CAO''s)'!$D$3:$D$6,0)) &amp; "'!A:A"),
                        0
                    ))
                ),
                ROW(INDIRECT("'" &amp; INDEX('Hulp (CAO''s)'!$C$3:$C$6,
                    MATCH(TRUE,'Hulp (CAO''s)'!$D$3:$D$6,0)) &amp; "'!B1:B1000"))
            )
        ),0)
    )
)</f>
        <v/>
      </c>
      <c r="R61" s="86" t="str">
        <f t="array" aca="1" ref="R61" ca="1">IF(
    IFERROR(MIN(
        IF(
            (TRIM(INDIRECT("'" &amp; INDEX('Hulp (CAO''s)'!$C$3:$C$6,
                MATCH(TRUE,'Hulp (CAO''s)'!$D$3:$D$6,0)) &amp; "'!B1:B1000")) = TEXT(R60,"0")) *
            (ROW(INDIRECT("'" &amp; INDEX('Hulp (CAO''s)'!$C$3:$C$6,
                MATCH(TRUE,'Hulp (CAO''s)'!$D$3:$D$6,0)) &amp; "'!B1:B1000")) &gt; MATCH(
                R59,
                INDIRECT("'" &amp; INDEX('Hulp (CAO''s)'!$C$3:$C$6,
                    MATCH(TRUE,'Hulp (CAO''s)'!$D$3:$D$6,0)) &amp; "'!A:A"),
                0
            )) *
            IF(
                S59="",
                1,
                (ROW(INDIRECT("'" &amp; INDEX('Hulp (CAO''s)'!$C$3:$C$6,
                    MATCH(TRUE,'Hulp (CAO''s)'!$D$3:$D$6,0)) &amp; "'!B1:B1000")) &lt; MATCH(
                    S59,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TEXT(R60,"0")) *
                (ROW(INDIRECT("'" &amp; INDEX('Hulp (CAO''s)'!$C$3:$C$6,
                    MATCH(TRUE,'Hulp (CAO''s)'!$D$3:$D$6,0)) &amp; "'!B1:B1000")) &gt; MATCH(
                    R59,
                    INDIRECT("'" &amp; INDEX('Hulp (CAO''s)'!$C$3:$C$6,
                        MATCH(TRUE,'Hulp (CAO''s)'!$D$3:$D$6,0)) &amp; "'!A:A"),
                    0
                )) *
                IF(
                    S59="",
                    1,
                    (ROW(INDIRECT("'" &amp; INDEX('Hulp (CAO''s)'!$C$3:$C$6,
                        MATCH(TRUE,'Hulp (CAO''s)'!$D$3:$D$6,0)) &amp; "'!B1:B1000")) &lt; MATCH(
                        S59,
                        INDIRECT("'" &amp; INDEX('Hulp (CAO''s)'!$C$3:$C$6,
                            MATCH(TRUE,'Hulp (CAO''s)'!$D$3:$D$6,0)) &amp; "'!A:A"),
                        0
                    ))
                ),
                ROW(INDIRECT("'" &amp; INDEX('Hulp (CAO''s)'!$C$3:$C$6,
                    MATCH(TRUE,'Hulp (CAO''s)'!$D$3:$D$6,0)) &amp; "'!B1:B1000"))
            )
        ),0)
    )
)</f>
        <v/>
      </c>
      <c r="S61" s="86" t="str">
        <f t="array" aca="1" ref="S61" ca="1">IF(
    IFERROR(MIN(
        IF(
            (TRIM(INDIRECT("'" &amp; INDEX('Hulp (CAO''s)'!$C$3:$C$6,
                MATCH(TRUE,'Hulp (CAO''s)'!$D$3:$D$6,0)) &amp; "'!B1:B1000")) = TEXT(S60,"0")) *
            (ROW(INDIRECT("'" &amp; INDEX('Hulp (CAO''s)'!$C$3:$C$6,
                MATCH(TRUE,'Hulp (CAO''s)'!$D$3:$D$6,0)) &amp; "'!B1:B1000")) &gt; MATCH(
                S59,
                INDIRECT("'" &amp; INDEX('Hulp (CAO''s)'!$C$3:$C$6,
                    MATCH(TRUE,'Hulp (CAO''s)'!$D$3:$D$6,0)) &amp; "'!A:A"),
                0
            )) *
            IF(
                T59="",
                1,
                (ROW(INDIRECT("'" &amp; INDEX('Hulp (CAO''s)'!$C$3:$C$6,
                    MATCH(TRUE,'Hulp (CAO''s)'!$D$3:$D$6,0)) &amp; "'!B1:B1000")) &lt; MATCH(
                    T59,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TEXT(S60,"0")) *
                (ROW(INDIRECT("'" &amp; INDEX('Hulp (CAO''s)'!$C$3:$C$6,
                    MATCH(TRUE,'Hulp (CAO''s)'!$D$3:$D$6,0)) &amp; "'!B1:B1000")) &gt; MATCH(
                    S59,
                    INDIRECT("'" &amp; INDEX('Hulp (CAO''s)'!$C$3:$C$6,
                        MATCH(TRUE,'Hulp (CAO''s)'!$D$3:$D$6,0)) &amp; "'!A:A"),
                    0
                )) *
                IF(
                    T59="",
                    1,
                    (ROW(INDIRECT("'" &amp; INDEX('Hulp (CAO''s)'!$C$3:$C$6,
                        MATCH(TRUE,'Hulp (CAO''s)'!$D$3:$D$6,0)) &amp; "'!B1:B1000")) &lt; MATCH(
                        T59,
                        INDIRECT("'" &amp; INDEX('Hulp (CAO''s)'!$C$3:$C$6,
                            MATCH(TRUE,'Hulp (CAO''s)'!$D$3:$D$6,0)) &amp; "'!A:A"),
                        0
                    ))
                ),
                ROW(INDIRECT("'" &amp; INDEX('Hulp (CAO''s)'!$C$3:$C$6,
                    MATCH(TRUE,'Hulp (CAO''s)'!$D$3:$D$6,0)) &amp; "'!B1:B1000"))
            )
        ),0)
    )
)</f>
        <v/>
      </c>
      <c r="T61" s="39" t="str">
        <f t="array" aca="1" ref="T61" ca="1">IF(
    IFERROR(MIN(
        IF(
            (TRIM(INDIRECT("'" &amp; INDEX('Hulp (CAO''s)'!$C$3:$C$6,
                MATCH(TRUE,'Hulp (CAO''s)'!$D$3:$D$6,0)) &amp; "'!B1:B1000")) = TEXT(T60,"0")) *
            (ROW(INDIRECT("'" &amp; INDEX('Hulp (CAO''s)'!$C$3:$C$6,
                MATCH(TRUE,'Hulp (CAO''s)'!$D$3:$D$6,0)) &amp; "'!B1:B1000")) &gt; MATCH(
                T59,
                INDIRECT("'" &amp; INDEX('Hulp (CAO''s)'!$C$3:$C$6,
                    MATCH(TRUE,'Hulp (CAO''s)'!$D$3:$D$6,0)) &amp; "'!A:A"),
                0
            )) *
            IF(
                U59="",
                1,
                (ROW(INDIRECT("'" &amp; INDEX('Hulp (CAO''s)'!$C$3:$C$6,
                    MATCH(TRUE,'Hulp (CAO''s)'!$D$3:$D$6,0)) &amp; "'!B1:B1000")) &lt; MATCH(
                    U59,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TEXT(T60,"0")) *
                (ROW(INDIRECT("'" &amp; INDEX('Hulp (CAO''s)'!$C$3:$C$6,
                    MATCH(TRUE,'Hulp (CAO''s)'!$D$3:$D$6,0)) &amp; "'!B1:B1000")) &gt; MATCH(
                    T59,
                    INDIRECT("'" &amp; INDEX('Hulp (CAO''s)'!$C$3:$C$6,
                        MATCH(TRUE,'Hulp (CAO''s)'!$D$3:$D$6,0)) &amp; "'!A:A"),
                    0
                )) *
                IF(
                    U59="",
                    1,
                    (ROW(INDIRECT("'" &amp; INDEX('Hulp (CAO''s)'!$C$3:$C$6,
                        MATCH(TRUE,'Hulp (CAO''s)'!$D$3:$D$6,0)) &amp; "'!B1:B1000")) &lt; MATCH(
                        U59,
                        INDIRECT("'" &amp; INDEX('Hulp (CAO''s)'!$C$3:$C$6,
                            MATCH(TRUE,'Hulp (CAO''s)'!$D$3:$D$6,0)) &amp; "'!A:A"),
                        0
                    ))
                ),
                ROW(INDIRECT("'" &amp; INDEX('Hulp (CAO''s)'!$C$3:$C$6,
                    MATCH(TRUE,'Hulp (CAO''s)'!$D$3:$D$6,0)) &amp; "'!B1:B1000"))
            )
        ),0)
    )
)</f>
        <v/>
      </c>
      <c r="V61" s="38" t="str">
        <f t="array" aca="1" ref="V61" ca="1">IF(
   SUM(E61:T61)=0,
   "",
   (
      SUMPRODUCT(
         IF(E61:T61="",0,E61:T61),
         IF(E62:T62="",0,E62:T62) * SUM(E62:T62)
      )
   ) *
   IF(
      'Hulp (CAO''s)'!#REF!,
      IF(
         OR(
            INDEX(#REF!, ROW(#REF!) + INT((ROW()-ROW($V$7))/6)*8)="",
            ISNA(INDEX(#REF!, ROW(#REF!) + INT((ROW()-ROW($V$7))/6)*8))
         ),
         1878/12,
         INDEX(#REF!, ROW(#REF!) + INT((ROW()-ROW($V$7))/6)*8)/12
      ),
      1
   )
)</f>
        <v/>
      </c>
    </row>
    <row r="62" spans="2:24" ht="14.65" thickBot="1" x14ac:dyDescent="0.5">
      <c r="B62" s="48" t="s">
        <v>60</v>
      </c>
      <c r="D62" s="24" t="s">
        <v>59</v>
      </c>
      <c r="E62" s="8"/>
      <c r="F62" s="8"/>
      <c r="G62" s="8"/>
      <c r="H62" s="8"/>
      <c r="I62" s="8"/>
      <c r="J62" s="8"/>
      <c r="K62" s="8"/>
      <c r="L62" s="8"/>
      <c r="M62" s="8"/>
      <c r="N62" s="8"/>
      <c r="O62" s="8"/>
      <c r="P62" s="8"/>
      <c r="Q62" s="8"/>
      <c r="R62" s="8"/>
      <c r="S62" s="8"/>
      <c r="T62" s="9"/>
      <c r="U62" s="7"/>
      <c r="V62" s="37" t="str">
        <f ca="1">IF(B59="","",IF(INDIRECT("'Hulp (control forms)'!C" &amp; (13 + INT((ROW()-ROW($B$5))/6))), V60, V61))</f>
        <v/>
      </c>
      <c r="W62" s="7"/>
    </row>
    <row r="63" spans="2:24" x14ac:dyDescent="0.5">
      <c r="S63" s="7" t="str">
        <f>IF($B62="Aandeel in %",
   "Totaal: "&amp;SUM(E62:T62)*100&amp;"%",
   "Totaal: "&amp;SUM(E62:T62)&amp;" uur"
)</f>
        <v>Totaal: 0%</v>
      </c>
      <c r="T63" s="7"/>
    </row>
    <row r="64" spans="2:24" ht="16.149999999999999" thickBot="1" x14ac:dyDescent="0.55000000000000004">
      <c r="B64" s="44" t="str">
        <f ca="1">IF(B65="","",IF(
   OR(
      INDIRECT("'1a. Input organisatieniveau'!N" &amp; (14 + INT((ROW()-4)/6)))="",
      INDIRECT("'1a. Input organisatieniveau'!N" &amp; (14 + INT((ROW()-4)/6)))=0
   ),
   "",
   INDIRECT("'1a. Input organisatieniveau'!N" &amp; (14 + INT((ROW()-4)/6)))
))</f>
        <v/>
      </c>
      <c r="E64" s="61" t="str">
        <f t="shared" ref="E64:T64" ca="1" si="10">IF(AND(AND(E65&lt;&gt;"",E66&lt;&gt;""),E67=""),"!","")</f>
        <v/>
      </c>
      <c r="F64" s="61" t="str">
        <f t="shared" ca="1" si="10"/>
        <v/>
      </c>
      <c r="G64" s="61" t="str">
        <f t="shared" ca="1" si="10"/>
        <v/>
      </c>
      <c r="H64" s="61" t="str">
        <f t="shared" ca="1" si="10"/>
        <v/>
      </c>
      <c r="I64" s="61" t="str">
        <f t="shared" ca="1" si="10"/>
        <v/>
      </c>
      <c r="J64" s="61" t="str">
        <f t="shared" ca="1" si="10"/>
        <v/>
      </c>
      <c r="K64" s="61" t="str">
        <f t="shared" ca="1" si="10"/>
        <v/>
      </c>
      <c r="L64" s="61" t="str">
        <f t="shared" ca="1" si="10"/>
        <v/>
      </c>
      <c r="M64" s="61" t="str">
        <f t="shared" ca="1" si="10"/>
        <v/>
      </c>
      <c r="N64" s="61" t="str">
        <f t="shared" ca="1" si="10"/>
        <v/>
      </c>
      <c r="O64" s="61" t="str">
        <f t="shared" ca="1" si="10"/>
        <v/>
      </c>
      <c r="P64" s="61" t="str">
        <f t="shared" ca="1" si="10"/>
        <v/>
      </c>
      <c r="Q64" s="61" t="str">
        <f t="shared" ca="1" si="10"/>
        <v/>
      </c>
      <c r="R64" s="61" t="str">
        <f t="shared" ca="1" si="10"/>
        <v/>
      </c>
      <c r="S64" s="61" t="str">
        <f t="shared" ca="1" si="10"/>
        <v/>
      </c>
      <c r="T64" s="61" t="str">
        <f t="shared" ca="1" si="10"/>
        <v/>
      </c>
    </row>
    <row r="65" spans="2:24" ht="16.149999999999999" thickBot="1" x14ac:dyDescent="0.55000000000000004">
      <c r="B65" s="45" t="str">
        <f ca="1">IF(
   OR(
      INDIRECT("'1a. Input organisatieniveau'!M" &amp; (14 + INT((ROW()-4)/6)))="",
      INDIRECT("'1a. Input organisatieniveau'!M" &amp; (14 + INT((ROW()-4)/6)))=0
   ),
   "",
   INDIRECT("'1a. Input organisatieniveau'!M" &amp; (14 + INT((ROW()-4)/6)))
)</f>
        <v/>
      </c>
      <c r="D65" s="22" t="s">
        <v>28</v>
      </c>
      <c r="E65" s="10" t="str">
        <f t="array" aca="1" ref="E65" ca="1">IF($B65="", "", INDEX('Hulp (CAO''s)'!J$3:J$6, MATCH(TRUE, 'Hulp (CAO''s)'!$D$3:$D$6, 0)))</f>
        <v/>
      </c>
      <c r="F65" s="10" t="str">
        <f t="array" aca="1" ref="F65" ca="1">IF($B65="", "", INDEX('Hulp (CAO''s)'!K$3:K$6, MATCH(TRUE, 'Hulp (CAO''s)'!$D$3:$D$6, 0)))</f>
        <v/>
      </c>
      <c r="G65" s="10" t="str">
        <f t="array" aca="1" ref="G65" ca="1">IF($B65="", "", INDEX('Hulp (CAO''s)'!L$3:L$6, MATCH(TRUE, 'Hulp (CAO''s)'!$D$3:$D$6, 0)))</f>
        <v/>
      </c>
      <c r="H65" s="10" t="str">
        <f t="array" aca="1" ref="H65" ca="1">IF($B65="", "", INDEX('Hulp (CAO''s)'!M$3:M$6, MATCH(TRUE, 'Hulp (CAO''s)'!$D$3:$D$6, 0)))</f>
        <v/>
      </c>
      <c r="I65" s="10" t="str">
        <f t="array" aca="1" ref="I65" ca="1">IF($B65="", "", INDEX('Hulp (CAO''s)'!N$3:N$6, MATCH(TRUE, 'Hulp (CAO''s)'!$D$3:$D$6, 0)))</f>
        <v/>
      </c>
      <c r="J65" s="10" t="str">
        <f t="array" aca="1" ref="J65" ca="1">IF($B65="", "", INDEX('Hulp (CAO''s)'!O$3:O$6, MATCH(TRUE, 'Hulp (CAO''s)'!$D$3:$D$6, 0)))</f>
        <v/>
      </c>
      <c r="K65" s="10" t="str">
        <f t="array" aca="1" ref="K65" ca="1">IF($B65="", "", INDEX('Hulp (CAO''s)'!P$3:P$6, MATCH(TRUE, 'Hulp (CAO''s)'!$D$3:$D$6, 0)))</f>
        <v/>
      </c>
      <c r="L65" s="10" t="str">
        <f t="array" aca="1" ref="L65" ca="1">IF($B65="", "", INDEX('Hulp (CAO''s)'!Q$3:Q$6, MATCH(TRUE, 'Hulp (CAO''s)'!$D$3:$D$6, 0)))</f>
        <v/>
      </c>
      <c r="M65" s="10" t="str">
        <f t="array" aca="1" ref="M65" ca="1">IF($B65="", "", INDEX('Hulp (CAO''s)'!R$3:R$6, MATCH(TRUE, 'Hulp (CAO''s)'!$D$3:$D$6, 0)))</f>
        <v/>
      </c>
      <c r="N65" s="10" t="str">
        <f t="array" aca="1" ref="N65" ca="1">IF($B65="", "", INDEX('Hulp (CAO''s)'!S$3:S$6, MATCH(TRUE, 'Hulp (CAO''s)'!$D$3:$D$6, 0)))</f>
        <v/>
      </c>
      <c r="O65" s="10" t="str">
        <f t="array" aca="1" ref="O65" ca="1">IF($B65="", "", INDEX('Hulp (CAO''s)'!T$3:T$6, MATCH(TRUE, 'Hulp (CAO''s)'!$D$3:$D$6, 0)))</f>
        <v/>
      </c>
      <c r="P65" s="10" t="str">
        <f t="array" aca="1" ref="P65" ca="1">IF($B65="", "", INDEX('Hulp (CAO''s)'!U$3:U$6, MATCH(TRUE, 'Hulp (CAO''s)'!$D$3:$D$6, 0)))</f>
        <v/>
      </c>
      <c r="Q65" s="10" t="str">
        <f t="array" aca="1" ref="Q65" ca="1">IF($B65="", "", INDEX('Hulp (CAO''s)'!V$3:V$6, MATCH(TRUE, 'Hulp (CAO''s)'!$D$3:$D$6, 0)))</f>
        <v/>
      </c>
      <c r="R65" s="10" t="str">
        <f t="array" aca="1" ref="R65" ca="1">IF($B65="", "", INDEX('Hulp (CAO''s)'!W$3:W$6, MATCH(TRUE, 'Hulp (CAO''s)'!$D$3:$D$6, 0)))</f>
        <v/>
      </c>
      <c r="S65" s="10" t="str">
        <f t="array" aca="1" ref="S65" ca="1">IF($B65="", "", INDEX('Hulp (CAO''s)'!X$3:X$6, MATCH(TRUE, 'Hulp (CAO''s)'!$D$3:$D$6, 0)))</f>
        <v/>
      </c>
      <c r="T65" s="11" t="str">
        <f t="array" aca="1" ref="T65" ca="1">IF($B65="", "", INDEX('Hulp (CAO''s)'!Y$3:Y$6, MATCH(TRUE, 'Hulp (CAO''s)'!$D$3:$D$6, 0)))</f>
        <v/>
      </c>
      <c r="V65" s="25" t="s">
        <v>32</v>
      </c>
      <c r="W65" s="5"/>
    </row>
    <row r="66" spans="2:24" x14ac:dyDescent="0.5">
      <c r="D66" s="23" t="s">
        <v>29</v>
      </c>
      <c r="E66" s="6"/>
      <c r="F66" s="6"/>
      <c r="G66" s="6"/>
      <c r="H66" s="6"/>
      <c r="I66" s="6"/>
      <c r="J66" s="6"/>
      <c r="K66" s="6"/>
      <c r="L66" s="6"/>
      <c r="M66" s="6"/>
      <c r="N66" s="6"/>
      <c r="O66" s="6"/>
      <c r="P66" s="6"/>
      <c r="Q66" s="6"/>
      <c r="R66" s="6"/>
      <c r="S66" s="6"/>
      <c r="T66" s="4"/>
      <c r="V66" s="52">
        <v>4300</v>
      </c>
      <c r="X66" s="60" t="s">
        <v>747</v>
      </c>
    </row>
    <row r="67" spans="2:24" ht="14.65" thickBot="1" x14ac:dyDescent="0.5">
      <c r="B67"/>
      <c r="D67" s="40" t="str">
        <f>IFERROR(
   INDEX('Hulp (CAO''s)'!$I$3:$I$6, MATCH(TRUE, 'Hulp (CAO''s)'!$D$3:$D$6, 0)),
"")</f>
        <v>Bruto maandsalaris</v>
      </c>
      <c r="E67" s="86" t="str">
        <f t="array" aca="1" ref="E67" ca="1">IF(
    IFERROR(MIN(
        IF(
            (TRIM(INDIRECT("'" &amp; INDEX('Hulp (CAO''s)'!$C$3:$C$6,
                MATCH(TRUE,'Hulp (CAO''s)'!$D$3:$D$6,0)) &amp; "'!B1:B1000")) = TEXT(E66,"0")) *
            (ROW(INDIRECT("'" &amp; INDEX('Hulp (CAO''s)'!$C$3:$C$6,
                MATCH(TRUE,'Hulp (CAO''s)'!$D$3:$D$6,0)) &amp; "'!B1:B1000")) &gt; MATCH(
                E65,
                INDIRECT("'" &amp; INDEX('Hulp (CAO''s)'!$C$3:$C$6,
                    MATCH(TRUE,'Hulp (CAO''s)'!$D$3:$D$6,0)) &amp; "'!A:A"),
                0
            )) *
            IF(
                F65="",
                1,
                (ROW(INDIRECT("'" &amp; INDEX('Hulp (CAO''s)'!$C$3:$C$6,
                    MATCH(TRUE,'Hulp (CAO''s)'!$D$3:$D$6,0)) &amp; "'!B1:B1000")) &lt; MATCH(
                    F65,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TEXT(E66,"0")) *
                (ROW(INDIRECT("'" &amp; INDEX('Hulp (CAO''s)'!$C$3:$C$6,
                    MATCH(TRUE,'Hulp (CAO''s)'!$D$3:$D$6,0)) &amp; "'!B1:B1000")) &gt; MATCH(
                    E65,
                    INDIRECT("'" &amp; INDEX('Hulp (CAO''s)'!$C$3:$C$6,
                        MATCH(TRUE,'Hulp (CAO''s)'!$D$3:$D$6,0)) &amp; "'!A:A"),
                    0
                )) *
                IF(
                    F65="",
                    1,
                    (ROW(INDIRECT("'" &amp; INDEX('Hulp (CAO''s)'!$C$3:$C$6,
                        MATCH(TRUE,'Hulp (CAO''s)'!$D$3:$D$6,0)) &amp; "'!B1:B1000")) &lt; MATCH(
                        F65,
                        INDIRECT("'" &amp; INDEX('Hulp (CAO''s)'!$C$3:$C$6,
                            MATCH(TRUE,'Hulp (CAO''s)'!$D$3:$D$6,0)) &amp; "'!A:A"),
                        0
                    ))
                ),
                ROW(INDIRECT("'" &amp; INDEX('Hulp (CAO''s)'!$C$3:$C$6,
                    MATCH(TRUE,'Hulp (CAO''s)'!$D$3:$D$6,0)) &amp; "'!B1:B1000"))
            )
        ),0)
    )
)</f>
        <v/>
      </c>
      <c r="F67" s="86" t="str">
        <f t="array" aca="1" ref="F67" ca="1">IF(
    IFERROR(MIN(
        IF(
            (TRIM(INDIRECT("'" &amp; INDEX('Hulp (CAO''s)'!$C$3:$C$6,
                MATCH(TRUE,'Hulp (CAO''s)'!$D$3:$D$6,0)) &amp; "'!B1:B1000")) = TEXT(F66,"0")) *
            (ROW(INDIRECT("'" &amp; INDEX('Hulp (CAO''s)'!$C$3:$C$6,
                MATCH(TRUE,'Hulp (CAO''s)'!$D$3:$D$6,0)) &amp; "'!B1:B1000")) &gt; MATCH(
                F65,
                INDIRECT("'" &amp; INDEX('Hulp (CAO''s)'!$C$3:$C$6,
                    MATCH(TRUE,'Hulp (CAO''s)'!$D$3:$D$6,0)) &amp; "'!A:A"),
                0
            )) *
            IF(
                G65="",
                1,
                (ROW(INDIRECT("'" &amp; INDEX('Hulp (CAO''s)'!$C$3:$C$6,
                    MATCH(TRUE,'Hulp (CAO''s)'!$D$3:$D$6,0)) &amp; "'!B1:B1000")) &lt; MATCH(
                    G65,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TEXT(F66,"0")) *
                (ROW(INDIRECT("'" &amp; INDEX('Hulp (CAO''s)'!$C$3:$C$6,
                    MATCH(TRUE,'Hulp (CAO''s)'!$D$3:$D$6,0)) &amp; "'!B1:B1000")) &gt; MATCH(
                    F65,
                    INDIRECT("'" &amp; INDEX('Hulp (CAO''s)'!$C$3:$C$6,
                        MATCH(TRUE,'Hulp (CAO''s)'!$D$3:$D$6,0)) &amp; "'!A:A"),
                    0
                )) *
                IF(
                    G65="",
                    1,
                    (ROW(INDIRECT("'" &amp; INDEX('Hulp (CAO''s)'!$C$3:$C$6,
                        MATCH(TRUE,'Hulp (CAO''s)'!$D$3:$D$6,0)) &amp; "'!B1:B1000")) &lt; MATCH(
                        G65,
                        INDIRECT("'" &amp; INDEX('Hulp (CAO''s)'!$C$3:$C$6,
                            MATCH(TRUE,'Hulp (CAO''s)'!$D$3:$D$6,0)) &amp; "'!A:A"),
                        0
                    ))
                ),
                ROW(INDIRECT("'" &amp; INDEX('Hulp (CAO''s)'!$C$3:$C$6,
                    MATCH(TRUE,'Hulp (CAO''s)'!$D$3:$D$6,0)) &amp; "'!B1:B1000"))
            )
        ),0)
    )
)</f>
        <v/>
      </c>
      <c r="G67" s="86" t="str">
        <f t="array" aca="1" ref="G67" ca="1">IF(
    IFERROR(MIN(
        IF(
            (TRIM(INDIRECT("'" &amp; INDEX('Hulp (CAO''s)'!$C$3:$C$6,
                MATCH(TRUE,'Hulp (CAO''s)'!$D$3:$D$6,0)) &amp; "'!B1:B1000")) = TEXT(G66,"0")) *
            (ROW(INDIRECT("'" &amp; INDEX('Hulp (CAO''s)'!$C$3:$C$6,
                MATCH(TRUE,'Hulp (CAO''s)'!$D$3:$D$6,0)) &amp; "'!B1:B1000")) &gt; MATCH(
                G65,
                INDIRECT("'" &amp; INDEX('Hulp (CAO''s)'!$C$3:$C$6,
                    MATCH(TRUE,'Hulp (CAO''s)'!$D$3:$D$6,0)) &amp; "'!A:A"),
                0
            )) *
            IF(
                H65="",
                1,
                (ROW(INDIRECT("'" &amp; INDEX('Hulp (CAO''s)'!$C$3:$C$6,
                    MATCH(TRUE,'Hulp (CAO''s)'!$D$3:$D$6,0)) &amp; "'!B1:B1000")) &lt; MATCH(
                    H65,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TEXT(G66,"0")) *
                (ROW(INDIRECT("'" &amp; INDEX('Hulp (CAO''s)'!$C$3:$C$6,
                    MATCH(TRUE,'Hulp (CAO''s)'!$D$3:$D$6,0)) &amp; "'!B1:B1000")) &gt; MATCH(
                    G65,
                    INDIRECT("'" &amp; INDEX('Hulp (CAO''s)'!$C$3:$C$6,
                        MATCH(TRUE,'Hulp (CAO''s)'!$D$3:$D$6,0)) &amp; "'!A:A"),
                    0
                )) *
                IF(
                    H65="",
                    1,
                    (ROW(INDIRECT("'" &amp; INDEX('Hulp (CAO''s)'!$C$3:$C$6,
                        MATCH(TRUE,'Hulp (CAO''s)'!$D$3:$D$6,0)) &amp; "'!B1:B1000")) &lt; MATCH(
                        H65,
                        INDIRECT("'" &amp; INDEX('Hulp (CAO''s)'!$C$3:$C$6,
                            MATCH(TRUE,'Hulp (CAO''s)'!$D$3:$D$6,0)) &amp; "'!A:A"),
                        0
                    ))
                ),
                ROW(INDIRECT("'" &amp; INDEX('Hulp (CAO''s)'!$C$3:$C$6,
                    MATCH(TRUE,'Hulp (CAO''s)'!$D$3:$D$6,0)) &amp; "'!B1:B1000"))
            )
        ),0)
    )
)</f>
        <v/>
      </c>
      <c r="H67" s="86" t="str">
        <f t="array" aca="1" ref="H67" ca="1">IF(
    IFERROR(MIN(
        IF(
            (TRIM(INDIRECT("'" &amp; INDEX('Hulp (CAO''s)'!$C$3:$C$6,
                MATCH(TRUE,'Hulp (CAO''s)'!$D$3:$D$6,0)) &amp; "'!B1:B1000")) = TEXT(H66,"0")) *
            (ROW(INDIRECT("'" &amp; INDEX('Hulp (CAO''s)'!$C$3:$C$6,
                MATCH(TRUE,'Hulp (CAO''s)'!$D$3:$D$6,0)) &amp; "'!B1:B1000")) &gt; MATCH(
                H65,
                INDIRECT("'" &amp; INDEX('Hulp (CAO''s)'!$C$3:$C$6,
                    MATCH(TRUE,'Hulp (CAO''s)'!$D$3:$D$6,0)) &amp; "'!A:A"),
                0
            )) *
            IF(
                I65="",
                1,
                (ROW(INDIRECT("'" &amp; INDEX('Hulp (CAO''s)'!$C$3:$C$6,
                    MATCH(TRUE,'Hulp (CAO''s)'!$D$3:$D$6,0)) &amp; "'!B1:B1000")) &lt; MATCH(
                    I65,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TEXT(H66,"0")) *
                (ROW(INDIRECT("'" &amp; INDEX('Hulp (CAO''s)'!$C$3:$C$6,
                    MATCH(TRUE,'Hulp (CAO''s)'!$D$3:$D$6,0)) &amp; "'!B1:B1000")) &gt; MATCH(
                    H65,
                    INDIRECT("'" &amp; INDEX('Hulp (CAO''s)'!$C$3:$C$6,
                        MATCH(TRUE,'Hulp (CAO''s)'!$D$3:$D$6,0)) &amp; "'!A:A"),
                    0
                )) *
                IF(
                    I65="",
                    1,
                    (ROW(INDIRECT("'" &amp; INDEX('Hulp (CAO''s)'!$C$3:$C$6,
                        MATCH(TRUE,'Hulp (CAO''s)'!$D$3:$D$6,0)) &amp; "'!B1:B1000")) &lt; MATCH(
                        I65,
                        INDIRECT("'" &amp; INDEX('Hulp (CAO''s)'!$C$3:$C$6,
                            MATCH(TRUE,'Hulp (CAO''s)'!$D$3:$D$6,0)) &amp; "'!A:A"),
                        0
                    ))
                ),
                ROW(INDIRECT("'" &amp; INDEX('Hulp (CAO''s)'!$C$3:$C$6,
                    MATCH(TRUE,'Hulp (CAO''s)'!$D$3:$D$6,0)) &amp; "'!B1:B1000"))
            )
        ),0)
    )
)</f>
        <v/>
      </c>
      <c r="I67" s="86" t="str">
        <f t="array" aca="1" ref="I67" ca="1">IF(
    IFERROR(MIN(
        IF(
            (TRIM(INDIRECT("'" &amp; INDEX('Hulp (CAO''s)'!$C$3:$C$6,
                MATCH(TRUE,'Hulp (CAO''s)'!$D$3:$D$6,0)) &amp; "'!B1:B1000")) = TEXT(I66,"0")) *
            (ROW(INDIRECT("'" &amp; INDEX('Hulp (CAO''s)'!$C$3:$C$6,
                MATCH(TRUE,'Hulp (CAO''s)'!$D$3:$D$6,0)) &amp; "'!B1:B1000")) &gt; MATCH(
                I65,
                INDIRECT("'" &amp; INDEX('Hulp (CAO''s)'!$C$3:$C$6,
                    MATCH(TRUE,'Hulp (CAO''s)'!$D$3:$D$6,0)) &amp; "'!A:A"),
                0
            )) *
            IF(
                J65="",
                1,
                (ROW(INDIRECT("'" &amp; INDEX('Hulp (CAO''s)'!$C$3:$C$6,
                    MATCH(TRUE,'Hulp (CAO''s)'!$D$3:$D$6,0)) &amp; "'!B1:B1000")) &lt; MATCH(
                    J65,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TEXT(I66,"0")) *
                (ROW(INDIRECT("'" &amp; INDEX('Hulp (CAO''s)'!$C$3:$C$6,
                    MATCH(TRUE,'Hulp (CAO''s)'!$D$3:$D$6,0)) &amp; "'!B1:B1000")) &gt; MATCH(
                    I65,
                    INDIRECT("'" &amp; INDEX('Hulp (CAO''s)'!$C$3:$C$6,
                        MATCH(TRUE,'Hulp (CAO''s)'!$D$3:$D$6,0)) &amp; "'!A:A"),
                    0
                )) *
                IF(
                    J65="",
                    1,
                    (ROW(INDIRECT("'" &amp; INDEX('Hulp (CAO''s)'!$C$3:$C$6,
                        MATCH(TRUE,'Hulp (CAO''s)'!$D$3:$D$6,0)) &amp; "'!B1:B1000")) &lt; MATCH(
                        J65,
                        INDIRECT("'" &amp; INDEX('Hulp (CAO''s)'!$C$3:$C$6,
                            MATCH(TRUE,'Hulp (CAO''s)'!$D$3:$D$6,0)) &amp; "'!A:A"),
                        0
                    ))
                ),
                ROW(INDIRECT("'" &amp; INDEX('Hulp (CAO''s)'!$C$3:$C$6,
                    MATCH(TRUE,'Hulp (CAO''s)'!$D$3:$D$6,0)) &amp; "'!B1:B1000"))
            )
        ),0)
    )
)</f>
        <v/>
      </c>
      <c r="J67" s="86" t="str">
        <f t="array" aca="1" ref="J67" ca="1">IF(
    IFERROR(MIN(
        IF(
            (TRIM(INDIRECT("'" &amp; INDEX('Hulp (CAO''s)'!$C$3:$C$6,
                MATCH(TRUE,'Hulp (CAO''s)'!$D$3:$D$6,0)) &amp; "'!B1:B1000")) = TEXT(J66,"0")) *
            (ROW(INDIRECT("'" &amp; INDEX('Hulp (CAO''s)'!$C$3:$C$6,
                MATCH(TRUE,'Hulp (CAO''s)'!$D$3:$D$6,0)) &amp; "'!B1:B1000")) &gt; MATCH(
                J65,
                INDIRECT("'" &amp; INDEX('Hulp (CAO''s)'!$C$3:$C$6,
                    MATCH(TRUE,'Hulp (CAO''s)'!$D$3:$D$6,0)) &amp; "'!A:A"),
                0
            )) *
            IF(
                K65="",
                1,
                (ROW(INDIRECT("'" &amp; INDEX('Hulp (CAO''s)'!$C$3:$C$6,
                    MATCH(TRUE,'Hulp (CAO''s)'!$D$3:$D$6,0)) &amp; "'!B1:B1000")) &lt; MATCH(
                    K65,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TEXT(J66,"0")) *
                (ROW(INDIRECT("'" &amp; INDEX('Hulp (CAO''s)'!$C$3:$C$6,
                    MATCH(TRUE,'Hulp (CAO''s)'!$D$3:$D$6,0)) &amp; "'!B1:B1000")) &gt; MATCH(
                    J65,
                    INDIRECT("'" &amp; INDEX('Hulp (CAO''s)'!$C$3:$C$6,
                        MATCH(TRUE,'Hulp (CAO''s)'!$D$3:$D$6,0)) &amp; "'!A:A"),
                    0
                )) *
                IF(
                    K65="",
                    1,
                    (ROW(INDIRECT("'" &amp; INDEX('Hulp (CAO''s)'!$C$3:$C$6,
                        MATCH(TRUE,'Hulp (CAO''s)'!$D$3:$D$6,0)) &amp; "'!B1:B1000")) &lt; MATCH(
                        K65,
                        INDIRECT("'" &amp; INDEX('Hulp (CAO''s)'!$C$3:$C$6,
                            MATCH(TRUE,'Hulp (CAO''s)'!$D$3:$D$6,0)) &amp; "'!A:A"),
                        0
                    ))
                ),
                ROW(INDIRECT("'" &amp; INDEX('Hulp (CAO''s)'!$C$3:$C$6,
                    MATCH(TRUE,'Hulp (CAO''s)'!$D$3:$D$6,0)) &amp; "'!B1:B1000"))
            )
        ),0)
    )
)</f>
        <v/>
      </c>
      <c r="K67" s="86" t="str">
        <f t="array" aca="1" ref="K67" ca="1">IF(
    IFERROR(MIN(
        IF(
            (TRIM(INDIRECT("'" &amp; INDEX('Hulp (CAO''s)'!$C$3:$C$6,
                MATCH(TRUE,'Hulp (CAO''s)'!$D$3:$D$6,0)) &amp; "'!B1:B1000")) = TEXT(K66,"0")) *
            (ROW(INDIRECT("'" &amp; INDEX('Hulp (CAO''s)'!$C$3:$C$6,
                MATCH(TRUE,'Hulp (CAO''s)'!$D$3:$D$6,0)) &amp; "'!B1:B1000")) &gt; MATCH(
                K65,
                INDIRECT("'" &amp; INDEX('Hulp (CAO''s)'!$C$3:$C$6,
                    MATCH(TRUE,'Hulp (CAO''s)'!$D$3:$D$6,0)) &amp; "'!A:A"),
                0
            )) *
            IF(
                L65="",
                1,
                (ROW(INDIRECT("'" &amp; INDEX('Hulp (CAO''s)'!$C$3:$C$6,
                    MATCH(TRUE,'Hulp (CAO''s)'!$D$3:$D$6,0)) &amp; "'!B1:B1000")) &lt; MATCH(
                    L65,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TEXT(K66,"0")) *
                (ROW(INDIRECT("'" &amp; INDEX('Hulp (CAO''s)'!$C$3:$C$6,
                    MATCH(TRUE,'Hulp (CAO''s)'!$D$3:$D$6,0)) &amp; "'!B1:B1000")) &gt; MATCH(
                    K65,
                    INDIRECT("'" &amp; INDEX('Hulp (CAO''s)'!$C$3:$C$6,
                        MATCH(TRUE,'Hulp (CAO''s)'!$D$3:$D$6,0)) &amp; "'!A:A"),
                    0
                )) *
                IF(
                    L65="",
                    1,
                    (ROW(INDIRECT("'" &amp; INDEX('Hulp (CAO''s)'!$C$3:$C$6,
                        MATCH(TRUE,'Hulp (CAO''s)'!$D$3:$D$6,0)) &amp; "'!B1:B1000")) &lt; MATCH(
                        L65,
                        INDIRECT("'" &amp; INDEX('Hulp (CAO''s)'!$C$3:$C$6,
                            MATCH(TRUE,'Hulp (CAO''s)'!$D$3:$D$6,0)) &amp; "'!A:A"),
                        0
                    ))
                ),
                ROW(INDIRECT("'" &amp; INDEX('Hulp (CAO''s)'!$C$3:$C$6,
                    MATCH(TRUE,'Hulp (CAO''s)'!$D$3:$D$6,0)) &amp; "'!B1:B1000"))
            )
        ),0)
    )
)</f>
        <v/>
      </c>
      <c r="L67" s="86" t="str">
        <f t="array" aca="1" ref="L67" ca="1">IF(
    IFERROR(MIN(
        IF(
            (TRIM(INDIRECT("'" &amp; INDEX('Hulp (CAO''s)'!$C$3:$C$6,
                MATCH(TRUE,'Hulp (CAO''s)'!$D$3:$D$6,0)) &amp; "'!B1:B1000")) = TEXT(L66,"0")) *
            (ROW(INDIRECT("'" &amp; INDEX('Hulp (CAO''s)'!$C$3:$C$6,
                MATCH(TRUE,'Hulp (CAO''s)'!$D$3:$D$6,0)) &amp; "'!B1:B1000")) &gt; MATCH(
                L65,
                INDIRECT("'" &amp; INDEX('Hulp (CAO''s)'!$C$3:$C$6,
                    MATCH(TRUE,'Hulp (CAO''s)'!$D$3:$D$6,0)) &amp; "'!A:A"),
                0
            )) *
            IF(
                M65="",
                1,
                (ROW(INDIRECT("'" &amp; INDEX('Hulp (CAO''s)'!$C$3:$C$6,
                    MATCH(TRUE,'Hulp (CAO''s)'!$D$3:$D$6,0)) &amp; "'!B1:B1000")) &lt; MATCH(
                    M65,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TEXT(L66,"0")) *
                (ROW(INDIRECT("'" &amp; INDEX('Hulp (CAO''s)'!$C$3:$C$6,
                    MATCH(TRUE,'Hulp (CAO''s)'!$D$3:$D$6,0)) &amp; "'!B1:B1000")) &gt; MATCH(
                    L65,
                    INDIRECT("'" &amp; INDEX('Hulp (CAO''s)'!$C$3:$C$6,
                        MATCH(TRUE,'Hulp (CAO''s)'!$D$3:$D$6,0)) &amp; "'!A:A"),
                    0
                )) *
                IF(
                    M65="",
                    1,
                    (ROW(INDIRECT("'" &amp; INDEX('Hulp (CAO''s)'!$C$3:$C$6,
                        MATCH(TRUE,'Hulp (CAO''s)'!$D$3:$D$6,0)) &amp; "'!B1:B1000")) &lt; MATCH(
                        M65,
                        INDIRECT("'" &amp; INDEX('Hulp (CAO''s)'!$C$3:$C$6,
                            MATCH(TRUE,'Hulp (CAO''s)'!$D$3:$D$6,0)) &amp; "'!A:A"),
                        0
                    ))
                ),
                ROW(INDIRECT("'" &amp; INDEX('Hulp (CAO''s)'!$C$3:$C$6,
                    MATCH(TRUE,'Hulp (CAO''s)'!$D$3:$D$6,0)) &amp; "'!B1:B1000"))
            )
        ),0)
    )
)</f>
        <v/>
      </c>
      <c r="M67" s="86" t="str">
        <f t="array" aca="1" ref="M67" ca="1">IF(
    IFERROR(MIN(
        IF(
            (TRIM(INDIRECT("'" &amp; INDEX('Hulp (CAO''s)'!$C$3:$C$6,
                MATCH(TRUE,'Hulp (CAO''s)'!$D$3:$D$6,0)) &amp; "'!B1:B1000")) = TEXT(M66,"0")) *
            (ROW(INDIRECT("'" &amp; INDEX('Hulp (CAO''s)'!$C$3:$C$6,
                MATCH(TRUE,'Hulp (CAO''s)'!$D$3:$D$6,0)) &amp; "'!B1:B1000")) &gt; MATCH(
                M65,
                INDIRECT("'" &amp; INDEX('Hulp (CAO''s)'!$C$3:$C$6,
                    MATCH(TRUE,'Hulp (CAO''s)'!$D$3:$D$6,0)) &amp; "'!A:A"),
                0
            )) *
            IF(
                N65="",
                1,
                (ROW(INDIRECT("'" &amp; INDEX('Hulp (CAO''s)'!$C$3:$C$6,
                    MATCH(TRUE,'Hulp (CAO''s)'!$D$3:$D$6,0)) &amp; "'!B1:B1000")) &lt; MATCH(
                    N65,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TEXT(M66,"0")) *
                (ROW(INDIRECT("'" &amp; INDEX('Hulp (CAO''s)'!$C$3:$C$6,
                    MATCH(TRUE,'Hulp (CAO''s)'!$D$3:$D$6,0)) &amp; "'!B1:B1000")) &gt; MATCH(
                    M65,
                    INDIRECT("'" &amp; INDEX('Hulp (CAO''s)'!$C$3:$C$6,
                        MATCH(TRUE,'Hulp (CAO''s)'!$D$3:$D$6,0)) &amp; "'!A:A"),
                    0
                )) *
                IF(
                    N65="",
                    1,
                    (ROW(INDIRECT("'" &amp; INDEX('Hulp (CAO''s)'!$C$3:$C$6,
                        MATCH(TRUE,'Hulp (CAO''s)'!$D$3:$D$6,0)) &amp; "'!B1:B1000")) &lt; MATCH(
                        N65,
                        INDIRECT("'" &amp; INDEX('Hulp (CAO''s)'!$C$3:$C$6,
                            MATCH(TRUE,'Hulp (CAO''s)'!$D$3:$D$6,0)) &amp; "'!A:A"),
                        0
                    ))
                ),
                ROW(INDIRECT("'" &amp; INDEX('Hulp (CAO''s)'!$C$3:$C$6,
                    MATCH(TRUE,'Hulp (CAO''s)'!$D$3:$D$6,0)) &amp; "'!B1:B1000"))
            )
        ),0)
    )
)</f>
        <v/>
      </c>
      <c r="N67" s="86" t="str">
        <f t="array" aca="1" ref="N67" ca="1">IF(
    IFERROR(MIN(
        IF(
            (TRIM(INDIRECT("'" &amp; INDEX('Hulp (CAO''s)'!$C$3:$C$6,
                MATCH(TRUE,'Hulp (CAO''s)'!$D$3:$D$6,0)) &amp; "'!B1:B1000")) = TEXT(N66,"0")) *
            (ROW(INDIRECT("'" &amp; INDEX('Hulp (CAO''s)'!$C$3:$C$6,
                MATCH(TRUE,'Hulp (CAO''s)'!$D$3:$D$6,0)) &amp; "'!B1:B1000")) &gt; MATCH(
                N65,
                INDIRECT("'" &amp; INDEX('Hulp (CAO''s)'!$C$3:$C$6,
                    MATCH(TRUE,'Hulp (CAO''s)'!$D$3:$D$6,0)) &amp; "'!A:A"),
                0
            )) *
            IF(
                O65="",
                1,
                (ROW(INDIRECT("'" &amp; INDEX('Hulp (CAO''s)'!$C$3:$C$6,
                    MATCH(TRUE,'Hulp (CAO''s)'!$D$3:$D$6,0)) &amp; "'!B1:B1000")) &lt; MATCH(
                    O65,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TEXT(N66,"0")) *
                (ROW(INDIRECT("'" &amp; INDEX('Hulp (CAO''s)'!$C$3:$C$6,
                    MATCH(TRUE,'Hulp (CAO''s)'!$D$3:$D$6,0)) &amp; "'!B1:B1000")) &gt; MATCH(
                    N65,
                    INDIRECT("'" &amp; INDEX('Hulp (CAO''s)'!$C$3:$C$6,
                        MATCH(TRUE,'Hulp (CAO''s)'!$D$3:$D$6,0)) &amp; "'!A:A"),
                    0
                )) *
                IF(
                    O65="",
                    1,
                    (ROW(INDIRECT("'" &amp; INDEX('Hulp (CAO''s)'!$C$3:$C$6,
                        MATCH(TRUE,'Hulp (CAO''s)'!$D$3:$D$6,0)) &amp; "'!B1:B1000")) &lt; MATCH(
                        O65,
                        INDIRECT("'" &amp; INDEX('Hulp (CAO''s)'!$C$3:$C$6,
                            MATCH(TRUE,'Hulp (CAO''s)'!$D$3:$D$6,0)) &amp; "'!A:A"),
                        0
                    ))
                ),
                ROW(INDIRECT("'" &amp; INDEX('Hulp (CAO''s)'!$C$3:$C$6,
                    MATCH(TRUE,'Hulp (CAO''s)'!$D$3:$D$6,0)) &amp; "'!B1:B1000"))
            )
        ),0)
    )
)</f>
        <v/>
      </c>
      <c r="O67" s="86" t="str">
        <f t="array" aca="1" ref="O67" ca="1">IF(
    IFERROR(MIN(
        IF(
            (TRIM(INDIRECT("'" &amp; INDEX('Hulp (CAO''s)'!$C$3:$C$6,
                MATCH(TRUE,'Hulp (CAO''s)'!$D$3:$D$6,0)) &amp; "'!B1:B1000")) = TEXT(O66,"0")) *
            (ROW(INDIRECT("'" &amp; INDEX('Hulp (CAO''s)'!$C$3:$C$6,
                MATCH(TRUE,'Hulp (CAO''s)'!$D$3:$D$6,0)) &amp; "'!B1:B1000")) &gt; MATCH(
                O65,
                INDIRECT("'" &amp; INDEX('Hulp (CAO''s)'!$C$3:$C$6,
                    MATCH(TRUE,'Hulp (CAO''s)'!$D$3:$D$6,0)) &amp; "'!A:A"),
                0
            )) *
            IF(
                P65="",
                1,
                (ROW(INDIRECT("'" &amp; INDEX('Hulp (CAO''s)'!$C$3:$C$6,
                    MATCH(TRUE,'Hulp (CAO''s)'!$D$3:$D$6,0)) &amp; "'!B1:B1000")) &lt; MATCH(
                    P65,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TEXT(O66,"0")) *
                (ROW(INDIRECT("'" &amp; INDEX('Hulp (CAO''s)'!$C$3:$C$6,
                    MATCH(TRUE,'Hulp (CAO''s)'!$D$3:$D$6,0)) &amp; "'!B1:B1000")) &gt; MATCH(
                    O65,
                    INDIRECT("'" &amp; INDEX('Hulp (CAO''s)'!$C$3:$C$6,
                        MATCH(TRUE,'Hulp (CAO''s)'!$D$3:$D$6,0)) &amp; "'!A:A"),
                    0
                )) *
                IF(
                    P65="",
                    1,
                    (ROW(INDIRECT("'" &amp; INDEX('Hulp (CAO''s)'!$C$3:$C$6,
                        MATCH(TRUE,'Hulp (CAO''s)'!$D$3:$D$6,0)) &amp; "'!B1:B1000")) &lt; MATCH(
                        P65,
                        INDIRECT("'" &amp; INDEX('Hulp (CAO''s)'!$C$3:$C$6,
                            MATCH(TRUE,'Hulp (CAO''s)'!$D$3:$D$6,0)) &amp; "'!A:A"),
                        0
                    ))
                ),
                ROW(INDIRECT("'" &amp; INDEX('Hulp (CAO''s)'!$C$3:$C$6,
                    MATCH(TRUE,'Hulp (CAO''s)'!$D$3:$D$6,0)) &amp; "'!B1:B1000"))
            )
        ),0)
    )
)</f>
        <v/>
      </c>
      <c r="P67" s="86" t="str">
        <f t="array" aca="1" ref="P67" ca="1">IF(
    IFERROR(MIN(
        IF(
            (TRIM(INDIRECT("'" &amp; INDEX('Hulp (CAO''s)'!$C$3:$C$6,
                MATCH(TRUE,'Hulp (CAO''s)'!$D$3:$D$6,0)) &amp; "'!B1:B1000")) = TEXT(P66,"0")) *
            (ROW(INDIRECT("'" &amp; INDEX('Hulp (CAO''s)'!$C$3:$C$6,
                MATCH(TRUE,'Hulp (CAO''s)'!$D$3:$D$6,0)) &amp; "'!B1:B1000")) &gt; MATCH(
                P65,
                INDIRECT("'" &amp; INDEX('Hulp (CAO''s)'!$C$3:$C$6,
                    MATCH(TRUE,'Hulp (CAO''s)'!$D$3:$D$6,0)) &amp; "'!A:A"),
                0
            )) *
            IF(
                Q65="",
                1,
                (ROW(INDIRECT("'" &amp; INDEX('Hulp (CAO''s)'!$C$3:$C$6,
                    MATCH(TRUE,'Hulp (CAO''s)'!$D$3:$D$6,0)) &amp; "'!B1:B1000")) &lt; MATCH(
                    Q65,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TEXT(P66,"0")) *
                (ROW(INDIRECT("'" &amp; INDEX('Hulp (CAO''s)'!$C$3:$C$6,
                    MATCH(TRUE,'Hulp (CAO''s)'!$D$3:$D$6,0)) &amp; "'!B1:B1000")) &gt; MATCH(
                    P65,
                    INDIRECT("'" &amp; INDEX('Hulp (CAO''s)'!$C$3:$C$6,
                        MATCH(TRUE,'Hulp (CAO''s)'!$D$3:$D$6,0)) &amp; "'!A:A"),
                    0
                )) *
                IF(
                    Q65="",
                    1,
                    (ROW(INDIRECT("'" &amp; INDEX('Hulp (CAO''s)'!$C$3:$C$6,
                        MATCH(TRUE,'Hulp (CAO''s)'!$D$3:$D$6,0)) &amp; "'!B1:B1000")) &lt; MATCH(
                        Q65,
                        INDIRECT("'" &amp; INDEX('Hulp (CAO''s)'!$C$3:$C$6,
                            MATCH(TRUE,'Hulp (CAO''s)'!$D$3:$D$6,0)) &amp; "'!A:A"),
                        0
                    ))
                ),
                ROW(INDIRECT("'" &amp; INDEX('Hulp (CAO''s)'!$C$3:$C$6,
                    MATCH(TRUE,'Hulp (CAO''s)'!$D$3:$D$6,0)) &amp; "'!B1:B1000"))
            )
        ),0)
    )
)</f>
        <v/>
      </c>
      <c r="Q67" s="86" t="str">
        <f t="array" aca="1" ref="Q67" ca="1">IF(
    IFERROR(MIN(
        IF(
            (TRIM(INDIRECT("'" &amp; INDEX('Hulp (CAO''s)'!$C$3:$C$6,
                MATCH(TRUE,'Hulp (CAO''s)'!$D$3:$D$6,0)) &amp; "'!B1:B1000")) = TEXT(Q66,"0")) *
            (ROW(INDIRECT("'" &amp; INDEX('Hulp (CAO''s)'!$C$3:$C$6,
                MATCH(TRUE,'Hulp (CAO''s)'!$D$3:$D$6,0)) &amp; "'!B1:B1000")) &gt; MATCH(
                Q65,
                INDIRECT("'" &amp; INDEX('Hulp (CAO''s)'!$C$3:$C$6,
                    MATCH(TRUE,'Hulp (CAO''s)'!$D$3:$D$6,0)) &amp; "'!A:A"),
                0
            )) *
            IF(
                R65="",
                1,
                (ROW(INDIRECT("'" &amp; INDEX('Hulp (CAO''s)'!$C$3:$C$6,
                    MATCH(TRUE,'Hulp (CAO''s)'!$D$3:$D$6,0)) &amp; "'!B1:B1000")) &lt; MATCH(
                    R65,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TEXT(Q66,"0")) *
                (ROW(INDIRECT("'" &amp; INDEX('Hulp (CAO''s)'!$C$3:$C$6,
                    MATCH(TRUE,'Hulp (CAO''s)'!$D$3:$D$6,0)) &amp; "'!B1:B1000")) &gt; MATCH(
                    Q65,
                    INDIRECT("'" &amp; INDEX('Hulp (CAO''s)'!$C$3:$C$6,
                        MATCH(TRUE,'Hulp (CAO''s)'!$D$3:$D$6,0)) &amp; "'!A:A"),
                    0
                )) *
                IF(
                    R65="",
                    1,
                    (ROW(INDIRECT("'" &amp; INDEX('Hulp (CAO''s)'!$C$3:$C$6,
                        MATCH(TRUE,'Hulp (CAO''s)'!$D$3:$D$6,0)) &amp; "'!B1:B1000")) &lt; MATCH(
                        R65,
                        INDIRECT("'" &amp; INDEX('Hulp (CAO''s)'!$C$3:$C$6,
                            MATCH(TRUE,'Hulp (CAO''s)'!$D$3:$D$6,0)) &amp; "'!A:A"),
                        0
                    ))
                ),
                ROW(INDIRECT("'" &amp; INDEX('Hulp (CAO''s)'!$C$3:$C$6,
                    MATCH(TRUE,'Hulp (CAO''s)'!$D$3:$D$6,0)) &amp; "'!B1:B1000"))
            )
        ),0)
    )
)</f>
        <v/>
      </c>
      <c r="R67" s="86" t="str">
        <f t="array" aca="1" ref="R67" ca="1">IF(
    IFERROR(MIN(
        IF(
            (TRIM(INDIRECT("'" &amp; INDEX('Hulp (CAO''s)'!$C$3:$C$6,
                MATCH(TRUE,'Hulp (CAO''s)'!$D$3:$D$6,0)) &amp; "'!B1:B1000")) = TEXT(R66,"0")) *
            (ROW(INDIRECT("'" &amp; INDEX('Hulp (CAO''s)'!$C$3:$C$6,
                MATCH(TRUE,'Hulp (CAO''s)'!$D$3:$D$6,0)) &amp; "'!B1:B1000")) &gt; MATCH(
                R65,
                INDIRECT("'" &amp; INDEX('Hulp (CAO''s)'!$C$3:$C$6,
                    MATCH(TRUE,'Hulp (CAO''s)'!$D$3:$D$6,0)) &amp; "'!A:A"),
                0
            )) *
            IF(
                S65="",
                1,
                (ROW(INDIRECT("'" &amp; INDEX('Hulp (CAO''s)'!$C$3:$C$6,
                    MATCH(TRUE,'Hulp (CAO''s)'!$D$3:$D$6,0)) &amp; "'!B1:B1000")) &lt; MATCH(
                    S65,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TEXT(R66,"0")) *
                (ROW(INDIRECT("'" &amp; INDEX('Hulp (CAO''s)'!$C$3:$C$6,
                    MATCH(TRUE,'Hulp (CAO''s)'!$D$3:$D$6,0)) &amp; "'!B1:B1000")) &gt; MATCH(
                    R65,
                    INDIRECT("'" &amp; INDEX('Hulp (CAO''s)'!$C$3:$C$6,
                        MATCH(TRUE,'Hulp (CAO''s)'!$D$3:$D$6,0)) &amp; "'!A:A"),
                    0
                )) *
                IF(
                    S65="",
                    1,
                    (ROW(INDIRECT("'" &amp; INDEX('Hulp (CAO''s)'!$C$3:$C$6,
                        MATCH(TRUE,'Hulp (CAO''s)'!$D$3:$D$6,0)) &amp; "'!B1:B1000")) &lt; MATCH(
                        S65,
                        INDIRECT("'" &amp; INDEX('Hulp (CAO''s)'!$C$3:$C$6,
                            MATCH(TRUE,'Hulp (CAO''s)'!$D$3:$D$6,0)) &amp; "'!A:A"),
                        0
                    ))
                ),
                ROW(INDIRECT("'" &amp; INDEX('Hulp (CAO''s)'!$C$3:$C$6,
                    MATCH(TRUE,'Hulp (CAO''s)'!$D$3:$D$6,0)) &amp; "'!B1:B1000"))
            )
        ),0)
    )
)</f>
        <v/>
      </c>
      <c r="S67" s="86" t="str">
        <f t="array" aca="1" ref="S67" ca="1">IF(
    IFERROR(MIN(
        IF(
            (TRIM(INDIRECT("'" &amp; INDEX('Hulp (CAO''s)'!$C$3:$C$6,
                MATCH(TRUE,'Hulp (CAO''s)'!$D$3:$D$6,0)) &amp; "'!B1:B1000")) = TEXT(S66,"0")) *
            (ROW(INDIRECT("'" &amp; INDEX('Hulp (CAO''s)'!$C$3:$C$6,
                MATCH(TRUE,'Hulp (CAO''s)'!$D$3:$D$6,0)) &amp; "'!B1:B1000")) &gt; MATCH(
                S65,
                INDIRECT("'" &amp; INDEX('Hulp (CAO''s)'!$C$3:$C$6,
                    MATCH(TRUE,'Hulp (CAO''s)'!$D$3:$D$6,0)) &amp; "'!A:A"),
                0
            )) *
            IF(
                T65="",
                1,
                (ROW(INDIRECT("'" &amp; INDEX('Hulp (CAO''s)'!$C$3:$C$6,
                    MATCH(TRUE,'Hulp (CAO''s)'!$D$3:$D$6,0)) &amp; "'!B1:B1000")) &lt; MATCH(
                    T65,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TEXT(S66,"0")) *
                (ROW(INDIRECT("'" &amp; INDEX('Hulp (CAO''s)'!$C$3:$C$6,
                    MATCH(TRUE,'Hulp (CAO''s)'!$D$3:$D$6,0)) &amp; "'!B1:B1000")) &gt; MATCH(
                    S65,
                    INDIRECT("'" &amp; INDEX('Hulp (CAO''s)'!$C$3:$C$6,
                        MATCH(TRUE,'Hulp (CAO''s)'!$D$3:$D$6,0)) &amp; "'!A:A"),
                    0
                )) *
                IF(
                    T65="",
                    1,
                    (ROW(INDIRECT("'" &amp; INDEX('Hulp (CAO''s)'!$C$3:$C$6,
                        MATCH(TRUE,'Hulp (CAO''s)'!$D$3:$D$6,0)) &amp; "'!B1:B1000")) &lt; MATCH(
                        T65,
                        INDIRECT("'" &amp; INDEX('Hulp (CAO''s)'!$C$3:$C$6,
                            MATCH(TRUE,'Hulp (CAO''s)'!$D$3:$D$6,0)) &amp; "'!A:A"),
                        0
                    ))
                ),
                ROW(INDIRECT("'" &amp; INDEX('Hulp (CAO''s)'!$C$3:$C$6,
                    MATCH(TRUE,'Hulp (CAO''s)'!$D$3:$D$6,0)) &amp; "'!B1:B1000"))
            )
        ),0)
    )
)</f>
        <v/>
      </c>
      <c r="T67" s="39" t="str">
        <f t="array" aca="1" ref="T67" ca="1">IF(
    IFERROR(MIN(
        IF(
            (TRIM(INDIRECT("'" &amp; INDEX('Hulp (CAO''s)'!$C$3:$C$6,
                MATCH(TRUE,'Hulp (CAO''s)'!$D$3:$D$6,0)) &amp; "'!B1:B1000")) = TEXT(T66,"0")) *
            (ROW(INDIRECT("'" &amp; INDEX('Hulp (CAO''s)'!$C$3:$C$6,
                MATCH(TRUE,'Hulp (CAO''s)'!$D$3:$D$6,0)) &amp; "'!B1:B1000")) &gt; MATCH(
                T65,
                INDIRECT("'" &amp; INDEX('Hulp (CAO''s)'!$C$3:$C$6,
                    MATCH(TRUE,'Hulp (CAO''s)'!$D$3:$D$6,0)) &amp; "'!A:A"),
                0
            )) *
            IF(
                U65="",
                1,
                (ROW(INDIRECT("'" &amp; INDEX('Hulp (CAO''s)'!$C$3:$C$6,
                    MATCH(TRUE,'Hulp (CAO''s)'!$D$3:$D$6,0)) &amp; "'!B1:B1000")) &lt; MATCH(
                    U65,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TEXT(T66,"0")) *
                (ROW(INDIRECT("'" &amp; INDEX('Hulp (CAO''s)'!$C$3:$C$6,
                    MATCH(TRUE,'Hulp (CAO''s)'!$D$3:$D$6,0)) &amp; "'!B1:B1000")) &gt; MATCH(
                    T65,
                    INDIRECT("'" &amp; INDEX('Hulp (CAO''s)'!$C$3:$C$6,
                        MATCH(TRUE,'Hulp (CAO''s)'!$D$3:$D$6,0)) &amp; "'!A:A"),
                    0
                )) *
                IF(
                    U65="",
                    1,
                    (ROW(INDIRECT("'" &amp; INDEX('Hulp (CAO''s)'!$C$3:$C$6,
                        MATCH(TRUE,'Hulp (CAO''s)'!$D$3:$D$6,0)) &amp; "'!B1:B1000")) &lt; MATCH(
                        U65,
                        INDIRECT("'" &amp; INDEX('Hulp (CAO''s)'!$C$3:$C$6,
                            MATCH(TRUE,'Hulp (CAO''s)'!$D$3:$D$6,0)) &amp; "'!A:A"),
                        0
                    ))
                ),
                ROW(INDIRECT("'" &amp; INDEX('Hulp (CAO''s)'!$C$3:$C$6,
                    MATCH(TRUE,'Hulp (CAO''s)'!$D$3:$D$6,0)) &amp; "'!B1:B1000"))
            )
        ),0)
    )
)</f>
        <v/>
      </c>
      <c r="V67" s="38" t="str">
        <f t="array" aca="1" ref="V67" ca="1">IF(
   SUM(E67:T67)=0,
   "",
   (
      SUMPRODUCT(
         IF(E67:T67="",0,E67:T67),
         IF(E68:T68="",0,E68:T68) * SUM(E68:T68)
      )
   ) *
   IF(
      'Hulp (CAO''s)'!#REF!,
      IF(
         OR(
            INDEX(#REF!, ROW(#REF!) + INT((ROW()-ROW($V$7))/6)*8)="",
            ISNA(INDEX(#REF!, ROW(#REF!) + INT((ROW()-ROW($V$7))/6)*8))
         ),
         1878/12,
         INDEX(#REF!, ROW(#REF!) + INT((ROW()-ROW($V$7))/6)*8)/12
      ),
      1
   )
)</f>
        <v/>
      </c>
    </row>
    <row r="68" spans="2:24" ht="14.65" thickBot="1" x14ac:dyDescent="0.5">
      <c r="B68" s="48" t="s">
        <v>60</v>
      </c>
      <c r="D68" s="24" t="s">
        <v>59</v>
      </c>
      <c r="E68" s="8"/>
      <c r="F68" s="8"/>
      <c r="G68" s="8"/>
      <c r="H68" s="8"/>
      <c r="I68" s="8"/>
      <c r="J68" s="8"/>
      <c r="K68" s="8"/>
      <c r="L68" s="8"/>
      <c r="M68" s="8"/>
      <c r="N68" s="8"/>
      <c r="O68" s="8"/>
      <c r="P68" s="8"/>
      <c r="Q68" s="8"/>
      <c r="R68" s="8"/>
      <c r="S68" s="8"/>
      <c r="T68" s="9"/>
      <c r="U68" s="7"/>
      <c r="V68" s="37" t="str">
        <f ca="1">IF(B65="","",IF(INDIRECT("'Hulp (control forms)'!C" &amp; (13 + INT((ROW()-ROW($B$5))/6))), V66, V67))</f>
        <v/>
      </c>
      <c r="W68" s="7"/>
    </row>
    <row r="69" spans="2:24" x14ac:dyDescent="0.5">
      <c r="S69" s="7" t="str">
        <f>IF($B68="Aandeel in %",
   "Totaal: "&amp;SUM(E68:T68)*100&amp;"%",
   "Totaal: "&amp;SUM(E68:T68)&amp;" uur"
)</f>
        <v>Totaal: 0%</v>
      </c>
      <c r="T69" s="7"/>
    </row>
    <row r="70" spans="2:24" ht="16.149999999999999" thickBot="1" x14ac:dyDescent="0.55000000000000004">
      <c r="B70" s="44" t="str">
        <f ca="1">IF(B71="","",IF(
   OR(
      INDIRECT("'1a. Input organisatieniveau'!N" &amp; (14 + INT((ROW()-4)/6)))="",
      INDIRECT("'1a. Input organisatieniveau'!N" &amp; (14 + INT((ROW()-4)/6)))=0
   ),
   "",
   INDIRECT("'1a. Input organisatieniveau'!N" &amp; (14 + INT((ROW()-4)/6)))
))</f>
        <v/>
      </c>
      <c r="E70" s="61" t="str">
        <f t="shared" ref="E70:T70" ca="1" si="11">IF(AND(AND(E71&lt;&gt;"",E72&lt;&gt;""),E73=""),"!","")</f>
        <v/>
      </c>
      <c r="F70" s="61" t="str">
        <f t="shared" ca="1" si="11"/>
        <v/>
      </c>
      <c r="G70" s="61" t="str">
        <f t="shared" ca="1" si="11"/>
        <v/>
      </c>
      <c r="H70" s="61" t="str">
        <f t="shared" ca="1" si="11"/>
        <v/>
      </c>
      <c r="I70" s="61" t="str">
        <f t="shared" ca="1" si="11"/>
        <v/>
      </c>
      <c r="J70" s="61" t="str">
        <f t="shared" ca="1" si="11"/>
        <v/>
      </c>
      <c r="K70" s="61" t="str">
        <f t="shared" ca="1" si="11"/>
        <v/>
      </c>
      <c r="L70" s="61" t="str">
        <f t="shared" ca="1" si="11"/>
        <v/>
      </c>
      <c r="M70" s="61" t="str">
        <f t="shared" ca="1" si="11"/>
        <v/>
      </c>
      <c r="N70" s="61" t="str">
        <f t="shared" ca="1" si="11"/>
        <v/>
      </c>
      <c r="O70" s="61" t="str">
        <f t="shared" ca="1" si="11"/>
        <v/>
      </c>
      <c r="P70" s="61" t="str">
        <f t="shared" ca="1" si="11"/>
        <v/>
      </c>
      <c r="Q70" s="61" t="str">
        <f t="shared" ca="1" si="11"/>
        <v/>
      </c>
      <c r="R70" s="61" t="str">
        <f t="shared" ca="1" si="11"/>
        <v/>
      </c>
      <c r="S70" s="61" t="str">
        <f t="shared" ca="1" si="11"/>
        <v/>
      </c>
      <c r="T70" s="61" t="str">
        <f t="shared" ca="1" si="11"/>
        <v/>
      </c>
    </row>
    <row r="71" spans="2:24" ht="16.149999999999999" thickBot="1" x14ac:dyDescent="0.55000000000000004">
      <c r="B71" s="45" t="str">
        <f ca="1">IF(
   OR(
      INDIRECT("'1a. Input organisatieniveau'!M" &amp; (14 + INT((ROW()-4)/6)))="",
      INDIRECT("'1a. Input organisatieniveau'!M" &amp; (14 + INT((ROW()-4)/6)))=0
   ),
   "",
   INDIRECT("'1a. Input organisatieniveau'!M" &amp; (14 + INT((ROW()-4)/6)))
)</f>
        <v/>
      </c>
      <c r="D71" s="22" t="s">
        <v>28</v>
      </c>
      <c r="E71" s="10" t="str">
        <f t="array" aca="1" ref="E71" ca="1">IF($B71="", "", INDEX('Hulp (CAO''s)'!J$3:J$6, MATCH(TRUE, 'Hulp (CAO''s)'!$D$3:$D$6, 0)))</f>
        <v/>
      </c>
      <c r="F71" s="10" t="str">
        <f t="array" aca="1" ref="F71" ca="1">IF($B71="", "", INDEX('Hulp (CAO''s)'!K$3:K$6, MATCH(TRUE, 'Hulp (CAO''s)'!$D$3:$D$6, 0)))</f>
        <v/>
      </c>
      <c r="G71" s="10" t="str">
        <f t="array" aca="1" ref="G71" ca="1">IF($B71="", "", INDEX('Hulp (CAO''s)'!L$3:L$6, MATCH(TRUE, 'Hulp (CAO''s)'!$D$3:$D$6, 0)))</f>
        <v/>
      </c>
      <c r="H71" s="10" t="str">
        <f t="array" aca="1" ref="H71" ca="1">IF($B71="", "", INDEX('Hulp (CAO''s)'!M$3:M$6, MATCH(TRUE, 'Hulp (CAO''s)'!$D$3:$D$6, 0)))</f>
        <v/>
      </c>
      <c r="I71" s="10" t="str">
        <f t="array" aca="1" ref="I71" ca="1">IF($B71="", "", INDEX('Hulp (CAO''s)'!N$3:N$6, MATCH(TRUE, 'Hulp (CAO''s)'!$D$3:$D$6, 0)))</f>
        <v/>
      </c>
      <c r="J71" s="10" t="str">
        <f t="array" aca="1" ref="J71" ca="1">IF($B71="", "", INDEX('Hulp (CAO''s)'!O$3:O$6, MATCH(TRUE, 'Hulp (CAO''s)'!$D$3:$D$6, 0)))</f>
        <v/>
      </c>
      <c r="K71" s="10" t="str">
        <f t="array" aca="1" ref="K71" ca="1">IF($B71="", "", INDEX('Hulp (CAO''s)'!P$3:P$6, MATCH(TRUE, 'Hulp (CAO''s)'!$D$3:$D$6, 0)))</f>
        <v/>
      </c>
      <c r="L71" s="10" t="str">
        <f t="array" aca="1" ref="L71" ca="1">IF($B71="", "", INDEX('Hulp (CAO''s)'!Q$3:Q$6, MATCH(TRUE, 'Hulp (CAO''s)'!$D$3:$D$6, 0)))</f>
        <v/>
      </c>
      <c r="M71" s="10" t="str">
        <f t="array" aca="1" ref="M71" ca="1">IF($B71="", "", INDEX('Hulp (CAO''s)'!R$3:R$6, MATCH(TRUE, 'Hulp (CAO''s)'!$D$3:$D$6, 0)))</f>
        <v/>
      </c>
      <c r="N71" s="10" t="str">
        <f t="array" aca="1" ref="N71" ca="1">IF($B71="", "", INDEX('Hulp (CAO''s)'!S$3:S$6, MATCH(TRUE, 'Hulp (CAO''s)'!$D$3:$D$6, 0)))</f>
        <v/>
      </c>
      <c r="O71" s="10" t="str">
        <f t="array" aca="1" ref="O71" ca="1">IF($B71="", "", INDEX('Hulp (CAO''s)'!T$3:T$6, MATCH(TRUE, 'Hulp (CAO''s)'!$D$3:$D$6, 0)))</f>
        <v/>
      </c>
      <c r="P71" s="10" t="str">
        <f t="array" aca="1" ref="P71" ca="1">IF($B71="", "", INDEX('Hulp (CAO''s)'!U$3:U$6, MATCH(TRUE, 'Hulp (CAO''s)'!$D$3:$D$6, 0)))</f>
        <v/>
      </c>
      <c r="Q71" s="10" t="str">
        <f t="array" aca="1" ref="Q71" ca="1">IF($B71="", "", INDEX('Hulp (CAO''s)'!V$3:V$6, MATCH(TRUE, 'Hulp (CAO''s)'!$D$3:$D$6, 0)))</f>
        <v/>
      </c>
      <c r="R71" s="10" t="str">
        <f t="array" aca="1" ref="R71" ca="1">IF($B71="", "", INDEX('Hulp (CAO''s)'!W$3:W$6, MATCH(TRUE, 'Hulp (CAO''s)'!$D$3:$D$6, 0)))</f>
        <v/>
      </c>
      <c r="S71" s="10" t="str">
        <f t="array" aca="1" ref="S71" ca="1">IF($B71="", "", INDEX('Hulp (CAO''s)'!X$3:X$6, MATCH(TRUE, 'Hulp (CAO''s)'!$D$3:$D$6, 0)))</f>
        <v/>
      </c>
      <c r="T71" s="11" t="str">
        <f t="array" aca="1" ref="T71" ca="1">IF($B71="", "", INDEX('Hulp (CAO''s)'!Y$3:Y$6, MATCH(TRUE, 'Hulp (CAO''s)'!$D$3:$D$6, 0)))</f>
        <v/>
      </c>
      <c r="V71" s="25" t="s">
        <v>32</v>
      </c>
      <c r="W71" s="5"/>
    </row>
    <row r="72" spans="2:24" x14ac:dyDescent="0.5">
      <c r="D72" s="23" t="s">
        <v>29</v>
      </c>
      <c r="E72" s="6"/>
      <c r="F72" s="6"/>
      <c r="G72" s="6"/>
      <c r="H72" s="6"/>
      <c r="I72" s="6"/>
      <c r="J72" s="6"/>
      <c r="K72" s="6"/>
      <c r="L72" s="6"/>
      <c r="M72" s="6"/>
      <c r="N72" s="6"/>
      <c r="O72" s="6"/>
      <c r="P72" s="6"/>
      <c r="Q72" s="6"/>
      <c r="R72" s="6"/>
      <c r="S72" s="6"/>
      <c r="T72" s="4"/>
      <c r="V72" s="52">
        <v>4300</v>
      </c>
      <c r="X72" s="60" t="s">
        <v>747</v>
      </c>
    </row>
    <row r="73" spans="2:24" ht="14.65" thickBot="1" x14ac:dyDescent="0.5">
      <c r="B73"/>
      <c r="D73" s="40" t="str">
        <f>IFERROR(
   INDEX('Hulp (CAO''s)'!$I$3:$I$6, MATCH(TRUE, 'Hulp (CAO''s)'!$D$3:$D$6, 0)),
"")</f>
        <v>Bruto maandsalaris</v>
      </c>
      <c r="E73" s="86" t="str">
        <f t="array" aca="1" ref="E73" ca="1">IF(
    IFERROR(MIN(
        IF(
            (TRIM(INDIRECT("'" &amp; INDEX('Hulp (CAO''s)'!$C$3:$C$6,
                MATCH(TRUE,'Hulp (CAO''s)'!$D$3:$D$6,0)) &amp; "'!B1:B1000")) = TEXT(E72,"0")) *
            (ROW(INDIRECT("'" &amp; INDEX('Hulp (CAO''s)'!$C$3:$C$6,
                MATCH(TRUE,'Hulp (CAO''s)'!$D$3:$D$6,0)) &amp; "'!B1:B1000")) &gt; MATCH(
                E71,
                INDIRECT("'" &amp; INDEX('Hulp (CAO''s)'!$C$3:$C$6,
                    MATCH(TRUE,'Hulp (CAO''s)'!$D$3:$D$6,0)) &amp; "'!A:A"),
                0
            )) *
            IF(
                F71="",
                1,
                (ROW(INDIRECT("'" &amp; INDEX('Hulp (CAO''s)'!$C$3:$C$6,
                    MATCH(TRUE,'Hulp (CAO''s)'!$D$3:$D$6,0)) &amp; "'!B1:B1000")) &lt; MATCH(
                    F71,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TEXT(E72,"0")) *
                (ROW(INDIRECT("'" &amp; INDEX('Hulp (CAO''s)'!$C$3:$C$6,
                    MATCH(TRUE,'Hulp (CAO''s)'!$D$3:$D$6,0)) &amp; "'!B1:B1000")) &gt; MATCH(
                    E71,
                    INDIRECT("'" &amp; INDEX('Hulp (CAO''s)'!$C$3:$C$6,
                        MATCH(TRUE,'Hulp (CAO''s)'!$D$3:$D$6,0)) &amp; "'!A:A"),
                    0
                )) *
                IF(
                    F71="",
                    1,
                    (ROW(INDIRECT("'" &amp; INDEX('Hulp (CAO''s)'!$C$3:$C$6,
                        MATCH(TRUE,'Hulp (CAO''s)'!$D$3:$D$6,0)) &amp; "'!B1:B1000")) &lt; MATCH(
                        F71,
                        INDIRECT("'" &amp; INDEX('Hulp (CAO''s)'!$C$3:$C$6,
                            MATCH(TRUE,'Hulp (CAO''s)'!$D$3:$D$6,0)) &amp; "'!A:A"),
                        0
                    ))
                ),
                ROW(INDIRECT("'" &amp; INDEX('Hulp (CAO''s)'!$C$3:$C$6,
                    MATCH(TRUE,'Hulp (CAO''s)'!$D$3:$D$6,0)) &amp; "'!B1:B1000"))
            )
        ),0)
    )
)</f>
        <v/>
      </c>
      <c r="F73" s="86" t="str">
        <f t="array" aca="1" ref="F73" ca="1">IF(
    IFERROR(MIN(
        IF(
            (TRIM(INDIRECT("'" &amp; INDEX('Hulp (CAO''s)'!$C$3:$C$6,
                MATCH(TRUE,'Hulp (CAO''s)'!$D$3:$D$6,0)) &amp; "'!B1:B1000")) = TEXT(F72,"0")) *
            (ROW(INDIRECT("'" &amp; INDEX('Hulp (CAO''s)'!$C$3:$C$6,
                MATCH(TRUE,'Hulp (CAO''s)'!$D$3:$D$6,0)) &amp; "'!B1:B1000")) &gt; MATCH(
                F71,
                INDIRECT("'" &amp; INDEX('Hulp (CAO''s)'!$C$3:$C$6,
                    MATCH(TRUE,'Hulp (CAO''s)'!$D$3:$D$6,0)) &amp; "'!A:A"),
                0
            )) *
            IF(
                G71="",
                1,
                (ROW(INDIRECT("'" &amp; INDEX('Hulp (CAO''s)'!$C$3:$C$6,
                    MATCH(TRUE,'Hulp (CAO''s)'!$D$3:$D$6,0)) &amp; "'!B1:B1000")) &lt; MATCH(
                    G71,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TEXT(F72,"0")) *
                (ROW(INDIRECT("'" &amp; INDEX('Hulp (CAO''s)'!$C$3:$C$6,
                    MATCH(TRUE,'Hulp (CAO''s)'!$D$3:$D$6,0)) &amp; "'!B1:B1000")) &gt; MATCH(
                    F71,
                    INDIRECT("'" &amp; INDEX('Hulp (CAO''s)'!$C$3:$C$6,
                        MATCH(TRUE,'Hulp (CAO''s)'!$D$3:$D$6,0)) &amp; "'!A:A"),
                    0
                )) *
                IF(
                    G71="",
                    1,
                    (ROW(INDIRECT("'" &amp; INDEX('Hulp (CAO''s)'!$C$3:$C$6,
                        MATCH(TRUE,'Hulp (CAO''s)'!$D$3:$D$6,0)) &amp; "'!B1:B1000")) &lt; MATCH(
                        G71,
                        INDIRECT("'" &amp; INDEX('Hulp (CAO''s)'!$C$3:$C$6,
                            MATCH(TRUE,'Hulp (CAO''s)'!$D$3:$D$6,0)) &amp; "'!A:A"),
                        0
                    ))
                ),
                ROW(INDIRECT("'" &amp; INDEX('Hulp (CAO''s)'!$C$3:$C$6,
                    MATCH(TRUE,'Hulp (CAO''s)'!$D$3:$D$6,0)) &amp; "'!B1:B1000"))
            )
        ),0)
    )
)</f>
        <v/>
      </c>
      <c r="G73" s="86" t="str">
        <f t="array" aca="1" ref="G73" ca="1">IF(
    IFERROR(MIN(
        IF(
            (TRIM(INDIRECT("'" &amp; INDEX('Hulp (CAO''s)'!$C$3:$C$6,
                MATCH(TRUE,'Hulp (CAO''s)'!$D$3:$D$6,0)) &amp; "'!B1:B1000")) = TEXT(G72,"0")) *
            (ROW(INDIRECT("'" &amp; INDEX('Hulp (CAO''s)'!$C$3:$C$6,
                MATCH(TRUE,'Hulp (CAO''s)'!$D$3:$D$6,0)) &amp; "'!B1:B1000")) &gt; MATCH(
                G71,
                INDIRECT("'" &amp; INDEX('Hulp (CAO''s)'!$C$3:$C$6,
                    MATCH(TRUE,'Hulp (CAO''s)'!$D$3:$D$6,0)) &amp; "'!A:A"),
                0
            )) *
            IF(
                H71="",
                1,
                (ROW(INDIRECT("'" &amp; INDEX('Hulp (CAO''s)'!$C$3:$C$6,
                    MATCH(TRUE,'Hulp (CAO''s)'!$D$3:$D$6,0)) &amp; "'!B1:B1000")) &lt; MATCH(
                    H71,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TEXT(G72,"0")) *
                (ROW(INDIRECT("'" &amp; INDEX('Hulp (CAO''s)'!$C$3:$C$6,
                    MATCH(TRUE,'Hulp (CAO''s)'!$D$3:$D$6,0)) &amp; "'!B1:B1000")) &gt; MATCH(
                    G71,
                    INDIRECT("'" &amp; INDEX('Hulp (CAO''s)'!$C$3:$C$6,
                        MATCH(TRUE,'Hulp (CAO''s)'!$D$3:$D$6,0)) &amp; "'!A:A"),
                    0
                )) *
                IF(
                    H71="",
                    1,
                    (ROW(INDIRECT("'" &amp; INDEX('Hulp (CAO''s)'!$C$3:$C$6,
                        MATCH(TRUE,'Hulp (CAO''s)'!$D$3:$D$6,0)) &amp; "'!B1:B1000")) &lt; MATCH(
                        H71,
                        INDIRECT("'" &amp; INDEX('Hulp (CAO''s)'!$C$3:$C$6,
                            MATCH(TRUE,'Hulp (CAO''s)'!$D$3:$D$6,0)) &amp; "'!A:A"),
                        0
                    ))
                ),
                ROW(INDIRECT("'" &amp; INDEX('Hulp (CAO''s)'!$C$3:$C$6,
                    MATCH(TRUE,'Hulp (CAO''s)'!$D$3:$D$6,0)) &amp; "'!B1:B1000"))
            )
        ),0)
    )
)</f>
        <v/>
      </c>
      <c r="H73" s="86" t="str">
        <f t="array" aca="1" ref="H73" ca="1">IF(
    IFERROR(MIN(
        IF(
            (TRIM(INDIRECT("'" &amp; INDEX('Hulp (CAO''s)'!$C$3:$C$6,
                MATCH(TRUE,'Hulp (CAO''s)'!$D$3:$D$6,0)) &amp; "'!B1:B1000")) = TEXT(H72,"0")) *
            (ROW(INDIRECT("'" &amp; INDEX('Hulp (CAO''s)'!$C$3:$C$6,
                MATCH(TRUE,'Hulp (CAO''s)'!$D$3:$D$6,0)) &amp; "'!B1:B1000")) &gt; MATCH(
                H71,
                INDIRECT("'" &amp; INDEX('Hulp (CAO''s)'!$C$3:$C$6,
                    MATCH(TRUE,'Hulp (CAO''s)'!$D$3:$D$6,0)) &amp; "'!A:A"),
                0
            )) *
            IF(
                I71="",
                1,
                (ROW(INDIRECT("'" &amp; INDEX('Hulp (CAO''s)'!$C$3:$C$6,
                    MATCH(TRUE,'Hulp (CAO''s)'!$D$3:$D$6,0)) &amp; "'!B1:B1000")) &lt; MATCH(
                    I71,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TEXT(H72,"0")) *
                (ROW(INDIRECT("'" &amp; INDEX('Hulp (CAO''s)'!$C$3:$C$6,
                    MATCH(TRUE,'Hulp (CAO''s)'!$D$3:$D$6,0)) &amp; "'!B1:B1000")) &gt; MATCH(
                    H71,
                    INDIRECT("'" &amp; INDEX('Hulp (CAO''s)'!$C$3:$C$6,
                        MATCH(TRUE,'Hulp (CAO''s)'!$D$3:$D$6,0)) &amp; "'!A:A"),
                    0
                )) *
                IF(
                    I71="",
                    1,
                    (ROW(INDIRECT("'" &amp; INDEX('Hulp (CAO''s)'!$C$3:$C$6,
                        MATCH(TRUE,'Hulp (CAO''s)'!$D$3:$D$6,0)) &amp; "'!B1:B1000")) &lt; MATCH(
                        I71,
                        INDIRECT("'" &amp; INDEX('Hulp (CAO''s)'!$C$3:$C$6,
                            MATCH(TRUE,'Hulp (CAO''s)'!$D$3:$D$6,0)) &amp; "'!A:A"),
                        0
                    ))
                ),
                ROW(INDIRECT("'" &amp; INDEX('Hulp (CAO''s)'!$C$3:$C$6,
                    MATCH(TRUE,'Hulp (CAO''s)'!$D$3:$D$6,0)) &amp; "'!B1:B1000"))
            )
        ),0)
    )
)</f>
        <v/>
      </c>
      <c r="I73" s="86" t="str">
        <f t="array" aca="1" ref="I73" ca="1">IF(
    IFERROR(MIN(
        IF(
            (TRIM(INDIRECT("'" &amp; INDEX('Hulp (CAO''s)'!$C$3:$C$6,
                MATCH(TRUE,'Hulp (CAO''s)'!$D$3:$D$6,0)) &amp; "'!B1:B1000")) = TEXT(I72,"0")) *
            (ROW(INDIRECT("'" &amp; INDEX('Hulp (CAO''s)'!$C$3:$C$6,
                MATCH(TRUE,'Hulp (CAO''s)'!$D$3:$D$6,0)) &amp; "'!B1:B1000")) &gt; MATCH(
                I71,
                INDIRECT("'" &amp; INDEX('Hulp (CAO''s)'!$C$3:$C$6,
                    MATCH(TRUE,'Hulp (CAO''s)'!$D$3:$D$6,0)) &amp; "'!A:A"),
                0
            )) *
            IF(
                J71="",
                1,
                (ROW(INDIRECT("'" &amp; INDEX('Hulp (CAO''s)'!$C$3:$C$6,
                    MATCH(TRUE,'Hulp (CAO''s)'!$D$3:$D$6,0)) &amp; "'!B1:B1000")) &lt; MATCH(
                    J71,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TEXT(I72,"0")) *
                (ROW(INDIRECT("'" &amp; INDEX('Hulp (CAO''s)'!$C$3:$C$6,
                    MATCH(TRUE,'Hulp (CAO''s)'!$D$3:$D$6,0)) &amp; "'!B1:B1000")) &gt; MATCH(
                    I71,
                    INDIRECT("'" &amp; INDEX('Hulp (CAO''s)'!$C$3:$C$6,
                        MATCH(TRUE,'Hulp (CAO''s)'!$D$3:$D$6,0)) &amp; "'!A:A"),
                    0
                )) *
                IF(
                    J71="",
                    1,
                    (ROW(INDIRECT("'" &amp; INDEX('Hulp (CAO''s)'!$C$3:$C$6,
                        MATCH(TRUE,'Hulp (CAO''s)'!$D$3:$D$6,0)) &amp; "'!B1:B1000")) &lt; MATCH(
                        J71,
                        INDIRECT("'" &amp; INDEX('Hulp (CAO''s)'!$C$3:$C$6,
                            MATCH(TRUE,'Hulp (CAO''s)'!$D$3:$D$6,0)) &amp; "'!A:A"),
                        0
                    ))
                ),
                ROW(INDIRECT("'" &amp; INDEX('Hulp (CAO''s)'!$C$3:$C$6,
                    MATCH(TRUE,'Hulp (CAO''s)'!$D$3:$D$6,0)) &amp; "'!B1:B1000"))
            )
        ),0)
    )
)</f>
        <v/>
      </c>
      <c r="J73" s="86" t="str">
        <f t="array" aca="1" ref="J73" ca="1">IF(
    IFERROR(MIN(
        IF(
            (TRIM(INDIRECT("'" &amp; INDEX('Hulp (CAO''s)'!$C$3:$C$6,
                MATCH(TRUE,'Hulp (CAO''s)'!$D$3:$D$6,0)) &amp; "'!B1:B1000")) = TEXT(J72,"0")) *
            (ROW(INDIRECT("'" &amp; INDEX('Hulp (CAO''s)'!$C$3:$C$6,
                MATCH(TRUE,'Hulp (CAO''s)'!$D$3:$D$6,0)) &amp; "'!B1:B1000")) &gt; MATCH(
                J71,
                INDIRECT("'" &amp; INDEX('Hulp (CAO''s)'!$C$3:$C$6,
                    MATCH(TRUE,'Hulp (CAO''s)'!$D$3:$D$6,0)) &amp; "'!A:A"),
                0
            )) *
            IF(
                K71="",
                1,
                (ROW(INDIRECT("'" &amp; INDEX('Hulp (CAO''s)'!$C$3:$C$6,
                    MATCH(TRUE,'Hulp (CAO''s)'!$D$3:$D$6,0)) &amp; "'!B1:B1000")) &lt; MATCH(
                    K71,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TEXT(J72,"0")) *
                (ROW(INDIRECT("'" &amp; INDEX('Hulp (CAO''s)'!$C$3:$C$6,
                    MATCH(TRUE,'Hulp (CAO''s)'!$D$3:$D$6,0)) &amp; "'!B1:B1000")) &gt; MATCH(
                    J71,
                    INDIRECT("'" &amp; INDEX('Hulp (CAO''s)'!$C$3:$C$6,
                        MATCH(TRUE,'Hulp (CAO''s)'!$D$3:$D$6,0)) &amp; "'!A:A"),
                    0
                )) *
                IF(
                    K71="",
                    1,
                    (ROW(INDIRECT("'" &amp; INDEX('Hulp (CAO''s)'!$C$3:$C$6,
                        MATCH(TRUE,'Hulp (CAO''s)'!$D$3:$D$6,0)) &amp; "'!B1:B1000")) &lt; MATCH(
                        K71,
                        INDIRECT("'" &amp; INDEX('Hulp (CAO''s)'!$C$3:$C$6,
                            MATCH(TRUE,'Hulp (CAO''s)'!$D$3:$D$6,0)) &amp; "'!A:A"),
                        0
                    ))
                ),
                ROW(INDIRECT("'" &amp; INDEX('Hulp (CAO''s)'!$C$3:$C$6,
                    MATCH(TRUE,'Hulp (CAO''s)'!$D$3:$D$6,0)) &amp; "'!B1:B1000"))
            )
        ),0)
    )
)</f>
        <v/>
      </c>
      <c r="K73" s="86" t="str">
        <f t="array" aca="1" ref="K73" ca="1">IF(
    IFERROR(MIN(
        IF(
            (TRIM(INDIRECT("'" &amp; INDEX('Hulp (CAO''s)'!$C$3:$C$6,
                MATCH(TRUE,'Hulp (CAO''s)'!$D$3:$D$6,0)) &amp; "'!B1:B1000")) = TEXT(K72,"0")) *
            (ROW(INDIRECT("'" &amp; INDEX('Hulp (CAO''s)'!$C$3:$C$6,
                MATCH(TRUE,'Hulp (CAO''s)'!$D$3:$D$6,0)) &amp; "'!B1:B1000")) &gt; MATCH(
                K71,
                INDIRECT("'" &amp; INDEX('Hulp (CAO''s)'!$C$3:$C$6,
                    MATCH(TRUE,'Hulp (CAO''s)'!$D$3:$D$6,0)) &amp; "'!A:A"),
                0
            )) *
            IF(
                L71="",
                1,
                (ROW(INDIRECT("'" &amp; INDEX('Hulp (CAO''s)'!$C$3:$C$6,
                    MATCH(TRUE,'Hulp (CAO''s)'!$D$3:$D$6,0)) &amp; "'!B1:B1000")) &lt; MATCH(
                    L71,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TEXT(K72,"0")) *
                (ROW(INDIRECT("'" &amp; INDEX('Hulp (CAO''s)'!$C$3:$C$6,
                    MATCH(TRUE,'Hulp (CAO''s)'!$D$3:$D$6,0)) &amp; "'!B1:B1000")) &gt; MATCH(
                    K71,
                    INDIRECT("'" &amp; INDEX('Hulp (CAO''s)'!$C$3:$C$6,
                        MATCH(TRUE,'Hulp (CAO''s)'!$D$3:$D$6,0)) &amp; "'!A:A"),
                    0
                )) *
                IF(
                    L71="",
                    1,
                    (ROW(INDIRECT("'" &amp; INDEX('Hulp (CAO''s)'!$C$3:$C$6,
                        MATCH(TRUE,'Hulp (CAO''s)'!$D$3:$D$6,0)) &amp; "'!B1:B1000")) &lt; MATCH(
                        L71,
                        INDIRECT("'" &amp; INDEX('Hulp (CAO''s)'!$C$3:$C$6,
                            MATCH(TRUE,'Hulp (CAO''s)'!$D$3:$D$6,0)) &amp; "'!A:A"),
                        0
                    ))
                ),
                ROW(INDIRECT("'" &amp; INDEX('Hulp (CAO''s)'!$C$3:$C$6,
                    MATCH(TRUE,'Hulp (CAO''s)'!$D$3:$D$6,0)) &amp; "'!B1:B1000"))
            )
        ),0)
    )
)</f>
        <v/>
      </c>
      <c r="L73" s="86" t="str">
        <f t="array" aca="1" ref="L73" ca="1">IF(
    IFERROR(MIN(
        IF(
            (TRIM(INDIRECT("'" &amp; INDEX('Hulp (CAO''s)'!$C$3:$C$6,
                MATCH(TRUE,'Hulp (CAO''s)'!$D$3:$D$6,0)) &amp; "'!B1:B1000")) = TEXT(L72,"0")) *
            (ROW(INDIRECT("'" &amp; INDEX('Hulp (CAO''s)'!$C$3:$C$6,
                MATCH(TRUE,'Hulp (CAO''s)'!$D$3:$D$6,0)) &amp; "'!B1:B1000")) &gt; MATCH(
                L71,
                INDIRECT("'" &amp; INDEX('Hulp (CAO''s)'!$C$3:$C$6,
                    MATCH(TRUE,'Hulp (CAO''s)'!$D$3:$D$6,0)) &amp; "'!A:A"),
                0
            )) *
            IF(
                M71="",
                1,
                (ROW(INDIRECT("'" &amp; INDEX('Hulp (CAO''s)'!$C$3:$C$6,
                    MATCH(TRUE,'Hulp (CAO''s)'!$D$3:$D$6,0)) &amp; "'!B1:B1000")) &lt; MATCH(
                    M71,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TEXT(L72,"0")) *
                (ROW(INDIRECT("'" &amp; INDEX('Hulp (CAO''s)'!$C$3:$C$6,
                    MATCH(TRUE,'Hulp (CAO''s)'!$D$3:$D$6,0)) &amp; "'!B1:B1000")) &gt; MATCH(
                    L71,
                    INDIRECT("'" &amp; INDEX('Hulp (CAO''s)'!$C$3:$C$6,
                        MATCH(TRUE,'Hulp (CAO''s)'!$D$3:$D$6,0)) &amp; "'!A:A"),
                    0
                )) *
                IF(
                    M71="",
                    1,
                    (ROW(INDIRECT("'" &amp; INDEX('Hulp (CAO''s)'!$C$3:$C$6,
                        MATCH(TRUE,'Hulp (CAO''s)'!$D$3:$D$6,0)) &amp; "'!B1:B1000")) &lt; MATCH(
                        M71,
                        INDIRECT("'" &amp; INDEX('Hulp (CAO''s)'!$C$3:$C$6,
                            MATCH(TRUE,'Hulp (CAO''s)'!$D$3:$D$6,0)) &amp; "'!A:A"),
                        0
                    ))
                ),
                ROW(INDIRECT("'" &amp; INDEX('Hulp (CAO''s)'!$C$3:$C$6,
                    MATCH(TRUE,'Hulp (CAO''s)'!$D$3:$D$6,0)) &amp; "'!B1:B1000"))
            )
        ),0)
    )
)</f>
        <v/>
      </c>
      <c r="M73" s="86" t="str">
        <f t="array" aca="1" ref="M73" ca="1">IF(
    IFERROR(MIN(
        IF(
            (TRIM(INDIRECT("'" &amp; INDEX('Hulp (CAO''s)'!$C$3:$C$6,
                MATCH(TRUE,'Hulp (CAO''s)'!$D$3:$D$6,0)) &amp; "'!B1:B1000")) = TEXT(M72,"0")) *
            (ROW(INDIRECT("'" &amp; INDEX('Hulp (CAO''s)'!$C$3:$C$6,
                MATCH(TRUE,'Hulp (CAO''s)'!$D$3:$D$6,0)) &amp; "'!B1:B1000")) &gt; MATCH(
                M71,
                INDIRECT("'" &amp; INDEX('Hulp (CAO''s)'!$C$3:$C$6,
                    MATCH(TRUE,'Hulp (CAO''s)'!$D$3:$D$6,0)) &amp; "'!A:A"),
                0
            )) *
            IF(
                N71="",
                1,
                (ROW(INDIRECT("'" &amp; INDEX('Hulp (CAO''s)'!$C$3:$C$6,
                    MATCH(TRUE,'Hulp (CAO''s)'!$D$3:$D$6,0)) &amp; "'!B1:B1000")) &lt; MATCH(
                    N71,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TEXT(M72,"0")) *
                (ROW(INDIRECT("'" &amp; INDEX('Hulp (CAO''s)'!$C$3:$C$6,
                    MATCH(TRUE,'Hulp (CAO''s)'!$D$3:$D$6,0)) &amp; "'!B1:B1000")) &gt; MATCH(
                    M71,
                    INDIRECT("'" &amp; INDEX('Hulp (CAO''s)'!$C$3:$C$6,
                        MATCH(TRUE,'Hulp (CAO''s)'!$D$3:$D$6,0)) &amp; "'!A:A"),
                    0
                )) *
                IF(
                    N71="",
                    1,
                    (ROW(INDIRECT("'" &amp; INDEX('Hulp (CAO''s)'!$C$3:$C$6,
                        MATCH(TRUE,'Hulp (CAO''s)'!$D$3:$D$6,0)) &amp; "'!B1:B1000")) &lt; MATCH(
                        N71,
                        INDIRECT("'" &amp; INDEX('Hulp (CAO''s)'!$C$3:$C$6,
                            MATCH(TRUE,'Hulp (CAO''s)'!$D$3:$D$6,0)) &amp; "'!A:A"),
                        0
                    ))
                ),
                ROW(INDIRECT("'" &amp; INDEX('Hulp (CAO''s)'!$C$3:$C$6,
                    MATCH(TRUE,'Hulp (CAO''s)'!$D$3:$D$6,0)) &amp; "'!B1:B1000"))
            )
        ),0)
    )
)</f>
        <v/>
      </c>
      <c r="N73" s="86" t="str">
        <f t="array" aca="1" ref="N73" ca="1">IF(
    IFERROR(MIN(
        IF(
            (TRIM(INDIRECT("'" &amp; INDEX('Hulp (CAO''s)'!$C$3:$C$6,
                MATCH(TRUE,'Hulp (CAO''s)'!$D$3:$D$6,0)) &amp; "'!B1:B1000")) = TEXT(N72,"0")) *
            (ROW(INDIRECT("'" &amp; INDEX('Hulp (CAO''s)'!$C$3:$C$6,
                MATCH(TRUE,'Hulp (CAO''s)'!$D$3:$D$6,0)) &amp; "'!B1:B1000")) &gt; MATCH(
                N71,
                INDIRECT("'" &amp; INDEX('Hulp (CAO''s)'!$C$3:$C$6,
                    MATCH(TRUE,'Hulp (CAO''s)'!$D$3:$D$6,0)) &amp; "'!A:A"),
                0
            )) *
            IF(
                O71="",
                1,
                (ROW(INDIRECT("'" &amp; INDEX('Hulp (CAO''s)'!$C$3:$C$6,
                    MATCH(TRUE,'Hulp (CAO''s)'!$D$3:$D$6,0)) &amp; "'!B1:B1000")) &lt; MATCH(
                    O71,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TEXT(N72,"0")) *
                (ROW(INDIRECT("'" &amp; INDEX('Hulp (CAO''s)'!$C$3:$C$6,
                    MATCH(TRUE,'Hulp (CAO''s)'!$D$3:$D$6,0)) &amp; "'!B1:B1000")) &gt; MATCH(
                    N71,
                    INDIRECT("'" &amp; INDEX('Hulp (CAO''s)'!$C$3:$C$6,
                        MATCH(TRUE,'Hulp (CAO''s)'!$D$3:$D$6,0)) &amp; "'!A:A"),
                    0
                )) *
                IF(
                    O71="",
                    1,
                    (ROW(INDIRECT("'" &amp; INDEX('Hulp (CAO''s)'!$C$3:$C$6,
                        MATCH(TRUE,'Hulp (CAO''s)'!$D$3:$D$6,0)) &amp; "'!B1:B1000")) &lt; MATCH(
                        O71,
                        INDIRECT("'" &amp; INDEX('Hulp (CAO''s)'!$C$3:$C$6,
                            MATCH(TRUE,'Hulp (CAO''s)'!$D$3:$D$6,0)) &amp; "'!A:A"),
                        0
                    ))
                ),
                ROW(INDIRECT("'" &amp; INDEX('Hulp (CAO''s)'!$C$3:$C$6,
                    MATCH(TRUE,'Hulp (CAO''s)'!$D$3:$D$6,0)) &amp; "'!B1:B1000"))
            )
        ),0)
    )
)</f>
        <v/>
      </c>
      <c r="O73" s="86" t="str">
        <f t="array" aca="1" ref="O73" ca="1">IF(
    IFERROR(MIN(
        IF(
            (TRIM(INDIRECT("'" &amp; INDEX('Hulp (CAO''s)'!$C$3:$C$6,
                MATCH(TRUE,'Hulp (CAO''s)'!$D$3:$D$6,0)) &amp; "'!B1:B1000")) = TEXT(O72,"0")) *
            (ROW(INDIRECT("'" &amp; INDEX('Hulp (CAO''s)'!$C$3:$C$6,
                MATCH(TRUE,'Hulp (CAO''s)'!$D$3:$D$6,0)) &amp; "'!B1:B1000")) &gt; MATCH(
                O71,
                INDIRECT("'" &amp; INDEX('Hulp (CAO''s)'!$C$3:$C$6,
                    MATCH(TRUE,'Hulp (CAO''s)'!$D$3:$D$6,0)) &amp; "'!A:A"),
                0
            )) *
            IF(
                P71="",
                1,
                (ROW(INDIRECT("'" &amp; INDEX('Hulp (CAO''s)'!$C$3:$C$6,
                    MATCH(TRUE,'Hulp (CAO''s)'!$D$3:$D$6,0)) &amp; "'!B1:B1000")) &lt; MATCH(
                    P71,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TEXT(O72,"0")) *
                (ROW(INDIRECT("'" &amp; INDEX('Hulp (CAO''s)'!$C$3:$C$6,
                    MATCH(TRUE,'Hulp (CAO''s)'!$D$3:$D$6,0)) &amp; "'!B1:B1000")) &gt; MATCH(
                    O71,
                    INDIRECT("'" &amp; INDEX('Hulp (CAO''s)'!$C$3:$C$6,
                        MATCH(TRUE,'Hulp (CAO''s)'!$D$3:$D$6,0)) &amp; "'!A:A"),
                    0
                )) *
                IF(
                    P71="",
                    1,
                    (ROW(INDIRECT("'" &amp; INDEX('Hulp (CAO''s)'!$C$3:$C$6,
                        MATCH(TRUE,'Hulp (CAO''s)'!$D$3:$D$6,0)) &amp; "'!B1:B1000")) &lt; MATCH(
                        P71,
                        INDIRECT("'" &amp; INDEX('Hulp (CAO''s)'!$C$3:$C$6,
                            MATCH(TRUE,'Hulp (CAO''s)'!$D$3:$D$6,0)) &amp; "'!A:A"),
                        0
                    ))
                ),
                ROW(INDIRECT("'" &amp; INDEX('Hulp (CAO''s)'!$C$3:$C$6,
                    MATCH(TRUE,'Hulp (CAO''s)'!$D$3:$D$6,0)) &amp; "'!B1:B1000"))
            )
        ),0)
    )
)</f>
        <v/>
      </c>
      <c r="P73" s="86" t="str">
        <f t="array" aca="1" ref="P73" ca="1">IF(
    IFERROR(MIN(
        IF(
            (TRIM(INDIRECT("'" &amp; INDEX('Hulp (CAO''s)'!$C$3:$C$6,
                MATCH(TRUE,'Hulp (CAO''s)'!$D$3:$D$6,0)) &amp; "'!B1:B1000")) = TEXT(P72,"0")) *
            (ROW(INDIRECT("'" &amp; INDEX('Hulp (CAO''s)'!$C$3:$C$6,
                MATCH(TRUE,'Hulp (CAO''s)'!$D$3:$D$6,0)) &amp; "'!B1:B1000")) &gt; MATCH(
                P71,
                INDIRECT("'" &amp; INDEX('Hulp (CAO''s)'!$C$3:$C$6,
                    MATCH(TRUE,'Hulp (CAO''s)'!$D$3:$D$6,0)) &amp; "'!A:A"),
                0
            )) *
            IF(
                Q71="",
                1,
                (ROW(INDIRECT("'" &amp; INDEX('Hulp (CAO''s)'!$C$3:$C$6,
                    MATCH(TRUE,'Hulp (CAO''s)'!$D$3:$D$6,0)) &amp; "'!B1:B1000")) &lt; MATCH(
                    Q71,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TEXT(P72,"0")) *
                (ROW(INDIRECT("'" &amp; INDEX('Hulp (CAO''s)'!$C$3:$C$6,
                    MATCH(TRUE,'Hulp (CAO''s)'!$D$3:$D$6,0)) &amp; "'!B1:B1000")) &gt; MATCH(
                    P71,
                    INDIRECT("'" &amp; INDEX('Hulp (CAO''s)'!$C$3:$C$6,
                        MATCH(TRUE,'Hulp (CAO''s)'!$D$3:$D$6,0)) &amp; "'!A:A"),
                    0
                )) *
                IF(
                    Q71="",
                    1,
                    (ROW(INDIRECT("'" &amp; INDEX('Hulp (CAO''s)'!$C$3:$C$6,
                        MATCH(TRUE,'Hulp (CAO''s)'!$D$3:$D$6,0)) &amp; "'!B1:B1000")) &lt; MATCH(
                        Q71,
                        INDIRECT("'" &amp; INDEX('Hulp (CAO''s)'!$C$3:$C$6,
                            MATCH(TRUE,'Hulp (CAO''s)'!$D$3:$D$6,0)) &amp; "'!A:A"),
                        0
                    ))
                ),
                ROW(INDIRECT("'" &amp; INDEX('Hulp (CAO''s)'!$C$3:$C$6,
                    MATCH(TRUE,'Hulp (CAO''s)'!$D$3:$D$6,0)) &amp; "'!B1:B1000"))
            )
        ),0)
    )
)</f>
        <v/>
      </c>
      <c r="Q73" s="86" t="str">
        <f t="array" aca="1" ref="Q73" ca="1">IF(
    IFERROR(MIN(
        IF(
            (TRIM(INDIRECT("'" &amp; INDEX('Hulp (CAO''s)'!$C$3:$C$6,
                MATCH(TRUE,'Hulp (CAO''s)'!$D$3:$D$6,0)) &amp; "'!B1:B1000")) = TEXT(Q72,"0")) *
            (ROW(INDIRECT("'" &amp; INDEX('Hulp (CAO''s)'!$C$3:$C$6,
                MATCH(TRUE,'Hulp (CAO''s)'!$D$3:$D$6,0)) &amp; "'!B1:B1000")) &gt; MATCH(
                Q71,
                INDIRECT("'" &amp; INDEX('Hulp (CAO''s)'!$C$3:$C$6,
                    MATCH(TRUE,'Hulp (CAO''s)'!$D$3:$D$6,0)) &amp; "'!A:A"),
                0
            )) *
            IF(
                R71="",
                1,
                (ROW(INDIRECT("'" &amp; INDEX('Hulp (CAO''s)'!$C$3:$C$6,
                    MATCH(TRUE,'Hulp (CAO''s)'!$D$3:$D$6,0)) &amp; "'!B1:B1000")) &lt; MATCH(
                    R71,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TEXT(Q72,"0")) *
                (ROW(INDIRECT("'" &amp; INDEX('Hulp (CAO''s)'!$C$3:$C$6,
                    MATCH(TRUE,'Hulp (CAO''s)'!$D$3:$D$6,0)) &amp; "'!B1:B1000")) &gt; MATCH(
                    Q71,
                    INDIRECT("'" &amp; INDEX('Hulp (CAO''s)'!$C$3:$C$6,
                        MATCH(TRUE,'Hulp (CAO''s)'!$D$3:$D$6,0)) &amp; "'!A:A"),
                    0
                )) *
                IF(
                    R71="",
                    1,
                    (ROW(INDIRECT("'" &amp; INDEX('Hulp (CAO''s)'!$C$3:$C$6,
                        MATCH(TRUE,'Hulp (CAO''s)'!$D$3:$D$6,0)) &amp; "'!B1:B1000")) &lt; MATCH(
                        R71,
                        INDIRECT("'" &amp; INDEX('Hulp (CAO''s)'!$C$3:$C$6,
                            MATCH(TRUE,'Hulp (CAO''s)'!$D$3:$D$6,0)) &amp; "'!A:A"),
                        0
                    ))
                ),
                ROW(INDIRECT("'" &amp; INDEX('Hulp (CAO''s)'!$C$3:$C$6,
                    MATCH(TRUE,'Hulp (CAO''s)'!$D$3:$D$6,0)) &amp; "'!B1:B1000"))
            )
        ),0)
    )
)</f>
        <v/>
      </c>
      <c r="R73" s="86" t="str">
        <f t="array" aca="1" ref="R73" ca="1">IF(
    IFERROR(MIN(
        IF(
            (TRIM(INDIRECT("'" &amp; INDEX('Hulp (CAO''s)'!$C$3:$C$6,
                MATCH(TRUE,'Hulp (CAO''s)'!$D$3:$D$6,0)) &amp; "'!B1:B1000")) = TEXT(R72,"0")) *
            (ROW(INDIRECT("'" &amp; INDEX('Hulp (CAO''s)'!$C$3:$C$6,
                MATCH(TRUE,'Hulp (CAO''s)'!$D$3:$D$6,0)) &amp; "'!B1:B1000")) &gt; MATCH(
                R71,
                INDIRECT("'" &amp; INDEX('Hulp (CAO''s)'!$C$3:$C$6,
                    MATCH(TRUE,'Hulp (CAO''s)'!$D$3:$D$6,0)) &amp; "'!A:A"),
                0
            )) *
            IF(
                S71="",
                1,
                (ROW(INDIRECT("'" &amp; INDEX('Hulp (CAO''s)'!$C$3:$C$6,
                    MATCH(TRUE,'Hulp (CAO''s)'!$D$3:$D$6,0)) &amp; "'!B1:B1000")) &lt; MATCH(
                    S71,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TEXT(R72,"0")) *
                (ROW(INDIRECT("'" &amp; INDEX('Hulp (CAO''s)'!$C$3:$C$6,
                    MATCH(TRUE,'Hulp (CAO''s)'!$D$3:$D$6,0)) &amp; "'!B1:B1000")) &gt; MATCH(
                    R71,
                    INDIRECT("'" &amp; INDEX('Hulp (CAO''s)'!$C$3:$C$6,
                        MATCH(TRUE,'Hulp (CAO''s)'!$D$3:$D$6,0)) &amp; "'!A:A"),
                    0
                )) *
                IF(
                    S71="",
                    1,
                    (ROW(INDIRECT("'" &amp; INDEX('Hulp (CAO''s)'!$C$3:$C$6,
                        MATCH(TRUE,'Hulp (CAO''s)'!$D$3:$D$6,0)) &amp; "'!B1:B1000")) &lt; MATCH(
                        S71,
                        INDIRECT("'" &amp; INDEX('Hulp (CAO''s)'!$C$3:$C$6,
                            MATCH(TRUE,'Hulp (CAO''s)'!$D$3:$D$6,0)) &amp; "'!A:A"),
                        0
                    ))
                ),
                ROW(INDIRECT("'" &amp; INDEX('Hulp (CAO''s)'!$C$3:$C$6,
                    MATCH(TRUE,'Hulp (CAO''s)'!$D$3:$D$6,0)) &amp; "'!B1:B1000"))
            )
        ),0)
    )
)</f>
        <v/>
      </c>
      <c r="S73" s="86" t="str">
        <f t="array" aca="1" ref="S73" ca="1">IF(
    IFERROR(MIN(
        IF(
            (TRIM(INDIRECT("'" &amp; INDEX('Hulp (CAO''s)'!$C$3:$C$6,
                MATCH(TRUE,'Hulp (CAO''s)'!$D$3:$D$6,0)) &amp; "'!B1:B1000")) = TEXT(S72,"0")) *
            (ROW(INDIRECT("'" &amp; INDEX('Hulp (CAO''s)'!$C$3:$C$6,
                MATCH(TRUE,'Hulp (CAO''s)'!$D$3:$D$6,0)) &amp; "'!B1:B1000")) &gt; MATCH(
                S71,
                INDIRECT("'" &amp; INDEX('Hulp (CAO''s)'!$C$3:$C$6,
                    MATCH(TRUE,'Hulp (CAO''s)'!$D$3:$D$6,0)) &amp; "'!A:A"),
                0
            )) *
            IF(
                T71="",
                1,
                (ROW(INDIRECT("'" &amp; INDEX('Hulp (CAO''s)'!$C$3:$C$6,
                    MATCH(TRUE,'Hulp (CAO''s)'!$D$3:$D$6,0)) &amp; "'!B1:B1000")) &lt; MATCH(
                    T71,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TEXT(S72,"0")) *
                (ROW(INDIRECT("'" &amp; INDEX('Hulp (CAO''s)'!$C$3:$C$6,
                    MATCH(TRUE,'Hulp (CAO''s)'!$D$3:$D$6,0)) &amp; "'!B1:B1000")) &gt; MATCH(
                    S71,
                    INDIRECT("'" &amp; INDEX('Hulp (CAO''s)'!$C$3:$C$6,
                        MATCH(TRUE,'Hulp (CAO''s)'!$D$3:$D$6,0)) &amp; "'!A:A"),
                    0
                )) *
                IF(
                    T71="",
                    1,
                    (ROW(INDIRECT("'" &amp; INDEX('Hulp (CAO''s)'!$C$3:$C$6,
                        MATCH(TRUE,'Hulp (CAO''s)'!$D$3:$D$6,0)) &amp; "'!B1:B1000")) &lt; MATCH(
                        T71,
                        INDIRECT("'" &amp; INDEX('Hulp (CAO''s)'!$C$3:$C$6,
                            MATCH(TRUE,'Hulp (CAO''s)'!$D$3:$D$6,0)) &amp; "'!A:A"),
                        0
                    ))
                ),
                ROW(INDIRECT("'" &amp; INDEX('Hulp (CAO''s)'!$C$3:$C$6,
                    MATCH(TRUE,'Hulp (CAO''s)'!$D$3:$D$6,0)) &amp; "'!B1:B1000"))
            )
        ),0)
    )
)</f>
        <v/>
      </c>
      <c r="T73" s="39" t="str">
        <f t="array" aca="1" ref="T73" ca="1">IF(
    IFERROR(MIN(
        IF(
            (TRIM(INDIRECT("'" &amp; INDEX('Hulp (CAO''s)'!$C$3:$C$6,
                MATCH(TRUE,'Hulp (CAO''s)'!$D$3:$D$6,0)) &amp; "'!B1:B1000")) = TEXT(T72,"0")) *
            (ROW(INDIRECT("'" &amp; INDEX('Hulp (CAO''s)'!$C$3:$C$6,
                MATCH(TRUE,'Hulp (CAO''s)'!$D$3:$D$6,0)) &amp; "'!B1:B1000")) &gt; MATCH(
                T71,
                INDIRECT("'" &amp; INDEX('Hulp (CAO''s)'!$C$3:$C$6,
                    MATCH(TRUE,'Hulp (CAO''s)'!$D$3:$D$6,0)) &amp; "'!A:A"),
                0
            )) *
            IF(
                U71="",
                1,
                (ROW(INDIRECT("'" &amp; INDEX('Hulp (CAO''s)'!$C$3:$C$6,
                    MATCH(TRUE,'Hulp (CAO''s)'!$D$3:$D$6,0)) &amp; "'!B1:B1000")) &lt; MATCH(
                    U71,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TEXT(T72,"0")) *
                (ROW(INDIRECT("'" &amp; INDEX('Hulp (CAO''s)'!$C$3:$C$6,
                    MATCH(TRUE,'Hulp (CAO''s)'!$D$3:$D$6,0)) &amp; "'!B1:B1000")) &gt; MATCH(
                    T71,
                    INDIRECT("'" &amp; INDEX('Hulp (CAO''s)'!$C$3:$C$6,
                        MATCH(TRUE,'Hulp (CAO''s)'!$D$3:$D$6,0)) &amp; "'!A:A"),
                    0
                )) *
                IF(
                    U71="",
                    1,
                    (ROW(INDIRECT("'" &amp; INDEX('Hulp (CAO''s)'!$C$3:$C$6,
                        MATCH(TRUE,'Hulp (CAO''s)'!$D$3:$D$6,0)) &amp; "'!B1:B1000")) &lt; MATCH(
                        U71,
                        INDIRECT("'" &amp; INDEX('Hulp (CAO''s)'!$C$3:$C$6,
                            MATCH(TRUE,'Hulp (CAO''s)'!$D$3:$D$6,0)) &amp; "'!A:A"),
                        0
                    ))
                ),
                ROW(INDIRECT("'" &amp; INDEX('Hulp (CAO''s)'!$C$3:$C$6,
                    MATCH(TRUE,'Hulp (CAO''s)'!$D$3:$D$6,0)) &amp; "'!B1:B1000"))
            )
        ),0)
    )
)</f>
        <v/>
      </c>
      <c r="V73" s="38" t="str">
        <f t="array" aca="1" ref="V73" ca="1">IF(
   SUM(E73:T73)=0,
   "",
   (
      SUMPRODUCT(
         IF(E73:T73="",0,E73:T73),
         IF(E74:T74="",0,E74:T74) * SUM(E74:T74)
      )
   ) *
   IF(
      'Hulp (CAO''s)'!#REF!,
      IF(
         OR(
            INDEX(#REF!, ROW(#REF!) + INT((ROW()-ROW($V$7))/6)*8)="",
            ISNA(INDEX(#REF!, ROW(#REF!) + INT((ROW()-ROW($V$7))/6)*8))
         ),
         1878/12,
         INDEX(#REF!, ROW(#REF!) + INT((ROW()-ROW($V$7))/6)*8)/12
      ),
      1
   )
)</f>
        <v/>
      </c>
    </row>
    <row r="74" spans="2:24" ht="14.65" thickBot="1" x14ac:dyDescent="0.5">
      <c r="B74" s="48" t="s">
        <v>60</v>
      </c>
      <c r="D74" s="24" t="s">
        <v>59</v>
      </c>
      <c r="E74" s="8"/>
      <c r="F74" s="8"/>
      <c r="G74" s="8"/>
      <c r="H74" s="8"/>
      <c r="I74" s="8"/>
      <c r="J74" s="8"/>
      <c r="K74" s="8"/>
      <c r="L74" s="8"/>
      <c r="M74" s="8"/>
      <c r="N74" s="8"/>
      <c r="O74" s="8"/>
      <c r="P74" s="8"/>
      <c r="Q74" s="8"/>
      <c r="R74" s="8"/>
      <c r="S74" s="8"/>
      <c r="T74" s="9"/>
      <c r="U74" s="7"/>
      <c r="V74" s="37" t="str">
        <f ca="1">IF(B71="","",IF(INDIRECT("'Hulp (control forms)'!C" &amp; (13 + INT((ROW()-ROW($B$5))/6))), V72, V73))</f>
        <v/>
      </c>
      <c r="W74" s="7"/>
    </row>
    <row r="75" spans="2:24" x14ac:dyDescent="0.5">
      <c r="S75" s="7" t="str">
        <f>IF($B74="Aandeel in %",
   "Totaal: "&amp;SUM(E74:T74)*100&amp;"%",
   "Totaal: "&amp;SUM(E74:T74)&amp;" uur"
)</f>
        <v>Totaal: 0%</v>
      </c>
      <c r="T75" s="7"/>
    </row>
  </sheetData>
  <conditionalFormatting sqref="E6:T6 E8:T8">
    <cfRule type="expression" dxfId="164" priority="113">
      <formula>$B$5=""</formula>
    </cfRule>
  </conditionalFormatting>
  <conditionalFormatting sqref="E12:T12 E14:T14">
    <cfRule type="expression" dxfId="163" priority="44">
      <formula>$B$11=""</formula>
    </cfRule>
  </conditionalFormatting>
  <conditionalFormatting sqref="E18:T18 E20:T20">
    <cfRule type="expression" dxfId="162" priority="41">
      <formula>$B$17=""</formula>
    </cfRule>
  </conditionalFormatting>
  <conditionalFormatting sqref="E24:T24 E26:T26">
    <cfRule type="expression" dxfId="161" priority="38">
      <formula>$B$23=""</formula>
    </cfRule>
  </conditionalFormatting>
  <conditionalFormatting sqref="E30:T30 E32:T32">
    <cfRule type="expression" dxfId="160" priority="35">
      <formula>$B$29=""</formula>
    </cfRule>
  </conditionalFormatting>
  <conditionalFormatting sqref="E36:T36 E38:T38">
    <cfRule type="expression" dxfId="159" priority="32">
      <formula>$B$35=""</formula>
    </cfRule>
  </conditionalFormatting>
  <conditionalFormatting sqref="E42:T42 E44:T44">
    <cfRule type="expression" dxfId="158" priority="29">
      <formula>$B$41=""</formula>
    </cfRule>
  </conditionalFormatting>
  <conditionalFormatting sqref="E48:T48 E50:T50">
    <cfRule type="expression" dxfId="157" priority="26">
      <formula>$B$47=""</formula>
    </cfRule>
  </conditionalFormatting>
  <conditionalFormatting sqref="E54:T54 E56:T56">
    <cfRule type="expression" dxfId="156" priority="23">
      <formula>$B$53=""</formula>
    </cfRule>
  </conditionalFormatting>
  <conditionalFormatting sqref="E60:T60 E62:T62">
    <cfRule type="expression" dxfId="155" priority="20">
      <formula>$B$59=""</formula>
    </cfRule>
  </conditionalFormatting>
  <conditionalFormatting sqref="E66:T66 E68:T68">
    <cfRule type="expression" dxfId="154" priority="17">
      <formula>$B$65=""</formula>
    </cfRule>
  </conditionalFormatting>
  <conditionalFormatting sqref="E72:T72 E74:T74">
    <cfRule type="expression" dxfId="153" priority="14">
      <formula>$B$71=""</formula>
    </cfRule>
  </conditionalFormatting>
  <dataValidations count="1">
    <dataValidation type="list" allowBlank="1" showInputMessage="1" showErrorMessage="1" sqref="B8 B14 B20 B26 B32 B38 B44 B50 B56 B62 B68 B74" xr:uid="{00000000-0002-0000-0C00-000000000000}">
      <formula1>"Aandeel in %, Aandeel in uren"</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100" r:id="rId3" name="Check Box 4">
              <controlPr defaultSize="0" autoFill="0" autoLine="0" autoPict="0">
                <anchor moveWithCells="1">
                  <from>
                    <xdr:col>22</xdr:col>
                    <xdr:colOff>61913</xdr:colOff>
                    <xdr:row>4</xdr:row>
                    <xdr:rowOff>190500</xdr:rowOff>
                  </from>
                  <to>
                    <xdr:col>23</xdr:col>
                    <xdr:colOff>23813</xdr:colOff>
                    <xdr:row>5</xdr:row>
                    <xdr:rowOff>190500</xdr:rowOff>
                  </to>
                </anchor>
              </controlPr>
            </control>
          </mc:Choice>
        </mc:AlternateContent>
        <mc:AlternateContent xmlns:mc="http://schemas.openxmlformats.org/markup-compatibility/2006">
          <mc:Choice Requires="x14">
            <control shapeId="4113" r:id="rId4" name="Check Box 17">
              <controlPr defaultSize="0" autoFill="0" autoLine="0" autoPict="0">
                <anchor moveWithCells="1">
                  <from>
                    <xdr:col>22</xdr:col>
                    <xdr:colOff>61913</xdr:colOff>
                    <xdr:row>10</xdr:row>
                    <xdr:rowOff>176213</xdr:rowOff>
                  </from>
                  <to>
                    <xdr:col>23</xdr:col>
                    <xdr:colOff>0</xdr:colOff>
                    <xdr:row>11</xdr:row>
                    <xdr:rowOff>185738</xdr:rowOff>
                  </to>
                </anchor>
              </controlPr>
            </control>
          </mc:Choice>
        </mc:AlternateContent>
        <mc:AlternateContent xmlns:mc="http://schemas.openxmlformats.org/markup-compatibility/2006">
          <mc:Choice Requires="x14">
            <control shapeId="4116" r:id="rId5" name="Check Box 20">
              <controlPr defaultSize="0" autoFill="0" autoLine="0" autoPict="0">
                <anchor moveWithCells="1">
                  <from>
                    <xdr:col>22</xdr:col>
                    <xdr:colOff>61913</xdr:colOff>
                    <xdr:row>17</xdr:row>
                    <xdr:rowOff>0</xdr:rowOff>
                  </from>
                  <to>
                    <xdr:col>23</xdr:col>
                    <xdr:colOff>14288</xdr:colOff>
                    <xdr:row>17</xdr:row>
                    <xdr:rowOff>190500</xdr:rowOff>
                  </to>
                </anchor>
              </controlPr>
            </control>
          </mc:Choice>
        </mc:AlternateContent>
        <mc:AlternateContent xmlns:mc="http://schemas.openxmlformats.org/markup-compatibility/2006">
          <mc:Choice Requires="x14">
            <control shapeId="4119" r:id="rId6" name="Check Box 23">
              <controlPr defaultSize="0" autoFill="0" autoLine="0" autoPict="0">
                <anchor moveWithCells="1">
                  <from>
                    <xdr:col>22</xdr:col>
                    <xdr:colOff>61913</xdr:colOff>
                    <xdr:row>22</xdr:row>
                    <xdr:rowOff>190500</xdr:rowOff>
                  </from>
                  <to>
                    <xdr:col>23</xdr:col>
                    <xdr:colOff>0</xdr:colOff>
                    <xdr:row>23</xdr:row>
                    <xdr:rowOff>190500</xdr:rowOff>
                  </to>
                </anchor>
              </controlPr>
            </control>
          </mc:Choice>
        </mc:AlternateContent>
        <mc:AlternateContent xmlns:mc="http://schemas.openxmlformats.org/markup-compatibility/2006">
          <mc:Choice Requires="x14">
            <control shapeId="4122" r:id="rId7" name="Check Box 26">
              <controlPr defaultSize="0" autoFill="0" autoLine="0" autoPict="0">
                <anchor moveWithCells="1">
                  <from>
                    <xdr:col>22</xdr:col>
                    <xdr:colOff>61913</xdr:colOff>
                    <xdr:row>29</xdr:row>
                    <xdr:rowOff>0</xdr:rowOff>
                  </from>
                  <to>
                    <xdr:col>23</xdr:col>
                    <xdr:colOff>42863</xdr:colOff>
                    <xdr:row>29</xdr:row>
                    <xdr:rowOff>190500</xdr:rowOff>
                  </to>
                </anchor>
              </controlPr>
            </control>
          </mc:Choice>
        </mc:AlternateContent>
        <mc:AlternateContent xmlns:mc="http://schemas.openxmlformats.org/markup-compatibility/2006">
          <mc:Choice Requires="x14">
            <control shapeId="4125" r:id="rId8" name="Check Box 29">
              <controlPr defaultSize="0" autoFill="0" autoLine="0" autoPict="0">
                <anchor moveWithCells="1">
                  <from>
                    <xdr:col>22</xdr:col>
                    <xdr:colOff>61913</xdr:colOff>
                    <xdr:row>34</xdr:row>
                    <xdr:rowOff>190500</xdr:rowOff>
                  </from>
                  <to>
                    <xdr:col>23</xdr:col>
                    <xdr:colOff>23813</xdr:colOff>
                    <xdr:row>35</xdr:row>
                    <xdr:rowOff>190500</xdr:rowOff>
                  </to>
                </anchor>
              </controlPr>
            </control>
          </mc:Choice>
        </mc:AlternateContent>
        <mc:AlternateContent xmlns:mc="http://schemas.openxmlformats.org/markup-compatibility/2006">
          <mc:Choice Requires="x14">
            <control shapeId="4128" r:id="rId9" name="Check Box 32">
              <controlPr defaultSize="0" autoFill="0" autoLine="0" autoPict="0">
                <anchor moveWithCells="1">
                  <from>
                    <xdr:col>22</xdr:col>
                    <xdr:colOff>61913</xdr:colOff>
                    <xdr:row>41</xdr:row>
                    <xdr:rowOff>0</xdr:rowOff>
                  </from>
                  <to>
                    <xdr:col>23</xdr:col>
                    <xdr:colOff>38100</xdr:colOff>
                    <xdr:row>41</xdr:row>
                    <xdr:rowOff>190500</xdr:rowOff>
                  </to>
                </anchor>
              </controlPr>
            </control>
          </mc:Choice>
        </mc:AlternateContent>
        <mc:AlternateContent xmlns:mc="http://schemas.openxmlformats.org/markup-compatibility/2006">
          <mc:Choice Requires="x14">
            <control shapeId="4131" r:id="rId10" name="Check Box 35">
              <controlPr defaultSize="0" autoFill="0" autoLine="0" autoPict="0">
                <anchor moveWithCells="1">
                  <from>
                    <xdr:col>22</xdr:col>
                    <xdr:colOff>61913</xdr:colOff>
                    <xdr:row>47</xdr:row>
                    <xdr:rowOff>4763</xdr:rowOff>
                  </from>
                  <to>
                    <xdr:col>22</xdr:col>
                    <xdr:colOff>252413</xdr:colOff>
                    <xdr:row>47</xdr:row>
                    <xdr:rowOff>185738</xdr:rowOff>
                  </to>
                </anchor>
              </controlPr>
            </control>
          </mc:Choice>
        </mc:AlternateContent>
        <mc:AlternateContent xmlns:mc="http://schemas.openxmlformats.org/markup-compatibility/2006">
          <mc:Choice Requires="x14">
            <control shapeId="4134" r:id="rId11" name="Check Box 38">
              <controlPr defaultSize="0" autoFill="0" autoLine="0" autoPict="0">
                <anchor moveWithCells="1">
                  <from>
                    <xdr:col>22</xdr:col>
                    <xdr:colOff>61913</xdr:colOff>
                    <xdr:row>52</xdr:row>
                    <xdr:rowOff>190500</xdr:rowOff>
                  </from>
                  <to>
                    <xdr:col>23</xdr:col>
                    <xdr:colOff>23813</xdr:colOff>
                    <xdr:row>53</xdr:row>
                    <xdr:rowOff>185738</xdr:rowOff>
                  </to>
                </anchor>
              </controlPr>
            </control>
          </mc:Choice>
        </mc:AlternateContent>
        <mc:AlternateContent xmlns:mc="http://schemas.openxmlformats.org/markup-compatibility/2006">
          <mc:Choice Requires="x14">
            <control shapeId="4137" r:id="rId12" name="Check Box 41">
              <controlPr defaultSize="0" autoFill="0" autoLine="0" autoPict="0">
                <anchor moveWithCells="1">
                  <from>
                    <xdr:col>22</xdr:col>
                    <xdr:colOff>61913</xdr:colOff>
                    <xdr:row>58</xdr:row>
                    <xdr:rowOff>176213</xdr:rowOff>
                  </from>
                  <to>
                    <xdr:col>23</xdr:col>
                    <xdr:colOff>42863</xdr:colOff>
                    <xdr:row>59</xdr:row>
                    <xdr:rowOff>185738</xdr:rowOff>
                  </to>
                </anchor>
              </controlPr>
            </control>
          </mc:Choice>
        </mc:AlternateContent>
        <mc:AlternateContent xmlns:mc="http://schemas.openxmlformats.org/markup-compatibility/2006">
          <mc:Choice Requires="x14">
            <control shapeId="4140" r:id="rId13" name="Check Box 44">
              <controlPr defaultSize="0" autoFill="0" autoLine="0" autoPict="0">
                <anchor moveWithCells="1">
                  <from>
                    <xdr:col>22</xdr:col>
                    <xdr:colOff>61913</xdr:colOff>
                    <xdr:row>64</xdr:row>
                    <xdr:rowOff>152400</xdr:rowOff>
                  </from>
                  <to>
                    <xdr:col>23</xdr:col>
                    <xdr:colOff>14288</xdr:colOff>
                    <xdr:row>65</xdr:row>
                    <xdr:rowOff>185738</xdr:rowOff>
                  </to>
                </anchor>
              </controlPr>
            </control>
          </mc:Choice>
        </mc:AlternateContent>
        <mc:AlternateContent xmlns:mc="http://schemas.openxmlformats.org/markup-compatibility/2006">
          <mc:Choice Requires="x14">
            <control shapeId="4143" r:id="rId14" name="Check Box 47">
              <controlPr defaultSize="0" autoFill="0" autoLine="0" autoPict="0">
                <anchor moveWithCells="1">
                  <from>
                    <xdr:col>22</xdr:col>
                    <xdr:colOff>61913</xdr:colOff>
                    <xdr:row>70</xdr:row>
                    <xdr:rowOff>190500</xdr:rowOff>
                  </from>
                  <to>
                    <xdr:col>23</xdr:col>
                    <xdr:colOff>23813</xdr:colOff>
                    <xdr:row>71</xdr:row>
                    <xdr:rowOff>185738</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826" id="{DCE4DD98-EA65-4536-AE12-603573D0CC97}">
            <xm:f>OR($B$5="",'Hulp (control forms)'!$C$13&lt;&gt;TRUE)</xm:f>
            <x14:dxf>
              <font>
                <color theme="6" tint="0.59996337778862885"/>
              </font>
              <fill>
                <patternFill>
                  <bgColor theme="6" tint="0.59996337778862885"/>
                </patternFill>
              </fill>
            </x14:dxf>
          </x14:cfRule>
          <xm:sqref>V6</xm:sqref>
        </x14:conditionalFormatting>
        <x14:conditionalFormatting xmlns:xm="http://schemas.microsoft.com/office/excel/2006/main">
          <x14:cfRule type="expression" priority="14827" id="{2AE8C05D-A232-4FF6-9466-FBD58CE942B4}">
            <xm:f>OR($B$11="",'Hulp (control forms)'!$C$14&lt;&gt;TRUE)</xm:f>
            <x14:dxf>
              <font>
                <color theme="6" tint="0.59996337778862885"/>
              </font>
              <fill>
                <patternFill>
                  <bgColor theme="6" tint="0.59996337778862885"/>
                </patternFill>
              </fill>
            </x14:dxf>
          </x14:cfRule>
          <xm:sqref>V12</xm:sqref>
        </x14:conditionalFormatting>
        <x14:conditionalFormatting xmlns:xm="http://schemas.microsoft.com/office/excel/2006/main">
          <x14:cfRule type="expression" priority="14828" id="{949EF784-7008-4344-9C07-BE9D9E59B135}">
            <xm:f>OR($B$17="",'Hulp (control forms)'!$C$15&lt;&gt;TRUE)</xm:f>
            <x14:dxf>
              <font>
                <color theme="6" tint="0.59996337778862885"/>
              </font>
              <fill>
                <patternFill>
                  <bgColor theme="6" tint="0.59996337778862885"/>
                </patternFill>
              </fill>
            </x14:dxf>
          </x14:cfRule>
          <xm:sqref>V18</xm:sqref>
        </x14:conditionalFormatting>
        <x14:conditionalFormatting xmlns:xm="http://schemas.microsoft.com/office/excel/2006/main">
          <x14:cfRule type="expression" priority="14829" id="{63BFD03F-702F-403A-967B-28F9A90F2ACF}">
            <xm:f>OR($B$23="",'Hulp (control forms)'!$C$16&lt;&gt;TRUE)</xm:f>
            <x14:dxf>
              <font>
                <color theme="6" tint="0.59996337778862885"/>
              </font>
              <fill>
                <patternFill>
                  <bgColor theme="6" tint="0.59996337778862885"/>
                </patternFill>
              </fill>
            </x14:dxf>
          </x14:cfRule>
          <xm:sqref>V24</xm:sqref>
        </x14:conditionalFormatting>
        <x14:conditionalFormatting xmlns:xm="http://schemas.microsoft.com/office/excel/2006/main">
          <x14:cfRule type="expression" priority="14830" id="{9BEB395F-73F4-4CF5-89D6-0F401705140D}">
            <xm:f>OR($B$29="",'Hulp (control forms)'!$C$17&lt;&gt;TRUE)</xm:f>
            <x14:dxf>
              <font>
                <color theme="6" tint="0.59996337778862885"/>
              </font>
              <fill>
                <patternFill>
                  <bgColor theme="6" tint="0.59996337778862885"/>
                </patternFill>
              </fill>
            </x14:dxf>
          </x14:cfRule>
          <xm:sqref>V30</xm:sqref>
        </x14:conditionalFormatting>
        <x14:conditionalFormatting xmlns:xm="http://schemas.microsoft.com/office/excel/2006/main">
          <x14:cfRule type="expression" priority="14831" id="{5FD64A4A-E7DE-4B6E-9092-E1A59FD9E711}">
            <xm:f>OR($B$35="",'Hulp (control forms)'!$C$18&lt;&gt;TRUE)</xm:f>
            <x14:dxf>
              <font>
                <color theme="6" tint="0.59996337778862885"/>
              </font>
              <fill>
                <patternFill>
                  <bgColor theme="6" tint="0.59996337778862885"/>
                </patternFill>
              </fill>
            </x14:dxf>
          </x14:cfRule>
          <xm:sqref>V36</xm:sqref>
        </x14:conditionalFormatting>
        <x14:conditionalFormatting xmlns:xm="http://schemas.microsoft.com/office/excel/2006/main">
          <x14:cfRule type="expression" priority="14832" id="{45EC9A33-ACB4-438E-8E69-857030EDABA4}">
            <xm:f>OR($B$41="",'Hulp (control forms)'!$C$19&lt;&gt;TRUE)</xm:f>
            <x14:dxf>
              <font>
                <color theme="6" tint="0.59996337778862885"/>
              </font>
              <fill>
                <patternFill>
                  <bgColor theme="6" tint="0.59996337778862885"/>
                </patternFill>
              </fill>
            </x14:dxf>
          </x14:cfRule>
          <xm:sqref>V42</xm:sqref>
        </x14:conditionalFormatting>
        <x14:conditionalFormatting xmlns:xm="http://schemas.microsoft.com/office/excel/2006/main">
          <x14:cfRule type="expression" priority="14833" id="{D836289A-E586-4511-BD5B-420BEE88E0A5}">
            <xm:f>OR($B$47="",'Hulp (control forms)'!$C$20&lt;&gt;TRUE)</xm:f>
            <x14:dxf>
              <font>
                <color theme="6" tint="0.59996337778862885"/>
              </font>
              <fill>
                <patternFill>
                  <bgColor theme="6" tint="0.59996337778862885"/>
                </patternFill>
              </fill>
            </x14:dxf>
          </x14:cfRule>
          <xm:sqref>V48</xm:sqref>
        </x14:conditionalFormatting>
        <x14:conditionalFormatting xmlns:xm="http://schemas.microsoft.com/office/excel/2006/main">
          <x14:cfRule type="expression" priority="14834" id="{54E8D7CF-D925-4F6C-A7CA-C46299C39013}">
            <xm:f>OR($B$53="",'Hulp (control forms)'!$C$21&lt;&gt;TRUE)</xm:f>
            <x14:dxf>
              <font>
                <color theme="6" tint="0.59996337778862885"/>
              </font>
              <fill>
                <patternFill>
                  <bgColor theme="6" tint="0.59996337778862885"/>
                </patternFill>
              </fill>
            </x14:dxf>
          </x14:cfRule>
          <xm:sqref>V54</xm:sqref>
        </x14:conditionalFormatting>
        <x14:conditionalFormatting xmlns:xm="http://schemas.microsoft.com/office/excel/2006/main">
          <x14:cfRule type="expression" priority="14835" id="{B9F6FF98-F42A-4307-B59F-BBDFDC34B8C9}">
            <xm:f>OR($B$59="",'Hulp (control forms)'!$C$22&lt;&gt;TRUE)</xm:f>
            <x14:dxf>
              <font>
                <color theme="6" tint="0.59996337778862885"/>
              </font>
              <fill>
                <patternFill>
                  <bgColor theme="6" tint="0.59996337778862885"/>
                </patternFill>
              </fill>
            </x14:dxf>
          </x14:cfRule>
          <xm:sqref>V60</xm:sqref>
        </x14:conditionalFormatting>
        <x14:conditionalFormatting xmlns:xm="http://schemas.microsoft.com/office/excel/2006/main">
          <x14:cfRule type="expression" priority="14836" id="{79D3C4AE-C18F-4FBD-BAF5-F79C2494B08A}">
            <xm:f>OR($B$65="",'Hulp (control forms)'!$C$23&lt;&gt;TRUE)</xm:f>
            <x14:dxf>
              <font>
                <color theme="6" tint="0.59996337778862885"/>
              </font>
              <fill>
                <patternFill>
                  <bgColor theme="6" tint="0.59996337778862885"/>
                </patternFill>
              </fill>
            </x14:dxf>
          </x14:cfRule>
          <xm:sqref>V66</xm:sqref>
        </x14:conditionalFormatting>
        <x14:conditionalFormatting xmlns:xm="http://schemas.microsoft.com/office/excel/2006/main">
          <x14:cfRule type="expression" priority="14837" id="{BF72D9A8-52A2-4DF6-8849-B36EF42C6D44}">
            <xm:f>OR($B$71="",'Hulp (control forms)'!$C$24&lt;&gt;TRUE)</xm:f>
            <x14:dxf>
              <font>
                <color theme="6" tint="0.59996337778862885"/>
              </font>
              <fill>
                <patternFill>
                  <bgColor theme="6" tint="0.59996337778862885"/>
                </patternFill>
              </fill>
            </x14:dxf>
          </x14:cfRule>
          <xm:sqref>V72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2:X75"/>
  <sheetViews>
    <sheetView zoomScale="70" zoomScaleNormal="70" workbookViewId="0">
      <selection activeCell="Z24" sqref="Z24"/>
    </sheetView>
  </sheetViews>
  <sheetFormatPr defaultRowHeight="15.75" x14ac:dyDescent="0.5"/>
  <cols>
    <col min="1" max="1" width="18.06640625" customWidth="1"/>
    <col min="2" max="2" width="26.46484375" style="12" customWidth="1"/>
    <col min="3" max="3" width="7.06640625" customWidth="1"/>
    <col min="4" max="4" width="24.06640625" customWidth="1"/>
    <col min="5" max="20" width="4.53125" customWidth="1"/>
    <col min="22" max="22" width="19.53125" customWidth="1"/>
    <col min="23" max="23" width="3.796875" customWidth="1"/>
    <col min="24" max="24" width="24.53125" style="60" customWidth="1"/>
  </cols>
  <sheetData>
    <row r="2" spans="1:24" s="47" customFormat="1" ht="18" x14ac:dyDescent="0.55000000000000004">
      <c r="B2" s="46" t="s">
        <v>1</v>
      </c>
      <c r="D2" s="46" t="s">
        <v>31</v>
      </c>
      <c r="K2"/>
      <c r="V2" s="46" t="s">
        <v>30</v>
      </c>
      <c r="X2" s="60"/>
    </row>
    <row r="3" spans="1:24" x14ac:dyDescent="0.5">
      <c r="D3" s="12"/>
      <c r="V3" s="12"/>
    </row>
    <row r="4" spans="1:24" ht="16.149999999999999" thickBot="1" x14ac:dyDescent="0.55000000000000004">
      <c r="A4" s="5"/>
      <c r="B4" s="44" t="str">
        <f ca="1">IF(B5="","",IF(
   OR(
      INDIRECT("'1a. Input organisatieniveau'!N" &amp; (14 + INT((ROW()-4)/6)))="",
      INDIRECT("'1a. Input organisatieniveau'!N" &amp; (14 + INT((ROW()-4)/6)))=0
   ),
   "",
   INDIRECT("'1a. Input organisatieniveau'!N" &amp; (14 + INT((ROW()-4)/6)))
))</f>
        <v/>
      </c>
      <c r="E4" s="61" t="str">
        <f ca="1">IF(AND(AND(E5&lt;&gt;"",E6&lt;&gt;""),E7=""),"!","")</f>
        <v/>
      </c>
      <c r="F4" s="61" t="str">
        <f t="shared" ref="F4:T4" ca="1" si="0">IF(AND(AND(F5&lt;&gt;"",F6&lt;&gt;""),F7=""),"!","")</f>
        <v/>
      </c>
      <c r="G4" s="61" t="str">
        <f t="shared" ca="1" si="0"/>
        <v/>
      </c>
      <c r="H4" s="61" t="str">
        <f t="shared" ca="1" si="0"/>
        <v/>
      </c>
      <c r="I4" s="61" t="str">
        <f t="shared" ca="1" si="0"/>
        <v/>
      </c>
      <c r="J4" s="61" t="str">
        <f t="shared" ca="1" si="0"/>
        <v/>
      </c>
      <c r="K4" s="61" t="str">
        <f t="shared" ca="1" si="0"/>
        <v/>
      </c>
      <c r="L4" s="61" t="str">
        <f t="shared" ca="1" si="0"/>
        <v/>
      </c>
      <c r="M4" s="61" t="str">
        <f t="shared" ca="1" si="0"/>
        <v/>
      </c>
      <c r="N4" s="61" t="str">
        <f t="shared" ca="1" si="0"/>
        <v/>
      </c>
      <c r="O4" s="61" t="str">
        <f t="shared" ca="1" si="0"/>
        <v/>
      </c>
      <c r="P4" s="61" t="str">
        <f t="shared" ca="1" si="0"/>
        <v/>
      </c>
      <c r="Q4" s="61" t="str">
        <f t="shared" ca="1" si="0"/>
        <v/>
      </c>
      <c r="R4" s="61" t="str">
        <f t="shared" ca="1" si="0"/>
        <v/>
      </c>
      <c r="S4" s="61" t="str">
        <f t="shared" ca="1" si="0"/>
        <v/>
      </c>
      <c r="T4" s="61" t="str">
        <f t="shared" ca="1" si="0"/>
        <v/>
      </c>
    </row>
    <row r="5" spans="1:24" ht="16.149999999999999" thickBot="1" x14ac:dyDescent="0.55000000000000004">
      <c r="B5" s="45" t="str">
        <f ca="1">IF(
   OR(
      INDIRECT("'1a. Input organisatieniveau'!M" &amp; (14 + INT((ROW()-4)/6)))="",
      INDIRECT("'1a. Input organisatieniveau'!M" &amp; (14 + INT((ROW()-4)/6)))=0
   ),
   "",
   INDIRECT("'1a. Input organisatieniveau'!M" &amp; (14 + INT((ROW()-4)/6)))
)</f>
        <v/>
      </c>
      <c r="D5" s="22" t="s">
        <v>28</v>
      </c>
      <c r="E5" s="10" t="str">
        <f t="array" aca="1" ref="E5" ca="1">IF($B5="", "", INDEX('Hulp (CAO''s)'!J$3:J$6, MATCH(TRUE, 'Hulp (CAO''s)'!$D$3:$D$6, 0)))</f>
        <v/>
      </c>
      <c r="F5" s="10" t="str">
        <f t="array" aca="1" ref="F5" ca="1">IF($B5="", "", INDEX('Hulp (CAO''s)'!K$3:K$6, MATCH(TRUE, 'Hulp (CAO''s)'!$D$3:$D$6, 0)))</f>
        <v/>
      </c>
      <c r="G5" s="10" t="str">
        <f t="array" aca="1" ref="G5" ca="1">IF($B5="", "", INDEX('Hulp (CAO''s)'!L$3:L$6, MATCH(TRUE, 'Hulp (CAO''s)'!$D$3:$D$6, 0)))</f>
        <v/>
      </c>
      <c r="H5" s="10" t="str">
        <f t="array" aca="1" ref="H5" ca="1">IF($B5="", "", INDEX('Hulp (CAO''s)'!M$3:M$6, MATCH(TRUE, 'Hulp (CAO''s)'!$D$3:$D$6, 0)))</f>
        <v/>
      </c>
      <c r="I5" s="10" t="str">
        <f t="array" aca="1" ref="I5" ca="1">IF($B5="", "", INDEX('Hulp (CAO''s)'!N$3:N$6, MATCH(TRUE, 'Hulp (CAO''s)'!$D$3:$D$6, 0)))</f>
        <v/>
      </c>
      <c r="J5" s="10" t="str">
        <f t="array" aca="1" ref="J5" ca="1">IF($B5="", "", INDEX('Hulp (CAO''s)'!O$3:O$6, MATCH(TRUE, 'Hulp (CAO''s)'!$D$3:$D$6, 0)))</f>
        <v/>
      </c>
      <c r="K5" s="10" t="str">
        <f t="array" aca="1" ref="K5" ca="1">IF($B5="", "", INDEX('Hulp (CAO''s)'!P$3:P$6, MATCH(TRUE, 'Hulp (CAO''s)'!$D$3:$D$6, 0)))</f>
        <v/>
      </c>
      <c r="L5" s="10" t="str">
        <f t="array" aca="1" ref="L5" ca="1">IF($B5="", "", INDEX('Hulp (CAO''s)'!Q$3:Q$6, MATCH(TRUE, 'Hulp (CAO''s)'!$D$3:$D$6, 0)))</f>
        <v/>
      </c>
      <c r="M5" s="10" t="str">
        <f t="array" aca="1" ref="M5" ca="1">IF($B5="", "", INDEX('Hulp (CAO''s)'!R$3:R$6, MATCH(TRUE, 'Hulp (CAO''s)'!$D$3:$D$6, 0)))</f>
        <v/>
      </c>
      <c r="N5" s="10" t="str">
        <f t="array" aca="1" ref="N5" ca="1">IF($B5="", "", INDEX('Hulp (CAO''s)'!S$3:S$6, MATCH(TRUE, 'Hulp (CAO''s)'!$D$3:$D$6, 0)))</f>
        <v/>
      </c>
      <c r="O5" s="10" t="str">
        <f t="array" aca="1" ref="O5" ca="1">IF($B5="", "", INDEX('Hulp (CAO''s)'!T$3:T$6, MATCH(TRUE, 'Hulp (CAO''s)'!$D$3:$D$6, 0)))</f>
        <v/>
      </c>
      <c r="P5" s="10" t="str">
        <f t="array" aca="1" ref="P5" ca="1">IF($B5="", "", INDEX('Hulp (CAO''s)'!U$3:U$6, MATCH(TRUE, 'Hulp (CAO''s)'!$D$3:$D$6, 0)))</f>
        <v/>
      </c>
      <c r="Q5" s="10" t="str">
        <f t="array" aca="1" ref="Q5" ca="1">IF($B5="", "", INDEX('Hulp (CAO''s)'!V$3:V$6, MATCH(TRUE, 'Hulp (CAO''s)'!$D$3:$D$6, 0)))</f>
        <v/>
      </c>
      <c r="R5" s="10" t="str">
        <f t="array" aca="1" ref="R5" ca="1">IF($B5="", "", INDEX('Hulp (CAO''s)'!W$3:W$6, MATCH(TRUE, 'Hulp (CAO''s)'!$D$3:$D$6, 0)))</f>
        <v/>
      </c>
      <c r="S5" s="10" t="str">
        <f t="array" aca="1" ref="S5" ca="1">IF($B5="", "", INDEX('Hulp (CAO''s)'!X$3:X$6, MATCH(TRUE, 'Hulp (CAO''s)'!$D$3:$D$6, 0)))</f>
        <v/>
      </c>
      <c r="T5" s="11" t="str">
        <f t="array" aca="1" ref="T5" ca="1">IF($B5="", "", INDEX('Hulp (CAO''s)'!Y$3:Y$6, MATCH(TRUE, 'Hulp (CAO''s)'!$D$3:$D$6, 0)))</f>
        <v/>
      </c>
      <c r="V5" s="25" t="s">
        <v>32</v>
      </c>
      <c r="W5" s="5"/>
    </row>
    <row r="6" spans="1:24" x14ac:dyDescent="0.5">
      <c r="D6" s="23" t="s">
        <v>770</v>
      </c>
      <c r="E6" s="90">
        <v>0.96</v>
      </c>
      <c r="F6" s="90">
        <v>0.9</v>
      </c>
      <c r="G6" s="90">
        <v>0.9</v>
      </c>
      <c r="H6" s="90">
        <v>0.7</v>
      </c>
      <c r="I6" s="90">
        <v>0.8</v>
      </c>
      <c r="J6" s="90">
        <v>0.9</v>
      </c>
      <c r="K6" s="90">
        <v>0.9</v>
      </c>
      <c r="L6" s="90">
        <v>0.9</v>
      </c>
      <c r="M6" s="90">
        <v>0.9</v>
      </c>
      <c r="N6" s="90">
        <v>0.8</v>
      </c>
      <c r="O6" s="90">
        <v>0.99</v>
      </c>
      <c r="P6" s="90">
        <v>0.99</v>
      </c>
      <c r="Q6" s="90">
        <v>0.93</v>
      </c>
      <c r="R6" s="90">
        <v>0.95</v>
      </c>
      <c r="S6" s="90">
        <v>0.92</v>
      </c>
      <c r="T6" s="91">
        <v>0.95</v>
      </c>
      <c r="V6" s="52">
        <v>4300</v>
      </c>
      <c r="X6" s="60" t="s">
        <v>747</v>
      </c>
    </row>
    <row r="7" spans="1:24" ht="14.65" thickBot="1" x14ac:dyDescent="0.5">
      <c r="B7"/>
      <c r="D7" s="40" t="str">
        <f>IFERROR(
   INDEX('Hulp (CAO''s)'!$I$3:$I$6, MATCH(TRUE, 'Hulp (CAO''s)'!$D$3:$D$6, 0)),
"")</f>
        <v>Bruto maandsalaris</v>
      </c>
      <c r="E7" s="86" t="str">
        <f ca="1">IF(
    OR(E5="",E6=""),
    "",
    MAX(
    INDIRECT("'" &amp; INDEX('Hulp (CAO''s)'!$C$3:$C$6,
        MATCH(TRUE,'Hulp (CAO''s)'!$D$3:$D$6,0)) &amp; "'!" &amp;
        INDEX('Hulp (CAO''s)'!$H$3:$H$6,
            MATCH(TRUE,'Hulp (CAO''s)'!$D$3:$D$6,0))
        &amp;
        MATCH(E5, INDIRECT("'" &amp; INDEX('Hulp (CAO''s)'!$C$3:$C$6,
            MATCH(TRUE,'Hulp (CAO''s)'!$D$3:$D$6,0)) &amp; "'!A:A"),0)
        &amp; ":H" &amp;
        IF(F5&lt;&gt;"",
            MATCH(F5, INDIRECT("'" &amp; INDEX('Hulp (CAO''s)'!$C$3:$C$6,
                MATCH(TRUE,'Hulp (CAO''s)'!$D$3:$D$6,0)) &amp; "'!A:A"),0)-1,
            1000
        )
    )
) * E6
)</f>
        <v/>
      </c>
      <c r="F7" s="86" t="str">
        <f ca="1">IF(
    OR(F5="",F6=""),
    "",
    MAX(
    INDIRECT("'" &amp; INDEX('Hulp (CAO''s)'!$C$3:$C$6,
        MATCH(TRUE,'Hulp (CAO''s)'!$D$3:$D$6,0)) &amp; "'!" &amp;
        INDEX('Hulp (CAO''s)'!$H$3:$H$6,
            MATCH(TRUE,'Hulp (CAO''s)'!$D$3:$D$6,0))
        &amp;
        MATCH(F5, INDIRECT("'" &amp; INDEX('Hulp (CAO''s)'!$C$3:$C$6,
            MATCH(TRUE,'Hulp (CAO''s)'!$D$3:$D$6,0)) &amp; "'!A:A"),0)
        &amp; ":H" &amp;
        IF(G5&lt;&gt;"",
            MATCH(G5, INDIRECT("'" &amp; INDEX('Hulp (CAO''s)'!$C$3:$C$6,
                MATCH(TRUE,'Hulp (CAO''s)'!$D$3:$D$6,0)) &amp; "'!A:A"),0)-1,
            1000
        )
    )
) * F6
)</f>
        <v/>
      </c>
      <c r="G7" s="86" t="str">
        <f ca="1">IF(
    OR(G5="",G6=""),
    "",
    MAX(
    INDIRECT("'" &amp; INDEX('Hulp (CAO''s)'!$C$3:$C$6,
        MATCH(TRUE,'Hulp (CAO''s)'!$D$3:$D$6,0)) &amp; "'!" &amp;
        INDEX('Hulp (CAO''s)'!$H$3:$H$6,
            MATCH(TRUE,'Hulp (CAO''s)'!$D$3:$D$6,0))
        &amp;
        MATCH(G5, INDIRECT("'" &amp; INDEX('Hulp (CAO''s)'!$C$3:$C$6,
            MATCH(TRUE,'Hulp (CAO''s)'!$D$3:$D$6,0)) &amp; "'!A:A"),0)
        &amp; ":H" &amp;
        IF(H5&lt;&gt;"",
            MATCH(H5, INDIRECT("'" &amp; INDEX('Hulp (CAO''s)'!$C$3:$C$6,
                MATCH(TRUE,'Hulp (CAO''s)'!$D$3:$D$6,0)) &amp; "'!A:A"),0)-1,
            1000
        )
    )
) * G6
)</f>
        <v/>
      </c>
      <c r="H7" s="86" t="str">
        <f ca="1">IF(
    OR(H5="",H6=""),
    "",
    MAX(
    INDIRECT("'" &amp; INDEX('Hulp (CAO''s)'!$C$3:$C$6,
        MATCH(TRUE,'Hulp (CAO''s)'!$D$3:$D$6,0)) &amp; "'!" &amp;
        INDEX('Hulp (CAO''s)'!$H$3:$H$6,
            MATCH(TRUE,'Hulp (CAO''s)'!$D$3:$D$6,0))
        &amp;
        MATCH(H5, INDIRECT("'" &amp; INDEX('Hulp (CAO''s)'!$C$3:$C$6,
            MATCH(TRUE,'Hulp (CAO''s)'!$D$3:$D$6,0)) &amp; "'!A:A"),0)
        &amp; ":H" &amp;
        IF(I5&lt;&gt;"",
            MATCH(I5, INDIRECT("'" &amp; INDEX('Hulp (CAO''s)'!$C$3:$C$6,
                MATCH(TRUE,'Hulp (CAO''s)'!$D$3:$D$6,0)) &amp; "'!A:A"),0)-1,
            1000
        )
    )
) * H6
)</f>
        <v/>
      </c>
      <c r="I7" s="86" t="str">
        <f ca="1">IF(
    OR(I5="",I6=""),
    "",
    MAX(
    INDIRECT("'" &amp; INDEX('Hulp (CAO''s)'!$C$3:$C$6,
        MATCH(TRUE,'Hulp (CAO''s)'!$D$3:$D$6,0)) &amp; "'!" &amp;
        INDEX('Hulp (CAO''s)'!$H$3:$H$6,
            MATCH(TRUE,'Hulp (CAO''s)'!$D$3:$D$6,0))
        &amp;
        MATCH(I5, INDIRECT("'" &amp; INDEX('Hulp (CAO''s)'!$C$3:$C$6,
            MATCH(TRUE,'Hulp (CAO''s)'!$D$3:$D$6,0)) &amp; "'!A:A"),0)
        &amp; ":H" &amp;
        IF(J5&lt;&gt;"",
            MATCH(J5, INDIRECT("'" &amp; INDEX('Hulp (CAO''s)'!$C$3:$C$6,
                MATCH(TRUE,'Hulp (CAO''s)'!$D$3:$D$6,0)) &amp; "'!A:A"),0)-1,
            1000
        )
    )
) * I6
)</f>
        <v/>
      </c>
      <c r="J7" s="86" t="str">
        <f ca="1">IF(
    OR(J5="",J6=""),
    "",
    MAX(
    INDIRECT("'" &amp; INDEX('Hulp (CAO''s)'!$C$3:$C$6,
        MATCH(TRUE,'Hulp (CAO''s)'!$D$3:$D$6,0)) &amp; "'!" &amp;
        INDEX('Hulp (CAO''s)'!$H$3:$H$6,
            MATCH(TRUE,'Hulp (CAO''s)'!$D$3:$D$6,0))
        &amp;
        MATCH(J5, INDIRECT("'" &amp; INDEX('Hulp (CAO''s)'!$C$3:$C$6,
            MATCH(TRUE,'Hulp (CAO''s)'!$D$3:$D$6,0)) &amp; "'!A:A"),0)
        &amp; ":H" &amp;
        IF(K5&lt;&gt;"",
            MATCH(K5, INDIRECT("'" &amp; INDEX('Hulp (CAO''s)'!$C$3:$C$6,
                MATCH(TRUE,'Hulp (CAO''s)'!$D$3:$D$6,0)) &amp; "'!A:A"),0)-1,
            1000
        )
    )
) * J6
)</f>
        <v/>
      </c>
      <c r="K7" s="86" t="str">
        <f ca="1">IF(
    OR(K5="",K6=""),
    "",
    MAX(
    INDIRECT("'" &amp; INDEX('Hulp (CAO''s)'!$C$3:$C$6,
        MATCH(TRUE,'Hulp (CAO''s)'!$D$3:$D$6,0)) &amp; "'!" &amp;
        INDEX('Hulp (CAO''s)'!$H$3:$H$6,
            MATCH(TRUE,'Hulp (CAO''s)'!$D$3:$D$6,0))
        &amp;
        MATCH(K5, INDIRECT("'" &amp; INDEX('Hulp (CAO''s)'!$C$3:$C$6,
            MATCH(TRUE,'Hulp (CAO''s)'!$D$3:$D$6,0)) &amp; "'!A:A"),0)
        &amp; ":H" &amp;
        IF(L5&lt;&gt;"",
            MATCH(L5, INDIRECT("'" &amp; INDEX('Hulp (CAO''s)'!$C$3:$C$6,
                MATCH(TRUE,'Hulp (CAO''s)'!$D$3:$D$6,0)) &amp; "'!A:A"),0)-1,
            1000
        )
    )
) * K6
)</f>
        <v/>
      </c>
      <c r="L7" s="86" t="str">
        <f ca="1">IF(
    OR(L5="",L6=""),
    "",
    MAX(
    INDIRECT("'" &amp; INDEX('Hulp (CAO''s)'!$C$3:$C$6,
        MATCH(TRUE,'Hulp (CAO''s)'!$D$3:$D$6,0)) &amp; "'!" &amp;
        INDEX('Hulp (CAO''s)'!$H$3:$H$6,
            MATCH(TRUE,'Hulp (CAO''s)'!$D$3:$D$6,0))
        &amp;
        MATCH(L5, INDIRECT("'" &amp; INDEX('Hulp (CAO''s)'!$C$3:$C$6,
            MATCH(TRUE,'Hulp (CAO''s)'!$D$3:$D$6,0)) &amp; "'!A:A"),0)
        &amp; ":H" &amp;
        IF(M5&lt;&gt;"",
            MATCH(M5, INDIRECT("'" &amp; INDEX('Hulp (CAO''s)'!$C$3:$C$6,
                MATCH(TRUE,'Hulp (CAO''s)'!$D$3:$D$6,0)) &amp; "'!A:A"),0)-1,
            1000
        )
    )
) * L6
)</f>
        <v/>
      </c>
      <c r="M7" s="86" t="str">
        <f ca="1">IF(
    OR(M5="",M6=""),
    "",
    MAX(
    INDIRECT("'" &amp; INDEX('Hulp (CAO''s)'!$C$3:$C$6,
        MATCH(TRUE,'Hulp (CAO''s)'!$D$3:$D$6,0)) &amp; "'!" &amp;
        INDEX('Hulp (CAO''s)'!$H$3:$H$6,
            MATCH(TRUE,'Hulp (CAO''s)'!$D$3:$D$6,0))
        &amp;
        MATCH(M5, INDIRECT("'" &amp; INDEX('Hulp (CAO''s)'!$C$3:$C$6,
            MATCH(TRUE,'Hulp (CAO''s)'!$D$3:$D$6,0)) &amp; "'!A:A"),0)
        &amp; ":H" &amp;
        IF(N5&lt;&gt;"",
            MATCH(N5, INDIRECT("'" &amp; INDEX('Hulp (CAO''s)'!$C$3:$C$6,
                MATCH(TRUE,'Hulp (CAO''s)'!$D$3:$D$6,0)) &amp; "'!A:A"),0)-1,
            1000
        )
    )
) * M6
)</f>
        <v/>
      </c>
      <c r="N7" s="86" t="str">
        <f ca="1">IF(
    OR(N5="",N6=""),
    "",
    MAX(
    INDIRECT("'" &amp; INDEX('Hulp (CAO''s)'!$C$3:$C$6,
        MATCH(TRUE,'Hulp (CAO''s)'!$D$3:$D$6,0)) &amp; "'!" &amp;
        INDEX('Hulp (CAO''s)'!$H$3:$H$6,
            MATCH(TRUE,'Hulp (CAO''s)'!$D$3:$D$6,0))
        &amp;
        MATCH(N5, INDIRECT("'" &amp; INDEX('Hulp (CAO''s)'!$C$3:$C$6,
            MATCH(TRUE,'Hulp (CAO''s)'!$D$3:$D$6,0)) &amp; "'!A:A"),0)
        &amp; ":H" &amp;
        IF(O5&lt;&gt;"",
            MATCH(O5, INDIRECT("'" &amp; INDEX('Hulp (CAO''s)'!$C$3:$C$6,
                MATCH(TRUE,'Hulp (CAO''s)'!$D$3:$D$6,0)) &amp; "'!A:A"),0)-1,
            1000
        )
    )
) * N6
)</f>
        <v/>
      </c>
      <c r="O7" s="86" t="str">
        <f ca="1">IF(
    OR(O5="",O6=""),
    "",
    MAX(
    INDIRECT("'" &amp; INDEX('Hulp (CAO''s)'!$C$3:$C$6,
        MATCH(TRUE,'Hulp (CAO''s)'!$D$3:$D$6,0)) &amp; "'!" &amp;
        INDEX('Hulp (CAO''s)'!$H$3:$H$6,
            MATCH(TRUE,'Hulp (CAO''s)'!$D$3:$D$6,0))
        &amp;
        MATCH(O5, INDIRECT("'" &amp; INDEX('Hulp (CAO''s)'!$C$3:$C$6,
            MATCH(TRUE,'Hulp (CAO''s)'!$D$3:$D$6,0)) &amp; "'!A:A"),0)
        &amp; ":H" &amp;
        IF(P5&lt;&gt;"",
            MATCH(P5, INDIRECT("'" &amp; INDEX('Hulp (CAO''s)'!$C$3:$C$6,
                MATCH(TRUE,'Hulp (CAO''s)'!$D$3:$D$6,0)) &amp; "'!A:A"),0)-1,
            1000
        )
    )
) * O6
)</f>
        <v/>
      </c>
      <c r="P7" s="86" t="str">
        <f ca="1">IF(
    OR(P5="",P6=""),
    "",
    MAX(
    INDIRECT("'" &amp; INDEX('Hulp (CAO''s)'!$C$3:$C$6,
        MATCH(TRUE,'Hulp (CAO''s)'!$D$3:$D$6,0)) &amp; "'!" &amp;
        INDEX('Hulp (CAO''s)'!$H$3:$H$6,
            MATCH(TRUE,'Hulp (CAO''s)'!$D$3:$D$6,0))
        &amp;
        MATCH(P5, INDIRECT("'" &amp; INDEX('Hulp (CAO''s)'!$C$3:$C$6,
            MATCH(TRUE,'Hulp (CAO''s)'!$D$3:$D$6,0)) &amp; "'!A:A"),0)
        &amp; ":H" &amp;
        IF(Q5&lt;&gt;"",
            MATCH(Q5, INDIRECT("'" &amp; INDEX('Hulp (CAO''s)'!$C$3:$C$6,
                MATCH(TRUE,'Hulp (CAO''s)'!$D$3:$D$6,0)) &amp; "'!A:A"),0)-1,
            1000
        )
    )
) * P6
)</f>
        <v/>
      </c>
      <c r="Q7" s="86" t="str">
        <f ca="1">IF(
    OR(Q5="",Q6=""),
    "",
    MAX(
    INDIRECT("'" &amp; INDEX('Hulp (CAO''s)'!$C$3:$C$6,
        MATCH(TRUE,'Hulp (CAO''s)'!$D$3:$D$6,0)) &amp; "'!" &amp;
        INDEX('Hulp (CAO''s)'!$H$3:$H$6,
            MATCH(TRUE,'Hulp (CAO''s)'!$D$3:$D$6,0))
        &amp;
        MATCH(Q5, INDIRECT("'" &amp; INDEX('Hulp (CAO''s)'!$C$3:$C$6,
            MATCH(TRUE,'Hulp (CAO''s)'!$D$3:$D$6,0)) &amp; "'!A:A"),0)
        &amp; ":H" &amp;
        IF(R5&lt;&gt;"",
            MATCH(R5, INDIRECT("'" &amp; INDEX('Hulp (CAO''s)'!$C$3:$C$6,
                MATCH(TRUE,'Hulp (CAO''s)'!$D$3:$D$6,0)) &amp; "'!A:A"),0)-1,
            1000
        )
    )
) * Q6
)</f>
        <v/>
      </c>
      <c r="R7" s="86" t="str">
        <f ca="1">IF(
    OR(R5="",R6=""),
    "",
    MAX(
    INDIRECT("'" &amp; INDEX('Hulp (CAO''s)'!$C$3:$C$6,
        MATCH(TRUE,'Hulp (CAO''s)'!$D$3:$D$6,0)) &amp; "'!" &amp;
        INDEX('Hulp (CAO''s)'!$H$3:$H$6,
            MATCH(TRUE,'Hulp (CAO''s)'!$D$3:$D$6,0))
        &amp;
        MATCH(R5, INDIRECT("'" &amp; INDEX('Hulp (CAO''s)'!$C$3:$C$6,
            MATCH(TRUE,'Hulp (CAO''s)'!$D$3:$D$6,0)) &amp; "'!A:A"),0)
        &amp; ":H" &amp;
        IF(S5&lt;&gt;"",
            MATCH(S5, INDIRECT("'" &amp; INDEX('Hulp (CAO''s)'!$C$3:$C$6,
                MATCH(TRUE,'Hulp (CAO''s)'!$D$3:$D$6,0)) &amp; "'!A:A"),0)-1,
            1000
        )
    )
) * R6
)</f>
        <v/>
      </c>
      <c r="S7" s="86" t="str">
        <f ca="1">IF(
    OR(S5="",S6=""),
    "",
    MAX(
    INDIRECT("'" &amp; INDEX('Hulp (CAO''s)'!$C$3:$C$6,
        MATCH(TRUE,'Hulp (CAO''s)'!$D$3:$D$6,0)) &amp; "'!" &amp;
        INDEX('Hulp (CAO''s)'!$H$3:$H$6,
            MATCH(TRUE,'Hulp (CAO''s)'!$D$3:$D$6,0))
        &amp;
        MATCH(S5, INDIRECT("'" &amp; INDEX('Hulp (CAO''s)'!$C$3:$C$6,
            MATCH(TRUE,'Hulp (CAO''s)'!$D$3:$D$6,0)) &amp; "'!A:A"),0)
        &amp; ":H" &amp;
        IF(T5&lt;&gt;"",
            MATCH(T5, INDIRECT("'" &amp; INDEX('Hulp (CAO''s)'!$C$3:$C$6,
                MATCH(TRUE,'Hulp (CAO''s)'!$D$3:$D$6,0)) &amp; "'!A:A"),0)-1,
            1000
        )
    )
) * S6
)</f>
        <v/>
      </c>
      <c r="T7" s="39" t="str">
        <f ca="1">IF(
    OR(T5="",T6=""),
    "",
    MAX(
    INDIRECT("'" &amp; INDEX('Hulp (CAO''s)'!$C$3:$C$6,
        MATCH(TRUE,'Hulp (CAO''s)'!$D$3:$D$6,0)) &amp; "'!" &amp;
        INDEX('Hulp (CAO''s)'!$H$3:$H$6,
            MATCH(TRUE,'Hulp (CAO''s)'!$D$3:$D$6,0))
        &amp;
        MATCH(T5, INDIRECT("'" &amp; INDEX('Hulp (CAO''s)'!$C$3:$C$6,
            MATCH(TRUE,'Hulp (CAO''s)'!$D$3:$D$6,0)) &amp; "'!A:A"),0)
        &amp; ":H" &amp;
        IF(U5&lt;&gt;"",
            MATCH(U5, INDIRECT("'" &amp; INDEX('Hulp (CAO''s)'!$C$3:$C$6,
                MATCH(TRUE,'Hulp (CAO''s)'!$D$3:$D$6,0)) &amp; "'!A:A"),0)-1,
            1000
        )
    )
) * T6
)</f>
        <v/>
      </c>
      <c r="V7" s="38" t="str">
        <f t="array" aca="1" ref="V7" ca="1">IF(
   SUM(E7:T7)=0,
   "",
   (
      SUMPRODUCT(
         IF(E7:T7="",0,E7:T7),
         IF(E8:T8="",0,E8:T8) * SUM(E8:T8)
      )
   ) *
   IF(
      'Hulp (CAO''s)'!#REF!,
      IF(
         OR(
            INDEX(#REF!, ROW(#REF!) + INT((ROW()-ROW($V$7))/6)*8)="",
            ISNA(INDEX(#REF!, ROW(#REF!) + INT((ROW()-ROW($V$7))/6)*8))
         ),
         1878/12,
         INDEX(#REF!, ROW(#REF!) + INT((ROW()-ROW($V$7))/6)*8)/12
      ),
      1
   )
)</f>
        <v/>
      </c>
    </row>
    <row r="8" spans="1:24" ht="14.65" thickBot="1" x14ac:dyDescent="0.5">
      <c r="B8" s="48" t="s">
        <v>60</v>
      </c>
      <c r="D8" s="24" t="s">
        <v>59</v>
      </c>
      <c r="E8" s="8">
        <v>0.05</v>
      </c>
      <c r="F8" s="8">
        <v>0.1</v>
      </c>
      <c r="G8" s="8">
        <v>0.1</v>
      </c>
      <c r="H8" s="8">
        <v>0.15</v>
      </c>
      <c r="I8" s="8">
        <v>0.2</v>
      </c>
      <c r="J8" s="8">
        <v>0.15</v>
      </c>
      <c r="K8" s="8">
        <v>0.1</v>
      </c>
      <c r="L8" s="8">
        <v>0.05</v>
      </c>
      <c r="M8" s="8">
        <v>0.05</v>
      </c>
      <c r="N8" s="8">
        <v>0.05</v>
      </c>
      <c r="O8" s="8">
        <v>0</v>
      </c>
      <c r="P8" s="8"/>
      <c r="Q8" s="8"/>
      <c r="R8" s="8"/>
      <c r="S8" s="8"/>
      <c r="T8" s="9"/>
      <c r="U8" s="7"/>
      <c r="V8" s="37" t="str">
        <f ca="1">IF(B5="","",IF(INDIRECT("'Hulp (control forms)'!C" &amp; (13 + INT((ROW()-ROW($B$5))/6))), V6, V7))</f>
        <v/>
      </c>
      <c r="W8" s="7"/>
    </row>
    <row r="9" spans="1:24" x14ac:dyDescent="0.5">
      <c r="S9" s="7" t="str">
        <f>IF($B8="Aandeel in %",
   "Totaal: "&amp;SUM(E8:T8)*100&amp;"%",
   "Totaal: "&amp;SUM(E8:T8)&amp;" uur"
)</f>
        <v>Totaal: 100%</v>
      </c>
      <c r="T9" s="7"/>
    </row>
    <row r="10" spans="1:24" ht="16.149999999999999" thickBot="1" x14ac:dyDescent="0.55000000000000004">
      <c r="B10" s="44" t="str">
        <f ca="1">IF(B11="","",IF(
   OR(
      INDIRECT("'1a. Input organisatieniveau'!N" &amp; (14 + INT((ROW()-4)/6)))="",
      INDIRECT("'1a. Input organisatieniveau'!N" &amp; (14 + INT((ROW()-4)/6)))=0
   ),
   "",
   INDIRECT("'1a. Input organisatieniveau'!N" &amp; (14 + INT((ROW()-4)/6)))
))</f>
        <v/>
      </c>
      <c r="E10" s="61" t="str">
        <f ca="1">IF(AND(AND(E11&lt;&gt;"",E12&lt;&gt;""),E13=""),"!","")</f>
        <v/>
      </c>
      <c r="F10" s="61" t="str">
        <f t="shared" ref="F10:T10" ca="1" si="1">IF(AND(AND(F11&lt;&gt;"",F12&lt;&gt;""),F13=""),"!","")</f>
        <v/>
      </c>
      <c r="G10" s="61" t="str">
        <f t="shared" ca="1" si="1"/>
        <v/>
      </c>
      <c r="H10" s="61" t="str">
        <f t="shared" ca="1" si="1"/>
        <v/>
      </c>
      <c r="I10" s="61" t="str">
        <f t="shared" ca="1" si="1"/>
        <v/>
      </c>
      <c r="J10" s="61" t="str">
        <f t="shared" ca="1" si="1"/>
        <v/>
      </c>
      <c r="K10" s="61" t="str">
        <f t="shared" ca="1" si="1"/>
        <v/>
      </c>
      <c r="L10" s="61" t="str">
        <f t="shared" ca="1" si="1"/>
        <v/>
      </c>
      <c r="M10" s="61" t="str">
        <f t="shared" ca="1" si="1"/>
        <v/>
      </c>
      <c r="N10" s="61" t="str">
        <f t="shared" ca="1" si="1"/>
        <v/>
      </c>
      <c r="O10" s="61" t="str">
        <f t="shared" ca="1" si="1"/>
        <v/>
      </c>
      <c r="P10" s="61" t="str">
        <f t="shared" ca="1" si="1"/>
        <v/>
      </c>
      <c r="Q10" s="61" t="str">
        <f t="shared" ca="1" si="1"/>
        <v/>
      </c>
      <c r="R10" s="61" t="str">
        <f t="shared" ca="1" si="1"/>
        <v/>
      </c>
      <c r="S10" s="61" t="str">
        <f t="shared" ca="1" si="1"/>
        <v/>
      </c>
      <c r="T10" s="61" t="str">
        <f t="shared" ca="1" si="1"/>
        <v/>
      </c>
    </row>
    <row r="11" spans="1:24" ht="16.149999999999999" thickBot="1" x14ac:dyDescent="0.55000000000000004">
      <c r="B11" s="45" t="str">
        <f ca="1">IF(
   OR(
      INDIRECT("'1a. Input organisatieniveau'!M" &amp; (14 + INT((ROW()-4)/6)))="",
      INDIRECT("'1a. Input organisatieniveau'!M" &amp; (14 + INT((ROW()-4)/6)))=0
   ),
   "",
   INDIRECT("'1a. Input organisatieniveau'!M" &amp; (14 + INT((ROW()-4)/6)))
)</f>
        <v/>
      </c>
      <c r="D11" s="22" t="s">
        <v>28</v>
      </c>
      <c r="E11" s="10" t="str">
        <f t="array" aca="1" ref="E11" ca="1">IF($B11="", "", INDEX('Hulp (CAO''s)'!J$3:J$6, MATCH(TRUE, 'Hulp (CAO''s)'!$D$3:$D$6, 0)))</f>
        <v/>
      </c>
      <c r="F11" s="10" t="str">
        <f t="array" aca="1" ref="F11" ca="1">IF($B11="", "", INDEX('Hulp (CAO''s)'!K$3:K$6, MATCH(TRUE, 'Hulp (CAO''s)'!$D$3:$D$6, 0)))</f>
        <v/>
      </c>
      <c r="G11" s="10" t="str">
        <f t="array" aca="1" ref="G11" ca="1">IF($B11="", "", INDEX('Hulp (CAO''s)'!L$3:L$6, MATCH(TRUE, 'Hulp (CAO''s)'!$D$3:$D$6, 0)))</f>
        <v/>
      </c>
      <c r="H11" s="10" t="str">
        <f t="array" aca="1" ref="H11" ca="1">IF($B11="", "", INDEX('Hulp (CAO''s)'!M$3:M$6, MATCH(TRUE, 'Hulp (CAO''s)'!$D$3:$D$6, 0)))</f>
        <v/>
      </c>
      <c r="I11" s="10" t="str">
        <f t="array" aca="1" ref="I11" ca="1">IF($B11="", "", INDEX('Hulp (CAO''s)'!N$3:N$6, MATCH(TRUE, 'Hulp (CAO''s)'!$D$3:$D$6, 0)))</f>
        <v/>
      </c>
      <c r="J11" s="10" t="str">
        <f t="array" aca="1" ref="J11" ca="1">IF($B11="", "", INDEX('Hulp (CAO''s)'!O$3:O$6, MATCH(TRUE, 'Hulp (CAO''s)'!$D$3:$D$6, 0)))</f>
        <v/>
      </c>
      <c r="K11" s="10" t="str">
        <f t="array" aca="1" ref="K11" ca="1">IF($B11="", "", INDEX('Hulp (CAO''s)'!P$3:P$6, MATCH(TRUE, 'Hulp (CAO''s)'!$D$3:$D$6, 0)))</f>
        <v/>
      </c>
      <c r="L11" s="10" t="str">
        <f t="array" aca="1" ref="L11" ca="1">IF($B11="", "", INDEX('Hulp (CAO''s)'!Q$3:Q$6, MATCH(TRUE, 'Hulp (CAO''s)'!$D$3:$D$6, 0)))</f>
        <v/>
      </c>
      <c r="M11" s="10" t="str">
        <f t="array" aca="1" ref="M11" ca="1">IF($B11="", "", INDEX('Hulp (CAO''s)'!R$3:R$6, MATCH(TRUE, 'Hulp (CAO''s)'!$D$3:$D$6, 0)))</f>
        <v/>
      </c>
      <c r="N11" s="10" t="str">
        <f t="array" aca="1" ref="N11" ca="1">IF($B11="", "", INDEX('Hulp (CAO''s)'!S$3:S$6, MATCH(TRUE, 'Hulp (CAO''s)'!$D$3:$D$6, 0)))</f>
        <v/>
      </c>
      <c r="O11" s="10" t="str">
        <f t="array" aca="1" ref="O11" ca="1">IF($B11="", "", INDEX('Hulp (CAO''s)'!T$3:T$6, MATCH(TRUE, 'Hulp (CAO''s)'!$D$3:$D$6, 0)))</f>
        <v/>
      </c>
      <c r="P11" s="10" t="str">
        <f t="array" aca="1" ref="P11" ca="1">IF($B11="", "", INDEX('Hulp (CAO''s)'!U$3:U$6, MATCH(TRUE, 'Hulp (CAO''s)'!$D$3:$D$6, 0)))</f>
        <v/>
      </c>
      <c r="Q11" s="10" t="str">
        <f t="array" aca="1" ref="Q11" ca="1">IF($B11="", "", INDEX('Hulp (CAO''s)'!V$3:V$6, MATCH(TRUE, 'Hulp (CAO''s)'!$D$3:$D$6, 0)))</f>
        <v/>
      </c>
      <c r="R11" s="10" t="str">
        <f t="array" aca="1" ref="R11" ca="1">IF($B11="", "", INDEX('Hulp (CAO''s)'!W$3:W$6, MATCH(TRUE, 'Hulp (CAO''s)'!$D$3:$D$6, 0)))</f>
        <v/>
      </c>
      <c r="S11" s="10" t="str">
        <f t="array" aca="1" ref="S11" ca="1">IF($B11="", "", INDEX('Hulp (CAO''s)'!X$3:X$6, MATCH(TRUE, 'Hulp (CAO''s)'!$D$3:$D$6, 0)))</f>
        <v/>
      </c>
      <c r="T11" s="11" t="str">
        <f t="array" aca="1" ref="T11" ca="1">IF($B11="", "", INDEX('Hulp (CAO''s)'!Y$3:Y$6, MATCH(TRUE, 'Hulp (CAO''s)'!$D$3:$D$6, 0)))</f>
        <v/>
      </c>
      <c r="V11" s="25" t="s">
        <v>32</v>
      </c>
      <c r="W11" s="5"/>
    </row>
    <row r="12" spans="1:24" x14ac:dyDescent="0.5">
      <c r="D12" s="23" t="s">
        <v>770</v>
      </c>
      <c r="E12" s="92">
        <v>0.96</v>
      </c>
      <c r="F12" s="92">
        <v>0.9</v>
      </c>
      <c r="G12" s="92">
        <v>0.9</v>
      </c>
      <c r="H12" s="92">
        <v>0.75</v>
      </c>
      <c r="I12" s="92">
        <v>0.8</v>
      </c>
      <c r="J12" s="92">
        <v>0.9</v>
      </c>
      <c r="K12" s="92">
        <v>0.9</v>
      </c>
      <c r="L12" s="92">
        <v>0.9</v>
      </c>
      <c r="M12" s="92">
        <v>0.9</v>
      </c>
      <c r="N12" s="92">
        <v>0.8</v>
      </c>
      <c r="O12" s="92">
        <v>0.95</v>
      </c>
      <c r="P12" s="92">
        <v>0.93</v>
      </c>
      <c r="Q12" s="92">
        <v>0.93</v>
      </c>
      <c r="R12" s="92">
        <v>0.95</v>
      </c>
      <c r="S12" s="92">
        <v>0.92</v>
      </c>
      <c r="T12" s="93">
        <v>0.95</v>
      </c>
      <c r="V12" s="52">
        <v>4300</v>
      </c>
      <c r="X12" s="60" t="s">
        <v>747</v>
      </c>
    </row>
    <row r="13" spans="1:24" ht="14.65" thickBot="1" x14ac:dyDescent="0.5">
      <c r="B13"/>
      <c r="D13" s="40" t="str">
        <f>IFERROR(
   INDEX('Hulp (CAO''s)'!$I$3:$I$6, MATCH(TRUE, 'Hulp (CAO''s)'!$D$3:$D$6, 0)),
"")</f>
        <v>Bruto maandsalaris</v>
      </c>
      <c r="E13" s="86" t="str">
        <f ca="1">IF(
    OR(E11="",E12=""),
    "",
    MAX(
    INDIRECT("'" &amp; INDEX('Hulp (CAO''s)'!$C$3:$C$6,
        MATCH(TRUE,'Hulp (CAO''s)'!$D$3:$D$6,0)) &amp; "'!" &amp;
        INDEX('Hulp (CAO''s)'!$H$3:$H$6,
            MATCH(TRUE,'Hulp (CAO''s)'!$D$3:$D$6,0))
        &amp;
        MATCH(E11, INDIRECT("'" &amp; INDEX('Hulp (CAO''s)'!$C$3:$C$6,
            MATCH(TRUE,'Hulp (CAO''s)'!$D$3:$D$6,0)) &amp; "'!A:A"),0)
        &amp; ":H" &amp;
        IF(F11&lt;&gt;"",
            MATCH(F11, INDIRECT("'" &amp; INDEX('Hulp (CAO''s)'!$C$3:$C$6,
                MATCH(TRUE,'Hulp (CAO''s)'!$D$3:$D$6,0)) &amp; "'!A:A"),0)-1,
            1000
        )
    )
) * E12
)</f>
        <v/>
      </c>
      <c r="F13" s="86" t="str">
        <f ca="1">IF(
    OR(F11="",F12=""),
    "",
    MAX(
    INDIRECT("'" &amp; INDEX('Hulp (CAO''s)'!$C$3:$C$6,
        MATCH(TRUE,'Hulp (CAO''s)'!$D$3:$D$6,0)) &amp; "'!" &amp;
        INDEX('Hulp (CAO''s)'!$H$3:$H$6,
            MATCH(TRUE,'Hulp (CAO''s)'!$D$3:$D$6,0))
        &amp;
        MATCH(F11, INDIRECT("'" &amp; INDEX('Hulp (CAO''s)'!$C$3:$C$6,
            MATCH(TRUE,'Hulp (CAO''s)'!$D$3:$D$6,0)) &amp; "'!A:A"),0)
        &amp; ":H" &amp;
        IF(G11&lt;&gt;"",
            MATCH(G11, INDIRECT("'" &amp; INDEX('Hulp (CAO''s)'!$C$3:$C$6,
                MATCH(TRUE,'Hulp (CAO''s)'!$D$3:$D$6,0)) &amp; "'!A:A"),0)-1,
            1000
        )
    )
) * F12
)</f>
        <v/>
      </c>
      <c r="G13" s="86" t="str">
        <f ca="1">IF(
    OR(G11="",G12=""),
    "",
    MAX(
    INDIRECT("'" &amp; INDEX('Hulp (CAO''s)'!$C$3:$C$6,
        MATCH(TRUE,'Hulp (CAO''s)'!$D$3:$D$6,0)) &amp; "'!" &amp;
        INDEX('Hulp (CAO''s)'!$H$3:$H$6,
            MATCH(TRUE,'Hulp (CAO''s)'!$D$3:$D$6,0))
        &amp;
        MATCH(G11, INDIRECT("'" &amp; INDEX('Hulp (CAO''s)'!$C$3:$C$6,
            MATCH(TRUE,'Hulp (CAO''s)'!$D$3:$D$6,0)) &amp; "'!A:A"),0)
        &amp; ":H" &amp;
        IF(H11&lt;&gt;"",
            MATCH(H11, INDIRECT("'" &amp; INDEX('Hulp (CAO''s)'!$C$3:$C$6,
                MATCH(TRUE,'Hulp (CAO''s)'!$D$3:$D$6,0)) &amp; "'!A:A"),0)-1,
            1000
        )
    )
) * G12
)</f>
        <v/>
      </c>
      <c r="H13" s="86" t="str">
        <f ca="1">IF(
    OR(H11="",H12=""),
    "",
    MAX(
    INDIRECT("'" &amp; INDEX('Hulp (CAO''s)'!$C$3:$C$6,
        MATCH(TRUE,'Hulp (CAO''s)'!$D$3:$D$6,0)) &amp; "'!" &amp;
        INDEX('Hulp (CAO''s)'!$H$3:$H$6,
            MATCH(TRUE,'Hulp (CAO''s)'!$D$3:$D$6,0))
        &amp;
        MATCH(H11, INDIRECT("'" &amp; INDEX('Hulp (CAO''s)'!$C$3:$C$6,
            MATCH(TRUE,'Hulp (CAO''s)'!$D$3:$D$6,0)) &amp; "'!A:A"),0)
        &amp; ":H" &amp;
        IF(I11&lt;&gt;"",
            MATCH(I11, INDIRECT("'" &amp; INDEX('Hulp (CAO''s)'!$C$3:$C$6,
                MATCH(TRUE,'Hulp (CAO''s)'!$D$3:$D$6,0)) &amp; "'!A:A"),0)-1,
            1000
        )
    )
) * H12
)</f>
        <v/>
      </c>
      <c r="I13" s="86" t="str">
        <f ca="1">IF(
    OR(I11="",I12=""),
    "",
    MAX(
    INDIRECT("'" &amp; INDEX('Hulp (CAO''s)'!$C$3:$C$6,
        MATCH(TRUE,'Hulp (CAO''s)'!$D$3:$D$6,0)) &amp; "'!" &amp;
        INDEX('Hulp (CAO''s)'!$H$3:$H$6,
            MATCH(TRUE,'Hulp (CAO''s)'!$D$3:$D$6,0))
        &amp;
        MATCH(I11, INDIRECT("'" &amp; INDEX('Hulp (CAO''s)'!$C$3:$C$6,
            MATCH(TRUE,'Hulp (CAO''s)'!$D$3:$D$6,0)) &amp; "'!A:A"),0)
        &amp; ":H" &amp;
        IF(J11&lt;&gt;"",
            MATCH(J11, INDIRECT("'" &amp; INDEX('Hulp (CAO''s)'!$C$3:$C$6,
                MATCH(TRUE,'Hulp (CAO''s)'!$D$3:$D$6,0)) &amp; "'!A:A"),0)-1,
            1000
        )
    )
) * I12
)</f>
        <v/>
      </c>
      <c r="J13" s="86" t="str">
        <f ca="1">IF(
    OR(J11="",J12=""),
    "",
    MAX(
    INDIRECT("'" &amp; INDEX('Hulp (CAO''s)'!$C$3:$C$6,
        MATCH(TRUE,'Hulp (CAO''s)'!$D$3:$D$6,0)) &amp; "'!" &amp;
        INDEX('Hulp (CAO''s)'!$H$3:$H$6,
            MATCH(TRUE,'Hulp (CAO''s)'!$D$3:$D$6,0))
        &amp;
        MATCH(J11, INDIRECT("'" &amp; INDEX('Hulp (CAO''s)'!$C$3:$C$6,
            MATCH(TRUE,'Hulp (CAO''s)'!$D$3:$D$6,0)) &amp; "'!A:A"),0)
        &amp; ":H" &amp;
        IF(K11&lt;&gt;"",
            MATCH(K11, INDIRECT("'" &amp; INDEX('Hulp (CAO''s)'!$C$3:$C$6,
                MATCH(TRUE,'Hulp (CAO''s)'!$D$3:$D$6,0)) &amp; "'!A:A"),0)-1,
            1000
        )
    )
) * J12
)</f>
        <v/>
      </c>
      <c r="K13" s="86" t="str">
        <f ca="1">IF(
    OR(K11="",K12=""),
    "",
    MAX(
    INDIRECT("'" &amp; INDEX('Hulp (CAO''s)'!$C$3:$C$6,
        MATCH(TRUE,'Hulp (CAO''s)'!$D$3:$D$6,0)) &amp; "'!" &amp;
        INDEX('Hulp (CAO''s)'!$H$3:$H$6,
            MATCH(TRUE,'Hulp (CAO''s)'!$D$3:$D$6,0))
        &amp;
        MATCH(K11, INDIRECT("'" &amp; INDEX('Hulp (CAO''s)'!$C$3:$C$6,
            MATCH(TRUE,'Hulp (CAO''s)'!$D$3:$D$6,0)) &amp; "'!A:A"),0)
        &amp; ":H" &amp;
        IF(L11&lt;&gt;"",
            MATCH(L11, INDIRECT("'" &amp; INDEX('Hulp (CAO''s)'!$C$3:$C$6,
                MATCH(TRUE,'Hulp (CAO''s)'!$D$3:$D$6,0)) &amp; "'!A:A"),0)-1,
            1000
        )
    )
) * K12
)</f>
        <v/>
      </c>
      <c r="L13" s="86" t="str">
        <f ca="1">IF(
    OR(L11="",L12=""),
    "",
    MAX(
    INDIRECT("'" &amp; INDEX('Hulp (CAO''s)'!$C$3:$C$6,
        MATCH(TRUE,'Hulp (CAO''s)'!$D$3:$D$6,0)) &amp; "'!" &amp;
        INDEX('Hulp (CAO''s)'!$H$3:$H$6,
            MATCH(TRUE,'Hulp (CAO''s)'!$D$3:$D$6,0))
        &amp;
        MATCH(L11, INDIRECT("'" &amp; INDEX('Hulp (CAO''s)'!$C$3:$C$6,
            MATCH(TRUE,'Hulp (CAO''s)'!$D$3:$D$6,0)) &amp; "'!A:A"),0)
        &amp; ":H" &amp;
        IF(M11&lt;&gt;"",
            MATCH(M11, INDIRECT("'" &amp; INDEX('Hulp (CAO''s)'!$C$3:$C$6,
                MATCH(TRUE,'Hulp (CAO''s)'!$D$3:$D$6,0)) &amp; "'!A:A"),0)-1,
            1000
        )
    )
) * L12
)</f>
        <v/>
      </c>
      <c r="M13" s="86" t="str">
        <f ca="1">IF(
    OR(M11="",M12=""),
    "",
    MAX(
    INDIRECT("'" &amp; INDEX('Hulp (CAO''s)'!$C$3:$C$6,
        MATCH(TRUE,'Hulp (CAO''s)'!$D$3:$D$6,0)) &amp; "'!" &amp;
        INDEX('Hulp (CAO''s)'!$H$3:$H$6,
            MATCH(TRUE,'Hulp (CAO''s)'!$D$3:$D$6,0))
        &amp;
        MATCH(M11, INDIRECT("'" &amp; INDEX('Hulp (CAO''s)'!$C$3:$C$6,
            MATCH(TRUE,'Hulp (CAO''s)'!$D$3:$D$6,0)) &amp; "'!A:A"),0)
        &amp; ":H" &amp;
        IF(N11&lt;&gt;"",
            MATCH(N11, INDIRECT("'" &amp; INDEX('Hulp (CAO''s)'!$C$3:$C$6,
                MATCH(TRUE,'Hulp (CAO''s)'!$D$3:$D$6,0)) &amp; "'!A:A"),0)-1,
            1000
        )
    )
) * M12
)</f>
        <v/>
      </c>
      <c r="N13" s="86" t="str">
        <f ca="1">IF(
    OR(N11="",N12=""),
    "",
    MAX(
    INDIRECT("'" &amp; INDEX('Hulp (CAO''s)'!$C$3:$C$6,
        MATCH(TRUE,'Hulp (CAO''s)'!$D$3:$D$6,0)) &amp; "'!" &amp;
        INDEX('Hulp (CAO''s)'!$H$3:$H$6,
            MATCH(TRUE,'Hulp (CAO''s)'!$D$3:$D$6,0))
        &amp;
        MATCH(N11, INDIRECT("'" &amp; INDEX('Hulp (CAO''s)'!$C$3:$C$6,
            MATCH(TRUE,'Hulp (CAO''s)'!$D$3:$D$6,0)) &amp; "'!A:A"),0)
        &amp; ":H" &amp;
        IF(O11&lt;&gt;"",
            MATCH(O11, INDIRECT("'" &amp; INDEX('Hulp (CAO''s)'!$C$3:$C$6,
                MATCH(TRUE,'Hulp (CAO''s)'!$D$3:$D$6,0)) &amp; "'!A:A"),0)-1,
            1000
        )
    )
) * N12
)</f>
        <v/>
      </c>
      <c r="O13" s="86" t="str">
        <f ca="1">IF(
    OR(O11="",O12=""),
    "",
    MAX(
    INDIRECT("'" &amp; INDEX('Hulp (CAO''s)'!$C$3:$C$6,
        MATCH(TRUE,'Hulp (CAO''s)'!$D$3:$D$6,0)) &amp; "'!" &amp;
        INDEX('Hulp (CAO''s)'!$H$3:$H$6,
            MATCH(TRUE,'Hulp (CAO''s)'!$D$3:$D$6,0))
        &amp;
        MATCH(O11, INDIRECT("'" &amp; INDEX('Hulp (CAO''s)'!$C$3:$C$6,
            MATCH(TRUE,'Hulp (CAO''s)'!$D$3:$D$6,0)) &amp; "'!A:A"),0)
        &amp; ":H" &amp;
        IF(P11&lt;&gt;"",
            MATCH(P11, INDIRECT("'" &amp; INDEX('Hulp (CAO''s)'!$C$3:$C$6,
                MATCH(TRUE,'Hulp (CAO''s)'!$D$3:$D$6,0)) &amp; "'!A:A"),0)-1,
            1000
        )
    )
) * O12
)</f>
        <v/>
      </c>
      <c r="P13" s="86" t="str">
        <f ca="1">IF(
    OR(P11="",P12=""),
    "",
    MAX(
    INDIRECT("'" &amp; INDEX('Hulp (CAO''s)'!$C$3:$C$6,
        MATCH(TRUE,'Hulp (CAO''s)'!$D$3:$D$6,0)) &amp; "'!" &amp;
        INDEX('Hulp (CAO''s)'!$H$3:$H$6,
            MATCH(TRUE,'Hulp (CAO''s)'!$D$3:$D$6,0))
        &amp;
        MATCH(P11, INDIRECT("'" &amp; INDEX('Hulp (CAO''s)'!$C$3:$C$6,
            MATCH(TRUE,'Hulp (CAO''s)'!$D$3:$D$6,0)) &amp; "'!A:A"),0)
        &amp; ":H" &amp;
        IF(Q11&lt;&gt;"",
            MATCH(Q11, INDIRECT("'" &amp; INDEX('Hulp (CAO''s)'!$C$3:$C$6,
                MATCH(TRUE,'Hulp (CAO''s)'!$D$3:$D$6,0)) &amp; "'!A:A"),0)-1,
            1000
        )
    )
) * P12
)</f>
        <v/>
      </c>
      <c r="Q13" s="86" t="str">
        <f ca="1">IF(
    OR(Q11="",Q12=""),
    "",
    MAX(
    INDIRECT("'" &amp; INDEX('Hulp (CAO''s)'!$C$3:$C$6,
        MATCH(TRUE,'Hulp (CAO''s)'!$D$3:$D$6,0)) &amp; "'!" &amp;
        INDEX('Hulp (CAO''s)'!$H$3:$H$6,
            MATCH(TRUE,'Hulp (CAO''s)'!$D$3:$D$6,0))
        &amp;
        MATCH(Q11, INDIRECT("'" &amp; INDEX('Hulp (CAO''s)'!$C$3:$C$6,
            MATCH(TRUE,'Hulp (CAO''s)'!$D$3:$D$6,0)) &amp; "'!A:A"),0)
        &amp; ":H" &amp;
        IF(R11&lt;&gt;"",
            MATCH(R11, INDIRECT("'" &amp; INDEX('Hulp (CAO''s)'!$C$3:$C$6,
                MATCH(TRUE,'Hulp (CAO''s)'!$D$3:$D$6,0)) &amp; "'!A:A"),0)-1,
            1000
        )
    )
) * Q12
)</f>
        <v/>
      </c>
      <c r="R13" s="86" t="str">
        <f ca="1">IF(
    OR(R11="",R12=""),
    "",
    MAX(
    INDIRECT("'" &amp; INDEX('Hulp (CAO''s)'!$C$3:$C$6,
        MATCH(TRUE,'Hulp (CAO''s)'!$D$3:$D$6,0)) &amp; "'!" &amp;
        INDEX('Hulp (CAO''s)'!$H$3:$H$6,
            MATCH(TRUE,'Hulp (CAO''s)'!$D$3:$D$6,0))
        &amp;
        MATCH(R11, INDIRECT("'" &amp; INDEX('Hulp (CAO''s)'!$C$3:$C$6,
            MATCH(TRUE,'Hulp (CAO''s)'!$D$3:$D$6,0)) &amp; "'!A:A"),0)
        &amp; ":H" &amp;
        IF(S11&lt;&gt;"",
            MATCH(S11, INDIRECT("'" &amp; INDEX('Hulp (CAO''s)'!$C$3:$C$6,
                MATCH(TRUE,'Hulp (CAO''s)'!$D$3:$D$6,0)) &amp; "'!A:A"),0)-1,
            1000
        )
    )
) * R12
)</f>
        <v/>
      </c>
      <c r="S13" s="86" t="str">
        <f ca="1">IF(
    OR(S11="",S12=""),
    "",
    MAX(
    INDIRECT("'" &amp; INDEX('Hulp (CAO''s)'!$C$3:$C$6,
        MATCH(TRUE,'Hulp (CAO''s)'!$D$3:$D$6,0)) &amp; "'!" &amp;
        INDEX('Hulp (CAO''s)'!$H$3:$H$6,
            MATCH(TRUE,'Hulp (CAO''s)'!$D$3:$D$6,0))
        &amp;
        MATCH(S11, INDIRECT("'" &amp; INDEX('Hulp (CAO''s)'!$C$3:$C$6,
            MATCH(TRUE,'Hulp (CAO''s)'!$D$3:$D$6,0)) &amp; "'!A:A"),0)
        &amp; ":H" &amp;
        IF(T11&lt;&gt;"",
            MATCH(T11, INDIRECT("'" &amp; INDEX('Hulp (CAO''s)'!$C$3:$C$6,
                MATCH(TRUE,'Hulp (CAO''s)'!$D$3:$D$6,0)) &amp; "'!A:A"),0)-1,
            1000
        )
    )
) * S12
)</f>
        <v/>
      </c>
      <c r="T13" s="39" t="str">
        <f ca="1">IF(
    OR(T11="",T12=""),
    "",
    MAX(
    INDIRECT("'" &amp; INDEX('Hulp (CAO''s)'!$C$3:$C$6,
        MATCH(TRUE,'Hulp (CAO''s)'!$D$3:$D$6,0)) &amp; "'!" &amp;
        INDEX('Hulp (CAO''s)'!$H$3:$H$6,
            MATCH(TRUE,'Hulp (CAO''s)'!$D$3:$D$6,0))
        &amp;
        MATCH(T11, INDIRECT("'" &amp; INDEX('Hulp (CAO''s)'!$C$3:$C$6,
            MATCH(TRUE,'Hulp (CAO''s)'!$D$3:$D$6,0)) &amp; "'!A:A"),0)
        &amp; ":H" &amp;
        IF(U11&lt;&gt;"",
            MATCH(U11, INDIRECT("'" &amp; INDEX('Hulp (CAO''s)'!$C$3:$C$6,
                MATCH(TRUE,'Hulp (CAO''s)'!$D$3:$D$6,0)) &amp; "'!A:A"),0)-1,
            1000
        )
    )
) * T12
)</f>
        <v/>
      </c>
      <c r="V13" s="38" t="str">
        <f t="array" aca="1" ref="V13" ca="1">IF(
   SUM(E13:T13)=0,
   "",
   (
      SUMPRODUCT(
         IF(E13:T13="",0,E13:T13),
         IF(E14:T14="",0,E14:T14) * SUM(E14:T14)
      )
   ) *
   IF(
      'Hulp (CAO''s)'!#REF!,
      IF(
         OR(
            INDEX(#REF!, ROW(#REF!) + INT((ROW()-ROW($V$7))/6)*8)="",
            ISNA(INDEX(#REF!, ROW(#REF!) + INT((ROW()-ROW($V$7))/6)*8))
         ),
         1878/12,
         INDEX(#REF!, ROW(#REF!) + INT((ROW()-ROW($V$7))/6)*8)/12
      ),
      1
   )
)</f>
        <v/>
      </c>
    </row>
    <row r="14" spans="1:24" ht="14.65" thickBot="1" x14ac:dyDescent="0.5">
      <c r="B14" s="48" t="s">
        <v>60</v>
      </c>
      <c r="D14" s="24" t="s">
        <v>59</v>
      </c>
      <c r="E14" s="8">
        <v>0.05</v>
      </c>
      <c r="F14" s="8">
        <v>0.1</v>
      </c>
      <c r="G14" s="8">
        <v>0.1</v>
      </c>
      <c r="H14" s="8">
        <v>0.15</v>
      </c>
      <c r="I14" s="8">
        <v>0.2</v>
      </c>
      <c r="J14" s="8">
        <v>0.15</v>
      </c>
      <c r="K14" s="8">
        <v>0.1</v>
      </c>
      <c r="L14" s="8">
        <v>0.05</v>
      </c>
      <c r="M14" s="8">
        <v>0.05</v>
      </c>
      <c r="N14" s="8">
        <v>0.05</v>
      </c>
      <c r="O14" s="8">
        <v>0</v>
      </c>
      <c r="P14" s="8"/>
      <c r="Q14" s="8"/>
      <c r="R14" s="8"/>
      <c r="S14" s="8"/>
      <c r="T14" s="9"/>
      <c r="U14" s="7"/>
      <c r="V14" s="37" t="str">
        <f ca="1">IF(B11="","",IF(INDIRECT("'Hulp (control forms)'!C" &amp; (13 + INT((ROW()-ROW($B$5))/6))), V12, V13))</f>
        <v/>
      </c>
      <c r="W14" s="7"/>
    </row>
    <row r="15" spans="1:24" x14ac:dyDescent="0.5">
      <c r="S15" s="7" t="str">
        <f>IF($B14="Aandeel in %",
   "Totaal: "&amp;SUM(E14:T14)*100&amp;"%",
   "Totaal: "&amp;SUM(E14:T14)&amp;" uur"
)</f>
        <v>Totaal: 100%</v>
      </c>
      <c r="T15" s="7"/>
    </row>
    <row r="16" spans="1:24" ht="16.149999999999999" thickBot="1" x14ac:dyDescent="0.55000000000000004">
      <c r="B16" s="44" t="str">
        <f ca="1">IF(B17="","",IF(
   OR(
      INDIRECT("'1a. Input organisatieniveau'!N" &amp; (14 + INT((ROW()-4)/6)))="",
      INDIRECT("'1a. Input organisatieniveau'!N" &amp; (14 + INT((ROW()-4)/6)))=0
   ),
   "",
   INDIRECT("'1a. Input organisatieniveau'!N" &amp; (14 + INT((ROW()-4)/6)))
))</f>
        <v/>
      </c>
      <c r="E16" s="61" t="str">
        <f ca="1">IF(AND(AND(E17&lt;&gt;"",E18&lt;&gt;""),E19=""),"!","")</f>
        <v/>
      </c>
      <c r="F16" s="61" t="str">
        <f t="shared" ref="F16:T16" ca="1" si="2">IF(AND(AND(F17&lt;&gt;"",F18&lt;&gt;""),F19=""),"!","")</f>
        <v/>
      </c>
      <c r="G16" s="61" t="str">
        <f t="shared" ca="1" si="2"/>
        <v/>
      </c>
      <c r="H16" s="61" t="str">
        <f t="shared" ca="1" si="2"/>
        <v/>
      </c>
      <c r="I16" s="61" t="str">
        <f t="shared" ca="1" si="2"/>
        <v/>
      </c>
      <c r="J16" s="61" t="str">
        <f t="shared" ca="1" si="2"/>
        <v/>
      </c>
      <c r="K16" s="61" t="str">
        <f t="shared" ca="1" si="2"/>
        <v/>
      </c>
      <c r="L16" s="61" t="str">
        <f t="shared" ca="1" si="2"/>
        <v/>
      </c>
      <c r="M16" s="61" t="str">
        <f t="shared" ca="1" si="2"/>
        <v/>
      </c>
      <c r="N16" s="61" t="str">
        <f t="shared" ca="1" si="2"/>
        <v/>
      </c>
      <c r="O16" s="61" t="str">
        <f t="shared" ca="1" si="2"/>
        <v/>
      </c>
      <c r="P16" s="61" t="str">
        <f t="shared" ca="1" si="2"/>
        <v/>
      </c>
      <c r="Q16" s="61" t="str">
        <f t="shared" ca="1" si="2"/>
        <v/>
      </c>
      <c r="R16" s="61" t="str">
        <f t="shared" ca="1" si="2"/>
        <v/>
      </c>
      <c r="S16" s="61" t="str">
        <f t="shared" ca="1" si="2"/>
        <v/>
      </c>
      <c r="T16" s="61" t="str">
        <f t="shared" ca="1" si="2"/>
        <v/>
      </c>
    </row>
    <row r="17" spans="2:24" ht="16.149999999999999" thickBot="1" x14ac:dyDescent="0.55000000000000004">
      <c r="B17" s="45" t="str">
        <f ca="1">IF(
   OR(
      INDIRECT("'1a. Input organisatieniveau'!M" &amp; (14 + INT((ROW()-4)/6)))="",
      INDIRECT("'1a. Input organisatieniveau'!M" &amp; (14 + INT((ROW()-4)/6)))=0
   ),
   "",
   INDIRECT("'1a. Input organisatieniveau'!M" &amp; (14 + INT((ROW()-4)/6)))
)</f>
        <v/>
      </c>
      <c r="D17" s="22" t="s">
        <v>28</v>
      </c>
      <c r="E17" s="10" t="str">
        <f t="array" aca="1" ref="E17" ca="1">IF($B17="", "", INDEX('Hulp (CAO''s)'!J$3:J$6, MATCH(TRUE, 'Hulp (CAO''s)'!$D$3:$D$6, 0)))</f>
        <v/>
      </c>
      <c r="F17" s="10" t="str">
        <f t="array" aca="1" ref="F17" ca="1">IF($B17="", "", INDEX('Hulp (CAO''s)'!K$3:K$6, MATCH(TRUE, 'Hulp (CAO''s)'!$D$3:$D$6, 0)))</f>
        <v/>
      </c>
      <c r="G17" s="10" t="str">
        <f t="array" aca="1" ref="G17" ca="1">IF($B17="", "", INDEX('Hulp (CAO''s)'!L$3:L$6, MATCH(TRUE, 'Hulp (CAO''s)'!$D$3:$D$6, 0)))</f>
        <v/>
      </c>
      <c r="H17" s="10" t="str">
        <f t="array" aca="1" ref="H17" ca="1">IF($B17="", "", INDEX('Hulp (CAO''s)'!M$3:M$6, MATCH(TRUE, 'Hulp (CAO''s)'!$D$3:$D$6, 0)))</f>
        <v/>
      </c>
      <c r="I17" s="10" t="str">
        <f t="array" aca="1" ref="I17" ca="1">IF($B17="", "", INDEX('Hulp (CAO''s)'!N$3:N$6, MATCH(TRUE, 'Hulp (CAO''s)'!$D$3:$D$6, 0)))</f>
        <v/>
      </c>
      <c r="J17" s="10" t="str">
        <f t="array" aca="1" ref="J17" ca="1">IF($B17="", "", INDEX('Hulp (CAO''s)'!O$3:O$6, MATCH(TRUE, 'Hulp (CAO''s)'!$D$3:$D$6, 0)))</f>
        <v/>
      </c>
      <c r="K17" s="10" t="str">
        <f t="array" aca="1" ref="K17" ca="1">IF($B17="", "", INDEX('Hulp (CAO''s)'!P$3:P$6, MATCH(TRUE, 'Hulp (CAO''s)'!$D$3:$D$6, 0)))</f>
        <v/>
      </c>
      <c r="L17" s="10" t="str">
        <f t="array" aca="1" ref="L17" ca="1">IF($B17="", "", INDEX('Hulp (CAO''s)'!Q$3:Q$6, MATCH(TRUE, 'Hulp (CAO''s)'!$D$3:$D$6, 0)))</f>
        <v/>
      </c>
      <c r="M17" s="10" t="str">
        <f t="array" aca="1" ref="M17" ca="1">IF($B17="", "", INDEX('Hulp (CAO''s)'!R$3:R$6, MATCH(TRUE, 'Hulp (CAO''s)'!$D$3:$D$6, 0)))</f>
        <v/>
      </c>
      <c r="N17" s="10" t="str">
        <f t="array" aca="1" ref="N17" ca="1">IF($B17="", "", INDEX('Hulp (CAO''s)'!S$3:S$6, MATCH(TRUE, 'Hulp (CAO''s)'!$D$3:$D$6, 0)))</f>
        <v/>
      </c>
      <c r="O17" s="10" t="str">
        <f t="array" aca="1" ref="O17" ca="1">IF($B17="", "", INDEX('Hulp (CAO''s)'!T$3:T$6, MATCH(TRUE, 'Hulp (CAO''s)'!$D$3:$D$6, 0)))</f>
        <v/>
      </c>
      <c r="P17" s="10" t="str">
        <f t="array" aca="1" ref="P17" ca="1">IF($B17="", "", INDEX('Hulp (CAO''s)'!U$3:U$6, MATCH(TRUE, 'Hulp (CAO''s)'!$D$3:$D$6, 0)))</f>
        <v/>
      </c>
      <c r="Q17" s="10" t="str">
        <f t="array" aca="1" ref="Q17" ca="1">IF($B17="", "", INDEX('Hulp (CAO''s)'!V$3:V$6, MATCH(TRUE, 'Hulp (CAO''s)'!$D$3:$D$6, 0)))</f>
        <v/>
      </c>
      <c r="R17" s="10" t="str">
        <f t="array" aca="1" ref="R17" ca="1">IF($B17="", "", INDEX('Hulp (CAO''s)'!W$3:W$6, MATCH(TRUE, 'Hulp (CAO''s)'!$D$3:$D$6, 0)))</f>
        <v/>
      </c>
      <c r="S17" s="10" t="str">
        <f t="array" aca="1" ref="S17" ca="1">IF($B17="", "", INDEX('Hulp (CAO''s)'!X$3:X$6, MATCH(TRUE, 'Hulp (CAO''s)'!$D$3:$D$6, 0)))</f>
        <v/>
      </c>
      <c r="T17" s="11" t="str">
        <f t="array" aca="1" ref="T17" ca="1">IF($B17="", "", INDEX('Hulp (CAO''s)'!Y$3:Y$6, MATCH(TRUE, 'Hulp (CAO''s)'!$D$3:$D$6, 0)))</f>
        <v/>
      </c>
      <c r="V17" s="25" t="s">
        <v>32</v>
      </c>
      <c r="W17" s="5"/>
    </row>
    <row r="18" spans="2:24" x14ac:dyDescent="0.5">
      <c r="D18" s="23" t="s">
        <v>770</v>
      </c>
      <c r="E18" s="92">
        <v>0.96</v>
      </c>
      <c r="F18" s="92">
        <v>0.9</v>
      </c>
      <c r="G18" s="92">
        <v>0.9</v>
      </c>
      <c r="H18" s="92">
        <v>0.7</v>
      </c>
      <c r="I18" s="92">
        <v>0.8</v>
      </c>
      <c r="J18" s="92">
        <v>0.9</v>
      </c>
      <c r="K18" s="92">
        <v>0.9</v>
      </c>
      <c r="L18" s="92">
        <v>0.9</v>
      </c>
      <c r="M18" s="92">
        <v>0.9</v>
      </c>
      <c r="N18" s="92">
        <v>0.8</v>
      </c>
      <c r="O18" s="92">
        <v>0.95</v>
      </c>
      <c r="P18" s="92">
        <v>0.93</v>
      </c>
      <c r="Q18" s="92">
        <v>0.93</v>
      </c>
      <c r="R18" s="92">
        <v>0.95</v>
      </c>
      <c r="S18" s="92">
        <v>0.92</v>
      </c>
      <c r="T18" s="93">
        <v>0.95</v>
      </c>
      <c r="V18" s="52">
        <v>4300</v>
      </c>
      <c r="X18" s="60" t="s">
        <v>747</v>
      </c>
    </row>
    <row r="19" spans="2:24" ht="14.65" thickBot="1" x14ac:dyDescent="0.5">
      <c r="B19"/>
      <c r="D19" s="40" t="str">
        <f>IFERROR(
   INDEX('Hulp (CAO''s)'!$I$3:$I$6, MATCH(TRUE, 'Hulp (CAO''s)'!$D$3:$D$6, 0)),
"")</f>
        <v>Bruto maandsalaris</v>
      </c>
      <c r="E19" s="86" t="str">
        <f ca="1">IF(
    OR(E17="",E18=""),
    "",
    MAX(
    INDIRECT("'" &amp; INDEX('Hulp (CAO''s)'!$C$3:$C$6,
        MATCH(TRUE,'Hulp (CAO''s)'!$D$3:$D$6,0)) &amp; "'!" &amp;
        INDEX('Hulp (CAO''s)'!$H$3:$H$6,
            MATCH(TRUE,'Hulp (CAO''s)'!$D$3:$D$6,0))
        &amp;
        MATCH(E17, INDIRECT("'" &amp; INDEX('Hulp (CAO''s)'!$C$3:$C$6,
            MATCH(TRUE,'Hulp (CAO''s)'!$D$3:$D$6,0)) &amp; "'!A:A"),0)
        &amp; ":H" &amp;
        IF(F17&lt;&gt;"",
            MATCH(F17, INDIRECT("'" &amp; INDEX('Hulp (CAO''s)'!$C$3:$C$6,
                MATCH(TRUE,'Hulp (CAO''s)'!$D$3:$D$6,0)) &amp; "'!A:A"),0)-1,
            1000
        )
    )
) * E18
)</f>
        <v/>
      </c>
      <c r="F19" s="86" t="str">
        <f ca="1">IF(
    OR(F17="",F18=""),
    "",
    MAX(
    INDIRECT("'" &amp; INDEX('Hulp (CAO''s)'!$C$3:$C$6,
        MATCH(TRUE,'Hulp (CAO''s)'!$D$3:$D$6,0)) &amp; "'!" &amp;
        INDEX('Hulp (CAO''s)'!$H$3:$H$6,
            MATCH(TRUE,'Hulp (CAO''s)'!$D$3:$D$6,0))
        &amp;
        MATCH(F17, INDIRECT("'" &amp; INDEX('Hulp (CAO''s)'!$C$3:$C$6,
            MATCH(TRUE,'Hulp (CAO''s)'!$D$3:$D$6,0)) &amp; "'!A:A"),0)
        &amp; ":H" &amp;
        IF(G17&lt;&gt;"",
            MATCH(G17, INDIRECT("'" &amp; INDEX('Hulp (CAO''s)'!$C$3:$C$6,
                MATCH(TRUE,'Hulp (CAO''s)'!$D$3:$D$6,0)) &amp; "'!A:A"),0)-1,
            1000
        )
    )
) * F18
)</f>
        <v/>
      </c>
      <c r="G19" s="86" t="str">
        <f ca="1">IF(
    OR(G17="",G18=""),
    "",
    MAX(
    INDIRECT("'" &amp; INDEX('Hulp (CAO''s)'!$C$3:$C$6,
        MATCH(TRUE,'Hulp (CAO''s)'!$D$3:$D$6,0)) &amp; "'!" &amp;
        INDEX('Hulp (CAO''s)'!$H$3:$H$6,
            MATCH(TRUE,'Hulp (CAO''s)'!$D$3:$D$6,0))
        &amp;
        MATCH(G17, INDIRECT("'" &amp; INDEX('Hulp (CAO''s)'!$C$3:$C$6,
            MATCH(TRUE,'Hulp (CAO''s)'!$D$3:$D$6,0)) &amp; "'!A:A"),0)
        &amp; ":H" &amp;
        IF(H17&lt;&gt;"",
            MATCH(H17, INDIRECT("'" &amp; INDEX('Hulp (CAO''s)'!$C$3:$C$6,
                MATCH(TRUE,'Hulp (CAO''s)'!$D$3:$D$6,0)) &amp; "'!A:A"),0)-1,
            1000
        )
    )
) * G18
)</f>
        <v/>
      </c>
      <c r="H19" s="86" t="str">
        <f ca="1">IF(
    OR(H17="",H18=""),
    "",
    MAX(
    INDIRECT("'" &amp; INDEX('Hulp (CAO''s)'!$C$3:$C$6,
        MATCH(TRUE,'Hulp (CAO''s)'!$D$3:$D$6,0)) &amp; "'!" &amp;
        INDEX('Hulp (CAO''s)'!$H$3:$H$6,
            MATCH(TRUE,'Hulp (CAO''s)'!$D$3:$D$6,0))
        &amp;
        MATCH(H17, INDIRECT("'" &amp; INDEX('Hulp (CAO''s)'!$C$3:$C$6,
            MATCH(TRUE,'Hulp (CAO''s)'!$D$3:$D$6,0)) &amp; "'!A:A"),0)
        &amp; ":H" &amp;
        IF(I17&lt;&gt;"",
            MATCH(I17, INDIRECT("'" &amp; INDEX('Hulp (CAO''s)'!$C$3:$C$6,
                MATCH(TRUE,'Hulp (CAO''s)'!$D$3:$D$6,0)) &amp; "'!A:A"),0)-1,
            1000
        )
    )
) * H18
)</f>
        <v/>
      </c>
      <c r="I19" s="86" t="str">
        <f ca="1">IF(
    OR(I17="",I18=""),
    "",
    MAX(
    INDIRECT("'" &amp; INDEX('Hulp (CAO''s)'!$C$3:$C$6,
        MATCH(TRUE,'Hulp (CAO''s)'!$D$3:$D$6,0)) &amp; "'!" &amp;
        INDEX('Hulp (CAO''s)'!$H$3:$H$6,
            MATCH(TRUE,'Hulp (CAO''s)'!$D$3:$D$6,0))
        &amp;
        MATCH(I17, INDIRECT("'" &amp; INDEX('Hulp (CAO''s)'!$C$3:$C$6,
            MATCH(TRUE,'Hulp (CAO''s)'!$D$3:$D$6,0)) &amp; "'!A:A"),0)
        &amp; ":H" &amp;
        IF(J17&lt;&gt;"",
            MATCH(J17, INDIRECT("'" &amp; INDEX('Hulp (CAO''s)'!$C$3:$C$6,
                MATCH(TRUE,'Hulp (CAO''s)'!$D$3:$D$6,0)) &amp; "'!A:A"),0)-1,
            1000
        )
    )
) * I18
)</f>
        <v/>
      </c>
      <c r="J19" s="86" t="str">
        <f ca="1">IF(
    OR(J17="",J18=""),
    "",
    MAX(
    INDIRECT("'" &amp; INDEX('Hulp (CAO''s)'!$C$3:$C$6,
        MATCH(TRUE,'Hulp (CAO''s)'!$D$3:$D$6,0)) &amp; "'!" &amp;
        INDEX('Hulp (CAO''s)'!$H$3:$H$6,
            MATCH(TRUE,'Hulp (CAO''s)'!$D$3:$D$6,0))
        &amp;
        MATCH(J17, INDIRECT("'" &amp; INDEX('Hulp (CAO''s)'!$C$3:$C$6,
            MATCH(TRUE,'Hulp (CAO''s)'!$D$3:$D$6,0)) &amp; "'!A:A"),0)
        &amp; ":H" &amp;
        IF(K17&lt;&gt;"",
            MATCH(K17, INDIRECT("'" &amp; INDEX('Hulp (CAO''s)'!$C$3:$C$6,
                MATCH(TRUE,'Hulp (CAO''s)'!$D$3:$D$6,0)) &amp; "'!A:A"),0)-1,
            1000
        )
    )
) * J18
)</f>
        <v/>
      </c>
      <c r="K19" s="86" t="str">
        <f ca="1">IF(
    OR(K17="",K18=""),
    "",
    MAX(
    INDIRECT("'" &amp; INDEX('Hulp (CAO''s)'!$C$3:$C$6,
        MATCH(TRUE,'Hulp (CAO''s)'!$D$3:$D$6,0)) &amp; "'!" &amp;
        INDEX('Hulp (CAO''s)'!$H$3:$H$6,
            MATCH(TRUE,'Hulp (CAO''s)'!$D$3:$D$6,0))
        &amp;
        MATCH(K17, INDIRECT("'" &amp; INDEX('Hulp (CAO''s)'!$C$3:$C$6,
            MATCH(TRUE,'Hulp (CAO''s)'!$D$3:$D$6,0)) &amp; "'!A:A"),0)
        &amp; ":H" &amp;
        IF(L17&lt;&gt;"",
            MATCH(L17, INDIRECT("'" &amp; INDEX('Hulp (CAO''s)'!$C$3:$C$6,
                MATCH(TRUE,'Hulp (CAO''s)'!$D$3:$D$6,0)) &amp; "'!A:A"),0)-1,
            1000
        )
    )
) * K18
)</f>
        <v/>
      </c>
      <c r="L19" s="86" t="str">
        <f ca="1">IF(
    OR(L17="",L18=""),
    "",
    MAX(
    INDIRECT("'" &amp; INDEX('Hulp (CAO''s)'!$C$3:$C$6,
        MATCH(TRUE,'Hulp (CAO''s)'!$D$3:$D$6,0)) &amp; "'!" &amp;
        INDEX('Hulp (CAO''s)'!$H$3:$H$6,
            MATCH(TRUE,'Hulp (CAO''s)'!$D$3:$D$6,0))
        &amp;
        MATCH(L17, INDIRECT("'" &amp; INDEX('Hulp (CAO''s)'!$C$3:$C$6,
            MATCH(TRUE,'Hulp (CAO''s)'!$D$3:$D$6,0)) &amp; "'!A:A"),0)
        &amp; ":H" &amp;
        IF(M17&lt;&gt;"",
            MATCH(M17, INDIRECT("'" &amp; INDEX('Hulp (CAO''s)'!$C$3:$C$6,
                MATCH(TRUE,'Hulp (CAO''s)'!$D$3:$D$6,0)) &amp; "'!A:A"),0)-1,
            1000
        )
    )
) * L18
)</f>
        <v/>
      </c>
      <c r="M19" s="86" t="str">
        <f ca="1">IF(
    OR(M17="",M18=""),
    "",
    MAX(
    INDIRECT("'" &amp; INDEX('Hulp (CAO''s)'!$C$3:$C$6,
        MATCH(TRUE,'Hulp (CAO''s)'!$D$3:$D$6,0)) &amp; "'!" &amp;
        INDEX('Hulp (CAO''s)'!$H$3:$H$6,
            MATCH(TRUE,'Hulp (CAO''s)'!$D$3:$D$6,0))
        &amp;
        MATCH(M17, INDIRECT("'" &amp; INDEX('Hulp (CAO''s)'!$C$3:$C$6,
            MATCH(TRUE,'Hulp (CAO''s)'!$D$3:$D$6,0)) &amp; "'!A:A"),0)
        &amp; ":H" &amp;
        IF(N17&lt;&gt;"",
            MATCH(N17, INDIRECT("'" &amp; INDEX('Hulp (CAO''s)'!$C$3:$C$6,
                MATCH(TRUE,'Hulp (CAO''s)'!$D$3:$D$6,0)) &amp; "'!A:A"),0)-1,
            1000
        )
    )
) * M18
)</f>
        <v/>
      </c>
      <c r="N19" s="86" t="str">
        <f ca="1">IF(
    OR(N17="",N18=""),
    "",
    MAX(
    INDIRECT("'" &amp; INDEX('Hulp (CAO''s)'!$C$3:$C$6,
        MATCH(TRUE,'Hulp (CAO''s)'!$D$3:$D$6,0)) &amp; "'!" &amp;
        INDEX('Hulp (CAO''s)'!$H$3:$H$6,
            MATCH(TRUE,'Hulp (CAO''s)'!$D$3:$D$6,0))
        &amp;
        MATCH(N17, INDIRECT("'" &amp; INDEX('Hulp (CAO''s)'!$C$3:$C$6,
            MATCH(TRUE,'Hulp (CAO''s)'!$D$3:$D$6,0)) &amp; "'!A:A"),0)
        &amp; ":H" &amp;
        IF(O17&lt;&gt;"",
            MATCH(O17, INDIRECT("'" &amp; INDEX('Hulp (CAO''s)'!$C$3:$C$6,
                MATCH(TRUE,'Hulp (CAO''s)'!$D$3:$D$6,0)) &amp; "'!A:A"),0)-1,
            1000
        )
    )
) * N18
)</f>
        <v/>
      </c>
      <c r="O19" s="86" t="str">
        <f ca="1">IF(
    OR(O17="",O18=""),
    "",
    MAX(
    INDIRECT("'" &amp; INDEX('Hulp (CAO''s)'!$C$3:$C$6,
        MATCH(TRUE,'Hulp (CAO''s)'!$D$3:$D$6,0)) &amp; "'!" &amp;
        INDEX('Hulp (CAO''s)'!$H$3:$H$6,
            MATCH(TRUE,'Hulp (CAO''s)'!$D$3:$D$6,0))
        &amp;
        MATCH(O17, INDIRECT("'" &amp; INDEX('Hulp (CAO''s)'!$C$3:$C$6,
            MATCH(TRUE,'Hulp (CAO''s)'!$D$3:$D$6,0)) &amp; "'!A:A"),0)
        &amp; ":H" &amp;
        IF(P17&lt;&gt;"",
            MATCH(P17, INDIRECT("'" &amp; INDEX('Hulp (CAO''s)'!$C$3:$C$6,
                MATCH(TRUE,'Hulp (CAO''s)'!$D$3:$D$6,0)) &amp; "'!A:A"),0)-1,
            1000
        )
    )
) * O18
)</f>
        <v/>
      </c>
      <c r="P19" s="86" t="str">
        <f ca="1">IF(
    OR(P17="",P18=""),
    "",
    MAX(
    INDIRECT("'" &amp; INDEX('Hulp (CAO''s)'!$C$3:$C$6,
        MATCH(TRUE,'Hulp (CAO''s)'!$D$3:$D$6,0)) &amp; "'!" &amp;
        INDEX('Hulp (CAO''s)'!$H$3:$H$6,
            MATCH(TRUE,'Hulp (CAO''s)'!$D$3:$D$6,0))
        &amp;
        MATCH(P17, INDIRECT("'" &amp; INDEX('Hulp (CAO''s)'!$C$3:$C$6,
            MATCH(TRUE,'Hulp (CAO''s)'!$D$3:$D$6,0)) &amp; "'!A:A"),0)
        &amp; ":H" &amp;
        IF(Q17&lt;&gt;"",
            MATCH(Q17, INDIRECT("'" &amp; INDEX('Hulp (CAO''s)'!$C$3:$C$6,
                MATCH(TRUE,'Hulp (CAO''s)'!$D$3:$D$6,0)) &amp; "'!A:A"),0)-1,
            1000
        )
    )
) * P18
)</f>
        <v/>
      </c>
      <c r="Q19" s="86" t="str">
        <f ca="1">IF(
    OR(Q17="",Q18=""),
    "",
    MAX(
    INDIRECT("'" &amp; INDEX('Hulp (CAO''s)'!$C$3:$C$6,
        MATCH(TRUE,'Hulp (CAO''s)'!$D$3:$D$6,0)) &amp; "'!" &amp;
        INDEX('Hulp (CAO''s)'!$H$3:$H$6,
            MATCH(TRUE,'Hulp (CAO''s)'!$D$3:$D$6,0))
        &amp;
        MATCH(Q17, INDIRECT("'" &amp; INDEX('Hulp (CAO''s)'!$C$3:$C$6,
            MATCH(TRUE,'Hulp (CAO''s)'!$D$3:$D$6,0)) &amp; "'!A:A"),0)
        &amp; ":H" &amp;
        IF(R17&lt;&gt;"",
            MATCH(R17, INDIRECT("'" &amp; INDEX('Hulp (CAO''s)'!$C$3:$C$6,
                MATCH(TRUE,'Hulp (CAO''s)'!$D$3:$D$6,0)) &amp; "'!A:A"),0)-1,
            1000
        )
    )
) * Q18
)</f>
        <v/>
      </c>
      <c r="R19" s="86" t="str">
        <f ca="1">IF(
    OR(R17="",R18=""),
    "",
    MAX(
    INDIRECT("'" &amp; INDEX('Hulp (CAO''s)'!$C$3:$C$6,
        MATCH(TRUE,'Hulp (CAO''s)'!$D$3:$D$6,0)) &amp; "'!" &amp;
        INDEX('Hulp (CAO''s)'!$H$3:$H$6,
            MATCH(TRUE,'Hulp (CAO''s)'!$D$3:$D$6,0))
        &amp;
        MATCH(R17, INDIRECT("'" &amp; INDEX('Hulp (CAO''s)'!$C$3:$C$6,
            MATCH(TRUE,'Hulp (CAO''s)'!$D$3:$D$6,0)) &amp; "'!A:A"),0)
        &amp; ":H" &amp;
        IF(S17&lt;&gt;"",
            MATCH(S17, INDIRECT("'" &amp; INDEX('Hulp (CAO''s)'!$C$3:$C$6,
                MATCH(TRUE,'Hulp (CAO''s)'!$D$3:$D$6,0)) &amp; "'!A:A"),0)-1,
            1000
        )
    )
) * R18
)</f>
        <v/>
      </c>
      <c r="S19" s="86" t="str">
        <f ca="1">IF(
    OR(S17="",S18=""),
    "",
    MAX(
    INDIRECT("'" &amp; INDEX('Hulp (CAO''s)'!$C$3:$C$6,
        MATCH(TRUE,'Hulp (CAO''s)'!$D$3:$D$6,0)) &amp; "'!" &amp;
        INDEX('Hulp (CAO''s)'!$H$3:$H$6,
            MATCH(TRUE,'Hulp (CAO''s)'!$D$3:$D$6,0))
        &amp;
        MATCH(S17, INDIRECT("'" &amp; INDEX('Hulp (CAO''s)'!$C$3:$C$6,
            MATCH(TRUE,'Hulp (CAO''s)'!$D$3:$D$6,0)) &amp; "'!A:A"),0)
        &amp; ":H" &amp;
        IF(T17&lt;&gt;"",
            MATCH(T17, INDIRECT("'" &amp; INDEX('Hulp (CAO''s)'!$C$3:$C$6,
                MATCH(TRUE,'Hulp (CAO''s)'!$D$3:$D$6,0)) &amp; "'!A:A"),0)-1,
            1000
        )
    )
) * S18
)</f>
        <v/>
      </c>
      <c r="T19" s="39" t="str">
        <f ca="1">IF(
    OR(T17="",T18=""),
    "",
    MAX(
    INDIRECT("'" &amp; INDEX('Hulp (CAO''s)'!$C$3:$C$6,
        MATCH(TRUE,'Hulp (CAO''s)'!$D$3:$D$6,0)) &amp; "'!" &amp;
        INDEX('Hulp (CAO''s)'!$H$3:$H$6,
            MATCH(TRUE,'Hulp (CAO''s)'!$D$3:$D$6,0))
        &amp;
        MATCH(T17, INDIRECT("'" &amp; INDEX('Hulp (CAO''s)'!$C$3:$C$6,
            MATCH(TRUE,'Hulp (CAO''s)'!$D$3:$D$6,0)) &amp; "'!A:A"),0)
        &amp; ":H" &amp;
        IF(U17&lt;&gt;"",
            MATCH(U17, INDIRECT("'" &amp; INDEX('Hulp (CAO''s)'!$C$3:$C$6,
                MATCH(TRUE,'Hulp (CAO''s)'!$D$3:$D$6,0)) &amp; "'!A:A"),0)-1,
            1000
        )
    )
) * T18
)</f>
        <v/>
      </c>
      <c r="V19" s="38" t="str">
        <f t="array" aca="1" ref="V19" ca="1">IF(
   SUM(E19:T19)=0,
   "",
   (
      SUMPRODUCT(
         IF(E19:T19="",0,E19:T19),
         IF(E20:T20="",0,E20:T20) * SUM(E20:T20)
      )
   ) *
   IF(
      'Hulp (CAO''s)'!#REF!,
      IF(
         OR(
            INDEX(#REF!, ROW(#REF!) + INT((ROW()-ROW($V$7))/6)*8)="",
            ISNA(INDEX(#REF!, ROW(#REF!) + INT((ROW()-ROW($V$7))/6)*8))
         ),
         1878/12,
         INDEX(#REF!, ROW(#REF!) + INT((ROW()-ROW($V$7))/6)*8)/12
      ),
      1
   )
)</f>
        <v/>
      </c>
    </row>
    <row r="20" spans="2:24" ht="14.65" thickBot="1" x14ac:dyDescent="0.5">
      <c r="B20" s="48" t="s">
        <v>60</v>
      </c>
      <c r="D20" s="24" t="s">
        <v>59</v>
      </c>
      <c r="E20" s="8">
        <v>0.05</v>
      </c>
      <c r="F20" s="8">
        <v>0.1</v>
      </c>
      <c r="G20" s="8">
        <v>0.1</v>
      </c>
      <c r="H20" s="8">
        <v>0.15</v>
      </c>
      <c r="I20" s="8">
        <v>0.2</v>
      </c>
      <c r="J20" s="8">
        <v>0.15</v>
      </c>
      <c r="K20" s="8">
        <v>0.1</v>
      </c>
      <c r="L20" s="8">
        <v>0.05</v>
      </c>
      <c r="M20" s="8">
        <v>0.05</v>
      </c>
      <c r="N20" s="8">
        <v>0.05</v>
      </c>
      <c r="O20" s="8">
        <v>0</v>
      </c>
      <c r="P20" s="8"/>
      <c r="Q20" s="8"/>
      <c r="R20" s="8"/>
      <c r="S20" s="8"/>
      <c r="T20" s="9"/>
      <c r="U20" s="7"/>
      <c r="V20" s="37" t="str">
        <f ca="1">IF(B17="","",IF(INDIRECT("'Hulp (control forms)'!C" &amp; (13 + INT((ROW()-ROW($B$5))/6))), V18, V19))</f>
        <v/>
      </c>
      <c r="W20" s="7"/>
    </row>
    <row r="21" spans="2:24" x14ac:dyDescent="0.5">
      <c r="S21" s="7" t="str">
        <f>IF($B20="Aandeel in %",
   "Totaal: "&amp;SUM(E20:T20)*100&amp;"%",
   "Totaal: "&amp;SUM(E20:T20)&amp;" uur"
)</f>
        <v>Totaal: 100%</v>
      </c>
      <c r="T21" s="7"/>
    </row>
    <row r="22" spans="2:24" ht="16.149999999999999" thickBot="1" x14ac:dyDescent="0.55000000000000004">
      <c r="B22" s="44" t="str">
        <f ca="1">IF(B23="","",IF(
   OR(
      INDIRECT("'1a. Input organisatieniveau'!N" &amp; (14 + INT((ROW()-4)/6)))="",
      INDIRECT("'1a. Input organisatieniveau'!N" &amp; (14 + INT((ROW()-4)/6)))=0
   ),
   "",
   INDIRECT("'1a. Input organisatieniveau'!N" &amp; (14 + INT((ROW()-4)/6)))
))</f>
        <v/>
      </c>
      <c r="E22" s="61" t="str">
        <f ca="1">IF(AND(AND(E23&lt;&gt;"",E24&lt;&gt;""),E25=""),"!","")</f>
        <v/>
      </c>
      <c r="F22" s="61" t="str">
        <f t="shared" ref="F22:T22" ca="1" si="3">IF(AND(AND(F23&lt;&gt;"",F24&lt;&gt;""),F25=""),"!","")</f>
        <v/>
      </c>
      <c r="G22" s="61" t="str">
        <f t="shared" ca="1" si="3"/>
        <v/>
      </c>
      <c r="H22" s="61" t="str">
        <f t="shared" ca="1" si="3"/>
        <v/>
      </c>
      <c r="I22" s="61" t="str">
        <f t="shared" ca="1" si="3"/>
        <v/>
      </c>
      <c r="J22" s="61" t="str">
        <f t="shared" ca="1" si="3"/>
        <v/>
      </c>
      <c r="K22" s="61" t="str">
        <f t="shared" ca="1" si="3"/>
        <v/>
      </c>
      <c r="L22" s="61" t="str">
        <f t="shared" ca="1" si="3"/>
        <v/>
      </c>
      <c r="M22" s="61" t="str">
        <f t="shared" ca="1" si="3"/>
        <v/>
      </c>
      <c r="N22" s="61" t="str">
        <f t="shared" ca="1" si="3"/>
        <v/>
      </c>
      <c r="O22" s="61" t="str">
        <f t="shared" ca="1" si="3"/>
        <v/>
      </c>
      <c r="P22" s="61" t="str">
        <f t="shared" ca="1" si="3"/>
        <v/>
      </c>
      <c r="Q22" s="61" t="str">
        <f t="shared" ca="1" si="3"/>
        <v/>
      </c>
      <c r="R22" s="61" t="str">
        <f t="shared" ca="1" si="3"/>
        <v/>
      </c>
      <c r="S22" s="61" t="str">
        <f t="shared" ca="1" si="3"/>
        <v/>
      </c>
      <c r="T22" s="61" t="str">
        <f t="shared" ca="1" si="3"/>
        <v/>
      </c>
    </row>
    <row r="23" spans="2:24" ht="16.149999999999999" thickBot="1" x14ac:dyDescent="0.55000000000000004">
      <c r="B23" s="45" t="str">
        <f ca="1">IF(
   OR(
      INDIRECT("'1a. Input organisatieniveau'!M" &amp; (14 + INT((ROW()-4)/6)))="",
      INDIRECT("'1a. Input organisatieniveau'!M" &amp; (14 + INT((ROW()-4)/6)))=0
   ),
   "",
   INDIRECT("'1a. Input organisatieniveau'!M" &amp; (14 + INT((ROW()-4)/6)))
)</f>
        <v/>
      </c>
      <c r="D23" s="22" t="s">
        <v>28</v>
      </c>
      <c r="E23" s="10" t="str">
        <f t="array" aca="1" ref="E23" ca="1">IF($B23="", "", INDEX('Hulp (CAO''s)'!J$3:J$6, MATCH(TRUE, 'Hulp (CAO''s)'!$D$3:$D$6, 0)))</f>
        <v/>
      </c>
      <c r="F23" s="10" t="str">
        <f t="array" aca="1" ref="F23" ca="1">IF($B23="", "", INDEX('Hulp (CAO''s)'!K$3:K$6, MATCH(TRUE, 'Hulp (CAO''s)'!$D$3:$D$6, 0)))</f>
        <v/>
      </c>
      <c r="G23" s="10" t="str">
        <f t="array" aca="1" ref="G23" ca="1">IF($B23="", "", INDEX('Hulp (CAO''s)'!L$3:L$6, MATCH(TRUE, 'Hulp (CAO''s)'!$D$3:$D$6, 0)))</f>
        <v/>
      </c>
      <c r="H23" s="10" t="str">
        <f t="array" aca="1" ref="H23" ca="1">IF($B23="", "", INDEX('Hulp (CAO''s)'!M$3:M$6, MATCH(TRUE, 'Hulp (CAO''s)'!$D$3:$D$6, 0)))</f>
        <v/>
      </c>
      <c r="I23" s="10" t="str">
        <f t="array" aca="1" ref="I23" ca="1">IF($B23="", "", INDEX('Hulp (CAO''s)'!N$3:N$6, MATCH(TRUE, 'Hulp (CAO''s)'!$D$3:$D$6, 0)))</f>
        <v/>
      </c>
      <c r="J23" s="10" t="str">
        <f t="array" aca="1" ref="J23" ca="1">IF($B23="", "", INDEX('Hulp (CAO''s)'!O$3:O$6, MATCH(TRUE, 'Hulp (CAO''s)'!$D$3:$D$6, 0)))</f>
        <v/>
      </c>
      <c r="K23" s="10" t="str">
        <f t="array" aca="1" ref="K23" ca="1">IF($B23="", "", INDEX('Hulp (CAO''s)'!P$3:P$6, MATCH(TRUE, 'Hulp (CAO''s)'!$D$3:$D$6, 0)))</f>
        <v/>
      </c>
      <c r="L23" s="10" t="str">
        <f t="array" aca="1" ref="L23" ca="1">IF($B23="", "", INDEX('Hulp (CAO''s)'!Q$3:Q$6, MATCH(TRUE, 'Hulp (CAO''s)'!$D$3:$D$6, 0)))</f>
        <v/>
      </c>
      <c r="M23" s="10" t="str">
        <f t="array" aca="1" ref="M23" ca="1">IF($B23="", "", INDEX('Hulp (CAO''s)'!R$3:R$6, MATCH(TRUE, 'Hulp (CAO''s)'!$D$3:$D$6, 0)))</f>
        <v/>
      </c>
      <c r="N23" s="10" t="str">
        <f t="array" aca="1" ref="N23" ca="1">IF($B23="", "", INDEX('Hulp (CAO''s)'!S$3:S$6, MATCH(TRUE, 'Hulp (CAO''s)'!$D$3:$D$6, 0)))</f>
        <v/>
      </c>
      <c r="O23" s="10" t="str">
        <f t="array" aca="1" ref="O23" ca="1">IF($B23="", "", INDEX('Hulp (CAO''s)'!T$3:T$6, MATCH(TRUE, 'Hulp (CAO''s)'!$D$3:$D$6, 0)))</f>
        <v/>
      </c>
      <c r="P23" s="10" t="str">
        <f t="array" aca="1" ref="P23" ca="1">IF($B23="", "", INDEX('Hulp (CAO''s)'!U$3:U$6, MATCH(TRUE, 'Hulp (CAO''s)'!$D$3:$D$6, 0)))</f>
        <v/>
      </c>
      <c r="Q23" s="10" t="str">
        <f t="array" aca="1" ref="Q23" ca="1">IF($B23="", "", INDEX('Hulp (CAO''s)'!V$3:V$6, MATCH(TRUE, 'Hulp (CAO''s)'!$D$3:$D$6, 0)))</f>
        <v/>
      </c>
      <c r="R23" s="10" t="str">
        <f t="array" aca="1" ref="R23" ca="1">IF($B23="", "", INDEX('Hulp (CAO''s)'!W$3:W$6, MATCH(TRUE, 'Hulp (CAO''s)'!$D$3:$D$6, 0)))</f>
        <v/>
      </c>
      <c r="S23" s="10" t="str">
        <f t="array" aca="1" ref="S23" ca="1">IF($B23="", "", INDEX('Hulp (CAO''s)'!X$3:X$6, MATCH(TRUE, 'Hulp (CAO''s)'!$D$3:$D$6, 0)))</f>
        <v/>
      </c>
      <c r="T23" s="11" t="str">
        <f t="array" aca="1" ref="T23" ca="1">IF($B23="", "", INDEX('Hulp (CAO''s)'!Y$3:Y$6, MATCH(TRUE, 'Hulp (CAO''s)'!$D$3:$D$6, 0)))</f>
        <v/>
      </c>
      <c r="V23" s="25" t="s">
        <v>32</v>
      </c>
      <c r="W23" s="5"/>
    </row>
    <row r="24" spans="2:24" x14ac:dyDescent="0.5">
      <c r="D24" s="23" t="s">
        <v>770</v>
      </c>
      <c r="E24" s="92">
        <v>0.96</v>
      </c>
      <c r="F24" s="92">
        <v>0.9</v>
      </c>
      <c r="G24" s="92">
        <v>0.9</v>
      </c>
      <c r="H24" s="92">
        <v>0.7</v>
      </c>
      <c r="I24" s="92">
        <v>0.8</v>
      </c>
      <c r="J24" s="92">
        <v>0.9</v>
      </c>
      <c r="K24" s="92">
        <v>0.9</v>
      </c>
      <c r="L24" s="92">
        <v>0.9</v>
      </c>
      <c r="M24" s="92">
        <v>0.9</v>
      </c>
      <c r="N24" s="92">
        <v>0.8</v>
      </c>
      <c r="O24" s="92">
        <v>0.95</v>
      </c>
      <c r="P24" s="92">
        <v>0.93</v>
      </c>
      <c r="Q24" s="92">
        <v>0.93</v>
      </c>
      <c r="R24" s="92">
        <v>0.95</v>
      </c>
      <c r="S24" s="92">
        <v>0.92</v>
      </c>
      <c r="T24" s="93">
        <v>0.95</v>
      </c>
      <c r="V24" s="52">
        <v>4300</v>
      </c>
      <c r="X24" s="60" t="s">
        <v>747</v>
      </c>
    </row>
    <row r="25" spans="2:24" ht="14.65" thickBot="1" x14ac:dyDescent="0.5">
      <c r="B25"/>
      <c r="D25" s="40" t="str">
        <f>IFERROR(
   INDEX('Hulp (CAO''s)'!$I$3:$I$6, MATCH(TRUE, 'Hulp (CAO''s)'!$D$3:$D$6, 0)),
"")</f>
        <v>Bruto maandsalaris</v>
      </c>
      <c r="E25" s="86" t="str">
        <f ca="1">IF(
    OR(E23="",E24=""),
    "",
    MAX(
    INDIRECT("'" &amp; INDEX('Hulp (CAO''s)'!$C$3:$C$6,
        MATCH(TRUE,'Hulp (CAO''s)'!$D$3:$D$6,0)) &amp; "'!" &amp;
        INDEX('Hulp (CAO''s)'!$H$3:$H$6,
            MATCH(TRUE,'Hulp (CAO''s)'!$D$3:$D$6,0))
        &amp;
        MATCH(E23, INDIRECT("'" &amp; INDEX('Hulp (CAO''s)'!$C$3:$C$6,
            MATCH(TRUE,'Hulp (CAO''s)'!$D$3:$D$6,0)) &amp; "'!A:A"),0)
        &amp; ":H" &amp;
        IF(F23&lt;&gt;"",
            MATCH(F23, INDIRECT("'" &amp; INDEX('Hulp (CAO''s)'!$C$3:$C$6,
                MATCH(TRUE,'Hulp (CAO''s)'!$D$3:$D$6,0)) &amp; "'!A:A"),0)-1,
            1000
        )
    )
) * E24
)</f>
        <v/>
      </c>
      <c r="F25" s="86" t="str">
        <f ca="1">IF(
    OR(F23="",F24=""),
    "",
    MAX(
    INDIRECT("'" &amp; INDEX('Hulp (CAO''s)'!$C$3:$C$6,
        MATCH(TRUE,'Hulp (CAO''s)'!$D$3:$D$6,0)) &amp; "'!" &amp;
        INDEX('Hulp (CAO''s)'!$H$3:$H$6,
            MATCH(TRUE,'Hulp (CAO''s)'!$D$3:$D$6,0))
        &amp;
        MATCH(F23, INDIRECT("'" &amp; INDEX('Hulp (CAO''s)'!$C$3:$C$6,
            MATCH(TRUE,'Hulp (CAO''s)'!$D$3:$D$6,0)) &amp; "'!A:A"),0)
        &amp; ":H" &amp;
        IF(G23&lt;&gt;"",
            MATCH(G23, INDIRECT("'" &amp; INDEX('Hulp (CAO''s)'!$C$3:$C$6,
                MATCH(TRUE,'Hulp (CAO''s)'!$D$3:$D$6,0)) &amp; "'!A:A"),0)-1,
            1000
        )
    )
) * F24
)</f>
        <v/>
      </c>
      <c r="G25" s="86" t="str">
        <f ca="1">IF(
    OR(G23="",G24=""),
    "",
    MAX(
    INDIRECT("'" &amp; INDEX('Hulp (CAO''s)'!$C$3:$C$6,
        MATCH(TRUE,'Hulp (CAO''s)'!$D$3:$D$6,0)) &amp; "'!" &amp;
        INDEX('Hulp (CAO''s)'!$H$3:$H$6,
            MATCH(TRUE,'Hulp (CAO''s)'!$D$3:$D$6,0))
        &amp;
        MATCH(G23, INDIRECT("'" &amp; INDEX('Hulp (CAO''s)'!$C$3:$C$6,
            MATCH(TRUE,'Hulp (CAO''s)'!$D$3:$D$6,0)) &amp; "'!A:A"),0)
        &amp; ":H" &amp;
        IF(H23&lt;&gt;"",
            MATCH(H23, INDIRECT("'" &amp; INDEX('Hulp (CAO''s)'!$C$3:$C$6,
                MATCH(TRUE,'Hulp (CAO''s)'!$D$3:$D$6,0)) &amp; "'!A:A"),0)-1,
            1000
        )
    )
) * G24
)</f>
        <v/>
      </c>
      <c r="H25" s="86" t="str">
        <f ca="1">IF(
    OR(H23="",H24=""),
    "",
    MAX(
    INDIRECT("'" &amp; INDEX('Hulp (CAO''s)'!$C$3:$C$6,
        MATCH(TRUE,'Hulp (CAO''s)'!$D$3:$D$6,0)) &amp; "'!" &amp;
        INDEX('Hulp (CAO''s)'!$H$3:$H$6,
            MATCH(TRUE,'Hulp (CAO''s)'!$D$3:$D$6,0))
        &amp;
        MATCH(H23, INDIRECT("'" &amp; INDEX('Hulp (CAO''s)'!$C$3:$C$6,
            MATCH(TRUE,'Hulp (CAO''s)'!$D$3:$D$6,0)) &amp; "'!A:A"),0)
        &amp; ":H" &amp;
        IF(I23&lt;&gt;"",
            MATCH(I23, INDIRECT("'" &amp; INDEX('Hulp (CAO''s)'!$C$3:$C$6,
                MATCH(TRUE,'Hulp (CAO''s)'!$D$3:$D$6,0)) &amp; "'!A:A"),0)-1,
            1000
        )
    )
) * H24
)</f>
        <v/>
      </c>
      <c r="I25" s="86" t="str">
        <f ca="1">IF(
    OR(I23="",I24=""),
    "",
    MAX(
    INDIRECT("'" &amp; INDEX('Hulp (CAO''s)'!$C$3:$C$6,
        MATCH(TRUE,'Hulp (CAO''s)'!$D$3:$D$6,0)) &amp; "'!" &amp;
        INDEX('Hulp (CAO''s)'!$H$3:$H$6,
            MATCH(TRUE,'Hulp (CAO''s)'!$D$3:$D$6,0))
        &amp;
        MATCH(I23, INDIRECT("'" &amp; INDEX('Hulp (CAO''s)'!$C$3:$C$6,
            MATCH(TRUE,'Hulp (CAO''s)'!$D$3:$D$6,0)) &amp; "'!A:A"),0)
        &amp; ":H" &amp;
        IF(J23&lt;&gt;"",
            MATCH(J23, INDIRECT("'" &amp; INDEX('Hulp (CAO''s)'!$C$3:$C$6,
                MATCH(TRUE,'Hulp (CAO''s)'!$D$3:$D$6,0)) &amp; "'!A:A"),0)-1,
            1000
        )
    )
) * I24
)</f>
        <v/>
      </c>
      <c r="J25" s="86" t="str">
        <f ca="1">IF(
    OR(J23="",J24=""),
    "",
    MAX(
    INDIRECT("'" &amp; INDEX('Hulp (CAO''s)'!$C$3:$C$6,
        MATCH(TRUE,'Hulp (CAO''s)'!$D$3:$D$6,0)) &amp; "'!" &amp;
        INDEX('Hulp (CAO''s)'!$H$3:$H$6,
            MATCH(TRUE,'Hulp (CAO''s)'!$D$3:$D$6,0))
        &amp;
        MATCH(J23, INDIRECT("'" &amp; INDEX('Hulp (CAO''s)'!$C$3:$C$6,
            MATCH(TRUE,'Hulp (CAO''s)'!$D$3:$D$6,0)) &amp; "'!A:A"),0)
        &amp; ":H" &amp;
        IF(K23&lt;&gt;"",
            MATCH(K23, INDIRECT("'" &amp; INDEX('Hulp (CAO''s)'!$C$3:$C$6,
                MATCH(TRUE,'Hulp (CAO''s)'!$D$3:$D$6,0)) &amp; "'!A:A"),0)-1,
            1000
        )
    )
) * J24
)</f>
        <v/>
      </c>
      <c r="K25" s="86" t="str">
        <f ca="1">IF(
    OR(K23="",K24=""),
    "",
    MAX(
    INDIRECT("'" &amp; INDEX('Hulp (CAO''s)'!$C$3:$C$6,
        MATCH(TRUE,'Hulp (CAO''s)'!$D$3:$D$6,0)) &amp; "'!" &amp;
        INDEX('Hulp (CAO''s)'!$H$3:$H$6,
            MATCH(TRUE,'Hulp (CAO''s)'!$D$3:$D$6,0))
        &amp;
        MATCH(K23, INDIRECT("'" &amp; INDEX('Hulp (CAO''s)'!$C$3:$C$6,
            MATCH(TRUE,'Hulp (CAO''s)'!$D$3:$D$6,0)) &amp; "'!A:A"),0)
        &amp; ":H" &amp;
        IF(L23&lt;&gt;"",
            MATCH(L23, INDIRECT("'" &amp; INDEX('Hulp (CAO''s)'!$C$3:$C$6,
                MATCH(TRUE,'Hulp (CAO''s)'!$D$3:$D$6,0)) &amp; "'!A:A"),0)-1,
            1000
        )
    )
) * K24
)</f>
        <v/>
      </c>
      <c r="L25" s="86" t="str">
        <f ca="1">IF(
    OR(L23="",L24=""),
    "",
    MAX(
    INDIRECT("'" &amp; INDEX('Hulp (CAO''s)'!$C$3:$C$6,
        MATCH(TRUE,'Hulp (CAO''s)'!$D$3:$D$6,0)) &amp; "'!" &amp;
        INDEX('Hulp (CAO''s)'!$H$3:$H$6,
            MATCH(TRUE,'Hulp (CAO''s)'!$D$3:$D$6,0))
        &amp;
        MATCH(L23, INDIRECT("'" &amp; INDEX('Hulp (CAO''s)'!$C$3:$C$6,
            MATCH(TRUE,'Hulp (CAO''s)'!$D$3:$D$6,0)) &amp; "'!A:A"),0)
        &amp; ":H" &amp;
        IF(M23&lt;&gt;"",
            MATCH(M23, INDIRECT("'" &amp; INDEX('Hulp (CAO''s)'!$C$3:$C$6,
                MATCH(TRUE,'Hulp (CAO''s)'!$D$3:$D$6,0)) &amp; "'!A:A"),0)-1,
            1000
        )
    )
) * L24
)</f>
        <v/>
      </c>
      <c r="M25" s="86" t="str">
        <f ca="1">IF(
    OR(M23="",M24=""),
    "",
    MAX(
    INDIRECT("'" &amp; INDEX('Hulp (CAO''s)'!$C$3:$C$6,
        MATCH(TRUE,'Hulp (CAO''s)'!$D$3:$D$6,0)) &amp; "'!" &amp;
        INDEX('Hulp (CAO''s)'!$H$3:$H$6,
            MATCH(TRUE,'Hulp (CAO''s)'!$D$3:$D$6,0))
        &amp;
        MATCH(M23, INDIRECT("'" &amp; INDEX('Hulp (CAO''s)'!$C$3:$C$6,
            MATCH(TRUE,'Hulp (CAO''s)'!$D$3:$D$6,0)) &amp; "'!A:A"),0)
        &amp; ":H" &amp;
        IF(N23&lt;&gt;"",
            MATCH(N23, INDIRECT("'" &amp; INDEX('Hulp (CAO''s)'!$C$3:$C$6,
                MATCH(TRUE,'Hulp (CAO''s)'!$D$3:$D$6,0)) &amp; "'!A:A"),0)-1,
            1000
        )
    )
) * M24
)</f>
        <v/>
      </c>
      <c r="N25" s="86" t="str">
        <f ca="1">IF(
    OR(N23="",N24=""),
    "",
    MAX(
    INDIRECT("'" &amp; INDEX('Hulp (CAO''s)'!$C$3:$C$6,
        MATCH(TRUE,'Hulp (CAO''s)'!$D$3:$D$6,0)) &amp; "'!" &amp;
        INDEX('Hulp (CAO''s)'!$H$3:$H$6,
            MATCH(TRUE,'Hulp (CAO''s)'!$D$3:$D$6,0))
        &amp;
        MATCH(N23, INDIRECT("'" &amp; INDEX('Hulp (CAO''s)'!$C$3:$C$6,
            MATCH(TRUE,'Hulp (CAO''s)'!$D$3:$D$6,0)) &amp; "'!A:A"),0)
        &amp; ":H" &amp;
        IF(O23&lt;&gt;"",
            MATCH(O23, INDIRECT("'" &amp; INDEX('Hulp (CAO''s)'!$C$3:$C$6,
                MATCH(TRUE,'Hulp (CAO''s)'!$D$3:$D$6,0)) &amp; "'!A:A"),0)-1,
            1000
        )
    )
) * N24
)</f>
        <v/>
      </c>
      <c r="O25" s="86" t="str">
        <f ca="1">IF(
    OR(O23="",O24=""),
    "",
    MAX(
    INDIRECT("'" &amp; INDEX('Hulp (CAO''s)'!$C$3:$C$6,
        MATCH(TRUE,'Hulp (CAO''s)'!$D$3:$D$6,0)) &amp; "'!" &amp;
        INDEX('Hulp (CAO''s)'!$H$3:$H$6,
            MATCH(TRUE,'Hulp (CAO''s)'!$D$3:$D$6,0))
        &amp;
        MATCH(O23, INDIRECT("'" &amp; INDEX('Hulp (CAO''s)'!$C$3:$C$6,
            MATCH(TRUE,'Hulp (CAO''s)'!$D$3:$D$6,0)) &amp; "'!A:A"),0)
        &amp; ":H" &amp;
        IF(P23&lt;&gt;"",
            MATCH(P23, INDIRECT("'" &amp; INDEX('Hulp (CAO''s)'!$C$3:$C$6,
                MATCH(TRUE,'Hulp (CAO''s)'!$D$3:$D$6,0)) &amp; "'!A:A"),0)-1,
            1000
        )
    )
) * O24
)</f>
        <v/>
      </c>
      <c r="P25" s="86" t="str">
        <f ca="1">IF(
    OR(P23="",P24=""),
    "",
    MAX(
    INDIRECT("'" &amp; INDEX('Hulp (CAO''s)'!$C$3:$C$6,
        MATCH(TRUE,'Hulp (CAO''s)'!$D$3:$D$6,0)) &amp; "'!" &amp;
        INDEX('Hulp (CAO''s)'!$H$3:$H$6,
            MATCH(TRUE,'Hulp (CAO''s)'!$D$3:$D$6,0))
        &amp;
        MATCH(P23, INDIRECT("'" &amp; INDEX('Hulp (CAO''s)'!$C$3:$C$6,
            MATCH(TRUE,'Hulp (CAO''s)'!$D$3:$D$6,0)) &amp; "'!A:A"),0)
        &amp; ":H" &amp;
        IF(Q23&lt;&gt;"",
            MATCH(Q23, INDIRECT("'" &amp; INDEX('Hulp (CAO''s)'!$C$3:$C$6,
                MATCH(TRUE,'Hulp (CAO''s)'!$D$3:$D$6,0)) &amp; "'!A:A"),0)-1,
            1000
        )
    )
) * P24
)</f>
        <v/>
      </c>
      <c r="Q25" s="86" t="str">
        <f ca="1">IF(
    OR(Q23="",Q24=""),
    "",
    MAX(
    INDIRECT("'" &amp; INDEX('Hulp (CAO''s)'!$C$3:$C$6,
        MATCH(TRUE,'Hulp (CAO''s)'!$D$3:$D$6,0)) &amp; "'!" &amp;
        INDEX('Hulp (CAO''s)'!$H$3:$H$6,
            MATCH(TRUE,'Hulp (CAO''s)'!$D$3:$D$6,0))
        &amp;
        MATCH(Q23, INDIRECT("'" &amp; INDEX('Hulp (CAO''s)'!$C$3:$C$6,
            MATCH(TRUE,'Hulp (CAO''s)'!$D$3:$D$6,0)) &amp; "'!A:A"),0)
        &amp; ":H" &amp;
        IF(R23&lt;&gt;"",
            MATCH(R23, INDIRECT("'" &amp; INDEX('Hulp (CAO''s)'!$C$3:$C$6,
                MATCH(TRUE,'Hulp (CAO''s)'!$D$3:$D$6,0)) &amp; "'!A:A"),0)-1,
            1000
        )
    )
) * Q24
)</f>
        <v/>
      </c>
      <c r="R25" s="86" t="str">
        <f ca="1">IF(
    OR(R23="",R24=""),
    "",
    MAX(
    INDIRECT("'" &amp; INDEX('Hulp (CAO''s)'!$C$3:$C$6,
        MATCH(TRUE,'Hulp (CAO''s)'!$D$3:$D$6,0)) &amp; "'!" &amp;
        INDEX('Hulp (CAO''s)'!$H$3:$H$6,
            MATCH(TRUE,'Hulp (CAO''s)'!$D$3:$D$6,0))
        &amp;
        MATCH(R23, INDIRECT("'" &amp; INDEX('Hulp (CAO''s)'!$C$3:$C$6,
            MATCH(TRUE,'Hulp (CAO''s)'!$D$3:$D$6,0)) &amp; "'!A:A"),0)
        &amp; ":H" &amp;
        IF(S23&lt;&gt;"",
            MATCH(S23, INDIRECT("'" &amp; INDEX('Hulp (CAO''s)'!$C$3:$C$6,
                MATCH(TRUE,'Hulp (CAO''s)'!$D$3:$D$6,0)) &amp; "'!A:A"),0)-1,
            1000
        )
    )
) * R24
)</f>
        <v/>
      </c>
      <c r="S25" s="86" t="str">
        <f ca="1">IF(
    OR(S23="",S24=""),
    "",
    MAX(
    INDIRECT("'" &amp; INDEX('Hulp (CAO''s)'!$C$3:$C$6,
        MATCH(TRUE,'Hulp (CAO''s)'!$D$3:$D$6,0)) &amp; "'!" &amp;
        INDEX('Hulp (CAO''s)'!$H$3:$H$6,
            MATCH(TRUE,'Hulp (CAO''s)'!$D$3:$D$6,0))
        &amp;
        MATCH(S23, INDIRECT("'" &amp; INDEX('Hulp (CAO''s)'!$C$3:$C$6,
            MATCH(TRUE,'Hulp (CAO''s)'!$D$3:$D$6,0)) &amp; "'!A:A"),0)
        &amp; ":H" &amp;
        IF(T23&lt;&gt;"",
            MATCH(T23, INDIRECT("'" &amp; INDEX('Hulp (CAO''s)'!$C$3:$C$6,
                MATCH(TRUE,'Hulp (CAO''s)'!$D$3:$D$6,0)) &amp; "'!A:A"),0)-1,
            1000
        )
    )
) * S24
)</f>
        <v/>
      </c>
      <c r="T25" s="39" t="str">
        <f ca="1">IF(
    OR(T23="",T24=""),
    "",
    MAX(
    INDIRECT("'" &amp; INDEX('Hulp (CAO''s)'!$C$3:$C$6,
        MATCH(TRUE,'Hulp (CAO''s)'!$D$3:$D$6,0)) &amp; "'!" &amp;
        INDEX('Hulp (CAO''s)'!$H$3:$H$6,
            MATCH(TRUE,'Hulp (CAO''s)'!$D$3:$D$6,0))
        &amp;
        MATCH(T23, INDIRECT("'" &amp; INDEX('Hulp (CAO''s)'!$C$3:$C$6,
            MATCH(TRUE,'Hulp (CAO''s)'!$D$3:$D$6,0)) &amp; "'!A:A"),0)
        &amp; ":H" &amp;
        IF(U23&lt;&gt;"",
            MATCH(U23, INDIRECT("'" &amp; INDEX('Hulp (CAO''s)'!$C$3:$C$6,
                MATCH(TRUE,'Hulp (CAO''s)'!$D$3:$D$6,0)) &amp; "'!A:A"),0)-1,
            1000
        )
    )
) * T24
)</f>
        <v/>
      </c>
      <c r="V25" s="38" t="str">
        <f t="array" aca="1" ref="V25" ca="1">IF(
   SUM(E25:T25)=0,
   "",
   (
      SUMPRODUCT(
         IF(E25:T25="",0,E25:T25),
         IF(E26:T26="",0,E26:T26) * SUM(E26:T26)
      )
   ) *
   IF(
      'Hulp (CAO''s)'!#REF!,
      IF(
         OR(
            INDEX(#REF!, ROW(#REF!) + INT((ROW()-ROW($V$7))/6)*8)="",
            ISNA(INDEX(#REF!, ROW(#REF!) + INT((ROW()-ROW($V$7))/6)*8))
         ),
         1878/12,
         INDEX(#REF!, ROW(#REF!) + INT((ROW()-ROW($V$7))/6)*8)/12
      ),
      1
   )
)</f>
        <v/>
      </c>
    </row>
    <row r="26" spans="2:24" ht="14.65" thickBot="1" x14ac:dyDescent="0.5">
      <c r="B26" s="48" t="s">
        <v>60</v>
      </c>
      <c r="D26" s="24" t="s">
        <v>59</v>
      </c>
      <c r="E26" s="8">
        <v>0.05</v>
      </c>
      <c r="F26" s="8">
        <v>0.1</v>
      </c>
      <c r="G26" s="8">
        <v>0.1</v>
      </c>
      <c r="H26" s="8">
        <v>0.15</v>
      </c>
      <c r="I26" s="8">
        <v>0.1</v>
      </c>
      <c r="J26" s="8">
        <v>0.15</v>
      </c>
      <c r="K26" s="8">
        <v>0.1</v>
      </c>
      <c r="L26" s="8">
        <v>0.15</v>
      </c>
      <c r="M26" s="8">
        <v>0.05</v>
      </c>
      <c r="N26" s="8">
        <v>0.05</v>
      </c>
      <c r="O26" s="8">
        <v>0</v>
      </c>
      <c r="P26" s="8"/>
      <c r="Q26" s="8"/>
      <c r="R26" s="8"/>
      <c r="S26" s="8"/>
      <c r="T26" s="9"/>
      <c r="U26" s="7"/>
      <c r="V26" s="37" t="str">
        <f ca="1">IF(B23="","",IF(INDIRECT("'Hulp (control forms)'!C" &amp; (13 + INT((ROW()-ROW($B$5))/6))), V24, V25))</f>
        <v/>
      </c>
      <c r="W26" s="7"/>
    </row>
    <row r="27" spans="2:24" x14ac:dyDescent="0.5">
      <c r="S27" s="7" t="str">
        <f>IF($B26="Aandeel in %",
   "Totaal: "&amp;SUM(E26:T26)*100&amp;"%",
   "Totaal: "&amp;SUM(E26:T26)&amp;" uur"
)</f>
        <v>Totaal: 100%</v>
      </c>
      <c r="T27" s="7"/>
    </row>
    <row r="28" spans="2:24" ht="16.149999999999999" thickBot="1" x14ac:dyDescent="0.55000000000000004">
      <c r="B28" s="44" t="str">
        <f ca="1">IF(B29="","",IF(
   OR(
      INDIRECT("'1a. Input organisatieniveau'!N" &amp; (14 + INT((ROW()-4)/6)))="",
      INDIRECT("'1a. Input organisatieniveau'!N" &amp; (14 + INT((ROW()-4)/6)))=0
   ),
   "",
   INDIRECT("'1a. Input organisatieniveau'!N" &amp; (14 + INT((ROW()-4)/6)))
))</f>
        <v/>
      </c>
      <c r="E28" s="61" t="str">
        <f ca="1">IF(AND(AND(E29&lt;&gt;"",E30&lt;&gt;""),E31=""),"!","")</f>
        <v/>
      </c>
      <c r="F28" s="61" t="str">
        <f t="shared" ref="F28:T28" ca="1" si="4">IF(AND(AND(F29&lt;&gt;"",F30&lt;&gt;""),F31=""),"!","")</f>
        <v/>
      </c>
      <c r="G28" s="61" t="str">
        <f t="shared" ca="1" si="4"/>
        <v/>
      </c>
      <c r="H28" s="61" t="str">
        <f t="shared" ca="1" si="4"/>
        <v/>
      </c>
      <c r="I28" s="61" t="str">
        <f t="shared" ca="1" si="4"/>
        <v/>
      </c>
      <c r="J28" s="61" t="str">
        <f t="shared" ca="1" si="4"/>
        <v/>
      </c>
      <c r="K28" s="61" t="str">
        <f t="shared" ca="1" si="4"/>
        <v/>
      </c>
      <c r="L28" s="61" t="str">
        <f t="shared" ca="1" si="4"/>
        <v/>
      </c>
      <c r="M28" s="61" t="str">
        <f t="shared" ca="1" si="4"/>
        <v/>
      </c>
      <c r="N28" s="61" t="str">
        <f t="shared" ca="1" si="4"/>
        <v/>
      </c>
      <c r="O28" s="61" t="str">
        <f t="shared" ca="1" si="4"/>
        <v/>
      </c>
      <c r="P28" s="61" t="str">
        <f t="shared" ca="1" si="4"/>
        <v/>
      </c>
      <c r="Q28" s="61" t="str">
        <f t="shared" ca="1" si="4"/>
        <v/>
      </c>
      <c r="R28" s="61" t="str">
        <f t="shared" ca="1" si="4"/>
        <v/>
      </c>
      <c r="S28" s="61" t="str">
        <f t="shared" ca="1" si="4"/>
        <v/>
      </c>
      <c r="T28" s="61" t="str">
        <f t="shared" ca="1" si="4"/>
        <v/>
      </c>
    </row>
    <row r="29" spans="2:24" ht="16.149999999999999" thickBot="1" x14ac:dyDescent="0.55000000000000004">
      <c r="B29" s="45" t="str">
        <f ca="1">IF(
   OR(
      INDIRECT("'1a. Input organisatieniveau'!M" &amp; (14 + INT((ROW()-4)/6)))="",
      INDIRECT("'1a. Input organisatieniveau'!M" &amp; (14 + INT((ROW()-4)/6)))=0
   ),
   "",
   INDIRECT("'1a. Input organisatieniveau'!M" &amp; (14 + INT((ROW()-4)/6)))
)</f>
        <v/>
      </c>
      <c r="D29" s="22" t="s">
        <v>28</v>
      </c>
      <c r="E29" s="10" t="str">
        <f t="array" aca="1" ref="E29" ca="1">IF($B29="", "", INDEX('Hulp (CAO''s)'!J$3:J$6, MATCH(TRUE, 'Hulp (CAO''s)'!$D$3:$D$6, 0)))</f>
        <v/>
      </c>
      <c r="F29" s="10" t="str">
        <f t="array" aca="1" ref="F29" ca="1">IF($B29="", "", INDEX('Hulp (CAO''s)'!K$3:K$6, MATCH(TRUE, 'Hulp (CAO''s)'!$D$3:$D$6, 0)))</f>
        <v/>
      </c>
      <c r="G29" s="10" t="str">
        <f t="array" aca="1" ref="G29" ca="1">IF($B29="", "", INDEX('Hulp (CAO''s)'!L$3:L$6, MATCH(TRUE, 'Hulp (CAO''s)'!$D$3:$D$6, 0)))</f>
        <v/>
      </c>
      <c r="H29" s="10" t="str">
        <f t="array" aca="1" ref="H29" ca="1">IF($B29="", "", INDEX('Hulp (CAO''s)'!M$3:M$6, MATCH(TRUE, 'Hulp (CAO''s)'!$D$3:$D$6, 0)))</f>
        <v/>
      </c>
      <c r="I29" s="10" t="str">
        <f t="array" aca="1" ref="I29" ca="1">IF($B29="", "", INDEX('Hulp (CAO''s)'!N$3:N$6, MATCH(TRUE, 'Hulp (CAO''s)'!$D$3:$D$6, 0)))</f>
        <v/>
      </c>
      <c r="J29" s="10" t="str">
        <f t="array" aca="1" ref="J29" ca="1">IF($B29="", "", INDEX('Hulp (CAO''s)'!O$3:O$6, MATCH(TRUE, 'Hulp (CAO''s)'!$D$3:$D$6, 0)))</f>
        <v/>
      </c>
      <c r="K29" s="10" t="str">
        <f t="array" aca="1" ref="K29" ca="1">IF($B29="", "", INDEX('Hulp (CAO''s)'!P$3:P$6, MATCH(TRUE, 'Hulp (CAO''s)'!$D$3:$D$6, 0)))</f>
        <v/>
      </c>
      <c r="L29" s="10" t="str">
        <f t="array" aca="1" ref="L29" ca="1">IF($B29="", "", INDEX('Hulp (CAO''s)'!Q$3:Q$6, MATCH(TRUE, 'Hulp (CAO''s)'!$D$3:$D$6, 0)))</f>
        <v/>
      </c>
      <c r="M29" s="10" t="str">
        <f t="array" aca="1" ref="M29" ca="1">IF($B29="", "", INDEX('Hulp (CAO''s)'!R$3:R$6, MATCH(TRUE, 'Hulp (CAO''s)'!$D$3:$D$6, 0)))</f>
        <v/>
      </c>
      <c r="N29" s="10" t="str">
        <f t="array" aca="1" ref="N29" ca="1">IF($B29="", "", INDEX('Hulp (CAO''s)'!S$3:S$6, MATCH(TRUE, 'Hulp (CAO''s)'!$D$3:$D$6, 0)))</f>
        <v/>
      </c>
      <c r="O29" s="10" t="str">
        <f t="array" aca="1" ref="O29" ca="1">IF($B29="", "", INDEX('Hulp (CAO''s)'!T$3:T$6, MATCH(TRUE, 'Hulp (CAO''s)'!$D$3:$D$6, 0)))</f>
        <v/>
      </c>
      <c r="P29" s="10" t="str">
        <f t="array" aca="1" ref="P29" ca="1">IF($B29="", "", INDEX('Hulp (CAO''s)'!U$3:U$6, MATCH(TRUE, 'Hulp (CAO''s)'!$D$3:$D$6, 0)))</f>
        <v/>
      </c>
      <c r="Q29" s="10" t="str">
        <f t="array" aca="1" ref="Q29" ca="1">IF($B29="", "", INDEX('Hulp (CAO''s)'!V$3:V$6, MATCH(TRUE, 'Hulp (CAO''s)'!$D$3:$D$6, 0)))</f>
        <v/>
      </c>
      <c r="R29" s="10" t="str">
        <f t="array" aca="1" ref="R29" ca="1">IF($B29="", "", INDEX('Hulp (CAO''s)'!W$3:W$6, MATCH(TRUE, 'Hulp (CAO''s)'!$D$3:$D$6, 0)))</f>
        <v/>
      </c>
      <c r="S29" s="10" t="str">
        <f t="array" aca="1" ref="S29" ca="1">IF($B29="", "", INDEX('Hulp (CAO''s)'!X$3:X$6, MATCH(TRUE, 'Hulp (CAO''s)'!$D$3:$D$6, 0)))</f>
        <v/>
      </c>
      <c r="T29" s="11" t="str">
        <f t="array" aca="1" ref="T29" ca="1">IF($B29="", "", INDEX('Hulp (CAO''s)'!Y$3:Y$6, MATCH(TRUE, 'Hulp (CAO''s)'!$D$3:$D$6, 0)))</f>
        <v/>
      </c>
      <c r="V29" s="25" t="s">
        <v>32</v>
      </c>
      <c r="W29" s="5"/>
    </row>
    <row r="30" spans="2:24" x14ac:dyDescent="0.5">
      <c r="D30" s="23" t="s">
        <v>770</v>
      </c>
      <c r="E30" s="92">
        <v>0.96</v>
      </c>
      <c r="F30" s="92">
        <v>0.9</v>
      </c>
      <c r="G30" s="92">
        <v>0.9</v>
      </c>
      <c r="H30" s="92">
        <v>0.7</v>
      </c>
      <c r="I30" s="92">
        <v>0.8</v>
      </c>
      <c r="J30" s="92">
        <v>0.9</v>
      </c>
      <c r="K30" s="92">
        <v>0.9</v>
      </c>
      <c r="L30" s="92">
        <v>0.9</v>
      </c>
      <c r="M30" s="92">
        <v>0.9</v>
      </c>
      <c r="N30" s="92">
        <v>0.8</v>
      </c>
      <c r="O30" s="92">
        <v>0.95</v>
      </c>
      <c r="P30" s="92">
        <v>0.93</v>
      </c>
      <c r="Q30" s="92">
        <v>0.93</v>
      </c>
      <c r="R30" s="92">
        <v>0.95</v>
      </c>
      <c r="S30" s="92">
        <v>0.92</v>
      </c>
      <c r="T30" s="93">
        <v>0.95</v>
      </c>
      <c r="V30" s="52">
        <v>4300</v>
      </c>
      <c r="X30" s="60" t="s">
        <v>747</v>
      </c>
    </row>
    <row r="31" spans="2:24" ht="14.65" thickBot="1" x14ac:dyDescent="0.5">
      <c r="B31"/>
      <c r="D31" s="40" t="str">
        <f>IFERROR(
   INDEX('Hulp (CAO''s)'!$I$3:$I$6, MATCH(TRUE, 'Hulp (CAO''s)'!$D$3:$D$6, 0)),
"")</f>
        <v>Bruto maandsalaris</v>
      </c>
      <c r="E31" s="86" t="str">
        <f ca="1">IF(
    OR(E29="",E30=""),
    "",
    MAX(
    INDIRECT("'" &amp; INDEX('Hulp (CAO''s)'!$C$3:$C$6,
        MATCH(TRUE,'Hulp (CAO''s)'!$D$3:$D$6,0)) &amp; "'!" &amp;
        INDEX('Hulp (CAO''s)'!$H$3:$H$6,
            MATCH(TRUE,'Hulp (CAO''s)'!$D$3:$D$6,0))
        &amp;
        MATCH(E29, INDIRECT("'" &amp; INDEX('Hulp (CAO''s)'!$C$3:$C$6,
            MATCH(TRUE,'Hulp (CAO''s)'!$D$3:$D$6,0)) &amp; "'!A:A"),0)
        &amp; ":H" &amp;
        IF(F29&lt;&gt;"",
            MATCH(F29, INDIRECT("'" &amp; INDEX('Hulp (CAO''s)'!$C$3:$C$6,
                MATCH(TRUE,'Hulp (CAO''s)'!$D$3:$D$6,0)) &amp; "'!A:A"),0)-1,
            1000
        )
    )
) * E30
)</f>
        <v/>
      </c>
      <c r="F31" s="86" t="str">
        <f ca="1">IF(
    OR(F29="",F30=""),
    "",
    MAX(
    INDIRECT("'" &amp; INDEX('Hulp (CAO''s)'!$C$3:$C$6,
        MATCH(TRUE,'Hulp (CAO''s)'!$D$3:$D$6,0)) &amp; "'!" &amp;
        INDEX('Hulp (CAO''s)'!$H$3:$H$6,
            MATCH(TRUE,'Hulp (CAO''s)'!$D$3:$D$6,0))
        &amp;
        MATCH(F29, INDIRECT("'" &amp; INDEX('Hulp (CAO''s)'!$C$3:$C$6,
            MATCH(TRUE,'Hulp (CAO''s)'!$D$3:$D$6,0)) &amp; "'!A:A"),0)
        &amp; ":H" &amp;
        IF(G29&lt;&gt;"",
            MATCH(G29, INDIRECT("'" &amp; INDEX('Hulp (CAO''s)'!$C$3:$C$6,
                MATCH(TRUE,'Hulp (CAO''s)'!$D$3:$D$6,0)) &amp; "'!A:A"),0)-1,
            1000
        )
    )
) * F30
)</f>
        <v/>
      </c>
      <c r="G31" s="86" t="str">
        <f ca="1">IF(
    OR(G29="",G30=""),
    "",
    MAX(
    INDIRECT("'" &amp; INDEX('Hulp (CAO''s)'!$C$3:$C$6,
        MATCH(TRUE,'Hulp (CAO''s)'!$D$3:$D$6,0)) &amp; "'!" &amp;
        INDEX('Hulp (CAO''s)'!$H$3:$H$6,
            MATCH(TRUE,'Hulp (CAO''s)'!$D$3:$D$6,0))
        &amp;
        MATCH(G29, INDIRECT("'" &amp; INDEX('Hulp (CAO''s)'!$C$3:$C$6,
            MATCH(TRUE,'Hulp (CAO''s)'!$D$3:$D$6,0)) &amp; "'!A:A"),0)
        &amp; ":H" &amp;
        IF(H29&lt;&gt;"",
            MATCH(H29, INDIRECT("'" &amp; INDEX('Hulp (CAO''s)'!$C$3:$C$6,
                MATCH(TRUE,'Hulp (CAO''s)'!$D$3:$D$6,0)) &amp; "'!A:A"),0)-1,
            1000
        )
    )
) * G30
)</f>
        <v/>
      </c>
      <c r="H31" s="86" t="str">
        <f ca="1">IF(
    OR(H29="",H30=""),
    "",
    MAX(
    INDIRECT("'" &amp; INDEX('Hulp (CAO''s)'!$C$3:$C$6,
        MATCH(TRUE,'Hulp (CAO''s)'!$D$3:$D$6,0)) &amp; "'!" &amp;
        INDEX('Hulp (CAO''s)'!$H$3:$H$6,
            MATCH(TRUE,'Hulp (CAO''s)'!$D$3:$D$6,0))
        &amp;
        MATCH(H29, INDIRECT("'" &amp; INDEX('Hulp (CAO''s)'!$C$3:$C$6,
            MATCH(TRUE,'Hulp (CAO''s)'!$D$3:$D$6,0)) &amp; "'!A:A"),0)
        &amp; ":H" &amp;
        IF(I29&lt;&gt;"",
            MATCH(I29, INDIRECT("'" &amp; INDEX('Hulp (CAO''s)'!$C$3:$C$6,
                MATCH(TRUE,'Hulp (CAO''s)'!$D$3:$D$6,0)) &amp; "'!A:A"),0)-1,
            1000
        )
    )
) * H30
)</f>
        <v/>
      </c>
      <c r="I31" s="86" t="str">
        <f ca="1">IF(
    OR(I29="",I30=""),
    "",
    MAX(
    INDIRECT("'" &amp; INDEX('Hulp (CAO''s)'!$C$3:$C$6,
        MATCH(TRUE,'Hulp (CAO''s)'!$D$3:$D$6,0)) &amp; "'!" &amp;
        INDEX('Hulp (CAO''s)'!$H$3:$H$6,
            MATCH(TRUE,'Hulp (CAO''s)'!$D$3:$D$6,0))
        &amp;
        MATCH(I29, INDIRECT("'" &amp; INDEX('Hulp (CAO''s)'!$C$3:$C$6,
            MATCH(TRUE,'Hulp (CAO''s)'!$D$3:$D$6,0)) &amp; "'!A:A"),0)
        &amp; ":H" &amp;
        IF(J29&lt;&gt;"",
            MATCH(J29, INDIRECT("'" &amp; INDEX('Hulp (CAO''s)'!$C$3:$C$6,
                MATCH(TRUE,'Hulp (CAO''s)'!$D$3:$D$6,0)) &amp; "'!A:A"),0)-1,
            1000
        )
    )
) * I30
)</f>
        <v/>
      </c>
      <c r="J31" s="86" t="str">
        <f ca="1">IF(
    OR(J29="",J30=""),
    "",
    MAX(
    INDIRECT("'" &amp; INDEX('Hulp (CAO''s)'!$C$3:$C$6,
        MATCH(TRUE,'Hulp (CAO''s)'!$D$3:$D$6,0)) &amp; "'!" &amp;
        INDEX('Hulp (CAO''s)'!$H$3:$H$6,
            MATCH(TRUE,'Hulp (CAO''s)'!$D$3:$D$6,0))
        &amp;
        MATCH(J29, INDIRECT("'" &amp; INDEX('Hulp (CAO''s)'!$C$3:$C$6,
            MATCH(TRUE,'Hulp (CAO''s)'!$D$3:$D$6,0)) &amp; "'!A:A"),0)
        &amp; ":H" &amp;
        IF(K29&lt;&gt;"",
            MATCH(K29, INDIRECT("'" &amp; INDEX('Hulp (CAO''s)'!$C$3:$C$6,
                MATCH(TRUE,'Hulp (CAO''s)'!$D$3:$D$6,0)) &amp; "'!A:A"),0)-1,
            1000
        )
    )
) * J30
)</f>
        <v/>
      </c>
      <c r="K31" s="86" t="str">
        <f ca="1">IF(
    OR(K29="",K30=""),
    "",
    MAX(
    INDIRECT("'" &amp; INDEX('Hulp (CAO''s)'!$C$3:$C$6,
        MATCH(TRUE,'Hulp (CAO''s)'!$D$3:$D$6,0)) &amp; "'!" &amp;
        INDEX('Hulp (CAO''s)'!$H$3:$H$6,
            MATCH(TRUE,'Hulp (CAO''s)'!$D$3:$D$6,0))
        &amp;
        MATCH(K29, INDIRECT("'" &amp; INDEX('Hulp (CAO''s)'!$C$3:$C$6,
            MATCH(TRUE,'Hulp (CAO''s)'!$D$3:$D$6,0)) &amp; "'!A:A"),0)
        &amp; ":H" &amp;
        IF(L29&lt;&gt;"",
            MATCH(L29, INDIRECT("'" &amp; INDEX('Hulp (CAO''s)'!$C$3:$C$6,
                MATCH(TRUE,'Hulp (CAO''s)'!$D$3:$D$6,0)) &amp; "'!A:A"),0)-1,
            1000
        )
    )
) * K30
)</f>
        <v/>
      </c>
      <c r="L31" s="86" t="str">
        <f ca="1">IF(
    OR(L29="",L30=""),
    "",
    MAX(
    INDIRECT("'" &amp; INDEX('Hulp (CAO''s)'!$C$3:$C$6,
        MATCH(TRUE,'Hulp (CAO''s)'!$D$3:$D$6,0)) &amp; "'!" &amp;
        INDEX('Hulp (CAO''s)'!$H$3:$H$6,
            MATCH(TRUE,'Hulp (CAO''s)'!$D$3:$D$6,0))
        &amp;
        MATCH(L29, INDIRECT("'" &amp; INDEX('Hulp (CAO''s)'!$C$3:$C$6,
            MATCH(TRUE,'Hulp (CAO''s)'!$D$3:$D$6,0)) &amp; "'!A:A"),0)
        &amp; ":H" &amp;
        IF(M29&lt;&gt;"",
            MATCH(M29, INDIRECT("'" &amp; INDEX('Hulp (CAO''s)'!$C$3:$C$6,
                MATCH(TRUE,'Hulp (CAO''s)'!$D$3:$D$6,0)) &amp; "'!A:A"),0)-1,
            1000
        )
    )
) * L30
)</f>
        <v/>
      </c>
      <c r="M31" s="86" t="str">
        <f ca="1">IF(
    OR(M29="",M30=""),
    "",
    MAX(
    INDIRECT("'" &amp; INDEX('Hulp (CAO''s)'!$C$3:$C$6,
        MATCH(TRUE,'Hulp (CAO''s)'!$D$3:$D$6,0)) &amp; "'!" &amp;
        INDEX('Hulp (CAO''s)'!$H$3:$H$6,
            MATCH(TRUE,'Hulp (CAO''s)'!$D$3:$D$6,0))
        &amp;
        MATCH(M29, INDIRECT("'" &amp; INDEX('Hulp (CAO''s)'!$C$3:$C$6,
            MATCH(TRUE,'Hulp (CAO''s)'!$D$3:$D$6,0)) &amp; "'!A:A"),0)
        &amp; ":H" &amp;
        IF(N29&lt;&gt;"",
            MATCH(N29, INDIRECT("'" &amp; INDEX('Hulp (CAO''s)'!$C$3:$C$6,
                MATCH(TRUE,'Hulp (CAO''s)'!$D$3:$D$6,0)) &amp; "'!A:A"),0)-1,
            1000
        )
    )
) * M30
)</f>
        <v/>
      </c>
      <c r="N31" s="86" t="str">
        <f ca="1">IF(
    OR(N29="",N30=""),
    "",
    MAX(
    INDIRECT("'" &amp; INDEX('Hulp (CAO''s)'!$C$3:$C$6,
        MATCH(TRUE,'Hulp (CAO''s)'!$D$3:$D$6,0)) &amp; "'!" &amp;
        INDEX('Hulp (CAO''s)'!$H$3:$H$6,
            MATCH(TRUE,'Hulp (CAO''s)'!$D$3:$D$6,0))
        &amp;
        MATCH(N29, INDIRECT("'" &amp; INDEX('Hulp (CAO''s)'!$C$3:$C$6,
            MATCH(TRUE,'Hulp (CAO''s)'!$D$3:$D$6,0)) &amp; "'!A:A"),0)
        &amp; ":H" &amp;
        IF(O29&lt;&gt;"",
            MATCH(O29, INDIRECT("'" &amp; INDEX('Hulp (CAO''s)'!$C$3:$C$6,
                MATCH(TRUE,'Hulp (CAO''s)'!$D$3:$D$6,0)) &amp; "'!A:A"),0)-1,
            1000
        )
    )
) * N30
)</f>
        <v/>
      </c>
      <c r="O31" s="86" t="str">
        <f ca="1">IF(
    OR(O29="",O30=""),
    "",
    MAX(
    INDIRECT("'" &amp; INDEX('Hulp (CAO''s)'!$C$3:$C$6,
        MATCH(TRUE,'Hulp (CAO''s)'!$D$3:$D$6,0)) &amp; "'!" &amp;
        INDEX('Hulp (CAO''s)'!$H$3:$H$6,
            MATCH(TRUE,'Hulp (CAO''s)'!$D$3:$D$6,0))
        &amp;
        MATCH(O29, INDIRECT("'" &amp; INDEX('Hulp (CAO''s)'!$C$3:$C$6,
            MATCH(TRUE,'Hulp (CAO''s)'!$D$3:$D$6,0)) &amp; "'!A:A"),0)
        &amp; ":H" &amp;
        IF(P29&lt;&gt;"",
            MATCH(P29, INDIRECT("'" &amp; INDEX('Hulp (CAO''s)'!$C$3:$C$6,
                MATCH(TRUE,'Hulp (CAO''s)'!$D$3:$D$6,0)) &amp; "'!A:A"),0)-1,
            1000
        )
    )
) * O30
)</f>
        <v/>
      </c>
      <c r="P31" s="86" t="str">
        <f ca="1">IF(
    OR(P29="",P30=""),
    "",
    MAX(
    INDIRECT("'" &amp; INDEX('Hulp (CAO''s)'!$C$3:$C$6,
        MATCH(TRUE,'Hulp (CAO''s)'!$D$3:$D$6,0)) &amp; "'!" &amp;
        INDEX('Hulp (CAO''s)'!$H$3:$H$6,
            MATCH(TRUE,'Hulp (CAO''s)'!$D$3:$D$6,0))
        &amp;
        MATCH(P29, INDIRECT("'" &amp; INDEX('Hulp (CAO''s)'!$C$3:$C$6,
            MATCH(TRUE,'Hulp (CAO''s)'!$D$3:$D$6,0)) &amp; "'!A:A"),0)
        &amp; ":H" &amp;
        IF(Q29&lt;&gt;"",
            MATCH(Q29, INDIRECT("'" &amp; INDEX('Hulp (CAO''s)'!$C$3:$C$6,
                MATCH(TRUE,'Hulp (CAO''s)'!$D$3:$D$6,0)) &amp; "'!A:A"),0)-1,
            1000
        )
    )
) * P30
)</f>
        <v/>
      </c>
      <c r="Q31" s="86" t="str">
        <f ca="1">IF(
    OR(Q29="",Q30=""),
    "",
    MAX(
    INDIRECT("'" &amp; INDEX('Hulp (CAO''s)'!$C$3:$C$6,
        MATCH(TRUE,'Hulp (CAO''s)'!$D$3:$D$6,0)) &amp; "'!" &amp;
        INDEX('Hulp (CAO''s)'!$H$3:$H$6,
            MATCH(TRUE,'Hulp (CAO''s)'!$D$3:$D$6,0))
        &amp;
        MATCH(Q29, INDIRECT("'" &amp; INDEX('Hulp (CAO''s)'!$C$3:$C$6,
            MATCH(TRUE,'Hulp (CAO''s)'!$D$3:$D$6,0)) &amp; "'!A:A"),0)
        &amp; ":H" &amp;
        IF(R29&lt;&gt;"",
            MATCH(R29, INDIRECT("'" &amp; INDEX('Hulp (CAO''s)'!$C$3:$C$6,
                MATCH(TRUE,'Hulp (CAO''s)'!$D$3:$D$6,0)) &amp; "'!A:A"),0)-1,
            1000
        )
    )
) * Q30
)</f>
        <v/>
      </c>
      <c r="R31" s="86" t="str">
        <f ca="1">IF(
    OR(R29="",R30=""),
    "",
    MAX(
    INDIRECT("'" &amp; INDEX('Hulp (CAO''s)'!$C$3:$C$6,
        MATCH(TRUE,'Hulp (CAO''s)'!$D$3:$D$6,0)) &amp; "'!" &amp;
        INDEX('Hulp (CAO''s)'!$H$3:$H$6,
            MATCH(TRUE,'Hulp (CAO''s)'!$D$3:$D$6,0))
        &amp;
        MATCH(R29, INDIRECT("'" &amp; INDEX('Hulp (CAO''s)'!$C$3:$C$6,
            MATCH(TRUE,'Hulp (CAO''s)'!$D$3:$D$6,0)) &amp; "'!A:A"),0)
        &amp; ":H" &amp;
        IF(S29&lt;&gt;"",
            MATCH(S29, INDIRECT("'" &amp; INDEX('Hulp (CAO''s)'!$C$3:$C$6,
                MATCH(TRUE,'Hulp (CAO''s)'!$D$3:$D$6,0)) &amp; "'!A:A"),0)-1,
            1000
        )
    )
) * R30
)</f>
        <v/>
      </c>
      <c r="S31" s="86" t="str">
        <f ca="1">IF(
    OR(S29="",S30=""),
    "",
    MAX(
    INDIRECT("'" &amp; INDEX('Hulp (CAO''s)'!$C$3:$C$6,
        MATCH(TRUE,'Hulp (CAO''s)'!$D$3:$D$6,0)) &amp; "'!" &amp;
        INDEX('Hulp (CAO''s)'!$H$3:$H$6,
            MATCH(TRUE,'Hulp (CAO''s)'!$D$3:$D$6,0))
        &amp;
        MATCH(S29, INDIRECT("'" &amp; INDEX('Hulp (CAO''s)'!$C$3:$C$6,
            MATCH(TRUE,'Hulp (CAO''s)'!$D$3:$D$6,0)) &amp; "'!A:A"),0)
        &amp; ":H" &amp;
        IF(T29&lt;&gt;"",
            MATCH(T29, INDIRECT("'" &amp; INDEX('Hulp (CAO''s)'!$C$3:$C$6,
                MATCH(TRUE,'Hulp (CAO''s)'!$D$3:$D$6,0)) &amp; "'!A:A"),0)-1,
            1000
        )
    )
) * S30
)</f>
        <v/>
      </c>
      <c r="T31" s="39" t="str">
        <f ca="1">IF(
    OR(T29="",T30=""),
    "",
    MAX(
    INDIRECT("'" &amp; INDEX('Hulp (CAO''s)'!$C$3:$C$6,
        MATCH(TRUE,'Hulp (CAO''s)'!$D$3:$D$6,0)) &amp; "'!" &amp;
        INDEX('Hulp (CAO''s)'!$H$3:$H$6,
            MATCH(TRUE,'Hulp (CAO''s)'!$D$3:$D$6,0))
        &amp;
        MATCH(T29, INDIRECT("'" &amp; INDEX('Hulp (CAO''s)'!$C$3:$C$6,
            MATCH(TRUE,'Hulp (CAO''s)'!$D$3:$D$6,0)) &amp; "'!A:A"),0)
        &amp; ":H" &amp;
        IF(U29&lt;&gt;"",
            MATCH(U29, INDIRECT("'" &amp; INDEX('Hulp (CAO''s)'!$C$3:$C$6,
                MATCH(TRUE,'Hulp (CAO''s)'!$D$3:$D$6,0)) &amp; "'!A:A"),0)-1,
            1000
        )
    )
) * T30
)</f>
        <v/>
      </c>
      <c r="V31" s="38" t="str">
        <f t="array" aca="1" ref="V31" ca="1">IF(
   SUM(E31:T31)=0,
   "",
   (
      SUMPRODUCT(
         IF(E31:T31="",0,E31:T31),
         IF(E32:T32="",0,E32:T32) * SUM(E32:T32)
      )
   ) *
   IF(
      'Hulp (CAO''s)'!#REF!,
      IF(
         OR(
            INDEX(#REF!, ROW(#REF!) + INT((ROW()-ROW($V$7))/6)*8)="",
            ISNA(INDEX(#REF!, ROW(#REF!) + INT((ROW()-ROW($V$7))/6)*8))
         ),
         1878/12,
         INDEX(#REF!, ROW(#REF!) + INT((ROW()-ROW($V$7))/6)*8)/12
      ),
      1
   )
)</f>
        <v/>
      </c>
    </row>
    <row r="32" spans="2:24" ht="14.65" thickBot="1" x14ac:dyDescent="0.5">
      <c r="B32" s="48" t="s">
        <v>60</v>
      </c>
      <c r="D32" s="24" t="s">
        <v>59</v>
      </c>
      <c r="E32" s="8">
        <v>0.05</v>
      </c>
      <c r="F32" s="8">
        <v>0.1</v>
      </c>
      <c r="G32" s="8">
        <v>0.05</v>
      </c>
      <c r="H32" s="8">
        <v>0.15</v>
      </c>
      <c r="I32" s="8">
        <v>0.1</v>
      </c>
      <c r="J32" s="8">
        <v>0.15</v>
      </c>
      <c r="K32" s="8">
        <v>0.1</v>
      </c>
      <c r="L32" s="8">
        <v>0.15</v>
      </c>
      <c r="M32" s="8">
        <v>0.05</v>
      </c>
      <c r="N32" s="8">
        <v>0.05</v>
      </c>
      <c r="O32" s="8">
        <v>0.05</v>
      </c>
      <c r="P32" s="8"/>
      <c r="Q32" s="8"/>
      <c r="R32" s="8"/>
      <c r="S32" s="8"/>
      <c r="T32" s="9"/>
      <c r="U32" s="7"/>
      <c r="V32" s="37" t="str">
        <f ca="1">IF(B29="","",IF(INDIRECT("'Hulp (control forms)'!C" &amp; (13 + INT((ROW()-ROW($B$5))/6))), V30, V31))</f>
        <v/>
      </c>
      <c r="W32" s="7"/>
    </row>
    <row r="33" spans="2:24" x14ac:dyDescent="0.5">
      <c r="S33" s="7" t="str">
        <f>IF($B32="Aandeel in %",
   "Totaal: "&amp;SUM(E32:T32)*100&amp;"%",
   "Totaal: "&amp;SUM(E32:T32)&amp;" uur"
)</f>
        <v>Totaal: 100%</v>
      </c>
      <c r="T33" s="7"/>
    </row>
    <row r="34" spans="2:24" ht="16.149999999999999" thickBot="1" x14ac:dyDescent="0.55000000000000004">
      <c r="B34" s="44" t="str">
        <f ca="1">IF(B35="","",IF(
   OR(
      INDIRECT("'1a. Input organisatieniveau'!N" &amp; (14 + INT((ROW()-4)/6)))="",
      INDIRECT("'1a. Input organisatieniveau'!N" &amp; (14 + INT((ROW()-4)/6)))=0
   ),
   "",
   INDIRECT("'1a. Input organisatieniveau'!N" &amp; (14 + INT((ROW()-4)/6)))
))</f>
        <v/>
      </c>
      <c r="E34" s="61" t="str">
        <f ca="1">IF(AND(AND(E35&lt;&gt;"",E36&lt;&gt;""),E37=""),"!","")</f>
        <v/>
      </c>
      <c r="F34" s="61" t="str">
        <f t="shared" ref="F34:T34" ca="1" si="5">IF(AND(AND(F35&lt;&gt;"",F36&lt;&gt;""),F37=""),"!","")</f>
        <v/>
      </c>
      <c r="G34" s="61" t="str">
        <f t="shared" ca="1" si="5"/>
        <v/>
      </c>
      <c r="H34" s="61" t="str">
        <f t="shared" ca="1" si="5"/>
        <v/>
      </c>
      <c r="I34" s="61" t="str">
        <f t="shared" ca="1" si="5"/>
        <v/>
      </c>
      <c r="J34" s="61" t="str">
        <f t="shared" ca="1" si="5"/>
        <v/>
      </c>
      <c r="K34" s="61" t="str">
        <f t="shared" ca="1" si="5"/>
        <v/>
      </c>
      <c r="L34" s="61" t="str">
        <f t="shared" ca="1" si="5"/>
        <v/>
      </c>
      <c r="M34" s="61" t="str">
        <f t="shared" ca="1" si="5"/>
        <v/>
      </c>
      <c r="N34" s="61" t="str">
        <f t="shared" ca="1" si="5"/>
        <v/>
      </c>
      <c r="O34" s="61" t="str">
        <f t="shared" ca="1" si="5"/>
        <v/>
      </c>
      <c r="P34" s="61" t="str">
        <f t="shared" ca="1" si="5"/>
        <v/>
      </c>
      <c r="Q34" s="61" t="str">
        <f t="shared" ca="1" si="5"/>
        <v/>
      </c>
      <c r="R34" s="61" t="str">
        <f t="shared" ca="1" si="5"/>
        <v/>
      </c>
      <c r="S34" s="61" t="str">
        <f t="shared" ca="1" si="5"/>
        <v/>
      </c>
      <c r="T34" s="61" t="str">
        <f t="shared" ca="1" si="5"/>
        <v/>
      </c>
    </row>
    <row r="35" spans="2:24" ht="16.149999999999999" thickBot="1" x14ac:dyDescent="0.55000000000000004">
      <c r="B35" s="45" t="str">
        <f ca="1">IF(
   OR(
      INDIRECT("'1a. Input organisatieniveau'!M" &amp; (14 + INT((ROW()-4)/6)))="",
      INDIRECT("'1a. Input organisatieniveau'!M" &amp; (14 + INT((ROW()-4)/6)))=0
   ),
   "",
   INDIRECT("'1a. Input organisatieniveau'!M" &amp; (14 + INT((ROW()-4)/6)))
)</f>
        <v/>
      </c>
      <c r="D35" s="22" t="s">
        <v>28</v>
      </c>
      <c r="E35" s="10" t="str">
        <f t="array" aca="1" ref="E35" ca="1">IF($B35="", "", INDEX('Hulp (CAO''s)'!J$3:J$6, MATCH(TRUE, 'Hulp (CAO''s)'!$D$3:$D$6, 0)))</f>
        <v/>
      </c>
      <c r="F35" s="10" t="str">
        <f t="array" aca="1" ref="F35" ca="1">IF($B35="", "", INDEX('Hulp (CAO''s)'!K$3:K$6, MATCH(TRUE, 'Hulp (CAO''s)'!$D$3:$D$6, 0)))</f>
        <v/>
      </c>
      <c r="G35" s="10" t="str">
        <f t="array" aca="1" ref="G35" ca="1">IF($B35="", "", INDEX('Hulp (CAO''s)'!L$3:L$6, MATCH(TRUE, 'Hulp (CAO''s)'!$D$3:$D$6, 0)))</f>
        <v/>
      </c>
      <c r="H35" s="10" t="str">
        <f t="array" aca="1" ref="H35" ca="1">IF($B35="", "", INDEX('Hulp (CAO''s)'!M$3:M$6, MATCH(TRUE, 'Hulp (CAO''s)'!$D$3:$D$6, 0)))</f>
        <v/>
      </c>
      <c r="I35" s="10" t="str">
        <f t="array" aca="1" ref="I35" ca="1">IF($B35="", "", INDEX('Hulp (CAO''s)'!N$3:N$6, MATCH(TRUE, 'Hulp (CAO''s)'!$D$3:$D$6, 0)))</f>
        <v/>
      </c>
      <c r="J35" s="10" t="str">
        <f t="array" aca="1" ref="J35" ca="1">IF($B35="", "", INDEX('Hulp (CAO''s)'!O$3:O$6, MATCH(TRUE, 'Hulp (CAO''s)'!$D$3:$D$6, 0)))</f>
        <v/>
      </c>
      <c r="K35" s="10" t="str">
        <f t="array" aca="1" ref="K35" ca="1">IF($B35="", "", INDEX('Hulp (CAO''s)'!P$3:P$6, MATCH(TRUE, 'Hulp (CAO''s)'!$D$3:$D$6, 0)))</f>
        <v/>
      </c>
      <c r="L35" s="10" t="str">
        <f t="array" aca="1" ref="L35" ca="1">IF($B35="", "", INDEX('Hulp (CAO''s)'!Q$3:Q$6, MATCH(TRUE, 'Hulp (CAO''s)'!$D$3:$D$6, 0)))</f>
        <v/>
      </c>
      <c r="M35" s="10" t="str">
        <f t="array" aca="1" ref="M35" ca="1">IF($B35="", "", INDEX('Hulp (CAO''s)'!R$3:R$6, MATCH(TRUE, 'Hulp (CAO''s)'!$D$3:$D$6, 0)))</f>
        <v/>
      </c>
      <c r="N35" s="10" t="str">
        <f t="array" aca="1" ref="N35" ca="1">IF($B35="", "", INDEX('Hulp (CAO''s)'!S$3:S$6, MATCH(TRUE, 'Hulp (CAO''s)'!$D$3:$D$6, 0)))</f>
        <v/>
      </c>
      <c r="O35" s="10" t="str">
        <f t="array" aca="1" ref="O35" ca="1">IF($B35="", "", INDEX('Hulp (CAO''s)'!T$3:T$6, MATCH(TRUE, 'Hulp (CAO''s)'!$D$3:$D$6, 0)))</f>
        <v/>
      </c>
      <c r="P35" s="10" t="str">
        <f t="array" aca="1" ref="P35" ca="1">IF($B35="", "", INDEX('Hulp (CAO''s)'!U$3:U$6, MATCH(TRUE, 'Hulp (CAO''s)'!$D$3:$D$6, 0)))</f>
        <v/>
      </c>
      <c r="Q35" s="10" t="str">
        <f t="array" aca="1" ref="Q35" ca="1">IF($B35="", "", INDEX('Hulp (CAO''s)'!V$3:V$6, MATCH(TRUE, 'Hulp (CAO''s)'!$D$3:$D$6, 0)))</f>
        <v/>
      </c>
      <c r="R35" s="10" t="str">
        <f t="array" aca="1" ref="R35" ca="1">IF($B35="", "", INDEX('Hulp (CAO''s)'!W$3:W$6, MATCH(TRUE, 'Hulp (CAO''s)'!$D$3:$D$6, 0)))</f>
        <v/>
      </c>
      <c r="S35" s="10" t="str">
        <f t="array" aca="1" ref="S35" ca="1">IF($B35="", "", INDEX('Hulp (CAO''s)'!X$3:X$6, MATCH(TRUE, 'Hulp (CAO''s)'!$D$3:$D$6, 0)))</f>
        <v/>
      </c>
      <c r="T35" s="11" t="str">
        <f t="array" aca="1" ref="T35" ca="1">IF($B35="", "", INDEX('Hulp (CAO''s)'!Y$3:Y$6, MATCH(TRUE, 'Hulp (CAO''s)'!$D$3:$D$6, 0)))</f>
        <v/>
      </c>
      <c r="V35" s="25" t="s">
        <v>32</v>
      </c>
      <c r="W35" s="5"/>
    </row>
    <row r="36" spans="2:24" x14ac:dyDescent="0.5">
      <c r="D36" s="23" t="s">
        <v>770</v>
      </c>
      <c r="E36" s="92">
        <v>0.96</v>
      </c>
      <c r="F36" s="92">
        <v>0.9</v>
      </c>
      <c r="G36" s="92">
        <v>0.9</v>
      </c>
      <c r="H36" s="92">
        <v>0.7</v>
      </c>
      <c r="I36" s="92">
        <v>0.8</v>
      </c>
      <c r="J36" s="92">
        <v>0.9</v>
      </c>
      <c r="K36" s="92">
        <v>0.9</v>
      </c>
      <c r="L36" s="92">
        <v>0.9</v>
      </c>
      <c r="M36" s="92">
        <v>0.9</v>
      </c>
      <c r="N36" s="92">
        <v>0.8</v>
      </c>
      <c r="O36" s="92">
        <v>0.95</v>
      </c>
      <c r="P36" s="92">
        <v>0.93</v>
      </c>
      <c r="Q36" s="92">
        <v>0.93</v>
      </c>
      <c r="R36" s="92">
        <v>0.95</v>
      </c>
      <c r="S36" s="92">
        <v>0.92</v>
      </c>
      <c r="T36" s="93">
        <v>0.95</v>
      </c>
      <c r="V36" s="52">
        <v>4300</v>
      </c>
      <c r="X36" s="60" t="s">
        <v>747</v>
      </c>
    </row>
    <row r="37" spans="2:24" ht="14.65" thickBot="1" x14ac:dyDescent="0.5">
      <c r="B37"/>
      <c r="D37" s="40" t="str">
        <f>IFERROR(
   INDEX('Hulp (CAO''s)'!$I$3:$I$6, MATCH(TRUE, 'Hulp (CAO''s)'!$D$3:$D$6, 0)),
"")</f>
        <v>Bruto maandsalaris</v>
      </c>
      <c r="E37" s="86" t="str">
        <f ca="1">IF(
    OR(E35="",E36=""),
    "",
    MAX(
    INDIRECT("'" &amp; INDEX('Hulp (CAO''s)'!$C$3:$C$6,
        MATCH(TRUE,'Hulp (CAO''s)'!$D$3:$D$6,0)) &amp; "'!" &amp;
        INDEX('Hulp (CAO''s)'!$H$3:$H$6,
            MATCH(TRUE,'Hulp (CAO''s)'!$D$3:$D$6,0))
        &amp;
        MATCH(E35, INDIRECT("'" &amp; INDEX('Hulp (CAO''s)'!$C$3:$C$6,
            MATCH(TRUE,'Hulp (CAO''s)'!$D$3:$D$6,0)) &amp; "'!A:A"),0)
        &amp; ":H" &amp;
        IF(F35&lt;&gt;"",
            MATCH(F35, INDIRECT("'" &amp; INDEX('Hulp (CAO''s)'!$C$3:$C$6,
                MATCH(TRUE,'Hulp (CAO''s)'!$D$3:$D$6,0)) &amp; "'!A:A"),0)-1,
            1000
        )
    )
) * E36
)</f>
        <v/>
      </c>
      <c r="F37" s="86" t="str">
        <f ca="1">IF(
    OR(F35="",F36=""),
    "",
    MAX(
    INDIRECT("'" &amp; INDEX('Hulp (CAO''s)'!$C$3:$C$6,
        MATCH(TRUE,'Hulp (CAO''s)'!$D$3:$D$6,0)) &amp; "'!" &amp;
        INDEX('Hulp (CAO''s)'!$H$3:$H$6,
            MATCH(TRUE,'Hulp (CAO''s)'!$D$3:$D$6,0))
        &amp;
        MATCH(F35, INDIRECT("'" &amp; INDEX('Hulp (CAO''s)'!$C$3:$C$6,
            MATCH(TRUE,'Hulp (CAO''s)'!$D$3:$D$6,0)) &amp; "'!A:A"),0)
        &amp; ":H" &amp;
        IF(G35&lt;&gt;"",
            MATCH(G35, INDIRECT("'" &amp; INDEX('Hulp (CAO''s)'!$C$3:$C$6,
                MATCH(TRUE,'Hulp (CAO''s)'!$D$3:$D$6,0)) &amp; "'!A:A"),0)-1,
            1000
        )
    )
) * F36
)</f>
        <v/>
      </c>
      <c r="G37" s="86" t="str">
        <f ca="1">IF(
    OR(G35="",G36=""),
    "",
    MAX(
    INDIRECT("'" &amp; INDEX('Hulp (CAO''s)'!$C$3:$C$6,
        MATCH(TRUE,'Hulp (CAO''s)'!$D$3:$D$6,0)) &amp; "'!" &amp;
        INDEX('Hulp (CAO''s)'!$H$3:$H$6,
            MATCH(TRUE,'Hulp (CAO''s)'!$D$3:$D$6,0))
        &amp;
        MATCH(G35, INDIRECT("'" &amp; INDEX('Hulp (CAO''s)'!$C$3:$C$6,
            MATCH(TRUE,'Hulp (CAO''s)'!$D$3:$D$6,0)) &amp; "'!A:A"),0)
        &amp; ":H" &amp;
        IF(H35&lt;&gt;"",
            MATCH(H35, INDIRECT("'" &amp; INDEX('Hulp (CAO''s)'!$C$3:$C$6,
                MATCH(TRUE,'Hulp (CAO''s)'!$D$3:$D$6,0)) &amp; "'!A:A"),0)-1,
            1000
        )
    )
) * G36
)</f>
        <v/>
      </c>
      <c r="H37" s="86" t="str">
        <f ca="1">IF(
    OR(H35="",H36=""),
    "",
    MAX(
    INDIRECT("'" &amp; INDEX('Hulp (CAO''s)'!$C$3:$C$6,
        MATCH(TRUE,'Hulp (CAO''s)'!$D$3:$D$6,0)) &amp; "'!" &amp;
        INDEX('Hulp (CAO''s)'!$H$3:$H$6,
            MATCH(TRUE,'Hulp (CAO''s)'!$D$3:$D$6,0))
        &amp;
        MATCH(H35, INDIRECT("'" &amp; INDEX('Hulp (CAO''s)'!$C$3:$C$6,
            MATCH(TRUE,'Hulp (CAO''s)'!$D$3:$D$6,0)) &amp; "'!A:A"),0)
        &amp; ":H" &amp;
        IF(I35&lt;&gt;"",
            MATCH(I35, INDIRECT("'" &amp; INDEX('Hulp (CAO''s)'!$C$3:$C$6,
                MATCH(TRUE,'Hulp (CAO''s)'!$D$3:$D$6,0)) &amp; "'!A:A"),0)-1,
            1000
        )
    )
) * H36
)</f>
        <v/>
      </c>
      <c r="I37" s="86" t="str">
        <f ca="1">IF(
    OR(I35="",I36=""),
    "",
    MAX(
    INDIRECT("'" &amp; INDEX('Hulp (CAO''s)'!$C$3:$C$6,
        MATCH(TRUE,'Hulp (CAO''s)'!$D$3:$D$6,0)) &amp; "'!" &amp;
        INDEX('Hulp (CAO''s)'!$H$3:$H$6,
            MATCH(TRUE,'Hulp (CAO''s)'!$D$3:$D$6,0))
        &amp;
        MATCH(I35, INDIRECT("'" &amp; INDEX('Hulp (CAO''s)'!$C$3:$C$6,
            MATCH(TRUE,'Hulp (CAO''s)'!$D$3:$D$6,0)) &amp; "'!A:A"),0)
        &amp; ":H" &amp;
        IF(J35&lt;&gt;"",
            MATCH(J35, INDIRECT("'" &amp; INDEX('Hulp (CAO''s)'!$C$3:$C$6,
                MATCH(TRUE,'Hulp (CAO''s)'!$D$3:$D$6,0)) &amp; "'!A:A"),0)-1,
            1000
        )
    )
) * I36
)</f>
        <v/>
      </c>
      <c r="J37" s="86" t="str">
        <f ca="1">IF(
    OR(J35="",J36=""),
    "",
    MAX(
    INDIRECT("'" &amp; INDEX('Hulp (CAO''s)'!$C$3:$C$6,
        MATCH(TRUE,'Hulp (CAO''s)'!$D$3:$D$6,0)) &amp; "'!" &amp;
        INDEX('Hulp (CAO''s)'!$H$3:$H$6,
            MATCH(TRUE,'Hulp (CAO''s)'!$D$3:$D$6,0))
        &amp;
        MATCH(J35, INDIRECT("'" &amp; INDEX('Hulp (CAO''s)'!$C$3:$C$6,
            MATCH(TRUE,'Hulp (CAO''s)'!$D$3:$D$6,0)) &amp; "'!A:A"),0)
        &amp; ":H" &amp;
        IF(K35&lt;&gt;"",
            MATCH(K35, INDIRECT("'" &amp; INDEX('Hulp (CAO''s)'!$C$3:$C$6,
                MATCH(TRUE,'Hulp (CAO''s)'!$D$3:$D$6,0)) &amp; "'!A:A"),0)-1,
            1000
        )
    )
) * J36
)</f>
        <v/>
      </c>
      <c r="K37" s="86" t="str">
        <f ca="1">IF(
    OR(K35="",K36=""),
    "",
    MAX(
    INDIRECT("'" &amp; INDEX('Hulp (CAO''s)'!$C$3:$C$6,
        MATCH(TRUE,'Hulp (CAO''s)'!$D$3:$D$6,0)) &amp; "'!" &amp;
        INDEX('Hulp (CAO''s)'!$H$3:$H$6,
            MATCH(TRUE,'Hulp (CAO''s)'!$D$3:$D$6,0))
        &amp;
        MATCH(K35, INDIRECT("'" &amp; INDEX('Hulp (CAO''s)'!$C$3:$C$6,
            MATCH(TRUE,'Hulp (CAO''s)'!$D$3:$D$6,0)) &amp; "'!A:A"),0)
        &amp; ":H" &amp;
        IF(L35&lt;&gt;"",
            MATCH(L35, INDIRECT("'" &amp; INDEX('Hulp (CAO''s)'!$C$3:$C$6,
                MATCH(TRUE,'Hulp (CAO''s)'!$D$3:$D$6,0)) &amp; "'!A:A"),0)-1,
            1000
        )
    )
) * K36
)</f>
        <v/>
      </c>
      <c r="L37" s="86" t="str">
        <f ca="1">IF(
    OR(L35="",L36=""),
    "",
    MAX(
    INDIRECT("'" &amp; INDEX('Hulp (CAO''s)'!$C$3:$C$6,
        MATCH(TRUE,'Hulp (CAO''s)'!$D$3:$D$6,0)) &amp; "'!" &amp;
        INDEX('Hulp (CAO''s)'!$H$3:$H$6,
            MATCH(TRUE,'Hulp (CAO''s)'!$D$3:$D$6,0))
        &amp;
        MATCH(L35, INDIRECT("'" &amp; INDEX('Hulp (CAO''s)'!$C$3:$C$6,
            MATCH(TRUE,'Hulp (CAO''s)'!$D$3:$D$6,0)) &amp; "'!A:A"),0)
        &amp; ":H" &amp;
        IF(M35&lt;&gt;"",
            MATCH(M35, INDIRECT("'" &amp; INDEX('Hulp (CAO''s)'!$C$3:$C$6,
                MATCH(TRUE,'Hulp (CAO''s)'!$D$3:$D$6,0)) &amp; "'!A:A"),0)-1,
            1000
        )
    )
) * L36
)</f>
        <v/>
      </c>
      <c r="M37" s="86" t="str">
        <f ca="1">IF(
    OR(M35="",M36=""),
    "",
    MAX(
    INDIRECT("'" &amp; INDEX('Hulp (CAO''s)'!$C$3:$C$6,
        MATCH(TRUE,'Hulp (CAO''s)'!$D$3:$D$6,0)) &amp; "'!" &amp;
        INDEX('Hulp (CAO''s)'!$H$3:$H$6,
            MATCH(TRUE,'Hulp (CAO''s)'!$D$3:$D$6,0))
        &amp;
        MATCH(M35, INDIRECT("'" &amp; INDEX('Hulp (CAO''s)'!$C$3:$C$6,
            MATCH(TRUE,'Hulp (CAO''s)'!$D$3:$D$6,0)) &amp; "'!A:A"),0)
        &amp; ":H" &amp;
        IF(N35&lt;&gt;"",
            MATCH(N35, INDIRECT("'" &amp; INDEX('Hulp (CAO''s)'!$C$3:$C$6,
                MATCH(TRUE,'Hulp (CAO''s)'!$D$3:$D$6,0)) &amp; "'!A:A"),0)-1,
            1000
        )
    )
) * M36
)</f>
        <v/>
      </c>
      <c r="N37" s="86" t="str">
        <f ca="1">IF(
    OR(N35="",N36=""),
    "",
    MAX(
    INDIRECT("'" &amp; INDEX('Hulp (CAO''s)'!$C$3:$C$6,
        MATCH(TRUE,'Hulp (CAO''s)'!$D$3:$D$6,0)) &amp; "'!" &amp;
        INDEX('Hulp (CAO''s)'!$H$3:$H$6,
            MATCH(TRUE,'Hulp (CAO''s)'!$D$3:$D$6,0))
        &amp;
        MATCH(N35, INDIRECT("'" &amp; INDEX('Hulp (CAO''s)'!$C$3:$C$6,
            MATCH(TRUE,'Hulp (CAO''s)'!$D$3:$D$6,0)) &amp; "'!A:A"),0)
        &amp; ":H" &amp;
        IF(O35&lt;&gt;"",
            MATCH(O35, INDIRECT("'" &amp; INDEX('Hulp (CAO''s)'!$C$3:$C$6,
                MATCH(TRUE,'Hulp (CAO''s)'!$D$3:$D$6,0)) &amp; "'!A:A"),0)-1,
            1000
        )
    )
) * N36
)</f>
        <v/>
      </c>
      <c r="O37" s="86" t="str">
        <f ca="1">IF(
    OR(O35="",O36=""),
    "",
    MAX(
    INDIRECT("'" &amp; INDEX('Hulp (CAO''s)'!$C$3:$C$6,
        MATCH(TRUE,'Hulp (CAO''s)'!$D$3:$D$6,0)) &amp; "'!" &amp;
        INDEX('Hulp (CAO''s)'!$H$3:$H$6,
            MATCH(TRUE,'Hulp (CAO''s)'!$D$3:$D$6,0))
        &amp;
        MATCH(O35, INDIRECT("'" &amp; INDEX('Hulp (CAO''s)'!$C$3:$C$6,
            MATCH(TRUE,'Hulp (CAO''s)'!$D$3:$D$6,0)) &amp; "'!A:A"),0)
        &amp; ":H" &amp;
        IF(P35&lt;&gt;"",
            MATCH(P35, INDIRECT("'" &amp; INDEX('Hulp (CAO''s)'!$C$3:$C$6,
                MATCH(TRUE,'Hulp (CAO''s)'!$D$3:$D$6,0)) &amp; "'!A:A"),0)-1,
            1000
        )
    )
) * O36
)</f>
        <v/>
      </c>
      <c r="P37" s="86" t="str">
        <f ca="1">IF(
    OR(P35="",P36=""),
    "",
    MAX(
    INDIRECT("'" &amp; INDEX('Hulp (CAO''s)'!$C$3:$C$6,
        MATCH(TRUE,'Hulp (CAO''s)'!$D$3:$D$6,0)) &amp; "'!" &amp;
        INDEX('Hulp (CAO''s)'!$H$3:$H$6,
            MATCH(TRUE,'Hulp (CAO''s)'!$D$3:$D$6,0))
        &amp;
        MATCH(P35, INDIRECT("'" &amp; INDEX('Hulp (CAO''s)'!$C$3:$C$6,
            MATCH(TRUE,'Hulp (CAO''s)'!$D$3:$D$6,0)) &amp; "'!A:A"),0)
        &amp; ":H" &amp;
        IF(Q35&lt;&gt;"",
            MATCH(Q35, INDIRECT("'" &amp; INDEX('Hulp (CAO''s)'!$C$3:$C$6,
                MATCH(TRUE,'Hulp (CAO''s)'!$D$3:$D$6,0)) &amp; "'!A:A"),0)-1,
            1000
        )
    )
) * P36
)</f>
        <v/>
      </c>
      <c r="Q37" s="86" t="str">
        <f ca="1">IF(
    OR(Q35="",Q36=""),
    "",
    MAX(
    INDIRECT("'" &amp; INDEX('Hulp (CAO''s)'!$C$3:$C$6,
        MATCH(TRUE,'Hulp (CAO''s)'!$D$3:$D$6,0)) &amp; "'!" &amp;
        INDEX('Hulp (CAO''s)'!$H$3:$H$6,
            MATCH(TRUE,'Hulp (CAO''s)'!$D$3:$D$6,0))
        &amp;
        MATCH(Q35, INDIRECT("'" &amp; INDEX('Hulp (CAO''s)'!$C$3:$C$6,
            MATCH(TRUE,'Hulp (CAO''s)'!$D$3:$D$6,0)) &amp; "'!A:A"),0)
        &amp; ":H" &amp;
        IF(R35&lt;&gt;"",
            MATCH(R35, INDIRECT("'" &amp; INDEX('Hulp (CAO''s)'!$C$3:$C$6,
                MATCH(TRUE,'Hulp (CAO''s)'!$D$3:$D$6,0)) &amp; "'!A:A"),0)-1,
            1000
        )
    )
) * Q36
)</f>
        <v/>
      </c>
      <c r="R37" s="86" t="str">
        <f ca="1">IF(
    OR(R35="",R36=""),
    "",
    MAX(
    INDIRECT("'" &amp; INDEX('Hulp (CAO''s)'!$C$3:$C$6,
        MATCH(TRUE,'Hulp (CAO''s)'!$D$3:$D$6,0)) &amp; "'!" &amp;
        INDEX('Hulp (CAO''s)'!$H$3:$H$6,
            MATCH(TRUE,'Hulp (CAO''s)'!$D$3:$D$6,0))
        &amp;
        MATCH(R35, INDIRECT("'" &amp; INDEX('Hulp (CAO''s)'!$C$3:$C$6,
            MATCH(TRUE,'Hulp (CAO''s)'!$D$3:$D$6,0)) &amp; "'!A:A"),0)
        &amp; ":H" &amp;
        IF(S35&lt;&gt;"",
            MATCH(S35, INDIRECT("'" &amp; INDEX('Hulp (CAO''s)'!$C$3:$C$6,
                MATCH(TRUE,'Hulp (CAO''s)'!$D$3:$D$6,0)) &amp; "'!A:A"),0)-1,
            1000
        )
    )
) * R36
)</f>
        <v/>
      </c>
      <c r="S37" s="86" t="str">
        <f ca="1">IF(
    OR(S35="",S36=""),
    "",
    MAX(
    INDIRECT("'" &amp; INDEX('Hulp (CAO''s)'!$C$3:$C$6,
        MATCH(TRUE,'Hulp (CAO''s)'!$D$3:$D$6,0)) &amp; "'!" &amp;
        INDEX('Hulp (CAO''s)'!$H$3:$H$6,
            MATCH(TRUE,'Hulp (CAO''s)'!$D$3:$D$6,0))
        &amp;
        MATCH(S35, INDIRECT("'" &amp; INDEX('Hulp (CAO''s)'!$C$3:$C$6,
            MATCH(TRUE,'Hulp (CAO''s)'!$D$3:$D$6,0)) &amp; "'!A:A"),0)
        &amp; ":H" &amp;
        IF(T35&lt;&gt;"",
            MATCH(T35, INDIRECT("'" &amp; INDEX('Hulp (CAO''s)'!$C$3:$C$6,
                MATCH(TRUE,'Hulp (CAO''s)'!$D$3:$D$6,0)) &amp; "'!A:A"),0)-1,
            1000
        )
    )
) * S36
)</f>
        <v/>
      </c>
      <c r="T37" s="39" t="str">
        <f ca="1">IF(
    OR(T35="",T36=""),
    "",
    MAX(
    INDIRECT("'" &amp; INDEX('Hulp (CAO''s)'!$C$3:$C$6,
        MATCH(TRUE,'Hulp (CAO''s)'!$D$3:$D$6,0)) &amp; "'!" &amp;
        INDEX('Hulp (CAO''s)'!$H$3:$H$6,
            MATCH(TRUE,'Hulp (CAO''s)'!$D$3:$D$6,0))
        &amp;
        MATCH(T35, INDIRECT("'" &amp; INDEX('Hulp (CAO''s)'!$C$3:$C$6,
            MATCH(TRUE,'Hulp (CAO''s)'!$D$3:$D$6,0)) &amp; "'!A:A"),0)
        &amp; ":H" &amp;
        IF(U35&lt;&gt;"",
            MATCH(U35, INDIRECT("'" &amp; INDEX('Hulp (CAO''s)'!$C$3:$C$6,
                MATCH(TRUE,'Hulp (CAO''s)'!$D$3:$D$6,0)) &amp; "'!A:A"),0)-1,
            1000
        )
    )
) * T36
)</f>
        <v/>
      </c>
      <c r="V37" s="38" t="str">
        <f t="array" aca="1" ref="V37" ca="1">IF(
   SUM(E37:T37)=0,
   "",
   (
      SUMPRODUCT(
         IF(E37:T37="",0,E37:T37),
         IF(E38:T38="",0,E38:T38) * SUM(E38:T38)
      )
   ) *
   IF(
      'Hulp (CAO''s)'!#REF!,
      IF(
         OR(
            INDEX(#REF!, ROW(#REF!) + INT((ROW()-ROW($V$7))/6)*8)="",
            ISNA(INDEX(#REF!, ROW(#REF!) + INT((ROW()-ROW($V$7))/6)*8))
         ),
         1878/12,
         INDEX(#REF!, ROW(#REF!) + INT((ROW()-ROW($V$7))/6)*8)/12
      ),
      1
   )
)</f>
        <v/>
      </c>
    </row>
    <row r="38" spans="2:24" ht="14.65" thickBot="1" x14ac:dyDescent="0.5">
      <c r="B38" s="48" t="s">
        <v>60</v>
      </c>
      <c r="D38" s="24" t="s">
        <v>59</v>
      </c>
      <c r="E38" s="8"/>
      <c r="F38" s="8"/>
      <c r="G38" s="8"/>
      <c r="H38" s="8"/>
      <c r="I38" s="8"/>
      <c r="J38" s="8"/>
      <c r="K38" s="8"/>
      <c r="L38" s="8"/>
      <c r="M38" s="8"/>
      <c r="N38" s="8"/>
      <c r="O38" s="8"/>
      <c r="P38" s="8"/>
      <c r="Q38" s="8"/>
      <c r="R38" s="8"/>
      <c r="S38" s="8"/>
      <c r="T38" s="9"/>
      <c r="U38" s="7"/>
      <c r="V38" s="37" t="str">
        <f ca="1">IF(B35="","",IF(INDIRECT("'Hulp (control forms)'!C" &amp; (13 + INT((ROW()-ROW($B$5))/6))), V36, V37))</f>
        <v/>
      </c>
      <c r="W38" s="7"/>
    </row>
    <row r="39" spans="2:24" x14ac:dyDescent="0.5">
      <c r="S39" s="7" t="str">
        <f>IF($B38="Aandeel in %",
   "Totaal: "&amp;SUM(E38:T38)*100&amp;"%",
   "Totaal: "&amp;SUM(E38:T38)&amp;" uur"
)</f>
        <v>Totaal: 0%</v>
      </c>
      <c r="T39" s="7"/>
    </row>
    <row r="40" spans="2:24" ht="16.149999999999999" thickBot="1" x14ac:dyDescent="0.55000000000000004">
      <c r="B40" s="44" t="str">
        <f ca="1">IF(B41="","",IF(
   OR(
      INDIRECT("'1a. Input organisatieniveau'!N" &amp; (14 + INT((ROW()-4)/6)))="",
      INDIRECT("'1a. Input organisatieniveau'!N" &amp; (14 + INT((ROW()-4)/6)))=0
   ),
   "",
   INDIRECT("'1a. Input organisatieniveau'!N" &amp; (14 + INT((ROW()-4)/6)))
))</f>
        <v/>
      </c>
      <c r="E40" s="61" t="str">
        <f ca="1">IF(AND(AND(E41&lt;&gt;"",E42&lt;&gt;""),E43=""),"!","")</f>
        <v/>
      </c>
      <c r="F40" s="61" t="str">
        <f t="shared" ref="F40:T40" ca="1" si="6">IF(AND(AND(F41&lt;&gt;"",F42&lt;&gt;""),F43=""),"!","")</f>
        <v/>
      </c>
      <c r="G40" s="61" t="str">
        <f t="shared" ca="1" si="6"/>
        <v/>
      </c>
      <c r="H40" s="61" t="str">
        <f t="shared" ca="1" si="6"/>
        <v/>
      </c>
      <c r="I40" s="61" t="str">
        <f t="shared" ca="1" si="6"/>
        <v/>
      </c>
      <c r="J40" s="61" t="str">
        <f t="shared" ca="1" si="6"/>
        <v/>
      </c>
      <c r="K40" s="61" t="str">
        <f t="shared" ca="1" si="6"/>
        <v/>
      </c>
      <c r="L40" s="61" t="str">
        <f t="shared" ca="1" si="6"/>
        <v/>
      </c>
      <c r="M40" s="61" t="str">
        <f t="shared" ca="1" si="6"/>
        <v/>
      </c>
      <c r="N40" s="61" t="str">
        <f t="shared" ca="1" si="6"/>
        <v/>
      </c>
      <c r="O40" s="61" t="str">
        <f t="shared" ca="1" si="6"/>
        <v/>
      </c>
      <c r="P40" s="61" t="str">
        <f t="shared" ca="1" si="6"/>
        <v/>
      </c>
      <c r="Q40" s="61" t="str">
        <f t="shared" ca="1" si="6"/>
        <v/>
      </c>
      <c r="R40" s="61" t="str">
        <f t="shared" ca="1" si="6"/>
        <v/>
      </c>
      <c r="S40" s="61" t="str">
        <f t="shared" ca="1" si="6"/>
        <v/>
      </c>
      <c r="T40" s="61" t="str">
        <f t="shared" ca="1" si="6"/>
        <v/>
      </c>
    </row>
    <row r="41" spans="2:24" ht="16.149999999999999" thickBot="1" x14ac:dyDescent="0.55000000000000004">
      <c r="B41" s="45" t="str">
        <f ca="1">IF(
   OR(
      INDIRECT("'1a. Input organisatieniveau'!M" &amp; (14 + INT((ROW()-4)/6)))="",
      INDIRECT("'1a. Input organisatieniveau'!M" &amp; (14 + INT((ROW()-4)/6)))=0
   ),
   "",
   INDIRECT("'1a. Input organisatieniveau'!M" &amp; (14 + INT((ROW()-4)/6)))
)</f>
        <v/>
      </c>
      <c r="D41" s="22" t="s">
        <v>28</v>
      </c>
      <c r="E41" s="10" t="str">
        <f t="array" aca="1" ref="E41" ca="1">IF($B41="", "", INDEX('Hulp (CAO''s)'!J$3:J$6, MATCH(TRUE, 'Hulp (CAO''s)'!$D$3:$D$6, 0)))</f>
        <v/>
      </c>
      <c r="F41" s="10" t="str">
        <f t="array" aca="1" ref="F41" ca="1">IF($B41="", "", INDEX('Hulp (CAO''s)'!K$3:K$6, MATCH(TRUE, 'Hulp (CAO''s)'!$D$3:$D$6, 0)))</f>
        <v/>
      </c>
      <c r="G41" s="10" t="str">
        <f t="array" aca="1" ref="G41" ca="1">IF($B41="", "", INDEX('Hulp (CAO''s)'!L$3:L$6, MATCH(TRUE, 'Hulp (CAO''s)'!$D$3:$D$6, 0)))</f>
        <v/>
      </c>
      <c r="H41" s="10" t="str">
        <f t="array" aca="1" ref="H41" ca="1">IF($B41="", "", INDEX('Hulp (CAO''s)'!M$3:M$6, MATCH(TRUE, 'Hulp (CAO''s)'!$D$3:$D$6, 0)))</f>
        <v/>
      </c>
      <c r="I41" s="10" t="str">
        <f t="array" aca="1" ref="I41" ca="1">IF($B41="", "", INDEX('Hulp (CAO''s)'!N$3:N$6, MATCH(TRUE, 'Hulp (CAO''s)'!$D$3:$D$6, 0)))</f>
        <v/>
      </c>
      <c r="J41" s="10" t="str">
        <f t="array" aca="1" ref="J41" ca="1">IF($B41="", "", INDEX('Hulp (CAO''s)'!O$3:O$6, MATCH(TRUE, 'Hulp (CAO''s)'!$D$3:$D$6, 0)))</f>
        <v/>
      </c>
      <c r="K41" s="10" t="str">
        <f t="array" aca="1" ref="K41" ca="1">IF($B41="", "", INDEX('Hulp (CAO''s)'!P$3:P$6, MATCH(TRUE, 'Hulp (CAO''s)'!$D$3:$D$6, 0)))</f>
        <v/>
      </c>
      <c r="L41" s="10" t="str">
        <f t="array" aca="1" ref="L41" ca="1">IF($B41="", "", INDEX('Hulp (CAO''s)'!Q$3:Q$6, MATCH(TRUE, 'Hulp (CAO''s)'!$D$3:$D$6, 0)))</f>
        <v/>
      </c>
      <c r="M41" s="10" t="str">
        <f t="array" aca="1" ref="M41" ca="1">IF($B41="", "", INDEX('Hulp (CAO''s)'!R$3:R$6, MATCH(TRUE, 'Hulp (CAO''s)'!$D$3:$D$6, 0)))</f>
        <v/>
      </c>
      <c r="N41" s="10" t="str">
        <f t="array" aca="1" ref="N41" ca="1">IF($B41="", "", INDEX('Hulp (CAO''s)'!S$3:S$6, MATCH(TRUE, 'Hulp (CAO''s)'!$D$3:$D$6, 0)))</f>
        <v/>
      </c>
      <c r="O41" s="10" t="str">
        <f t="array" aca="1" ref="O41" ca="1">IF($B41="", "", INDEX('Hulp (CAO''s)'!T$3:T$6, MATCH(TRUE, 'Hulp (CAO''s)'!$D$3:$D$6, 0)))</f>
        <v/>
      </c>
      <c r="P41" s="10" t="str">
        <f t="array" aca="1" ref="P41" ca="1">IF($B41="", "", INDEX('Hulp (CAO''s)'!U$3:U$6, MATCH(TRUE, 'Hulp (CAO''s)'!$D$3:$D$6, 0)))</f>
        <v/>
      </c>
      <c r="Q41" s="10" t="str">
        <f t="array" aca="1" ref="Q41" ca="1">IF($B41="", "", INDEX('Hulp (CAO''s)'!V$3:V$6, MATCH(TRUE, 'Hulp (CAO''s)'!$D$3:$D$6, 0)))</f>
        <v/>
      </c>
      <c r="R41" s="10" t="str">
        <f t="array" aca="1" ref="R41" ca="1">IF($B41="", "", INDEX('Hulp (CAO''s)'!W$3:W$6, MATCH(TRUE, 'Hulp (CAO''s)'!$D$3:$D$6, 0)))</f>
        <v/>
      </c>
      <c r="S41" s="10" t="str">
        <f t="array" aca="1" ref="S41" ca="1">IF($B41="", "", INDEX('Hulp (CAO''s)'!X$3:X$6, MATCH(TRUE, 'Hulp (CAO''s)'!$D$3:$D$6, 0)))</f>
        <v/>
      </c>
      <c r="T41" s="11" t="str">
        <f t="array" aca="1" ref="T41" ca="1">IF($B41="", "", INDEX('Hulp (CAO''s)'!Y$3:Y$6, MATCH(TRUE, 'Hulp (CAO''s)'!$D$3:$D$6, 0)))</f>
        <v/>
      </c>
      <c r="V41" s="25" t="s">
        <v>32</v>
      </c>
      <c r="W41" s="5"/>
    </row>
    <row r="42" spans="2:24" x14ac:dyDescent="0.5">
      <c r="D42" s="23" t="s">
        <v>770</v>
      </c>
      <c r="E42" s="92">
        <v>0.96</v>
      </c>
      <c r="F42" s="92">
        <v>0.9</v>
      </c>
      <c r="G42" s="92">
        <v>0.9</v>
      </c>
      <c r="H42" s="92">
        <v>0.7</v>
      </c>
      <c r="I42" s="92">
        <v>0.8</v>
      </c>
      <c r="J42" s="92">
        <v>0.9</v>
      </c>
      <c r="K42" s="92">
        <v>0.9</v>
      </c>
      <c r="L42" s="92">
        <v>0.9</v>
      </c>
      <c r="M42" s="92">
        <v>0.9</v>
      </c>
      <c r="N42" s="92">
        <v>0.8</v>
      </c>
      <c r="O42" s="92">
        <v>0.95</v>
      </c>
      <c r="P42" s="92">
        <v>0.93</v>
      </c>
      <c r="Q42" s="92">
        <v>0.93</v>
      </c>
      <c r="R42" s="92">
        <v>0.95</v>
      </c>
      <c r="S42" s="92">
        <v>0.92</v>
      </c>
      <c r="T42" s="93">
        <v>0.95</v>
      </c>
      <c r="V42" s="52">
        <v>4300</v>
      </c>
      <c r="X42" s="60" t="s">
        <v>747</v>
      </c>
    </row>
    <row r="43" spans="2:24" ht="14.65" thickBot="1" x14ac:dyDescent="0.5">
      <c r="B43"/>
      <c r="D43" s="40" t="str">
        <f>IFERROR(
   INDEX('Hulp (CAO''s)'!$I$3:$I$6, MATCH(TRUE, 'Hulp (CAO''s)'!$D$3:$D$6, 0)),
"")</f>
        <v>Bruto maandsalaris</v>
      </c>
      <c r="E43" s="86" t="str">
        <f ca="1">IF(
    OR(E41="",E42=""),
    "",
    MAX(
    INDIRECT("'" &amp; INDEX('Hulp (CAO''s)'!$C$3:$C$6,
        MATCH(TRUE,'Hulp (CAO''s)'!$D$3:$D$6,0)) &amp; "'!" &amp;
        INDEX('Hulp (CAO''s)'!$H$3:$H$6,
            MATCH(TRUE,'Hulp (CAO''s)'!$D$3:$D$6,0))
        &amp;
        MATCH(E41, INDIRECT("'" &amp; INDEX('Hulp (CAO''s)'!$C$3:$C$6,
            MATCH(TRUE,'Hulp (CAO''s)'!$D$3:$D$6,0)) &amp; "'!A:A"),0)
        &amp; ":H" &amp;
        IF(F41&lt;&gt;"",
            MATCH(F41, INDIRECT("'" &amp; INDEX('Hulp (CAO''s)'!$C$3:$C$6,
                MATCH(TRUE,'Hulp (CAO''s)'!$D$3:$D$6,0)) &amp; "'!A:A"),0)-1,
            1000
        )
    )
) * E42
)</f>
        <v/>
      </c>
      <c r="F43" s="86" t="str">
        <f ca="1">IF(
    OR(F41="",F42=""),
    "",
    MAX(
    INDIRECT("'" &amp; INDEX('Hulp (CAO''s)'!$C$3:$C$6,
        MATCH(TRUE,'Hulp (CAO''s)'!$D$3:$D$6,0)) &amp; "'!" &amp;
        INDEX('Hulp (CAO''s)'!$H$3:$H$6,
            MATCH(TRUE,'Hulp (CAO''s)'!$D$3:$D$6,0))
        &amp;
        MATCH(F41, INDIRECT("'" &amp; INDEX('Hulp (CAO''s)'!$C$3:$C$6,
            MATCH(TRUE,'Hulp (CAO''s)'!$D$3:$D$6,0)) &amp; "'!A:A"),0)
        &amp; ":H" &amp;
        IF(G41&lt;&gt;"",
            MATCH(G41, INDIRECT("'" &amp; INDEX('Hulp (CAO''s)'!$C$3:$C$6,
                MATCH(TRUE,'Hulp (CAO''s)'!$D$3:$D$6,0)) &amp; "'!A:A"),0)-1,
            1000
        )
    )
) * F42
)</f>
        <v/>
      </c>
      <c r="G43" s="86" t="str">
        <f ca="1">IF(
    OR(G41="",G42=""),
    "",
    MAX(
    INDIRECT("'" &amp; INDEX('Hulp (CAO''s)'!$C$3:$C$6,
        MATCH(TRUE,'Hulp (CAO''s)'!$D$3:$D$6,0)) &amp; "'!" &amp;
        INDEX('Hulp (CAO''s)'!$H$3:$H$6,
            MATCH(TRUE,'Hulp (CAO''s)'!$D$3:$D$6,0))
        &amp;
        MATCH(G41, INDIRECT("'" &amp; INDEX('Hulp (CAO''s)'!$C$3:$C$6,
            MATCH(TRUE,'Hulp (CAO''s)'!$D$3:$D$6,0)) &amp; "'!A:A"),0)
        &amp; ":H" &amp;
        IF(H41&lt;&gt;"",
            MATCH(H41, INDIRECT("'" &amp; INDEX('Hulp (CAO''s)'!$C$3:$C$6,
                MATCH(TRUE,'Hulp (CAO''s)'!$D$3:$D$6,0)) &amp; "'!A:A"),0)-1,
            1000
        )
    )
) * G42
)</f>
        <v/>
      </c>
      <c r="H43" s="86" t="str">
        <f ca="1">IF(
    OR(H41="",H42=""),
    "",
    MAX(
    INDIRECT("'" &amp; INDEX('Hulp (CAO''s)'!$C$3:$C$6,
        MATCH(TRUE,'Hulp (CAO''s)'!$D$3:$D$6,0)) &amp; "'!" &amp;
        INDEX('Hulp (CAO''s)'!$H$3:$H$6,
            MATCH(TRUE,'Hulp (CAO''s)'!$D$3:$D$6,0))
        &amp;
        MATCH(H41, INDIRECT("'" &amp; INDEX('Hulp (CAO''s)'!$C$3:$C$6,
            MATCH(TRUE,'Hulp (CAO''s)'!$D$3:$D$6,0)) &amp; "'!A:A"),0)
        &amp; ":H" &amp;
        IF(I41&lt;&gt;"",
            MATCH(I41, INDIRECT("'" &amp; INDEX('Hulp (CAO''s)'!$C$3:$C$6,
                MATCH(TRUE,'Hulp (CAO''s)'!$D$3:$D$6,0)) &amp; "'!A:A"),0)-1,
            1000
        )
    )
) * H42
)</f>
        <v/>
      </c>
      <c r="I43" s="86" t="str">
        <f ca="1">IF(
    OR(I41="",I42=""),
    "",
    MAX(
    INDIRECT("'" &amp; INDEX('Hulp (CAO''s)'!$C$3:$C$6,
        MATCH(TRUE,'Hulp (CAO''s)'!$D$3:$D$6,0)) &amp; "'!" &amp;
        INDEX('Hulp (CAO''s)'!$H$3:$H$6,
            MATCH(TRUE,'Hulp (CAO''s)'!$D$3:$D$6,0))
        &amp;
        MATCH(I41, INDIRECT("'" &amp; INDEX('Hulp (CAO''s)'!$C$3:$C$6,
            MATCH(TRUE,'Hulp (CAO''s)'!$D$3:$D$6,0)) &amp; "'!A:A"),0)
        &amp; ":H" &amp;
        IF(J41&lt;&gt;"",
            MATCH(J41, INDIRECT("'" &amp; INDEX('Hulp (CAO''s)'!$C$3:$C$6,
                MATCH(TRUE,'Hulp (CAO''s)'!$D$3:$D$6,0)) &amp; "'!A:A"),0)-1,
            1000
        )
    )
) * I42
)</f>
        <v/>
      </c>
      <c r="J43" s="86" t="str">
        <f ca="1">IF(
    OR(J41="",J42=""),
    "",
    MAX(
    INDIRECT("'" &amp; INDEX('Hulp (CAO''s)'!$C$3:$C$6,
        MATCH(TRUE,'Hulp (CAO''s)'!$D$3:$D$6,0)) &amp; "'!" &amp;
        INDEX('Hulp (CAO''s)'!$H$3:$H$6,
            MATCH(TRUE,'Hulp (CAO''s)'!$D$3:$D$6,0))
        &amp;
        MATCH(J41, INDIRECT("'" &amp; INDEX('Hulp (CAO''s)'!$C$3:$C$6,
            MATCH(TRUE,'Hulp (CAO''s)'!$D$3:$D$6,0)) &amp; "'!A:A"),0)
        &amp; ":H" &amp;
        IF(K41&lt;&gt;"",
            MATCH(K41, INDIRECT("'" &amp; INDEX('Hulp (CAO''s)'!$C$3:$C$6,
                MATCH(TRUE,'Hulp (CAO''s)'!$D$3:$D$6,0)) &amp; "'!A:A"),0)-1,
            1000
        )
    )
) * J42
)</f>
        <v/>
      </c>
      <c r="K43" s="86" t="str">
        <f ca="1">IF(
    OR(K41="",K42=""),
    "",
    MAX(
    INDIRECT("'" &amp; INDEX('Hulp (CAO''s)'!$C$3:$C$6,
        MATCH(TRUE,'Hulp (CAO''s)'!$D$3:$D$6,0)) &amp; "'!" &amp;
        INDEX('Hulp (CAO''s)'!$H$3:$H$6,
            MATCH(TRUE,'Hulp (CAO''s)'!$D$3:$D$6,0))
        &amp;
        MATCH(K41, INDIRECT("'" &amp; INDEX('Hulp (CAO''s)'!$C$3:$C$6,
            MATCH(TRUE,'Hulp (CAO''s)'!$D$3:$D$6,0)) &amp; "'!A:A"),0)
        &amp; ":H" &amp;
        IF(L41&lt;&gt;"",
            MATCH(L41, INDIRECT("'" &amp; INDEX('Hulp (CAO''s)'!$C$3:$C$6,
                MATCH(TRUE,'Hulp (CAO''s)'!$D$3:$D$6,0)) &amp; "'!A:A"),0)-1,
            1000
        )
    )
) * K42
)</f>
        <v/>
      </c>
      <c r="L43" s="86" t="str">
        <f ca="1">IF(
    OR(L41="",L42=""),
    "",
    MAX(
    INDIRECT("'" &amp; INDEX('Hulp (CAO''s)'!$C$3:$C$6,
        MATCH(TRUE,'Hulp (CAO''s)'!$D$3:$D$6,0)) &amp; "'!" &amp;
        INDEX('Hulp (CAO''s)'!$H$3:$H$6,
            MATCH(TRUE,'Hulp (CAO''s)'!$D$3:$D$6,0))
        &amp;
        MATCH(L41, INDIRECT("'" &amp; INDEX('Hulp (CAO''s)'!$C$3:$C$6,
            MATCH(TRUE,'Hulp (CAO''s)'!$D$3:$D$6,0)) &amp; "'!A:A"),0)
        &amp; ":H" &amp;
        IF(M41&lt;&gt;"",
            MATCH(M41, INDIRECT("'" &amp; INDEX('Hulp (CAO''s)'!$C$3:$C$6,
                MATCH(TRUE,'Hulp (CAO''s)'!$D$3:$D$6,0)) &amp; "'!A:A"),0)-1,
            1000
        )
    )
) * L42
)</f>
        <v/>
      </c>
      <c r="M43" s="86" t="str">
        <f ca="1">IF(
    OR(M41="",M42=""),
    "",
    MAX(
    INDIRECT("'" &amp; INDEX('Hulp (CAO''s)'!$C$3:$C$6,
        MATCH(TRUE,'Hulp (CAO''s)'!$D$3:$D$6,0)) &amp; "'!" &amp;
        INDEX('Hulp (CAO''s)'!$H$3:$H$6,
            MATCH(TRUE,'Hulp (CAO''s)'!$D$3:$D$6,0))
        &amp;
        MATCH(M41, INDIRECT("'" &amp; INDEX('Hulp (CAO''s)'!$C$3:$C$6,
            MATCH(TRUE,'Hulp (CAO''s)'!$D$3:$D$6,0)) &amp; "'!A:A"),0)
        &amp; ":H" &amp;
        IF(N41&lt;&gt;"",
            MATCH(N41, INDIRECT("'" &amp; INDEX('Hulp (CAO''s)'!$C$3:$C$6,
                MATCH(TRUE,'Hulp (CAO''s)'!$D$3:$D$6,0)) &amp; "'!A:A"),0)-1,
            1000
        )
    )
) * M42
)</f>
        <v/>
      </c>
      <c r="N43" s="86" t="str">
        <f ca="1">IF(
    OR(N41="",N42=""),
    "",
    MAX(
    INDIRECT("'" &amp; INDEX('Hulp (CAO''s)'!$C$3:$C$6,
        MATCH(TRUE,'Hulp (CAO''s)'!$D$3:$D$6,0)) &amp; "'!" &amp;
        INDEX('Hulp (CAO''s)'!$H$3:$H$6,
            MATCH(TRUE,'Hulp (CAO''s)'!$D$3:$D$6,0))
        &amp;
        MATCH(N41, INDIRECT("'" &amp; INDEX('Hulp (CAO''s)'!$C$3:$C$6,
            MATCH(TRUE,'Hulp (CAO''s)'!$D$3:$D$6,0)) &amp; "'!A:A"),0)
        &amp; ":H" &amp;
        IF(O41&lt;&gt;"",
            MATCH(O41, INDIRECT("'" &amp; INDEX('Hulp (CAO''s)'!$C$3:$C$6,
                MATCH(TRUE,'Hulp (CAO''s)'!$D$3:$D$6,0)) &amp; "'!A:A"),0)-1,
            1000
        )
    )
) * N42
)</f>
        <v/>
      </c>
      <c r="O43" s="86" t="str">
        <f ca="1">IF(
    OR(O41="",O42=""),
    "",
    MAX(
    INDIRECT("'" &amp; INDEX('Hulp (CAO''s)'!$C$3:$C$6,
        MATCH(TRUE,'Hulp (CAO''s)'!$D$3:$D$6,0)) &amp; "'!" &amp;
        INDEX('Hulp (CAO''s)'!$H$3:$H$6,
            MATCH(TRUE,'Hulp (CAO''s)'!$D$3:$D$6,0))
        &amp;
        MATCH(O41, INDIRECT("'" &amp; INDEX('Hulp (CAO''s)'!$C$3:$C$6,
            MATCH(TRUE,'Hulp (CAO''s)'!$D$3:$D$6,0)) &amp; "'!A:A"),0)
        &amp; ":H" &amp;
        IF(P41&lt;&gt;"",
            MATCH(P41, INDIRECT("'" &amp; INDEX('Hulp (CAO''s)'!$C$3:$C$6,
                MATCH(TRUE,'Hulp (CAO''s)'!$D$3:$D$6,0)) &amp; "'!A:A"),0)-1,
            1000
        )
    )
) * O42
)</f>
        <v/>
      </c>
      <c r="P43" s="86" t="str">
        <f ca="1">IF(
    OR(P41="",P42=""),
    "",
    MAX(
    INDIRECT("'" &amp; INDEX('Hulp (CAO''s)'!$C$3:$C$6,
        MATCH(TRUE,'Hulp (CAO''s)'!$D$3:$D$6,0)) &amp; "'!" &amp;
        INDEX('Hulp (CAO''s)'!$H$3:$H$6,
            MATCH(TRUE,'Hulp (CAO''s)'!$D$3:$D$6,0))
        &amp;
        MATCH(P41, INDIRECT("'" &amp; INDEX('Hulp (CAO''s)'!$C$3:$C$6,
            MATCH(TRUE,'Hulp (CAO''s)'!$D$3:$D$6,0)) &amp; "'!A:A"),0)
        &amp; ":H" &amp;
        IF(Q41&lt;&gt;"",
            MATCH(Q41, INDIRECT("'" &amp; INDEX('Hulp (CAO''s)'!$C$3:$C$6,
                MATCH(TRUE,'Hulp (CAO''s)'!$D$3:$D$6,0)) &amp; "'!A:A"),0)-1,
            1000
        )
    )
) * P42
)</f>
        <v/>
      </c>
      <c r="Q43" s="86" t="str">
        <f ca="1">IF(
    OR(Q41="",Q42=""),
    "",
    MAX(
    INDIRECT("'" &amp; INDEX('Hulp (CAO''s)'!$C$3:$C$6,
        MATCH(TRUE,'Hulp (CAO''s)'!$D$3:$D$6,0)) &amp; "'!" &amp;
        INDEX('Hulp (CAO''s)'!$H$3:$H$6,
            MATCH(TRUE,'Hulp (CAO''s)'!$D$3:$D$6,0))
        &amp;
        MATCH(Q41, INDIRECT("'" &amp; INDEX('Hulp (CAO''s)'!$C$3:$C$6,
            MATCH(TRUE,'Hulp (CAO''s)'!$D$3:$D$6,0)) &amp; "'!A:A"),0)
        &amp; ":H" &amp;
        IF(R41&lt;&gt;"",
            MATCH(R41, INDIRECT("'" &amp; INDEX('Hulp (CAO''s)'!$C$3:$C$6,
                MATCH(TRUE,'Hulp (CAO''s)'!$D$3:$D$6,0)) &amp; "'!A:A"),0)-1,
            1000
        )
    )
) * Q42
)</f>
        <v/>
      </c>
      <c r="R43" s="86" t="str">
        <f ca="1">IF(
    OR(R41="",R42=""),
    "",
    MAX(
    INDIRECT("'" &amp; INDEX('Hulp (CAO''s)'!$C$3:$C$6,
        MATCH(TRUE,'Hulp (CAO''s)'!$D$3:$D$6,0)) &amp; "'!" &amp;
        INDEX('Hulp (CAO''s)'!$H$3:$H$6,
            MATCH(TRUE,'Hulp (CAO''s)'!$D$3:$D$6,0))
        &amp;
        MATCH(R41, INDIRECT("'" &amp; INDEX('Hulp (CAO''s)'!$C$3:$C$6,
            MATCH(TRUE,'Hulp (CAO''s)'!$D$3:$D$6,0)) &amp; "'!A:A"),0)
        &amp; ":H" &amp;
        IF(S41&lt;&gt;"",
            MATCH(S41, INDIRECT("'" &amp; INDEX('Hulp (CAO''s)'!$C$3:$C$6,
                MATCH(TRUE,'Hulp (CAO''s)'!$D$3:$D$6,0)) &amp; "'!A:A"),0)-1,
            1000
        )
    )
) * R42
)</f>
        <v/>
      </c>
      <c r="S43" s="86" t="str">
        <f ca="1">IF(
    OR(S41="",S42=""),
    "",
    MAX(
    INDIRECT("'" &amp; INDEX('Hulp (CAO''s)'!$C$3:$C$6,
        MATCH(TRUE,'Hulp (CAO''s)'!$D$3:$D$6,0)) &amp; "'!" &amp;
        INDEX('Hulp (CAO''s)'!$H$3:$H$6,
            MATCH(TRUE,'Hulp (CAO''s)'!$D$3:$D$6,0))
        &amp;
        MATCH(S41, INDIRECT("'" &amp; INDEX('Hulp (CAO''s)'!$C$3:$C$6,
            MATCH(TRUE,'Hulp (CAO''s)'!$D$3:$D$6,0)) &amp; "'!A:A"),0)
        &amp; ":H" &amp;
        IF(T41&lt;&gt;"",
            MATCH(T41, INDIRECT("'" &amp; INDEX('Hulp (CAO''s)'!$C$3:$C$6,
                MATCH(TRUE,'Hulp (CAO''s)'!$D$3:$D$6,0)) &amp; "'!A:A"),0)-1,
            1000
        )
    )
) * S42
)</f>
        <v/>
      </c>
      <c r="T43" s="39" t="str">
        <f ca="1">IF(
    OR(T41="",T42=""),
    "",
    MAX(
    INDIRECT("'" &amp; INDEX('Hulp (CAO''s)'!$C$3:$C$6,
        MATCH(TRUE,'Hulp (CAO''s)'!$D$3:$D$6,0)) &amp; "'!" &amp;
        INDEX('Hulp (CAO''s)'!$H$3:$H$6,
            MATCH(TRUE,'Hulp (CAO''s)'!$D$3:$D$6,0))
        &amp;
        MATCH(T41, INDIRECT("'" &amp; INDEX('Hulp (CAO''s)'!$C$3:$C$6,
            MATCH(TRUE,'Hulp (CAO''s)'!$D$3:$D$6,0)) &amp; "'!A:A"),0)
        &amp; ":H" &amp;
        IF(U41&lt;&gt;"",
            MATCH(U41, INDIRECT("'" &amp; INDEX('Hulp (CAO''s)'!$C$3:$C$6,
                MATCH(TRUE,'Hulp (CAO''s)'!$D$3:$D$6,0)) &amp; "'!A:A"),0)-1,
            1000
        )
    )
) * T42
)</f>
        <v/>
      </c>
      <c r="V43" s="38" t="str">
        <f t="array" aca="1" ref="V43" ca="1">IF(
   SUM(E43:T43)=0,
   "",
   (
      SUMPRODUCT(
         IF(E43:T43="",0,E43:T43),
         IF(E44:T44="",0,E44:T44) * SUM(E44:T44)
      )
   ) *
   IF(
      'Hulp (CAO''s)'!#REF!,
      IF(
         OR(
            INDEX(#REF!, ROW(#REF!) + INT((ROW()-ROW($V$7))/6)*8)="",
            ISNA(INDEX(#REF!, ROW(#REF!) + INT((ROW()-ROW($V$7))/6)*8))
         ),
         1878/12,
         INDEX(#REF!, ROW(#REF!) + INT((ROW()-ROW($V$7))/6)*8)/12
      ),
      1
   )
)</f>
        <v/>
      </c>
    </row>
    <row r="44" spans="2:24" ht="14.65" thickBot="1" x14ac:dyDescent="0.5">
      <c r="B44" s="48" t="s">
        <v>60</v>
      </c>
      <c r="D44" s="24" t="s">
        <v>59</v>
      </c>
      <c r="E44" s="8"/>
      <c r="F44" s="8"/>
      <c r="G44" s="8"/>
      <c r="H44" s="8"/>
      <c r="I44" s="8"/>
      <c r="J44" s="8"/>
      <c r="K44" s="8"/>
      <c r="L44" s="8"/>
      <c r="M44" s="8"/>
      <c r="N44" s="8"/>
      <c r="O44" s="8"/>
      <c r="P44" s="8"/>
      <c r="Q44" s="8"/>
      <c r="R44" s="8"/>
      <c r="S44" s="8"/>
      <c r="T44" s="9"/>
      <c r="U44" s="7"/>
      <c r="V44" s="37" t="str">
        <f ca="1">IF(B41="","",IF(INDIRECT("'Hulp (control forms)'!C" &amp; (13 + INT((ROW()-ROW($B$5))/6))), V42, V43))</f>
        <v/>
      </c>
      <c r="W44" s="7"/>
    </row>
    <row r="45" spans="2:24" x14ac:dyDescent="0.5">
      <c r="S45" s="7" t="str">
        <f>IF($B44="Aandeel in %",
   "Totaal: "&amp;SUM(E44:T44)*100&amp;"%",
   "Totaal: "&amp;SUM(E44:T44)&amp;" uur"
)</f>
        <v>Totaal: 0%</v>
      </c>
      <c r="T45" s="7"/>
    </row>
    <row r="46" spans="2:24" ht="16.149999999999999" thickBot="1" x14ac:dyDescent="0.55000000000000004">
      <c r="B46" s="44" t="str">
        <f ca="1">IF(B47="","",IF(
   OR(
      INDIRECT("'1a. Input organisatieniveau'!N" &amp; (14 + INT((ROW()-4)/6)))="",
      INDIRECT("'1a. Input organisatieniveau'!N" &amp; (14 + INT((ROW()-4)/6)))=0
   ),
   "",
   INDIRECT("'1a. Input organisatieniveau'!N" &amp; (14 + INT((ROW()-4)/6)))
))</f>
        <v/>
      </c>
      <c r="E46" s="61" t="str">
        <f ca="1">IF(AND(AND(E47&lt;&gt;"",E48&lt;&gt;""),E49=""),"!","")</f>
        <v/>
      </c>
      <c r="F46" s="61" t="str">
        <f t="shared" ref="F46:T46" ca="1" si="7">IF(AND(AND(F47&lt;&gt;"",F48&lt;&gt;""),F49=""),"!","")</f>
        <v/>
      </c>
      <c r="G46" s="61" t="str">
        <f t="shared" ca="1" si="7"/>
        <v/>
      </c>
      <c r="H46" s="61" t="str">
        <f t="shared" ca="1" si="7"/>
        <v/>
      </c>
      <c r="I46" s="61" t="str">
        <f t="shared" ca="1" si="7"/>
        <v/>
      </c>
      <c r="J46" s="61" t="str">
        <f t="shared" ca="1" si="7"/>
        <v/>
      </c>
      <c r="K46" s="61" t="str">
        <f t="shared" ca="1" si="7"/>
        <v/>
      </c>
      <c r="L46" s="61" t="str">
        <f t="shared" ca="1" si="7"/>
        <v/>
      </c>
      <c r="M46" s="61" t="str">
        <f t="shared" ca="1" si="7"/>
        <v/>
      </c>
      <c r="N46" s="61" t="str">
        <f t="shared" ca="1" si="7"/>
        <v/>
      </c>
      <c r="O46" s="61" t="str">
        <f t="shared" ca="1" si="7"/>
        <v/>
      </c>
      <c r="P46" s="61" t="str">
        <f t="shared" ca="1" si="7"/>
        <v/>
      </c>
      <c r="Q46" s="61" t="str">
        <f t="shared" ca="1" si="7"/>
        <v/>
      </c>
      <c r="R46" s="61" t="str">
        <f t="shared" ca="1" si="7"/>
        <v/>
      </c>
      <c r="S46" s="61" t="str">
        <f t="shared" ca="1" si="7"/>
        <v/>
      </c>
      <c r="T46" s="61" t="str">
        <f t="shared" ca="1" si="7"/>
        <v/>
      </c>
    </row>
    <row r="47" spans="2:24" ht="16.149999999999999" thickBot="1" x14ac:dyDescent="0.55000000000000004">
      <c r="B47" s="45" t="str">
        <f ca="1">IF(
   OR(
      INDIRECT("'1a. Input organisatieniveau'!M" &amp; (14 + INT((ROW()-4)/6)))="",
      INDIRECT("'1a. Input organisatieniveau'!M" &amp; (14 + INT((ROW()-4)/6)))=0
   ),
   "",
   INDIRECT("'1a. Input organisatieniveau'!M" &amp; (14 + INT((ROW()-4)/6)))
)</f>
        <v/>
      </c>
      <c r="D47" s="22" t="s">
        <v>28</v>
      </c>
      <c r="E47" s="10" t="str">
        <f t="array" aca="1" ref="E47" ca="1">IF($B47="", "", INDEX('Hulp (CAO''s)'!J$3:J$6, MATCH(TRUE, 'Hulp (CAO''s)'!$D$3:$D$6, 0)))</f>
        <v/>
      </c>
      <c r="F47" s="10" t="str">
        <f t="array" aca="1" ref="F47" ca="1">IF($B47="", "", INDEX('Hulp (CAO''s)'!K$3:K$6, MATCH(TRUE, 'Hulp (CAO''s)'!$D$3:$D$6, 0)))</f>
        <v/>
      </c>
      <c r="G47" s="10" t="str">
        <f t="array" aca="1" ref="G47" ca="1">IF($B47="", "", INDEX('Hulp (CAO''s)'!L$3:L$6, MATCH(TRUE, 'Hulp (CAO''s)'!$D$3:$D$6, 0)))</f>
        <v/>
      </c>
      <c r="H47" s="10" t="str">
        <f t="array" aca="1" ref="H47" ca="1">IF($B47="", "", INDEX('Hulp (CAO''s)'!M$3:M$6, MATCH(TRUE, 'Hulp (CAO''s)'!$D$3:$D$6, 0)))</f>
        <v/>
      </c>
      <c r="I47" s="10" t="str">
        <f t="array" aca="1" ref="I47" ca="1">IF($B47="", "", INDEX('Hulp (CAO''s)'!N$3:N$6, MATCH(TRUE, 'Hulp (CAO''s)'!$D$3:$D$6, 0)))</f>
        <v/>
      </c>
      <c r="J47" s="10" t="str">
        <f t="array" aca="1" ref="J47" ca="1">IF($B47="", "", INDEX('Hulp (CAO''s)'!O$3:O$6, MATCH(TRUE, 'Hulp (CAO''s)'!$D$3:$D$6, 0)))</f>
        <v/>
      </c>
      <c r="K47" s="10" t="str">
        <f t="array" aca="1" ref="K47" ca="1">IF($B47="", "", INDEX('Hulp (CAO''s)'!P$3:P$6, MATCH(TRUE, 'Hulp (CAO''s)'!$D$3:$D$6, 0)))</f>
        <v/>
      </c>
      <c r="L47" s="10" t="str">
        <f t="array" aca="1" ref="L47" ca="1">IF($B47="", "", INDEX('Hulp (CAO''s)'!Q$3:Q$6, MATCH(TRUE, 'Hulp (CAO''s)'!$D$3:$D$6, 0)))</f>
        <v/>
      </c>
      <c r="M47" s="10" t="str">
        <f t="array" aca="1" ref="M47" ca="1">IF($B47="", "", INDEX('Hulp (CAO''s)'!R$3:R$6, MATCH(TRUE, 'Hulp (CAO''s)'!$D$3:$D$6, 0)))</f>
        <v/>
      </c>
      <c r="N47" s="10" t="str">
        <f t="array" aca="1" ref="N47" ca="1">IF($B47="", "", INDEX('Hulp (CAO''s)'!S$3:S$6, MATCH(TRUE, 'Hulp (CAO''s)'!$D$3:$D$6, 0)))</f>
        <v/>
      </c>
      <c r="O47" s="10" t="str">
        <f t="array" aca="1" ref="O47" ca="1">IF($B47="", "", INDEX('Hulp (CAO''s)'!T$3:T$6, MATCH(TRUE, 'Hulp (CAO''s)'!$D$3:$D$6, 0)))</f>
        <v/>
      </c>
      <c r="P47" s="10" t="str">
        <f t="array" aca="1" ref="P47" ca="1">IF($B47="", "", INDEX('Hulp (CAO''s)'!U$3:U$6, MATCH(TRUE, 'Hulp (CAO''s)'!$D$3:$D$6, 0)))</f>
        <v/>
      </c>
      <c r="Q47" s="10" t="str">
        <f t="array" aca="1" ref="Q47" ca="1">IF($B47="", "", INDEX('Hulp (CAO''s)'!V$3:V$6, MATCH(TRUE, 'Hulp (CAO''s)'!$D$3:$D$6, 0)))</f>
        <v/>
      </c>
      <c r="R47" s="10" t="str">
        <f t="array" aca="1" ref="R47" ca="1">IF($B47="", "", INDEX('Hulp (CAO''s)'!W$3:W$6, MATCH(TRUE, 'Hulp (CAO''s)'!$D$3:$D$6, 0)))</f>
        <v/>
      </c>
      <c r="S47" s="10" t="str">
        <f t="array" aca="1" ref="S47" ca="1">IF($B47="", "", INDEX('Hulp (CAO''s)'!X$3:X$6, MATCH(TRUE, 'Hulp (CAO''s)'!$D$3:$D$6, 0)))</f>
        <v/>
      </c>
      <c r="T47" s="11" t="str">
        <f t="array" aca="1" ref="T47" ca="1">IF($B47="", "", INDEX('Hulp (CAO''s)'!Y$3:Y$6, MATCH(TRUE, 'Hulp (CAO''s)'!$D$3:$D$6, 0)))</f>
        <v/>
      </c>
      <c r="V47" s="25" t="s">
        <v>32</v>
      </c>
      <c r="W47" s="5"/>
    </row>
    <row r="48" spans="2:24" x14ac:dyDescent="0.5">
      <c r="D48" s="23" t="s">
        <v>770</v>
      </c>
      <c r="E48" s="92">
        <v>0.96</v>
      </c>
      <c r="F48" s="92">
        <v>0.9</v>
      </c>
      <c r="G48" s="92">
        <v>0.9</v>
      </c>
      <c r="H48" s="92">
        <v>0.7</v>
      </c>
      <c r="I48" s="92">
        <v>0.8</v>
      </c>
      <c r="J48" s="92">
        <v>0.9</v>
      </c>
      <c r="K48" s="92">
        <v>0.9</v>
      </c>
      <c r="L48" s="92">
        <v>0.9</v>
      </c>
      <c r="M48" s="92">
        <v>0.9</v>
      </c>
      <c r="N48" s="92">
        <v>0.8</v>
      </c>
      <c r="O48" s="92">
        <v>0.95</v>
      </c>
      <c r="P48" s="92">
        <v>0.93</v>
      </c>
      <c r="Q48" s="92">
        <v>0.93</v>
      </c>
      <c r="R48" s="92">
        <v>0.95</v>
      </c>
      <c r="S48" s="92">
        <v>0.92</v>
      </c>
      <c r="T48" s="93">
        <v>0.95</v>
      </c>
      <c r="V48" s="52">
        <v>4300</v>
      </c>
      <c r="X48" s="60" t="s">
        <v>747</v>
      </c>
    </row>
    <row r="49" spans="2:24" ht="14.65" thickBot="1" x14ac:dyDescent="0.5">
      <c r="B49"/>
      <c r="D49" s="40" t="str">
        <f>IFERROR(
   INDEX('Hulp (CAO''s)'!$I$3:$I$6, MATCH(TRUE, 'Hulp (CAO''s)'!$D$3:$D$6, 0)),
"")</f>
        <v>Bruto maandsalaris</v>
      </c>
      <c r="E49" s="86" t="str">
        <f ca="1">IF(
    OR(E47="",E48=""),
    "",
    MAX(
    INDIRECT("'" &amp; INDEX('Hulp (CAO''s)'!$C$3:$C$6,
        MATCH(TRUE,'Hulp (CAO''s)'!$D$3:$D$6,0)) &amp; "'!" &amp;
        INDEX('Hulp (CAO''s)'!$H$3:$H$6,
            MATCH(TRUE,'Hulp (CAO''s)'!$D$3:$D$6,0))
        &amp;
        MATCH(E47, INDIRECT("'" &amp; INDEX('Hulp (CAO''s)'!$C$3:$C$6,
            MATCH(TRUE,'Hulp (CAO''s)'!$D$3:$D$6,0)) &amp; "'!A:A"),0)
        &amp; ":H" &amp;
        IF(F47&lt;&gt;"",
            MATCH(F47, INDIRECT("'" &amp; INDEX('Hulp (CAO''s)'!$C$3:$C$6,
                MATCH(TRUE,'Hulp (CAO''s)'!$D$3:$D$6,0)) &amp; "'!A:A"),0)-1,
            1000
        )
    )
) * E48
)</f>
        <v/>
      </c>
      <c r="F49" s="86" t="str">
        <f ca="1">IF(
    OR(F47="",F48=""),
    "",
    MAX(
    INDIRECT("'" &amp; INDEX('Hulp (CAO''s)'!$C$3:$C$6,
        MATCH(TRUE,'Hulp (CAO''s)'!$D$3:$D$6,0)) &amp; "'!" &amp;
        INDEX('Hulp (CAO''s)'!$H$3:$H$6,
            MATCH(TRUE,'Hulp (CAO''s)'!$D$3:$D$6,0))
        &amp;
        MATCH(F47, INDIRECT("'" &amp; INDEX('Hulp (CAO''s)'!$C$3:$C$6,
            MATCH(TRUE,'Hulp (CAO''s)'!$D$3:$D$6,0)) &amp; "'!A:A"),0)
        &amp; ":H" &amp;
        IF(G47&lt;&gt;"",
            MATCH(G47, INDIRECT("'" &amp; INDEX('Hulp (CAO''s)'!$C$3:$C$6,
                MATCH(TRUE,'Hulp (CAO''s)'!$D$3:$D$6,0)) &amp; "'!A:A"),0)-1,
            1000
        )
    )
) * F48
)</f>
        <v/>
      </c>
      <c r="G49" s="86" t="str">
        <f ca="1">IF(
    OR(G47="",G48=""),
    "",
    MAX(
    INDIRECT("'" &amp; INDEX('Hulp (CAO''s)'!$C$3:$C$6,
        MATCH(TRUE,'Hulp (CAO''s)'!$D$3:$D$6,0)) &amp; "'!" &amp;
        INDEX('Hulp (CAO''s)'!$H$3:$H$6,
            MATCH(TRUE,'Hulp (CAO''s)'!$D$3:$D$6,0))
        &amp;
        MATCH(G47, INDIRECT("'" &amp; INDEX('Hulp (CAO''s)'!$C$3:$C$6,
            MATCH(TRUE,'Hulp (CAO''s)'!$D$3:$D$6,0)) &amp; "'!A:A"),0)
        &amp; ":H" &amp;
        IF(H47&lt;&gt;"",
            MATCH(H47, INDIRECT("'" &amp; INDEX('Hulp (CAO''s)'!$C$3:$C$6,
                MATCH(TRUE,'Hulp (CAO''s)'!$D$3:$D$6,0)) &amp; "'!A:A"),0)-1,
            1000
        )
    )
) * G48
)</f>
        <v/>
      </c>
      <c r="H49" s="86" t="str">
        <f ca="1">IF(
    OR(H47="",H48=""),
    "",
    MAX(
    INDIRECT("'" &amp; INDEX('Hulp (CAO''s)'!$C$3:$C$6,
        MATCH(TRUE,'Hulp (CAO''s)'!$D$3:$D$6,0)) &amp; "'!" &amp;
        INDEX('Hulp (CAO''s)'!$H$3:$H$6,
            MATCH(TRUE,'Hulp (CAO''s)'!$D$3:$D$6,0))
        &amp;
        MATCH(H47, INDIRECT("'" &amp; INDEX('Hulp (CAO''s)'!$C$3:$C$6,
            MATCH(TRUE,'Hulp (CAO''s)'!$D$3:$D$6,0)) &amp; "'!A:A"),0)
        &amp; ":H" &amp;
        IF(I47&lt;&gt;"",
            MATCH(I47, INDIRECT("'" &amp; INDEX('Hulp (CAO''s)'!$C$3:$C$6,
                MATCH(TRUE,'Hulp (CAO''s)'!$D$3:$D$6,0)) &amp; "'!A:A"),0)-1,
            1000
        )
    )
) * H48
)</f>
        <v/>
      </c>
      <c r="I49" s="86" t="str">
        <f ca="1">IF(
    OR(I47="",I48=""),
    "",
    MAX(
    INDIRECT("'" &amp; INDEX('Hulp (CAO''s)'!$C$3:$C$6,
        MATCH(TRUE,'Hulp (CAO''s)'!$D$3:$D$6,0)) &amp; "'!" &amp;
        INDEX('Hulp (CAO''s)'!$H$3:$H$6,
            MATCH(TRUE,'Hulp (CAO''s)'!$D$3:$D$6,0))
        &amp;
        MATCH(I47, INDIRECT("'" &amp; INDEX('Hulp (CAO''s)'!$C$3:$C$6,
            MATCH(TRUE,'Hulp (CAO''s)'!$D$3:$D$6,0)) &amp; "'!A:A"),0)
        &amp; ":H" &amp;
        IF(J47&lt;&gt;"",
            MATCH(J47, INDIRECT("'" &amp; INDEX('Hulp (CAO''s)'!$C$3:$C$6,
                MATCH(TRUE,'Hulp (CAO''s)'!$D$3:$D$6,0)) &amp; "'!A:A"),0)-1,
            1000
        )
    )
) * I48
)</f>
        <v/>
      </c>
      <c r="J49" s="86" t="str">
        <f ca="1">IF(
    OR(J47="",J48=""),
    "",
    MAX(
    INDIRECT("'" &amp; INDEX('Hulp (CAO''s)'!$C$3:$C$6,
        MATCH(TRUE,'Hulp (CAO''s)'!$D$3:$D$6,0)) &amp; "'!" &amp;
        INDEX('Hulp (CAO''s)'!$H$3:$H$6,
            MATCH(TRUE,'Hulp (CAO''s)'!$D$3:$D$6,0))
        &amp;
        MATCH(J47, INDIRECT("'" &amp; INDEX('Hulp (CAO''s)'!$C$3:$C$6,
            MATCH(TRUE,'Hulp (CAO''s)'!$D$3:$D$6,0)) &amp; "'!A:A"),0)
        &amp; ":H" &amp;
        IF(K47&lt;&gt;"",
            MATCH(K47, INDIRECT("'" &amp; INDEX('Hulp (CAO''s)'!$C$3:$C$6,
                MATCH(TRUE,'Hulp (CAO''s)'!$D$3:$D$6,0)) &amp; "'!A:A"),0)-1,
            1000
        )
    )
) * J48
)</f>
        <v/>
      </c>
      <c r="K49" s="86" t="str">
        <f ca="1">IF(
    OR(K47="",K48=""),
    "",
    MAX(
    INDIRECT("'" &amp; INDEX('Hulp (CAO''s)'!$C$3:$C$6,
        MATCH(TRUE,'Hulp (CAO''s)'!$D$3:$D$6,0)) &amp; "'!" &amp;
        INDEX('Hulp (CAO''s)'!$H$3:$H$6,
            MATCH(TRUE,'Hulp (CAO''s)'!$D$3:$D$6,0))
        &amp;
        MATCH(K47, INDIRECT("'" &amp; INDEX('Hulp (CAO''s)'!$C$3:$C$6,
            MATCH(TRUE,'Hulp (CAO''s)'!$D$3:$D$6,0)) &amp; "'!A:A"),0)
        &amp; ":H" &amp;
        IF(L47&lt;&gt;"",
            MATCH(L47, INDIRECT("'" &amp; INDEX('Hulp (CAO''s)'!$C$3:$C$6,
                MATCH(TRUE,'Hulp (CAO''s)'!$D$3:$D$6,0)) &amp; "'!A:A"),0)-1,
            1000
        )
    )
) * K48
)</f>
        <v/>
      </c>
      <c r="L49" s="86" t="str">
        <f ca="1">IF(
    OR(L47="",L48=""),
    "",
    MAX(
    INDIRECT("'" &amp; INDEX('Hulp (CAO''s)'!$C$3:$C$6,
        MATCH(TRUE,'Hulp (CAO''s)'!$D$3:$D$6,0)) &amp; "'!" &amp;
        INDEX('Hulp (CAO''s)'!$H$3:$H$6,
            MATCH(TRUE,'Hulp (CAO''s)'!$D$3:$D$6,0))
        &amp;
        MATCH(L47, INDIRECT("'" &amp; INDEX('Hulp (CAO''s)'!$C$3:$C$6,
            MATCH(TRUE,'Hulp (CAO''s)'!$D$3:$D$6,0)) &amp; "'!A:A"),0)
        &amp; ":H" &amp;
        IF(M47&lt;&gt;"",
            MATCH(M47, INDIRECT("'" &amp; INDEX('Hulp (CAO''s)'!$C$3:$C$6,
                MATCH(TRUE,'Hulp (CAO''s)'!$D$3:$D$6,0)) &amp; "'!A:A"),0)-1,
            1000
        )
    )
) * L48
)</f>
        <v/>
      </c>
      <c r="M49" s="86" t="str">
        <f ca="1">IF(
    OR(M47="",M48=""),
    "",
    MAX(
    INDIRECT("'" &amp; INDEX('Hulp (CAO''s)'!$C$3:$C$6,
        MATCH(TRUE,'Hulp (CAO''s)'!$D$3:$D$6,0)) &amp; "'!" &amp;
        INDEX('Hulp (CAO''s)'!$H$3:$H$6,
            MATCH(TRUE,'Hulp (CAO''s)'!$D$3:$D$6,0))
        &amp;
        MATCH(M47, INDIRECT("'" &amp; INDEX('Hulp (CAO''s)'!$C$3:$C$6,
            MATCH(TRUE,'Hulp (CAO''s)'!$D$3:$D$6,0)) &amp; "'!A:A"),0)
        &amp; ":H" &amp;
        IF(N47&lt;&gt;"",
            MATCH(N47, INDIRECT("'" &amp; INDEX('Hulp (CAO''s)'!$C$3:$C$6,
                MATCH(TRUE,'Hulp (CAO''s)'!$D$3:$D$6,0)) &amp; "'!A:A"),0)-1,
            1000
        )
    )
) * M48
)</f>
        <v/>
      </c>
      <c r="N49" s="86" t="str">
        <f ca="1">IF(
    OR(N47="",N48=""),
    "",
    MAX(
    INDIRECT("'" &amp; INDEX('Hulp (CAO''s)'!$C$3:$C$6,
        MATCH(TRUE,'Hulp (CAO''s)'!$D$3:$D$6,0)) &amp; "'!" &amp;
        INDEX('Hulp (CAO''s)'!$H$3:$H$6,
            MATCH(TRUE,'Hulp (CAO''s)'!$D$3:$D$6,0))
        &amp;
        MATCH(N47, INDIRECT("'" &amp; INDEX('Hulp (CAO''s)'!$C$3:$C$6,
            MATCH(TRUE,'Hulp (CAO''s)'!$D$3:$D$6,0)) &amp; "'!A:A"),0)
        &amp; ":H" &amp;
        IF(O47&lt;&gt;"",
            MATCH(O47, INDIRECT("'" &amp; INDEX('Hulp (CAO''s)'!$C$3:$C$6,
                MATCH(TRUE,'Hulp (CAO''s)'!$D$3:$D$6,0)) &amp; "'!A:A"),0)-1,
            1000
        )
    )
) * N48
)</f>
        <v/>
      </c>
      <c r="O49" s="86" t="str">
        <f ca="1">IF(
    OR(O47="",O48=""),
    "",
    MAX(
    INDIRECT("'" &amp; INDEX('Hulp (CAO''s)'!$C$3:$C$6,
        MATCH(TRUE,'Hulp (CAO''s)'!$D$3:$D$6,0)) &amp; "'!" &amp;
        INDEX('Hulp (CAO''s)'!$H$3:$H$6,
            MATCH(TRUE,'Hulp (CAO''s)'!$D$3:$D$6,0))
        &amp;
        MATCH(O47, INDIRECT("'" &amp; INDEX('Hulp (CAO''s)'!$C$3:$C$6,
            MATCH(TRUE,'Hulp (CAO''s)'!$D$3:$D$6,0)) &amp; "'!A:A"),0)
        &amp; ":H" &amp;
        IF(P47&lt;&gt;"",
            MATCH(P47, INDIRECT("'" &amp; INDEX('Hulp (CAO''s)'!$C$3:$C$6,
                MATCH(TRUE,'Hulp (CAO''s)'!$D$3:$D$6,0)) &amp; "'!A:A"),0)-1,
            1000
        )
    )
) * O48
)</f>
        <v/>
      </c>
      <c r="P49" s="86" t="str">
        <f ca="1">IF(
    OR(P47="",P48=""),
    "",
    MAX(
    INDIRECT("'" &amp; INDEX('Hulp (CAO''s)'!$C$3:$C$6,
        MATCH(TRUE,'Hulp (CAO''s)'!$D$3:$D$6,0)) &amp; "'!" &amp;
        INDEX('Hulp (CAO''s)'!$H$3:$H$6,
            MATCH(TRUE,'Hulp (CAO''s)'!$D$3:$D$6,0))
        &amp;
        MATCH(P47, INDIRECT("'" &amp; INDEX('Hulp (CAO''s)'!$C$3:$C$6,
            MATCH(TRUE,'Hulp (CAO''s)'!$D$3:$D$6,0)) &amp; "'!A:A"),0)
        &amp; ":H" &amp;
        IF(Q47&lt;&gt;"",
            MATCH(Q47, INDIRECT("'" &amp; INDEX('Hulp (CAO''s)'!$C$3:$C$6,
                MATCH(TRUE,'Hulp (CAO''s)'!$D$3:$D$6,0)) &amp; "'!A:A"),0)-1,
            1000
        )
    )
) * P48
)</f>
        <v/>
      </c>
      <c r="Q49" s="86" t="str">
        <f ca="1">IF(
    OR(Q47="",Q48=""),
    "",
    MAX(
    INDIRECT("'" &amp; INDEX('Hulp (CAO''s)'!$C$3:$C$6,
        MATCH(TRUE,'Hulp (CAO''s)'!$D$3:$D$6,0)) &amp; "'!" &amp;
        INDEX('Hulp (CAO''s)'!$H$3:$H$6,
            MATCH(TRUE,'Hulp (CAO''s)'!$D$3:$D$6,0))
        &amp;
        MATCH(Q47, INDIRECT("'" &amp; INDEX('Hulp (CAO''s)'!$C$3:$C$6,
            MATCH(TRUE,'Hulp (CAO''s)'!$D$3:$D$6,0)) &amp; "'!A:A"),0)
        &amp; ":H" &amp;
        IF(R47&lt;&gt;"",
            MATCH(R47, INDIRECT("'" &amp; INDEX('Hulp (CAO''s)'!$C$3:$C$6,
                MATCH(TRUE,'Hulp (CAO''s)'!$D$3:$D$6,0)) &amp; "'!A:A"),0)-1,
            1000
        )
    )
) * Q48
)</f>
        <v/>
      </c>
      <c r="R49" s="86" t="str">
        <f ca="1">IF(
    OR(R47="",R48=""),
    "",
    MAX(
    INDIRECT("'" &amp; INDEX('Hulp (CAO''s)'!$C$3:$C$6,
        MATCH(TRUE,'Hulp (CAO''s)'!$D$3:$D$6,0)) &amp; "'!" &amp;
        INDEX('Hulp (CAO''s)'!$H$3:$H$6,
            MATCH(TRUE,'Hulp (CAO''s)'!$D$3:$D$6,0))
        &amp;
        MATCH(R47, INDIRECT("'" &amp; INDEX('Hulp (CAO''s)'!$C$3:$C$6,
            MATCH(TRUE,'Hulp (CAO''s)'!$D$3:$D$6,0)) &amp; "'!A:A"),0)
        &amp; ":H" &amp;
        IF(S47&lt;&gt;"",
            MATCH(S47, INDIRECT("'" &amp; INDEX('Hulp (CAO''s)'!$C$3:$C$6,
                MATCH(TRUE,'Hulp (CAO''s)'!$D$3:$D$6,0)) &amp; "'!A:A"),0)-1,
            1000
        )
    )
) * R48
)</f>
        <v/>
      </c>
      <c r="S49" s="86" t="str">
        <f ca="1">IF(
    OR(S47="",S48=""),
    "",
    MAX(
    INDIRECT("'" &amp; INDEX('Hulp (CAO''s)'!$C$3:$C$6,
        MATCH(TRUE,'Hulp (CAO''s)'!$D$3:$D$6,0)) &amp; "'!" &amp;
        INDEX('Hulp (CAO''s)'!$H$3:$H$6,
            MATCH(TRUE,'Hulp (CAO''s)'!$D$3:$D$6,0))
        &amp;
        MATCH(S47, INDIRECT("'" &amp; INDEX('Hulp (CAO''s)'!$C$3:$C$6,
            MATCH(TRUE,'Hulp (CAO''s)'!$D$3:$D$6,0)) &amp; "'!A:A"),0)
        &amp; ":H" &amp;
        IF(T47&lt;&gt;"",
            MATCH(T47, INDIRECT("'" &amp; INDEX('Hulp (CAO''s)'!$C$3:$C$6,
                MATCH(TRUE,'Hulp (CAO''s)'!$D$3:$D$6,0)) &amp; "'!A:A"),0)-1,
            1000
        )
    )
) * S48
)</f>
        <v/>
      </c>
      <c r="T49" s="39" t="str">
        <f ca="1">IF(
    OR(T47="",T48=""),
    "",
    MAX(
    INDIRECT("'" &amp; INDEX('Hulp (CAO''s)'!$C$3:$C$6,
        MATCH(TRUE,'Hulp (CAO''s)'!$D$3:$D$6,0)) &amp; "'!" &amp;
        INDEX('Hulp (CAO''s)'!$H$3:$H$6,
            MATCH(TRUE,'Hulp (CAO''s)'!$D$3:$D$6,0))
        &amp;
        MATCH(T47, INDIRECT("'" &amp; INDEX('Hulp (CAO''s)'!$C$3:$C$6,
            MATCH(TRUE,'Hulp (CAO''s)'!$D$3:$D$6,0)) &amp; "'!A:A"),0)
        &amp; ":H" &amp;
        IF(U47&lt;&gt;"",
            MATCH(U47, INDIRECT("'" &amp; INDEX('Hulp (CAO''s)'!$C$3:$C$6,
                MATCH(TRUE,'Hulp (CAO''s)'!$D$3:$D$6,0)) &amp; "'!A:A"),0)-1,
            1000
        )
    )
) * T48
)</f>
        <v/>
      </c>
      <c r="V49" s="38" t="str">
        <f t="array" aca="1" ref="V49" ca="1">IF(
   SUM(E49:T49)=0,
   "",
   (
      SUMPRODUCT(
         IF(E49:T49="",0,E49:T49),
         IF(E50:T50="",0,E50:T50) * SUM(E50:T50)
      )
   ) *
   IF(
      'Hulp (CAO''s)'!#REF!,
      IF(
         OR(
            INDEX(#REF!, ROW(#REF!) + INT((ROW()-ROW($V$7))/6)*8)="",
            ISNA(INDEX(#REF!, ROW(#REF!) + INT((ROW()-ROW($V$7))/6)*8))
         ),
         1878/12,
         INDEX(#REF!, ROW(#REF!) + INT((ROW()-ROW($V$7))/6)*8)/12
      ),
      1
   )
)</f>
        <v/>
      </c>
    </row>
    <row r="50" spans="2:24" ht="14.65" thickBot="1" x14ac:dyDescent="0.5">
      <c r="B50" s="48" t="s">
        <v>60</v>
      </c>
      <c r="D50" s="24" t="s">
        <v>59</v>
      </c>
      <c r="E50" s="8"/>
      <c r="F50" s="8"/>
      <c r="G50" s="8"/>
      <c r="H50" s="8"/>
      <c r="I50" s="8"/>
      <c r="J50" s="8"/>
      <c r="K50" s="8"/>
      <c r="L50" s="8"/>
      <c r="M50" s="8"/>
      <c r="N50" s="8"/>
      <c r="O50" s="8"/>
      <c r="P50" s="8"/>
      <c r="Q50" s="8"/>
      <c r="R50" s="8"/>
      <c r="S50" s="8"/>
      <c r="T50" s="9"/>
      <c r="U50" s="7"/>
      <c r="V50" s="37" t="str">
        <f ca="1">IF(B47="","",IF(INDIRECT("'Hulp (control forms)'!C" &amp; (13 + INT((ROW()-ROW($B$5))/6))), V48, V49))</f>
        <v/>
      </c>
      <c r="W50" s="7"/>
    </row>
    <row r="51" spans="2:24" x14ac:dyDescent="0.5">
      <c r="S51" s="7" t="str">
        <f>IF($B50="Aandeel in %",
   "Totaal: "&amp;SUM(E50:T50)*100&amp;"%",
   "Totaal: "&amp;SUM(E50:T50)&amp;" uur"
)</f>
        <v>Totaal: 0%</v>
      </c>
      <c r="T51" s="7"/>
    </row>
    <row r="52" spans="2:24" ht="16.149999999999999" thickBot="1" x14ac:dyDescent="0.55000000000000004">
      <c r="B52" s="44" t="str">
        <f ca="1">IF(B53="","",IF(
   OR(
      INDIRECT("'1a. Input organisatieniveau'!N" &amp; (14 + INT((ROW()-4)/6)))="",
      INDIRECT("'1a. Input organisatieniveau'!N" &amp; (14 + INT((ROW()-4)/6)))=0
   ),
   "",
   INDIRECT("'1a. Input organisatieniveau'!N" &amp; (14 + INT((ROW()-4)/6)))
))</f>
        <v/>
      </c>
      <c r="E52" s="61" t="str">
        <f ca="1">IF(AND(AND(E53&lt;&gt;"",E54&lt;&gt;""),E55=""),"!","")</f>
        <v/>
      </c>
      <c r="F52" s="61" t="str">
        <f t="shared" ref="F52:T52" ca="1" si="8">IF(AND(AND(F53&lt;&gt;"",F54&lt;&gt;""),F55=""),"!","")</f>
        <v/>
      </c>
      <c r="G52" s="61" t="str">
        <f t="shared" ca="1" si="8"/>
        <v/>
      </c>
      <c r="H52" s="61" t="str">
        <f t="shared" ca="1" si="8"/>
        <v/>
      </c>
      <c r="I52" s="61" t="str">
        <f t="shared" ca="1" si="8"/>
        <v/>
      </c>
      <c r="J52" s="61" t="str">
        <f t="shared" ca="1" si="8"/>
        <v/>
      </c>
      <c r="K52" s="61" t="str">
        <f t="shared" ca="1" si="8"/>
        <v/>
      </c>
      <c r="L52" s="61" t="str">
        <f t="shared" ca="1" si="8"/>
        <v/>
      </c>
      <c r="M52" s="61" t="str">
        <f t="shared" ca="1" si="8"/>
        <v/>
      </c>
      <c r="N52" s="61" t="str">
        <f t="shared" ca="1" si="8"/>
        <v/>
      </c>
      <c r="O52" s="61" t="str">
        <f t="shared" ca="1" si="8"/>
        <v/>
      </c>
      <c r="P52" s="61" t="str">
        <f t="shared" ca="1" si="8"/>
        <v/>
      </c>
      <c r="Q52" s="61" t="str">
        <f t="shared" ca="1" si="8"/>
        <v/>
      </c>
      <c r="R52" s="61" t="str">
        <f t="shared" ca="1" si="8"/>
        <v/>
      </c>
      <c r="S52" s="61" t="str">
        <f t="shared" ca="1" si="8"/>
        <v/>
      </c>
      <c r="T52" s="61" t="str">
        <f t="shared" ca="1" si="8"/>
        <v/>
      </c>
    </row>
    <row r="53" spans="2:24" ht="16.149999999999999" thickBot="1" x14ac:dyDescent="0.55000000000000004">
      <c r="B53" s="45" t="str">
        <f ca="1">IF(
   OR(
      INDIRECT("'1a. Input organisatieniveau'!M" &amp; (14 + INT((ROW()-4)/6)))="",
      INDIRECT("'1a. Input organisatieniveau'!M" &amp; (14 + INT((ROW()-4)/6)))=0
   ),
   "",
   INDIRECT("'1a. Input organisatieniveau'!M" &amp; (14 + INT((ROW()-4)/6)))
)</f>
        <v/>
      </c>
      <c r="D53" s="22" t="s">
        <v>28</v>
      </c>
      <c r="E53" s="10" t="str">
        <f t="array" aca="1" ref="E53" ca="1">IF($B53="", "", INDEX('Hulp (CAO''s)'!J$3:J$6, MATCH(TRUE, 'Hulp (CAO''s)'!$D$3:$D$6, 0)))</f>
        <v/>
      </c>
      <c r="F53" s="10" t="str">
        <f t="array" aca="1" ref="F53" ca="1">IF($B53="", "", INDEX('Hulp (CAO''s)'!K$3:K$6, MATCH(TRUE, 'Hulp (CAO''s)'!$D$3:$D$6, 0)))</f>
        <v/>
      </c>
      <c r="G53" s="10" t="str">
        <f t="array" aca="1" ref="G53" ca="1">IF($B53="", "", INDEX('Hulp (CAO''s)'!L$3:L$6, MATCH(TRUE, 'Hulp (CAO''s)'!$D$3:$D$6, 0)))</f>
        <v/>
      </c>
      <c r="H53" s="10" t="str">
        <f t="array" aca="1" ref="H53" ca="1">IF($B53="", "", INDEX('Hulp (CAO''s)'!M$3:M$6, MATCH(TRUE, 'Hulp (CAO''s)'!$D$3:$D$6, 0)))</f>
        <v/>
      </c>
      <c r="I53" s="10" t="str">
        <f t="array" aca="1" ref="I53" ca="1">IF($B53="", "", INDEX('Hulp (CAO''s)'!N$3:N$6, MATCH(TRUE, 'Hulp (CAO''s)'!$D$3:$D$6, 0)))</f>
        <v/>
      </c>
      <c r="J53" s="10" t="str">
        <f t="array" aca="1" ref="J53" ca="1">IF($B53="", "", INDEX('Hulp (CAO''s)'!O$3:O$6, MATCH(TRUE, 'Hulp (CAO''s)'!$D$3:$D$6, 0)))</f>
        <v/>
      </c>
      <c r="K53" s="10" t="str">
        <f t="array" aca="1" ref="K53" ca="1">IF($B53="", "", INDEX('Hulp (CAO''s)'!P$3:P$6, MATCH(TRUE, 'Hulp (CAO''s)'!$D$3:$D$6, 0)))</f>
        <v/>
      </c>
      <c r="L53" s="10" t="str">
        <f t="array" aca="1" ref="L53" ca="1">IF($B53="", "", INDEX('Hulp (CAO''s)'!Q$3:Q$6, MATCH(TRUE, 'Hulp (CAO''s)'!$D$3:$D$6, 0)))</f>
        <v/>
      </c>
      <c r="M53" s="10" t="str">
        <f t="array" aca="1" ref="M53" ca="1">IF($B53="", "", INDEX('Hulp (CAO''s)'!R$3:R$6, MATCH(TRUE, 'Hulp (CAO''s)'!$D$3:$D$6, 0)))</f>
        <v/>
      </c>
      <c r="N53" s="10" t="str">
        <f t="array" aca="1" ref="N53" ca="1">IF($B53="", "", INDEX('Hulp (CAO''s)'!S$3:S$6, MATCH(TRUE, 'Hulp (CAO''s)'!$D$3:$D$6, 0)))</f>
        <v/>
      </c>
      <c r="O53" s="10" t="str">
        <f t="array" aca="1" ref="O53" ca="1">IF($B53="", "", INDEX('Hulp (CAO''s)'!T$3:T$6, MATCH(TRUE, 'Hulp (CAO''s)'!$D$3:$D$6, 0)))</f>
        <v/>
      </c>
      <c r="P53" s="10" t="str">
        <f t="array" aca="1" ref="P53" ca="1">IF($B53="", "", INDEX('Hulp (CAO''s)'!U$3:U$6, MATCH(TRUE, 'Hulp (CAO''s)'!$D$3:$D$6, 0)))</f>
        <v/>
      </c>
      <c r="Q53" s="10" t="str">
        <f t="array" aca="1" ref="Q53" ca="1">IF($B53="", "", INDEX('Hulp (CAO''s)'!V$3:V$6, MATCH(TRUE, 'Hulp (CAO''s)'!$D$3:$D$6, 0)))</f>
        <v/>
      </c>
      <c r="R53" s="10" t="str">
        <f t="array" aca="1" ref="R53" ca="1">IF($B53="", "", INDEX('Hulp (CAO''s)'!W$3:W$6, MATCH(TRUE, 'Hulp (CAO''s)'!$D$3:$D$6, 0)))</f>
        <v/>
      </c>
      <c r="S53" s="10" t="str">
        <f t="array" aca="1" ref="S53" ca="1">IF($B53="", "", INDEX('Hulp (CAO''s)'!X$3:X$6, MATCH(TRUE, 'Hulp (CAO''s)'!$D$3:$D$6, 0)))</f>
        <v/>
      </c>
      <c r="T53" s="11" t="str">
        <f t="array" aca="1" ref="T53" ca="1">IF($B53="", "", INDEX('Hulp (CAO''s)'!Y$3:Y$6, MATCH(TRUE, 'Hulp (CAO''s)'!$D$3:$D$6, 0)))</f>
        <v/>
      </c>
      <c r="V53" s="25" t="s">
        <v>32</v>
      </c>
      <c r="W53" s="5"/>
    </row>
    <row r="54" spans="2:24" x14ac:dyDescent="0.5">
      <c r="D54" s="23" t="s">
        <v>770</v>
      </c>
      <c r="E54" s="92">
        <v>0.96</v>
      </c>
      <c r="F54" s="92">
        <v>0.9</v>
      </c>
      <c r="G54" s="92">
        <v>0.9</v>
      </c>
      <c r="H54" s="92">
        <v>0.7</v>
      </c>
      <c r="I54" s="92">
        <v>0.8</v>
      </c>
      <c r="J54" s="92">
        <v>0.9</v>
      </c>
      <c r="K54" s="92">
        <v>0.9</v>
      </c>
      <c r="L54" s="92">
        <v>0.9</v>
      </c>
      <c r="M54" s="92">
        <v>0.9</v>
      </c>
      <c r="N54" s="92">
        <v>0.8</v>
      </c>
      <c r="O54" s="92">
        <v>0.95</v>
      </c>
      <c r="P54" s="92">
        <v>0.93</v>
      </c>
      <c r="Q54" s="92">
        <v>0.93</v>
      </c>
      <c r="R54" s="92">
        <v>0.95</v>
      </c>
      <c r="S54" s="92">
        <v>0.92</v>
      </c>
      <c r="T54" s="93">
        <v>0.95</v>
      </c>
      <c r="V54" s="52">
        <v>4300</v>
      </c>
      <c r="X54" s="60" t="s">
        <v>747</v>
      </c>
    </row>
    <row r="55" spans="2:24" ht="14.65" thickBot="1" x14ac:dyDescent="0.5">
      <c r="B55"/>
      <c r="D55" s="40" t="str">
        <f>IFERROR(
   INDEX('Hulp (CAO''s)'!$I$3:$I$6, MATCH(TRUE, 'Hulp (CAO''s)'!$D$3:$D$6, 0)),
"")</f>
        <v>Bruto maandsalaris</v>
      </c>
      <c r="E55" s="86" t="str">
        <f ca="1">IF(
    OR(E53="",E54=""),
    "",
    MAX(
    INDIRECT("'" &amp; INDEX('Hulp (CAO''s)'!$C$3:$C$6,
        MATCH(TRUE,'Hulp (CAO''s)'!$D$3:$D$6,0)) &amp; "'!" &amp;
        INDEX('Hulp (CAO''s)'!$H$3:$H$6,
            MATCH(TRUE,'Hulp (CAO''s)'!$D$3:$D$6,0))
        &amp;
        MATCH(E53, INDIRECT("'" &amp; INDEX('Hulp (CAO''s)'!$C$3:$C$6,
            MATCH(TRUE,'Hulp (CAO''s)'!$D$3:$D$6,0)) &amp; "'!A:A"),0)
        &amp; ":H" &amp;
        IF(F53&lt;&gt;"",
            MATCH(F53, INDIRECT("'" &amp; INDEX('Hulp (CAO''s)'!$C$3:$C$6,
                MATCH(TRUE,'Hulp (CAO''s)'!$D$3:$D$6,0)) &amp; "'!A:A"),0)-1,
            1000
        )
    )
) * E54
)</f>
        <v/>
      </c>
      <c r="F55" s="86" t="str">
        <f ca="1">IF(
    OR(F53="",F54=""),
    "",
    MAX(
    INDIRECT("'" &amp; INDEX('Hulp (CAO''s)'!$C$3:$C$6,
        MATCH(TRUE,'Hulp (CAO''s)'!$D$3:$D$6,0)) &amp; "'!" &amp;
        INDEX('Hulp (CAO''s)'!$H$3:$H$6,
            MATCH(TRUE,'Hulp (CAO''s)'!$D$3:$D$6,0))
        &amp;
        MATCH(F53, INDIRECT("'" &amp; INDEX('Hulp (CAO''s)'!$C$3:$C$6,
            MATCH(TRUE,'Hulp (CAO''s)'!$D$3:$D$6,0)) &amp; "'!A:A"),0)
        &amp; ":H" &amp;
        IF(G53&lt;&gt;"",
            MATCH(G53, INDIRECT("'" &amp; INDEX('Hulp (CAO''s)'!$C$3:$C$6,
                MATCH(TRUE,'Hulp (CAO''s)'!$D$3:$D$6,0)) &amp; "'!A:A"),0)-1,
            1000
        )
    )
) * F54
)</f>
        <v/>
      </c>
      <c r="G55" s="86" t="str">
        <f ca="1">IF(
    OR(G53="",G54=""),
    "",
    MAX(
    INDIRECT("'" &amp; INDEX('Hulp (CAO''s)'!$C$3:$C$6,
        MATCH(TRUE,'Hulp (CAO''s)'!$D$3:$D$6,0)) &amp; "'!" &amp;
        INDEX('Hulp (CAO''s)'!$H$3:$H$6,
            MATCH(TRUE,'Hulp (CAO''s)'!$D$3:$D$6,0))
        &amp;
        MATCH(G53, INDIRECT("'" &amp; INDEX('Hulp (CAO''s)'!$C$3:$C$6,
            MATCH(TRUE,'Hulp (CAO''s)'!$D$3:$D$6,0)) &amp; "'!A:A"),0)
        &amp; ":H" &amp;
        IF(H53&lt;&gt;"",
            MATCH(H53, INDIRECT("'" &amp; INDEX('Hulp (CAO''s)'!$C$3:$C$6,
                MATCH(TRUE,'Hulp (CAO''s)'!$D$3:$D$6,0)) &amp; "'!A:A"),0)-1,
            1000
        )
    )
) * G54
)</f>
        <v/>
      </c>
      <c r="H55" s="86" t="str">
        <f ca="1">IF(
    OR(H53="",H54=""),
    "",
    MAX(
    INDIRECT("'" &amp; INDEX('Hulp (CAO''s)'!$C$3:$C$6,
        MATCH(TRUE,'Hulp (CAO''s)'!$D$3:$D$6,0)) &amp; "'!" &amp;
        INDEX('Hulp (CAO''s)'!$H$3:$H$6,
            MATCH(TRUE,'Hulp (CAO''s)'!$D$3:$D$6,0))
        &amp;
        MATCH(H53, INDIRECT("'" &amp; INDEX('Hulp (CAO''s)'!$C$3:$C$6,
            MATCH(TRUE,'Hulp (CAO''s)'!$D$3:$D$6,0)) &amp; "'!A:A"),0)
        &amp; ":H" &amp;
        IF(I53&lt;&gt;"",
            MATCH(I53, INDIRECT("'" &amp; INDEX('Hulp (CAO''s)'!$C$3:$C$6,
                MATCH(TRUE,'Hulp (CAO''s)'!$D$3:$D$6,0)) &amp; "'!A:A"),0)-1,
            1000
        )
    )
) * H54
)</f>
        <v/>
      </c>
      <c r="I55" s="86" t="str">
        <f ca="1">IF(
    OR(I53="",I54=""),
    "",
    MAX(
    INDIRECT("'" &amp; INDEX('Hulp (CAO''s)'!$C$3:$C$6,
        MATCH(TRUE,'Hulp (CAO''s)'!$D$3:$D$6,0)) &amp; "'!" &amp;
        INDEX('Hulp (CAO''s)'!$H$3:$H$6,
            MATCH(TRUE,'Hulp (CAO''s)'!$D$3:$D$6,0))
        &amp;
        MATCH(I53, INDIRECT("'" &amp; INDEX('Hulp (CAO''s)'!$C$3:$C$6,
            MATCH(TRUE,'Hulp (CAO''s)'!$D$3:$D$6,0)) &amp; "'!A:A"),0)
        &amp; ":H" &amp;
        IF(J53&lt;&gt;"",
            MATCH(J53, INDIRECT("'" &amp; INDEX('Hulp (CAO''s)'!$C$3:$C$6,
                MATCH(TRUE,'Hulp (CAO''s)'!$D$3:$D$6,0)) &amp; "'!A:A"),0)-1,
            1000
        )
    )
) * I54
)</f>
        <v/>
      </c>
      <c r="J55" s="86" t="str">
        <f ca="1">IF(
    OR(J53="",J54=""),
    "",
    MAX(
    INDIRECT("'" &amp; INDEX('Hulp (CAO''s)'!$C$3:$C$6,
        MATCH(TRUE,'Hulp (CAO''s)'!$D$3:$D$6,0)) &amp; "'!" &amp;
        INDEX('Hulp (CAO''s)'!$H$3:$H$6,
            MATCH(TRUE,'Hulp (CAO''s)'!$D$3:$D$6,0))
        &amp;
        MATCH(J53, INDIRECT("'" &amp; INDEX('Hulp (CAO''s)'!$C$3:$C$6,
            MATCH(TRUE,'Hulp (CAO''s)'!$D$3:$D$6,0)) &amp; "'!A:A"),0)
        &amp; ":H" &amp;
        IF(K53&lt;&gt;"",
            MATCH(K53, INDIRECT("'" &amp; INDEX('Hulp (CAO''s)'!$C$3:$C$6,
                MATCH(TRUE,'Hulp (CAO''s)'!$D$3:$D$6,0)) &amp; "'!A:A"),0)-1,
            1000
        )
    )
) * J54
)</f>
        <v/>
      </c>
      <c r="K55" s="86" t="str">
        <f ca="1">IF(
    OR(K53="",K54=""),
    "",
    MAX(
    INDIRECT("'" &amp; INDEX('Hulp (CAO''s)'!$C$3:$C$6,
        MATCH(TRUE,'Hulp (CAO''s)'!$D$3:$D$6,0)) &amp; "'!" &amp;
        INDEX('Hulp (CAO''s)'!$H$3:$H$6,
            MATCH(TRUE,'Hulp (CAO''s)'!$D$3:$D$6,0))
        &amp;
        MATCH(K53, INDIRECT("'" &amp; INDEX('Hulp (CAO''s)'!$C$3:$C$6,
            MATCH(TRUE,'Hulp (CAO''s)'!$D$3:$D$6,0)) &amp; "'!A:A"),0)
        &amp; ":H" &amp;
        IF(L53&lt;&gt;"",
            MATCH(L53, INDIRECT("'" &amp; INDEX('Hulp (CAO''s)'!$C$3:$C$6,
                MATCH(TRUE,'Hulp (CAO''s)'!$D$3:$D$6,0)) &amp; "'!A:A"),0)-1,
            1000
        )
    )
) * K54
)</f>
        <v/>
      </c>
      <c r="L55" s="86" t="str">
        <f ca="1">IF(
    OR(L53="",L54=""),
    "",
    MAX(
    INDIRECT("'" &amp; INDEX('Hulp (CAO''s)'!$C$3:$C$6,
        MATCH(TRUE,'Hulp (CAO''s)'!$D$3:$D$6,0)) &amp; "'!" &amp;
        INDEX('Hulp (CAO''s)'!$H$3:$H$6,
            MATCH(TRUE,'Hulp (CAO''s)'!$D$3:$D$6,0))
        &amp;
        MATCH(L53, INDIRECT("'" &amp; INDEX('Hulp (CAO''s)'!$C$3:$C$6,
            MATCH(TRUE,'Hulp (CAO''s)'!$D$3:$D$6,0)) &amp; "'!A:A"),0)
        &amp; ":H" &amp;
        IF(M53&lt;&gt;"",
            MATCH(M53, INDIRECT("'" &amp; INDEX('Hulp (CAO''s)'!$C$3:$C$6,
                MATCH(TRUE,'Hulp (CAO''s)'!$D$3:$D$6,0)) &amp; "'!A:A"),0)-1,
            1000
        )
    )
) * L54
)</f>
        <v/>
      </c>
      <c r="M55" s="86" t="str">
        <f ca="1">IF(
    OR(M53="",M54=""),
    "",
    MAX(
    INDIRECT("'" &amp; INDEX('Hulp (CAO''s)'!$C$3:$C$6,
        MATCH(TRUE,'Hulp (CAO''s)'!$D$3:$D$6,0)) &amp; "'!" &amp;
        INDEX('Hulp (CAO''s)'!$H$3:$H$6,
            MATCH(TRUE,'Hulp (CAO''s)'!$D$3:$D$6,0))
        &amp;
        MATCH(M53, INDIRECT("'" &amp; INDEX('Hulp (CAO''s)'!$C$3:$C$6,
            MATCH(TRUE,'Hulp (CAO''s)'!$D$3:$D$6,0)) &amp; "'!A:A"),0)
        &amp; ":H" &amp;
        IF(N53&lt;&gt;"",
            MATCH(N53, INDIRECT("'" &amp; INDEX('Hulp (CAO''s)'!$C$3:$C$6,
                MATCH(TRUE,'Hulp (CAO''s)'!$D$3:$D$6,0)) &amp; "'!A:A"),0)-1,
            1000
        )
    )
) * M54
)</f>
        <v/>
      </c>
      <c r="N55" s="86" t="str">
        <f ca="1">IF(
    OR(N53="",N54=""),
    "",
    MAX(
    INDIRECT("'" &amp; INDEX('Hulp (CAO''s)'!$C$3:$C$6,
        MATCH(TRUE,'Hulp (CAO''s)'!$D$3:$D$6,0)) &amp; "'!" &amp;
        INDEX('Hulp (CAO''s)'!$H$3:$H$6,
            MATCH(TRUE,'Hulp (CAO''s)'!$D$3:$D$6,0))
        &amp;
        MATCH(N53, INDIRECT("'" &amp; INDEX('Hulp (CAO''s)'!$C$3:$C$6,
            MATCH(TRUE,'Hulp (CAO''s)'!$D$3:$D$6,0)) &amp; "'!A:A"),0)
        &amp; ":H" &amp;
        IF(O53&lt;&gt;"",
            MATCH(O53, INDIRECT("'" &amp; INDEX('Hulp (CAO''s)'!$C$3:$C$6,
                MATCH(TRUE,'Hulp (CAO''s)'!$D$3:$D$6,0)) &amp; "'!A:A"),0)-1,
            1000
        )
    )
) * N54
)</f>
        <v/>
      </c>
      <c r="O55" s="86" t="str">
        <f ca="1">IF(
    OR(O53="",O54=""),
    "",
    MAX(
    INDIRECT("'" &amp; INDEX('Hulp (CAO''s)'!$C$3:$C$6,
        MATCH(TRUE,'Hulp (CAO''s)'!$D$3:$D$6,0)) &amp; "'!" &amp;
        INDEX('Hulp (CAO''s)'!$H$3:$H$6,
            MATCH(TRUE,'Hulp (CAO''s)'!$D$3:$D$6,0))
        &amp;
        MATCH(O53, INDIRECT("'" &amp; INDEX('Hulp (CAO''s)'!$C$3:$C$6,
            MATCH(TRUE,'Hulp (CAO''s)'!$D$3:$D$6,0)) &amp; "'!A:A"),0)
        &amp; ":H" &amp;
        IF(P53&lt;&gt;"",
            MATCH(P53, INDIRECT("'" &amp; INDEX('Hulp (CAO''s)'!$C$3:$C$6,
                MATCH(TRUE,'Hulp (CAO''s)'!$D$3:$D$6,0)) &amp; "'!A:A"),0)-1,
            1000
        )
    )
) * O54
)</f>
        <v/>
      </c>
      <c r="P55" s="86" t="str">
        <f ca="1">IF(
    OR(P53="",P54=""),
    "",
    MAX(
    INDIRECT("'" &amp; INDEX('Hulp (CAO''s)'!$C$3:$C$6,
        MATCH(TRUE,'Hulp (CAO''s)'!$D$3:$D$6,0)) &amp; "'!" &amp;
        INDEX('Hulp (CAO''s)'!$H$3:$H$6,
            MATCH(TRUE,'Hulp (CAO''s)'!$D$3:$D$6,0))
        &amp;
        MATCH(P53, INDIRECT("'" &amp; INDEX('Hulp (CAO''s)'!$C$3:$C$6,
            MATCH(TRUE,'Hulp (CAO''s)'!$D$3:$D$6,0)) &amp; "'!A:A"),0)
        &amp; ":H" &amp;
        IF(Q53&lt;&gt;"",
            MATCH(Q53, INDIRECT("'" &amp; INDEX('Hulp (CAO''s)'!$C$3:$C$6,
                MATCH(TRUE,'Hulp (CAO''s)'!$D$3:$D$6,0)) &amp; "'!A:A"),0)-1,
            1000
        )
    )
) * P54
)</f>
        <v/>
      </c>
      <c r="Q55" s="86" t="str">
        <f ca="1">IF(
    OR(Q53="",Q54=""),
    "",
    MAX(
    INDIRECT("'" &amp; INDEX('Hulp (CAO''s)'!$C$3:$C$6,
        MATCH(TRUE,'Hulp (CAO''s)'!$D$3:$D$6,0)) &amp; "'!" &amp;
        INDEX('Hulp (CAO''s)'!$H$3:$H$6,
            MATCH(TRUE,'Hulp (CAO''s)'!$D$3:$D$6,0))
        &amp;
        MATCH(Q53, INDIRECT("'" &amp; INDEX('Hulp (CAO''s)'!$C$3:$C$6,
            MATCH(TRUE,'Hulp (CAO''s)'!$D$3:$D$6,0)) &amp; "'!A:A"),0)
        &amp; ":H" &amp;
        IF(R53&lt;&gt;"",
            MATCH(R53, INDIRECT("'" &amp; INDEX('Hulp (CAO''s)'!$C$3:$C$6,
                MATCH(TRUE,'Hulp (CAO''s)'!$D$3:$D$6,0)) &amp; "'!A:A"),0)-1,
            1000
        )
    )
) * Q54
)</f>
        <v/>
      </c>
      <c r="R55" s="86" t="str">
        <f ca="1">IF(
    OR(R53="",R54=""),
    "",
    MAX(
    INDIRECT("'" &amp; INDEX('Hulp (CAO''s)'!$C$3:$C$6,
        MATCH(TRUE,'Hulp (CAO''s)'!$D$3:$D$6,0)) &amp; "'!" &amp;
        INDEX('Hulp (CAO''s)'!$H$3:$H$6,
            MATCH(TRUE,'Hulp (CAO''s)'!$D$3:$D$6,0))
        &amp;
        MATCH(R53, INDIRECT("'" &amp; INDEX('Hulp (CAO''s)'!$C$3:$C$6,
            MATCH(TRUE,'Hulp (CAO''s)'!$D$3:$D$6,0)) &amp; "'!A:A"),0)
        &amp; ":H" &amp;
        IF(S53&lt;&gt;"",
            MATCH(S53, INDIRECT("'" &amp; INDEX('Hulp (CAO''s)'!$C$3:$C$6,
                MATCH(TRUE,'Hulp (CAO''s)'!$D$3:$D$6,0)) &amp; "'!A:A"),0)-1,
            1000
        )
    )
) * R54
)</f>
        <v/>
      </c>
      <c r="S55" s="86" t="str">
        <f ca="1">IF(
    OR(S53="",S54=""),
    "",
    MAX(
    INDIRECT("'" &amp; INDEX('Hulp (CAO''s)'!$C$3:$C$6,
        MATCH(TRUE,'Hulp (CAO''s)'!$D$3:$D$6,0)) &amp; "'!" &amp;
        INDEX('Hulp (CAO''s)'!$H$3:$H$6,
            MATCH(TRUE,'Hulp (CAO''s)'!$D$3:$D$6,0))
        &amp;
        MATCH(S53, INDIRECT("'" &amp; INDEX('Hulp (CAO''s)'!$C$3:$C$6,
            MATCH(TRUE,'Hulp (CAO''s)'!$D$3:$D$6,0)) &amp; "'!A:A"),0)
        &amp; ":H" &amp;
        IF(T53&lt;&gt;"",
            MATCH(T53, INDIRECT("'" &amp; INDEX('Hulp (CAO''s)'!$C$3:$C$6,
                MATCH(TRUE,'Hulp (CAO''s)'!$D$3:$D$6,0)) &amp; "'!A:A"),0)-1,
            1000
        )
    )
) * S54
)</f>
        <v/>
      </c>
      <c r="T55" s="39" t="str">
        <f ca="1">IF(
    OR(T53="",T54=""),
    "",
    MAX(
    INDIRECT("'" &amp; INDEX('Hulp (CAO''s)'!$C$3:$C$6,
        MATCH(TRUE,'Hulp (CAO''s)'!$D$3:$D$6,0)) &amp; "'!" &amp;
        INDEX('Hulp (CAO''s)'!$H$3:$H$6,
            MATCH(TRUE,'Hulp (CAO''s)'!$D$3:$D$6,0))
        &amp;
        MATCH(T53, INDIRECT("'" &amp; INDEX('Hulp (CAO''s)'!$C$3:$C$6,
            MATCH(TRUE,'Hulp (CAO''s)'!$D$3:$D$6,0)) &amp; "'!A:A"),0)
        &amp; ":H" &amp;
        IF(U53&lt;&gt;"",
            MATCH(U53, INDIRECT("'" &amp; INDEX('Hulp (CAO''s)'!$C$3:$C$6,
                MATCH(TRUE,'Hulp (CAO''s)'!$D$3:$D$6,0)) &amp; "'!A:A"),0)-1,
            1000
        )
    )
) * T54
)</f>
        <v/>
      </c>
      <c r="V55" s="38" t="str">
        <f t="array" aca="1" ref="V55" ca="1">IF(
   SUM(E55:T55)=0,
   "",
   (
      SUMPRODUCT(
         IF(E55:T55="",0,E55:T55),
         IF(E56:T56="",0,E56:T56) * SUM(E56:T56)
      )
   ) *
   IF(
      'Hulp (CAO''s)'!#REF!,
      IF(
         OR(
            INDEX(#REF!, ROW(#REF!) + INT((ROW()-ROW($V$7))/6)*8)="",
            ISNA(INDEX(#REF!, ROW(#REF!) + INT((ROW()-ROW($V$7))/6)*8))
         ),
         1878/12,
         INDEX(#REF!, ROW(#REF!) + INT((ROW()-ROW($V$7))/6)*8)/12
      ),
      1
   )
)</f>
        <v/>
      </c>
    </row>
    <row r="56" spans="2:24" ht="14.65" thickBot="1" x14ac:dyDescent="0.5">
      <c r="B56" s="48" t="s">
        <v>60</v>
      </c>
      <c r="D56" s="24" t="s">
        <v>59</v>
      </c>
      <c r="E56" s="8"/>
      <c r="F56" s="8"/>
      <c r="G56" s="8"/>
      <c r="H56" s="8"/>
      <c r="I56" s="8"/>
      <c r="J56" s="8"/>
      <c r="K56" s="8"/>
      <c r="L56" s="8"/>
      <c r="M56" s="8"/>
      <c r="N56" s="8"/>
      <c r="O56" s="8"/>
      <c r="P56" s="8"/>
      <c r="Q56" s="8"/>
      <c r="R56" s="8"/>
      <c r="S56" s="8"/>
      <c r="T56" s="9"/>
      <c r="U56" s="7"/>
      <c r="V56" s="37" t="str">
        <f ca="1">IF(B53="","",IF(INDIRECT("'Hulp (control forms)'!C" &amp; (13 + INT((ROW()-ROW($B$5))/6))), V54, V55))</f>
        <v/>
      </c>
      <c r="W56" s="7"/>
    </row>
    <row r="57" spans="2:24" x14ac:dyDescent="0.5">
      <c r="S57" s="7" t="str">
        <f>IF($B56="Aandeel in %",
   "Totaal: "&amp;SUM(E56:T56)*100&amp;"%",
   "Totaal: "&amp;SUM(E56:T56)&amp;" uur"
)</f>
        <v>Totaal: 0%</v>
      </c>
      <c r="T57" s="7"/>
    </row>
    <row r="58" spans="2:24" ht="16.149999999999999" thickBot="1" x14ac:dyDescent="0.55000000000000004">
      <c r="B58" s="44" t="str">
        <f ca="1">IF(B59="","",IF(
   OR(
      INDIRECT("'1a. Input organisatieniveau'!N" &amp; (14 + INT((ROW()-4)/6)))="",
      INDIRECT("'1a. Input organisatieniveau'!N" &amp; (14 + INT((ROW()-4)/6)))=0
   ),
   "",
   INDIRECT("'1a. Input organisatieniveau'!N" &amp; (14 + INT((ROW()-4)/6)))
))</f>
        <v/>
      </c>
      <c r="E58" s="61" t="str">
        <f ca="1">IF(AND(AND(E59&lt;&gt;"",E60&lt;&gt;""),E61=""),"!","")</f>
        <v/>
      </c>
      <c r="F58" s="61" t="str">
        <f t="shared" ref="F58:T58" ca="1" si="9">IF(AND(AND(F59&lt;&gt;"",F60&lt;&gt;""),F61=""),"!","")</f>
        <v/>
      </c>
      <c r="G58" s="61" t="str">
        <f t="shared" ca="1" si="9"/>
        <v/>
      </c>
      <c r="H58" s="61" t="str">
        <f t="shared" ca="1" si="9"/>
        <v/>
      </c>
      <c r="I58" s="61" t="str">
        <f t="shared" ca="1" si="9"/>
        <v/>
      </c>
      <c r="J58" s="61" t="str">
        <f t="shared" ca="1" si="9"/>
        <v/>
      </c>
      <c r="K58" s="61" t="str">
        <f t="shared" ca="1" si="9"/>
        <v/>
      </c>
      <c r="L58" s="61" t="str">
        <f t="shared" ca="1" si="9"/>
        <v/>
      </c>
      <c r="M58" s="61" t="str">
        <f t="shared" ca="1" si="9"/>
        <v/>
      </c>
      <c r="N58" s="61" t="str">
        <f t="shared" ca="1" si="9"/>
        <v/>
      </c>
      <c r="O58" s="61" t="str">
        <f t="shared" ca="1" si="9"/>
        <v/>
      </c>
      <c r="P58" s="61" t="str">
        <f t="shared" ca="1" si="9"/>
        <v/>
      </c>
      <c r="Q58" s="61" t="str">
        <f t="shared" ca="1" si="9"/>
        <v/>
      </c>
      <c r="R58" s="61" t="str">
        <f t="shared" ca="1" si="9"/>
        <v/>
      </c>
      <c r="S58" s="61" t="str">
        <f t="shared" ca="1" si="9"/>
        <v/>
      </c>
      <c r="T58" s="61" t="str">
        <f t="shared" ca="1" si="9"/>
        <v/>
      </c>
    </row>
    <row r="59" spans="2:24" ht="16.149999999999999" thickBot="1" x14ac:dyDescent="0.55000000000000004">
      <c r="B59" s="45" t="str">
        <f ca="1">IF(
   OR(
      INDIRECT("'1a. Input organisatieniveau'!M" &amp; (14 + INT((ROW()-4)/6)))="",
      INDIRECT("'1a. Input organisatieniveau'!M" &amp; (14 + INT((ROW()-4)/6)))=0
   ),
   "",
   INDIRECT("'1a. Input organisatieniveau'!M" &amp; (14 + INT((ROW()-4)/6)))
)</f>
        <v/>
      </c>
      <c r="D59" s="22" t="s">
        <v>28</v>
      </c>
      <c r="E59" s="10" t="str">
        <f t="array" aca="1" ref="E59" ca="1">IF($B59="", "", INDEX('Hulp (CAO''s)'!J$3:J$6, MATCH(TRUE, 'Hulp (CAO''s)'!$D$3:$D$6, 0)))</f>
        <v/>
      </c>
      <c r="F59" s="10" t="str">
        <f t="array" aca="1" ref="F59" ca="1">IF($B59="", "", INDEX('Hulp (CAO''s)'!K$3:K$6, MATCH(TRUE, 'Hulp (CAO''s)'!$D$3:$D$6, 0)))</f>
        <v/>
      </c>
      <c r="G59" s="10" t="str">
        <f t="array" aca="1" ref="G59" ca="1">IF($B59="", "", INDEX('Hulp (CAO''s)'!L$3:L$6, MATCH(TRUE, 'Hulp (CAO''s)'!$D$3:$D$6, 0)))</f>
        <v/>
      </c>
      <c r="H59" s="10" t="str">
        <f t="array" aca="1" ref="H59" ca="1">IF($B59="", "", INDEX('Hulp (CAO''s)'!M$3:M$6, MATCH(TRUE, 'Hulp (CAO''s)'!$D$3:$D$6, 0)))</f>
        <v/>
      </c>
      <c r="I59" s="10" t="str">
        <f t="array" aca="1" ref="I59" ca="1">IF($B59="", "", INDEX('Hulp (CAO''s)'!N$3:N$6, MATCH(TRUE, 'Hulp (CAO''s)'!$D$3:$D$6, 0)))</f>
        <v/>
      </c>
      <c r="J59" s="10" t="str">
        <f t="array" aca="1" ref="J59" ca="1">IF($B59="", "", INDEX('Hulp (CAO''s)'!O$3:O$6, MATCH(TRUE, 'Hulp (CAO''s)'!$D$3:$D$6, 0)))</f>
        <v/>
      </c>
      <c r="K59" s="10" t="str">
        <f t="array" aca="1" ref="K59" ca="1">IF($B59="", "", INDEX('Hulp (CAO''s)'!P$3:P$6, MATCH(TRUE, 'Hulp (CAO''s)'!$D$3:$D$6, 0)))</f>
        <v/>
      </c>
      <c r="L59" s="10" t="str">
        <f t="array" aca="1" ref="L59" ca="1">IF($B59="", "", INDEX('Hulp (CAO''s)'!Q$3:Q$6, MATCH(TRUE, 'Hulp (CAO''s)'!$D$3:$D$6, 0)))</f>
        <v/>
      </c>
      <c r="M59" s="10" t="str">
        <f t="array" aca="1" ref="M59" ca="1">IF($B59="", "", INDEX('Hulp (CAO''s)'!R$3:R$6, MATCH(TRUE, 'Hulp (CAO''s)'!$D$3:$D$6, 0)))</f>
        <v/>
      </c>
      <c r="N59" s="10" t="str">
        <f t="array" aca="1" ref="N59" ca="1">IF($B59="", "", INDEX('Hulp (CAO''s)'!S$3:S$6, MATCH(TRUE, 'Hulp (CAO''s)'!$D$3:$D$6, 0)))</f>
        <v/>
      </c>
      <c r="O59" s="10" t="str">
        <f t="array" aca="1" ref="O59" ca="1">IF($B59="", "", INDEX('Hulp (CAO''s)'!T$3:T$6, MATCH(TRUE, 'Hulp (CAO''s)'!$D$3:$D$6, 0)))</f>
        <v/>
      </c>
      <c r="P59" s="10" t="str">
        <f t="array" aca="1" ref="P59" ca="1">IF($B59="", "", INDEX('Hulp (CAO''s)'!U$3:U$6, MATCH(TRUE, 'Hulp (CAO''s)'!$D$3:$D$6, 0)))</f>
        <v/>
      </c>
      <c r="Q59" s="10" t="str">
        <f t="array" aca="1" ref="Q59" ca="1">IF($B59="", "", INDEX('Hulp (CAO''s)'!V$3:V$6, MATCH(TRUE, 'Hulp (CAO''s)'!$D$3:$D$6, 0)))</f>
        <v/>
      </c>
      <c r="R59" s="10" t="str">
        <f t="array" aca="1" ref="R59" ca="1">IF($B59="", "", INDEX('Hulp (CAO''s)'!W$3:W$6, MATCH(TRUE, 'Hulp (CAO''s)'!$D$3:$D$6, 0)))</f>
        <v/>
      </c>
      <c r="S59" s="10" t="str">
        <f t="array" aca="1" ref="S59" ca="1">IF($B59="", "", INDEX('Hulp (CAO''s)'!X$3:X$6, MATCH(TRUE, 'Hulp (CAO''s)'!$D$3:$D$6, 0)))</f>
        <v/>
      </c>
      <c r="T59" s="11" t="str">
        <f t="array" aca="1" ref="T59" ca="1">IF($B59="", "", INDEX('Hulp (CAO''s)'!Y$3:Y$6, MATCH(TRUE, 'Hulp (CAO''s)'!$D$3:$D$6, 0)))</f>
        <v/>
      </c>
      <c r="V59" s="25" t="s">
        <v>32</v>
      </c>
      <c r="W59" s="5"/>
    </row>
    <row r="60" spans="2:24" x14ac:dyDescent="0.5">
      <c r="D60" s="23" t="s">
        <v>770</v>
      </c>
      <c r="E60" s="92">
        <v>0.96</v>
      </c>
      <c r="F60" s="92">
        <v>0.9</v>
      </c>
      <c r="G60" s="92">
        <v>0.9</v>
      </c>
      <c r="H60" s="92">
        <v>0.7</v>
      </c>
      <c r="I60" s="92">
        <v>0.8</v>
      </c>
      <c r="J60" s="92">
        <v>0.9</v>
      </c>
      <c r="K60" s="92">
        <v>0.9</v>
      </c>
      <c r="L60" s="92">
        <v>0.9</v>
      </c>
      <c r="M60" s="92">
        <v>0.9</v>
      </c>
      <c r="N60" s="92">
        <v>0.8</v>
      </c>
      <c r="O60" s="92">
        <v>0.95</v>
      </c>
      <c r="P60" s="92">
        <v>0.93</v>
      </c>
      <c r="Q60" s="92">
        <v>0.93</v>
      </c>
      <c r="R60" s="92">
        <v>0.95</v>
      </c>
      <c r="S60" s="92">
        <v>0.92</v>
      </c>
      <c r="T60" s="93">
        <v>0.95</v>
      </c>
      <c r="V60" s="52">
        <v>4300</v>
      </c>
      <c r="X60" s="60" t="s">
        <v>747</v>
      </c>
    </row>
    <row r="61" spans="2:24" ht="14.65" thickBot="1" x14ac:dyDescent="0.5">
      <c r="B61"/>
      <c r="D61" s="40" t="str">
        <f>IFERROR(
   INDEX('Hulp (CAO''s)'!$I$3:$I$6, MATCH(TRUE, 'Hulp (CAO''s)'!$D$3:$D$6, 0)),
"")</f>
        <v>Bruto maandsalaris</v>
      </c>
      <c r="E61" s="86" t="str">
        <f ca="1">IF(
    OR(E59="",E60=""),
    "",
    MAX(
    INDIRECT("'" &amp; INDEX('Hulp (CAO''s)'!$C$3:$C$6,
        MATCH(TRUE,'Hulp (CAO''s)'!$D$3:$D$6,0)) &amp; "'!" &amp;
        INDEX('Hulp (CAO''s)'!$H$3:$H$6,
            MATCH(TRUE,'Hulp (CAO''s)'!$D$3:$D$6,0))
        &amp;
        MATCH(E59, INDIRECT("'" &amp; INDEX('Hulp (CAO''s)'!$C$3:$C$6,
            MATCH(TRUE,'Hulp (CAO''s)'!$D$3:$D$6,0)) &amp; "'!A:A"),0)
        &amp; ":H" &amp;
        IF(F59&lt;&gt;"",
            MATCH(F59, INDIRECT("'" &amp; INDEX('Hulp (CAO''s)'!$C$3:$C$6,
                MATCH(TRUE,'Hulp (CAO''s)'!$D$3:$D$6,0)) &amp; "'!A:A"),0)-1,
            1000
        )
    )
) * E60
)</f>
        <v/>
      </c>
      <c r="F61" s="86" t="str">
        <f ca="1">IF(
    OR(F59="",F60=""),
    "",
    MAX(
    INDIRECT("'" &amp; INDEX('Hulp (CAO''s)'!$C$3:$C$6,
        MATCH(TRUE,'Hulp (CAO''s)'!$D$3:$D$6,0)) &amp; "'!" &amp;
        INDEX('Hulp (CAO''s)'!$H$3:$H$6,
            MATCH(TRUE,'Hulp (CAO''s)'!$D$3:$D$6,0))
        &amp;
        MATCH(F59, INDIRECT("'" &amp; INDEX('Hulp (CAO''s)'!$C$3:$C$6,
            MATCH(TRUE,'Hulp (CAO''s)'!$D$3:$D$6,0)) &amp; "'!A:A"),0)
        &amp; ":H" &amp;
        IF(G59&lt;&gt;"",
            MATCH(G59, INDIRECT("'" &amp; INDEX('Hulp (CAO''s)'!$C$3:$C$6,
                MATCH(TRUE,'Hulp (CAO''s)'!$D$3:$D$6,0)) &amp; "'!A:A"),0)-1,
            1000
        )
    )
) * F60
)</f>
        <v/>
      </c>
      <c r="G61" s="86" t="str">
        <f ca="1">IF(
    OR(G59="",G60=""),
    "",
    MAX(
    INDIRECT("'" &amp; INDEX('Hulp (CAO''s)'!$C$3:$C$6,
        MATCH(TRUE,'Hulp (CAO''s)'!$D$3:$D$6,0)) &amp; "'!" &amp;
        INDEX('Hulp (CAO''s)'!$H$3:$H$6,
            MATCH(TRUE,'Hulp (CAO''s)'!$D$3:$D$6,0))
        &amp;
        MATCH(G59, INDIRECT("'" &amp; INDEX('Hulp (CAO''s)'!$C$3:$C$6,
            MATCH(TRUE,'Hulp (CAO''s)'!$D$3:$D$6,0)) &amp; "'!A:A"),0)
        &amp; ":H" &amp;
        IF(H59&lt;&gt;"",
            MATCH(H59, INDIRECT("'" &amp; INDEX('Hulp (CAO''s)'!$C$3:$C$6,
                MATCH(TRUE,'Hulp (CAO''s)'!$D$3:$D$6,0)) &amp; "'!A:A"),0)-1,
            1000
        )
    )
) * G60
)</f>
        <v/>
      </c>
      <c r="H61" s="86" t="str">
        <f ca="1">IF(
    OR(H59="",H60=""),
    "",
    MAX(
    INDIRECT("'" &amp; INDEX('Hulp (CAO''s)'!$C$3:$C$6,
        MATCH(TRUE,'Hulp (CAO''s)'!$D$3:$D$6,0)) &amp; "'!" &amp;
        INDEX('Hulp (CAO''s)'!$H$3:$H$6,
            MATCH(TRUE,'Hulp (CAO''s)'!$D$3:$D$6,0))
        &amp;
        MATCH(H59, INDIRECT("'" &amp; INDEX('Hulp (CAO''s)'!$C$3:$C$6,
            MATCH(TRUE,'Hulp (CAO''s)'!$D$3:$D$6,0)) &amp; "'!A:A"),0)
        &amp; ":H" &amp;
        IF(I59&lt;&gt;"",
            MATCH(I59, INDIRECT("'" &amp; INDEX('Hulp (CAO''s)'!$C$3:$C$6,
                MATCH(TRUE,'Hulp (CAO''s)'!$D$3:$D$6,0)) &amp; "'!A:A"),0)-1,
            1000
        )
    )
) * H60
)</f>
        <v/>
      </c>
      <c r="I61" s="86" t="str">
        <f ca="1">IF(
    OR(I59="",I60=""),
    "",
    MAX(
    INDIRECT("'" &amp; INDEX('Hulp (CAO''s)'!$C$3:$C$6,
        MATCH(TRUE,'Hulp (CAO''s)'!$D$3:$D$6,0)) &amp; "'!" &amp;
        INDEX('Hulp (CAO''s)'!$H$3:$H$6,
            MATCH(TRUE,'Hulp (CAO''s)'!$D$3:$D$6,0))
        &amp;
        MATCH(I59, INDIRECT("'" &amp; INDEX('Hulp (CAO''s)'!$C$3:$C$6,
            MATCH(TRUE,'Hulp (CAO''s)'!$D$3:$D$6,0)) &amp; "'!A:A"),0)
        &amp; ":H" &amp;
        IF(J59&lt;&gt;"",
            MATCH(J59, INDIRECT("'" &amp; INDEX('Hulp (CAO''s)'!$C$3:$C$6,
                MATCH(TRUE,'Hulp (CAO''s)'!$D$3:$D$6,0)) &amp; "'!A:A"),0)-1,
            1000
        )
    )
) * I60
)</f>
        <v/>
      </c>
      <c r="J61" s="86" t="str">
        <f ca="1">IF(
    OR(J59="",J60=""),
    "",
    MAX(
    INDIRECT("'" &amp; INDEX('Hulp (CAO''s)'!$C$3:$C$6,
        MATCH(TRUE,'Hulp (CAO''s)'!$D$3:$D$6,0)) &amp; "'!" &amp;
        INDEX('Hulp (CAO''s)'!$H$3:$H$6,
            MATCH(TRUE,'Hulp (CAO''s)'!$D$3:$D$6,0))
        &amp;
        MATCH(J59, INDIRECT("'" &amp; INDEX('Hulp (CAO''s)'!$C$3:$C$6,
            MATCH(TRUE,'Hulp (CAO''s)'!$D$3:$D$6,0)) &amp; "'!A:A"),0)
        &amp; ":H" &amp;
        IF(K59&lt;&gt;"",
            MATCH(K59, INDIRECT("'" &amp; INDEX('Hulp (CAO''s)'!$C$3:$C$6,
                MATCH(TRUE,'Hulp (CAO''s)'!$D$3:$D$6,0)) &amp; "'!A:A"),0)-1,
            1000
        )
    )
) * J60
)</f>
        <v/>
      </c>
      <c r="K61" s="86" t="str">
        <f ca="1">IF(
    OR(K59="",K60=""),
    "",
    MAX(
    INDIRECT("'" &amp; INDEX('Hulp (CAO''s)'!$C$3:$C$6,
        MATCH(TRUE,'Hulp (CAO''s)'!$D$3:$D$6,0)) &amp; "'!" &amp;
        INDEX('Hulp (CAO''s)'!$H$3:$H$6,
            MATCH(TRUE,'Hulp (CAO''s)'!$D$3:$D$6,0))
        &amp;
        MATCH(K59, INDIRECT("'" &amp; INDEX('Hulp (CAO''s)'!$C$3:$C$6,
            MATCH(TRUE,'Hulp (CAO''s)'!$D$3:$D$6,0)) &amp; "'!A:A"),0)
        &amp; ":H" &amp;
        IF(L59&lt;&gt;"",
            MATCH(L59, INDIRECT("'" &amp; INDEX('Hulp (CAO''s)'!$C$3:$C$6,
                MATCH(TRUE,'Hulp (CAO''s)'!$D$3:$D$6,0)) &amp; "'!A:A"),0)-1,
            1000
        )
    )
) * K60
)</f>
        <v/>
      </c>
      <c r="L61" s="86" t="str">
        <f ca="1">IF(
    OR(L59="",L60=""),
    "",
    MAX(
    INDIRECT("'" &amp; INDEX('Hulp (CAO''s)'!$C$3:$C$6,
        MATCH(TRUE,'Hulp (CAO''s)'!$D$3:$D$6,0)) &amp; "'!" &amp;
        INDEX('Hulp (CAO''s)'!$H$3:$H$6,
            MATCH(TRUE,'Hulp (CAO''s)'!$D$3:$D$6,0))
        &amp;
        MATCH(L59, INDIRECT("'" &amp; INDEX('Hulp (CAO''s)'!$C$3:$C$6,
            MATCH(TRUE,'Hulp (CAO''s)'!$D$3:$D$6,0)) &amp; "'!A:A"),0)
        &amp; ":H" &amp;
        IF(M59&lt;&gt;"",
            MATCH(M59, INDIRECT("'" &amp; INDEX('Hulp (CAO''s)'!$C$3:$C$6,
                MATCH(TRUE,'Hulp (CAO''s)'!$D$3:$D$6,0)) &amp; "'!A:A"),0)-1,
            1000
        )
    )
) * L60
)</f>
        <v/>
      </c>
      <c r="M61" s="86" t="str">
        <f ca="1">IF(
    OR(M59="",M60=""),
    "",
    MAX(
    INDIRECT("'" &amp; INDEX('Hulp (CAO''s)'!$C$3:$C$6,
        MATCH(TRUE,'Hulp (CAO''s)'!$D$3:$D$6,0)) &amp; "'!" &amp;
        INDEX('Hulp (CAO''s)'!$H$3:$H$6,
            MATCH(TRUE,'Hulp (CAO''s)'!$D$3:$D$6,0))
        &amp;
        MATCH(M59, INDIRECT("'" &amp; INDEX('Hulp (CAO''s)'!$C$3:$C$6,
            MATCH(TRUE,'Hulp (CAO''s)'!$D$3:$D$6,0)) &amp; "'!A:A"),0)
        &amp; ":H" &amp;
        IF(N59&lt;&gt;"",
            MATCH(N59, INDIRECT("'" &amp; INDEX('Hulp (CAO''s)'!$C$3:$C$6,
                MATCH(TRUE,'Hulp (CAO''s)'!$D$3:$D$6,0)) &amp; "'!A:A"),0)-1,
            1000
        )
    )
) * M60
)</f>
        <v/>
      </c>
      <c r="N61" s="86" t="str">
        <f ca="1">IF(
    OR(N59="",N60=""),
    "",
    MAX(
    INDIRECT("'" &amp; INDEX('Hulp (CAO''s)'!$C$3:$C$6,
        MATCH(TRUE,'Hulp (CAO''s)'!$D$3:$D$6,0)) &amp; "'!" &amp;
        INDEX('Hulp (CAO''s)'!$H$3:$H$6,
            MATCH(TRUE,'Hulp (CAO''s)'!$D$3:$D$6,0))
        &amp;
        MATCH(N59, INDIRECT("'" &amp; INDEX('Hulp (CAO''s)'!$C$3:$C$6,
            MATCH(TRUE,'Hulp (CAO''s)'!$D$3:$D$6,0)) &amp; "'!A:A"),0)
        &amp; ":H" &amp;
        IF(O59&lt;&gt;"",
            MATCH(O59, INDIRECT("'" &amp; INDEX('Hulp (CAO''s)'!$C$3:$C$6,
                MATCH(TRUE,'Hulp (CAO''s)'!$D$3:$D$6,0)) &amp; "'!A:A"),0)-1,
            1000
        )
    )
) * N60
)</f>
        <v/>
      </c>
      <c r="O61" s="86" t="str">
        <f ca="1">IF(
    OR(O59="",O60=""),
    "",
    MAX(
    INDIRECT("'" &amp; INDEX('Hulp (CAO''s)'!$C$3:$C$6,
        MATCH(TRUE,'Hulp (CAO''s)'!$D$3:$D$6,0)) &amp; "'!" &amp;
        INDEX('Hulp (CAO''s)'!$H$3:$H$6,
            MATCH(TRUE,'Hulp (CAO''s)'!$D$3:$D$6,0))
        &amp;
        MATCH(O59, INDIRECT("'" &amp; INDEX('Hulp (CAO''s)'!$C$3:$C$6,
            MATCH(TRUE,'Hulp (CAO''s)'!$D$3:$D$6,0)) &amp; "'!A:A"),0)
        &amp; ":H" &amp;
        IF(P59&lt;&gt;"",
            MATCH(P59, INDIRECT("'" &amp; INDEX('Hulp (CAO''s)'!$C$3:$C$6,
                MATCH(TRUE,'Hulp (CAO''s)'!$D$3:$D$6,0)) &amp; "'!A:A"),0)-1,
            1000
        )
    )
) * O60
)</f>
        <v/>
      </c>
      <c r="P61" s="86" t="str">
        <f ca="1">IF(
    OR(P59="",P60=""),
    "",
    MAX(
    INDIRECT("'" &amp; INDEX('Hulp (CAO''s)'!$C$3:$C$6,
        MATCH(TRUE,'Hulp (CAO''s)'!$D$3:$D$6,0)) &amp; "'!" &amp;
        INDEX('Hulp (CAO''s)'!$H$3:$H$6,
            MATCH(TRUE,'Hulp (CAO''s)'!$D$3:$D$6,0))
        &amp;
        MATCH(P59, INDIRECT("'" &amp; INDEX('Hulp (CAO''s)'!$C$3:$C$6,
            MATCH(TRUE,'Hulp (CAO''s)'!$D$3:$D$6,0)) &amp; "'!A:A"),0)
        &amp; ":H" &amp;
        IF(Q59&lt;&gt;"",
            MATCH(Q59, INDIRECT("'" &amp; INDEX('Hulp (CAO''s)'!$C$3:$C$6,
                MATCH(TRUE,'Hulp (CAO''s)'!$D$3:$D$6,0)) &amp; "'!A:A"),0)-1,
            1000
        )
    )
) * P60
)</f>
        <v/>
      </c>
      <c r="Q61" s="86" t="str">
        <f ca="1">IF(
    OR(Q59="",Q60=""),
    "",
    MAX(
    INDIRECT("'" &amp; INDEX('Hulp (CAO''s)'!$C$3:$C$6,
        MATCH(TRUE,'Hulp (CAO''s)'!$D$3:$D$6,0)) &amp; "'!" &amp;
        INDEX('Hulp (CAO''s)'!$H$3:$H$6,
            MATCH(TRUE,'Hulp (CAO''s)'!$D$3:$D$6,0))
        &amp;
        MATCH(Q59, INDIRECT("'" &amp; INDEX('Hulp (CAO''s)'!$C$3:$C$6,
            MATCH(TRUE,'Hulp (CAO''s)'!$D$3:$D$6,0)) &amp; "'!A:A"),0)
        &amp; ":H" &amp;
        IF(R59&lt;&gt;"",
            MATCH(R59, INDIRECT("'" &amp; INDEX('Hulp (CAO''s)'!$C$3:$C$6,
                MATCH(TRUE,'Hulp (CAO''s)'!$D$3:$D$6,0)) &amp; "'!A:A"),0)-1,
            1000
        )
    )
) * Q60
)</f>
        <v/>
      </c>
      <c r="R61" s="86" t="str">
        <f ca="1">IF(
    OR(R59="",R60=""),
    "",
    MAX(
    INDIRECT("'" &amp; INDEX('Hulp (CAO''s)'!$C$3:$C$6,
        MATCH(TRUE,'Hulp (CAO''s)'!$D$3:$D$6,0)) &amp; "'!" &amp;
        INDEX('Hulp (CAO''s)'!$H$3:$H$6,
            MATCH(TRUE,'Hulp (CAO''s)'!$D$3:$D$6,0))
        &amp;
        MATCH(R59, INDIRECT("'" &amp; INDEX('Hulp (CAO''s)'!$C$3:$C$6,
            MATCH(TRUE,'Hulp (CAO''s)'!$D$3:$D$6,0)) &amp; "'!A:A"),0)
        &amp; ":H" &amp;
        IF(S59&lt;&gt;"",
            MATCH(S59, INDIRECT("'" &amp; INDEX('Hulp (CAO''s)'!$C$3:$C$6,
                MATCH(TRUE,'Hulp (CAO''s)'!$D$3:$D$6,0)) &amp; "'!A:A"),0)-1,
            1000
        )
    )
) * R60
)</f>
        <v/>
      </c>
      <c r="S61" s="86" t="str">
        <f ca="1">IF(
    OR(S59="",S60=""),
    "",
    MAX(
    INDIRECT("'" &amp; INDEX('Hulp (CAO''s)'!$C$3:$C$6,
        MATCH(TRUE,'Hulp (CAO''s)'!$D$3:$D$6,0)) &amp; "'!" &amp;
        INDEX('Hulp (CAO''s)'!$H$3:$H$6,
            MATCH(TRUE,'Hulp (CAO''s)'!$D$3:$D$6,0))
        &amp;
        MATCH(S59, INDIRECT("'" &amp; INDEX('Hulp (CAO''s)'!$C$3:$C$6,
            MATCH(TRUE,'Hulp (CAO''s)'!$D$3:$D$6,0)) &amp; "'!A:A"),0)
        &amp; ":H" &amp;
        IF(T59&lt;&gt;"",
            MATCH(T59, INDIRECT("'" &amp; INDEX('Hulp (CAO''s)'!$C$3:$C$6,
                MATCH(TRUE,'Hulp (CAO''s)'!$D$3:$D$6,0)) &amp; "'!A:A"),0)-1,
            1000
        )
    )
) * S60
)</f>
        <v/>
      </c>
      <c r="T61" s="39" t="str">
        <f ca="1">IF(
    OR(T59="",T60=""),
    "",
    MAX(
    INDIRECT("'" &amp; INDEX('Hulp (CAO''s)'!$C$3:$C$6,
        MATCH(TRUE,'Hulp (CAO''s)'!$D$3:$D$6,0)) &amp; "'!" &amp;
        INDEX('Hulp (CAO''s)'!$H$3:$H$6,
            MATCH(TRUE,'Hulp (CAO''s)'!$D$3:$D$6,0))
        &amp;
        MATCH(T59, INDIRECT("'" &amp; INDEX('Hulp (CAO''s)'!$C$3:$C$6,
            MATCH(TRUE,'Hulp (CAO''s)'!$D$3:$D$6,0)) &amp; "'!A:A"),0)
        &amp; ":H" &amp;
        IF(U59&lt;&gt;"",
            MATCH(U59, INDIRECT("'" &amp; INDEX('Hulp (CAO''s)'!$C$3:$C$6,
                MATCH(TRUE,'Hulp (CAO''s)'!$D$3:$D$6,0)) &amp; "'!A:A"),0)-1,
            1000
        )
    )
) * T60
)</f>
        <v/>
      </c>
      <c r="V61" s="38" t="str">
        <f t="array" aca="1" ref="V61" ca="1">IF(
   SUM(E61:T61)=0,
   "",
   (
      SUMPRODUCT(
         IF(E61:T61="",0,E61:T61),
         IF(E62:T62="",0,E62:T62) * SUM(E62:T62)
      )
   ) *
   IF(
      'Hulp (CAO''s)'!#REF!,
      IF(
         OR(
            INDEX(#REF!, ROW(#REF!) + INT((ROW()-ROW($V$7))/6)*8)="",
            ISNA(INDEX(#REF!, ROW(#REF!) + INT((ROW()-ROW($V$7))/6)*8))
         ),
         1878/12,
         INDEX(#REF!, ROW(#REF!) + INT((ROW()-ROW($V$7))/6)*8)/12
      ),
      1
   )
)</f>
        <v/>
      </c>
    </row>
    <row r="62" spans="2:24" ht="14.65" thickBot="1" x14ac:dyDescent="0.5">
      <c r="B62" s="48" t="s">
        <v>60</v>
      </c>
      <c r="D62" s="24" t="s">
        <v>59</v>
      </c>
      <c r="E62" s="8"/>
      <c r="F62" s="8"/>
      <c r="G62" s="8"/>
      <c r="H62" s="8"/>
      <c r="I62" s="8"/>
      <c r="J62" s="8"/>
      <c r="K62" s="8"/>
      <c r="L62" s="8"/>
      <c r="M62" s="8"/>
      <c r="N62" s="8"/>
      <c r="O62" s="8"/>
      <c r="P62" s="8"/>
      <c r="Q62" s="8"/>
      <c r="R62" s="8"/>
      <c r="S62" s="8"/>
      <c r="T62" s="9"/>
      <c r="U62" s="7"/>
      <c r="V62" s="37" t="str">
        <f ca="1">IF(B59="","",IF(INDIRECT("'Hulp (control forms)'!C" &amp; (13 + INT((ROW()-ROW($B$5))/6))), V60, V61))</f>
        <v/>
      </c>
      <c r="W62" s="7"/>
    </row>
    <row r="63" spans="2:24" x14ac:dyDescent="0.5">
      <c r="S63" s="7" t="str">
        <f>IF($B62="Aandeel in %",
   "Totaal: "&amp;SUM(E62:T62)*100&amp;"%",
   "Totaal: "&amp;SUM(E62:T62)&amp;" uur"
)</f>
        <v>Totaal: 0%</v>
      </c>
      <c r="T63" s="7"/>
    </row>
    <row r="64" spans="2:24" ht="16.149999999999999" thickBot="1" x14ac:dyDescent="0.55000000000000004">
      <c r="B64" s="44" t="str">
        <f ca="1">IF(B65="","",IF(
   OR(
      INDIRECT("'1a. Input organisatieniveau'!N" &amp; (14 + INT((ROW()-4)/6)))="",
      INDIRECT("'1a. Input organisatieniveau'!N" &amp; (14 + INT((ROW()-4)/6)))=0
   ),
   "",
   INDIRECT("'1a. Input organisatieniveau'!N" &amp; (14 + INT((ROW()-4)/6)))
))</f>
        <v/>
      </c>
      <c r="E64" s="61" t="str">
        <f ca="1">IF(AND(AND(E65&lt;&gt;"",E66&lt;&gt;""),E67=""),"!","")</f>
        <v/>
      </c>
      <c r="F64" s="61" t="str">
        <f t="shared" ref="F64:T64" ca="1" si="10">IF(AND(AND(F65&lt;&gt;"",F66&lt;&gt;""),F67=""),"!","")</f>
        <v/>
      </c>
      <c r="G64" s="61" t="str">
        <f t="shared" ca="1" si="10"/>
        <v/>
      </c>
      <c r="H64" s="61" t="str">
        <f t="shared" ca="1" si="10"/>
        <v/>
      </c>
      <c r="I64" s="61" t="str">
        <f t="shared" ca="1" si="10"/>
        <v/>
      </c>
      <c r="J64" s="61" t="str">
        <f t="shared" ca="1" si="10"/>
        <v/>
      </c>
      <c r="K64" s="61" t="str">
        <f t="shared" ca="1" si="10"/>
        <v/>
      </c>
      <c r="L64" s="61" t="str">
        <f t="shared" ca="1" si="10"/>
        <v/>
      </c>
      <c r="M64" s="61" t="str">
        <f t="shared" ca="1" si="10"/>
        <v/>
      </c>
      <c r="N64" s="61" t="str">
        <f t="shared" ca="1" si="10"/>
        <v/>
      </c>
      <c r="O64" s="61" t="str">
        <f t="shared" ca="1" si="10"/>
        <v/>
      </c>
      <c r="P64" s="61" t="str">
        <f t="shared" ca="1" si="10"/>
        <v/>
      </c>
      <c r="Q64" s="61" t="str">
        <f t="shared" ca="1" si="10"/>
        <v/>
      </c>
      <c r="R64" s="61" t="str">
        <f t="shared" ca="1" si="10"/>
        <v/>
      </c>
      <c r="S64" s="61" t="str">
        <f t="shared" ca="1" si="10"/>
        <v/>
      </c>
      <c r="T64" s="61" t="str">
        <f t="shared" ca="1" si="10"/>
        <v/>
      </c>
    </row>
    <row r="65" spans="2:24" ht="16.149999999999999" thickBot="1" x14ac:dyDescent="0.55000000000000004">
      <c r="B65" s="45" t="str">
        <f ca="1">IF(
   OR(
      INDIRECT("'1a. Input organisatieniveau'!M" &amp; (14 + INT((ROW()-4)/6)))="",
      INDIRECT("'1a. Input organisatieniveau'!M" &amp; (14 + INT((ROW()-4)/6)))=0
   ),
   "",
   INDIRECT("'1a. Input organisatieniveau'!M" &amp; (14 + INT((ROW()-4)/6)))
)</f>
        <v/>
      </c>
      <c r="D65" s="22" t="s">
        <v>28</v>
      </c>
      <c r="E65" s="10" t="str">
        <f t="array" aca="1" ref="E65" ca="1">IF($B65="", "", INDEX('Hulp (CAO''s)'!J$3:J$6, MATCH(TRUE, 'Hulp (CAO''s)'!$D$3:$D$6, 0)))</f>
        <v/>
      </c>
      <c r="F65" s="10" t="str">
        <f t="array" aca="1" ref="F65" ca="1">IF($B65="", "", INDEX('Hulp (CAO''s)'!K$3:K$6, MATCH(TRUE, 'Hulp (CAO''s)'!$D$3:$D$6, 0)))</f>
        <v/>
      </c>
      <c r="G65" s="10" t="str">
        <f t="array" aca="1" ref="G65" ca="1">IF($B65="", "", INDEX('Hulp (CAO''s)'!L$3:L$6, MATCH(TRUE, 'Hulp (CAO''s)'!$D$3:$D$6, 0)))</f>
        <v/>
      </c>
      <c r="H65" s="10" t="str">
        <f t="array" aca="1" ref="H65" ca="1">IF($B65="", "", INDEX('Hulp (CAO''s)'!M$3:M$6, MATCH(TRUE, 'Hulp (CAO''s)'!$D$3:$D$6, 0)))</f>
        <v/>
      </c>
      <c r="I65" s="10" t="str">
        <f t="array" aca="1" ref="I65" ca="1">IF($B65="", "", INDEX('Hulp (CAO''s)'!N$3:N$6, MATCH(TRUE, 'Hulp (CAO''s)'!$D$3:$D$6, 0)))</f>
        <v/>
      </c>
      <c r="J65" s="10" t="str">
        <f t="array" aca="1" ref="J65" ca="1">IF($B65="", "", INDEX('Hulp (CAO''s)'!O$3:O$6, MATCH(TRUE, 'Hulp (CAO''s)'!$D$3:$D$6, 0)))</f>
        <v/>
      </c>
      <c r="K65" s="10" t="str">
        <f t="array" aca="1" ref="K65" ca="1">IF($B65="", "", INDEX('Hulp (CAO''s)'!P$3:P$6, MATCH(TRUE, 'Hulp (CAO''s)'!$D$3:$D$6, 0)))</f>
        <v/>
      </c>
      <c r="L65" s="10" t="str">
        <f t="array" aca="1" ref="L65" ca="1">IF($B65="", "", INDEX('Hulp (CAO''s)'!Q$3:Q$6, MATCH(TRUE, 'Hulp (CAO''s)'!$D$3:$D$6, 0)))</f>
        <v/>
      </c>
      <c r="M65" s="10" t="str">
        <f t="array" aca="1" ref="M65" ca="1">IF($B65="", "", INDEX('Hulp (CAO''s)'!R$3:R$6, MATCH(TRUE, 'Hulp (CAO''s)'!$D$3:$D$6, 0)))</f>
        <v/>
      </c>
      <c r="N65" s="10" t="str">
        <f t="array" aca="1" ref="N65" ca="1">IF($B65="", "", INDEX('Hulp (CAO''s)'!S$3:S$6, MATCH(TRUE, 'Hulp (CAO''s)'!$D$3:$D$6, 0)))</f>
        <v/>
      </c>
      <c r="O65" s="10" t="str">
        <f t="array" aca="1" ref="O65" ca="1">IF($B65="", "", INDEX('Hulp (CAO''s)'!T$3:T$6, MATCH(TRUE, 'Hulp (CAO''s)'!$D$3:$D$6, 0)))</f>
        <v/>
      </c>
      <c r="P65" s="10" t="str">
        <f t="array" aca="1" ref="P65" ca="1">IF($B65="", "", INDEX('Hulp (CAO''s)'!U$3:U$6, MATCH(TRUE, 'Hulp (CAO''s)'!$D$3:$D$6, 0)))</f>
        <v/>
      </c>
      <c r="Q65" s="10" t="str">
        <f t="array" aca="1" ref="Q65" ca="1">IF($B65="", "", INDEX('Hulp (CAO''s)'!V$3:V$6, MATCH(TRUE, 'Hulp (CAO''s)'!$D$3:$D$6, 0)))</f>
        <v/>
      </c>
      <c r="R65" s="10" t="str">
        <f t="array" aca="1" ref="R65" ca="1">IF($B65="", "", INDEX('Hulp (CAO''s)'!W$3:W$6, MATCH(TRUE, 'Hulp (CAO''s)'!$D$3:$D$6, 0)))</f>
        <v/>
      </c>
      <c r="S65" s="10" t="str">
        <f t="array" aca="1" ref="S65" ca="1">IF($B65="", "", INDEX('Hulp (CAO''s)'!X$3:X$6, MATCH(TRUE, 'Hulp (CAO''s)'!$D$3:$D$6, 0)))</f>
        <v/>
      </c>
      <c r="T65" s="11" t="str">
        <f t="array" aca="1" ref="T65" ca="1">IF($B65="", "", INDEX('Hulp (CAO''s)'!Y$3:Y$6, MATCH(TRUE, 'Hulp (CAO''s)'!$D$3:$D$6, 0)))</f>
        <v/>
      </c>
      <c r="V65" s="25" t="s">
        <v>32</v>
      </c>
      <c r="W65" s="5"/>
    </row>
    <row r="66" spans="2:24" x14ac:dyDescent="0.5">
      <c r="D66" s="23" t="s">
        <v>770</v>
      </c>
      <c r="E66" s="92">
        <v>0.96</v>
      </c>
      <c r="F66" s="92">
        <v>0.9</v>
      </c>
      <c r="G66" s="92">
        <v>0.9</v>
      </c>
      <c r="H66" s="92">
        <v>0.7</v>
      </c>
      <c r="I66" s="92">
        <v>0.8</v>
      </c>
      <c r="J66" s="92">
        <v>0.9</v>
      </c>
      <c r="K66" s="92">
        <v>0.9</v>
      </c>
      <c r="L66" s="92">
        <v>0.9</v>
      </c>
      <c r="M66" s="92">
        <v>0.9</v>
      </c>
      <c r="N66" s="92">
        <v>0.8</v>
      </c>
      <c r="O66" s="92">
        <v>0.95</v>
      </c>
      <c r="P66" s="92">
        <v>0.93</v>
      </c>
      <c r="Q66" s="92">
        <v>0.93</v>
      </c>
      <c r="R66" s="92">
        <v>0.95</v>
      </c>
      <c r="S66" s="92">
        <v>0.92</v>
      </c>
      <c r="T66" s="93">
        <v>0.95</v>
      </c>
      <c r="V66" s="52">
        <v>4300</v>
      </c>
      <c r="X66" s="60" t="s">
        <v>747</v>
      </c>
    </row>
    <row r="67" spans="2:24" ht="14.65" thickBot="1" x14ac:dyDescent="0.5">
      <c r="B67"/>
      <c r="D67" s="40" t="str">
        <f>IFERROR(
   INDEX('Hulp (CAO''s)'!$I$3:$I$6, MATCH(TRUE, 'Hulp (CAO''s)'!$D$3:$D$6, 0)),
"")</f>
        <v>Bruto maandsalaris</v>
      </c>
      <c r="E67" s="86" t="str">
        <f ca="1">IF(
    OR(E65="",E66=""),
    "",
    MAX(
    INDIRECT("'" &amp; INDEX('Hulp (CAO''s)'!$C$3:$C$6,
        MATCH(TRUE,'Hulp (CAO''s)'!$D$3:$D$6,0)) &amp; "'!" &amp;
        INDEX('Hulp (CAO''s)'!$H$3:$H$6,
            MATCH(TRUE,'Hulp (CAO''s)'!$D$3:$D$6,0))
        &amp;
        MATCH(E65, INDIRECT("'" &amp; INDEX('Hulp (CAO''s)'!$C$3:$C$6,
            MATCH(TRUE,'Hulp (CAO''s)'!$D$3:$D$6,0)) &amp; "'!A:A"),0)
        &amp; ":H" &amp;
        IF(F65&lt;&gt;"",
            MATCH(F65, INDIRECT("'" &amp; INDEX('Hulp (CAO''s)'!$C$3:$C$6,
                MATCH(TRUE,'Hulp (CAO''s)'!$D$3:$D$6,0)) &amp; "'!A:A"),0)-1,
            1000
        )
    )
) * E66
)</f>
        <v/>
      </c>
      <c r="F67" s="86" t="str">
        <f ca="1">IF(
    OR(F65="",F66=""),
    "",
    MAX(
    INDIRECT("'" &amp; INDEX('Hulp (CAO''s)'!$C$3:$C$6,
        MATCH(TRUE,'Hulp (CAO''s)'!$D$3:$D$6,0)) &amp; "'!" &amp;
        INDEX('Hulp (CAO''s)'!$H$3:$H$6,
            MATCH(TRUE,'Hulp (CAO''s)'!$D$3:$D$6,0))
        &amp;
        MATCH(F65, INDIRECT("'" &amp; INDEX('Hulp (CAO''s)'!$C$3:$C$6,
            MATCH(TRUE,'Hulp (CAO''s)'!$D$3:$D$6,0)) &amp; "'!A:A"),0)
        &amp; ":H" &amp;
        IF(G65&lt;&gt;"",
            MATCH(G65, INDIRECT("'" &amp; INDEX('Hulp (CAO''s)'!$C$3:$C$6,
                MATCH(TRUE,'Hulp (CAO''s)'!$D$3:$D$6,0)) &amp; "'!A:A"),0)-1,
            1000
        )
    )
) * F66
)</f>
        <v/>
      </c>
      <c r="G67" s="86" t="str">
        <f ca="1">IF(
    OR(G65="",G66=""),
    "",
    MAX(
    INDIRECT("'" &amp; INDEX('Hulp (CAO''s)'!$C$3:$C$6,
        MATCH(TRUE,'Hulp (CAO''s)'!$D$3:$D$6,0)) &amp; "'!" &amp;
        INDEX('Hulp (CAO''s)'!$H$3:$H$6,
            MATCH(TRUE,'Hulp (CAO''s)'!$D$3:$D$6,0))
        &amp;
        MATCH(G65, INDIRECT("'" &amp; INDEX('Hulp (CAO''s)'!$C$3:$C$6,
            MATCH(TRUE,'Hulp (CAO''s)'!$D$3:$D$6,0)) &amp; "'!A:A"),0)
        &amp; ":H" &amp;
        IF(H65&lt;&gt;"",
            MATCH(H65, INDIRECT("'" &amp; INDEX('Hulp (CAO''s)'!$C$3:$C$6,
                MATCH(TRUE,'Hulp (CAO''s)'!$D$3:$D$6,0)) &amp; "'!A:A"),0)-1,
            1000
        )
    )
) * G66
)</f>
        <v/>
      </c>
      <c r="H67" s="86" t="str">
        <f ca="1">IF(
    OR(H65="",H66=""),
    "",
    MAX(
    INDIRECT("'" &amp; INDEX('Hulp (CAO''s)'!$C$3:$C$6,
        MATCH(TRUE,'Hulp (CAO''s)'!$D$3:$D$6,0)) &amp; "'!" &amp;
        INDEX('Hulp (CAO''s)'!$H$3:$H$6,
            MATCH(TRUE,'Hulp (CAO''s)'!$D$3:$D$6,0))
        &amp;
        MATCH(H65, INDIRECT("'" &amp; INDEX('Hulp (CAO''s)'!$C$3:$C$6,
            MATCH(TRUE,'Hulp (CAO''s)'!$D$3:$D$6,0)) &amp; "'!A:A"),0)
        &amp; ":H" &amp;
        IF(I65&lt;&gt;"",
            MATCH(I65, INDIRECT("'" &amp; INDEX('Hulp (CAO''s)'!$C$3:$C$6,
                MATCH(TRUE,'Hulp (CAO''s)'!$D$3:$D$6,0)) &amp; "'!A:A"),0)-1,
            1000
        )
    )
) * H66
)</f>
        <v/>
      </c>
      <c r="I67" s="86" t="str">
        <f ca="1">IF(
    OR(I65="",I66=""),
    "",
    MAX(
    INDIRECT("'" &amp; INDEX('Hulp (CAO''s)'!$C$3:$C$6,
        MATCH(TRUE,'Hulp (CAO''s)'!$D$3:$D$6,0)) &amp; "'!" &amp;
        INDEX('Hulp (CAO''s)'!$H$3:$H$6,
            MATCH(TRUE,'Hulp (CAO''s)'!$D$3:$D$6,0))
        &amp;
        MATCH(I65, INDIRECT("'" &amp; INDEX('Hulp (CAO''s)'!$C$3:$C$6,
            MATCH(TRUE,'Hulp (CAO''s)'!$D$3:$D$6,0)) &amp; "'!A:A"),0)
        &amp; ":H" &amp;
        IF(J65&lt;&gt;"",
            MATCH(J65, INDIRECT("'" &amp; INDEX('Hulp (CAO''s)'!$C$3:$C$6,
                MATCH(TRUE,'Hulp (CAO''s)'!$D$3:$D$6,0)) &amp; "'!A:A"),0)-1,
            1000
        )
    )
) * I66
)</f>
        <v/>
      </c>
      <c r="J67" s="86" t="str">
        <f ca="1">IF(
    OR(J65="",J66=""),
    "",
    MAX(
    INDIRECT("'" &amp; INDEX('Hulp (CAO''s)'!$C$3:$C$6,
        MATCH(TRUE,'Hulp (CAO''s)'!$D$3:$D$6,0)) &amp; "'!" &amp;
        INDEX('Hulp (CAO''s)'!$H$3:$H$6,
            MATCH(TRUE,'Hulp (CAO''s)'!$D$3:$D$6,0))
        &amp;
        MATCH(J65, INDIRECT("'" &amp; INDEX('Hulp (CAO''s)'!$C$3:$C$6,
            MATCH(TRUE,'Hulp (CAO''s)'!$D$3:$D$6,0)) &amp; "'!A:A"),0)
        &amp; ":H" &amp;
        IF(K65&lt;&gt;"",
            MATCH(K65, INDIRECT("'" &amp; INDEX('Hulp (CAO''s)'!$C$3:$C$6,
                MATCH(TRUE,'Hulp (CAO''s)'!$D$3:$D$6,0)) &amp; "'!A:A"),0)-1,
            1000
        )
    )
) * J66
)</f>
        <v/>
      </c>
      <c r="K67" s="86" t="str">
        <f ca="1">IF(
    OR(K65="",K66=""),
    "",
    MAX(
    INDIRECT("'" &amp; INDEX('Hulp (CAO''s)'!$C$3:$C$6,
        MATCH(TRUE,'Hulp (CAO''s)'!$D$3:$D$6,0)) &amp; "'!" &amp;
        INDEX('Hulp (CAO''s)'!$H$3:$H$6,
            MATCH(TRUE,'Hulp (CAO''s)'!$D$3:$D$6,0))
        &amp;
        MATCH(K65, INDIRECT("'" &amp; INDEX('Hulp (CAO''s)'!$C$3:$C$6,
            MATCH(TRUE,'Hulp (CAO''s)'!$D$3:$D$6,0)) &amp; "'!A:A"),0)
        &amp; ":H" &amp;
        IF(L65&lt;&gt;"",
            MATCH(L65, INDIRECT("'" &amp; INDEX('Hulp (CAO''s)'!$C$3:$C$6,
                MATCH(TRUE,'Hulp (CAO''s)'!$D$3:$D$6,0)) &amp; "'!A:A"),0)-1,
            1000
        )
    )
) * K66
)</f>
        <v/>
      </c>
      <c r="L67" s="86" t="str">
        <f ca="1">IF(
    OR(L65="",L66=""),
    "",
    MAX(
    INDIRECT("'" &amp; INDEX('Hulp (CAO''s)'!$C$3:$C$6,
        MATCH(TRUE,'Hulp (CAO''s)'!$D$3:$D$6,0)) &amp; "'!" &amp;
        INDEX('Hulp (CAO''s)'!$H$3:$H$6,
            MATCH(TRUE,'Hulp (CAO''s)'!$D$3:$D$6,0))
        &amp;
        MATCH(L65, INDIRECT("'" &amp; INDEX('Hulp (CAO''s)'!$C$3:$C$6,
            MATCH(TRUE,'Hulp (CAO''s)'!$D$3:$D$6,0)) &amp; "'!A:A"),0)
        &amp; ":H" &amp;
        IF(M65&lt;&gt;"",
            MATCH(M65, INDIRECT("'" &amp; INDEX('Hulp (CAO''s)'!$C$3:$C$6,
                MATCH(TRUE,'Hulp (CAO''s)'!$D$3:$D$6,0)) &amp; "'!A:A"),0)-1,
            1000
        )
    )
) * L66
)</f>
        <v/>
      </c>
      <c r="M67" s="86" t="str">
        <f ca="1">IF(
    OR(M65="",M66=""),
    "",
    MAX(
    INDIRECT("'" &amp; INDEX('Hulp (CAO''s)'!$C$3:$C$6,
        MATCH(TRUE,'Hulp (CAO''s)'!$D$3:$D$6,0)) &amp; "'!" &amp;
        INDEX('Hulp (CAO''s)'!$H$3:$H$6,
            MATCH(TRUE,'Hulp (CAO''s)'!$D$3:$D$6,0))
        &amp;
        MATCH(M65, INDIRECT("'" &amp; INDEX('Hulp (CAO''s)'!$C$3:$C$6,
            MATCH(TRUE,'Hulp (CAO''s)'!$D$3:$D$6,0)) &amp; "'!A:A"),0)
        &amp; ":H" &amp;
        IF(N65&lt;&gt;"",
            MATCH(N65, INDIRECT("'" &amp; INDEX('Hulp (CAO''s)'!$C$3:$C$6,
                MATCH(TRUE,'Hulp (CAO''s)'!$D$3:$D$6,0)) &amp; "'!A:A"),0)-1,
            1000
        )
    )
) * M66
)</f>
        <v/>
      </c>
      <c r="N67" s="86" t="str">
        <f ca="1">IF(
    OR(N65="",N66=""),
    "",
    MAX(
    INDIRECT("'" &amp; INDEX('Hulp (CAO''s)'!$C$3:$C$6,
        MATCH(TRUE,'Hulp (CAO''s)'!$D$3:$D$6,0)) &amp; "'!" &amp;
        INDEX('Hulp (CAO''s)'!$H$3:$H$6,
            MATCH(TRUE,'Hulp (CAO''s)'!$D$3:$D$6,0))
        &amp;
        MATCH(N65, INDIRECT("'" &amp; INDEX('Hulp (CAO''s)'!$C$3:$C$6,
            MATCH(TRUE,'Hulp (CAO''s)'!$D$3:$D$6,0)) &amp; "'!A:A"),0)
        &amp; ":H" &amp;
        IF(O65&lt;&gt;"",
            MATCH(O65, INDIRECT("'" &amp; INDEX('Hulp (CAO''s)'!$C$3:$C$6,
                MATCH(TRUE,'Hulp (CAO''s)'!$D$3:$D$6,0)) &amp; "'!A:A"),0)-1,
            1000
        )
    )
) * N66
)</f>
        <v/>
      </c>
      <c r="O67" s="86" t="str">
        <f ca="1">IF(
    OR(O65="",O66=""),
    "",
    MAX(
    INDIRECT("'" &amp; INDEX('Hulp (CAO''s)'!$C$3:$C$6,
        MATCH(TRUE,'Hulp (CAO''s)'!$D$3:$D$6,0)) &amp; "'!" &amp;
        INDEX('Hulp (CAO''s)'!$H$3:$H$6,
            MATCH(TRUE,'Hulp (CAO''s)'!$D$3:$D$6,0))
        &amp;
        MATCH(O65, INDIRECT("'" &amp; INDEX('Hulp (CAO''s)'!$C$3:$C$6,
            MATCH(TRUE,'Hulp (CAO''s)'!$D$3:$D$6,0)) &amp; "'!A:A"),0)
        &amp; ":H" &amp;
        IF(P65&lt;&gt;"",
            MATCH(P65, INDIRECT("'" &amp; INDEX('Hulp (CAO''s)'!$C$3:$C$6,
                MATCH(TRUE,'Hulp (CAO''s)'!$D$3:$D$6,0)) &amp; "'!A:A"),0)-1,
            1000
        )
    )
) * O66
)</f>
        <v/>
      </c>
      <c r="P67" s="86" t="str">
        <f ca="1">IF(
    OR(P65="",P66=""),
    "",
    MAX(
    INDIRECT("'" &amp; INDEX('Hulp (CAO''s)'!$C$3:$C$6,
        MATCH(TRUE,'Hulp (CAO''s)'!$D$3:$D$6,0)) &amp; "'!" &amp;
        INDEX('Hulp (CAO''s)'!$H$3:$H$6,
            MATCH(TRUE,'Hulp (CAO''s)'!$D$3:$D$6,0))
        &amp;
        MATCH(P65, INDIRECT("'" &amp; INDEX('Hulp (CAO''s)'!$C$3:$C$6,
            MATCH(TRUE,'Hulp (CAO''s)'!$D$3:$D$6,0)) &amp; "'!A:A"),0)
        &amp; ":H" &amp;
        IF(Q65&lt;&gt;"",
            MATCH(Q65, INDIRECT("'" &amp; INDEX('Hulp (CAO''s)'!$C$3:$C$6,
                MATCH(TRUE,'Hulp (CAO''s)'!$D$3:$D$6,0)) &amp; "'!A:A"),0)-1,
            1000
        )
    )
) * P66
)</f>
        <v/>
      </c>
      <c r="Q67" s="86" t="str">
        <f ca="1">IF(
    OR(Q65="",Q66=""),
    "",
    MAX(
    INDIRECT("'" &amp; INDEX('Hulp (CAO''s)'!$C$3:$C$6,
        MATCH(TRUE,'Hulp (CAO''s)'!$D$3:$D$6,0)) &amp; "'!" &amp;
        INDEX('Hulp (CAO''s)'!$H$3:$H$6,
            MATCH(TRUE,'Hulp (CAO''s)'!$D$3:$D$6,0))
        &amp;
        MATCH(Q65, INDIRECT("'" &amp; INDEX('Hulp (CAO''s)'!$C$3:$C$6,
            MATCH(TRUE,'Hulp (CAO''s)'!$D$3:$D$6,0)) &amp; "'!A:A"),0)
        &amp; ":H" &amp;
        IF(R65&lt;&gt;"",
            MATCH(R65, INDIRECT("'" &amp; INDEX('Hulp (CAO''s)'!$C$3:$C$6,
                MATCH(TRUE,'Hulp (CAO''s)'!$D$3:$D$6,0)) &amp; "'!A:A"),0)-1,
            1000
        )
    )
) * Q66
)</f>
        <v/>
      </c>
      <c r="R67" s="86" t="str">
        <f ca="1">IF(
    OR(R65="",R66=""),
    "",
    MAX(
    INDIRECT("'" &amp; INDEX('Hulp (CAO''s)'!$C$3:$C$6,
        MATCH(TRUE,'Hulp (CAO''s)'!$D$3:$D$6,0)) &amp; "'!" &amp;
        INDEX('Hulp (CAO''s)'!$H$3:$H$6,
            MATCH(TRUE,'Hulp (CAO''s)'!$D$3:$D$6,0))
        &amp;
        MATCH(R65, INDIRECT("'" &amp; INDEX('Hulp (CAO''s)'!$C$3:$C$6,
            MATCH(TRUE,'Hulp (CAO''s)'!$D$3:$D$6,0)) &amp; "'!A:A"),0)
        &amp; ":H" &amp;
        IF(S65&lt;&gt;"",
            MATCH(S65, INDIRECT("'" &amp; INDEX('Hulp (CAO''s)'!$C$3:$C$6,
                MATCH(TRUE,'Hulp (CAO''s)'!$D$3:$D$6,0)) &amp; "'!A:A"),0)-1,
            1000
        )
    )
) * R66
)</f>
        <v/>
      </c>
      <c r="S67" s="86" t="str">
        <f ca="1">IF(
    OR(S65="",S66=""),
    "",
    MAX(
    INDIRECT("'" &amp; INDEX('Hulp (CAO''s)'!$C$3:$C$6,
        MATCH(TRUE,'Hulp (CAO''s)'!$D$3:$D$6,0)) &amp; "'!" &amp;
        INDEX('Hulp (CAO''s)'!$H$3:$H$6,
            MATCH(TRUE,'Hulp (CAO''s)'!$D$3:$D$6,0))
        &amp;
        MATCH(S65, INDIRECT("'" &amp; INDEX('Hulp (CAO''s)'!$C$3:$C$6,
            MATCH(TRUE,'Hulp (CAO''s)'!$D$3:$D$6,0)) &amp; "'!A:A"),0)
        &amp; ":H" &amp;
        IF(T65&lt;&gt;"",
            MATCH(T65, INDIRECT("'" &amp; INDEX('Hulp (CAO''s)'!$C$3:$C$6,
                MATCH(TRUE,'Hulp (CAO''s)'!$D$3:$D$6,0)) &amp; "'!A:A"),0)-1,
            1000
        )
    )
) * S66
)</f>
        <v/>
      </c>
      <c r="T67" s="39" t="str">
        <f ca="1">IF(
    OR(T65="",T66=""),
    "",
    MAX(
    INDIRECT("'" &amp; INDEX('Hulp (CAO''s)'!$C$3:$C$6,
        MATCH(TRUE,'Hulp (CAO''s)'!$D$3:$D$6,0)) &amp; "'!" &amp;
        INDEX('Hulp (CAO''s)'!$H$3:$H$6,
            MATCH(TRUE,'Hulp (CAO''s)'!$D$3:$D$6,0))
        &amp;
        MATCH(T65, INDIRECT("'" &amp; INDEX('Hulp (CAO''s)'!$C$3:$C$6,
            MATCH(TRUE,'Hulp (CAO''s)'!$D$3:$D$6,0)) &amp; "'!A:A"),0)
        &amp; ":H" &amp;
        IF(U65&lt;&gt;"",
            MATCH(U65, INDIRECT("'" &amp; INDEX('Hulp (CAO''s)'!$C$3:$C$6,
                MATCH(TRUE,'Hulp (CAO''s)'!$D$3:$D$6,0)) &amp; "'!A:A"),0)-1,
            1000
        )
    )
) * T66
)</f>
        <v/>
      </c>
      <c r="V67" s="38" t="str">
        <f t="array" aca="1" ref="V67" ca="1">IF(
   SUM(E67:T67)=0,
   "",
   (
      SUMPRODUCT(
         IF(E67:T67="",0,E67:T67),
         IF(E68:T68="",0,E68:T68) * SUM(E68:T68)
      )
   ) *
   IF(
      'Hulp (CAO''s)'!#REF!,
      IF(
         OR(
            INDEX(#REF!, ROW(#REF!) + INT((ROW()-ROW($V$7))/6)*8)="",
            ISNA(INDEX(#REF!, ROW(#REF!) + INT((ROW()-ROW($V$7))/6)*8))
         ),
         1878/12,
         INDEX(#REF!, ROW(#REF!) + INT((ROW()-ROW($V$7))/6)*8)/12
      ),
      1
   )
)</f>
        <v/>
      </c>
    </row>
    <row r="68" spans="2:24" ht="14.65" thickBot="1" x14ac:dyDescent="0.5">
      <c r="B68" s="48" t="s">
        <v>60</v>
      </c>
      <c r="D68" s="24" t="s">
        <v>59</v>
      </c>
      <c r="E68" s="8"/>
      <c r="F68" s="8"/>
      <c r="G68" s="8"/>
      <c r="H68" s="8"/>
      <c r="I68" s="8"/>
      <c r="J68" s="8"/>
      <c r="K68" s="8"/>
      <c r="L68" s="8"/>
      <c r="M68" s="8"/>
      <c r="N68" s="8"/>
      <c r="O68" s="8"/>
      <c r="P68" s="8"/>
      <c r="Q68" s="8"/>
      <c r="R68" s="8"/>
      <c r="S68" s="8"/>
      <c r="T68" s="9"/>
      <c r="U68" s="7"/>
      <c r="V68" s="37" t="str">
        <f ca="1">IF(B65="","",IF(INDIRECT("'Hulp (control forms)'!C" &amp; (13 + INT((ROW()-ROW($B$5))/6))), V66, V67))</f>
        <v/>
      </c>
      <c r="W68" s="7"/>
    </row>
    <row r="69" spans="2:24" x14ac:dyDescent="0.5">
      <c r="S69" s="7" t="str">
        <f>IF($B68="Aandeel in %",
   "Totaal: "&amp;SUM(E68:T68)*100&amp;"%",
   "Totaal: "&amp;SUM(E68:T68)&amp;" uur"
)</f>
        <v>Totaal: 0%</v>
      </c>
      <c r="T69" s="7"/>
    </row>
    <row r="70" spans="2:24" ht="16.149999999999999" thickBot="1" x14ac:dyDescent="0.55000000000000004">
      <c r="B70" s="44" t="str">
        <f ca="1">IF(B71="","",IF(
   OR(
      INDIRECT("'1a. Input organisatieniveau'!N" &amp; (14 + INT((ROW()-4)/6)))="",
      INDIRECT("'1a. Input organisatieniveau'!N" &amp; (14 + INT((ROW()-4)/6)))=0
   ),
   "",
   INDIRECT("'1a. Input organisatieniveau'!N" &amp; (14 + INT((ROW()-4)/6)))
))</f>
        <v/>
      </c>
      <c r="E70" s="61" t="str">
        <f ca="1">IF(AND(AND(E71&lt;&gt;"",E72&lt;&gt;""),E73=""),"!","")</f>
        <v/>
      </c>
      <c r="F70" s="61" t="str">
        <f t="shared" ref="F70:T70" ca="1" si="11">IF(AND(AND(F71&lt;&gt;"",F72&lt;&gt;""),F73=""),"!","")</f>
        <v/>
      </c>
      <c r="G70" s="61" t="str">
        <f t="shared" ca="1" si="11"/>
        <v/>
      </c>
      <c r="H70" s="61" t="str">
        <f t="shared" ca="1" si="11"/>
        <v/>
      </c>
      <c r="I70" s="61" t="str">
        <f t="shared" ca="1" si="11"/>
        <v/>
      </c>
      <c r="J70" s="61" t="str">
        <f t="shared" ca="1" si="11"/>
        <v/>
      </c>
      <c r="K70" s="61" t="str">
        <f t="shared" ca="1" si="11"/>
        <v/>
      </c>
      <c r="L70" s="61" t="str">
        <f t="shared" ca="1" si="11"/>
        <v/>
      </c>
      <c r="M70" s="61" t="str">
        <f t="shared" ca="1" si="11"/>
        <v/>
      </c>
      <c r="N70" s="61" t="str">
        <f t="shared" ca="1" si="11"/>
        <v/>
      </c>
      <c r="O70" s="61" t="str">
        <f t="shared" ca="1" si="11"/>
        <v/>
      </c>
      <c r="P70" s="61" t="str">
        <f t="shared" ca="1" si="11"/>
        <v/>
      </c>
      <c r="Q70" s="61" t="str">
        <f t="shared" ca="1" si="11"/>
        <v/>
      </c>
      <c r="R70" s="61" t="str">
        <f t="shared" ca="1" si="11"/>
        <v/>
      </c>
      <c r="S70" s="61" t="str">
        <f t="shared" ca="1" si="11"/>
        <v/>
      </c>
      <c r="T70" s="61" t="str">
        <f t="shared" ca="1" si="11"/>
        <v/>
      </c>
    </row>
    <row r="71" spans="2:24" ht="16.149999999999999" thickBot="1" x14ac:dyDescent="0.55000000000000004">
      <c r="B71" s="45" t="str">
        <f ca="1">IF(
   OR(
      INDIRECT("'1a. Input organisatieniveau'!M" &amp; (14 + INT((ROW()-4)/6)))="",
      INDIRECT("'1a. Input organisatieniveau'!M" &amp; (14 + INT((ROW()-4)/6)))=0
   ),
   "",
   INDIRECT("'1a. Input organisatieniveau'!M" &amp; (14 + INT((ROW()-4)/6)))
)</f>
        <v/>
      </c>
      <c r="D71" s="22" t="s">
        <v>28</v>
      </c>
      <c r="E71" s="10" t="str">
        <f t="array" aca="1" ref="E71" ca="1">IF($B71="", "", INDEX('Hulp (CAO''s)'!J$3:J$6, MATCH(TRUE, 'Hulp (CAO''s)'!$D$3:$D$6, 0)))</f>
        <v/>
      </c>
      <c r="F71" s="10" t="str">
        <f t="array" aca="1" ref="F71" ca="1">IF($B71="", "", INDEX('Hulp (CAO''s)'!K$3:K$6, MATCH(TRUE, 'Hulp (CAO''s)'!$D$3:$D$6, 0)))</f>
        <v/>
      </c>
      <c r="G71" s="10" t="str">
        <f t="array" aca="1" ref="G71" ca="1">IF($B71="", "", INDEX('Hulp (CAO''s)'!L$3:L$6, MATCH(TRUE, 'Hulp (CAO''s)'!$D$3:$D$6, 0)))</f>
        <v/>
      </c>
      <c r="H71" s="10" t="str">
        <f t="array" aca="1" ref="H71" ca="1">IF($B71="", "", INDEX('Hulp (CAO''s)'!M$3:M$6, MATCH(TRUE, 'Hulp (CAO''s)'!$D$3:$D$6, 0)))</f>
        <v/>
      </c>
      <c r="I71" s="10" t="str">
        <f t="array" aca="1" ref="I71" ca="1">IF($B71="", "", INDEX('Hulp (CAO''s)'!N$3:N$6, MATCH(TRUE, 'Hulp (CAO''s)'!$D$3:$D$6, 0)))</f>
        <v/>
      </c>
      <c r="J71" s="10" t="str">
        <f t="array" aca="1" ref="J71" ca="1">IF($B71="", "", INDEX('Hulp (CAO''s)'!O$3:O$6, MATCH(TRUE, 'Hulp (CAO''s)'!$D$3:$D$6, 0)))</f>
        <v/>
      </c>
      <c r="K71" s="10" t="str">
        <f t="array" aca="1" ref="K71" ca="1">IF($B71="", "", INDEX('Hulp (CAO''s)'!P$3:P$6, MATCH(TRUE, 'Hulp (CAO''s)'!$D$3:$D$6, 0)))</f>
        <v/>
      </c>
      <c r="L71" s="10" t="str">
        <f t="array" aca="1" ref="L71" ca="1">IF($B71="", "", INDEX('Hulp (CAO''s)'!Q$3:Q$6, MATCH(TRUE, 'Hulp (CAO''s)'!$D$3:$D$6, 0)))</f>
        <v/>
      </c>
      <c r="M71" s="10" t="str">
        <f t="array" aca="1" ref="M71" ca="1">IF($B71="", "", INDEX('Hulp (CAO''s)'!R$3:R$6, MATCH(TRUE, 'Hulp (CAO''s)'!$D$3:$D$6, 0)))</f>
        <v/>
      </c>
      <c r="N71" s="10" t="str">
        <f t="array" aca="1" ref="N71" ca="1">IF($B71="", "", INDEX('Hulp (CAO''s)'!S$3:S$6, MATCH(TRUE, 'Hulp (CAO''s)'!$D$3:$D$6, 0)))</f>
        <v/>
      </c>
      <c r="O71" s="10" t="str">
        <f t="array" aca="1" ref="O71" ca="1">IF($B71="", "", INDEX('Hulp (CAO''s)'!T$3:T$6, MATCH(TRUE, 'Hulp (CAO''s)'!$D$3:$D$6, 0)))</f>
        <v/>
      </c>
      <c r="P71" s="10" t="str">
        <f t="array" aca="1" ref="P71" ca="1">IF($B71="", "", INDEX('Hulp (CAO''s)'!U$3:U$6, MATCH(TRUE, 'Hulp (CAO''s)'!$D$3:$D$6, 0)))</f>
        <v/>
      </c>
      <c r="Q71" s="10" t="str">
        <f t="array" aca="1" ref="Q71" ca="1">IF($B71="", "", INDEX('Hulp (CAO''s)'!V$3:V$6, MATCH(TRUE, 'Hulp (CAO''s)'!$D$3:$D$6, 0)))</f>
        <v/>
      </c>
      <c r="R71" s="10" t="str">
        <f t="array" aca="1" ref="R71" ca="1">IF($B71="", "", INDEX('Hulp (CAO''s)'!W$3:W$6, MATCH(TRUE, 'Hulp (CAO''s)'!$D$3:$D$6, 0)))</f>
        <v/>
      </c>
      <c r="S71" s="10" t="str">
        <f t="array" aca="1" ref="S71" ca="1">IF($B71="", "", INDEX('Hulp (CAO''s)'!X$3:X$6, MATCH(TRUE, 'Hulp (CAO''s)'!$D$3:$D$6, 0)))</f>
        <v/>
      </c>
      <c r="T71" s="11" t="str">
        <f t="array" aca="1" ref="T71" ca="1">IF($B71="", "", INDEX('Hulp (CAO''s)'!Y$3:Y$6, MATCH(TRUE, 'Hulp (CAO''s)'!$D$3:$D$6, 0)))</f>
        <v/>
      </c>
      <c r="V71" s="25" t="s">
        <v>32</v>
      </c>
      <c r="W71" s="5"/>
    </row>
    <row r="72" spans="2:24" x14ac:dyDescent="0.5">
      <c r="D72" s="23" t="s">
        <v>770</v>
      </c>
      <c r="E72" s="92">
        <v>0.96</v>
      </c>
      <c r="F72" s="92">
        <v>0.9</v>
      </c>
      <c r="G72" s="92">
        <v>0.9</v>
      </c>
      <c r="H72" s="92">
        <v>0.7</v>
      </c>
      <c r="I72" s="92">
        <v>0.8</v>
      </c>
      <c r="J72" s="92">
        <v>0.9</v>
      </c>
      <c r="K72" s="92">
        <v>0.9</v>
      </c>
      <c r="L72" s="92">
        <v>0.9</v>
      </c>
      <c r="M72" s="92">
        <v>0.9</v>
      </c>
      <c r="N72" s="92">
        <v>0.8</v>
      </c>
      <c r="O72" s="92">
        <v>0.95</v>
      </c>
      <c r="P72" s="92">
        <v>0.93</v>
      </c>
      <c r="Q72" s="92">
        <v>0.93</v>
      </c>
      <c r="R72" s="92">
        <v>0.95</v>
      </c>
      <c r="S72" s="92">
        <v>0.92</v>
      </c>
      <c r="T72" s="93">
        <v>0.95</v>
      </c>
      <c r="V72" s="52">
        <v>4300</v>
      </c>
      <c r="X72" s="60" t="s">
        <v>747</v>
      </c>
    </row>
    <row r="73" spans="2:24" ht="14.65" thickBot="1" x14ac:dyDescent="0.5">
      <c r="B73"/>
      <c r="D73" s="40" t="str">
        <f>IFERROR(
   INDEX('Hulp (CAO''s)'!$I$3:$I$6, MATCH(TRUE, 'Hulp (CAO''s)'!$D$3:$D$6, 0)),
"")</f>
        <v>Bruto maandsalaris</v>
      </c>
      <c r="E73" s="86" t="str">
        <f ca="1">IF(
    OR(E71="",E72=""),
    "",
    MAX(
    INDIRECT("'" &amp; INDEX('Hulp (CAO''s)'!$C$3:$C$6,
        MATCH(TRUE,'Hulp (CAO''s)'!$D$3:$D$6,0)) &amp; "'!" &amp;
        INDEX('Hulp (CAO''s)'!$H$3:$H$6,
            MATCH(TRUE,'Hulp (CAO''s)'!$D$3:$D$6,0))
        &amp;
        MATCH(E71, INDIRECT("'" &amp; INDEX('Hulp (CAO''s)'!$C$3:$C$6,
            MATCH(TRUE,'Hulp (CAO''s)'!$D$3:$D$6,0)) &amp; "'!A:A"),0)
        &amp; ":H" &amp;
        IF(F71&lt;&gt;"",
            MATCH(F71, INDIRECT("'" &amp; INDEX('Hulp (CAO''s)'!$C$3:$C$6,
                MATCH(TRUE,'Hulp (CAO''s)'!$D$3:$D$6,0)) &amp; "'!A:A"),0)-1,
            1000
        )
    )
) * E72
)</f>
        <v/>
      </c>
      <c r="F73" s="86" t="str">
        <f ca="1">IF(
    OR(F71="",F72=""),
    "",
    MAX(
    INDIRECT("'" &amp; INDEX('Hulp (CAO''s)'!$C$3:$C$6,
        MATCH(TRUE,'Hulp (CAO''s)'!$D$3:$D$6,0)) &amp; "'!" &amp;
        INDEX('Hulp (CAO''s)'!$H$3:$H$6,
            MATCH(TRUE,'Hulp (CAO''s)'!$D$3:$D$6,0))
        &amp;
        MATCH(F71, INDIRECT("'" &amp; INDEX('Hulp (CAO''s)'!$C$3:$C$6,
            MATCH(TRUE,'Hulp (CAO''s)'!$D$3:$D$6,0)) &amp; "'!A:A"),0)
        &amp; ":H" &amp;
        IF(G71&lt;&gt;"",
            MATCH(G71, INDIRECT("'" &amp; INDEX('Hulp (CAO''s)'!$C$3:$C$6,
                MATCH(TRUE,'Hulp (CAO''s)'!$D$3:$D$6,0)) &amp; "'!A:A"),0)-1,
            1000
        )
    )
) * F72
)</f>
        <v/>
      </c>
      <c r="G73" s="86" t="str">
        <f ca="1">IF(
    OR(G71="",G72=""),
    "",
    MAX(
    INDIRECT("'" &amp; INDEX('Hulp (CAO''s)'!$C$3:$C$6,
        MATCH(TRUE,'Hulp (CAO''s)'!$D$3:$D$6,0)) &amp; "'!" &amp;
        INDEX('Hulp (CAO''s)'!$H$3:$H$6,
            MATCH(TRUE,'Hulp (CAO''s)'!$D$3:$D$6,0))
        &amp;
        MATCH(G71, INDIRECT("'" &amp; INDEX('Hulp (CAO''s)'!$C$3:$C$6,
            MATCH(TRUE,'Hulp (CAO''s)'!$D$3:$D$6,0)) &amp; "'!A:A"),0)
        &amp; ":H" &amp;
        IF(H71&lt;&gt;"",
            MATCH(H71, INDIRECT("'" &amp; INDEX('Hulp (CAO''s)'!$C$3:$C$6,
                MATCH(TRUE,'Hulp (CAO''s)'!$D$3:$D$6,0)) &amp; "'!A:A"),0)-1,
            1000
        )
    )
) * G72
)</f>
        <v/>
      </c>
      <c r="H73" s="86" t="str">
        <f ca="1">IF(
    OR(H71="",H72=""),
    "",
    MAX(
    INDIRECT("'" &amp; INDEX('Hulp (CAO''s)'!$C$3:$C$6,
        MATCH(TRUE,'Hulp (CAO''s)'!$D$3:$D$6,0)) &amp; "'!" &amp;
        INDEX('Hulp (CAO''s)'!$H$3:$H$6,
            MATCH(TRUE,'Hulp (CAO''s)'!$D$3:$D$6,0))
        &amp;
        MATCH(H71, INDIRECT("'" &amp; INDEX('Hulp (CAO''s)'!$C$3:$C$6,
            MATCH(TRUE,'Hulp (CAO''s)'!$D$3:$D$6,0)) &amp; "'!A:A"),0)
        &amp; ":H" &amp;
        IF(I71&lt;&gt;"",
            MATCH(I71, INDIRECT("'" &amp; INDEX('Hulp (CAO''s)'!$C$3:$C$6,
                MATCH(TRUE,'Hulp (CAO''s)'!$D$3:$D$6,0)) &amp; "'!A:A"),0)-1,
            1000
        )
    )
) * H72
)</f>
        <v/>
      </c>
      <c r="I73" s="86" t="str">
        <f ca="1">IF(
    OR(I71="",I72=""),
    "",
    MAX(
    INDIRECT("'" &amp; INDEX('Hulp (CAO''s)'!$C$3:$C$6,
        MATCH(TRUE,'Hulp (CAO''s)'!$D$3:$D$6,0)) &amp; "'!" &amp;
        INDEX('Hulp (CAO''s)'!$H$3:$H$6,
            MATCH(TRUE,'Hulp (CAO''s)'!$D$3:$D$6,0))
        &amp;
        MATCH(I71, INDIRECT("'" &amp; INDEX('Hulp (CAO''s)'!$C$3:$C$6,
            MATCH(TRUE,'Hulp (CAO''s)'!$D$3:$D$6,0)) &amp; "'!A:A"),0)
        &amp; ":H" &amp;
        IF(J71&lt;&gt;"",
            MATCH(J71, INDIRECT("'" &amp; INDEX('Hulp (CAO''s)'!$C$3:$C$6,
                MATCH(TRUE,'Hulp (CAO''s)'!$D$3:$D$6,0)) &amp; "'!A:A"),0)-1,
            1000
        )
    )
) * I72
)</f>
        <v/>
      </c>
      <c r="J73" s="86" t="str">
        <f ca="1">IF(
    OR(J71="",J72=""),
    "",
    MAX(
    INDIRECT("'" &amp; INDEX('Hulp (CAO''s)'!$C$3:$C$6,
        MATCH(TRUE,'Hulp (CAO''s)'!$D$3:$D$6,0)) &amp; "'!" &amp;
        INDEX('Hulp (CAO''s)'!$H$3:$H$6,
            MATCH(TRUE,'Hulp (CAO''s)'!$D$3:$D$6,0))
        &amp;
        MATCH(J71, INDIRECT("'" &amp; INDEX('Hulp (CAO''s)'!$C$3:$C$6,
            MATCH(TRUE,'Hulp (CAO''s)'!$D$3:$D$6,0)) &amp; "'!A:A"),0)
        &amp; ":H" &amp;
        IF(K71&lt;&gt;"",
            MATCH(K71, INDIRECT("'" &amp; INDEX('Hulp (CAO''s)'!$C$3:$C$6,
                MATCH(TRUE,'Hulp (CAO''s)'!$D$3:$D$6,0)) &amp; "'!A:A"),0)-1,
            1000
        )
    )
) * J72
)</f>
        <v/>
      </c>
      <c r="K73" s="86" t="str">
        <f ca="1">IF(
    OR(K71="",K72=""),
    "",
    MAX(
    INDIRECT("'" &amp; INDEX('Hulp (CAO''s)'!$C$3:$C$6,
        MATCH(TRUE,'Hulp (CAO''s)'!$D$3:$D$6,0)) &amp; "'!" &amp;
        INDEX('Hulp (CAO''s)'!$H$3:$H$6,
            MATCH(TRUE,'Hulp (CAO''s)'!$D$3:$D$6,0))
        &amp;
        MATCH(K71, INDIRECT("'" &amp; INDEX('Hulp (CAO''s)'!$C$3:$C$6,
            MATCH(TRUE,'Hulp (CAO''s)'!$D$3:$D$6,0)) &amp; "'!A:A"),0)
        &amp; ":H" &amp;
        IF(L71&lt;&gt;"",
            MATCH(L71, INDIRECT("'" &amp; INDEX('Hulp (CAO''s)'!$C$3:$C$6,
                MATCH(TRUE,'Hulp (CAO''s)'!$D$3:$D$6,0)) &amp; "'!A:A"),0)-1,
            1000
        )
    )
) * K72
)</f>
        <v/>
      </c>
      <c r="L73" s="86" t="str">
        <f ca="1">IF(
    OR(L71="",L72=""),
    "",
    MAX(
    INDIRECT("'" &amp; INDEX('Hulp (CAO''s)'!$C$3:$C$6,
        MATCH(TRUE,'Hulp (CAO''s)'!$D$3:$D$6,0)) &amp; "'!" &amp;
        INDEX('Hulp (CAO''s)'!$H$3:$H$6,
            MATCH(TRUE,'Hulp (CAO''s)'!$D$3:$D$6,0))
        &amp;
        MATCH(L71, INDIRECT("'" &amp; INDEX('Hulp (CAO''s)'!$C$3:$C$6,
            MATCH(TRUE,'Hulp (CAO''s)'!$D$3:$D$6,0)) &amp; "'!A:A"),0)
        &amp; ":H" &amp;
        IF(M71&lt;&gt;"",
            MATCH(M71, INDIRECT("'" &amp; INDEX('Hulp (CAO''s)'!$C$3:$C$6,
                MATCH(TRUE,'Hulp (CAO''s)'!$D$3:$D$6,0)) &amp; "'!A:A"),0)-1,
            1000
        )
    )
) * L72
)</f>
        <v/>
      </c>
      <c r="M73" s="86" t="str">
        <f ca="1">IF(
    OR(M71="",M72=""),
    "",
    MAX(
    INDIRECT("'" &amp; INDEX('Hulp (CAO''s)'!$C$3:$C$6,
        MATCH(TRUE,'Hulp (CAO''s)'!$D$3:$D$6,0)) &amp; "'!" &amp;
        INDEX('Hulp (CAO''s)'!$H$3:$H$6,
            MATCH(TRUE,'Hulp (CAO''s)'!$D$3:$D$6,0))
        &amp;
        MATCH(M71, INDIRECT("'" &amp; INDEX('Hulp (CAO''s)'!$C$3:$C$6,
            MATCH(TRUE,'Hulp (CAO''s)'!$D$3:$D$6,0)) &amp; "'!A:A"),0)
        &amp; ":H" &amp;
        IF(N71&lt;&gt;"",
            MATCH(N71, INDIRECT("'" &amp; INDEX('Hulp (CAO''s)'!$C$3:$C$6,
                MATCH(TRUE,'Hulp (CAO''s)'!$D$3:$D$6,0)) &amp; "'!A:A"),0)-1,
            1000
        )
    )
) * M72
)</f>
        <v/>
      </c>
      <c r="N73" s="86" t="str">
        <f ca="1">IF(
    OR(N71="",N72=""),
    "",
    MAX(
    INDIRECT("'" &amp; INDEX('Hulp (CAO''s)'!$C$3:$C$6,
        MATCH(TRUE,'Hulp (CAO''s)'!$D$3:$D$6,0)) &amp; "'!" &amp;
        INDEX('Hulp (CAO''s)'!$H$3:$H$6,
            MATCH(TRUE,'Hulp (CAO''s)'!$D$3:$D$6,0))
        &amp;
        MATCH(N71, INDIRECT("'" &amp; INDEX('Hulp (CAO''s)'!$C$3:$C$6,
            MATCH(TRUE,'Hulp (CAO''s)'!$D$3:$D$6,0)) &amp; "'!A:A"),0)
        &amp; ":H" &amp;
        IF(O71&lt;&gt;"",
            MATCH(O71, INDIRECT("'" &amp; INDEX('Hulp (CAO''s)'!$C$3:$C$6,
                MATCH(TRUE,'Hulp (CAO''s)'!$D$3:$D$6,0)) &amp; "'!A:A"),0)-1,
            1000
        )
    )
) * N72
)</f>
        <v/>
      </c>
      <c r="O73" s="86" t="str">
        <f ca="1">IF(
    OR(O71="",O72=""),
    "",
    MAX(
    INDIRECT("'" &amp; INDEX('Hulp (CAO''s)'!$C$3:$C$6,
        MATCH(TRUE,'Hulp (CAO''s)'!$D$3:$D$6,0)) &amp; "'!" &amp;
        INDEX('Hulp (CAO''s)'!$H$3:$H$6,
            MATCH(TRUE,'Hulp (CAO''s)'!$D$3:$D$6,0))
        &amp;
        MATCH(O71, INDIRECT("'" &amp; INDEX('Hulp (CAO''s)'!$C$3:$C$6,
            MATCH(TRUE,'Hulp (CAO''s)'!$D$3:$D$6,0)) &amp; "'!A:A"),0)
        &amp; ":H" &amp;
        IF(P71&lt;&gt;"",
            MATCH(P71, INDIRECT("'" &amp; INDEX('Hulp (CAO''s)'!$C$3:$C$6,
                MATCH(TRUE,'Hulp (CAO''s)'!$D$3:$D$6,0)) &amp; "'!A:A"),0)-1,
            1000
        )
    )
) * O72
)</f>
        <v/>
      </c>
      <c r="P73" s="86" t="str">
        <f ca="1">IF(
    OR(P71="",P72=""),
    "",
    MAX(
    INDIRECT("'" &amp; INDEX('Hulp (CAO''s)'!$C$3:$C$6,
        MATCH(TRUE,'Hulp (CAO''s)'!$D$3:$D$6,0)) &amp; "'!" &amp;
        INDEX('Hulp (CAO''s)'!$H$3:$H$6,
            MATCH(TRUE,'Hulp (CAO''s)'!$D$3:$D$6,0))
        &amp;
        MATCH(P71, INDIRECT("'" &amp; INDEX('Hulp (CAO''s)'!$C$3:$C$6,
            MATCH(TRUE,'Hulp (CAO''s)'!$D$3:$D$6,0)) &amp; "'!A:A"),0)
        &amp; ":H" &amp;
        IF(Q71&lt;&gt;"",
            MATCH(Q71, INDIRECT("'" &amp; INDEX('Hulp (CAO''s)'!$C$3:$C$6,
                MATCH(TRUE,'Hulp (CAO''s)'!$D$3:$D$6,0)) &amp; "'!A:A"),0)-1,
            1000
        )
    )
) * P72
)</f>
        <v/>
      </c>
      <c r="Q73" s="86" t="str">
        <f ca="1">IF(
    OR(Q71="",Q72=""),
    "",
    MAX(
    INDIRECT("'" &amp; INDEX('Hulp (CAO''s)'!$C$3:$C$6,
        MATCH(TRUE,'Hulp (CAO''s)'!$D$3:$D$6,0)) &amp; "'!" &amp;
        INDEX('Hulp (CAO''s)'!$H$3:$H$6,
            MATCH(TRUE,'Hulp (CAO''s)'!$D$3:$D$6,0))
        &amp;
        MATCH(Q71, INDIRECT("'" &amp; INDEX('Hulp (CAO''s)'!$C$3:$C$6,
            MATCH(TRUE,'Hulp (CAO''s)'!$D$3:$D$6,0)) &amp; "'!A:A"),0)
        &amp; ":H" &amp;
        IF(R71&lt;&gt;"",
            MATCH(R71, INDIRECT("'" &amp; INDEX('Hulp (CAO''s)'!$C$3:$C$6,
                MATCH(TRUE,'Hulp (CAO''s)'!$D$3:$D$6,0)) &amp; "'!A:A"),0)-1,
            1000
        )
    )
) * Q72
)</f>
        <v/>
      </c>
      <c r="R73" s="86" t="str">
        <f ca="1">IF(
    OR(R71="",R72=""),
    "",
    MAX(
    INDIRECT("'" &amp; INDEX('Hulp (CAO''s)'!$C$3:$C$6,
        MATCH(TRUE,'Hulp (CAO''s)'!$D$3:$D$6,0)) &amp; "'!" &amp;
        INDEX('Hulp (CAO''s)'!$H$3:$H$6,
            MATCH(TRUE,'Hulp (CAO''s)'!$D$3:$D$6,0))
        &amp;
        MATCH(R71, INDIRECT("'" &amp; INDEX('Hulp (CAO''s)'!$C$3:$C$6,
            MATCH(TRUE,'Hulp (CAO''s)'!$D$3:$D$6,0)) &amp; "'!A:A"),0)
        &amp; ":H" &amp;
        IF(S71&lt;&gt;"",
            MATCH(S71, INDIRECT("'" &amp; INDEX('Hulp (CAO''s)'!$C$3:$C$6,
                MATCH(TRUE,'Hulp (CAO''s)'!$D$3:$D$6,0)) &amp; "'!A:A"),0)-1,
            1000
        )
    )
) * R72
)</f>
        <v/>
      </c>
      <c r="S73" s="86" t="str">
        <f ca="1">IF(
    OR(S71="",S72=""),
    "",
    MAX(
    INDIRECT("'" &amp; INDEX('Hulp (CAO''s)'!$C$3:$C$6,
        MATCH(TRUE,'Hulp (CAO''s)'!$D$3:$D$6,0)) &amp; "'!" &amp;
        INDEX('Hulp (CAO''s)'!$H$3:$H$6,
            MATCH(TRUE,'Hulp (CAO''s)'!$D$3:$D$6,0))
        &amp;
        MATCH(S71, INDIRECT("'" &amp; INDEX('Hulp (CAO''s)'!$C$3:$C$6,
            MATCH(TRUE,'Hulp (CAO''s)'!$D$3:$D$6,0)) &amp; "'!A:A"),0)
        &amp; ":H" &amp;
        IF(T71&lt;&gt;"",
            MATCH(T71, INDIRECT("'" &amp; INDEX('Hulp (CAO''s)'!$C$3:$C$6,
                MATCH(TRUE,'Hulp (CAO''s)'!$D$3:$D$6,0)) &amp; "'!A:A"),0)-1,
            1000
        )
    )
) * S72
)</f>
        <v/>
      </c>
      <c r="T73" s="39" t="str">
        <f ca="1">IF(
    OR(T71="",T72=""),
    "",
    MAX(
    INDIRECT("'" &amp; INDEX('Hulp (CAO''s)'!$C$3:$C$6,
        MATCH(TRUE,'Hulp (CAO''s)'!$D$3:$D$6,0)) &amp; "'!" &amp;
        INDEX('Hulp (CAO''s)'!$H$3:$H$6,
            MATCH(TRUE,'Hulp (CAO''s)'!$D$3:$D$6,0))
        &amp;
        MATCH(T71, INDIRECT("'" &amp; INDEX('Hulp (CAO''s)'!$C$3:$C$6,
            MATCH(TRUE,'Hulp (CAO''s)'!$D$3:$D$6,0)) &amp; "'!A:A"),0)
        &amp; ":H" &amp;
        IF(U71&lt;&gt;"",
            MATCH(U71, INDIRECT("'" &amp; INDEX('Hulp (CAO''s)'!$C$3:$C$6,
                MATCH(TRUE,'Hulp (CAO''s)'!$D$3:$D$6,0)) &amp; "'!A:A"),0)-1,
            1000
        )
    )
) * T72
)</f>
        <v/>
      </c>
      <c r="V73" s="38" t="str">
        <f t="array" aca="1" ref="V73" ca="1">IF(
   SUM(E73:T73)=0,
   "",
   (
      SUMPRODUCT(
         IF(E73:T73="",0,E73:T73),
         IF(E74:T74="",0,E74:T74) * SUM(E74:T74)
      )
   ) *
   IF(
      'Hulp (CAO''s)'!#REF!,
      IF(
         OR(
            INDEX(#REF!, ROW(#REF!) + INT((ROW()-ROW($V$7))/6)*8)="",
            ISNA(INDEX(#REF!, ROW(#REF!) + INT((ROW()-ROW($V$7))/6)*8))
         ),
         1878/12,
         INDEX(#REF!, ROW(#REF!) + INT((ROW()-ROW($V$7))/6)*8)/12
      ),
      1
   )
)</f>
        <v/>
      </c>
    </row>
    <row r="74" spans="2:24" ht="14.65" thickBot="1" x14ac:dyDescent="0.5">
      <c r="B74" s="48" t="s">
        <v>60</v>
      </c>
      <c r="D74" s="24" t="s">
        <v>59</v>
      </c>
      <c r="E74" s="8"/>
      <c r="F74" s="8"/>
      <c r="G74" s="8"/>
      <c r="H74" s="8"/>
      <c r="I74" s="8"/>
      <c r="J74" s="8"/>
      <c r="K74" s="8"/>
      <c r="L74" s="8"/>
      <c r="M74" s="8"/>
      <c r="N74" s="8"/>
      <c r="O74" s="8"/>
      <c r="P74" s="8"/>
      <c r="Q74" s="8"/>
      <c r="R74" s="8"/>
      <c r="S74" s="8"/>
      <c r="T74" s="9"/>
      <c r="U74" s="7"/>
      <c r="V74" s="37" t="str">
        <f ca="1">IF(B71="","",IF(INDIRECT("'Hulp (control forms)'!C" &amp; (13 + INT((ROW()-ROW($B$5))/6))), V72, V73))</f>
        <v/>
      </c>
      <c r="W74" s="7"/>
    </row>
    <row r="75" spans="2:24" x14ac:dyDescent="0.5">
      <c r="S75" s="7" t="str">
        <f>IF($B74="Aandeel in %",
   "Totaal: "&amp;SUM(E74:T74)*100&amp;"%",
   "Totaal: "&amp;SUM(E74:T74)&amp;" uur"
)</f>
        <v>Totaal: 0%</v>
      </c>
      <c r="T75" s="7"/>
    </row>
  </sheetData>
  <conditionalFormatting sqref="E6:T6 E8:T8">
    <cfRule type="expression" dxfId="140" priority="36">
      <formula>$B$5=""</formula>
    </cfRule>
  </conditionalFormatting>
  <conditionalFormatting sqref="E12:T12 E14:T14">
    <cfRule type="expression" dxfId="139" priority="33">
      <formula>$B$11=""</formula>
    </cfRule>
  </conditionalFormatting>
  <conditionalFormatting sqref="E18:T18 E20:T20">
    <cfRule type="expression" dxfId="138" priority="31">
      <formula>$B$17=""</formula>
    </cfRule>
  </conditionalFormatting>
  <conditionalFormatting sqref="E24:T24 E26:T26">
    <cfRule type="expression" dxfId="137" priority="29">
      <formula>$B$23=""</formula>
    </cfRule>
  </conditionalFormatting>
  <conditionalFormatting sqref="E30:T30 E32:T32">
    <cfRule type="expression" dxfId="136" priority="27">
      <formula>$B$29=""</formula>
    </cfRule>
  </conditionalFormatting>
  <conditionalFormatting sqref="E36:T36 E38:T38">
    <cfRule type="expression" dxfId="135" priority="25">
      <formula>$B$35=""</formula>
    </cfRule>
  </conditionalFormatting>
  <conditionalFormatting sqref="E42:T42 E44:T44">
    <cfRule type="expression" dxfId="134" priority="23">
      <formula>$B$41=""</formula>
    </cfRule>
  </conditionalFormatting>
  <conditionalFormatting sqref="E48:T48 E50:T50">
    <cfRule type="expression" dxfId="133" priority="21">
      <formula>$B$47=""</formula>
    </cfRule>
  </conditionalFormatting>
  <conditionalFormatting sqref="E54:T54 E56:T56">
    <cfRule type="expression" dxfId="132" priority="19">
      <formula>$B$53=""</formula>
    </cfRule>
  </conditionalFormatting>
  <conditionalFormatting sqref="E60:T60 E62:T62">
    <cfRule type="expression" dxfId="131" priority="17">
      <formula>$B$59=""</formula>
    </cfRule>
  </conditionalFormatting>
  <conditionalFormatting sqref="E66:T66 E68:T68">
    <cfRule type="expression" dxfId="130" priority="15">
      <formula>$B$65=""</formula>
    </cfRule>
  </conditionalFormatting>
  <conditionalFormatting sqref="E72:T72 E74:T74">
    <cfRule type="expression" dxfId="129" priority="13">
      <formula>$B$71=""</formula>
    </cfRule>
  </conditionalFormatting>
  <dataValidations disablePrompts="1" count="1">
    <dataValidation type="list" allowBlank="1" showInputMessage="1" showErrorMessage="1" sqref="B8 B14 B20 B26 B32 B38 B44 B50 B56 B62 B68 B74" xr:uid="{00000000-0002-0000-0D00-000000000000}">
      <formula1>"Aandeel in %, Aandeel in uren"</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345" r:id="rId3" name="Check Box 1">
              <controlPr defaultSize="0" autoFill="0" autoLine="0" autoPict="0">
                <anchor moveWithCells="1">
                  <from>
                    <xdr:col>22</xdr:col>
                    <xdr:colOff>61913</xdr:colOff>
                    <xdr:row>4</xdr:row>
                    <xdr:rowOff>190500</xdr:rowOff>
                  </from>
                  <to>
                    <xdr:col>23</xdr:col>
                    <xdr:colOff>23813</xdr:colOff>
                    <xdr:row>5</xdr:row>
                    <xdr:rowOff>190500</xdr:rowOff>
                  </to>
                </anchor>
              </controlPr>
            </control>
          </mc:Choice>
        </mc:AlternateContent>
        <mc:AlternateContent xmlns:mc="http://schemas.openxmlformats.org/markup-compatibility/2006">
          <mc:Choice Requires="x14">
            <control shapeId="57346" r:id="rId4" name="Check Box 2">
              <controlPr defaultSize="0" autoFill="0" autoLine="0" autoPict="0">
                <anchor moveWithCells="1">
                  <from>
                    <xdr:col>22</xdr:col>
                    <xdr:colOff>61913</xdr:colOff>
                    <xdr:row>10</xdr:row>
                    <xdr:rowOff>176213</xdr:rowOff>
                  </from>
                  <to>
                    <xdr:col>23</xdr:col>
                    <xdr:colOff>0</xdr:colOff>
                    <xdr:row>11</xdr:row>
                    <xdr:rowOff>185738</xdr:rowOff>
                  </to>
                </anchor>
              </controlPr>
            </control>
          </mc:Choice>
        </mc:AlternateContent>
        <mc:AlternateContent xmlns:mc="http://schemas.openxmlformats.org/markup-compatibility/2006">
          <mc:Choice Requires="x14">
            <control shapeId="57347" r:id="rId5" name="Check Box 3">
              <controlPr defaultSize="0" autoFill="0" autoLine="0" autoPict="0">
                <anchor moveWithCells="1">
                  <from>
                    <xdr:col>22</xdr:col>
                    <xdr:colOff>61913</xdr:colOff>
                    <xdr:row>17</xdr:row>
                    <xdr:rowOff>0</xdr:rowOff>
                  </from>
                  <to>
                    <xdr:col>23</xdr:col>
                    <xdr:colOff>4763</xdr:colOff>
                    <xdr:row>17</xdr:row>
                    <xdr:rowOff>190500</xdr:rowOff>
                  </to>
                </anchor>
              </controlPr>
            </control>
          </mc:Choice>
        </mc:AlternateContent>
        <mc:AlternateContent xmlns:mc="http://schemas.openxmlformats.org/markup-compatibility/2006">
          <mc:Choice Requires="x14">
            <control shapeId="57348" r:id="rId6" name="Check Box 4">
              <controlPr defaultSize="0" autoFill="0" autoLine="0" autoPict="0">
                <anchor moveWithCells="1">
                  <from>
                    <xdr:col>22</xdr:col>
                    <xdr:colOff>61913</xdr:colOff>
                    <xdr:row>22</xdr:row>
                    <xdr:rowOff>190500</xdr:rowOff>
                  </from>
                  <to>
                    <xdr:col>23</xdr:col>
                    <xdr:colOff>0</xdr:colOff>
                    <xdr:row>23</xdr:row>
                    <xdr:rowOff>190500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22</xdr:col>
                    <xdr:colOff>61913</xdr:colOff>
                    <xdr:row>29</xdr:row>
                    <xdr:rowOff>0</xdr:rowOff>
                  </from>
                  <to>
                    <xdr:col>23</xdr:col>
                    <xdr:colOff>42863</xdr:colOff>
                    <xdr:row>29</xdr:row>
                    <xdr:rowOff>190500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22</xdr:col>
                    <xdr:colOff>61913</xdr:colOff>
                    <xdr:row>34</xdr:row>
                    <xdr:rowOff>190500</xdr:rowOff>
                  </from>
                  <to>
                    <xdr:col>23</xdr:col>
                    <xdr:colOff>23813</xdr:colOff>
                    <xdr:row>35</xdr:row>
                    <xdr:rowOff>190500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22</xdr:col>
                    <xdr:colOff>61913</xdr:colOff>
                    <xdr:row>41</xdr:row>
                    <xdr:rowOff>0</xdr:rowOff>
                  </from>
                  <to>
                    <xdr:col>23</xdr:col>
                    <xdr:colOff>38100</xdr:colOff>
                    <xdr:row>41</xdr:row>
                    <xdr:rowOff>190500</xdr:rowOff>
                  </to>
                </anchor>
              </controlPr>
            </control>
          </mc:Choice>
        </mc:AlternateContent>
        <mc:AlternateContent xmlns:mc="http://schemas.openxmlformats.org/markup-compatibility/2006">
          <mc:Choice Requires="x14">
            <control shapeId="57352" r:id="rId10" name="Check Box 8">
              <controlPr defaultSize="0" autoFill="0" autoLine="0" autoPict="0">
                <anchor moveWithCells="1">
                  <from>
                    <xdr:col>22</xdr:col>
                    <xdr:colOff>61913</xdr:colOff>
                    <xdr:row>47</xdr:row>
                    <xdr:rowOff>4763</xdr:rowOff>
                  </from>
                  <to>
                    <xdr:col>22</xdr:col>
                    <xdr:colOff>252413</xdr:colOff>
                    <xdr:row>47</xdr:row>
                    <xdr:rowOff>185738</xdr:rowOff>
                  </to>
                </anchor>
              </controlPr>
            </control>
          </mc:Choice>
        </mc:AlternateContent>
        <mc:AlternateContent xmlns:mc="http://schemas.openxmlformats.org/markup-compatibility/2006">
          <mc:Choice Requires="x14">
            <control shapeId="57353" r:id="rId11" name="Check Box 9">
              <controlPr defaultSize="0" autoFill="0" autoLine="0" autoPict="0">
                <anchor moveWithCells="1">
                  <from>
                    <xdr:col>22</xdr:col>
                    <xdr:colOff>61913</xdr:colOff>
                    <xdr:row>52</xdr:row>
                    <xdr:rowOff>190500</xdr:rowOff>
                  </from>
                  <to>
                    <xdr:col>23</xdr:col>
                    <xdr:colOff>23813</xdr:colOff>
                    <xdr:row>53</xdr:row>
                    <xdr:rowOff>185738</xdr:rowOff>
                  </to>
                </anchor>
              </controlPr>
            </control>
          </mc:Choice>
        </mc:AlternateContent>
        <mc:AlternateContent xmlns:mc="http://schemas.openxmlformats.org/markup-compatibility/2006">
          <mc:Choice Requires="x14">
            <control shapeId="57354" r:id="rId12" name="Check Box 10">
              <controlPr defaultSize="0" autoFill="0" autoLine="0" autoPict="0">
                <anchor moveWithCells="1">
                  <from>
                    <xdr:col>22</xdr:col>
                    <xdr:colOff>61913</xdr:colOff>
                    <xdr:row>58</xdr:row>
                    <xdr:rowOff>176213</xdr:rowOff>
                  </from>
                  <to>
                    <xdr:col>23</xdr:col>
                    <xdr:colOff>42863</xdr:colOff>
                    <xdr:row>59</xdr:row>
                    <xdr:rowOff>185738</xdr:rowOff>
                  </to>
                </anchor>
              </controlPr>
            </control>
          </mc:Choice>
        </mc:AlternateContent>
        <mc:AlternateContent xmlns:mc="http://schemas.openxmlformats.org/markup-compatibility/2006">
          <mc:Choice Requires="x14">
            <control shapeId="57355" r:id="rId13" name="Check Box 11">
              <controlPr defaultSize="0" autoFill="0" autoLine="0" autoPict="0">
                <anchor moveWithCells="1">
                  <from>
                    <xdr:col>22</xdr:col>
                    <xdr:colOff>61913</xdr:colOff>
                    <xdr:row>64</xdr:row>
                    <xdr:rowOff>152400</xdr:rowOff>
                  </from>
                  <to>
                    <xdr:col>23</xdr:col>
                    <xdr:colOff>4763</xdr:colOff>
                    <xdr:row>65</xdr:row>
                    <xdr:rowOff>185738</xdr:rowOff>
                  </to>
                </anchor>
              </controlPr>
            </control>
          </mc:Choice>
        </mc:AlternateContent>
        <mc:AlternateContent xmlns:mc="http://schemas.openxmlformats.org/markup-compatibility/2006">
          <mc:Choice Requires="x14">
            <control shapeId="57356" r:id="rId14" name="Check Box 12">
              <controlPr defaultSize="0" autoFill="0" autoLine="0" autoPict="0">
                <anchor moveWithCells="1">
                  <from>
                    <xdr:col>22</xdr:col>
                    <xdr:colOff>61913</xdr:colOff>
                    <xdr:row>70</xdr:row>
                    <xdr:rowOff>190500</xdr:rowOff>
                  </from>
                  <to>
                    <xdr:col>23</xdr:col>
                    <xdr:colOff>23813</xdr:colOff>
                    <xdr:row>71</xdr:row>
                    <xdr:rowOff>185738</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838" id="{9A5B07FC-EF19-443F-929F-30B51BCC5F1E}">
            <xm:f>OR($B$5="",'Hulp (control forms)'!$C$13&lt;&gt;TRUE)</xm:f>
            <x14:dxf>
              <font>
                <color theme="6" tint="0.59996337778862885"/>
              </font>
              <fill>
                <patternFill>
                  <bgColor theme="6" tint="0.59996337778862885"/>
                </patternFill>
              </fill>
            </x14:dxf>
          </x14:cfRule>
          <xm:sqref>V6</xm:sqref>
        </x14:conditionalFormatting>
        <x14:conditionalFormatting xmlns:xm="http://schemas.microsoft.com/office/excel/2006/main">
          <x14:cfRule type="expression" priority="14839" id="{5AFB19DF-C9E7-47FF-9166-E04662A5D55D}">
            <xm:f>OR($B$11="",'Hulp (control forms)'!$C$14&lt;&gt;TRUE)</xm:f>
            <x14:dxf>
              <font>
                <color theme="6" tint="0.59996337778862885"/>
              </font>
              <fill>
                <patternFill>
                  <bgColor theme="6" tint="0.59996337778862885"/>
                </patternFill>
              </fill>
            </x14:dxf>
          </x14:cfRule>
          <xm:sqref>V12</xm:sqref>
        </x14:conditionalFormatting>
        <x14:conditionalFormatting xmlns:xm="http://schemas.microsoft.com/office/excel/2006/main">
          <x14:cfRule type="expression" priority="14840" id="{4E4416B8-1C72-4559-86E8-75A032715F69}">
            <xm:f>OR($B$17="",'Hulp (control forms)'!$C$15&lt;&gt;TRUE)</xm:f>
            <x14:dxf>
              <font>
                <color theme="6" tint="0.59996337778862885"/>
              </font>
              <fill>
                <patternFill>
                  <bgColor theme="6" tint="0.59996337778862885"/>
                </patternFill>
              </fill>
            </x14:dxf>
          </x14:cfRule>
          <xm:sqref>V18</xm:sqref>
        </x14:conditionalFormatting>
        <x14:conditionalFormatting xmlns:xm="http://schemas.microsoft.com/office/excel/2006/main">
          <x14:cfRule type="expression" priority="14841" id="{F276E8F6-590C-4F41-94F1-022C7C804686}">
            <xm:f>OR($B$23="",'Hulp (control forms)'!$C$16&lt;&gt;TRUE)</xm:f>
            <x14:dxf>
              <font>
                <color theme="6" tint="0.59996337778862885"/>
              </font>
              <fill>
                <patternFill>
                  <bgColor theme="6" tint="0.59996337778862885"/>
                </patternFill>
              </fill>
            </x14:dxf>
          </x14:cfRule>
          <xm:sqref>V24</xm:sqref>
        </x14:conditionalFormatting>
        <x14:conditionalFormatting xmlns:xm="http://schemas.microsoft.com/office/excel/2006/main">
          <x14:cfRule type="expression" priority="14842" id="{694411A7-1E55-4CD0-86EF-C0BAB654DE24}">
            <xm:f>OR($B$29="",'Hulp (control forms)'!$C$17&lt;&gt;TRUE)</xm:f>
            <x14:dxf>
              <font>
                <color theme="6" tint="0.59996337778862885"/>
              </font>
              <fill>
                <patternFill>
                  <bgColor theme="6" tint="0.59996337778862885"/>
                </patternFill>
              </fill>
            </x14:dxf>
          </x14:cfRule>
          <xm:sqref>V30</xm:sqref>
        </x14:conditionalFormatting>
        <x14:conditionalFormatting xmlns:xm="http://schemas.microsoft.com/office/excel/2006/main">
          <x14:cfRule type="expression" priority="14843" id="{A519638D-5C38-46B6-AD15-11F78D4DE2C1}">
            <xm:f>OR($B$35="",'Hulp (control forms)'!$C$18&lt;&gt;TRUE)</xm:f>
            <x14:dxf>
              <font>
                <color theme="6" tint="0.59996337778862885"/>
              </font>
              <fill>
                <patternFill>
                  <bgColor theme="6" tint="0.59996337778862885"/>
                </patternFill>
              </fill>
            </x14:dxf>
          </x14:cfRule>
          <xm:sqref>V36</xm:sqref>
        </x14:conditionalFormatting>
        <x14:conditionalFormatting xmlns:xm="http://schemas.microsoft.com/office/excel/2006/main">
          <x14:cfRule type="expression" priority="14844" id="{0F6580DA-1622-44BA-9FB3-09F78EA9E53A}">
            <xm:f>OR($B$41="",'Hulp (control forms)'!$C$19&lt;&gt;TRUE)</xm:f>
            <x14:dxf>
              <font>
                <color theme="6" tint="0.59996337778862885"/>
              </font>
              <fill>
                <patternFill>
                  <bgColor theme="6" tint="0.59996337778862885"/>
                </patternFill>
              </fill>
            </x14:dxf>
          </x14:cfRule>
          <xm:sqref>V42</xm:sqref>
        </x14:conditionalFormatting>
        <x14:conditionalFormatting xmlns:xm="http://schemas.microsoft.com/office/excel/2006/main">
          <x14:cfRule type="expression" priority="14845" id="{439B7358-80CC-4F65-A50A-AF2D852C85C5}">
            <xm:f>OR($B$47="",'Hulp (control forms)'!$C$20&lt;&gt;TRUE)</xm:f>
            <x14:dxf>
              <font>
                <color theme="6" tint="0.59996337778862885"/>
              </font>
              <fill>
                <patternFill>
                  <bgColor theme="6" tint="0.59996337778862885"/>
                </patternFill>
              </fill>
            </x14:dxf>
          </x14:cfRule>
          <xm:sqref>V48</xm:sqref>
        </x14:conditionalFormatting>
        <x14:conditionalFormatting xmlns:xm="http://schemas.microsoft.com/office/excel/2006/main">
          <x14:cfRule type="expression" priority="14846" id="{645FFABF-07EB-4C49-A500-D9638B394B67}">
            <xm:f>OR($B$53="",'Hulp (control forms)'!$C$21&lt;&gt;TRUE)</xm:f>
            <x14:dxf>
              <font>
                <color theme="6" tint="0.59996337778862885"/>
              </font>
              <fill>
                <patternFill>
                  <bgColor theme="6" tint="0.59996337778862885"/>
                </patternFill>
              </fill>
            </x14:dxf>
          </x14:cfRule>
          <xm:sqref>V54</xm:sqref>
        </x14:conditionalFormatting>
        <x14:conditionalFormatting xmlns:xm="http://schemas.microsoft.com/office/excel/2006/main">
          <x14:cfRule type="expression" priority="14847" id="{25C479DB-9C03-49F5-B77F-CCD5FF7F306E}">
            <xm:f>OR($B$59="",'Hulp (control forms)'!$C$22&lt;&gt;TRUE)</xm:f>
            <x14:dxf>
              <font>
                <color theme="6" tint="0.59996337778862885"/>
              </font>
              <fill>
                <patternFill>
                  <bgColor theme="6" tint="0.59996337778862885"/>
                </patternFill>
              </fill>
            </x14:dxf>
          </x14:cfRule>
          <xm:sqref>V60</xm:sqref>
        </x14:conditionalFormatting>
        <x14:conditionalFormatting xmlns:xm="http://schemas.microsoft.com/office/excel/2006/main">
          <x14:cfRule type="expression" priority="14848" id="{69668DC9-E063-4E4C-BA67-8043F3251D76}">
            <xm:f>OR($B$65="",'Hulp (control forms)'!$C$23&lt;&gt;TRUE)</xm:f>
            <x14:dxf>
              <font>
                <color theme="6" tint="0.59996337778862885"/>
              </font>
              <fill>
                <patternFill>
                  <bgColor theme="6" tint="0.59996337778862885"/>
                </patternFill>
              </fill>
            </x14:dxf>
          </x14:cfRule>
          <xm:sqref>V66</xm:sqref>
        </x14:conditionalFormatting>
        <x14:conditionalFormatting xmlns:xm="http://schemas.microsoft.com/office/excel/2006/main">
          <x14:cfRule type="expression" priority="14849" id="{BECA18A9-A761-4E1B-82E8-0A08190DBF07}">
            <xm:f>OR($B$71="",'Hulp (control forms)'!$C$24&lt;&gt;TRUE)</xm:f>
            <x14:dxf>
              <font>
                <color theme="6" tint="0.59996337778862885"/>
              </font>
              <fill>
                <patternFill>
                  <bgColor theme="6" tint="0.59996337778862885"/>
                </patternFill>
              </fill>
            </x14:dxf>
          </x14:cfRule>
          <xm:sqref>V72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2:X87"/>
  <sheetViews>
    <sheetView zoomScale="70" zoomScaleNormal="70" workbookViewId="0">
      <selection activeCell="B7" sqref="B7"/>
    </sheetView>
  </sheetViews>
  <sheetFormatPr defaultRowHeight="15.75" x14ac:dyDescent="0.5"/>
  <cols>
    <col min="1" max="1" width="18.06640625" customWidth="1"/>
    <col min="2" max="2" width="26.46484375" style="12" customWidth="1"/>
    <col min="3" max="3" width="7.06640625" customWidth="1"/>
    <col min="4" max="4" width="24.06640625" customWidth="1"/>
    <col min="5" max="20" width="4.53125" customWidth="1"/>
    <col min="22" max="22" width="19.53125" customWidth="1"/>
    <col min="23" max="23" width="3.796875" customWidth="1"/>
    <col min="24" max="24" width="24.53125" style="60" customWidth="1"/>
  </cols>
  <sheetData>
    <row r="2" spans="1:24" s="47" customFormat="1" ht="18" x14ac:dyDescent="0.55000000000000004">
      <c r="B2" s="46" t="s">
        <v>1</v>
      </c>
      <c r="D2" s="46" t="s">
        <v>31</v>
      </c>
      <c r="V2" s="46" t="s">
        <v>30</v>
      </c>
      <c r="X2" s="60"/>
    </row>
    <row r="3" spans="1:24" x14ac:dyDescent="0.5">
      <c r="D3" s="12"/>
      <c r="V3" s="12"/>
    </row>
    <row r="4" spans="1:24" ht="16.149999999999999" thickBot="1" x14ac:dyDescent="0.55000000000000004">
      <c r="A4" s="5"/>
      <c r="B4" s="44" t="str">
        <f ca="1">IF(B5="","",IF(
   OR(
      INDIRECT("'1a. Input organisatieniveau'!N" &amp; (14 + INT((ROW()-4)/7)))="",
      INDIRECT("'1a. Input organisatieniveau'!N" &amp; (14 + INT((ROW()-4)/7)))=0
   ),
   "",
   INDIRECT("'1a. Input organisatieniveau'!N" &amp; (14 + INT((ROW()-4)/7)))
))</f>
        <v/>
      </c>
      <c r="E4" s="61" t="str">
        <f ca="1">IF($B7="Gebruik % van maximum trede", IF(AND(AND(E5&lt;&gt;"",E6&lt;&gt;""),E8=""),"!",""), IF(AND(AND(E5&lt;&gt;"",E7&lt;&gt;""),E8=""),"!",""))</f>
        <v/>
      </c>
      <c r="F4" s="61" t="str">
        <f t="shared" ref="F4:T4" ca="1" si="0">IF($B7="Gebruik % van maximum trede", IF(AND(AND(F5&lt;&gt;"",F6&lt;&gt;""),F8=""),"!",""), IF(AND(AND(F5&lt;&gt;"",F7&lt;&gt;""),F8=""),"!",""))</f>
        <v/>
      </c>
      <c r="G4" s="61" t="str">
        <f t="shared" ca="1" si="0"/>
        <v/>
      </c>
      <c r="H4" s="61" t="str">
        <f t="shared" ca="1" si="0"/>
        <v/>
      </c>
      <c r="I4" s="61" t="str">
        <f t="shared" ca="1" si="0"/>
        <v/>
      </c>
      <c r="J4" s="61" t="str">
        <f t="shared" ca="1" si="0"/>
        <v/>
      </c>
      <c r="K4" s="61" t="str">
        <f t="shared" ca="1" si="0"/>
        <v/>
      </c>
      <c r="L4" s="61" t="str">
        <f t="shared" ca="1" si="0"/>
        <v/>
      </c>
      <c r="M4" s="61" t="str">
        <f t="shared" ca="1" si="0"/>
        <v/>
      </c>
      <c r="N4" s="61" t="str">
        <f t="shared" ca="1" si="0"/>
        <v/>
      </c>
      <c r="O4" s="61" t="str">
        <f t="shared" ca="1" si="0"/>
        <v/>
      </c>
      <c r="P4" s="61" t="str">
        <f t="shared" ca="1" si="0"/>
        <v/>
      </c>
      <c r="Q4" s="61" t="str">
        <f t="shared" ca="1" si="0"/>
        <v/>
      </c>
      <c r="R4" s="61" t="str">
        <f t="shared" ca="1" si="0"/>
        <v/>
      </c>
      <c r="S4" s="61" t="str">
        <f t="shared" ca="1" si="0"/>
        <v/>
      </c>
      <c r="T4" s="61" t="str">
        <f t="shared" ca="1" si="0"/>
        <v/>
      </c>
    </row>
    <row r="5" spans="1:24" ht="16.149999999999999" thickBot="1" x14ac:dyDescent="0.55000000000000004">
      <c r="B5" s="45" t="str">
        <f ca="1">IF(
   OR(
      INDIRECT("'1a. Input organisatieniveau'!M" &amp; (14 + INT((ROW()-4)/7)))="",
      INDIRECT("'1a. Input organisatieniveau'!M" &amp; (14 + INT((ROW()-4)/7)))=0
   ),
   "",
   INDIRECT("'1a. Input organisatieniveau'!M" &amp; (14 + INT((ROW()-4)/7)))
)</f>
        <v/>
      </c>
      <c r="D5" s="22" t="s">
        <v>28</v>
      </c>
      <c r="E5" s="10" t="str">
        <f t="array" aca="1" ref="E5" ca="1">IF($B5="", "", INDEX('Hulp (CAO''s)'!J$3:J$6, MATCH(TRUE, 'Hulp (CAO''s)'!$D$3:$D$6, 0)))</f>
        <v/>
      </c>
      <c r="F5" s="10" t="str">
        <f t="array" aca="1" ref="F5" ca="1">IF($B5="", "", INDEX('Hulp (CAO''s)'!K$3:K$6, MATCH(TRUE, 'Hulp (CAO''s)'!$D$3:$D$6, 0)))</f>
        <v/>
      </c>
      <c r="G5" s="10" t="str">
        <f t="array" aca="1" ref="G5" ca="1">IF($B5="", "", INDEX('Hulp (CAO''s)'!L$3:L$6, MATCH(TRUE, 'Hulp (CAO''s)'!$D$3:$D$6, 0)))</f>
        <v/>
      </c>
      <c r="H5" s="10" t="str">
        <f t="array" aca="1" ref="H5" ca="1">IF($B5="", "", INDEX('Hulp (CAO''s)'!M$3:M$6, MATCH(TRUE, 'Hulp (CAO''s)'!$D$3:$D$6, 0)))</f>
        <v/>
      </c>
      <c r="I5" s="10" t="str">
        <f t="array" aca="1" ref="I5" ca="1">IF($B5="", "", INDEX('Hulp (CAO''s)'!N$3:N$6, MATCH(TRUE, 'Hulp (CAO''s)'!$D$3:$D$6, 0)))</f>
        <v/>
      </c>
      <c r="J5" s="10" t="str">
        <f t="array" aca="1" ref="J5" ca="1">IF($B5="", "", INDEX('Hulp (CAO''s)'!O$3:O$6, MATCH(TRUE, 'Hulp (CAO''s)'!$D$3:$D$6, 0)))</f>
        <v/>
      </c>
      <c r="K5" s="10" t="str">
        <f t="array" aca="1" ref="K5" ca="1">IF($B5="", "", INDEX('Hulp (CAO''s)'!P$3:P$6, MATCH(TRUE, 'Hulp (CAO''s)'!$D$3:$D$6, 0)))</f>
        <v/>
      </c>
      <c r="L5" s="10" t="str">
        <f t="array" aca="1" ref="L5" ca="1">IF($B5="", "", INDEX('Hulp (CAO''s)'!Q$3:Q$6, MATCH(TRUE, 'Hulp (CAO''s)'!$D$3:$D$6, 0)))</f>
        <v/>
      </c>
      <c r="M5" s="10" t="str">
        <f t="array" aca="1" ref="M5" ca="1">IF($B5="", "", INDEX('Hulp (CAO''s)'!R$3:R$6, MATCH(TRUE, 'Hulp (CAO''s)'!$D$3:$D$6, 0)))</f>
        <v/>
      </c>
      <c r="N5" s="10" t="str">
        <f t="array" aca="1" ref="N5" ca="1">IF($B5="", "", INDEX('Hulp (CAO''s)'!S$3:S$6, MATCH(TRUE, 'Hulp (CAO''s)'!$D$3:$D$6, 0)))</f>
        <v/>
      </c>
      <c r="O5" s="10" t="str">
        <f t="array" aca="1" ref="O5" ca="1">IF($B5="", "", INDEX('Hulp (CAO''s)'!T$3:T$6, MATCH(TRUE, 'Hulp (CAO''s)'!$D$3:$D$6, 0)))</f>
        <v/>
      </c>
      <c r="P5" s="10" t="str">
        <f t="array" aca="1" ref="P5" ca="1">IF($B5="", "", INDEX('Hulp (CAO''s)'!U$3:U$6, MATCH(TRUE, 'Hulp (CAO''s)'!$D$3:$D$6, 0)))</f>
        <v/>
      </c>
      <c r="Q5" s="10" t="str">
        <f t="array" aca="1" ref="Q5" ca="1">IF($B5="", "", INDEX('Hulp (CAO''s)'!V$3:V$6, MATCH(TRUE, 'Hulp (CAO''s)'!$D$3:$D$6, 0)))</f>
        <v/>
      </c>
      <c r="R5" s="10" t="str">
        <f t="array" aca="1" ref="R5" ca="1">IF($B5="", "", INDEX('Hulp (CAO''s)'!W$3:W$6, MATCH(TRUE, 'Hulp (CAO''s)'!$D$3:$D$6, 0)))</f>
        <v/>
      </c>
      <c r="S5" s="10" t="str">
        <f t="array" aca="1" ref="S5" ca="1">IF($B5="", "", INDEX('Hulp (CAO''s)'!X$3:X$6, MATCH(TRUE, 'Hulp (CAO''s)'!$D$3:$D$6, 0)))</f>
        <v/>
      </c>
      <c r="T5" s="11" t="str">
        <f t="array" aca="1" ref="T5" ca="1">IF($B5="", "", INDEX('Hulp (CAO''s)'!Y$3:Y$6, MATCH(TRUE, 'Hulp (CAO''s)'!$D$3:$D$6, 0)))</f>
        <v/>
      </c>
      <c r="V5" s="25"/>
      <c r="W5" s="5"/>
    </row>
    <row r="6" spans="1:24" ht="16.149999999999999" thickBot="1" x14ac:dyDescent="0.55000000000000004">
      <c r="D6" s="23" t="s">
        <v>770</v>
      </c>
      <c r="E6" s="90">
        <v>0.96</v>
      </c>
      <c r="F6" s="90">
        <v>0.9</v>
      </c>
      <c r="G6" s="90">
        <v>0.9</v>
      </c>
      <c r="H6" s="90">
        <v>0.7</v>
      </c>
      <c r="I6" s="90">
        <v>0.8</v>
      </c>
      <c r="J6" s="90">
        <v>0.9</v>
      </c>
      <c r="K6" s="90">
        <v>0.9</v>
      </c>
      <c r="L6" s="90">
        <v>0.9</v>
      </c>
      <c r="M6" s="90">
        <v>0.9</v>
      </c>
      <c r="N6" s="90">
        <v>0.8</v>
      </c>
      <c r="O6" s="90">
        <v>0.95</v>
      </c>
      <c r="P6" s="90">
        <v>0.93</v>
      </c>
      <c r="Q6" s="90">
        <v>0.93</v>
      </c>
      <c r="R6" s="90">
        <v>0.99</v>
      </c>
      <c r="S6" s="90">
        <v>0.99</v>
      </c>
      <c r="T6" s="91">
        <v>0.95</v>
      </c>
      <c r="V6" s="25" t="s">
        <v>32</v>
      </c>
    </row>
    <row r="7" spans="1:24" ht="14.25" x14ac:dyDescent="0.45">
      <c r="B7" s="48" t="s">
        <v>771</v>
      </c>
      <c r="D7" s="23" t="s">
        <v>29</v>
      </c>
      <c r="E7" s="94">
        <v>9</v>
      </c>
      <c r="F7" s="94">
        <v>10</v>
      </c>
      <c r="G7" s="94">
        <v>10</v>
      </c>
      <c r="H7" s="94">
        <v>9</v>
      </c>
      <c r="I7" s="94">
        <v>10</v>
      </c>
      <c r="J7" s="94">
        <v>11</v>
      </c>
      <c r="K7" s="94">
        <v>10</v>
      </c>
      <c r="L7" s="94">
        <v>10</v>
      </c>
      <c r="M7" s="94">
        <v>9</v>
      </c>
      <c r="N7" s="94">
        <v>10</v>
      </c>
      <c r="O7" s="94">
        <v>11</v>
      </c>
      <c r="P7" s="94">
        <v>12</v>
      </c>
      <c r="Q7" s="94">
        <v>13</v>
      </c>
      <c r="R7" s="94">
        <v>12</v>
      </c>
      <c r="S7" s="94">
        <v>10</v>
      </c>
      <c r="T7" s="33">
        <v>5</v>
      </c>
      <c r="V7" s="52">
        <v>4000</v>
      </c>
      <c r="X7" s="60" t="s">
        <v>747</v>
      </c>
    </row>
    <row r="8" spans="1:24" ht="14.65" thickBot="1" x14ac:dyDescent="0.5">
      <c r="B8"/>
      <c r="D8" s="40" t="str">
        <f>IFERROR(
   INDEX('Hulp (CAO''s)'!$I$3:$I$6, MATCH(TRUE, 'Hulp (CAO''s)'!$D$3:$D$6, 0)),
"")</f>
        <v>Bruto maandsalaris</v>
      </c>
      <c r="E8" s="86" t="str">
        <f t="array" aca="1" ref="E8" ca="1">IF($B7="Gebruik % van maximum trede",
IF(
    OR(E5="",E6=""),
    "",
    MAX(
    INDIRECT("'" &amp; INDEX('Hulp (CAO''s)'!$C$3:$C$6,
        MATCH(TRUE,'Hulp (CAO''s)'!$D$3:$D$6,0)) &amp; "'!" &amp;
        INDEX('Hulp (CAO''s)'!$H$3:$H$6,
            MATCH(TRUE,'Hulp (CAO''s)'!$D$3:$D$6,0))
        &amp;
        MATCH(E5, INDIRECT("'" &amp; INDEX('Hulp (CAO''s)'!$C$3:$C$6,
            MATCH(TRUE,'Hulp (CAO''s)'!$D$3:$D$6,0)) &amp; "'!A:A"),0)
        &amp; ":H" &amp;
        IF(F5&lt;&gt;"",
            MATCH(F5, INDIRECT("'" &amp; INDEX('Hulp (CAO''s)'!$C$3:$C$6,
                MATCH(TRUE,'Hulp (CAO''s)'!$D$3:$D$6,0)) &amp; "'!A:A"),0)-1,
            1000
        )
    )
) * E6
),
IF(
    IFERROR(MIN(
        IF(
            (TRIM(INDIRECT("'" &amp; INDEX('Hulp (CAO''s)'!$C$3:$C$6,
                MATCH(TRUE,'Hulp (CAO''s)'!$D$3:$D$6,0)) &amp; "'!B1:B1000")) = TEXT(E7,"0")) *
            (ROW(INDIRECT("'" &amp; INDEX('Hulp (CAO''s)'!$C$3:$C$6,
                MATCH(TRUE,'Hulp (CAO''s)'!$D$3:$D$6,0)) &amp; "'!B1:B1000")) &gt; MATCH(
                E5,
                INDIRECT("'" &amp; INDEX('Hulp (CAO''s)'!$C$3:$C$6,
                    MATCH(TRUE,'Hulp (CAO''s)'!$D$3:$D$6,0)) &amp; "'!A:A"),
                0
            )) *
            IF(
                F5="",
                1,
                (ROW(INDIRECT("'" &amp; INDEX('Hulp (CAO''s)'!$C$3:$C$6,
                    MATCH(TRUE,'Hulp (CAO''s)'!$D$3:$D$6,0)) &amp; "'!B1:B1000")) &lt; MATCH(
                    F5,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TEXT(E7,"0")) *
                (ROW(INDIRECT("'" &amp; INDEX('Hulp (CAO''s)'!$C$3:$C$6,
                    MATCH(TRUE,'Hulp (CAO''s)'!$D$3:$D$6,0)) &amp; "'!B1:B1000")) &gt; MATCH(
                    E5,
                    INDIRECT("'" &amp; INDEX('Hulp (CAO''s)'!$C$3:$C$6,
                        MATCH(TRUE,'Hulp (CAO''s)'!$D$3:$D$6,0)) &amp; "'!A:A"),
                    0
                )) *
                IF(
                    F5="",
                    1,
                    (ROW(INDIRECT("'" &amp; INDEX('Hulp (CAO''s)'!$C$3:$C$6,
                        MATCH(TRUE,'Hulp (CAO''s)'!$D$3:$D$6,0)) &amp; "'!B1:B1000")) &lt; MATCH(
                        F5,
                        INDIRECT("'" &amp; INDEX('Hulp (CAO''s)'!$C$3:$C$6,
                            MATCH(TRUE,'Hulp (CAO''s)'!$D$3:$D$6,0)) &amp; "'!A:A"),
                        0
                    ))
                ),
                ROW(INDIRECT("'" &amp; INDEX('Hulp (CAO''s)'!$C$3:$C$6,
                    MATCH(TRUE,'Hulp (CAO''s)'!$D$3:$D$6,0)) &amp; "'!B1:B1000"))
            )
        ),0)
    )
))</f>
        <v/>
      </c>
      <c r="F8" s="86" t="str">
        <f t="array" aca="1" ref="F8" ca="1">IF($B7="Gebruik % van maximum trede",
IF(
    OR(F5="",F6=""),
    "",
    MAX(
    INDIRECT("'" &amp; INDEX('Hulp (CAO''s)'!$C$3:$C$6,
        MATCH(TRUE,'Hulp (CAO''s)'!$D$3:$D$6,0)) &amp; "'!" &amp;
        INDEX('Hulp (CAO''s)'!$H$3:$H$6,
            MATCH(TRUE,'Hulp (CAO''s)'!$D$3:$D$6,0))
        &amp;
        MATCH(F5, INDIRECT("'" &amp; INDEX('Hulp (CAO''s)'!$C$3:$C$6,
            MATCH(TRUE,'Hulp (CAO''s)'!$D$3:$D$6,0)) &amp; "'!A:A"),0)
        &amp; ":H" &amp;
        IF(G5&lt;&gt;"",
            MATCH(G5, INDIRECT("'" &amp; INDEX('Hulp (CAO''s)'!$C$3:$C$6,
                MATCH(TRUE,'Hulp (CAO''s)'!$D$3:$D$6,0)) &amp; "'!A:A"),0)-1,
            1000
        )
    )
) * F6
),
IF(
    IFERROR(MIN(
        IF(
            (TRIM(INDIRECT("'" &amp; INDEX('Hulp (CAO''s)'!$C$3:$C$6,
                MATCH(TRUE,'Hulp (CAO''s)'!$D$3:$D$6,0)) &amp; "'!B1:B1000")) = TEXT(F7,"0")) *
            (ROW(INDIRECT("'" &amp; INDEX('Hulp (CAO''s)'!$C$3:$C$6,
                MATCH(TRUE,'Hulp (CAO''s)'!$D$3:$D$6,0)) &amp; "'!B1:B1000")) &gt; MATCH(
                F5,
                INDIRECT("'" &amp; INDEX('Hulp (CAO''s)'!$C$3:$C$6,
                    MATCH(TRUE,'Hulp (CAO''s)'!$D$3:$D$6,0)) &amp; "'!A:A"),
                0
            )) *
            IF(
                G5="",
                1,
                (ROW(INDIRECT("'" &amp; INDEX('Hulp (CAO''s)'!$C$3:$C$6,
                    MATCH(TRUE,'Hulp (CAO''s)'!$D$3:$D$6,0)) &amp; "'!B1:B1000")) &lt; MATCH(
                    G5,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TEXT(F7,"0")) *
                (ROW(INDIRECT("'" &amp; INDEX('Hulp (CAO''s)'!$C$3:$C$6,
                    MATCH(TRUE,'Hulp (CAO''s)'!$D$3:$D$6,0)) &amp; "'!B1:B1000")) &gt; MATCH(
                    F5,
                    INDIRECT("'" &amp; INDEX('Hulp (CAO''s)'!$C$3:$C$6,
                        MATCH(TRUE,'Hulp (CAO''s)'!$D$3:$D$6,0)) &amp; "'!A:A"),
                    0
                )) *
                IF(
                    G5="",
                    1,
                    (ROW(INDIRECT("'" &amp; INDEX('Hulp (CAO''s)'!$C$3:$C$6,
                        MATCH(TRUE,'Hulp (CAO''s)'!$D$3:$D$6,0)) &amp; "'!B1:B1000")) &lt; MATCH(
                        G5,
                        INDIRECT("'" &amp; INDEX('Hulp (CAO''s)'!$C$3:$C$6,
                            MATCH(TRUE,'Hulp (CAO''s)'!$D$3:$D$6,0)) &amp; "'!A:A"),
                        0
                    ))
                ),
                ROW(INDIRECT("'" &amp; INDEX('Hulp (CAO''s)'!$C$3:$C$6,
                    MATCH(TRUE,'Hulp (CAO''s)'!$D$3:$D$6,0)) &amp; "'!B1:B1000"))
            )
        ),0)
    )
))</f>
        <v/>
      </c>
      <c r="G8" s="86" t="str">
        <f t="array" aca="1" ref="G8" ca="1">IF($B7="Gebruik % van maximum trede",
IF(
    OR(G5="",G6=""),
    "",
    MAX(
    INDIRECT("'" &amp; INDEX('Hulp (CAO''s)'!$C$3:$C$6,
        MATCH(TRUE,'Hulp (CAO''s)'!$D$3:$D$6,0)) &amp; "'!" &amp;
        INDEX('Hulp (CAO''s)'!$H$3:$H$6,
            MATCH(TRUE,'Hulp (CAO''s)'!$D$3:$D$6,0))
        &amp;
        MATCH(G5, INDIRECT("'" &amp; INDEX('Hulp (CAO''s)'!$C$3:$C$6,
            MATCH(TRUE,'Hulp (CAO''s)'!$D$3:$D$6,0)) &amp; "'!A:A"),0)
        &amp; ":H" &amp;
        IF(H5&lt;&gt;"",
            MATCH(H5, INDIRECT("'" &amp; INDEX('Hulp (CAO''s)'!$C$3:$C$6,
                MATCH(TRUE,'Hulp (CAO''s)'!$D$3:$D$6,0)) &amp; "'!A:A"),0)-1,
            1000
        )
    )
) * G6
),
IF(
    IFERROR(MIN(
        IF(
            (TRIM(INDIRECT("'" &amp; INDEX('Hulp (CAO''s)'!$C$3:$C$6,
                MATCH(TRUE,'Hulp (CAO''s)'!$D$3:$D$6,0)) &amp; "'!B1:B1000")) = TEXT(G7,"0")) *
            (ROW(INDIRECT("'" &amp; INDEX('Hulp (CAO''s)'!$C$3:$C$6,
                MATCH(TRUE,'Hulp (CAO''s)'!$D$3:$D$6,0)) &amp; "'!B1:B1000")) &gt; MATCH(
                G5,
                INDIRECT("'" &amp; INDEX('Hulp (CAO''s)'!$C$3:$C$6,
                    MATCH(TRUE,'Hulp (CAO''s)'!$D$3:$D$6,0)) &amp; "'!A:A"),
                0
            )) *
            IF(
                H5="",
                1,
                (ROW(INDIRECT("'" &amp; INDEX('Hulp (CAO''s)'!$C$3:$C$6,
                    MATCH(TRUE,'Hulp (CAO''s)'!$D$3:$D$6,0)) &amp; "'!B1:B1000")) &lt; MATCH(
                    H5,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TEXT(G7,"0")) *
                (ROW(INDIRECT("'" &amp; INDEX('Hulp (CAO''s)'!$C$3:$C$6,
                    MATCH(TRUE,'Hulp (CAO''s)'!$D$3:$D$6,0)) &amp; "'!B1:B1000")) &gt; MATCH(
                    G5,
                    INDIRECT("'" &amp; INDEX('Hulp (CAO''s)'!$C$3:$C$6,
                        MATCH(TRUE,'Hulp (CAO''s)'!$D$3:$D$6,0)) &amp; "'!A:A"),
                    0
                )) *
                IF(
                    H5="",
                    1,
                    (ROW(INDIRECT("'" &amp; INDEX('Hulp (CAO''s)'!$C$3:$C$6,
                        MATCH(TRUE,'Hulp (CAO''s)'!$D$3:$D$6,0)) &amp; "'!B1:B1000")) &lt; MATCH(
                        H5,
                        INDIRECT("'" &amp; INDEX('Hulp (CAO''s)'!$C$3:$C$6,
                            MATCH(TRUE,'Hulp (CAO''s)'!$D$3:$D$6,0)) &amp; "'!A:A"),
                        0
                    ))
                ),
                ROW(INDIRECT("'" &amp; INDEX('Hulp (CAO''s)'!$C$3:$C$6,
                    MATCH(TRUE,'Hulp (CAO''s)'!$D$3:$D$6,0)) &amp; "'!B1:B1000"))
            )
        ),0)
    )
))</f>
        <v/>
      </c>
      <c r="H8" s="86" t="str">
        <f t="array" aca="1" ref="H8" ca="1">IF($B7="Gebruik % van maximum trede",
IF(
    OR(H5="",H6=""),
    "",
    MAX(
    INDIRECT("'" &amp; INDEX('Hulp (CAO''s)'!$C$3:$C$6,
        MATCH(TRUE,'Hulp (CAO''s)'!$D$3:$D$6,0)) &amp; "'!" &amp;
        INDEX('Hulp (CAO''s)'!$H$3:$H$6,
            MATCH(TRUE,'Hulp (CAO''s)'!$D$3:$D$6,0))
        &amp;
        MATCH(H5, INDIRECT("'" &amp; INDEX('Hulp (CAO''s)'!$C$3:$C$6,
            MATCH(TRUE,'Hulp (CAO''s)'!$D$3:$D$6,0)) &amp; "'!A:A"),0)
        &amp; ":H" &amp;
        IF(I5&lt;&gt;"",
            MATCH(I5, INDIRECT("'" &amp; INDEX('Hulp (CAO''s)'!$C$3:$C$6,
                MATCH(TRUE,'Hulp (CAO''s)'!$D$3:$D$6,0)) &amp; "'!A:A"),0)-1,
            1000
        )
    )
) * H6
),
IF(
    IFERROR(MIN(
        IF(
            (TRIM(INDIRECT("'" &amp; INDEX('Hulp (CAO''s)'!$C$3:$C$6,
                MATCH(TRUE,'Hulp (CAO''s)'!$D$3:$D$6,0)) &amp; "'!B1:B1000")) = TEXT(H7,"0")) *
            (ROW(INDIRECT("'" &amp; INDEX('Hulp (CAO''s)'!$C$3:$C$6,
                MATCH(TRUE,'Hulp (CAO''s)'!$D$3:$D$6,0)) &amp; "'!B1:B1000")) &gt; MATCH(
                H5,
                INDIRECT("'" &amp; INDEX('Hulp (CAO''s)'!$C$3:$C$6,
                    MATCH(TRUE,'Hulp (CAO''s)'!$D$3:$D$6,0)) &amp; "'!A:A"),
                0
            )) *
            IF(
                I5="",
                1,
                (ROW(INDIRECT("'" &amp; INDEX('Hulp (CAO''s)'!$C$3:$C$6,
                    MATCH(TRUE,'Hulp (CAO''s)'!$D$3:$D$6,0)) &amp; "'!B1:B1000")) &lt; MATCH(
                    I5,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TEXT(H7,"0")) *
                (ROW(INDIRECT("'" &amp; INDEX('Hulp (CAO''s)'!$C$3:$C$6,
                    MATCH(TRUE,'Hulp (CAO''s)'!$D$3:$D$6,0)) &amp; "'!B1:B1000")) &gt; MATCH(
                    H5,
                    INDIRECT("'" &amp; INDEX('Hulp (CAO''s)'!$C$3:$C$6,
                        MATCH(TRUE,'Hulp (CAO''s)'!$D$3:$D$6,0)) &amp; "'!A:A"),
                    0
                )) *
                IF(
                    I5="",
                    1,
                    (ROW(INDIRECT("'" &amp; INDEX('Hulp (CAO''s)'!$C$3:$C$6,
                        MATCH(TRUE,'Hulp (CAO''s)'!$D$3:$D$6,0)) &amp; "'!B1:B1000")) &lt; MATCH(
                        I5,
                        INDIRECT("'" &amp; INDEX('Hulp (CAO''s)'!$C$3:$C$6,
                            MATCH(TRUE,'Hulp (CAO''s)'!$D$3:$D$6,0)) &amp; "'!A:A"),
                        0
                    ))
                ),
                ROW(INDIRECT("'" &amp; INDEX('Hulp (CAO''s)'!$C$3:$C$6,
                    MATCH(TRUE,'Hulp (CAO''s)'!$D$3:$D$6,0)) &amp; "'!B1:B1000"))
            )
        ),0)
    )
))</f>
        <v/>
      </c>
      <c r="I8" s="86" t="str">
        <f t="array" aca="1" ref="I8" ca="1">IF($B7="Gebruik % van maximum trede",
IF(
    OR(I5="",I6=""),
    "",
    MAX(
    INDIRECT("'" &amp; INDEX('Hulp (CAO''s)'!$C$3:$C$6,
        MATCH(TRUE,'Hulp (CAO''s)'!$D$3:$D$6,0)) &amp; "'!" &amp;
        INDEX('Hulp (CAO''s)'!$H$3:$H$6,
            MATCH(TRUE,'Hulp (CAO''s)'!$D$3:$D$6,0))
        &amp;
        MATCH(I5, INDIRECT("'" &amp; INDEX('Hulp (CAO''s)'!$C$3:$C$6,
            MATCH(TRUE,'Hulp (CAO''s)'!$D$3:$D$6,0)) &amp; "'!A:A"),0)
        &amp; ":H" &amp;
        IF(J5&lt;&gt;"",
            MATCH(J5, INDIRECT("'" &amp; INDEX('Hulp (CAO''s)'!$C$3:$C$6,
                MATCH(TRUE,'Hulp (CAO''s)'!$D$3:$D$6,0)) &amp; "'!A:A"),0)-1,
            1000
        )
    )
) * I6
),
IF(
    IFERROR(MIN(
        IF(
            (TRIM(INDIRECT("'" &amp; INDEX('Hulp (CAO''s)'!$C$3:$C$6,
                MATCH(TRUE,'Hulp (CAO''s)'!$D$3:$D$6,0)) &amp; "'!B1:B1000")) = TEXT(I7,"0")) *
            (ROW(INDIRECT("'" &amp; INDEX('Hulp (CAO''s)'!$C$3:$C$6,
                MATCH(TRUE,'Hulp (CAO''s)'!$D$3:$D$6,0)) &amp; "'!B1:B1000")) &gt; MATCH(
                I5,
                INDIRECT("'" &amp; INDEX('Hulp (CAO''s)'!$C$3:$C$6,
                    MATCH(TRUE,'Hulp (CAO''s)'!$D$3:$D$6,0)) &amp; "'!A:A"),
                0
            )) *
            IF(
                J5="",
                1,
                (ROW(INDIRECT("'" &amp; INDEX('Hulp (CAO''s)'!$C$3:$C$6,
                    MATCH(TRUE,'Hulp (CAO''s)'!$D$3:$D$6,0)) &amp; "'!B1:B1000")) &lt; MATCH(
                    J5,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TEXT(I7,"0")) *
                (ROW(INDIRECT("'" &amp; INDEX('Hulp (CAO''s)'!$C$3:$C$6,
                    MATCH(TRUE,'Hulp (CAO''s)'!$D$3:$D$6,0)) &amp; "'!B1:B1000")) &gt; MATCH(
                    I5,
                    INDIRECT("'" &amp; INDEX('Hulp (CAO''s)'!$C$3:$C$6,
                        MATCH(TRUE,'Hulp (CAO''s)'!$D$3:$D$6,0)) &amp; "'!A:A"),
                    0
                )) *
                IF(
                    J5="",
                    1,
                    (ROW(INDIRECT("'" &amp; INDEX('Hulp (CAO''s)'!$C$3:$C$6,
                        MATCH(TRUE,'Hulp (CAO''s)'!$D$3:$D$6,0)) &amp; "'!B1:B1000")) &lt; MATCH(
                        J5,
                        INDIRECT("'" &amp; INDEX('Hulp (CAO''s)'!$C$3:$C$6,
                            MATCH(TRUE,'Hulp (CAO''s)'!$D$3:$D$6,0)) &amp; "'!A:A"),
                        0
                    ))
                ),
                ROW(INDIRECT("'" &amp; INDEX('Hulp (CAO''s)'!$C$3:$C$6,
                    MATCH(TRUE,'Hulp (CAO''s)'!$D$3:$D$6,0)) &amp; "'!B1:B1000"))
            )
        ),0)
    )
))</f>
        <v/>
      </c>
      <c r="J8" s="86" t="str">
        <f t="array" aca="1" ref="J8" ca="1">IF($B7="Gebruik % van maximum trede",
IF(
    OR(J5="",J6=""),
    "",
    MAX(
    INDIRECT("'" &amp; INDEX('Hulp (CAO''s)'!$C$3:$C$6,
        MATCH(TRUE,'Hulp (CAO''s)'!$D$3:$D$6,0)) &amp; "'!" &amp;
        INDEX('Hulp (CAO''s)'!$H$3:$H$6,
            MATCH(TRUE,'Hulp (CAO''s)'!$D$3:$D$6,0))
        &amp;
        MATCH(J5, INDIRECT("'" &amp; INDEX('Hulp (CAO''s)'!$C$3:$C$6,
            MATCH(TRUE,'Hulp (CAO''s)'!$D$3:$D$6,0)) &amp; "'!A:A"),0)
        &amp; ":H" &amp;
        IF(K5&lt;&gt;"",
            MATCH(K5, INDIRECT("'" &amp; INDEX('Hulp (CAO''s)'!$C$3:$C$6,
                MATCH(TRUE,'Hulp (CAO''s)'!$D$3:$D$6,0)) &amp; "'!A:A"),0)-1,
            1000
        )
    )
) * J6
),
IF(
    IFERROR(MIN(
        IF(
            (TRIM(INDIRECT("'" &amp; INDEX('Hulp (CAO''s)'!$C$3:$C$6,
                MATCH(TRUE,'Hulp (CAO''s)'!$D$3:$D$6,0)) &amp; "'!B1:B1000")) = TEXT(J7,"0")) *
            (ROW(INDIRECT("'" &amp; INDEX('Hulp (CAO''s)'!$C$3:$C$6,
                MATCH(TRUE,'Hulp (CAO''s)'!$D$3:$D$6,0)) &amp; "'!B1:B1000")) &gt; MATCH(
                J5,
                INDIRECT("'" &amp; INDEX('Hulp (CAO''s)'!$C$3:$C$6,
                    MATCH(TRUE,'Hulp (CAO''s)'!$D$3:$D$6,0)) &amp; "'!A:A"),
                0
            )) *
            IF(
                K5="",
                1,
                (ROW(INDIRECT("'" &amp; INDEX('Hulp (CAO''s)'!$C$3:$C$6,
                    MATCH(TRUE,'Hulp (CAO''s)'!$D$3:$D$6,0)) &amp; "'!B1:B1000")) &lt; MATCH(
                    K5,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TEXT(J7,"0")) *
                (ROW(INDIRECT("'" &amp; INDEX('Hulp (CAO''s)'!$C$3:$C$6,
                    MATCH(TRUE,'Hulp (CAO''s)'!$D$3:$D$6,0)) &amp; "'!B1:B1000")) &gt; MATCH(
                    J5,
                    INDIRECT("'" &amp; INDEX('Hulp (CAO''s)'!$C$3:$C$6,
                        MATCH(TRUE,'Hulp (CAO''s)'!$D$3:$D$6,0)) &amp; "'!A:A"),
                    0
                )) *
                IF(
                    K5="",
                    1,
                    (ROW(INDIRECT("'" &amp; INDEX('Hulp (CAO''s)'!$C$3:$C$6,
                        MATCH(TRUE,'Hulp (CAO''s)'!$D$3:$D$6,0)) &amp; "'!B1:B1000")) &lt; MATCH(
                        K5,
                        INDIRECT("'" &amp; INDEX('Hulp (CAO''s)'!$C$3:$C$6,
                            MATCH(TRUE,'Hulp (CAO''s)'!$D$3:$D$6,0)) &amp; "'!A:A"),
                        0
                    ))
                ),
                ROW(INDIRECT("'" &amp; INDEX('Hulp (CAO''s)'!$C$3:$C$6,
                    MATCH(TRUE,'Hulp (CAO''s)'!$D$3:$D$6,0)) &amp; "'!B1:B1000"))
            )
        ),0)
    )
))</f>
        <v/>
      </c>
      <c r="K8" s="86" t="str">
        <f t="array" aca="1" ref="K8" ca="1">IF($B7="Gebruik % van maximum trede",
IF(
    OR(K5="",K6=""),
    "",
    MAX(
    INDIRECT("'" &amp; INDEX('Hulp (CAO''s)'!$C$3:$C$6,
        MATCH(TRUE,'Hulp (CAO''s)'!$D$3:$D$6,0)) &amp; "'!" &amp;
        INDEX('Hulp (CAO''s)'!$H$3:$H$6,
            MATCH(TRUE,'Hulp (CAO''s)'!$D$3:$D$6,0))
        &amp;
        MATCH(K5, INDIRECT("'" &amp; INDEX('Hulp (CAO''s)'!$C$3:$C$6,
            MATCH(TRUE,'Hulp (CAO''s)'!$D$3:$D$6,0)) &amp; "'!A:A"),0)
        &amp; ":H" &amp;
        IF(L5&lt;&gt;"",
            MATCH(L5, INDIRECT("'" &amp; INDEX('Hulp (CAO''s)'!$C$3:$C$6,
                MATCH(TRUE,'Hulp (CAO''s)'!$D$3:$D$6,0)) &amp; "'!A:A"),0)-1,
            1000
        )
    )
) * K6
),
IF(
    IFERROR(MIN(
        IF(
            (TRIM(INDIRECT("'" &amp; INDEX('Hulp (CAO''s)'!$C$3:$C$6,
                MATCH(TRUE,'Hulp (CAO''s)'!$D$3:$D$6,0)) &amp; "'!B1:B1000")) = TEXT(K7,"0")) *
            (ROW(INDIRECT("'" &amp; INDEX('Hulp (CAO''s)'!$C$3:$C$6,
                MATCH(TRUE,'Hulp (CAO''s)'!$D$3:$D$6,0)) &amp; "'!B1:B1000")) &gt; MATCH(
                K5,
                INDIRECT("'" &amp; INDEX('Hulp (CAO''s)'!$C$3:$C$6,
                    MATCH(TRUE,'Hulp (CAO''s)'!$D$3:$D$6,0)) &amp; "'!A:A"),
                0
            )) *
            IF(
                L5="",
                1,
                (ROW(INDIRECT("'" &amp; INDEX('Hulp (CAO''s)'!$C$3:$C$6,
                    MATCH(TRUE,'Hulp (CAO''s)'!$D$3:$D$6,0)) &amp; "'!B1:B1000")) &lt; MATCH(
                    L5,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TEXT(K7,"0")) *
                (ROW(INDIRECT("'" &amp; INDEX('Hulp (CAO''s)'!$C$3:$C$6,
                    MATCH(TRUE,'Hulp (CAO''s)'!$D$3:$D$6,0)) &amp; "'!B1:B1000")) &gt; MATCH(
                    K5,
                    INDIRECT("'" &amp; INDEX('Hulp (CAO''s)'!$C$3:$C$6,
                        MATCH(TRUE,'Hulp (CAO''s)'!$D$3:$D$6,0)) &amp; "'!A:A"),
                    0
                )) *
                IF(
                    L5="",
                    1,
                    (ROW(INDIRECT("'" &amp; INDEX('Hulp (CAO''s)'!$C$3:$C$6,
                        MATCH(TRUE,'Hulp (CAO''s)'!$D$3:$D$6,0)) &amp; "'!B1:B1000")) &lt; MATCH(
                        L5,
                        INDIRECT("'" &amp; INDEX('Hulp (CAO''s)'!$C$3:$C$6,
                            MATCH(TRUE,'Hulp (CAO''s)'!$D$3:$D$6,0)) &amp; "'!A:A"),
                        0
                    ))
                ),
                ROW(INDIRECT("'" &amp; INDEX('Hulp (CAO''s)'!$C$3:$C$6,
                    MATCH(TRUE,'Hulp (CAO''s)'!$D$3:$D$6,0)) &amp; "'!B1:B1000"))
            )
        ),0)
    )
))</f>
        <v/>
      </c>
      <c r="L8" s="86" t="str">
        <f t="array" aca="1" ref="L8" ca="1">IF($B7="Gebruik % van maximum trede",
IF(
    OR(L5="",L6=""),
    "",
    MAX(
    INDIRECT("'" &amp; INDEX('Hulp (CAO''s)'!$C$3:$C$6,
        MATCH(TRUE,'Hulp (CAO''s)'!$D$3:$D$6,0)) &amp; "'!" &amp;
        INDEX('Hulp (CAO''s)'!$H$3:$H$6,
            MATCH(TRUE,'Hulp (CAO''s)'!$D$3:$D$6,0))
        &amp;
        MATCH(L5, INDIRECT("'" &amp; INDEX('Hulp (CAO''s)'!$C$3:$C$6,
            MATCH(TRUE,'Hulp (CAO''s)'!$D$3:$D$6,0)) &amp; "'!A:A"),0)
        &amp; ":H" &amp;
        IF(M5&lt;&gt;"",
            MATCH(M5, INDIRECT("'" &amp; INDEX('Hulp (CAO''s)'!$C$3:$C$6,
                MATCH(TRUE,'Hulp (CAO''s)'!$D$3:$D$6,0)) &amp; "'!A:A"),0)-1,
            1000
        )
    )
) * L6
),
IF(
    IFERROR(MIN(
        IF(
            (TRIM(INDIRECT("'" &amp; INDEX('Hulp (CAO''s)'!$C$3:$C$6,
                MATCH(TRUE,'Hulp (CAO''s)'!$D$3:$D$6,0)) &amp; "'!B1:B1000")) = TEXT(L7,"0")) *
            (ROW(INDIRECT("'" &amp; INDEX('Hulp (CAO''s)'!$C$3:$C$6,
                MATCH(TRUE,'Hulp (CAO''s)'!$D$3:$D$6,0)) &amp; "'!B1:B1000")) &gt; MATCH(
                L5,
                INDIRECT("'" &amp; INDEX('Hulp (CAO''s)'!$C$3:$C$6,
                    MATCH(TRUE,'Hulp (CAO''s)'!$D$3:$D$6,0)) &amp; "'!A:A"),
                0
            )) *
            IF(
                M5="",
                1,
                (ROW(INDIRECT("'" &amp; INDEX('Hulp (CAO''s)'!$C$3:$C$6,
                    MATCH(TRUE,'Hulp (CAO''s)'!$D$3:$D$6,0)) &amp; "'!B1:B1000")) &lt; MATCH(
                    M5,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TEXT(L7,"0")) *
                (ROW(INDIRECT("'" &amp; INDEX('Hulp (CAO''s)'!$C$3:$C$6,
                    MATCH(TRUE,'Hulp (CAO''s)'!$D$3:$D$6,0)) &amp; "'!B1:B1000")) &gt; MATCH(
                    L5,
                    INDIRECT("'" &amp; INDEX('Hulp (CAO''s)'!$C$3:$C$6,
                        MATCH(TRUE,'Hulp (CAO''s)'!$D$3:$D$6,0)) &amp; "'!A:A"),
                    0
                )) *
                IF(
                    M5="",
                    1,
                    (ROW(INDIRECT("'" &amp; INDEX('Hulp (CAO''s)'!$C$3:$C$6,
                        MATCH(TRUE,'Hulp (CAO''s)'!$D$3:$D$6,0)) &amp; "'!B1:B1000")) &lt; MATCH(
                        M5,
                        INDIRECT("'" &amp; INDEX('Hulp (CAO''s)'!$C$3:$C$6,
                            MATCH(TRUE,'Hulp (CAO''s)'!$D$3:$D$6,0)) &amp; "'!A:A"),
                        0
                    ))
                ),
                ROW(INDIRECT("'" &amp; INDEX('Hulp (CAO''s)'!$C$3:$C$6,
                    MATCH(TRUE,'Hulp (CAO''s)'!$D$3:$D$6,0)) &amp; "'!B1:B1000"))
            )
        ),0)
    )
))</f>
        <v/>
      </c>
      <c r="M8" s="86" t="str">
        <f t="array" aca="1" ref="M8" ca="1">IF($B7="Gebruik % van maximum trede",
IF(
    OR(M5="",M6=""),
    "",
    MAX(
    INDIRECT("'" &amp; INDEX('Hulp (CAO''s)'!$C$3:$C$6,
        MATCH(TRUE,'Hulp (CAO''s)'!$D$3:$D$6,0)) &amp; "'!" &amp;
        INDEX('Hulp (CAO''s)'!$H$3:$H$6,
            MATCH(TRUE,'Hulp (CAO''s)'!$D$3:$D$6,0))
        &amp;
        MATCH(M5, INDIRECT("'" &amp; INDEX('Hulp (CAO''s)'!$C$3:$C$6,
            MATCH(TRUE,'Hulp (CAO''s)'!$D$3:$D$6,0)) &amp; "'!A:A"),0)
        &amp; ":H" &amp;
        IF(N5&lt;&gt;"",
            MATCH(N5, INDIRECT("'" &amp; INDEX('Hulp (CAO''s)'!$C$3:$C$6,
                MATCH(TRUE,'Hulp (CAO''s)'!$D$3:$D$6,0)) &amp; "'!A:A"),0)-1,
            1000
        )
    )
) * M6
),
IF(
    IFERROR(MIN(
        IF(
            (TRIM(INDIRECT("'" &amp; INDEX('Hulp (CAO''s)'!$C$3:$C$6,
                MATCH(TRUE,'Hulp (CAO''s)'!$D$3:$D$6,0)) &amp; "'!B1:B1000")) = TEXT(M7,"0")) *
            (ROW(INDIRECT("'" &amp; INDEX('Hulp (CAO''s)'!$C$3:$C$6,
                MATCH(TRUE,'Hulp (CAO''s)'!$D$3:$D$6,0)) &amp; "'!B1:B1000")) &gt; MATCH(
                M5,
                INDIRECT("'" &amp; INDEX('Hulp (CAO''s)'!$C$3:$C$6,
                    MATCH(TRUE,'Hulp (CAO''s)'!$D$3:$D$6,0)) &amp; "'!A:A"),
                0
            )) *
            IF(
                N5="",
                1,
                (ROW(INDIRECT("'" &amp; INDEX('Hulp (CAO''s)'!$C$3:$C$6,
                    MATCH(TRUE,'Hulp (CAO''s)'!$D$3:$D$6,0)) &amp; "'!B1:B1000")) &lt; MATCH(
                    N5,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TEXT(M7,"0")) *
                (ROW(INDIRECT("'" &amp; INDEX('Hulp (CAO''s)'!$C$3:$C$6,
                    MATCH(TRUE,'Hulp (CAO''s)'!$D$3:$D$6,0)) &amp; "'!B1:B1000")) &gt; MATCH(
                    M5,
                    INDIRECT("'" &amp; INDEX('Hulp (CAO''s)'!$C$3:$C$6,
                        MATCH(TRUE,'Hulp (CAO''s)'!$D$3:$D$6,0)) &amp; "'!A:A"),
                    0
                )) *
                IF(
                    N5="",
                    1,
                    (ROW(INDIRECT("'" &amp; INDEX('Hulp (CAO''s)'!$C$3:$C$6,
                        MATCH(TRUE,'Hulp (CAO''s)'!$D$3:$D$6,0)) &amp; "'!B1:B1000")) &lt; MATCH(
                        N5,
                        INDIRECT("'" &amp; INDEX('Hulp (CAO''s)'!$C$3:$C$6,
                            MATCH(TRUE,'Hulp (CAO''s)'!$D$3:$D$6,0)) &amp; "'!A:A"),
                        0
                    ))
                ),
                ROW(INDIRECT("'" &amp; INDEX('Hulp (CAO''s)'!$C$3:$C$6,
                    MATCH(TRUE,'Hulp (CAO''s)'!$D$3:$D$6,0)) &amp; "'!B1:B1000"))
            )
        ),0)
    )
))</f>
        <v/>
      </c>
      <c r="N8" s="86" t="str">
        <f t="array" aca="1" ref="N8" ca="1">IF($B7="Gebruik % van maximum trede",
IF(
    OR(N5="",N6=""),
    "",
    MAX(
    INDIRECT("'" &amp; INDEX('Hulp (CAO''s)'!$C$3:$C$6,
        MATCH(TRUE,'Hulp (CAO''s)'!$D$3:$D$6,0)) &amp; "'!" &amp;
        INDEX('Hulp (CAO''s)'!$H$3:$H$6,
            MATCH(TRUE,'Hulp (CAO''s)'!$D$3:$D$6,0))
        &amp;
        MATCH(N5, INDIRECT("'" &amp; INDEX('Hulp (CAO''s)'!$C$3:$C$6,
            MATCH(TRUE,'Hulp (CAO''s)'!$D$3:$D$6,0)) &amp; "'!A:A"),0)
        &amp; ":H" &amp;
        IF(O5&lt;&gt;"",
            MATCH(O5, INDIRECT("'" &amp; INDEX('Hulp (CAO''s)'!$C$3:$C$6,
                MATCH(TRUE,'Hulp (CAO''s)'!$D$3:$D$6,0)) &amp; "'!A:A"),0)-1,
            1000
        )
    )
) * N6
),
IF(
    IFERROR(MIN(
        IF(
            (TRIM(INDIRECT("'" &amp; INDEX('Hulp (CAO''s)'!$C$3:$C$6,
                MATCH(TRUE,'Hulp (CAO''s)'!$D$3:$D$6,0)) &amp; "'!B1:B1000")) = TEXT(N7,"0")) *
            (ROW(INDIRECT("'" &amp; INDEX('Hulp (CAO''s)'!$C$3:$C$6,
                MATCH(TRUE,'Hulp (CAO''s)'!$D$3:$D$6,0)) &amp; "'!B1:B1000")) &gt; MATCH(
                N5,
                INDIRECT("'" &amp; INDEX('Hulp (CAO''s)'!$C$3:$C$6,
                    MATCH(TRUE,'Hulp (CAO''s)'!$D$3:$D$6,0)) &amp; "'!A:A"),
                0
            )) *
            IF(
                O5="",
                1,
                (ROW(INDIRECT("'" &amp; INDEX('Hulp (CAO''s)'!$C$3:$C$6,
                    MATCH(TRUE,'Hulp (CAO''s)'!$D$3:$D$6,0)) &amp; "'!B1:B1000")) &lt; MATCH(
                    O5,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TEXT(N7,"0")) *
                (ROW(INDIRECT("'" &amp; INDEX('Hulp (CAO''s)'!$C$3:$C$6,
                    MATCH(TRUE,'Hulp (CAO''s)'!$D$3:$D$6,0)) &amp; "'!B1:B1000")) &gt; MATCH(
                    N5,
                    INDIRECT("'" &amp; INDEX('Hulp (CAO''s)'!$C$3:$C$6,
                        MATCH(TRUE,'Hulp (CAO''s)'!$D$3:$D$6,0)) &amp; "'!A:A"),
                    0
                )) *
                IF(
                    O5="",
                    1,
                    (ROW(INDIRECT("'" &amp; INDEX('Hulp (CAO''s)'!$C$3:$C$6,
                        MATCH(TRUE,'Hulp (CAO''s)'!$D$3:$D$6,0)) &amp; "'!B1:B1000")) &lt; MATCH(
                        O5,
                        INDIRECT("'" &amp; INDEX('Hulp (CAO''s)'!$C$3:$C$6,
                            MATCH(TRUE,'Hulp (CAO''s)'!$D$3:$D$6,0)) &amp; "'!A:A"),
                        0
                    ))
                ),
                ROW(INDIRECT("'" &amp; INDEX('Hulp (CAO''s)'!$C$3:$C$6,
                    MATCH(TRUE,'Hulp (CAO''s)'!$D$3:$D$6,0)) &amp; "'!B1:B1000"))
            )
        ),0)
    )
))</f>
        <v/>
      </c>
      <c r="O8" s="86" t="str">
        <f t="array" aca="1" ref="O8" ca="1">IF($B7="Gebruik % van maximum trede",
IF(
    OR(O5="",O6=""),
    "",
    MAX(
    INDIRECT("'" &amp; INDEX('Hulp (CAO''s)'!$C$3:$C$6,
        MATCH(TRUE,'Hulp (CAO''s)'!$D$3:$D$6,0)) &amp; "'!" &amp;
        INDEX('Hulp (CAO''s)'!$H$3:$H$6,
            MATCH(TRUE,'Hulp (CAO''s)'!$D$3:$D$6,0))
        &amp;
        MATCH(O5, INDIRECT("'" &amp; INDEX('Hulp (CAO''s)'!$C$3:$C$6,
            MATCH(TRUE,'Hulp (CAO''s)'!$D$3:$D$6,0)) &amp; "'!A:A"),0)
        &amp; ":H" &amp;
        IF(P5&lt;&gt;"",
            MATCH(P5, INDIRECT("'" &amp; INDEX('Hulp (CAO''s)'!$C$3:$C$6,
                MATCH(TRUE,'Hulp (CAO''s)'!$D$3:$D$6,0)) &amp; "'!A:A"),0)-1,
            1000
        )
    )
) * O6
),
IF(
    IFERROR(MIN(
        IF(
            (TRIM(INDIRECT("'" &amp; INDEX('Hulp (CAO''s)'!$C$3:$C$6,
                MATCH(TRUE,'Hulp (CAO''s)'!$D$3:$D$6,0)) &amp; "'!B1:B1000")) = TEXT(O7,"0")) *
            (ROW(INDIRECT("'" &amp; INDEX('Hulp (CAO''s)'!$C$3:$C$6,
                MATCH(TRUE,'Hulp (CAO''s)'!$D$3:$D$6,0)) &amp; "'!B1:B1000")) &gt; MATCH(
                O5,
                INDIRECT("'" &amp; INDEX('Hulp (CAO''s)'!$C$3:$C$6,
                    MATCH(TRUE,'Hulp (CAO''s)'!$D$3:$D$6,0)) &amp; "'!A:A"),
                0
            )) *
            IF(
                P5="",
                1,
                (ROW(INDIRECT("'" &amp; INDEX('Hulp (CAO''s)'!$C$3:$C$6,
                    MATCH(TRUE,'Hulp (CAO''s)'!$D$3:$D$6,0)) &amp; "'!B1:B1000")) &lt; MATCH(
                    P5,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TEXT(O7,"0")) *
                (ROW(INDIRECT("'" &amp; INDEX('Hulp (CAO''s)'!$C$3:$C$6,
                    MATCH(TRUE,'Hulp (CAO''s)'!$D$3:$D$6,0)) &amp; "'!B1:B1000")) &gt; MATCH(
                    O5,
                    INDIRECT("'" &amp; INDEX('Hulp (CAO''s)'!$C$3:$C$6,
                        MATCH(TRUE,'Hulp (CAO''s)'!$D$3:$D$6,0)) &amp; "'!A:A"),
                    0
                )) *
                IF(
                    P5="",
                    1,
                    (ROW(INDIRECT("'" &amp; INDEX('Hulp (CAO''s)'!$C$3:$C$6,
                        MATCH(TRUE,'Hulp (CAO''s)'!$D$3:$D$6,0)) &amp; "'!B1:B1000")) &lt; MATCH(
                        P5,
                        INDIRECT("'" &amp; INDEX('Hulp (CAO''s)'!$C$3:$C$6,
                            MATCH(TRUE,'Hulp (CAO''s)'!$D$3:$D$6,0)) &amp; "'!A:A"),
                        0
                    ))
                ),
                ROW(INDIRECT("'" &amp; INDEX('Hulp (CAO''s)'!$C$3:$C$6,
                    MATCH(TRUE,'Hulp (CAO''s)'!$D$3:$D$6,0)) &amp; "'!B1:B1000"))
            )
        ),0)
    )
))</f>
        <v/>
      </c>
      <c r="P8" s="86" t="str">
        <f t="array" aca="1" ref="P8" ca="1">IF($B7="Gebruik % van maximum trede",
IF(
    OR(P5="",P6=""),
    "",
    MAX(
    INDIRECT("'" &amp; INDEX('Hulp (CAO''s)'!$C$3:$C$6,
        MATCH(TRUE,'Hulp (CAO''s)'!$D$3:$D$6,0)) &amp; "'!" &amp;
        INDEX('Hulp (CAO''s)'!$H$3:$H$6,
            MATCH(TRUE,'Hulp (CAO''s)'!$D$3:$D$6,0))
        &amp;
        MATCH(P5, INDIRECT("'" &amp; INDEX('Hulp (CAO''s)'!$C$3:$C$6,
            MATCH(TRUE,'Hulp (CAO''s)'!$D$3:$D$6,0)) &amp; "'!A:A"),0)
        &amp; ":H" &amp;
        IF(Q5&lt;&gt;"",
            MATCH(Q5, INDIRECT("'" &amp; INDEX('Hulp (CAO''s)'!$C$3:$C$6,
                MATCH(TRUE,'Hulp (CAO''s)'!$D$3:$D$6,0)) &amp; "'!A:A"),0)-1,
            1000
        )
    )
) * P6
),
IF(
    IFERROR(MIN(
        IF(
            (TRIM(INDIRECT("'" &amp; INDEX('Hulp (CAO''s)'!$C$3:$C$6,
                MATCH(TRUE,'Hulp (CAO''s)'!$D$3:$D$6,0)) &amp; "'!B1:B1000")) = TEXT(P7,"0")) *
            (ROW(INDIRECT("'" &amp; INDEX('Hulp (CAO''s)'!$C$3:$C$6,
                MATCH(TRUE,'Hulp (CAO''s)'!$D$3:$D$6,0)) &amp; "'!B1:B1000")) &gt; MATCH(
                P5,
                INDIRECT("'" &amp; INDEX('Hulp (CAO''s)'!$C$3:$C$6,
                    MATCH(TRUE,'Hulp (CAO''s)'!$D$3:$D$6,0)) &amp; "'!A:A"),
                0
            )) *
            IF(
                Q5="",
                1,
                (ROW(INDIRECT("'" &amp; INDEX('Hulp (CAO''s)'!$C$3:$C$6,
                    MATCH(TRUE,'Hulp (CAO''s)'!$D$3:$D$6,0)) &amp; "'!B1:B1000")) &lt; MATCH(
                    Q5,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TEXT(P7,"0")) *
                (ROW(INDIRECT("'" &amp; INDEX('Hulp (CAO''s)'!$C$3:$C$6,
                    MATCH(TRUE,'Hulp (CAO''s)'!$D$3:$D$6,0)) &amp; "'!B1:B1000")) &gt; MATCH(
                    P5,
                    INDIRECT("'" &amp; INDEX('Hulp (CAO''s)'!$C$3:$C$6,
                        MATCH(TRUE,'Hulp (CAO''s)'!$D$3:$D$6,0)) &amp; "'!A:A"),
                    0
                )) *
                IF(
                    Q5="",
                    1,
                    (ROW(INDIRECT("'" &amp; INDEX('Hulp (CAO''s)'!$C$3:$C$6,
                        MATCH(TRUE,'Hulp (CAO''s)'!$D$3:$D$6,0)) &amp; "'!B1:B1000")) &lt; MATCH(
                        Q5,
                        INDIRECT("'" &amp; INDEX('Hulp (CAO''s)'!$C$3:$C$6,
                            MATCH(TRUE,'Hulp (CAO''s)'!$D$3:$D$6,0)) &amp; "'!A:A"),
                        0
                    ))
                ),
                ROW(INDIRECT("'" &amp; INDEX('Hulp (CAO''s)'!$C$3:$C$6,
                    MATCH(TRUE,'Hulp (CAO''s)'!$D$3:$D$6,0)) &amp; "'!B1:B1000"))
            )
        ),0)
    )
))</f>
        <v/>
      </c>
      <c r="Q8" s="86" t="str">
        <f t="array" aca="1" ref="Q8" ca="1">IF($B7="Gebruik % van maximum trede",
IF(
    OR(Q5="",Q6=""),
    "",
    MAX(
    INDIRECT("'" &amp; INDEX('Hulp (CAO''s)'!$C$3:$C$6,
        MATCH(TRUE,'Hulp (CAO''s)'!$D$3:$D$6,0)) &amp; "'!" &amp;
        INDEX('Hulp (CAO''s)'!$H$3:$H$6,
            MATCH(TRUE,'Hulp (CAO''s)'!$D$3:$D$6,0))
        &amp;
        MATCH(Q5, INDIRECT("'" &amp; INDEX('Hulp (CAO''s)'!$C$3:$C$6,
            MATCH(TRUE,'Hulp (CAO''s)'!$D$3:$D$6,0)) &amp; "'!A:A"),0)
        &amp; ":H" &amp;
        IF(R5&lt;&gt;"",
            MATCH(R5, INDIRECT("'" &amp; INDEX('Hulp (CAO''s)'!$C$3:$C$6,
                MATCH(TRUE,'Hulp (CAO''s)'!$D$3:$D$6,0)) &amp; "'!A:A"),0)-1,
            1000
        )
    )
) * Q6
),
IF(
    IFERROR(MIN(
        IF(
            (TRIM(INDIRECT("'" &amp; INDEX('Hulp (CAO''s)'!$C$3:$C$6,
                MATCH(TRUE,'Hulp (CAO''s)'!$D$3:$D$6,0)) &amp; "'!B1:B1000")) = TEXT(Q7,"0")) *
            (ROW(INDIRECT("'" &amp; INDEX('Hulp (CAO''s)'!$C$3:$C$6,
                MATCH(TRUE,'Hulp (CAO''s)'!$D$3:$D$6,0)) &amp; "'!B1:B1000")) &gt; MATCH(
                Q5,
                INDIRECT("'" &amp; INDEX('Hulp (CAO''s)'!$C$3:$C$6,
                    MATCH(TRUE,'Hulp (CAO''s)'!$D$3:$D$6,0)) &amp; "'!A:A"),
                0
            )) *
            IF(
                R5="",
                1,
                (ROW(INDIRECT("'" &amp; INDEX('Hulp (CAO''s)'!$C$3:$C$6,
                    MATCH(TRUE,'Hulp (CAO''s)'!$D$3:$D$6,0)) &amp; "'!B1:B1000")) &lt; MATCH(
                    R5,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TEXT(Q7,"0")) *
                (ROW(INDIRECT("'" &amp; INDEX('Hulp (CAO''s)'!$C$3:$C$6,
                    MATCH(TRUE,'Hulp (CAO''s)'!$D$3:$D$6,0)) &amp; "'!B1:B1000")) &gt; MATCH(
                    Q5,
                    INDIRECT("'" &amp; INDEX('Hulp (CAO''s)'!$C$3:$C$6,
                        MATCH(TRUE,'Hulp (CAO''s)'!$D$3:$D$6,0)) &amp; "'!A:A"),
                    0
                )) *
                IF(
                    R5="",
                    1,
                    (ROW(INDIRECT("'" &amp; INDEX('Hulp (CAO''s)'!$C$3:$C$6,
                        MATCH(TRUE,'Hulp (CAO''s)'!$D$3:$D$6,0)) &amp; "'!B1:B1000")) &lt; MATCH(
                        R5,
                        INDIRECT("'" &amp; INDEX('Hulp (CAO''s)'!$C$3:$C$6,
                            MATCH(TRUE,'Hulp (CAO''s)'!$D$3:$D$6,0)) &amp; "'!A:A"),
                        0
                    ))
                ),
                ROW(INDIRECT("'" &amp; INDEX('Hulp (CAO''s)'!$C$3:$C$6,
                    MATCH(TRUE,'Hulp (CAO''s)'!$D$3:$D$6,0)) &amp; "'!B1:B1000"))
            )
        ),0)
    )
))</f>
        <v/>
      </c>
      <c r="R8" s="86" t="str">
        <f t="array" aca="1" ref="R8" ca="1">IF($B7="Gebruik % van maximum trede",
IF(
    OR(R5="",R6=""),
    "",
    MAX(
    INDIRECT("'" &amp; INDEX('Hulp (CAO''s)'!$C$3:$C$6,
        MATCH(TRUE,'Hulp (CAO''s)'!$D$3:$D$6,0)) &amp; "'!" &amp;
        INDEX('Hulp (CAO''s)'!$H$3:$H$6,
            MATCH(TRUE,'Hulp (CAO''s)'!$D$3:$D$6,0))
        &amp;
        MATCH(R5, INDIRECT("'" &amp; INDEX('Hulp (CAO''s)'!$C$3:$C$6,
            MATCH(TRUE,'Hulp (CAO''s)'!$D$3:$D$6,0)) &amp; "'!A:A"),0)
        &amp; ":H" &amp;
        IF(S5&lt;&gt;"",
            MATCH(S5, INDIRECT("'" &amp; INDEX('Hulp (CAO''s)'!$C$3:$C$6,
                MATCH(TRUE,'Hulp (CAO''s)'!$D$3:$D$6,0)) &amp; "'!A:A"),0)-1,
            1000
        )
    )
) * R6
),
IF(
    IFERROR(MIN(
        IF(
            (TRIM(INDIRECT("'" &amp; INDEX('Hulp (CAO''s)'!$C$3:$C$6,
                MATCH(TRUE,'Hulp (CAO''s)'!$D$3:$D$6,0)) &amp; "'!B1:B1000")) = TEXT(R7,"0")) *
            (ROW(INDIRECT("'" &amp; INDEX('Hulp (CAO''s)'!$C$3:$C$6,
                MATCH(TRUE,'Hulp (CAO''s)'!$D$3:$D$6,0)) &amp; "'!B1:B1000")) &gt; MATCH(
                R5,
                INDIRECT("'" &amp; INDEX('Hulp (CAO''s)'!$C$3:$C$6,
                    MATCH(TRUE,'Hulp (CAO''s)'!$D$3:$D$6,0)) &amp; "'!A:A"),
                0
            )) *
            IF(
                S5="",
                1,
                (ROW(INDIRECT("'" &amp; INDEX('Hulp (CAO''s)'!$C$3:$C$6,
                    MATCH(TRUE,'Hulp (CAO''s)'!$D$3:$D$6,0)) &amp; "'!B1:B1000")) &lt; MATCH(
                    S5,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TEXT(R7,"0")) *
                (ROW(INDIRECT("'" &amp; INDEX('Hulp (CAO''s)'!$C$3:$C$6,
                    MATCH(TRUE,'Hulp (CAO''s)'!$D$3:$D$6,0)) &amp; "'!B1:B1000")) &gt; MATCH(
                    R5,
                    INDIRECT("'" &amp; INDEX('Hulp (CAO''s)'!$C$3:$C$6,
                        MATCH(TRUE,'Hulp (CAO''s)'!$D$3:$D$6,0)) &amp; "'!A:A"),
                    0
                )) *
                IF(
                    S5="",
                    1,
                    (ROW(INDIRECT("'" &amp; INDEX('Hulp (CAO''s)'!$C$3:$C$6,
                        MATCH(TRUE,'Hulp (CAO''s)'!$D$3:$D$6,0)) &amp; "'!B1:B1000")) &lt; MATCH(
                        S5,
                        INDIRECT("'" &amp; INDEX('Hulp (CAO''s)'!$C$3:$C$6,
                            MATCH(TRUE,'Hulp (CAO''s)'!$D$3:$D$6,0)) &amp; "'!A:A"),
                        0
                    ))
                ),
                ROW(INDIRECT("'" &amp; INDEX('Hulp (CAO''s)'!$C$3:$C$6,
                    MATCH(TRUE,'Hulp (CAO''s)'!$D$3:$D$6,0)) &amp; "'!B1:B1000"))
            )
        ),0)
    )
))</f>
        <v/>
      </c>
      <c r="S8" s="86" t="str">
        <f t="array" aca="1" ref="S8" ca="1">IF($B7="Gebruik % van maximum trede",
IF(
    OR(S5="",S6=""),
    "",
    MAX(
    INDIRECT("'" &amp; INDEX('Hulp (CAO''s)'!$C$3:$C$6,
        MATCH(TRUE,'Hulp (CAO''s)'!$D$3:$D$6,0)) &amp; "'!" &amp;
        INDEX('Hulp (CAO''s)'!$H$3:$H$6,
            MATCH(TRUE,'Hulp (CAO''s)'!$D$3:$D$6,0))
        &amp;
        MATCH(S5, INDIRECT("'" &amp; INDEX('Hulp (CAO''s)'!$C$3:$C$6,
            MATCH(TRUE,'Hulp (CAO''s)'!$D$3:$D$6,0)) &amp; "'!A:A"),0)
        &amp; ":H" &amp;
        IF(T5&lt;&gt;"",
            MATCH(T5, INDIRECT("'" &amp; INDEX('Hulp (CAO''s)'!$C$3:$C$6,
                MATCH(TRUE,'Hulp (CAO''s)'!$D$3:$D$6,0)) &amp; "'!A:A"),0)-1,
            1000
        )
    )
) * S6
),
IF(
    IFERROR(MIN(
        IF(
            (TRIM(INDIRECT("'" &amp; INDEX('Hulp (CAO''s)'!$C$3:$C$6,
                MATCH(TRUE,'Hulp (CAO''s)'!$D$3:$D$6,0)) &amp; "'!B1:B1000")) = TEXT(S7,"0")) *
            (ROW(INDIRECT("'" &amp; INDEX('Hulp (CAO''s)'!$C$3:$C$6,
                MATCH(TRUE,'Hulp (CAO''s)'!$D$3:$D$6,0)) &amp; "'!B1:B1000")) &gt; MATCH(
                S5,
                INDIRECT("'" &amp; INDEX('Hulp (CAO''s)'!$C$3:$C$6,
                    MATCH(TRUE,'Hulp (CAO''s)'!$D$3:$D$6,0)) &amp; "'!A:A"),
                0
            )) *
            IF(
                T5="",
                1,
                (ROW(INDIRECT("'" &amp; INDEX('Hulp (CAO''s)'!$C$3:$C$6,
                    MATCH(TRUE,'Hulp (CAO''s)'!$D$3:$D$6,0)) &amp; "'!B1:B1000")) &lt; MATCH(
                    T5,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TEXT(S7,"0")) *
                (ROW(INDIRECT("'" &amp; INDEX('Hulp (CAO''s)'!$C$3:$C$6,
                    MATCH(TRUE,'Hulp (CAO''s)'!$D$3:$D$6,0)) &amp; "'!B1:B1000")) &gt; MATCH(
                    S5,
                    INDIRECT("'" &amp; INDEX('Hulp (CAO''s)'!$C$3:$C$6,
                        MATCH(TRUE,'Hulp (CAO''s)'!$D$3:$D$6,0)) &amp; "'!A:A"),
                    0
                )) *
                IF(
                    T5="",
                    1,
                    (ROW(INDIRECT("'" &amp; INDEX('Hulp (CAO''s)'!$C$3:$C$6,
                        MATCH(TRUE,'Hulp (CAO''s)'!$D$3:$D$6,0)) &amp; "'!B1:B1000")) &lt; MATCH(
                        T5,
                        INDIRECT("'" &amp; INDEX('Hulp (CAO''s)'!$C$3:$C$6,
                            MATCH(TRUE,'Hulp (CAO''s)'!$D$3:$D$6,0)) &amp; "'!A:A"),
                        0
                    ))
                ),
                ROW(INDIRECT("'" &amp; INDEX('Hulp (CAO''s)'!$C$3:$C$6,
                    MATCH(TRUE,'Hulp (CAO''s)'!$D$3:$D$6,0)) &amp; "'!B1:B1000"))
            )
        ),0)
    )
))</f>
        <v/>
      </c>
      <c r="T8" s="39" t="str">
        <f t="array" aca="1" ref="T8" ca="1">IF($B7="Gebruik % van maximum trede",
IF(
    OR(T5="",T6=""),
    "",
    MAX(
    INDIRECT("'" &amp; INDEX('Hulp (CAO''s)'!$C$3:$C$6,
        MATCH(TRUE,'Hulp (CAO''s)'!$D$3:$D$6,0)) &amp; "'!" &amp;
        INDEX('Hulp (CAO''s)'!$H$3:$H$6,
            MATCH(TRUE,'Hulp (CAO''s)'!$D$3:$D$6,0))
        &amp;
        MATCH(T5, INDIRECT("'" &amp; INDEX('Hulp (CAO''s)'!$C$3:$C$6,
            MATCH(TRUE,'Hulp (CAO''s)'!$D$3:$D$6,0)) &amp; "'!A:A"),0)
        &amp; ":H" &amp;
        IF(U5&lt;&gt;"",
            MATCH(U5, INDIRECT("'" &amp; INDEX('Hulp (CAO''s)'!$C$3:$C$6,
                MATCH(TRUE,'Hulp (CAO''s)'!$D$3:$D$6,0)) &amp; "'!A:A"),0)-1,
            1000
        )
    )
) * T6
),
IF(
    IFERROR(MIN(
        IF(
            (TRIM(INDIRECT("'" &amp; INDEX('Hulp (CAO''s)'!$C$3:$C$6,
                MATCH(TRUE,'Hulp (CAO''s)'!$D$3:$D$6,0)) &amp; "'!B1:B1000")) = TEXT(T7,"0")) *
            (ROW(INDIRECT("'" &amp; INDEX('Hulp (CAO''s)'!$C$3:$C$6,
                MATCH(TRUE,'Hulp (CAO''s)'!$D$3:$D$6,0)) &amp; "'!B1:B1000")) &gt; MATCH(
                T5,
                INDIRECT("'" &amp; INDEX('Hulp (CAO''s)'!$C$3:$C$6,
                    MATCH(TRUE,'Hulp (CAO''s)'!$D$3:$D$6,0)) &amp; "'!A:A"),
                0
            )) *
            IF(
                U5="",
                1,
                (ROW(INDIRECT("'" &amp; INDEX('Hulp (CAO''s)'!$C$3:$C$6,
                    MATCH(TRUE,'Hulp (CAO''s)'!$D$3:$D$6,0)) &amp; "'!B1:B1000")) &lt; MATCH(
                    U5,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TEXT(T7,"0")) *
                (ROW(INDIRECT("'" &amp; INDEX('Hulp (CAO''s)'!$C$3:$C$6,
                    MATCH(TRUE,'Hulp (CAO''s)'!$D$3:$D$6,0)) &amp; "'!B1:B1000")) &gt; MATCH(
                    T5,
                    INDIRECT("'" &amp; INDEX('Hulp (CAO''s)'!$C$3:$C$6,
                        MATCH(TRUE,'Hulp (CAO''s)'!$D$3:$D$6,0)) &amp; "'!A:A"),
                    0
                )) *
                IF(
                    U5="",
                    1,
                    (ROW(INDIRECT("'" &amp; INDEX('Hulp (CAO''s)'!$C$3:$C$6,
                        MATCH(TRUE,'Hulp (CAO''s)'!$D$3:$D$6,0)) &amp; "'!B1:B1000")) &lt; MATCH(
                        U5,
                        INDIRECT("'" &amp; INDEX('Hulp (CAO''s)'!$C$3:$C$6,
                            MATCH(TRUE,'Hulp (CAO''s)'!$D$3:$D$6,0)) &amp; "'!A:A"),
                        0
                    ))
                ),
                ROW(INDIRECT("'" &amp; INDEX('Hulp (CAO''s)'!$C$3:$C$6,
                    MATCH(TRUE,'Hulp (CAO''s)'!$D$3:$D$6,0)) &amp; "'!B1:B1000"))
            )
        ),0)
    )
))</f>
        <v/>
      </c>
      <c r="V8" s="38" t="str">
        <f t="array" aca="1" ref="V8" ca="1">IF(
   SUM(E8:T8)=0,
   "",
   (
      SUMPRODUCT(
         IF(E8:T8="",0,E8:T8),
         IF(E9:T9="",0,E9:T9) * SUM(E9:T9)
      )
   ) *
   IF(
      'Hulp (CAO''s)'!#REF!,
      IF(
         OR(
            INDEX(#REF!, ROW(#REF!) + INT((ROW()-ROW($V$8))/6)*8)="",
            ISNA(INDEX(#REF!, ROW(#REF!) + INT((ROW()-ROW($V$8))/6)*8))
         ),
         1878/12,
         INDEX(#REF!, ROW(#REF!) + INT((ROW()-ROW($V$8))/6)*8)/12
      ),
      1
   )
)</f>
        <v/>
      </c>
    </row>
    <row r="9" spans="1:24" ht="14.65" thickBot="1" x14ac:dyDescent="0.5">
      <c r="B9" s="48" t="s">
        <v>60</v>
      </c>
      <c r="D9" s="24" t="s">
        <v>59</v>
      </c>
      <c r="E9" s="8">
        <v>0.05</v>
      </c>
      <c r="F9" s="8">
        <v>0.1</v>
      </c>
      <c r="G9" s="8">
        <v>0.1</v>
      </c>
      <c r="H9" s="8">
        <v>0.15</v>
      </c>
      <c r="I9" s="8">
        <v>0.2</v>
      </c>
      <c r="J9" s="8">
        <v>0.15</v>
      </c>
      <c r="K9" s="8">
        <v>0.1</v>
      </c>
      <c r="L9" s="8">
        <v>0.05</v>
      </c>
      <c r="M9" s="8">
        <v>0.05</v>
      </c>
      <c r="N9" s="8">
        <v>0.05</v>
      </c>
      <c r="O9" s="8">
        <v>0</v>
      </c>
      <c r="P9" s="8"/>
      <c r="Q9" s="8"/>
      <c r="R9" s="8"/>
      <c r="S9" s="8"/>
      <c r="T9" s="9"/>
      <c r="U9" s="7"/>
      <c r="V9" s="37" t="str">
        <f ca="1">IF(B5="","",IF(INDIRECT("'Hulp (control forms)'!C" &amp; (13 + INT((ROW()-ROW($B$5))/6))), V7, V8))</f>
        <v/>
      </c>
      <c r="W9" s="7"/>
    </row>
    <row r="10" spans="1:24" x14ac:dyDescent="0.5">
      <c r="S10" s="7" t="str">
        <f>IF($B9="Aandeel in %",
   "Totaal: "&amp;SUM(E9:T9)*100&amp;"%",
   "Totaal: "&amp;SUM(E9:T9)&amp;" uur"
)</f>
        <v>Totaal: 100%</v>
      </c>
      <c r="T10" s="7"/>
    </row>
    <row r="11" spans="1:24" ht="16.149999999999999" thickBot="1" x14ac:dyDescent="0.55000000000000004">
      <c r="B11" s="44" t="str">
        <f ca="1">IF(B12="","",IF(
   OR(
      INDIRECT("'1a. Input organisatieniveau'!N" &amp; (14 + INT((ROW()-4)/7)))="",
      INDIRECT("'1a. Input organisatieniveau'!N" &amp; (14 + INT((ROW()-4)/7)))=0
   ),
   "",
   INDIRECT("'1a. Input organisatieniveau'!N" &amp; (14 + INT((ROW()-4)/7)))
))</f>
        <v/>
      </c>
      <c r="E11" s="61" t="str">
        <f t="shared" ref="E11:T11" ca="1" si="1">IF($B14="Gebruik % van maximum trede", IF(AND(AND(E12&lt;&gt;"",E13&lt;&gt;""),E15=""),"!",""), IF(AND(AND(E12&lt;&gt;"",E14&lt;&gt;""),E15=""),"!",""))</f>
        <v/>
      </c>
      <c r="F11" s="61" t="str">
        <f t="shared" ca="1" si="1"/>
        <v/>
      </c>
      <c r="G11" s="61" t="str">
        <f t="shared" ca="1" si="1"/>
        <v/>
      </c>
      <c r="H11" s="61" t="str">
        <f t="shared" ca="1" si="1"/>
        <v/>
      </c>
      <c r="I11" s="61" t="str">
        <f t="shared" ca="1" si="1"/>
        <v/>
      </c>
      <c r="J11" s="61" t="str">
        <f t="shared" ca="1" si="1"/>
        <v/>
      </c>
      <c r="K11" s="61" t="str">
        <f t="shared" ca="1" si="1"/>
        <v/>
      </c>
      <c r="L11" s="61" t="str">
        <f t="shared" ca="1" si="1"/>
        <v/>
      </c>
      <c r="M11" s="61" t="str">
        <f t="shared" ca="1" si="1"/>
        <v/>
      </c>
      <c r="N11" s="61" t="str">
        <f t="shared" ca="1" si="1"/>
        <v/>
      </c>
      <c r="O11" s="61" t="str">
        <f t="shared" ca="1" si="1"/>
        <v/>
      </c>
      <c r="P11" s="61" t="str">
        <f t="shared" ca="1" si="1"/>
        <v/>
      </c>
      <c r="Q11" s="61" t="str">
        <f t="shared" ca="1" si="1"/>
        <v/>
      </c>
      <c r="R11" s="61" t="str">
        <f t="shared" ca="1" si="1"/>
        <v/>
      </c>
      <c r="S11" s="61" t="str">
        <f t="shared" ca="1" si="1"/>
        <v/>
      </c>
      <c r="T11" s="61" t="str">
        <f t="shared" ca="1" si="1"/>
        <v/>
      </c>
    </row>
    <row r="12" spans="1:24" ht="16.149999999999999" thickBot="1" x14ac:dyDescent="0.55000000000000004">
      <c r="B12" s="45" t="str">
        <f ca="1">IF(
   OR(
      INDIRECT("'1a. Input organisatieniveau'!M" &amp; (14 + INT((ROW()-4)/7)))="",
      INDIRECT("'1a. Input organisatieniveau'!M" &amp; (14 + INT((ROW()-4)/7)))=0
   ),
   "",
   INDIRECT("'1a. Input organisatieniveau'!M" &amp; (14 + INT((ROW()-4)/7)))
)</f>
        <v/>
      </c>
      <c r="D12" s="22" t="s">
        <v>28</v>
      </c>
      <c r="E12" s="10" t="str">
        <f t="array" aca="1" ref="E12" ca="1">IF($B12="", "", INDEX('Hulp (CAO''s)'!J$3:J$6, MATCH(TRUE, 'Hulp (CAO''s)'!$D$3:$D$6, 0)))</f>
        <v/>
      </c>
      <c r="F12" s="10" t="str">
        <f t="array" aca="1" ref="F12" ca="1">IF($B12="", "", INDEX('Hulp (CAO''s)'!K$3:K$6, MATCH(TRUE, 'Hulp (CAO''s)'!$D$3:$D$6, 0)))</f>
        <v/>
      </c>
      <c r="G12" s="10" t="str">
        <f t="array" aca="1" ref="G12" ca="1">IF($B12="", "", INDEX('Hulp (CAO''s)'!L$3:L$6, MATCH(TRUE, 'Hulp (CAO''s)'!$D$3:$D$6, 0)))</f>
        <v/>
      </c>
      <c r="H12" s="10" t="str">
        <f t="array" aca="1" ref="H12" ca="1">IF($B12="", "", INDEX('Hulp (CAO''s)'!M$3:M$6, MATCH(TRUE, 'Hulp (CAO''s)'!$D$3:$D$6, 0)))</f>
        <v/>
      </c>
      <c r="I12" s="10" t="str">
        <f t="array" aca="1" ref="I12" ca="1">IF($B12="", "", INDEX('Hulp (CAO''s)'!N$3:N$6, MATCH(TRUE, 'Hulp (CAO''s)'!$D$3:$D$6, 0)))</f>
        <v/>
      </c>
      <c r="J12" s="10" t="str">
        <f t="array" aca="1" ref="J12" ca="1">IF($B12="", "", INDEX('Hulp (CAO''s)'!O$3:O$6, MATCH(TRUE, 'Hulp (CAO''s)'!$D$3:$D$6, 0)))</f>
        <v/>
      </c>
      <c r="K12" s="10" t="str">
        <f t="array" aca="1" ref="K12" ca="1">IF($B12="", "", INDEX('Hulp (CAO''s)'!P$3:P$6, MATCH(TRUE, 'Hulp (CAO''s)'!$D$3:$D$6, 0)))</f>
        <v/>
      </c>
      <c r="L12" s="10" t="str">
        <f t="array" aca="1" ref="L12" ca="1">IF($B12="", "", INDEX('Hulp (CAO''s)'!Q$3:Q$6, MATCH(TRUE, 'Hulp (CAO''s)'!$D$3:$D$6, 0)))</f>
        <v/>
      </c>
      <c r="M12" s="10" t="str">
        <f t="array" aca="1" ref="M12" ca="1">IF($B12="", "", INDEX('Hulp (CAO''s)'!R$3:R$6, MATCH(TRUE, 'Hulp (CAO''s)'!$D$3:$D$6, 0)))</f>
        <v/>
      </c>
      <c r="N12" s="10" t="str">
        <f t="array" aca="1" ref="N12" ca="1">IF($B12="", "", INDEX('Hulp (CAO''s)'!S$3:S$6, MATCH(TRUE, 'Hulp (CAO''s)'!$D$3:$D$6, 0)))</f>
        <v/>
      </c>
      <c r="O12" s="10" t="str">
        <f t="array" aca="1" ref="O12" ca="1">IF($B12="", "", INDEX('Hulp (CAO''s)'!T$3:T$6, MATCH(TRUE, 'Hulp (CAO''s)'!$D$3:$D$6, 0)))</f>
        <v/>
      </c>
      <c r="P12" s="10" t="str">
        <f t="array" aca="1" ref="P12" ca="1">IF($B12="", "", INDEX('Hulp (CAO''s)'!U$3:U$6, MATCH(TRUE, 'Hulp (CAO''s)'!$D$3:$D$6, 0)))</f>
        <v/>
      </c>
      <c r="Q12" s="10" t="str">
        <f t="array" aca="1" ref="Q12" ca="1">IF($B12="", "", INDEX('Hulp (CAO''s)'!V$3:V$6, MATCH(TRUE, 'Hulp (CAO''s)'!$D$3:$D$6, 0)))</f>
        <v/>
      </c>
      <c r="R12" s="10" t="str">
        <f t="array" aca="1" ref="R12" ca="1">IF($B12="", "", INDEX('Hulp (CAO''s)'!W$3:W$6, MATCH(TRUE, 'Hulp (CAO''s)'!$D$3:$D$6, 0)))</f>
        <v/>
      </c>
      <c r="S12" s="10" t="str">
        <f t="array" aca="1" ref="S12" ca="1">IF($B12="", "", INDEX('Hulp (CAO''s)'!X$3:X$6, MATCH(TRUE, 'Hulp (CAO''s)'!$D$3:$D$6, 0)))</f>
        <v/>
      </c>
      <c r="T12" s="11" t="str">
        <f t="array" aca="1" ref="T12" ca="1">IF($B12="", "", INDEX('Hulp (CAO''s)'!Y$3:Y$6, MATCH(TRUE, 'Hulp (CAO''s)'!$D$3:$D$6, 0)))</f>
        <v/>
      </c>
      <c r="V12" s="25"/>
      <c r="W12" s="5"/>
    </row>
    <row r="13" spans="1:24" ht="16.149999999999999" thickBot="1" x14ac:dyDescent="0.55000000000000004">
      <c r="D13" s="23" t="s">
        <v>770</v>
      </c>
      <c r="E13" s="90">
        <v>0.96</v>
      </c>
      <c r="F13" s="90">
        <v>0.9</v>
      </c>
      <c r="G13" s="90">
        <v>0.9</v>
      </c>
      <c r="H13" s="90">
        <v>0.7</v>
      </c>
      <c r="I13" s="90">
        <v>0.8</v>
      </c>
      <c r="J13" s="90">
        <v>0.9</v>
      </c>
      <c r="K13" s="90">
        <v>0.9</v>
      </c>
      <c r="L13" s="90">
        <v>0.9</v>
      </c>
      <c r="M13" s="90">
        <v>0.9</v>
      </c>
      <c r="N13" s="90">
        <v>0.8</v>
      </c>
      <c r="O13" s="90">
        <v>0.95</v>
      </c>
      <c r="P13" s="90">
        <v>0.93</v>
      </c>
      <c r="Q13" s="90">
        <v>0.93</v>
      </c>
      <c r="R13" s="90">
        <v>0.95</v>
      </c>
      <c r="S13" s="90">
        <v>0.92</v>
      </c>
      <c r="T13" s="91">
        <v>0.95</v>
      </c>
      <c r="V13" s="25" t="s">
        <v>32</v>
      </c>
    </row>
    <row r="14" spans="1:24" ht="14.25" x14ac:dyDescent="0.45">
      <c r="B14" s="48" t="s">
        <v>772</v>
      </c>
      <c r="D14" s="23" t="s">
        <v>29</v>
      </c>
      <c r="E14" s="94">
        <v>9</v>
      </c>
      <c r="F14" s="94">
        <v>10</v>
      </c>
      <c r="G14" s="94">
        <v>10</v>
      </c>
      <c r="H14" s="94">
        <v>9</v>
      </c>
      <c r="I14" s="94">
        <v>10</v>
      </c>
      <c r="J14" s="94">
        <v>11</v>
      </c>
      <c r="K14" s="94">
        <v>10</v>
      </c>
      <c r="L14" s="94">
        <v>10</v>
      </c>
      <c r="M14" s="94">
        <v>9</v>
      </c>
      <c r="N14" s="94">
        <v>10</v>
      </c>
      <c r="O14" s="94">
        <v>11</v>
      </c>
      <c r="P14" s="94">
        <v>12</v>
      </c>
      <c r="Q14" s="94">
        <v>13</v>
      </c>
      <c r="R14" s="94">
        <v>12</v>
      </c>
      <c r="S14" s="94">
        <v>10</v>
      </c>
      <c r="T14" s="33">
        <v>5</v>
      </c>
      <c r="V14" s="52">
        <v>4000</v>
      </c>
      <c r="X14" s="60" t="s">
        <v>747</v>
      </c>
    </row>
    <row r="15" spans="1:24" ht="14.65" thickBot="1" x14ac:dyDescent="0.5">
      <c r="B15"/>
      <c r="D15" s="40" t="str">
        <f>IFERROR(
   INDEX('Hulp (CAO''s)'!$I$3:$I$6, MATCH(TRUE, 'Hulp (CAO''s)'!$D$3:$D$6, 0)),
"")</f>
        <v>Bruto maandsalaris</v>
      </c>
      <c r="E15" s="86" t="str">
        <f t="array" aca="1" ref="E15" ca="1">IF($B14="Gebruik % van maximum trede",
IF(
    OR(E12="",E13=""),
    "",
    MAX(
    INDIRECT("'" &amp; INDEX('Hulp (CAO''s)'!$C$3:$C$6,
        MATCH(TRUE,'Hulp (CAO''s)'!$D$3:$D$6,0)) &amp; "'!" &amp;
        INDEX('Hulp (CAO''s)'!$H$3:$H$6,
            MATCH(TRUE,'Hulp (CAO''s)'!$D$3:$D$6,0))
        &amp;
        MATCH(E12, INDIRECT("'" &amp; INDEX('Hulp (CAO''s)'!$C$3:$C$6,
            MATCH(TRUE,'Hulp (CAO''s)'!$D$3:$D$6,0)) &amp; "'!A:A"),0)
        &amp; ":H" &amp;
        IF(F12&lt;&gt;"",
            MATCH(F12, INDIRECT("'" &amp; INDEX('Hulp (CAO''s)'!$C$3:$C$6,
                MATCH(TRUE,'Hulp (CAO''s)'!$D$3:$D$6,0)) &amp; "'!A:A"),0)-1,
            1000
        )
    )
) * E13
),
IF(
    IFERROR(MIN(
        IF(
            (TRIM(INDIRECT("'" &amp; INDEX('Hulp (CAO''s)'!$C$3:$C$6,
                MATCH(TRUE,'Hulp (CAO''s)'!$D$3:$D$6,0)) &amp; "'!B1:B1000")) = TEXT(E14,"0")) *
            (ROW(INDIRECT("'" &amp; INDEX('Hulp (CAO''s)'!$C$3:$C$6,
                MATCH(TRUE,'Hulp (CAO''s)'!$D$3:$D$6,0)) &amp; "'!B1:B1000")) &gt; MATCH(
                E12,
                INDIRECT("'" &amp; INDEX('Hulp (CAO''s)'!$C$3:$C$6,
                    MATCH(TRUE,'Hulp (CAO''s)'!$D$3:$D$6,0)) &amp; "'!A:A"),
                0
            )) *
            IF(
                F12="",
                1,
                (ROW(INDIRECT("'" &amp; INDEX('Hulp (CAO''s)'!$C$3:$C$6,
                    MATCH(TRUE,'Hulp (CAO''s)'!$D$3:$D$6,0)) &amp; "'!B1:B1000")) &lt; MATCH(
                    F12,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TEXT(E14,"0")) *
                (ROW(INDIRECT("'" &amp; INDEX('Hulp (CAO''s)'!$C$3:$C$6,
                    MATCH(TRUE,'Hulp (CAO''s)'!$D$3:$D$6,0)) &amp; "'!B1:B1000")) &gt; MATCH(
                    E12,
                    INDIRECT("'" &amp; INDEX('Hulp (CAO''s)'!$C$3:$C$6,
                        MATCH(TRUE,'Hulp (CAO''s)'!$D$3:$D$6,0)) &amp; "'!A:A"),
                    0
                )) *
                IF(
                    F12="",
                    1,
                    (ROW(INDIRECT("'" &amp; INDEX('Hulp (CAO''s)'!$C$3:$C$6,
                        MATCH(TRUE,'Hulp (CAO''s)'!$D$3:$D$6,0)) &amp; "'!B1:B1000")) &lt; MATCH(
                        F12,
                        INDIRECT("'" &amp; INDEX('Hulp (CAO''s)'!$C$3:$C$6,
                            MATCH(TRUE,'Hulp (CAO''s)'!$D$3:$D$6,0)) &amp; "'!A:A"),
                        0
                    ))
                ),
                ROW(INDIRECT("'" &amp; INDEX('Hulp (CAO''s)'!$C$3:$C$6,
                    MATCH(TRUE,'Hulp (CAO''s)'!$D$3:$D$6,0)) &amp; "'!B1:B1000"))
            )
        ),0)
    )
))</f>
        <v/>
      </c>
      <c r="F15" s="86" t="str">
        <f t="array" aca="1" ref="F15" ca="1">IF($B14="Gebruik % van maximum trede",
IF(
    OR(F12="",F13=""),
    "",
    MAX(
    INDIRECT("'" &amp; INDEX('Hulp (CAO''s)'!$C$3:$C$6,
        MATCH(TRUE,'Hulp (CAO''s)'!$D$3:$D$6,0)) &amp; "'!" &amp;
        INDEX('Hulp (CAO''s)'!$H$3:$H$6,
            MATCH(TRUE,'Hulp (CAO''s)'!$D$3:$D$6,0))
        &amp;
        MATCH(F12, INDIRECT("'" &amp; INDEX('Hulp (CAO''s)'!$C$3:$C$6,
            MATCH(TRUE,'Hulp (CAO''s)'!$D$3:$D$6,0)) &amp; "'!A:A"),0)
        &amp; ":H" &amp;
        IF(G12&lt;&gt;"",
            MATCH(G12, INDIRECT("'" &amp; INDEX('Hulp (CAO''s)'!$C$3:$C$6,
                MATCH(TRUE,'Hulp (CAO''s)'!$D$3:$D$6,0)) &amp; "'!A:A"),0)-1,
            1000
        )
    )
) * F13
),
IF(
    IFERROR(MIN(
        IF(
            (TRIM(INDIRECT("'" &amp; INDEX('Hulp (CAO''s)'!$C$3:$C$6,
                MATCH(TRUE,'Hulp (CAO''s)'!$D$3:$D$6,0)) &amp; "'!B1:B1000")) = TEXT(F14,"0")) *
            (ROW(INDIRECT("'" &amp; INDEX('Hulp (CAO''s)'!$C$3:$C$6,
                MATCH(TRUE,'Hulp (CAO''s)'!$D$3:$D$6,0)) &amp; "'!B1:B1000")) &gt; MATCH(
                F12,
                INDIRECT("'" &amp; INDEX('Hulp (CAO''s)'!$C$3:$C$6,
                    MATCH(TRUE,'Hulp (CAO''s)'!$D$3:$D$6,0)) &amp; "'!A:A"),
                0
            )) *
            IF(
                G12="",
                1,
                (ROW(INDIRECT("'" &amp; INDEX('Hulp (CAO''s)'!$C$3:$C$6,
                    MATCH(TRUE,'Hulp (CAO''s)'!$D$3:$D$6,0)) &amp; "'!B1:B1000")) &lt; MATCH(
                    G12,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TEXT(F14,"0")) *
                (ROW(INDIRECT("'" &amp; INDEX('Hulp (CAO''s)'!$C$3:$C$6,
                    MATCH(TRUE,'Hulp (CAO''s)'!$D$3:$D$6,0)) &amp; "'!B1:B1000")) &gt; MATCH(
                    F12,
                    INDIRECT("'" &amp; INDEX('Hulp (CAO''s)'!$C$3:$C$6,
                        MATCH(TRUE,'Hulp (CAO''s)'!$D$3:$D$6,0)) &amp; "'!A:A"),
                    0
                )) *
                IF(
                    G12="",
                    1,
                    (ROW(INDIRECT("'" &amp; INDEX('Hulp (CAO''s)'!$C$3:$C$6,
                        MATCH(TRUE,'Hulp (CAO''s)'!$D$3:$D$6,0)) &amp; "'!B1:B1000")) &lt; MATCH(
                        G12,
                        INDIRECT("'" &amp; INDEX('Hulp (CAO''s)'!$C$3:$C$6,
                            MATCH(TRUE,'Hulp (CAO''s)'!$D$3:$D$6,0)) &amp; "'!A:A"),
                        0
                    ))
                ),
                ROW(INDIRECT("'" &amp; INDEX('Hulp (CAO''s)'!$C$3:$C$6,
                    MATCH(TRUE,'Hulp (CAO''s)'!$D$3:$D$6,0)) &amp; "'!B1:B1000"))
            )
        ),0)
    )
))</f>
        <v/>
      </c>
      <c r="G15" s="86" t="str">
        <f t="array" aca="1" ref="G15" ca="1">IF($B14="Gebruik % van maximum trede",
IF(
    OR(G12="",G13=""),
    "",
    MAX(
    INDIRECT("'" &amp; INDEX('Hulp (CAO''s)'!$C$3:$C$6,
        MATCH(TRUE,'Hulp (CAO''s)'!$D$3:$D$6,0)) &amp; "'!" &amp;
        INDEX('Hulp (CAO''s)'!$H$3:$H$6,
            MATCH(TRUE,'Hulp (CAO''s)'!$D$3:$D$6,0))
        &amp;
        MATCH(G12, INDIRECT("'" &amp; INDEX('Hulp (CAO''s)'!$C$3:$C$6,
            MATCH(TRUE,'Hulp (CAO''s)'!$D$3:$D$6,0)) &amp; "'!A:A"),0)
        &amp; ":H" &amp;
        IF(H12&lt;&gt;"",
            MATCH(H12, INDIRECT("'" &amp; INDEX('Hulp (CAO''s)'!$C$3:$C$6,
                MATCH(TRUE,'Hulp (CAO''s)'!$D$3:$D$6,0)) &amp; "'!A:A"),0)-1,
            1000
        )
    )
) * G13
),
IF(
    IFERROR(MIN(
        IF(
            (TRIM(INDIRECT("'" &amp; INDEX('Hulp (CAO''s)'!$C$3:$C$6,
                MATCH(TRUE,'Hulp (CAO''s)'!$D$3:$D$6,0)) &amp; "'!B1:B1000")) = TEXT(G14,"0")) *
            (ROW(INDIRECT("'" &amp; INDEX('Hulp (CAO''s)'!$C$3:$C$6,
                MATCH(TRUE,'Hulp (CAO''s)'!$D$3:$D$6,0)) &amp; "'!B1:B1000")) &gt; MATCH(
                G12,
                INDIRECT("'" &amp; INDEX('Hulp (CAO''s)'!$C$3:$C$6,
                    MATCH(TRUE,'Hulp (CAO''s)'!$D$3:$D$6,0)) &amp; "'!A:A"),
                0
            )) *
            IF(
                H12="",
                1,
                (ROW(INDIRECT("'" &amp; INDEX('Hulp (CAO''s)'!$C$3:$C$6,
                    MATCH(TRUE,'Hulp (CAO''s)'!$D$3:$D$6,0)) &amp; "'!B1:B1000")) &lt; MATCH(
                    H12,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TEXT(G14,"0")) *
                (ROW(INDIRECT("'" &amp; INDEX('Hulp (CAO''s)'!$C$3:$C$6,
                    MATCH(TRUE,'Hulp (CAO''s)'!$D$3:$D$6,0)) &amp; "'!B1:B1000")) &gt; MATCH(
                    G12,
                    INDIRECT("'" &amp; INDEX('Hulp (CAO''s)'!$C$3:$C$6,
                        MATCH(TRUE,'Hulp (CAO''s)'!$D$3:$D$6,0)) &amp; "'!A:A"),
                    0
                )) *
                IF(
                    H12="",
                    1,
                    (ROW(INDIRECT("'" &amp; INDEX('Hulp (CAO''s)'!$C$3:$C$6,
                        MATCH(TRUE,'Hulp (CAO''s)'!$D$3:$D$6,0)) &amp; "'!B1:B1000")) &lt; MATCH(
                        H12,
                        INDIRECT("'" &amp; INDEX('Hulp (CAO''s)'!$C$3:$C$6,
                            MATCH(TRUE,'Hulp (CAO''s)'!$D$3:$D$6,0)) &amp; "'!A:A"),
                        0
                    ))
                ),
                ROW(INDIRECT("'" &amp; INDEX('Hulp (CAO''s)'!$C$3:$C$6,
                    MATCH(TRUE,'Hulp (CAO''s)'!$D$3:$D$6,0)) &amp; "'!B1:B1000"))
            )
        ),0)
    )
))</f>
        <v/>
      </c>
      <c r="H15" s="86" t="str">
        <f t="array" aca="1" ref="H15" ca="1">IF($B14="Gebruik % van maximum trede",
IF(
    OR(H12="",H13=""),
    "",
    MAX(
    INDIRECT("'" &amp; INDEX('Hulp (CAO''s)'!$C$3:$C$6,
        MATCH(TRUE,'Hulp (CAO''s)'!$D$3:$D$6,0)) &amp; "'!" &amp;
        INDEX('Hulp (CAO''s)'!$H$3:$H$6,
            MATCH(TRUE,'Hulp (CAO''s)'!$D$3:$D$6,0))
        &amp;
        MATCH(H12, INDIRECT("'" &amp; INDEX('Hulp (CAO''s)'!$C$3:$C$6,
            MATCH(TRUE,'Hulp (CAO''s)'!$D$3:$D$6,0)) &amp; "'!A:A"),0)
        &amp; ":H" &amp;
        IF(I12&lt;&gt;"",
            MATCH(I12, INDIRECT("'" &amp; INDEX('Hulp (CAO''s)'!$C$3:$C$6,
                MATCH(TRUE,'Hulp (CAO''s)'!$D$3:$D$6,0)) &amp; "'!A:A"),0)-1,
            1000
        )
    )
) * H13
),
IF(
    IFERROR(MIN(
        IF(
            (TRIM(INDIRECT("'" &amp; INDEX('Hulp (CAO''s)'!$C$3:$C$6,
                MATCH(TRUE,'Hulp (CAO''s)'!$D$3:$D$6,0)) &amp; "'!B1:B1000")) = TEXT(H14,"0")) *
            (ROW(INDIRECT("'" &amp; INDEX('Hulp (CAO''s)'!$C$3:$C$6,
                MATCH(TRUE,'Hulp (CAO''s)'!$D$3:$D$6,0)) &amp; "'!B1:B1000")) &gt; MATCH(
                H12,
                INDIRECT("'" &amp; INDEX('Hulp (CAO''s)'!$C$3:$C$6,
                    MATCH(TRUE,'Hulp (CAO''s)'!$D$3:$D$6,0)) &amp; "'!A:A"),
                0
            )) *
            IF(
                I12="",
                1,
                (ROW(INDIRECT("'" &amp; INDEX('Hulp (CAO''s)'!$C$3:$C$6,
                    MATCH(TRUE,'Hulp (CAO''s)'!$D$3:$D$6,0)) &amp; "'!B1:B1000")) &lt; MATCH(
                    I12,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TEXT(H14,"0")) *
                (ROW(INDIRECT("'" &amp; INDEX('Hulp (CAO''s)'!$C$3:$C$6,
                    MATCH(TRUE,'Hulp (CAO''s)'!$D$3:$D$6,0)) &amp; "'!B1:B1000")) &gt; MATCH(
                    H12,
                    INDIRECT("'" &amp; INDEX('Hulp (CAO''s)'!$C$3:$C$6,
                        MATCH(TRUE,'Hulp (CAO''s)'!$D$3:$D$6,0)) &amp; "'!A:A"),
                    0
                )) *
                IF(
                    I12="",
                    1,
                    (ROW(INDIRECT("'" &amp; INDEX('Hulp (CAO''s)'!$C$3:$C$6,
                        MATCH(TRUE,'Hulp (CAO''s)'!$D$3:$D$6,0)) &amp; "'!B1:B1000")) &lt; MATCH(
                        I12,
                        INDIRECT("'" &amp; INDEX('Hulp (CAO''s)'!$C$3:$C$6,
                            MATCH(TRUE,'Hulp (CAO''s)'!$D$3:$D$6,0)) &amp; "'!A:A"),
                        0
                    ))
                ),
                ROW(INDIRECT("'" &amp; INDEX('Hulp (CAO''s)'!$C$3:$C$6,
                    MATCH(TRUE,'Hulp (CAO''s)'!$D$3:$D$6,0)) &amp; "'!B1:B1000"))
            )
        ),0)
    )
))</f>
        <v/>
      </c>
      <c r="I15" s="86" t="str">
        <f t="array" aca="1" ref="I15" ca="1">IF($B14="Gebruik % van maximum trede",
IF(
    OR(I12="",I13=""),
    "",
    MAX(
    INDIRECT("'" &amp; INDEX('Hulp (CAO''s)'!$C$3:$C$6,
        MATCH(TRUE,'Hulp (CAO''s)'!$D$3:$D$6,0)) &amp; "'!" &amp;
        INDEX('Hulp (CAO''s)'!$H$3:$H$6,
            MATCH(TRUE,'Hulp (CAO''s)'!$D$3:$D$6,0))
        &amp;
        MATCH(I12, INDIRECT("'" &amp; INDEX('Hulp (CAO''s)'!$C$3:$C$6,
            MATCH(TRUE,'Hulp (CAO''s)'!$D$3:$D$6,0)) &amp; "'!A:A"),0)
        &amp; ":H" &amp;
        IF(J12&lt;&gt;"",
            MATCH(J12, INDIRECT("'" &amp; INDEX('Hulp (CAO''s)'!$C$3:$C$6,
                MATCH(TRUE,'Hulp (CAO''s)'!$D$3:$D$6,0)) &amp; "'!A:A"),0)-1,
            1000
        )
    )
) * I13
),
IF(
    IFERROR(MIN(
        IF(
            (TRIM(INDIRECT("'" &amp; INDEX('Hulp (CAO''s)'!$C$3:$C$6,
                MATCH(TRUE,'Hulp (CAO''s)'!$D$3:$D$6,0)) &amp; "'!B1:B1000")) = TEXT(I14,"0")) *
            (ROW(INDIRECT("'" &amp; INDEX('Hulp (CAO''s)'!$C$3:$C$6,
                MATCH(TRUE,'Hulp (CAO''s)'!$D$3:$D$6,0)) &amp; "'!B1:B1000")) &gt; MATCH(
                I12,
                INDIRECT("'" &amp; INDEX('Hulp (CAO''s)'!$C$3:$C$6,
                    MATCH(TRUE,'Hulp (CAO''s)'!$D$3:$D$6,0)) &amp; "'!A:A"),
                0
            )) *
            IF(
                J12="",
                1,
                (ROW(INDIRECT("'" &amp; INDEX('Hulp (CAO''s)'!$C$3:$C$6,
                    MATCH(TRUE,'Hulp (CAO''s)'!$D$3:$D$6,0)) &amp; "'!B1:B1000")) &lt; MATCH(
                    J12,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TEXT(I14,"0")) *
                (ROW(INDIRECT("'" &amp; INDEX('Hulp (CAO''s)'!$C$3:$C$6,
                    MATCH(TRUE,'Hulp (CAO''s)'!$D$3:$D$6,0)) &amp; "'!B1:B1000")) &gt; MATCH(
                    I12,
                    INDIRECT("'" &amp; INDEX('Hulp (CAO''s)'!$C$3:$C$6,
                        MATCH(TRUE,'Hulp (CAO''s)'!$D$3:$D$6,0)) &amp; "'!A:A"),
                    0
                )) *
                IF(
                    J12="",
                    1,
                    (ROW(INDIRECT("'" &amp; INDEX('Hulp (CAO''s)'!$C$3:$C$6,
                        MATCH(TRUE,'Hulp (CAO''s)'!$D$3:$D$6,0)) &amp; "'!B1:B1000")) &lt; MATCH(
                        J12,
                        INDIRECT("'" &amp; INDEX('Hulp (CAO''s)'!$C$3:$C$6,
                            MATCH(TRUE,'Hulp (CAO''s)'!$D$3:$D$6,0)) &amp; "'!A:A"),
                        0
                    ))
                ),
                ROW(INDIRECT("'" &amp; INDEX('Hulp (CAO''s)'!$C$3:$C$6,
                    MATCH(TRUE,'Hulp (CAO''s)'!$D$3:$D$6,0)) &amp; "'!B1:B1000"))
            )
        ),0)
    )
))</f>
        <v/>
      </c>
      <c r="J15" s="86" t="str">
        <f t="array" aca="1" ref="J15" ca="1">IF($B14="Gebruik % van maximum trede",
IF(
    OR(J12="",J13=""),
    "",
    MAX(
    INDIRECT("'" &amp; INDEX('Hulp (CAO''s)'!$C$3:$C$6,
        MATCH(TRUE,'Hulp (CAO''s)'!$D$3:$D$6,0)) &amp; "'!" &amp;
        INDEX('Hulp (CAO''s)'!$H$3:$H$6,
            MATCH(TRUE,'Hulp (CAO''s)'!$D$3:$D$6,0))
        &amp;
        MATCH(J12, INDIRECT("'" &amp; INDEX('Hulp (CAO''s)'!$C$3:$C$6,
            MATCH(TRUE,'Hulp (CAO''s)'!$D$3:$D$6,0)) &amp; "'!A:A"),0)
        &amp; ":H" &amp;
        IF(K12&lt;&gt;"",
            MATCH(K12, INDIRECT("'" &amp; INDEX('Hulp (CAO''s)'!$C$3:$C$6,
                MATCH(TRUE,'Hulp (CAO''s)'!$D$3:$D$6,0)) &amp; "'!A:A"),0)-1,
            1000
        )
    )
) * J13
),
IF(
    IFERROR(MIN(
        IF(
            (TRIM(INDIRECT("'" &amp; INDEX('Hulp (CAO''s)'!$C$3:$C$6,
                MATCH(TRUE,'Hulp (CAO''s)'!$D$3:$D$6,0)) &amp; "'!B1:B1000")) = TEXT(J14,"0")) *
            (ROW(INDIRECT("'" &amp; INDEX('Hulp (CAO''s)'!$C$3:$C$6,
                MATCH(TRUE,'Hulp (CAO''s)'!$D$3:$D$6,0)) &amp; "'!B1:B1000")) &gt; MATCH(
                J12,
                INDIRECT("'" &amp; INDEX('Hulp (CAO''s)'!$C$3:$C$6,
                    MATCH(TRUE,'Hulp (CAO''s)'!$D$3:$D$6,0)) &amp; "'!A:A"),
                0
            )) *
            IF(
                K12="",
                1,
                (ROW(INDIRECT("'" &amp; INDEX('Hulp (CAO''s)'!$C$3:$C$6,
                    MATCH(TRUE,'Hulp (CAO''s)'!$D$3:$D$6,0)) &amp; "'!B1:B1000")) &lt; MATCH(
                    K12,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TEXT(J14,"0")) *
                (ROW(INDIRECT("'" &amp; INDEX('Hulp (CAO''s)'!$C$3:$C$6,
                    MATCH(TRUE,'Hulp (CAO''s)'!$D$3:$D$6,0)) &amp; "'!B1:B1000")) &gt; MATCH(
                    J12,
                    INDIRECT("'" &amp; INDEX('Hulp (CAO''s)'!$C$3:$C$6,
                        MATCH(TRUE,'Hulp (CAO''s)'!$D$3:$D$6,0)) &amp; "'!A:A"),
                    0
                )) *
                IF(
                    K12="",
                    1,
                    (ROW(INDIRECT("'" &amp; INDEX('Hulp (CAO''s)'!$C$3:$C$6,
                        MATCH(TRUE,'Hulp (CAO''s)'!$D$3:$D$6,0)) &amp; "'!B1:B1000")) &lt; MATCH(
                        K12,
                        INDIRECT("'" &amp; INDEX('Hulp (CAO''s)'!$C$3:$C$6,
                            MATCH(TRUE,'Hulp (CAO''s)'!$D$3:$D$6,0)) &amp; "'!A:A"),
                        0
                    ))
                ),
                ROW(INDIRECT("'" &amp; INDEX('Hulp (CAO''s)'!$C$3:$C$6,
                    MATCH(TRUE,'Hulp (CAO''s)'!$D$3:$D$6,0)) &amp; "'!B1:B1000"))
            )
        ),0)
    )
))</f>
        <v/>
      </c>
      <c r="K15" s="86" t="str">
        <f t="array" aca="1" ref="K15" ca="1">IF($B14="Gebruik % van maximum trede",
IF(
    OR(K12="",K13=""),
    "",
    MAX(
    INDIRECT("'" &amp; INDEX('Hulp (CAO''s)'!$C$3:$C$6,
        MATCH(TRUE,'Hulp (CAO''s)'!$D$3:$D$6,0)) &amp; "'!" &amp;
        INDEX('Hulp (CAO''s)'!$H$3:$H$6,
            MATCH(TRUE,'Hulp (CAO''s)'!$D$3:$D$6,0))
        &amp;
        MATCH(K12, INDIRECT("'" &amp; INDEX('Hulp (CAO''s)'!$C$3:$C$6,
            MATCH(TRUE,'Hulp (CAO''s)'!$D$3:$D$6,0)) &amp; "'!A:A"),0)
        &amp; ":H" &amp;
        IF(L12&lt;&gt;"",
            MATCH(L12, INDIRECT("'" &amp; INDEX('Hulp (CAO''s)'!$C$3:$C$6,
                MATCH(TRUE,'Hulp (CAO''s)'!$D$3:$D$6,0)) &amp; "'!A:A"),0)-1,
            1000
        )
    )
) * K13
),
IF(
    IFERROR(MIN(
        IF(
            (TRIM(INDIRECT("'" &amp; INDEX('Hulp (CAO''s)'!$C$3:$C$6,
                MATCH(TRUE,'Hulp (CAO''s)'!$D$3:$D$6,0)) &amp; "'!B1:B1000")) = TEXT(K14,"0")) *
            (ROW(INDIRECT("'" &amp; INDEX('Hulp (CAO''s)'!$C$3:$C$6,
                MATCH(TRUE,'Hulp (CAO''s)'!$D$3:$D$6,0)) &amp; "'!B1:B1000")) &gt; MATCH(
                K12,
                INDIRECT("'" &amp; INDEX('Hulp (CAO''s)'!$C$3:$C$6,
                    MATCH(TRUE,'Hulp (CAO''s)'!$D$3:$D$6,0)) &amp; "'!A:A"),
                0
            )) *
            IF(
                L12="",
                1,
                (ROW(INDIRECT("'" &amp; INDEX('Hulp (CAO''s)'!$C$3:$C$6,
                    MATCH(TRUE,'Hulp (CAO''s)'!$D$3:$D$6,0)) &amp; "'!B1:B1000")) &lt; MATCH(
                    L12,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TEXT(K14,"0")) *
                (ROW(INDIRECT("'" &amp; INDEX('Hulp (CAO''s)'!$C$3:$C$6,
                    MATCH(TRUE,'Hulp (CAO''s)'!$D$3:$D$6,0)) &amp; "'!B1:B1000")) &gt; MATCH(
                    K12,
                    INDIRECT("'" &amp; INDEX('Hulp (CAO''s)'!$C$3:$C$6,
                        MATCH(TRUE,'Hulp (CAO''s)'!$D$3:$D$6,0)) &amp; "'!A:A"),
                    0
                )) *
                IF(
                    L12="",
                    1,
                    (ROW(INDIRECT("'" &amp; INDEX('Hulp (CAO''s)'!$C$3:$C$6,
                        MATCH(TRUE,'Hulp (CAO''s)'!$D$3:$D$6,0)) &amp; "'!B1:B1000")) &lt; MATCH(
                        L12,
                        INDIRECT("'" &amp; INDEX('Hulp (CAO''s)'!$C$3:$C$6,
                            MATCH(TRUE,'Hulp (CAO''s)'!$D$3:$D$6,0)) &amp; "'!A:A"),
                        0
                    ))
                ),
                ROW(INDIRECT("'" &amp; INDEX('Hulp (CAO''s)'!$C$3:$C$6,
                    MATCH(TRUE,'Hulp (CAO''s)'!$D$3:$D$6,0)) &amp; "'!B1:B1000"))
            )
        ),0)
    )
))</f>
        <v/>
      </c>
      <c r="L15" s="86" t="str">
        <f t="array" aca="1" ref="L15" ca="1">IF($B14="Gebruik % van maximum trede",
IF(
    OR(L12="",L13=""),
    "",
    MAX(
    INDIRECT("'" &amp; INDEX('Hulp (CAO''s)'!$C$3:$C$6,
        MATCH(TRUE,'Hulp (CAO''s)'!$D$3:$D$6,0)) &amp; "'!" &amp;
        INDEX('Hulp (CAO''s)'!$H$3:$H$6,
            MATCH(TRUE,'Hulp (CAO''s)'!$D$3:$D$6,0))
        &amp;
        MATCH(L12, INDIRECT("'" &amp; INDEX('Hulp (CAO''s)'!$C$3:$C$6,
            MATCH(TRUE,'Hulp (CAO''s)'!$D$3:$D$6,0)) &amp; "'!A:A"),0)
        &amp; ":H" &amp;
        IF(M12&lt;&gt;"",
            MATCH(M12, INDIRECT("'" &amp; INDEX('Hulp (CAO''s)'!$C$3:$C$6,
                MATCH(TRUE,'Hulp (CAO''s)'!$D$3:$D$6,0)) &amp; "'!A:A"),0)-1,
            1000
        )
    )
) * L13
),
IF(
    IFERROR(MIN(
        IF(
            (TRIM(INDIRECT("'" &amp; INDEX('Hulp (CAO''s)'!$C$3:$C$6,
                MATCH(TRUE,'Hulp (CAO''s)'!$D$3:$D$6,0)) &amp; "'!B1:B1000")) = TEXT(L14,"0")) *
            (ROW(INDIRECT("'" &amp; INDEX('Hulp (CAO''s)'!$C$3:$C$6,
                MATCH(TRUE,'Hulp (CAO''s)'!$D$3:$D$6,0)) &amp; "'!B1:B1000")) &gt; MATCH(
                L12,
                INDIRECT("'" &amp; INDEX('Hulp (CAO''s)'!$C$3:$C$6,
                    MATCH(TRUE,'Hulp (CAO''s)'!$D$3:$D$6,0)) &amp; "'!A:A"),
                0
            )) *
            IF(
                M12="",
                1,
                (ROW(INDIRECT("'" &amp; INDEX('Hulp (CAO''s)'!$C$3:$C$6,
                    MATCH(TRUE,'Hulp (CAO''s)'!$D$3:$D$6,0)) &amp; "'!B1:B1000")) &lt; MATCH(
                    M12,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TEXT(L14,"0")) *
                (ROW(INDIRECT("'" &amp; INDEX('Hulp (CAO''s)'!$C$3:$C$6,
                    MATCH(TRUE,'Hulp (CAO''s)'!$D$3:$D$6,0)) &amp; "'!B1:B1000")) &gt; MATCH(
                    L12,
                    INDIRECT("'" &amp; INDEX('Hulp (CAO''s)'!$C$3:$C$6,
                        MATCH(TRUE,'Hulp (CAO''s)'!$D$3:$D$6,0)) &amp; "'!A:A"),
                    0
                )) *
                IF(
                    M12="",
                    1,
                    (ROW(INDIRECT("'" &amp; INDEX('Hulp (CAO''s)'!$C$3:$C$6,
                        MATCH(TRUE,'Hulp (CAO''s)'!$D$3:$D$6,0)) &amp; "'!B1:B1000")) &lt; MATCH(
                        M12,
                        INDIRECT("'" &amp; INDEX('Hulp (CAO''s)'!$C$3:$C$6,
                            MATCH(TRUE,'Hulp (CAO''s)'!$D$3:$D$6,0)) &amp; "'!A:A"),
                        0
                    ))
                ),
                ROW(INDIRECT("'" &amp; INDEX('Hulp (CAO''s)'!$C$3:$C$6,
                    MATCH(TRUE,'Hulp (CAO''s)'!$D$3:$D$6,0)) &amp; "'!B1:B1000"))
            )
        ),0)
    )
))</f>
        <v/>
      </c>
      <c r="M15" s="86" t="str">
        <f t="array" aca="1" ref="M15" ca="1">IF($B14="Gebruik % van maximum trede",
IF(
    OR(M12="",M13=""),
    "",
    MAX(
    INDIRECT("'" &amp; INDEX('Hulp (CAO''s)'!$C$3:$C$6,
        MATCH(TRUE,'Hulp (CAO''s)'!$D$3:$D$6,0)) &amp; "'!" &amp;
        INDEX('Hulp (CAO''s)'!$H$3:$H$6,
            MATCH(TRUE,'Hulp (CAO''s)'!$D$3:$D$6,0))
        &amp;
        MATCH(M12, INDIRECT("'" &amp; INDEX('Hulp (CAO''s)'!$C$3:$C$6,
            MATCH(TRUE,'Hulp (CAO''s)'!$D$3:$D$6,0)) &amp; "'!A:A"),0)
        &amp; ":H" &amp;
        IF(N12&lt;&gt;"",
            MATCH(N12, INDIRECT("'" &amp; INDEX('Hulp (CAO''s)'!$C$3:$C$6,
                MATCH(TRUE,'Hulp (CAO''s)'!$D$3:$D$6,0)) &amp; "'!A:A"),0)-1,
            1000
        )
    )
) * M13
),
IF(
    IFERROR(MIN(
        IF(
            (TRIM(INDIRECT("'" &amp; INDEX('Hulp (CAO''s)'!$C$3:$C$6,
                MATCH(TRUE,'Hulp (CAO''s)'!$D$3:$D$6,0)) &amp; "'!B1:B1000")) = TEXT(M14,"0")) *
            (ROW(INDIRECT("'" &amp; INDEX('Hulp (CAO''s)'!$C$3:$C$6,
                MATCH(TRUE,'Hulp (CAO''s)'!$D$3:$D$6,0)) &amp; "'!B1:B1000")) &gt; MATCH(
                M12,
                INDIRECT("'" &amp; INDEX('Hulp (CAO''s)'!$C$3:$C$6,
                    MATCH(TRUE,'Hulp (CAO''s)'!$D$3:$D$6,0)) &amp; "'!A:A"),
                0
            )) *
            IF(
                N12="",
                1,
                (ROW(INDIRECT("'" &amp; INDEX('Hulp (CAO''s)'!$C$3:$C$6,
                    MATCH(TRUE,'Hulp (CAO''s)'!$D$3:$D$6,0)) &amp; "'!B1:B1000")) &lt; MATCH(
                    N12,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TEXT(M14,"0")) *
                (ROW(INDIRECT("'" &amp; INDEX('Hulp (CAO''s)'!$C$3:$C$6,
                    MATCH(TRUE,'Hulp (CAO''s)'!$D$3:$D$6,0)) &amp; "'!B1:B1000")) &gt; MATCH(
                    M12,
                    INDIRECT("'" &amp; INDEX('Hulp (CAO''s)'!$C$3:$C$6,
                        MATCH(TRUE,'Hulp (CAO''s)'!$D$3:$D$6,0)) &amp; "'!A:A"),
                    0
                )) *
                IF(
                    N12="",
                    1,
                    (ROW(INDIRECT("'" &amp; INDEX('Hulp (CAO''s)'!$C$3:$C$6,
                        MATCH(TRUE,'Hulp (CAO''s)'!$D$3:$D$6,0)) &amp; "'!B1:B1000")) &lt; MATCH(
                        N12,
                        INDIRECT("'" &amp; INDEX('Hulp (CAO''s)'!$C$3:$C$6,
                            MATCH(TRUE,'Hulp (CAO''s)'!$D$3:$D$6,0)) &amp; "'!A:A"),
                        0
                    ))
                ),
                ROW(INDIRECT("'" &amp; INDEX('Hulp (CAO''s)'!$C$3:$C$6,
                    MATCH(TRUE,'Hulp (CAO''s)'!$D$3:$D$6,0)) &amp; "'!B1:B1000"))
            )
        ),0)
    )
))</f>
        <v/>
      </c>
      <c r="N15" s="86" t="str">
        <f t="array" aca="1" ref="N15" ca="1">IF($B14="Gebruik % van maximum trede",
IF(
    OR(N12="",N13=""),
    "",
    MAX(
    INDIRECT("'" &amp; INDEX('Hulp (CAO''s)'!$C$3:$C$6,
        MATCH(TRUE,'Hulp (CAO''s)'!$D$3:$D$6,0)) &amp; "'!" &amp;
        INDEX('Hulp (CAO''s)'!$H$3:$H$6,
            MATCH(TRUE,'Hulp (CAO''s)'!$D$3:$D$6,0))
        &amp;
        MATCH(N12, INDIRECT("'" &amp; INDEX('Hulp (CAO''s)'!$C$3:$C$6,
            MATCH(TRUE,'Hulp (CAO''s)'!$D$3:$D$6,0)) &amp; "'!A:A"),0)
        &amp; ":H" &amp;
        IF(O12&lt;&gt;"",
            MATCH(O12, INDIRECT("'" &amp; INDEX('Hulp (CAO''s)'!$C$3:$C$6,
                MATCH(TRUE,'Hulp (CAO''s)'!$D$3:$D$6,0)) &amp; "'!A:A"),0)-1,
            1000
        )
    )
) * N13
),
IF(
    IFERROR(MIN(
        IF(
            (TRIM(INDIRECT("'" &amp; INDEX('Hulp (CAO''s)'!$C$3:$C$6,
                MATCH(TRUE,'Hulp (CAO''s)'!$D$3:$D$6,0)) &amp; "'!B1:B1000")) = TEXT(N14,"0")) *
            (ROW(INDIRECT("'" &amp; INDEX('Hulp (CAO''s)'!$C$3:$C$6,
                MATCH(TRUE,'Hulp (CAO''s)'!$D$3:$D$6,0)) &amp; "'!B1:B1000")) &gt; MATCH(
                N12,
                INDIRECT("'" &amp; INDEX('Hulp (CAO''s)'!$C$3:$C$6,
                    MATCH(TRUE,'Hulp (CAO''s)'!$D$3:$D$6,0)) &amp; "'!A:A"),
                0
            )) *
            IF(
                O12="",
                1,
                (ROW(INDIRECT("'" &amp; INDEX('Hulp (CAO''s)'!$C$3:$C$6,
                    MATCH(TRUE,'Hulp (CAO''s)'!$D$3:$D$6,0)) &amp; "'!B1:B1000")) &lt; MATCH(
                    O12,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TEXT(N14,"0")) *
                (ROW(INDIRECT("'" &amp; INDEX('Hulp (CAO''s)'!$C$3:$C$6,
                    MATCH(TRUE,'Hulp (CAO''s)'!$D$3:$D$6,0)) &amp; "'!B1:B1000")) &gt; MATCH(
                    N12,
                    INDIRECT("'" &amp; INDEX('Hulp (CAO''s)'!$C$3:$C$6,
                        MATCH(TRUE,'Hulp (CAO''s)'!$D$3:$D$6,0)) &amp; "'!A:A"),
                    0
                )) *
                IF(
                    O12="",
                    1,
                    (ROW(INDIRECT("'" &amp; INDEX('Hulp (CAO''s)'!$C$3:$C$6,
                        MATCH(TRUE,'Hulp (CAO''s)'!$D$3:$D$6,0)) &amp; "'!B1:B1000")) &lt; MATCH(
                        O12,
                        INDIRECT("'" &amp; INDEX('Hulp (CAO''s)'!$C$3:$C$6,
                            MATCH(TRUE,'Hulp (CAO''s)'!$D$3:$D$6,0)) &amp; "'!A:A"),
                        0
                    ))
                ),
                ROW(INDIRECT("'" &amp; INDEX('Hulp (CAO''s)'!$C$3:$C$6,
                    MATCH(TRUE,'Hulp (CAO''s)'!$D$3:$D$6,0)) &amp; "'!B1:B1000"))
            )
        ),0)
    )
))</f>
        <v/>
      </c>
      <c r="O15" s="86" t="str">
        <f t="array" aca="1" ref="O15" ca="1">IF($B14="Gebruik % van maximum trede",
IF(
    OR(O12="",O13=""),
    "",
    MAX(
    INDIRECT("'" &amp; INDEX('Hulp (CAO''s)'!$C$3:$C$6,
        MATCH(TRUE,'Hulp (CAO''s)'!$D$3:$D$6,0)) &amp; "'!" &amp;
        INDEX('Hulp (CAO''s)'!$H$3:$H$6,
            MATCH(TRUE,'Hulp (CAO''s)'!$D$3:$D$6,0))
        &amp;
        MATCH(O12, INDIRECT("'" &amp; INDEX('Hulp (CAO''s)'!$C$3:$C$6,
            MATCH(TRUE,'Hulp (CAO''s)'!$D$3:$D$6,0)) &amp; "'!A:A"),0)
        &amp; ":H" &amp;
        IF(P12&lt;&gt;"",
            MATCH(P12, INDIRECT("'" &amp; INDEX('Hulp (CAO''s)'!$C$3:$C$6,
                MATCH(TRUE,'Hulp (CAO''s)'!$D$3:$D$6,0)) &amp; "'!A:A"),0)-1,
            1000
        )
    )
) * O13
),
IF(
    IFERROR(MIN(
        IF(
            (TRIM(INDIRECT("'" &amp; INDEX('Hulp (CAO''s)'!$C$3:$C$6,
                MATCH(TRUE,'Hulp (CAO''s)'!$D$3:$D$6,0)) &amp; "'!B1:B1000")) = TEXT(O14,"0")) *
            (ROW(INDIRECT("'" &amp; INDEX('Hulp (CAO''s)'!$C$3:$C$6,
                MATCH(TRUE,'Hulp (CAO''s)'!$D$3:$D$6,0)) &amp; "'!B1:B1000")) &gt; MATCH(
                O12,
                INDIRECT("'" &amp; INDEX('Hulp (CAO''s)'!$C$3:$C$6,
                    MATCH(TRUE,'Hulp (CAO''s)'!$D$3:$D$6,0)) &amp; "'!A:A"),
                0
            )) *
            IF(
                P12="",
                1,
                (ROW(INDIRECT("'" &amp; INDEX('Hulp (CAO''s)'!$C$3:$C$6,
                    MATCH(TRUE,'Hulp (CAO''s)'!$D$3:$D$6,0)) &amp; "'!B1:B1000")) &lt; MATCH(
                    P12,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TEXT(O14,"0")) *
                (ROW(INDIRECT("'" &amp; INDEX('Hulp (CAO''s)'!$C$3:$C$6,
                    MATCH(TRUE,'Hulp (CAO''s)'!$D$3:$D$6,0)) &amp; "'!B1:B1000")) &gt; MATCH(
                    O12,
                    INDIRECT("'" &amp; INDEX('Hulp (CAO''s)'!$C$3:$C$6,
                        MATCH(TRUE,'Hulp (CAO''s)'!$D$3:$D$6,0)) &amp; "'!A:A"),
                    0
                )) *
                IF(
                    P12="",
                    1,
                    (ROW(INDIRECT("'" &amp; INDEX('Hulp (CAO''s)'!$C$3:$C$6,
                        MATCH(TRUE,'Hulp (CAO''s)'!$D$3:$D$6,0)) &amp; "'!B1:B1000")) &lt; MATCH(
                        P12,
                        INDIRECT("'" &amp; INDEX('Hulp (CAO''s)'!$C$3:$C$6,
                            MATCH(TRUE,'Hulp (CAO''s)'!$D$3:$D$6,0)) &amp; "'!A:A"),
                        0
                    ))
                ),
                ROW(INDIRECT("'" &amp; INDEX('Hulp (CAO''s)'!$C$3:$C$6,
                    MATCH(TRUE,'Hulp (CAO''s)'!$D$3:$D$6,0)) &amp; "'!B1:B1000"))
            )
        ),0)
    )
))</f>
        <v/>
      </c>
      <c r="P15" s="86" t="str">
        <f t="array" aca="1" ref="P15" ca="1">IF($B14="Gebruik % van maximum trede",
IF(
    OR(P12="",P13=""),
    "",
    MAX(
    INDIRECT("'" &amp; INDEX('Hulp (CAO''s)'!$C$3:$C$6,
        MATCH(TRUE,'Hulp (CAO''s)'!$D$3:$D$6,0)) &amp; "'!" &amp;
        INDEX('Hulp (CAO''s)'!$H$3:$H$6,
            MATCH(TRUE,'Hulp (CAO''s)'!$D$3:$D$6,0))
        &amp;
        MATCH(P12, INDIRECT("'" &amp; INDEX('Hulp (CAO''s)'!$C$3:$C$6,
            MATCH(TRUE,'Hulp (CAO''s)'!$D$3:$D$6,0)) &amp; "'!A:A"),0)
        &amp; ":H" &amp;
        IF(Q12&lt;&gt;"",
            MATCH(Q12, INDIRECT("'" &amp; INDEX('Hulp (CAO''s)'!$C$3:$C$6,
                MATCH(TRUE,'Hulp (CAO''s)'!$D$3:$D$6,0)) &amp; "'!A:A"),0)-1,
            1000
        )
    )
) * P13
),
IF(
    IFERROR(MIN(
        IF(
            (TRIM(INDIRECT("'" &amp; INDEX('Hulp (CAO''s)'!$C$3:$C$6,
                MATCH(TRUE,'Hulp (CAO''s)'!$D$3:$D$6,0)) &amp; "'!B1:B1000")) = TEXT(P14,"0")) *
            (ROW(INDIRECT("'" &amp; INDEX('Hulp (CAO''s)'!$C$3:$C$6,
                MATCH(TRUE,'Hulp (CAO''s)'!$D$3:$D$6,0)) &amp; "'!B1:B1000")) &gt; MATCH(
                P12,
                INDIRECT("'" &amp; INDEX('Hulp (CAO''s)'!$C$3:$C$6,
                    MATCH(TRUE,'Hulp (CAO''s)'!$D$3:$D$6,0)) &amp; "'!A:A"),
                0
            )) *
            IF(
                Q12="",
                1,
                (ROW(INDIRECT("'" &amp; INDEX('Hulp (CAO''s)'!$C$3:$C$6,
                    MATCH(TRUE,'Hulp (CAO''s)'!$D$3:$D$6,0)) &amp; "'!B1:B1000")) &lt; MATCH(
                    Q12,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TEXT(P14,"0")) *
                (ROW(INDIRECT("'" &amp; INDEX('Hulp (CAO''s)'!$C$3:$C$6,
                    MATCH(TRUE,'Hulp (CAO''s)'!$D$3:$D$6,0)) &amp; "'!B1:B1000")) &gt; MATCH(
                    P12,
                    INDIRECT("'" &amp; INDEX('Hulp (CAO''s)'!$C$3:$C$6,
                        MATCH(TRUE,'Hulp (CAO''s)'!$D$3:$D$6,0)) &amp; "'!A:A"),
                    0
                )) *
                IF(
                    Q12="",
                    1,
                    (ROW(INDIRECT("'" &amp; INDEX('Hulp (CAO''s)'!$C$3:$C$6,
                        MATCH(TRUE,'Hulp (CAO''s)'!$D$3:$D$6,0)) &amp; "'!B1:B1000")) &lt; MATCH(
                        Q12,
                        INDIRECT("'" &amp; INDEX('Hulp (CAO''s)'!$C$3:$C$6,
                            MATCH(TRUE,'Hulp (CAO''s)'!$D$3:$D$6,0)) &amp; "'!A:A"),
                        0
                    ))
                ),
                ROW(INDIRECT("'" &amp; INDEX('Hulp (CAO''s)'!$C$3:$C$6,
                    MATCH(TRUE,'Hulp (CAO''s)'!$D$3:$D$6,0)) &amp; "'!B1:B1000"))
            )
        ),0)
    )
))</f>
        <v/>
      </c>
      <c r="Q15" s="86" t="str">
        <f t="array" aca="1" ref="Q15" ca="1">IF($B14="Gebruik % van maximum trede",
IF(
    OR(Q12="",Q13=""),
    "",
    MAX(
    INDIRECT("'" &amp; INDEX('Hulp (CAO''s)'!$C$3:$C$6,
        MATCH(TRUE,'Hulp (CAO''s)'!$D$3:$D$6,0)) &amp; "'!" &amp;
        INDEX('Hulp (CAO''s)'!$H$3:$H$6,
            MATCH(TRUE,'Hulp (CAO''s)'!$D$3:$D$6,0))
        &amp;
        MATCH(Q12, INDIRECT("'" &amp; INDEX('Hulp (CAO''s)'!$C$3:$C$6,
            MATCH(TRUE,'Hulp (CAO''s)'!$D$3:$D$6,0)) &amp; "'!A:A"),0)
        &amp; ":H" &amp;
        IF(R12&lt;&gt;"",
            MATCH(R12, INDIRECT("'" &amp; INDEX('Hulp (CAO''s)'!$C$3:$C$6,
                MATCH(TRUE,'Hulp (CAO''s)'!$D$3:$D$6,0)) &amp; "'!A:A"),0)-1,
            1000
        )
    )
) * Q13
),
IF(
    IFERROR(MIN(
        IF(
            (TRIM(INDIRECT("'" &amp; INDEX('Hulp (CAO''s)'!$C$3:$C$6,
                MATCH(TRUE,'Hulp (CAO''s)'!$D$3:$D$6,0)) &amp; "'!B1:B1000")) = TEXT(Q14,"0")) *
            (ROW(INDIRECT("'" &amp; INDEX('Hulp (CAO''s)'!$C$3:$C$6,
                MATCH(TRUE,'Hulp (CAO''s)'!$D$3:$D$6,0)) &amp; "'!B1:B1000")) &gt; MATCH(
                Q12,
                INDIRECT("'" &amp; INDEX('Hulp (CAO''s)'!$C$3:$C$6,
                    MATCH(TRUE,'Hulp (CAO''s)'!$D$3:$D$6,0)) &amp; "'!A:A"),
                0
            )) *
            IF(
                R12="",
                1,
                (ROW(INDIRECT("'" &amp; INDEX('Hulp (CAO''s)'!$C$3:$C$6,
                    MATCH(TRUE,'Hulp (CAO''s)'!$D$3:$D$6,0)) &amp; "'!B1:B1000")) &lt; MATCH(
                    R12,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TEXT(Q14,"0")) *
                (ROW(INDIRECT("'" &amp; INDEX('Hulp (CAO''s)'!$C$3:$C$6,
                    MATCH(TRUE,'Hulp (CAO''s)'!$D$3:$D$6,0)) &amp; "'!B1:B1000")) &gt; MATCH(
                    Q12,
                    INDIRECT("'" &amp; INDEX('Hulp (CAO''s)'!$C$3:$C$6,
                        MATCH(TRUE,'Hulp (CAO''s)'!$D$3:$D$6,0)) &amp; "'!A:A"),
                    0
                )) *
                IF(
                    R12="",
                    1,
                    (ROW(INDIRECT("'" &amp; INDEX('Hulp (CAO''s)'!$C$3:$C$6,
                        MATCH(TRUE,'Hulp (CAO''s)'!$D$3:$D$6,0)) &amp; "'!B1:B1000")) &lt; MATCH(
                        R12,
                        INDIRECT("'" &amp; INDEX('Hulp (CAO''s)'!$C$3:$C$6,
                            MATCH(TRUE,'Hulp (CAO''s)'!$D$3:$D$6,0)) &amp; "'!A:A"),
                        0
                    ))
                ),
                ROW(INDIRECT("'" &amp; INDEX('Hulp (CAO''s)'!$C$3:$C$6,
                    MATCH(TRUE,'Hulp (CAO''s)'!$D$3:$D$6,0)) &amp; "'!B1:B1000"))
            )
        ),0)
    )
))</f>
        <v/>
      </c>
      <c r="R15" s="86" t="str">
        <f t="array" aca="1" ref="R15" ca="1">IF($B14="Gebruik % van maximum trede",
IF(
    OR(R12="",R13=""),
    "",
    MAX(
    INDIRECT("'" &amp; INDEX('Hulp (CAO''s)'!$C$3:$C$6,
        MATCH(TRUE,'Hulp (CAO''s)'!$D$3:$D$6,0)) &amp; "'!" &amp;
        INDEX('Hulp (CAO''s)'!$H$3:$H$6,
            MATCH(TRUE,'Hulp (CAO''s)'!$D$3:$D$6,0))
        &amp;
        MATCH(R12, INDIRECT("'" &amp; INDEX('Hulp (CAO''s)'!$C$3:$C$6,
            MATCH(TRUE,'Hulp (CAO''s)'!$D$3:$D$6,0)) &amp; "'!A:A"),0)
        &amp; ":H" &amp;
        IF(S12&lt;&gt;"",
            MATCH(S12, INDIRECT("'" &amp; INDEX('Hulp (CAO''s)'!$C$3:$C$6,
                MATCH(TRUE,'Hulp (CAO''s)'!$D$3:$D$6,0)) &amp; "'!A:A"),0)-1,
            1000
        )
    )
) * R13
),
IF(
    IFERROR(MIN(
        IF(
            (TRIM(INDIRECT("'" &amp; INDEX('Hulp (CAO''s)'!$C$3:$C$6,
                MATCH(TRUE,'Hulp (CAO''s)'!$D$3:$D$6,0)) &amp; "'!B1:B1000")) = TEXT(R14,"0")) *
            (ROW(INDIRECT("'" &amp; INDEX('Hulp (CAO''s)'!$C$3:$C$6,
                MATCH(TRUE,'Hulp (CAO''s)'!$D$3:$D$6,0)) &amp; "'!B1:B1000")) &gt; MATCH(
                R12,
                INDIRECT("'" &amp; INDEX('Hulp (CAO''s)'!$C$3:$C$6,
                    MATCH(TRUE,'Hulp (CAO''s)'!$D$3:$D$6,0)) &amp; "'!A:A"),
                0
            )) *
            IF(
                S12="",
                1,
                (ROW(INDIRECT("'" &amp; INDEX('Hulp (CAO''s)'!$C$3:$C$6,
                    MATCH(TRUE,'Hulp (CAO''s)'!$D$3:$D$6,0)) &amp; "'!B1:B1000")) &lt; MATCH(
                    S12,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TEXT(R14,"0")) *
                (ROW(INDIRECT("'" &amp; INDEX('Hulp (CAO''s)'!$C$3:$C$6,
                    MATCH(TRUE,'Hulp (CAO''s)'!$D$3:$D$6,0)) &amp; "'!B1:B1000")) &gt; MATCH(
                    R12,
                    INDIRECT("'" &amp; INDEX('Hulp (CAO''s)'!$C$3:$C$6,
                        MATCH(TRUE,'Hulp (CAO''s)'!$D$3:$D$6,0)) &amp; "'!A:A"),
                    0
                )) *
                IF(
                    S12="",
                    1,
                    (ROW(INDIRECT("'" &amp; INDEX('Hulp (CAO''s)'!$C$3:$C$6,
                        MATCH(TRUE,'Hulp (CAO''s)'!$D$3:$D$6,0)) &amp; "'!B1:B1000")) &lt; MATCH(
                        S12,
                        INDIRECT("'" &amp; INDEX('Hulp (CAO''s)'!$C$3:$C$6,
                            MATCH(TRUE,'Hulp (CAO''s)'!$D$3:$D$6,0)) &amp; "'!A:A"),
                        0
                    ))
                ),
                ROW(INDIRECT("'" &amp; INDEX('Hulp (CAO''s)'!$C$3:$C$6,
                    MATCH(TRUE,'Hulp (CAO''s)'!$D$3:$D$6,0)) &amp; "'!B1:B1000"))
            )
        ),0)
    )
))</f>
        <v/>
      </c>
      <c r="S15" s="86" t="str">
        <f t="array" aca="1" ref="S15" ca="1">IF($B14="Gebruik % van maximum trede",
IF(
    OR(S12="",S13=""),
    "",
    MAX(
    INDIRECT("'" &amp; INDEX('Hulp (CAO''s)'!$C$3:$C$6,
        MATCH(TRUE,'Hulp (CAO''s)'!$D$3:$D$6,0)) &amp; "'!" &amp;
        INDEX('Hulp (CAO''s)'!$H$3:$H$6,
            MATCH(TRUE,'Hulp (CAO''s)'!$D$3:$D$6,0))
        &amp;
        MATCH(S12, INDIRECT("'" &amp; INDEX('Hulp (CAO''s)'!$C$3:$C$6,
            MATCH(TRUE,'Hulp (CAO''s)'!$D$3:$D$6,0)) &amp; "'!A:A"),0)
        &amp; ":H" &amp;
        IF(T12&lt;&gt;"",
            MATCH(T12, INDIRECT("'" &amp; INDEX('Hulp (CAO''s)'!$C$3:$C$6,
                MATCH(TRUE,'Hulp (CAO''s)'!$D$3:$D$6,0)) &amp; "'!A:A"),0)-1,
            1000
        )
    )
) * S13
),
IF(
    IFERROR(MIN(
        IF(
            (TRIM(INDIRECT("'" &amp; INDEX('Hulp (CAO''s)'!$C$3:$C$6,
                MATCH(TRUE,'Hulp (CAO''s)'!$D$3:$D$6,0)) &amp; "'!B1:B1000")) = TEXT(S14,"0")) *
            (ROW(INDIRECT("'" &amp; INDEX('Hulp (CAO''s)'!$C$3:$C$6,
                MATCH(TRUE,'Hulp (CAO''s)'!$D$3:$D$6,0)) &amp; "'!B1:B1000")) &gt; MATCH(
                S12,
                INDIRECT("'" &amp; INDEX('Hulp (CAO''s)'!$C$3:$C$6,
                    MATCH(TRUE,'Hulp (CAO''s)'!$D$3:$D$6,0)) &amp; "'!A:A"),
                0
            )) *
            IF(
                T12="",
                1,
                (ROW(INDIRECT("'" &amp; INDEX('Hulp (CAO''s)'!$C$3:$C$6,
                    MATCH(TRUE,'Hulp (CAO''s)'!$D$3:$D$6,0)) &amp; "'!B1:B1000")) &lt; MATCH(
                    T12,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TEXT(S14,"0")) *
                (ROW(INDIRECT("'" &amp; INDEX('Hulp (CAO''s)'!$C$3:$C$6,
                    MATCH(TRUE,'Hulp (CAO''s)'!$D$3:$D$6,0)) &amp; "'!B1:B1000")) &gt; MATCH(
                    S12,
                    INDIRECT("'" &amp; INDEX('Hulp (CAO''s)'!$C$3:$C$6,
                        MATCH(TRUE,'Hulp (CAO''s)'!$D$3:$D$6,0)) &amp; "'!A:A"),
                    0
                )) *
                IF(
                    T12="",
                    1,
                    (ROW(INDIRECT("'" &amp; INDEX('Hulp (CAO''s)'!$C$3:$C$6,
                        MATCH(TRUE,'Hulp (CAO''s)'!$D$3:$D$6,0)) &amp; "'!B1:B1000")) &lt; MATCH(
                        T12,
                        INDIRECT("'" &amp; INDEX('Hulp (CAO''s)'!$C$3:$C$6,
                            MATCH(TRUE,'Hulp (CAO''s)'!$D$3:$D$6,0)) &amp; "'!A:A"),
                        0
                    ))
                ),
                ROW(INDIRECT("'" &amp; INDEX('Hulp (CAO''s)'!$C$3:$C$6,
                    MATCH(TRUE,'Hulp (CAO''s)'!$D$3:$D$6,0)) &amp; "'!B1:B1000"))
            )
        ),0)
    )
))</f>
        <v/>
      </c>
      <c r="T15" s="39" t="str">
        <f t="array" aca="1" ref="T15" ca="1">IF($B14="Gebruik % van maximum trede",
IF(
    OR(T12="",T13=""),
    "",
    MAX(
    INDIRECT("'" &amp; INDEX('Hulp (CAO''s)'!$C$3:$C$6,
        MATCH(TRUE,'Hulp (CAO''s)'!$D$3:$D$6,0)) &amp; "'!" &amp;
        INDEX('Hulp (CAO''s)'!$H$3:$H$6,
            MATCH(TRUE,'Hulp (CAO''s)'!$D$3:$D$6,0))
        &amp;
        MATCH(T12, INDIRECT("'" &amp; INDEX('Hulp (CAO''s)'!$C$3:$C$6,
            MATCH(TRUE,'Hulp (CAO''s)'!$D$3:$D$6,0)) &amp; "'!A:A"),0)
        &amp; ":H" &amp;
        IF(U12&lt;&gt;"",
            MATCH(U12, INDIRECT("'" &amp; INDEX('Hulp (CAO''s)'!$C$3:$C$6,
                MATCH(TRUE,'Hulp (CAO''s)'!$D$3:$D$6,0)) &amp; "'!A:A"),0)-1,
            1000
        )
    )
) * T13
),
IF(
    IFERROR(MIN(
        IF(
            (TRIM(INDIRECT("'" &amp; INDEX('Hulp (CAO''s)'!$C$3:$C$6,
                MATCH(TRUE,'Hulp (CAO''s)'!$D$3:$D$6,0)) &amp; "'!B1:B1000")) = TEXT(T14,"0")) *
            (ROW(INDIRECT("'" &amp; INDEX('Hulp (CAO''s)'!$C$3:$C$6,
                MATCH(TRUE,'Hulp (CAO''s)'!$D$3:$D$6,0)) &amp; "'!B1:B1000")) &gt; MATCH(
                T12,
                INDIRECT("'" &amp; INDEX('Hulp (CAO''s)'!$C$3:$C$6,
                    MATCH(TRUE,'Hulp (CAO''s)'!$D$3:$D$6,0)) &amp; "'!A:A"),
                0
            )) *
            IF(
                U12="",
                1,
                (ROW(INDIRECT("'" &amp; INDEX('Hulp (CAO''s)'!$C$3:$C$6,
                    MATCH(TRUE,'Hulp (CAO''s)'!$D$3:$D$6,0)) &amp; "'!B1:B1000")) &lt; MATCH(
                    U12,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TEXT(T14,"0")) *
                (ROW(INDIRECT("'" &amp; INDEX('Hulp (CAO''s)'!$C$3:$C$6,
                    MATCH(TRUE,'Hulp (CAO''s)'!$D$3:$D$6,0)) &amp; "'!B1:B1000")) &gt; MATCH(
                    T12,
                    INDIRECT("'" &amp; INDEX('Hulp (CAO''s)'!$C$3:$C$6,
                        MATCH(TRUE,'Hulp (CAO''s)'!$D$3:$D$6,0)) &amp; "'!A:A"),
                    0
                )) *
                IF(
                    U12="",
                    1,
                    (ROW(INDIRECT("'" &amp; INDEX('Hulp (CAO''s)'!$C$3:$C$6,
                        MATCH(TRUE,'Hulp (CAO''s)'!$D$3:$D$6,0)) &amp; "'!B1:B1000")) &lt; MATCH(
                        U12,
                        INDIRECT("'" &amp; INDEX('Hulp (CAO''s)'!$C$3:$C$6,
                            MATCH(TRUE,'Hulp (CAO''s)'!$D$3:$D$6,0)) &amp; "'!A:A"),
                        0
                    ))
                ),
                ROW(INDIRECT("'" &amp; INDEX('Hulp (CAO''s)'!$C$3:$C$6,
                    MATCH(TRUE,'Hulp (CAO''s)'!$D$3:$D$6,0)) &amp; "'!B1:B1000"))
            )
        ),0)
    )
))</f>
        <v/>
      </c>
      <c r="V15" s="38" t="str">
        <f t="array" aca="1" ref="V15" ca="1">IF(
   SUM(E15:T15)=0,
   "",
   (
      SUMPRODUCT(
         IF(E15:T15="",0,E15:T15),
         IF(E16:T16="",0,E16:T16) * SUM(E16:T16)
      )
   ) *
   IF(
      'Hulp (CAO''s)'!#REF!,
      IF(
         OR(
            INDEX(#REF!, ROW(#REF!) + INT((ROW()-ROW($V$8))/6)*8)="",
            ISNA(INDEX(#REF!, ROW(#REF!) + INT((ROW()-ROW($V$8))/6)*8))
         ),
         1878/12,
         INDEX(#REF!, ROW(#REF!) + INT((ROW()-ROW($V$8))/6)*8)/12
      ),
      1
   )
)</f>
        <v/>
      </c>
    </row>
    <row r="16" spans="1:24" ht="14.65" thickBot="1" x14ac:dyDescent="0.5">
      <c r="B16" s="48" t="s">
        <v>60</v>
      </c>
      <c r="D16" s="24" t="s">
        <v>59</v>
      </c>
      <c r="E16" s="8">
        <v>0.05</v>
      </c>
      <c r="F16" s="8">
        <v>0.1</v>
      </c>
      <c r="G16" s="8">
        <v>0.1</v>
      </c>
      <c r="H16" s="8">
        <v>0.15</v>
      </c>
      <c r="I16" s="8">
        <v>0.2</v>
      </c>
      <c r="J16" s="8">
        <v>0.15</v>
      </c>
      <c r="K16" s="8">
        <v>0.1</v>
      </c>
      <c r="L16" s="8">
        <v>0.05</v>
      </c>
      <c r="M16" s="8">
        <v>0.05</v>
      </c>
      <c r="N16" s="8">
        <v>0.05</v>
      </c>
      <c r="O16" s="8">
        <v>0</v>
      </c>
      <c r="P16" s="8"/>
      <c r="Q16" s="8"/>
      <c r="R16" s="8"/>
      <c r="S16" s="8"/>
      <c r="T16" s="9"/>
      <c r="U16" s="7"/>
      <c r="V16" s="37" t="str">
        <f ca="1">IF(B12="","",IF(INDIRECT("'Hulp (control forms)'!C" &amp; (13 + INT((ROW()-ROW($B$5))/6))), V14, V15))</f>
        <v/>
      </c>
      <c r="W16" s="7"/>
    </row>
    <row r="17" spans="2:24" x14ac:dyDescent="0.5">
      <c r="S17" s="7" t="str">
        <f>IF($B16="Aandeel in %",
   "Totaal: "&amp;SUM(E16:T16)*100&amp;"%",
   "Totaal: "&amp;SUM(E16:T16)&amp;" uur"
)</f>
        <v>Totaal: 100%</v>
      </c>
      <c r="T17" s="7"/>
    </row>
    <row r="18" spans="2:24" ht="16.149999999999999" thickBot="1" x14ac:dyDescent="0.55000000000000004">
      <c r="B18" s="44" t="str">
        <f ca="1">IF(B19="","",IF(
   OR(
      INDIRECT("'1a. Input organisatieniveau'!N" &amp; (14 + INT((ROW()-4)/7)))="",
      INDIRECT("'1a. Input organisatieniveau'!N" &amp; (14 + INT((ROW()-4)/7)))=0
   ),
   "",
   INDIRECT("'1a. Input organisatieniveau'!N" &amp; (14 + INT((ROW()-4)/7)))
))</f>
        <v/>
      </c>
      <c r="E18" s="61" t="str">
        <f t="shared" ref="E18:T18" ca="1" si="2">IF($B21="Gebruik % van maximum trede", IF(AND(AND(E19&lt;&gt;"",E20&lt;&gt;""),E22=""),"!",""), IF(AND(AND(E19&lt;&gt;"",E21&lt;&gt;""),E22=""),"!",""))</f>
        <v/>
      </c>
      <c r="F18" s="61" t="str">
        <f t="shared" ca="1" si="2"/>
        <v/>
      </c>
      <c r="G18" s="61" t="str">
        <f t="shared" ca="1" si="2"/>
        <v/>
      </c>
      <c r="H18" s="61" t="str">
        <f t="shared" ca="1" si="2"/>
        <v/>
      </c>
      <c r="I18" s="61" t="str">
        <f t="shared" ca="1" si="2"/>
        <v/>
      </c>
      <c r="J18" s="61" t="str">
        <f t="shared" ca="1" si="2"/>
        <v/>
      </c>
      <c r="K18" s="61" t="str">
        <f t="shared" ca="1" si="2"/>
        <v/>
      </c>
      <c r="L18" s="61" t="str">
        <f t="shared" ca="1" si="2"/>
        <v/>
      </c>
      <c r="M18" s="61" t="str">
        <f t="shared" ca="1" si="2"/>
        <v/>
      </c>
      <c r="N18" s="61" t="str">
        <f t="shared" ca="1" si="2"/>
        <v/>
      </c>
      <c r="O18" s="61" t="str">
        <f t="shared" ca="1" si="2"/>
        <v/>
      </c>
      <c r="P18" s="61" t="str">
        <f t="shared" ca="1" si="2"/>
        <v/>
      </c>
      <c r="Q18" s="61" t="str">
        <f t="shared" ca="1" si="2"/>
        <v/>
      </c>
      <c r="R18" s="61" t="str">
        <f t="shared" ca="1" si="2"/>
        <v/>
      </c>
      <c r="S18" s="61" t="str">
        <f t="shared" ca="1" si="2"/>
        <v/>
      </c>
      <c r="T18" s="61" t="str">
        <f t="shared" ca="1" si="2"/>
        <v/>
      </c>
    </row>
    <row r="19" spans="2:24" ht="16.149999999999999" thickBot="1" x14ac:dyDescent="0.55000000000000004">
      <c r="B19" s="45" t="str">
        <f ca="1">IF(
   OR(
      INDIRECT("'1a. Input organisatieniveau'!M" &amp; (14 + INT((ROW()-4)/7)))="",
      INDIRECT("'1a. Input organisatieniveau'!M" &amp; (14 + INT((ROW()-4)/7)))=0
   ),
   "",
   INDIRECT("'1a. Input organisatieniveau'!M" &amp; (14 + INT((ROW()-4)/7)))
)</f>
        <v/>
      </c>
      <c r="D19" s="22" t="s">
        <v>28</v>
      </c>
      <c r="E19" s="10" t="str">
        <f t="array" aca="1" ref="E19" ca="1">IF($B19="", "", INDEX('Hulp (CAO''s)'!J$3:J$6, MATCH(TRUE, 'Hulp (CAO''s)'!$D$3:$D$6, 0)))</f>
        <v/>
      </c>
      <c r="F19" s="10" t="str">
        <f t="array" aca="1" ref="F19" ca="1">IF($B19="", "", INDEX('Hulp (CAO''s)'!K$3:K$6, MATCH(TRUE, 'Hulp (CAO''s)'!$D$3:$D$6, 0)))</f>
        <v/>
      </c>
      <c r="G19" s="10" t="str">
        <f t="array" aca="1" ref="G19" ca="1">IF($B19="", "", INDEX('Hulp (CAO''s)'!L$3:L$6, MATCH(TRUE, 'Hulp (CAO''s)'!$D$3:$D$6, 0)))</f>
        <v/>
      </c>
      <c r="H19" s="10" t="str">
        <f t="array" aca="1" ref="H19" ca="1">IF($B19="", "", INDEX('Hulp (CAO''s)'!M$3:M$6, MATCH(TRUE, 'Hulp (CAO''s)'!$D$3:$D$6, 0)))</f>
        <v/>
      </c>
      <c r="I19" s="10" t="str">
        <f t="array" aca="1" ref="I19" ca="1">IF($B19="", "", INDEX('Hulp (CAO''s)'!N$3:N$6, MATCH(TRUE, 'Hulp (CAO''s)'!$D$3:$D$6, 0)))</f>
        <v/>
      </c>
      <c r="J19" s="10" t="str">
        <f t="array" aca="1" ref="J19" ca="1">IF($B19="", "", INDEX('Hulp (CAO''s)'!O$3:O$6, MATCH(TRUE, 'Hulp (CAO''s)'!$D$3:$D$6, 0)))</f>
        <v/>
      </c>
      <c r="K19" s="10" t="str">
        <f t="array" aca="1" ref="K19" ca="1">IF($B19="", "", INDEX('Hulp (CAO''s)'!P$3:P$6, MATCH(TRUE, 'Hulp (CAO''s)'!$D$3:$D$6, 0)))</f>
        <v/>
      </c>
      <c r="L19" s="10" t="str">
        <f t="array" aca="1" ref="L19" ca="1">IF($B19="", "", INDEX('Hulp (CAO''s)'!Q$3:Q$6, MATCH(TRUE, 'Hulp (CAO''s)'!$D$3:$D$6, 0)))</f>
        <v/>
      </c>
      <c r="M19" s="10" t="str">
        <f t="array" aca="1" ref="M19" ca="1">IF($B19="", "", INDEX('Hulp (CAO''s)'!R$3:R$6, MATCH(TRUE, 'Hulp (CAO''s)'!$D$3:$D$6, 0)))</f>
        <v/>
      </c>
      <c r="N19" s="10" t="str">
        <f t="array" aca="1" ref="N19" ca="1">IF($B19="", "", INDEX('Hulp (CAO''s)'!S$3:S$6, MATCH(TRUE, 'Hulp (CAO''s)'!$D$3:$D$6, 0)))</f>
        <v/>
      </c>
      <c r="O19" s="10" t="str">
        <f t="array" aca="1" ref="O19" ca="1">IF($B19="", "", INDEX('Hulp (CAO''s)'!T$3:T$6, MATCH(TRUE, 'Hulp (CAO''s)'!$D$3:$D$6, 0)))</f>
        <v/>
      </c>
      <c r="P19" s="10" t="str">
        <f t="array" aca="1" ref="P19" ca="1">IF($B19="", "", INDEX('Hulp (CAO''s)'!U$3:U$6, MATCH(TRUE, 'Hulp (CAO''s)'!$D$3:$D$6, 0)))</f>
        <v/>
      </c>
      <c r="Q19" s="10" t="str">
        <f t="array" aca="1" ref="Q19" ca="1">IF($B19="", "", INDEX('Hulp (CAO''s)'!V$3:V$6, MATCH(TRUE, 'Hulp (CAO''s)'!$D$3:$D$6, 0)))</f>
        <v/>
      </c>
      <c r="R19" s="10" t="str">
        <f t="array" aca="1" ref="R19" ca="1">IF($B19="", "", INDEX('Hulp (CAO''s)'!W$3:W$6, MATCH(TRUE, 'Hulp (CAO''s)'!$D$3:$D$6, 0)))</f>
        <v/>
      </c>
      <c r="S19" s="10" t="str">
        <f t="array" aca="1" ref="S19" ca="1">IF($B19="", "", INDEX('Hulp (CAO''s)'!X$3:X$6, MATCH(TRUE, 'Hulp (CAO''s)'!$D$3:$D$6, 0)))</f>
        <v/>
      </c>
      <c r="T19" s="11" t="str">
        <f t="array" aca="1" ref="T19" ca="1">IF($B19="", "", INDEX('Hulp (CAO''s)'!Y$3:Y$6, MATCH(TRUE, 'Hulp (CAO''s)'!$D$3:$D$6, 0)))</f>
        <v/>
      </c>
      <c r="V19" s="25"/>
      <c r="W19" s="5"/>
    </row>
    <row r="20" spans="2:24" ht="16.149999999999999" thickBot="1" x14ac:dyDescent="0.55000000000000004">
      <c r="D20" s="23" t="s">
        <v>770</v>
      </c>
      <c r="E20" s="90">
        <v>0.96</v>
      </c>
      <c r="F20" s="90">
        <v>0.9</v>
      </c>
      <c r="G20" s="90">
        <v>0.9</v>
      </c>
      <c r="H20" s="90">
        <v>0.7</v>
      </c>
      <c r="I20" s="90">
        <v>0.8</v>
      </c>
      <c r="J20" s="90">
        <v>0.9</v>
      </c>
      <c r="K20" s="90">
        <v>0.9</v>
      </c>
      <c r="L20" s="90">
        <v>0.9</v>
      </c>
      <c r="M20" s="90">
        <v>0.9</v>
      </c>
      <c r="N20" s="90">
        <v>0.8</v>
      </c>
      <c r="O20" s="90">
        <v>0.95</v>
      </c>
      <c r="P20" s="90">
        <v>0.93</v>
      </c>
      <c r="Q20" s="90">
        <v>0.93</v>
      </c>
      <c r="R20" s="90">
        <v>0.95</v>
      </c>
      <c r="S20" s="90">
        <v>0.92</v>
      </c>
      <c r="T20" s="91">
        <v>0.95</v>
      </c>
      <c r="V20" s="25" t="s">
        <v>32</v>
      </c>
    </row>
    <row r="21" spans="2:24" ht="14.25" x14ac:dyDescent="0.45">
      <c r="B21" s="48" t="s">
        <v>771</v>
      </c>
      <c r="D21" s="23" t="s">
        <v>29</v>
      </c>
      <c r="E21" s="94">
        <v>9</v>
      </c>
      <c r="F21" s="94">
        <v>10</v>
      </c>
      <c r="G21" s="94">
        <v>10</v>
      </c>
      <c r="H21" s="94">
        <v>9</v>
      </c>
      <c r="I21" s="94">
        <v>10</v>
      </c>
      <c r="J21" s="94">
        <v>11</v>
      </c>
      <c r="K21" s="94">
        <v>10</v>
      </c>
      <c r="L21" s="94">
        <v>10</v>
      </c>
      <c r="M21" s="94">
        <v>9</v>
      </c>
      <c r="N21" s="94">
        <v>10</v>
      </c>
      <c r="O21" s="94">
        <v>11</v>
      </c>
      <c r="P21" s="94">
        <v>12</v>
      </c>
      <c r="Q21" s="94">
        <v>13</v>
      </c>
      <c r="R21" s="94">
        <v>12</v>
      </c>
      <c r="S21" s="94">
        <v>10</v>
      </c>
      <c r="T21" s="33">
        <v>5</v>
      </c>
      <c r="V21" s="52">
        <v>4000</v>
      </c>
      <c r="X21" s="60" t="s">
        <v>747</v>
      </c>
    </row>
    <row r="22" spans="2:24" ht="14.65" thickBot="1" x14ac:dyDescent="0.5">
      <c r="B22"/>
      <c r="D22" s="40" t="str">
        <f>IFERROR(
   INDEX('Hulp (CAO''s)'!$I$3:$I$6, MATCH(TRUE, 'Hulp (CAO''s)'!$D$3:$D$6, 0)),
"")</f>
        <v>Bruto maandsalaris</v>
      </c>
      <c r="E22" s="86" t="str">
        <f t="array" aca="1" ref="E22" ca="1">IF($B21="Gebruik % van maximum trede",
IF(
    OR(E19="",E20=""),
    "",
    MAX(
    INDIRECT("'" &amp; INDEX('Hulp (CAO''s)'!$C$3:$C$6,
        MATCH(TRUE,'Hulp (CAO''s)'!$D$3:$D$6,0)) &amp; "'!" &amp;
        INDEX('Hulp (CAO''s)'!$H$3:$H$6,
            MATCH(TRUE,'Hulp (CAO''s)'!$D$3:$D$6,0))
        &amp;
        MATCH(E19, INDIRECT("'" &amp; INDEX('Hulp (CAO''s)'!$C$3:$C$6,
            MATCH(TRUE,'Hulp (CAO''s)'!$D$3:$D$6,0)) &amp; "'!A:A"),0)
        &amp; ":H" &amp;
        IF(F19&lt;&gt;"",
            MATCH(F19, INDIRECT("'" &amp; INDEX('Hulp (CAO''s)'!$C$3:$C$6,
                MATCH(TRUE,'Hulp (CAO''s)'!$D$3:$D$6,0)) &amp; "'!A:A"),0)-1,
            1000
        )
    )
) * E20
),
IF(
    IFERROR(MIN(
        IF(
            (TRIM(INDIRECT("'" &amp; INDEX('Hulp (CAO''s)'!$C$3:$C$6,
                MATCH(TRUE,'Hulp (CAO''s)'!$D$3:$D$6,0)) &amp; "'!B1:B1000")) = TEXT(E21,"0")) *
            (ROW(INDIRECT("'" &amp; INDEX('Hulp (CAO''s)'!$C$3:$C$6,
                MATCH(TRUE,'Hulp (CAO''s)'!$D$3:$D$6,0)) &amp; "'!B1:B1000")) &gt; MATCH(
                E19,
                INDIRECT("'" &amp; INDEX('Hulp (CAO''s)'!$C$3:$C$6,
                    MATCH(TRUE,'Hulp (CAO''s)'!$D$3:$D$6,0)) &amp; "'!A:A"),
                0
            )) *
            IF(
                F19="",
                1,
                (ROW(INDIRECT("'" &amp; INDEX('Hulp (CAO''s)'!$C$3:$C$6,
                    MATCH(TRUE,'Hulp (CAO''s)'!$D$3:$D$6,0)) &amp; "'!B1:B1000")) &lt; MATCH(
                    F19,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TEXT(E21,"0")) *
                (ROW(INDIRECT("'" &amp; INDEX('Hulp (CAO''s)'!$C$3:$C$6,
                    MATCH(TRUE,'Hulp (CAO''s)'!$D$3:$D$6,0)) &amp; "'!B1:B1000")) &gt; MATCH(
                    E19,
                    INDIRECT("'" &amp; INDEX('Hulp (CAO''s)'!$C$3:$C$6,
                        MATCH(TRUE,'Hulp (CAO''s)'!$D$3:$D$6,0)) &amp; "'!A:A"),
                    0
                )) *
                IF(
                    F19="",
                    1,
                    (ROW(INDIRECT("'" &amp; INDEX('Hulp (CAO''s)'!$C$3:$C$6,
                        MATCH(TRUE,'Hulp (CAO''s)'!$D$3:$D$6,0)) &amp; "'!B1:B1000")) &lt; MATCH(
                        F19,
                        INDIRECT("'" &amp; INDEX('Hulp (CAO''s)'!$C$3:$C$6,
                            MATCH(TRUE,'Hulp (CAO''s)'!$D$3:$D$6,0)) &amp; "'!A:A"),
                        0
                    ))
                ),
                ROW(INDIRECT("'" &amp; INDEX('Hulp (CAO''s)'!$C$3:$C$6,
                    MATCH(TRUE,'Hulp (CAO''s)'!$D$3:$D$6,0)) &amp; "'!B1:B1000"))
            )
        ),0)
    )
))</f>
        <v/>
      </c>
      <c r="F22" s="86" t="str">
        <f t="array" aca="1" ref="F22" ca="1">IF($B21="Gebruik % van maximum trede",
IF(
    OR(F19="",F20=""),
    "",
    MAX(
    INDIRECT("'" &amp; INDEX('Hulp (CAO''s)'!$C$3:$C$6,
        MATCH(TRUE,'Hulp (CAO''s)'!$D$3:$D$6,0)) &amp; "'!" &amp;
        INDEX('Hulp (CAO''s)'!$H$3:$H$6,
            MATCH(TRUE,'Hulp (CAO''s)'!$D$3:$D$6,0))
        &amp;
        MATCH(F19, INDIRECT("'" &amp; INDEX('Hulp (CAO''s)'!$C$3:$C$6,
            MATCH(TRUE,'Hulp (CAO''s)'!$D$3:$D$6,0)) &amp; "'!A:A"),0)
        &amp; ":H" &amp;
        IF(G19&lt;&gt;"",
            MATCH(G19, INDIRECT("'" &amp; INDEX('Hulp (CAO''s)'!$C$3:$C$6,
                MATCH(TRUE,'Hulp (CAO''s)'!$D$3:$D$6,0)) &amp; "'!A:A"),0)-1,
            1000
        )
    )
) * F20
),
IF(
    IFERROR(MIN(
        IF(
            (TRIM(INDIRECT("'" &amp; INDEX('Hulp (CAO''s)'!$C$3:$C$6,
                MATCH(TRUE,'Hulp (CAO''s)'!$D$3:$D$6,0)) &amp; "'!B1:B1000")) = TEXT(F21,"0")) *
            (ROW(INDIRECT("'" &amp; INDEX('Hulp (CAO''s)'!$C$3:$C$6,
                MATCH(TRUE,'Hulp (CAO''s)'!$D$3:$D$6,0)) &amp; "'!B1:B1000")) &gt; MATCH(
                F19,
                INDIRECT("'" &amp; INDEX('Hulp (CAO''s)'!$C$3:$C$6,
                    MATCH(TRUE,'Hulp (CAO''s)'!$D$3:$D$6,0)) &amp; "'!A:A"),
                0
            )) *
            IF(
                G19="",
                1,
                (ROW(INDIRECT("'" &amp; INDEX('Hulp (CAO''s)'!$C$3:$C$6,
                    MATCH(TRUE,'Hulp (CAO''s)'!$D$3:$D$6,0)) &amp; "'!B1:B1000")) &lt; MATCH(
                    G19,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TEXT(F21,"0")) *
                (ROW(INDIRECT("'" &amp; INDEX('Hulp (CAO''s)'!$C$3:$C$6,
                    MATCH(TRUE,'Hulp (CAO''s)'!$D$3:$D$6,0)) &amp; "'!B1:B1000")) &gt; MATCH(
                    F19,
                    INDIRECT("'" &amp; INDEX('Hulp (CAO''s)'!$C$3:$C$6,
                        MATCH(TRUE,'Hulp (CAO''s)'!$D$3:$D$6,0)) &amp; "'!A:A"),
                    0
                )) *
                IF(
                    G19="",
                    1,
                    (ROW(INDIRECT("'" &amp; INDEX('Hulp (CAO''s)'!$C$3:$C$6,
                        MATCH(TRUE,'Hulp (CAO''s)'!$D$3:$D$6,0)) &amp; "'!B1:B1000")) &lt; MATCH(
                        G19,
                        INDIRECT("'" &amp; INDEX('Hulp (CAO''s)'!$C$3:$C$6,
                            MATCH(TRUE,'Hulp (CAO''s)'!$D$3:$D$6,0)) &amp; "'!A:A"),
                        0
                    ))
                ),
                ROW(INDIRECT("'" &amp; INDEX('Hulp (CAO''s)'!$C$3:$C$6,
                    MATCH(TRUE,'Hulp (CAO''s)'!$D$3:$D$6,0)) &amp; "'!B1:B1000"))
            )
        ),0)
    )
))</f>
        <v/>
      </c>
      <c r="G22" s="86" t="str">
        <f t="array" aca="1" ref="G22" ca="1">IF($B21="Gebruik % van maximum trede",
IF(
    OR(G19="",G20=""),
    "",
    MAX(
    INDIRECT("'" &amp; INDEX('Hulp (CAO''s)'!$C$3:$C$6,
        MATCH(TRUE,'Hulp (CAO''s)'!$D$3:$D$6,0)) &amp; "'!" &amp;
        INDEX('Hulp (CAO''s)'!$H$3:$H$6,
            MATCH(TRUE,'Hulp (CAO''s)'!$D$3:$D$6,0))
        &amp;
        MATCH(G19, INDIRECT("'" &amp; INDEX('Hulp (CAO''s)'!$C$3:$C$6,
            MATCH(TRUE,'Hulp (CAO''s)'!$D$3:$D$6,0)) &amp; "'!A:A"),0)
        &amp; ":H" &amp;
        IF(H19&lt;&gt;"",
            MATCH(H19, INDIRECT("'" &amp; INDEX('Hulp (CAO''s)'!$C$3:$C$6,
                MATCH(TRUE,'Hulp (CAO''s)'!$D$3:$D$6,0)) &amp; "'!A:A"),0)-1,
            1000
        )
    )
) * G20
),
IF(
    IFERROR(MIN(
        IF(
            (TRIM(INDIRECT("'" &amp; INDEX('Hulp (CAO''s)'!$C$3:$C$6,
                MATCH(TRUE,'Hulp (CAO''s)'!$D$3:$D$6,0)) &amp; "'!B1:B1000")) = TEXT(G21,"0")) *
            (ROW(INDIRECT("'" &amp; INDEX('Hulp (CAO''s)'!$C$3:$C$6,
                MATCH(TRUE,'Hulp (CAO''s)'!$D$3:$D$6,0)) &amp; "'!B1:B1000")) &gt; MATCH(
                G19,
                INDIRECT("'" &amp; INDEX('Hulp (CAO''s)'!$C$3:$C$6,
                    MATCH(TRUE,'Hulp (CAO''s)'!$D$3:$D$6,0)) &amp; "'!A:A"),
                0
            )) *
            IF(
                H19="",
                1,
                (ROW(INDIRECT("'" &amp; INDEX('Hulp (CAO''s)'!$C$3:$C$6,
                    MATCH(TRUE,'Hulp (CAO''s)'!$D$3:$D$6,0)) &amp; "'!B1:B1000")) &lt; MATCH(
                    H19,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TEXT(G21,"0")) *
                (ROW(INDIRECT("'" &amp; INDEX('Hulp (CAO''s)'!$C$3:$C$6,
                    MATCH(TRUE,'Hulp (CAO''s)'!$D$3:$D$6,0)) &amp; "'!B1:B1000")) &gt; MATCH(
                    G19,
                    INDIRECT("'" &amp; INDEX('Hulp (CAO''s)'!$C$3:$C$6,
                        MATCH(TRUE,'Hulp (CAO''s)'!$D$3:$D$6,0)) &amp; "'!A:A"),
                    0
                )) *
                IF(
                    H19="",
                    1,
                    (ROW(INDIRECT("'" &amp; INDEX('Hulp (CAO''s)'!$C$3:$C$6,
                        MATCH(TRUE,'Hulp (CAO''s)'!$D$3:$D$6,0)) &amp; "'!B1:B1000")) &lt; MATCH(
                        H19,
                        INDIRECT("'" &amp; INDEX('Hulp (CAO''s)'!$C$3:$C$6,
                            MATCH(TRUE,'Hulp (CAO''s)'!$D$3:$D$6,0)) &amp; "'!A:A"),
                        0
                    ))
                ),
                ROW(INDIRECT("'" &amp; INDEX('Hulp (CAO''s)'!$C$3:$C$6,
                    MATCH(TRUE,'Hulp (CAO''s)'!$D$3:$D$6,0)) &amp; "'!B1:B1000"))
            )
        ),0)
    )
))</f>
        <v/>
      </c>
      <c r="H22" s="86" t="str">
        <f t="array" aca="1" ref="H22" ca="1">IF($B21="Gebruik % van maximum trede",
IF(
    OR(H19="",H20=""),
    "",
    MAX(
    INDIRECT("'" &amp; INDEX('Hulp (CAO''s)'!$C$3:$C$6,
        MATCH(TRUE,'Hulp (CAO''s)'!$D$3:$D$6,0)) &amp; "'!" &amp;
        INDEX('Hulp (CAO''s)'!$H$3:$H$6,
            MATCH(TRUE,'Hulp (CAO''s)'!$D$3:$D$6,0))
        &amp;
        MATCH(H19, INDIRECT("'" &amp; INDEX('Hulp (CAO''s)'!$C$3:$C$6,
            MATCH(TRUE,'Hulp (CAO''s)'!$D$3:$D$6,0)) &amp; "'!A:A"),0)
        &amp; ":H" &amp;
        IF(I19&lt;&gt;"",
            MATCH(I19, INDIRECT("'" &amp; INDEX('Hulp (CAO''s)'!$C$3:$C$6,
                MATCH(TRUE,'Hulp (CAO''s)'!$D$3:$D$6,0)) &amp; "'!A:A"),0)-1,
            1000
        )
    )
) * H20
),
IF(
    IFERROR(MIN(
        IF(
            (TRIM(INDIRECT("'" &amp; INDEX('Hulp (CAO''s)'!$C$3:$C$6,
                MATCH(TRUE,'Hulp (CAO''s)'!$D$3:$D$6,0)) &amp; "'!B1:B1000")) = TEXT(H21,"0")) *
            (ROW(INDIRECT("'" &amp; INDEX('Hulp (CAO''s)'!$C$3:$C$6,
                MATCH(TRUE,'Hulp (CAO''s)'!$D$3:$D$6,0)) &amp; "'!B1:B1000")) &gt; MATCH(
                H19,
                INDIRECT("'" &amp; INDEX('Hulp (CAO''s)'!$C$3:$C$6,
                    MATCH(TRUE,'Hulp (CAO''s)'!$D$3:$D$6,0)) &amp; "'!A:A"),
                0
            )) *
            IF(
                I19="",
                1,
                (ROW(INDIRECT("'" &amp; INDEX('Hulp (CAO''s)'!$C$3:$C$6,
                    MATCH(TRUE,'Hulp (CAO''s)'!$D$3:$D$6,0)) &amp; "'!B1:B1000")) &lt; MATCH(
                    I19,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TEXT(H21,"0")) *
                (ROW(INDIRECT("'" &amp; INDEX('Hulp (CAO''s)'!$C$3:$C$6,
                    MATCH(TRUE,'Hulp (CAO''s)'!$D$3:$D$6,0)) &amp; "'!B1:B1000")) &gt; MATCH(
                    H19,
                    INDIRECT("'" &amp; INDEX('Hulp (CAO''s)'!$C$3:$C$6,
                        MATCH(TRUE,'Hulp (CAO''s)'!$D$3:$D$6,0)) &amp; "'!A:A"),
                    0
                )) *
                IF(
                    I19="",
                    1,
                    (ROW(INDIRECT("'" &amp; INDEX('Hulp (CAO''s)'!$C$3:$C$6,
                        MATCH(TRUE,'Hulp (CAO''s)'!$D$3:$D$6,0)) &amp; "'!B1:B1000")) &lt; MATCH(
                        I19,
                        INDIRECT("'" &amp; INDEX('Hulp (CAO''s)'!$C$3:$C$6,
                            MATCH(TRUE,'Hulp (CAO''s)'!$D$3:$D$6,0)) &amp; "'!A:A"),
                        0
                    ))
                ),
                ROW(INDIRECT("'" &amp; INDEX('Hulp (CAO''s)'!$C$3:$C$6,
                    MATCH(TRUE,'Hulp (CAO''s)'!$D$3:$D$6,0)) &amp; "'!B1:B1000"))
            )
        ),0)
    )
))</f>
        <v/>
      </c>
      <c r="I22" s="86" t="str">
        <f t="array" aca="1" ref="I22" ca="1">IF($B21="Gebruik % van maximum trede",
IF(
    OR(I19="",I20=""),
    "",
    MAX(
    INDIRECT("'" &amp; INDEX('Hulp (CAO''s)'!$C$3:$C$6,
        MATCH(TRUE,'Hulp (CAO''s)'!$D$3:$D$6,0)) &amp; "'!" &amp;
        INDEX('Hulp (CAO''s)'!$H$3:$H$6,
            MATCH(TRUE,'Hulp (CAO''s)'!$D$3:$D$6,0))
        &amp;
        MATCH(I19, INDIRECT("'" &amp; INDEX('Hulp (CAO''s)'!$C$3:$C$6,
            MATCH(TRUE,'Hulp (CAO''s)'!$D$3:$D$6,0)) &amp; "'!A:A"),0)
        &amp; ":H" &amp;
        IF(J19&lt;&gt;"",
            MATCH(J19, INDIRECT("'" &amp; INDEX('Hulp (CAO''s)'!$C$3:$C$6,
                MATCH(TRUE,'Hulp (CAO''s)'!$D$3:$D$6,0)) &amp; "'!A:A"),0)-1,
            1000
        )
    )
) * I20
),
IF(
    IFERROR(MIN(
        IF(
            (TRIM(INDIRECT("'" &amp; INDEX('Hulp (CAO''s)'!$C$3:$C$6,
                MATCH(TRUE,'Hulp (CAO''s)'!$D$3:$D$6,0)) &amp; "'!B1:B1000")) = TEXT(I21,"0")) *
            (ROW(INDIRECT("'" &amp; INDEX('Hulp (CAO''s)'!$C$3:$C$6,
                MATCH(TRUE,'Hulp (CAO''s)'!$D$3:$D$6,0)) &amp; "'!B1:B1000")) &gt; MATCH(
                I19,
                INDIRECT("'" &amp; INDEX('Hulp (CAO''s)'!$C$3:$C$6,
                    MATCH(TRUE,'Hulp (CAO''s)'!$D$3:$D$6,0)) &amp; "'!A:A"),
                0
            )) *
            IF(
                J19="",
                1,
                (ROW(INDIRECT("'" &amp; INDEX('Hulp (CAO''s)'!$C$3:$C$6,
                    MATCH(TRUE,'Hulp (CAO''s)'!$D$3:$D$6,0)) &amp; "'!B1:B1000")) &lt; MATCH(
                    J19,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TEXT(I21,"0")) *
                (ROW(INDIRECT("'" &amp; INDEX('Hulp (CAO''s)'!$C$3:$C$6,
                    MATCH(TRUE,'Hulp (CAO''s)'!$D$3:$D$6,0)) &amp; "'!B1:B1000")) &gt; MATCH(
                    I19,
                    INDIRECT("'" &amp; INDEX('Hulp (CAO''s)'!$C$3:$C$6,
                        MATCH(TRUE,'Hulp (CAO''s)'!$D$3:$D$6,0)) &amp; "'!A:A"),
                    0
                )) *
                IF(
                    J19="",
                    1,
                    (ROW(INDIRECT("'" &amp; INDEX('Hulp (CAO''s)'!$C$3:$C$6,
                        MATCH(TRUE,'Hulp (CAO''s)'!$D$3:$D$6,0)) &amp; "'!B1:B1000")) &lt; MATCH(
                        J19,
                        INDIRECT("'" &amp; INDEX('Hulp (CAO''s)'!$C$3:$C$6,
                            MATCH(TRUE,'Hulp (CAO''s)'!$D$3:$D$6,0)) &amp; "'!A:A"),
                        0
                    ))
                ),
                ROW(INDIRECT("'" &amp; INDEX('Hulp (CAO''s)'!$C$3:$C$6,
                    MATCH(TRUE,'Hulp (CAO''s)'!$D$3:$D$6,0)) &amp; "'!B1:B1000"))
            )
        ),0)
    )
))</f>
        <v/>
      </c>
      <c r="J22" s="86" t="str">
        <f t="array" aca="1" ref="J22" ca="1">IF($B21="Gebruik % van maximum trede",
IF(
    OR(J19="",J20=""),
    "",
    MAX(
    INDIRECT("'" &amp; INDEX('Hulp (CAO''s)'!$C$3:$C$6,
        MATCH(TRUE,'Hulp (CAO''s)'!$D$3:$D$6,0)) &amp; "'!" &amp;
        INDEX('Hulp (CAO''s)'!$H$3:$H$6,
            MATCH(TRUE,'Hulp (CAO''s)'!$D$3:$D$6,0))
        &amp;
        MATCH(J19, INDIRECT("'" &amp; INDEX('Hulp (CAO''s)'!$C$3:$C$6,
            MATCH(TRUE,'Hulp (CAO''s)'!$D$3:$D$6,0)) &amp; "'!A:A"),0)
        &amp; ":H" &amp;
        IF(K19&lt;&gt;"",
            MATCH(K19, INDIRECT("'" &amp; INDEX('Hulp (CAO''s)'!$C$3:$C$6,
                MATCH(TRUE,'Hulp (CAO''s)'!$D$3:$D$6,0)) &amp; "'!A:A"),0)-1,
            1000
        )
    )
) * J20
),
IF(
    IFERROR(MIN(
        IF(
            (TRIM(INDIRECT("'" &amp; INDEX('Hulp (CAO''s)'!$C$3:$C$6,
                MATCH(TRUE,'Hulp (CAO''s)'!$D$3:$D$6,0)) &amp; "'!B1:B1000")) = TEXT(J21,"0")) *
            (ROW(INDIRECT("'" &amp; INDEX('Hulp (CAO''s)'!$C$3:$C$6,
                MATCH(TRUE,'Hulp (CAO''s)'!$D$3:$D$6,0)) &amp; "'!B1:B1000")) &gt; MATCH(
                J19,
                INDIRECT("'" &amp; INDEX('Hulp (CAO''s)'!$C$3:$C$6,
                    MATCH(TRUE,'Hulp (CAO''s)'!$D$3:$D$6,0)) &amp; "'!A:A"),
                0
            )) *
            IF(
                K19="",
                1,
                (ROW(INDIRECT("'" &amp; INDEX('Hulp (CAO''s)'!$C$3:$C$6,
                    MATCH(TRUE,'Hulp (CAO''s)'!$D$3:$D$6,0)) &amp; "'!B1:B1000")) &lt; MATCH(
                    K19,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TEXT(J21,"0")) *
                (ROW(INDIRECT("'" &amp; INDEX('Hulp (CAO''s)'!$C$3:$C$6,
                    MATCH(TRUE,'Hulp (CAO''s)'!$D$3:$D$6,0)) &amp; "'!B1:B1000")) &gt; MATCH(
                    J19,
                    INDIRECT("'" &amp; INDEX('Hulp (CAO''s)'!$C$3:$C$6,
                        MATCH(TRUE,'Hulp (CAO''s)'!$D$3:$D$6,0)) &amp; "'!A:A"),
                    0
                )) *
                IF(
                    K19="",
                    1,
                    (ROW(INDIRECT("'" &amp; INDEX('Hulp (CAO''s)'!$C$3:$C$6,
                        MATCH(TRUE,'Hulp (CAO''s)'!$D$3:$D$6,0)) &amp; "'!B1:B1000")) &lt; MATCH(
                        K19,
                        INDIRECT("'" &amp; INDEX('Hulp (CAO''s)'!$C$3:$C$6,
                            MATCH(TRUE,'Hulp (CAO''s)'!$D$3:$D$6,0)) &amp; "'!A:A"),
                        0
                    ))
                ),
                ROW(INDIRECT("'" &amp; INDEX('Hulp (CAO''s)'!$C$3:$C$6,
                    MATCH(TRUE,'Hulp (CAO''s)'!$D$3:$D$6,0)) &amp; "'!B1:B1000"))
            )
        ),0)
    )
))</f>
        <v/>
      </c>
      <c r="K22" s="86" t="str">
        <f t="array" aca="1" ref="K22" ca="1">IF($B21="Gebruik % van maximum trede",
IF(
    OR(K19="",K20=""),
    "",
    MAX(
    INDIRECT("'" &amp; INDEX('Hulp (CAO''s)'!$C$3:$C$6,
        MATCH(TRUE,'Hulp (CAO''s)'!$D$3:$D$6,0)) &amp; "'!" &amp;
        INDEX('Hulp (CAO''s)'!$H$3:$H$6,
            MATCH(TRUE,'Hulp (CAO''s)'!$D$3:$D$6,0))
        &amp;
        MATCH(K19, INDIRECT("'" &amp; INDEX('Hulp (CAO''s)'!$C$3:$C$6,
            MATCH(TRUE,'Hulp (CAO''s)'!$D$3:$D$6,0)) &amp; "'!A:A"),0)
        &amp; ":H" &amp;
        IF(L19&lt;&gt;"",
            MATCH(L19, INDIRECT("'" &amp; INDEX('Hulp (CAO''s)'!$C$3:$C$6,
                MATCH(TRUE,'Hulp (CAO''s)'!$D$3:$D$6,0)) &amp; "'!A:A"),0)-1,
            1000
        )
    )
) * K20
),
IF(
    IFERROR(MIN(
        IF(
            (TRIM(INDIRECT("'" &amp; INDEX('Hulp (CAO''s)'!$C$3:$C$6,
                MATCH(TRUE,'Hulp (CAO''s)'!$D$3:$D$6,0)) &amp; "'!B1:B1000")) = TEXT(K21,"0")) *
            (ROW(INDIRECT("'" &amp; INDEX('Hulp (CAO''s)'!$C$3:$C$6,
                MATCH(TRUE,'Hulp (CAO''s)'!$D$3:$D$6,0)) &amp; "'!B1:B1000")) &gt; MATCH(
                K19,
                INDIRECT("'" &amp; INDEX('Hulp (CAO''s)'!$C$3:$C$6,
                    MATCH(TRUE,'Hulp (CAO''s)'!$D$3:$D$6,0)) &amp; "'!A:A"),
                0
            )) *
            IF(
                L19="",
                1,
                (ROW(INDIRECT("'" &amp; INDEX('Hulp (CAO''s)'!$C$3:$C$6,
                    MATCH(TRUE,'Hulp (CAO''s)'!$D$3:$D$6,0)) &amp; "'!B1:B1000")) &lt; MATCH(
                    L19,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TEXT(K21,"0")) *
                (ROW(INDIRECT("'" &amp; INDEX('Hulp (CAO''s)'!$C$3:$C$6,
                    MATCH(TRUE,'Hulp (CAO''s)'!$D$3:$D$6,0)) &amp; "'!B1:B1000")) &gt; MATCH(
                    K19,
                    INDIRECT("'" &amp; INDEX('Hulp (CAO''s)'!$C$3:$C$6,
                        MATCH(TRUE,'Hulp (CAO''s)'!$D$3:$D$6,0)) &amp; "'!A:A"),
                    0
                )) *
                IF(
                    L19="",
                    1,
                    (ROW(INDIRECT("'" &amp; INDEX('Hulp (CAO''s)'!$C$3:$C$6,
                        MATCH(TRUE,'Hulp (CAO''s)'!$D$3:$D$6,0)) &amp; "'!B1:B1000")) &lt; MATCH(
                        L19,
                        INDIRECT("'" &amp; INDEX('Hulp (CAO''s)'!$C$3:$C$6,
                            MATCH(TRUE,'Hulp (CAO''s)'!$D$3:$D$6,0)) &amp; "'!A:A"),
                        0
                    ))
                ),
                ROW(INDIRECT("'" &amp; INDEX('Hulp (CAO''s)'!$C$3:$C$6,
                    MATCH(TRUE,'Hulp (CAO''s)'!$D$3:$D$6,0)) &amp; "'!B1:B1000"))
            )
        ),0)
    )
))</f>
        <v/>
      </c>
      <c r="L22" s="86" t="str">
        <f t="array" aca="1" ref="L22" ca="1">IF($B21="Gebruik % van maximum trede",
IF(
    OR(L19="",L20=""),
    "",
    MAX(
    INDIRECT("'" &amp; INDEX('Hulp (CAO''s)'!$C$3:$C$6,
        MATCH(TRUE,'Hulp (CAO''s)'!$D$3:$D$6,0)) &amp; "'!" &amp;
        INDEX('Hulp (CAO''s)'!$H$3:$H$6,
            MATCH(TRUE,'Hulp (CAO''s)'!$D$3:$D$6,0))
        &amp;
        MATCH(L19, INDIRECT("'" &amp; INDEX('Hulp (CAO''s)'!$C$3:$C$6,
            MATCH(TRUE,'Hulp (CAO''s)'!$D$3:$D$6,0)) &amp; "'!A:A"),0)
        &amp; ":H" &amp;
        IF(M19&lt;&gt;"",
            MATCH(M19, INDIRECT("'" &amp; INDEX('Hulp (CAO''s)'!$C$3:$C$6,
                MATCH(TRUE,'Hulp (CAO''s)'!$D$3:$D$6,0)) &amp; "'!A:A"),0)-1,
            1000
        )
    )
) * L20
),
IF(
    IFERROR(MIN(
        IF(
            (TRIM(INDIRECT("'" &amp; INDEX('Hulp (CAO''s)'!$C$3:$C$6,
                MATCH(TRUE,'Hulp (CAO''s)'!$D$3:$D$6,0)) &amp; "'!B1:B1000")) = TEXT(L21,"0")) *
            (ROW(INDIRECT("'" &amp; INDEX('Hulp (CAO''s)'!$C$3:$C$6,
                MATCH(TRUE,'Hulp (CAO''s)'!$D$3:$D$6,0)) &amp; "'!B1:B1000")) &gt; MATCH(
                L19,
                INDIRECT("'" &amp; INDEX('Hulp (CAO''s)'!$C$3:$C$6,
                    MATCH(TRUE,'Hulp (CAO''s)'!$D$3:$D$6,0)) &amp; "'!A:A"),
                0
            )) *
            IF(
                M19="",
                1,
                (ROW(INDIRECT("'" &amp; INDEX('Hulp (CAO''s)'!$C$3:$C$6,
                    MATCH(TRUE,'Hulp (CAO''s)'!$D$3:$D$6,0)) &amp; "'!B1:B1000")) &lt; MATCH(
                    M19,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TEXT(L21,"0")) *
                (ROW(INDIRECT("'" &amp; INDEX('Hulp (CAO''s)'!$C$3:$C$6,
                    MATCH(TRUE,'Hulp (CAO''s)'!$D$3:$D$6,0)) &amp; "'!B1:B1000")) &gt; MATCH(
                    L19,
                    INDIRECT("'" &amp; INDEX('Hulp (CAO''s)'!$C$3:$C$6,
                        MATCH(TRUE,'Hulp (CAO''s)'!$D$3:$D$6,0)) &amp; "'!A:A"),
                    0
                )) *
                IF(
                    M19="",
                    1,
                    (ROW(INDIRECT("'" &amp; INDEX('Hulp (CAO''s)'!$C$3:$C$6,
                        MATCH(TRUE,'Hulp (CAO''s)'!$D$3:$D$6,0)) &amp; "'!B1:B1000")) &lt; MATCH(
                        M19,
                        INDIRECT("'" &amp; INDEX('Hulp (CAO''s)'!$C$3:$C$6,
                            MATCH(TRUE,'Hulp (CAO''s)'!$D$3:$D$6,0)) &amp; "'!A:A"),
                        0
                    ))
                ),
                ROW(INDIRECT("'" &amp; INDEX('Hulp (CAO''s)'!$C$3:$C$6,
                    MATCH(TRUE,'Hulp (CAO''s)'!$D$3:$D$6,0)) &amp; "'!B1:B1000"))
            )
        ),0)
    )
))</f>
        <v/>
      </c>
      <c r="M22" s="86" t="str">
        <f t="array" aca="1" ref="M22" ca="1">IF($B21="Gebruik % van maximum trede",
IF(
    OR(M19="",M20=""),
    "",
    MAX(
    INDIRECT("'" &amp; INDEX('Hulp (CAO''s)'!$C$3:$C$6,
        MATCH(TRUE,'Hulp (CAO''s)'!$D$3:$D$6,0)) &amp; "'!" &amp;
        INDEX('Hulp (CAO''s)'!$H$3:$H$6,
            MATCH(TRUE,'Hulp (CAO''s)'!$D$3:$D$6,0))
        &amp;
        MATCH(M19, INDIRECT("'" &amp; INDEX('Hulp (CAO''s)'!$C$3:$C$6,
            MATCH(TRUE,'Hulp (CAO''s)'!$D$3:$D$6,0)) &amp; "'!A:A"),0)
        &amp; ":H" &amp;
        IF(N19&lt;&gt;"",
            MATCH(N19, INDIRECT("'" &amp; INDEX('Hulp (CAO''s)'!$C$3:$C$6,
                MATCH(TRUE,'Hulp (CAO''s)'!$D$3:$D$6,0)) &amp; "'!A:A"),0)-1,
            1000
        )
    )
) * M20
),
IF(
    IFERROR(MIN(
        IF(
            (TRIM(INDIRECT("'" &amp; INDEX('Hulp (CAO''s)'!$C$3:$C$6,
                MATCH(TRUE,'Hulp (CAO''s)'!$D$3:$D$6,0)) &amp; "'!B1:B1000")) = TEXT(M21,"0")) *
            (ROW(INDIRECT("'" &amp; INDEX('Hulp (CAO''s)'!$C$3:$C$6,
                MATCH(TRUE,'Hulp (CAO''s)'!$D$3:$D$6,0)) &amp; "'!B1:B1000")) &gt; MATCH(
                M19,
                INDIRECT("'" &amp; INDEX('Hulp (CAO''s)'!$C$3:$C$6,
                    MATCH(TRUE,'Hulp (CAO''s)'!$D$3:$D$6,0)) &amp; "'!A:A"),
                0
            )) *
            IF(
                N19="",
                1,
                (ROW(INDIRECT("'" &amp; INDEX('Hulp (CAO''s)'!$C$3:$C$6,
                    MATCH(TRUE,'Hulp (CAO''s)'!$D$3:$D$6,0)) &amp; "'!B1:B1000")) &lt; MATCH(
                    N19,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TEXT(M21,"0")) *
                (ROW(INDIRECT("'" &amp; INDEX('Hulp (CAO''s)'!$C$3:$C$6,
                    MATCH(TRUE,'Hulp (CAO''s)'!$D$3:$D$6,0)) &amp; "'!B1:B1000")) &gt; MATCH(
                    M19,
                    INDIRECT("'" &amp; INDEX('Hulp (CAO''s)'!$C$3:$C$6,
                        MATCH(TRUE,'Hulp (CAO''s)'!$D$3:$D$6,0)) &amp; "'!A:A"),
                    0
                )) *
                IF(
                    N19="",
                    1,
                    (ROW(INDIRECT("'" &amp; INDEX('Hulp (CAO''s)'!$C$3:$C$6,
                        MATCH(TRUE,'Hulp (CAO''s)'!$D$3:$D$6,0)) &amp; "'!B1:B1000")) &lt; MATCH(
                        N19,
                        INDIRECT("'" &amp; INDEX('Hulp (CAO''s)'!$C$3:$C$6,
                            MATCH(TRUE,'Hulp (CAO''s)'!$D$3:$D$6,0)) &amp; "'!A:A"),
                        0
                    ))
                ),
                ROW(INDIRECT("'" &amp; INDEX('Hulp (CAO''s)'!$C$3:$C$6,
                    MATCH(TRUE,'Hulp (CAO''s)'!$D$3:$D$6,0)) &amp; "'!B1:B1000"))
            )
        ),0)
    )
))</f>
        <v/>
      </c>
      <c r="N22" s="86" t="str">
        <f t="array" aca="1" ref="N22" ca="1">IF($B21="Gebruik % van maximum trede",
IF(
    OR(N19="",N20=""),
    "",
    MAX(
    INDIRECT("'" &amp; INDEX('Hulp (CAO''s)'!$C$3:$C$6,
        MATCH(TRUE,'Hulp (CAO''s)'!$D$3:$D$6,0)) &amp; "'!" &amp;
        INDEX('Hulp (CAO''s)'!$H$3:$H$6,
            MATCH(TRUE,'Hulp (CAO''s)'!$D$3:$D$6,0))
        &amp;
        MATCH(N19, INDIRECT("'" &amp; INDEX('Hulp (CAO''s)'!$C$3:$C$6,
            MATCH(TRUE,'Hulp (CAO''s)'!$D$3:$D$6,0)) &amp; "'!A:A"),0)
        &amp; ":H" &amp;
        IF(O19&lt;&gt;"",
            MATCH(O19, INDIRECT("'" &amp; INDEX('Hulp (CAO''s)'!$C$3:$C$6,
                MATCH(TRUE,'Hulp (CAO''s)'!$D$3:$D$6,0)) &amp; "'!A:A"),0)-1,
            1000
        )
    )
) * N20
),
IF(
    IFERROR(MIN(
        IF(
            (TRIM(INDIRECT("'" &amp; INDEX('Hulp (CAO''s)'!$C$3:$C$6,
                MATCH(TRUE,'Hulp (CAO''s)'!$D$3:$D$6,0)) &amp; "'!B1:B1000")) = TEXT(N21,"0")) *
            (ROW(INDIRECT("'" &amp; INDEX('Hulp (CAO''s)'!$C$3:$C$6,
                MATCH(TRUE,'Hulp (CAO''s)'!$D$3:$D$6,0)) &amp; "'!B1:B1000")) &gt; MATCH(
                N19,
                INDIRECT("'" &amp; INDEX('Hulp (CAO''s)'!$C$3:$C$6,
                    MATCH(TRUE,'Hulp (CAO''s)'!$D$3:$D$6,0)) &amp; "'!A:A"),
                0
            )) *
            IF(
                O19="",
                1,
                (ROW(INDIRECT("'" &amp; INDEX('Hulp (CAO''s)'!$C$3:$C$6,
                    MATCH(TRUE,'Hulp (CAO''s)'!$D$3:$D$6,0)) &amp; "'!B1:B1000")) &lt; MATCH(
                    O19,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TEXT(N21,"0")) *
                (ROW(INDIRECT("'" &amp; INDEX('Hulp (CAO''s)'!$C$3:$C$6,
                    MATCH(TRUE,'Hulp (CAO''s)'!$D$3:$D$6,0)) &amp; "'!B1:B1000")) &gt; MATCH(
                    N19,
                    INDIRECT("'" &amp; INDEX('Hulp (CAO''s)'!$C$3:$C$6,
                        MATCH(TRUE,'Hulp (CAO''s)'!$D$3:$D$6,0)) &amp; "'!A:A"),
                    0
                )) *
                IF(
                    O19="",
                    1,
                    (ROW(INDIRECT("'" &amp; INDEX('Hulp (CAO''s)'!$C$3:$C$6,
                        MATCH(TRUE,'Hulp (CAO''s)'!$D$3:$D$6,0)) &amp; "'!B1:B1000")) &lt; MATCH(
                        O19,
                        INDIRECT("'" &amp; INDEX('Hulp (CAO''s)'!$C$3:$C$6,
                            MATCH(TRUE,'Hulp (CAO''s)'!$D$3:$D$6,0)) &amp; "'!A:A"),
                        0
                    ))
                ),
                ROW(INDIRECT("'" &amp; INDEX('Hulp (CAO''s)'!$C$3:$C$6,
                    MATCH(TRUE,'Hulp (CAO''s)'!$D$3:$D$6,0)) &amp; "'!B1:B1000"))
            )
        ),0)
    )
))</f>
        <v/>
      </c>
      <c r="O22" s="86" t="str">
        <f t="array" aca="1" ref="O22" ca="1">IF($B21="Gebruik % van maximum trede",
IF(
    OR(O19="",O20=""),
    "",
    MAX(
    INDIRECT("'" &amp; INDEX('Hulp (CAO''s)'!$C$3:$C$6,
        MATCH(TRUE,'Hulp (CAO''s)'!$D$3:$D$6,0)) &amp; "'!" &amp;
        INDEX('Hulp (CAO''s)'!$H$3:$H$6,
            MATCH(TRUE,'Hulp (CAO''s)'!$D$3:$D$6,0))
        &amp;
        MATCH(O19, INDIRECT("'" &amp; INDEX('Hulp (CAO''s)'!$C$3:$C$6,
            MATCH(TRUE,'Hulp (CAO''s)'!$D$3:$D$6,0)) &amp; "'!A:A"),0)
        &amp; ":H" &amp;
        IF(P19&lt;&gt;"",
            MATCH(P19, INDIRECT("'" &amp; INDEX('Hulp (CAO''s)'!$C$3:$C$6,
                MATCH(TRUE,'Hulp (CAO''s)'!$D$3:$D$6,0)) &amp; "'!A:A"),0)-1,
            1000
        )
    )
) * O20
),
IF(
    IFERROR(MIN(
        IF(
            (TRIM(INDIRECT("'" &amp; INDEX('Hulp (CAO''s)'!$C$3:$C$6,
                MATCH(TRUE,'Hulp (CAO''s)'!$D$3:$D$6,0)) &amp; "'!B1:B1000")) = TEXT(O21,"0")) *
            (ROW(INDIRECT("'" &amp; INDEX('Hulp (CAO''s)'!$C$3:$C$6,
                MATCH(TRUE,'Hulp (CAO''s)'!$D$3:$D$6,0)) &amp; "'!B1:B1000")) &gt; MATCH(
                O19,
                INDIRECT("'" &amp; INDEX('Hulp (CAO''s)'!$C$3:$C$6,
                    MATCH(TRUE,'Hulp (CAO''s)'!$D$3:$D$6,0)) &amp; "'!A:A"),
                0
            )) *
            IF(
                P19="",
                1,
                (ROW(INDIRECT("'" &amp; INDEX('Hulp (CAO''s)'!$C$3:$C$6,
                    MATCH(TRUE,'Hulp (CAO''s)'!$D$3:$D$6,0)) &amp; "'!B1:B1000")) &lt; MATCH(
                    P19,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TEXT(O21,"0")) *
                (ROW(INDIRECT("'" &amp; INDEX('Hulp (CAO''s)'!$C$3:$C$6,
                    MATCH(TRUE,'Hulp (CAO''s)'!$D$3:$D$6,0)) &amp; "'!B1:B1000")) &gt; MATCH(
                    O19,
                    INDIRECT("'" &amp; INDEX('Hulp (CAO''s)'!$C$3:$C$6,
                        MATCH(TRUE,'Hulp (CAO''s)'!$D$3:$D$6,0)) &amp; "'!A:A"),
                    0
                )) *
                IF(
                    P19="",
                    1,
                    (ROW(INDIRECT("'" &amp; INDEX('Hulp (CAO''s)'!$C$3:$C$6,
                        MATCH(TRUE,'Hulp (CAO''s)'!$D$3:$D$6,0)) &amp; "'!B1:B1000")) &lt; MATCH(
                        P19,
                        INDIRECT("'" &amp; INDEX('Hulp (CAO''s)'!$C$3:$C$6,
                            MATCH(TRUE,'Hulp (CAO''s)'!$D$3:$D$6,0)) &amp; "'!A:A"),
                        0
                    ))
                ),
                ROW(INDIRECT("'" &amp; INDEX('Hulp (CAO''s)'!$C$3:$C$6,
                    MATCH(TRUE,'Hulp (CAO''s)'!$D$3:$D$6,0)) &amp; "'!B1:B1000"))
            )
        ),0)
    )
))</f>
        <v/>
      </c>
      <c r="P22" s="86" t="str">
        <f t="array" aca="1" ref="P22" ca="1">IF($B21="Gebruik % van maximum trede",
IF(
    OR(P19="",P20=""),
    "",
    MAX(
    INDIRECT("'" &amp; INDEX('Hulp (CAO''s)'!$C$3:$C$6,
        MATCH(TRUE,'Hulp (CAO''s)'!$D$3:$D$6,0)) &amp; "'!" &amp;
        INDEX('Hulp (CAO''s)'!$H$3:$H$6,
            MATCH(TRUE,'Hulp (CAO''s)'!$D$3:$D$6,0))
        &amp;
        MATCH(P19, INDIRECT("'" &amp; INDEX('Hulp (CAO''s)'!$C$3:$C$6,
            MATCH(TRUE,'Hulp (CAO''s)'!$D$3:$D$6,0)) &amp; "'!A:A"),0)
        &amp; ":H" &amp;
        IF(Q19&lt;&gt;"",
            MATCH(Q19, INDIRECT("'" &amp; INDEX('Hulp (CAO''s)'!$C$3:$C$6,
                MATCH(TRUE,'Hulp (CAO''s)'!$D$3:$D$6,0)) &amp; "'!A:A"),0)-1,
            1000
        )
    )
) * P20
),
IF(
    IFERROR(MIN(
        IF(
            (TRIM(INDIRECT("'" &amp; INDEX('Hulp (CAO''s)'!$C$3:$C$6,
                MATCH(TRUE,'Hulp (CAO''s)'!$D$3:$D$6,0)) &amp; "'!B1:B1000")) = TEXT(P21,"0")) *
            (ROW(INDIRECT("'" &amp; INDEX('Hulp (CAO''s)'!$C$3:$C$6,
                MATCH(TRUE,'Hulp (CAO''s)'!$D$3:$D$6,0)) &amp; "'!B1:B1000")) &gt; MATCH(
                P19,
                INDIRECT("'" &amp; INDEX('Hulp (CAO''s)'!$C$3:$C$6,
                    MATCH(TRUE,'Hulp (CAO''s)'!$D$3:$D$6,0)) &amp; "'!A:A"),
                0
            )) *
            IF(
                Q19="",
                1,
                (ROW(INDIRECT("'" &amp; INDEX('Hulp (CAO''s)'!$C$3:$C$6,
                    MATCH(TRUE,'Hulp (CAO''s)'!$D$3:$D$6,0)) &amp; "'!B1:B1000")) &lt; MATCH(
                    Q19,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TEXT(P21,"0")) *
                (ROW(INDIRECT("'" &amp; INDEX('Hulp (CAO''s)'!$C$3:$C$6,
                    MATCH(TRUE,'Hulp (CAO''s)'!$D$3:$D$6,0)) &amp; "'!B1:B1000")) &gt; MATCH(
                    P19,
                    INDIRECT("'" &amp; INDEX('Hulp (CAO''s)'!$C$3:$C$6,
                        MATCH(TRUE,'Hulp (CAO''s)'!$D$3:$D$6,0)) &amp; "'!A:A"),
                    0
                )) *
                IF(
                    Q19="",
                    1,
                    (ROW(INDIRECT("'" &amp; INDEX('Hulp (CAO''s)'!$C$3:$C$6,
                        MATCH(TRUE,'Hulp (CAO''s)'!$D$3:$D$6,0)) &amp; "'!B1:B1000")) &lt; MATCH(
                        Q19,
                        INDIRECT("'" &amp; INDEX('Hulp (CAO''s)'!$C$3:$C$6,
                            MATCH(TRUE,'Hulp (CAO''s)'!$D$3:$D$6,0)) &amp; "'!A:A"),
                        0
                    ))
                ),
                ROW(INDIRECT("'" &amp; INDEX('Hulp (CAO''s)'!$C$3:$C$6,
                    MATCH(TRUE,'Hulp (CAO''s)'!$D$3:$D$6,0)) &amp; "'!B1:B1000"))
            )
        ),0)
    )
))</f>
        <v/>
      </c>
      <c r="Q22" s="86" t="str">
        <f t="array" aca="1" ref="Q22" ca="1">IF($B21="Gebruik % van maximum trede",
IF(
    OR(Q19="",Q20=""),
    "",
    MAX(
    INDIRECT("'" &amp; INDEX('Hulp (CAO''s)'!$C$3:$C$6,
        MATCH(TRUE,'Hulp (CAO''s)'!$D$3:$D$6,0)) &amp; "'!" &amp;
        INDEX('Hulp (CAO''s)'!$H$3:$H$6,
            MATCH(TRUE,'Hulp (CAO''s)'!$D$3:$D$6,0))
        &amp;
        MATCH(Q19, INDIRECT("'" &amp; INDEX('Hulp (CAO''s)'!$C$3:$C$6,
            MATCH(TRUE,'Hulp (CAO''s)'!$D$3:$D$6,0)) &amp; "'!A:A"),0)
        &amp; ":H" &amp;
        IF(R19&lt;&gt;"",
            MATCH(R19, INDIRECT("'" &amp; INDEX('Hulp (CAO''s)'!$C$3:$C$6,
                MATCH(TRUE,'Hulp (CAO''s)'!$D$3:$D$6,0)) &amp; "'!A:A"),0)-1,
            1000
        )
    )
) * Q20
),
IF(
    IFERROR(MIN(
        IF(
            (TRIM(INDIRECT("'" &amp; INDEX('Hulp (CAO''s)'!$C$3:$C$6,
                MATCH(TRUE,'Hulp (CAO''s)'!$D$3:$D$6,0)) &amp; "'!B1:B1000")) = TEXT(Q21,"0")) *
            (ROW(INDIRECT("'" &amp; INDEX('Hulp (CAO''s)'!$C$3:$C$6,
                MATCH(TRUE,'Hulp (CAO''s)'!$D$3:$D$6,0)) &amp; "'!B1:B1000")) &gt; MATCH(
                Q19,
                INDIRECT("'" &amp; INDEX('Hulp (CAO''s)'!$C$3:$C$6,
                    MATCH(TRUE,'Hulp (CAO''s)'!$D$3:$D$6,0)) &amp; "'!A:A"),
                0
            )) *
            IF(
                R19="",
                1,
                (ROW(INDIRECT("'" &amp; INDEX('Hulp (CAO''s)'!$C$3:$C$6,
                    MATCH(TRUE,'Hulp (CAO''s)'!$D$3:$D$6,0)) &amp; "'!B1:B1000")) &lt; MATCH(
                    R19,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TEXT(Q21,"0")) *
                (ROW(INDIRECT("'" &amp; INDEX('Hulp (CAO''s)'!$C$3:$C$6,
                    MATCH(TRUE,'Hulp (CAO''s)'!$D$3:$D$6,0)) &amp; "'!B1:B1000")) &gt; MATCH(
                    Q19,
                    INDIRECT("'" &amp; INDEX('Hulp (CAO''s)'!$C$3:$C$6,
                        MATCH(TRUE,'Hulp (CAO''s)'!$D$3:$D$6,0)) &amp; "'!A:A"),
                    0
                )) *
                IF(
                    R19="",
                    1,
                    (ROW(INDIRECT("'" &amp; INDEX('Hulp (CAO''s)'!$C$3:$C$6,
                        MATCH(TRUE,'Hulp (CAO''s)'!$D$3:$D$6,0)) &amp; "'!B1:B1000")) &lt; MATCH(
                        R19,
                        INDIRECT("'" &amp; INDEX('Hulp (CAO''s)'!$C$3:$C$6,
                            MATCH(TRUE,'Hulp (CAO''s)'!$D$3:$D$6,0)) &amp; "'!A:A"),
                        0
                    ))
                ),
                ROW(INDIRECT("'" &amp; INDEX('Hulp (CAO''s)'!$C$3:$C$6,
                    MATCH(TRUE,'Hulp (CAO''s)'!$D$3:$D$6,0)) &amp; "'!B1:B1000"))
            )
        ),0)
    )
))</f>
        <v/>
      </c>
      <c r="R22" s="86" t="str">
        <f t="array" aca="1" ref="R22" ca="1">IF($B21="Gebruik % van maximum trede",
IF(
    OR(R19="",R20=""),
    "",
    MAX(
    INDIRECT("'" &amp; INDEX('Hulp (CAO''s)'!$C$3:$C$6,
        MATCH(TRUE,'Hulp (CAO''s)'!$D$3:$D$6,0)) &amp; "'!" &amp;
        INDEX('Hulp (CAO''s)'!$H$3:$H$6,
            MATCH(TRUE,'Hulp (CAO''s)'!$D$3:$D$6,0))
        &amp;
        MATCH(R19, INDIRECT("'" &amp; INDEX('Hulp (CAO''s)'!$C$3:$C$6,
            MATCH(TRUE,'Hulp (CAO''s)'!$D$3:$D$6,0)) &amp; "'!A:A"),0)
        &amp; ":H" &amp;
        IF(S19&lt;&gt;"",
            MATCH(S19, INDIRECT("'" &amp; INDEX('Hulp (CAO''s)'!$C$3:$C$6,
                MATCH(TRUE,'Hulp (CAO''s)'!$D$3:$D$6,0)) &amp; "'!A:A"),0)-1,
            1000
        )
    )
) * R20
),
IF(
    IFERROR(MIN(
        IF(
            (TRIM(INDIRECT("'" &amp; INDEX('Hulp (CAO''s)'!$C$3:$C$6,
                MATCH(TRUE,'Hulp (CAO''s)'!$D$3:$D$6,0)) &amp; "'!B1:B1000")) = TEXT(R21,"0")) *
            (ROW(INDIRECT("'" &amp; INDEX('Hulp (CAO''s)'!$C$3:$C$6,
                MATCH(TRUE,'Hulp (CAO''s)'!$D$3:$D$6,0)) &amp; "'!B1:B1000")) &gt; MATCH(
                R19,
                INDIRECT("'" &amp; INDEX('Hulp (CAO''s)'!$C$3:$C$6,
                    MATCH(TRUE,'Hulp (CAO''s)'!$D$3:$D$6,0)) &amp; "'!A:A"),
                0
            )) *
            IF(
                S19="",
                1,
                (ROW(INDIRECT("'" &amp; INDEX('Hulp (CAO''s)'!$C$3:$C$6,
                    MATCH(TRUE,'Hulp (CAO''s)'!$D$3:$D$6,0)) &amp; "'!B1:B1000")) &lt; MATCH(
                    S19,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TEXT(R21,"0")) *
                (ROW(INDIRECT("'" &amp; INDEX('Hulp (CAO''s)'!$C$3:$C$6,
                    MATCH(TRUE,'Hulp (CAO''s)'!$D$3:$D$6,0)) &amp; "'!B1:B1000")) &gt; MATCH(
                    R19,
                    INDIRECT("'" &amp; INDEX('Hulp (CAO''s)'!$C$3:$C$6,
                        MATCH(TRUE,'Hulp (CAO''s)'!$D$3:$D$6,0)) &amp; "'!A:A"),
                    0
                )) *
                IF(
                    S19="",
                    1,
                    (ROW(INDIRECT("'" &amp; INDEX('Hulp (CAO''s)'!$C$3:$C$6,
                        MATCH(TRUE,'Hulp (CAO''s)'!$D$3:$D$6,0)) &amp; "'!B1:B1000")) &lt; MATCH(
                        S19,
                        INDIRECT("'" &amp; INDEX('Hulp (CAO''s)'!$C$3:$C$6,
                            MATCH(TRUE,'Hulp (CAO''s)'!$D$3:$D$6,0)) &amp; "'!A:A"),
                        0
                    ))
                ),
                ROW(INDIRECT("'" &amp; INDEX('Hulp (CAO''s)'!$C$3:$C$6,
                    MATCH(TRUE,'Hulp (CAO''s)'!$D$3:$D$6,0)) &amp; "'!B1:B1000"))
            )
        ),0)
    )
))</f>
        <v/>
      </c>
      <c r="S22" s="86" t="str">
        <f t="array" aca="1" ref="S22" ca="1">IF($B21="Gebruik % van maximum trede",
IF(
    OR(S19="",S20=""),
    "",
    MAX(
    INDIRECT("'" &amp; INDEX('Hulp (CAO''s)'!$C$3:$C$6,
        MATCH(TRUE,'Hulp (CAO''s)'!$D$3:$D$6,0)) &amp; "'!" &amp;
        INDEX('Hulp (CAO''s)'!$H$3:$H$6,
            MATCH(TRUE,'Hulp (CAO''s)'!$D$3:$D$6,0))
        &amp;
        MATCH(S19, INDIRECT("'" &amp; INDEX('Hulp (CAO''s)'!$C$3:$C$6,
            MATCH(TRUE,'Hulp (CAO''s)'!$D$3:$D$6,0)) &amp; "'!A:A"),0)
        &amp; ":H" &amp;
        IF(T19&lt;&gt;"",
            MATCH(T19, INDIRECT("'" &amp; INDEX('Hulp (CAO''s)'!$C$3:$C$6,
                MATCH(TRUE,'Hulp (CAO''s)'!$D$3:$D$6,0)) &amp; "'!A:A"),0)-1,
            1000
        )
    )
) * S20
),
IF(
    IFERROR(MIN(
        IF(
            (TRIM(INDIRECT("'" &amp; INDEX('Hulp (CAO''s)'!$C$3:$C$6,
                MATCH(TRUE,'Hulp (CAO''s)'!$D$3:$D$6,0)) &amp; "'!B1:B1000")) = TEXT(S21,"0")) *
            (ROW(INDIRECT("'" &amp; INDEX('Hulp (CAO''s)'!$C$3:$C$6,
                MATCH(TRUE,'Hulp (CAO''s)'!$D$3:$D$6,0)) &amp; "'!B1:B1000")) &gt; MATCH(
                S19,
                INDIRECT("'" &amp; INDEX('Hulp (CAO''s)'!$C$3:$C$6,
                    MATCH(TRUE,'Hulp (CAO''s)'!$D$3:$D$6,0)) &amp; "'!A:A"),
                0
            )) *
            IF(
                T19="",
                1,
                (ROW(INDIRECT("'" &amp; INDEX('Hulp (CAO''s)'!$C$3:$C$6,
                    MATCH(TRUE,'Hulp (CAO''s)'!$D$3:$D$6,0)) &amp; "'!B1:B1000")) &lt; MATCH(
                    T19,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TEXT(S21,"0")) *
                (ROW(INDIRECT("'" &amp; INDEX('Hulp (CAO''s)'!$C$3:$C$6,
                    MATCH(TRUE,'Hulp (CAO''s)'!$D$3:$D$6,0)) &amp; "'!B1:B1000")) &gt; MATCH(
                    S19,
                    INDIRECT("'" &amp; INDEX('Hulp (CAO''s)'!$C$3:$C$6,
                        MATCH(TRUE,'Hulp (CAO''s)'!$D$3:$D$6,0)) &amp; "'!A:A"),
                    0
                )) *
                IF(
                    T19="",
                    1,
                    (ROW(INDIRECT("'" &amp; INDEX('Hulp (CAO''s)'!$C$3:$C$6,
                        MATCH(TRUE,'Hulp (CAO''s)'!$D$3:$D$6,0)) &amp; "'!B1:B1000")) &lt; MATCH(
                        T19,
                        INDIRECT("'" &amp; INDEX('Hulp (CAO''s)'!$C$3:$C$6,
                            MATCH(TRUE,'Hulp (CAO''s)'!$D$3:$D$6,0)) &amp; "'!A:A"),
                        0
                    ))
                ),
                ROW(INDIRECT("'" &amp; INDEX('Hulp (CAO''s)'!$C$3:$C$6,
                    MATCH(TRUE,'Hulp (CAO''s)'!$D$3:$D$6,0)) &amp; "'!B1:B1000"))
            )
        ),0)
    )
))</f>
        <v/>
      </c>
      <c r="T22" s="39" t="str">
        <f t="array" aca="1" ref="T22" ca="1">IF($B21="Gebruik % van maximum trede",
IF(
    OR(T19="",T20=""),
    "",
    MAX(
    INDIRECT("'" &amp; INDEX('Hulp (CAO''s)'!$C$3:$C$6,
        MATCH(TRUE,'Hulp (CAO''s)'!$D$3:$D$6,0)) &amp; "'!" &amp;
        INDEX('Hulp (CAO''s)'!$H$3:$H$6,
            MATCH(TRUE,'Hulp (CAO''s)'!$D$3:$D$6,0))
        &amp;
        MATCH(T19, INDIRECT("'" &amp; INDEX('Hulp (CAO''s)'!$C$3:$C$6,
            MATCH(TRUE,'Hulp (CAO''s)'!$D$3:$D$6,0)) &amp; "'!A:A"),0)
        &amp; ":H" &amp;
        IF(U19&lt;&gt;"",
            MATCH(U19, INDIRECT("'" &amp; INDEX('Hulp (CAO''s)'!$C$3:$C$6,
                MATCH(TRUE,'Hulp (CAO''s)'!$D$3:$D$6,0)) &amp; "'!A:A"),0)-1,
            1000
        )
    )
) * T20
),
IF(
    IFERROR(MIN(
        IF(
            (TRIM(INDIRECT("'" &amp; INDEX('Hulp (CAO''s)'!$C$3:$C$6,
                MATCH(TRUE,'Hulp (CAO''s)'!$D$3:$D$6,0)) &amp; "'!B1:B1000")) = TEXT(T21,"0")) *
            (ROW(INDIRECT("'" &amp; INDEX('Hulp (CAO''s)'!$C$3:$C$6,
                MATCH(TRUE,'Hulp (CAO''s)'!$D$3:$D$6,0)) &amp; "'!B1:B1000")) &gt; MATCH(
                T19,
                INDIRECT("'" &amp; INDEX('Hulp (CAO''s)'!$C$3:$C$6,
                    MATCH(TRUE,'Hulp (CAO''s)'!$D$3:$D$6,0)) &amp; "'!A:A"),
                0
            )) *
            IF(
                U19="",
                1,
                (ROW(INDIRECT("'" &amp; INDEX('Hulp (CAO''s)'!$C$3:$C$6,
                    MATCH(TRUE,'Hulp (CAO''s)'!$D$3:$D$6,0)) &amp; "'!B1:B1000")) &lt; MATCH(
                    U19,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TEXT(T21,"0")) *
                (ROW(INDIRECT("'" &amp; INDEX('Hulp (CAO''s)'!$C$3:$C$6,
                    MATCH(TRUE,'Hulp (CAO''s)'!$D$3:$D$6,0)) &amp; "'!B1:B1000")) &gt; MATCH(
                    T19,
                    INDIRECT("'" &amp; INDEX('Hulp (CAO''s)'!$C$3:$C$6,
                        MATCH(TRUE,'Hulp (CAO''s)'!$D$3:$D$6,0)) &amp; "'!A:A"),
                    0
                )) *
                IF(
                    U19="",
                    1,
                    (ROW(INDIRECT("'" &amp; INDEX('Hulp (CAO''s)'!$C$3:$C$6,
                        MATCH(TRUE,'Hulp (CAO''s)'!$D$3:$D$6,0)) &amp; "'!B1:B1000")) &lt; MATCH(
                        U19,
                        INDIRECT("'" &amp; INDEX('Hulp (CAO''s)'!$C$3:$C$6,
                            MATCH(TRUE,'Hulp (CAO''s)'!$D$3:$D$6,0)) &amp; "'!A:A"),
                        0
                    ))
                ),
                ROW(INDIRECT("'" &amp; INDEX('Hulp (CAO''s)'!$C$3:$C$6,
                    MATCH(TRUE,'Hulp (CAO''s)'!$D$3:$D$6,0)) &amp; "'!B1:B1000"))
            )
        ),0)
    )
))</f>
        <v/>
      </c>
      <c r="V22" s="38" t="str">
        <f t="array" aca="1" ref="V22" ca="1">IF(
   SUM(E22:T22)=0,
   "",
   (
      SUMPRODUCT(
         IF(E22:T22="",0,E22:T22),
         IF(E23:T23="",0,E23:T23) * SUM(E23:T23)
      )
   ) *
   IF(
      'Hulp (CAO''s)'!#REF!,
      IF(
         OR(
            INDEX(#REF!, ROW(#REF!) + INT((ROW()-ROW($V$8))/6)*8)="",
            ISNA(INDEX(#REF!, ROW(#REF!) + INT((ROW()-ROW($V$8))/6)*8))
         ),
         1878/12,
         INDEX(#REF!, ROW(#REF!) + INT((ROW()-ROW($V$8))/6)*8)/12
      ),
      1
   )
)</f>
        <v/>
      </c>
    </row>
    <row r="23" spans="2:24" ht="14.65" thickBot="1" x14ac:dyDescent="0.5">
      <c r="B23" s="48" t="s">
        <v>60</v>
      </c>
      <c r="D23" s="24" t="s">
        <v>59</v>
      </c>
      <c r="E23" s="8">
        <v>0.05</v>
      </c>
      <c r="F23" s="8">
        <v>0.1</v>
      </c>
      <c r="G23" s="8">
        <v>0.1</v>
      </c>
      <c r="H23" s="8">
        <v>0.15</v>
      </c>
      <c r="I23" s="8">
        <v>0.2</v>
      </c>
      <c r="J23" s="8">
        <v>0.15</v>
      </c>
      <c r="K23" s="8">
        <v>0.1</v>
      </c>
      <c r="L23" s="8">
        <v>0.05</v>
      </c>
      <c r="M23" s="8">
        <v>0.05</v>
      </c>
      <c r="N23" s="8">
        <v>0.05</v>
      </c>
      <c r="O23" s="8">
        <v>0</v>
      </c>
      <c r="P23" s="8"/>
      <c r="Q23" s="8"/>
      <c r="R23" s="8"/>
      <c r="S23" s="8"/>
      <c r="T23" s="9"/>
      <c r="U23" s="7"/>
      <c r="V23" s="37" t="str">
        <f ca="1">IF(B19="","",IF(INDIRECT("'Hulp (control forms)'!C" &amp; (13 + INT((ROW()-ROW($B$5))/6))), V21, V22))</f>
        <v/>
      </c>
      <c r="W23" s="7"/>
    </row>
    <row r="24" spans="2:24" x14ac:dyDescent="0.5">
      <c r="S24" s="7" t="str">
        <f>IF($B23="Aandeel in %",
   "Totaal: "&amp;SUM(E23:T23)*100&amp;"%",
   "Totaal: "&amp;SUM(E23:T23)&amp;" uur"
)</f>
        <v>Totaal: 100%</v>
      </c>
      <c r="T24" s="7"/>
    </row>
    <row r="25" spans="2:24" ht="16.149999999999999" thickBot="1" x14ac:dyDescent="0.55000000000000004">
      <c r="B25" s="44" t="str">
        <f ca="1">IF(B26="","",IF(
   OR(
      INDIRECT("'1a. Input organisatieniveau'!N" &amp; (14 + INT((ROW()-4)/7)))="",
      INDIRECT("'1a. Input organisatieniveau'!N" &amp; (14 + INT((ROW()-4)/7)))=0
   ),
   "",
   INDIRECT("'1a. Input organisatieniveau'!N" &amp; (14 + INT((ROW()-4)/7)))
))</f>
        <v/>
      </c>
      <c r="E25" s="61" t="str">
        <f t="shared" ref="E25:T25" ca="1" si="3">IF($B28="Gebruik % van maximum trede", IF(AND(AND(E26&lt;&gt;"",E27&lt;&gt;""),E29=""),"!",""), IF(AND(AND(E26&lt;&gt;"",E28&lt;&gt;""),E29=""),"!",""))</f>
        <v/>
      </c>
      <c r="F25" s="61" t="str">
        <f t="shared" ca="1" si="3"/>
        <v/>
      </c>
      <c r="G25" s="61" t="str">
        <f t="shared" ca="1" si="3"/>
        <v/>
      </c>
      <c r="H25" s="61" t="str">
        <f t="shared" ca="1" si="3"/>
        <v/>
      </c>
      <c r="I25" s="61" t="str">
        <f t="shared" ca="1" si="3"/>
        <v/>
      </c>
      <c r="J25" s="61" t="str">
        <f t="shared" ca="1" si="3"/>
        <v/>
      </c>
      <c r="K25" s="61" t="str">
        <f t="shared" ca="1" si="3"/>
        <v/>
      </c>
      <c r="L25" s="61" t="str">
        <f t="shared" ca="1" si="3"/>
        <v/>
      </c>
      <c r="M25" s="61" t="str">
        <f t="shared" ca="1" si="3"/>
        <v/>
      </c>
      <c r="N25" s="61" t="str">
        <f t="shared" ca="1" si="3"/>
        <v/>
      </c>
      <c r="O25" s="61" t="str">
        <f t="shared" ca="1" si="3"/>
        <v/>
      </c>
      <c r="P25" s="61" t="str">
        <f t="shared" ca="1" si="3"/>
        <v/>
      </c>
      <c r="Q25" s="61" t="str">
        <f t="shared" ca="1" si="3"/>
        <v/>
      </c>
      <c r="R25" s="61" t="str">
        <f t="shared" ca="1" si="3"/>
        <v/>
      </c>
      <c r="S25" s="61" t="str">
        <f t="shared" ca="1" si="3"/>
        <v/>
      </c>
      <c r="T25" s="61" t="str">
        <f t="shared" ca="1" si="3"/>
        <v/>
      </c>
    </row>
    <row r="26" spans="2:24" ht="16.149999999999999" thickBot="1" x14ac:dyDescent="0.55000000000000004">
      <c r="B26" s="45" t="str">
        <f ca="1">IF(
   OR(
      INDIRECT("'1a. Input organisatieniveau'!M" &amp; (14 + INT((ROW()-4)/7)))="",
      INDIRECT("'1a. Input organisatieniveau'!M" &amp; (14 + INT((ROW()-4)/7)))=0
   ),
   "",
   INDIRECT("'1a. Input organisatieniveau'!M" &amp; (14 + INT((ROW()-4)/7)))
)</f>
        <v/>
      </c>
      <c r="D26" s="22" t="s">
        <v>28</v>
      </c>
      <c r="E26" s="10" t="str">
        <f t="array" aca="1" ref="E26" ca="1">IF($B26="", "", INDEX('Hulp (CAO''s)'!J$3:J$6, MATCH(TRUE, 'Hulp (CAO''s)'!$D$3:$D$6, 0)))</f>
        <v/>
      </c>
      <c r="F26" s="10" t="str">
        <f t="array" aca="1" ref="F26" ca="1">IF($B26="", "", INDEX('Hulp (CAO''s)'!K$3:K$6, MATCH(TRUE, 'Hulp (CAO''s)'!$D$3:$D$6, 0)))</f>
        <v/>
      </c>
      <c r="G26" s="10" t="str">
        <f t="array" aca="1" ref="G26" ca="1">IF($B26="", "", INDEX('Hulp (CAO''s)'!L$3:L$6, MATCH(TRUE, 'Hulp (CAO''s)'!$D$3:$D$6, 0)))</f>
        <v/>
      </c>
      <c r="H26" s="10" t="str">
        <f t="array" aca="1" ref="H26" ca="1">IF($B26="", "", INDEX('Hulp (CAO''s)'!M$3:M$6, MATCH(TRUE, 'Hulp (CAO''s)'!$D$3:$D$6, 0)))</f>
        <v/>
      </c>
      <c r="I26" s="10" t="str">
        <f t="array" aca="1" ref="I26" ca="1">IF($B26="", "", INDEX('Hulp (CAO''s)'!N$3:N$6, MATCH(TRUE, 'Hulp (CAO''s)'!$D$3:$D$6, 0)))</f>
        <v/>
      </c>
      <c r="J26" s="10" t="str">
        <f t="array" aca="1" ref="J26" ca="1">IF($B26="", "", INDEX('Hulp (CAO''s)'!O$3:O$6, MATCH(TRUE, 'Hulp (CAO''s)'!$D$3:$D$6, 0)))</f>
        <v/>
      </c>
      <c r="K26" s="10" t="str">
        <f t="array" aca="1" ref="K26" ca="1">IF($B26="", "", INDEX('Hulp (CAO''s)'!P$3:P$6, MATCH(TRUE, 'Hulp (CAO''s)'!$D$3:$D$6, 0)))</f>
        <v/>
      </c>
      <c r="L26" s="10" t="str">
        <f t="array" aca="1" ref="L26" ca="1">IF($B26="", "", INDEX('Hulp (CAO''s)'!Q$3:Q$6, MATCH(TRUE, 'Hulp (CAO''s)'!$D$3:$D$6, 0)))</f>
        <v/>
      </c>
      <c r="M26" s="10" t="str">
        <f t="array" aca="1" ref="M26" ca="1">IF($B26="", "", INDEX('Hulp (CAO''s)'!R$3:R$6, MATCH(TRUE, 'Hulp (CAO''s)'!$D$3:$D$6, 0)))</f>
        <v/>
      </c>
      <c r="N26" s="10" t="str">
        <f t="array" aca="1" ref="N26" ca="1">IF($B26="", "", INDEX('Hulp (CAO''s)'!S$3:S$6, MATCH(TRUE, 'Hulp (CAO''s)'!$D$3:$D$6, 0)))</f>
        <v/>
      </c>
      <c r="O26" s="10" t="str">
        <f t="array" aca="1" ref="O26" ca="1">IF($B26="", "", INDEX('Hulp (CAO''s)'!T$3:T$6, MATCH(TRUE, 'Hulp (CAO''s)'!$D$3:$D$6, 0)))</f>
        <v/>
      </c>
      <c r="P26" s="10" t="str">
        <f t="array" aca="1" ref="P26" ca="1">IF($B26="", "", INDEX('Hulp (CAO''s)'!U$3:U$6, MATCH(TRUE, 'Hulp (CAO''s)'!$D$3:$D$6, 0)))</f>
        <v/>
      </c>
      <c r="Q26" s="10" t="str">
        <f t="array" aca="1" ref="Q26" ca="1">IF($B26="", "", INDEX('Hulp (CAO''s)'!V$3:V$6, MATCH(TRUE, 'Hulp (CAO''s)'!$D$3:$D$6, 0)))</f>
        <v/>
      </c>
      <c r="R26" s="10" t="str">
        <f t="array" aca="1" ref="R26" ca="1">IF($B26="", "", INDEX('Hulp (CAO''s)'!W$3:W$6, MATCH(TRUE, 'Hulp (CAO''s)'!$D$3:$D$6, 0)))</f>
        <v/>
      </c>
      <c r="S26" s="10" t="str">
        <f t="array" aca="1" ref="S26" ca="1">IF($B26="", "", INDEX('Hulp (CAO''s)'!X$3:X$6, MATCH(TRUE, 'Hulp (CAO''s)'!$D$3:$D$6, 0)))</f>
        <v/>
      </c>
      <c r="T26" s="11" t="str">
        <f t="array" aca="1" ref="T26" ca="1">IF($B26="", "", INDEX('Hulp (CAO''s)'!Y$3:Y$6, MATCH(TRUE, 'Hulp (CAO''s)'!$D$3:$D$6, 0)))</f>
        <v/>
      </c>
      <c r="V26" s="25"/>
      <c r="W26" s="5"/>
    </row>
    <row r="27" spans="2:24" ht="16.149999999999999" thickBot="1" x14ac:dyDescent="0.55000000000000004">
      <c r="D27" s="23" t="s">
        <v>770</v>
      </c>
      <c r="E27" s="90">
        <v>0.96</v>
      </c>
      <c r="F27" s="90">
        <v>0.9</v>
      </c>
      <c r="G27" s="90">
        <v>0.9</v>
      </c>
      <c r="H27" s="90">
        <v>0.7</v>
      </c>
      <c r="I27" s="90">
        <v>0.8</v>
      </c>
      <c r="J27" s="90">
        <v>0.9</v>
      </c>
      <c r="K27" s="90">
        <v>0.9</v>
      </c>
      <c r="L27" s="90">
        <v>0.9</v>
      </c>
      <c r="M27" s="90">
        <v>0.9</v>
      </c>
      <c r="N27" s="90">
        <v>0.8</v>
      </c>
      <c r="O27" s="90">
        <v>0.95</v>
      </c>
      <c r="P27" s="90">
        <v>0.93</v>
      </c>
      <c r="Q27" s="90">
        <v>0.93</v>
      </c>
      <c r="R27" s="90">
        <v>0.95</v>
      </c>
      <c r="S27" s="90">
        <v>0.92</v>
      </c>
      <c r="T27" s="91">
        <v>0.95</v>
      </c>
      <c r="V27" s="25" t="s">
        <v>32</v>
      </c>
    </row>
    <row r="28" spans="2:24" ht="14.25" x14ac:dyDescent="0.45">
      <c r="B28" s="48" t="s">
        <v>772</v>
      </c>
      <c r="D28" s="23" t="s">
        <v>29</v>
      </c>
      <c r="E28" s="94">
        <v>9</v>
      </c>
      <c r="F28" s="94">
        <v>10</v>
      </c>
      <c r="G28" s="94">
        <v>10</v>
      </c>
      <c r="H28" s="94">
        <v>9</v>
      </c>
      <c r="I28" s="94">
        <v>10</v>
      </c>
      <c r="J28" s="94">
        <v>11</v>
      </c>
      <c r="K28" s="94">
        <v>10</v>
      </c>
      <c r="L28" s="94">
        <v>10</v>
      </c>
      <c r="M28" s="94">
        <v>9</v>
      </c>
      <c r="N28" s="94">
        <v>10</v>
      </c>
      <c r="O28" s="94">
        <v>11</v>
      </c>
      <c r="P28" s="94">
        <v>12</v>
      </c>
      <c r="Q28" s="94">
        <v>13</v>
      </c>
      <c r="R28" s="94">
        <v>12</v>
      </c>
      <c r="S28" s="94">
        <v>10</v>
      </c>
      <c r="T28" s="33">
        <v>5</v>
      </c>
      <c r="V28" s="52">
        <v>4000</v>
      </c>
      <c r="X28" s="60" t="s">
        <v>747</v>
      </c>
    </row>
    <row r="29" spans="2:24" ht="14.65" thickBot="1" x14ac:dyDescent="0.5">
      <c r="B29"/>
      <c r="D29" s="40" t="str">
        <f>IFERROR(
   INDEX('Hulp (CAO''s)'!$I$3:$I$6, MATCH(TRUE, 'Hulp (CAO''s)'!$D$3:$D$6, 0)),
"")</f>
        <v>Bruto maandsalaris</v>
      </c>
      <c r="E29" s="86" t="str">
        <f t="array" aca="1" ref="E29" ca="1">IF($B28="Gebruik % van maximum trede",
IF(
    OR(E26="",E27=""),
    "",
    MAX(
    INDIRECT("'" &amp; INDEX('Hulp (CAO''s)'!$C$3:$C$6,
        MATCH(TRUE,'Hulp (CAO''s)'!$D$3:$D$6,0)) &amp; "'!" &amp;
        INDEX('Hulp (CAO''s)'!$H$3:$H$6,
            MATCH(TRUE,'Hulp (CAO''s)'!$D$3:$D$6,0))
        &amp;
        MATCH(E26, INDIRECT("'" &amp; INDEX('Hulp (CAO''s)'!$C$3:$C$6,
            MATCH(TRUE,'Hulp (CAO''s)'!$D$3:$D$6,0)) &amp; "'!A:A"),0)
        &amp; ":H" &amp;
        IF(F26&lt;&gt;"",
            MATCH(F26, INDIRECT("'" &amp; INDEX('Hulp (CAO''s)'!$C$3:$C$6,
                MATCH(TRUE,'Hulp (CAO''s)'!$D$3:$D$6,0)) &amp; "'!A:A"),0)-1,
            1000
        )
    )
) * E27
),
IF(
    IFERROR(MIN(
        IF(
            (TRIM(INDIRECT("'" &amp; INDEX('Hulp (CAO''s)'!$C$3:$C$6,
                MATCH(TRUE,'Hulp (CAO''s)'!$D$3:$D$6,0)) &amp; "'!B1:B1000")) = TEXT(E28,"0")) *
            (ROW(INDIRECT("'" &amp; INDEX('Hulp (CAO''s)'!$C$3:$C$6,
                MATCH(TRUE,'Hulp (CAO''s)'!$D$3:$D$6,0)) &amp; "'!B1:B1000")) &gt; MATCH(
                E26,
                INDIRECT("'" &amp; INDEX('Hulp (CAO''s)'!$C$3:$C$6,
                    MATCH(TRUE,'Hulp (CAO''s)'!$D$3:$D$6,0)) &amp; "'!A:A"),
                0
            )) *
            IF(
                F26="",
                1,
                (ROW(INDIRECT("'" &amp; INDEX('Hulp (CAO''s)'!$C$3:$C$6,
                    MATCH(TRUE,'Hulp (CAO''s)'!$D$3:$D$6,0)) &amp; "'!B1:B1000")) &lt; MATCH(
                    F26,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TEXT(E28,"0")) *
                (ROW(INDIRECT("'" &amp; INDEX('Hulp (CAO''s)'!$C$3:$C$6,
                    MATCH(TRUE,'Hulp (CAO''s)'!$D$3:$D$6,0)) &amp; "'!B1:B1000")) &gt; MATCH(
                    E26,
                    INDIRECT("'" &amp; INDEX('Hulp (CAO''s)'!$C$3:$C$6,
                        MATCH(TRUE,'Hulp (CAO''s)'!$D$3:$D$6,0)) &amp; "'!A:A"),
                    0
                )) *
                IF(
                    F26="",
                    1,
                    (ROW(INDIRECT("'" &amp; INDEX('Hulp (CAO''s)'!$C$3:$C$6,
                        MATCH(TRUE,'Hulp (CAO''s)'!$D$3:$D$6,0)) &amp; "'!B1:B1000")) &lt; MATCH(
                        F26,
                        INDIRECT("'" &amp; INDEX('Hulp (CAO''s)'!$C$3:$C$6,
                            MATCH(TRUE,'Hulp (CAO''s)'!$D$3:$D$6,0)) &amp; "'!A:A"),
                        0
                    ))
                ),
                ROW(INDIRECT("'" &amp; INDEX('Hulp (CAO''s)'!$C$3:$C$6,
                    MATCH(TRUE,'Hulp (CAO''s)'!$D$3:$D$6,0)) &amp; "'!B1:B1000"))
            )
        ),0)
    )
))</f>
        <v/>
      </c>
      <c r="F29" s="86" t="str">
        <f t="array" aca="1" ref="F29" ca="1">IF($B28="Gebruik % van maximum trede",
IF(
    OR(F26="",F27=""),
    "",
    MAX(
    INDIRECT("'" &amp; INDEX('Hulp (CAO''s)'!$C$3:$C$6,
        MATCH(TRUE,'Hulp (CAO''s)'!$D$3:$D$6,0)) &amp; "'!" &amp;
        INDEX('Hulp (CAO''s)'!$H$3:$H$6,
            MATCH(TRUE,'Hulp (CAO''s)'!$D$3:$D$6,0))
        &amp;
        MATCH(F26, INDIRECT("'" &amp; INDEX('Hulp (CAO''s)'!$C$3:$C$6,
            MATCH(TRUE,'Hulp (CAO''s)'!$D$3:$D$6,0)) &amp; "'!A:A"),0)
        &amp; ":H" &amp;
        IF(G26&lt;&gt;"",
            MATCH(G26, INDIRECT("'" &amp; INDEX('Hulp (CAO''s)'!$C$3:$C$6,
                MATCH(TRUE,'Hulp (CAO''s)'!$D$3:$D$6,0)) &amp; "'!A:A"),0)-1,
            1000
        )
    )
) * F27
),
IF(
    IFERROR(MIN(
        IF(
            (TRIM(INDIRECT("'" &amp; INDEX('Hulp (CAO''s)'!$C$3:$C$6,
                MATCH(TRUE,'Hulp (CAO''s)'!$D$3:$D$6,0)) &amp; "'!B1:B1000")) = TEXT(F28,"0")) *
            (ROW(INDIRECT("'" &amp; INDEX('Hulp (CAO''s)'!$C$3:$C$6,
                MATCH(TRUE,'Hulp (CAO''s)'!$D$3:$D$6,0)) &amp; "'!B1:B1000")) &gt; MATCH(
                F26,
                INDIRECT("'" &amp; INDEX('Hulp (CAO''s)'!$C$3:$C$6,
                    MATCH(TRUE,'Hulp (CAO''s)'!$D$3:$D$6,0)) &amp; "'!A:A"),
                0
            )) *
            IF(
                G26="",
                1,
                (ROW(INDIRECT("'" &amp; INDEX('Hulp (CAO''s)'!$C$3:$C$6,
                    MATCH(TRUE,'Hulp (CAO''s)'!$D$3:$D$6,0)) &amp; "'!B1:B1000")) &lt; MATCH(
                    G26,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TEXT(F28,"0")) *
                (ROW(INDIRECT("'" &amp; INDEX('Hulp (CAO''s)'!$C$3:$C$6,
                    MATCH(TRUE,'Hulp (CAO''s)'!$D$3:$D$6,0)) &amp; "'!B1:B1000")) &gt; MATCH(
                    F26,
                    INDIRECT("'" &amp; INDEX('Hulp (CAO''s)'!$C$3:$C$6,
                        MATCH(TRUE,'Hulp (CAO''s)'!$D$3:$D$6,0)) &amp; "'!A:A"),
                    0
                )) *
                IF(
                    G26="",
                    1,
                    (ROW(INDIRECT("'" &amp; INDEX('Hulp (CAO''s)'!$C$3:$C$6,
                        MATCH(TRUE,'Hulp (CAO''s)'!$D$3:$D$6,0)) &amp; "'!B1:B1000")) &lt; MATCH(
                        G26,
                        INDIRECT("'" &amp; INDEX('Hulp (CAO''s)'!$C$3:$C$6,
                            MATCH(TRUE,'Hulp (CAO''s)'!$D$3:$D$6,0)) &amp; "'!A:A"),
                        0
                    ))
                ),
                ROW(INDIRECT("'" &amp; INDEX('Hulp (CAO''s)'!$C$3:$C$6,
                    MATCH(TRUE,'Hulp (CAO''s)'!$D$3:$D$6,0)) &amp; "'!B1:B1000"))
            )
        ),0)
    )
))</f>
        <v/>
      </c>
      <c r="G29" s="86" t="str">
        <f t="array" aca="1" ref="G29" ca="1">IF($B28="Gebruik % van maximum trede",
IF(
    OR(G26="",G27=""),
    "",
    MAX(
    INDIRECT("'" &amp; INDEX('Hulp (CAO''s)'!$C$3:$C$6,
        MATCH(TRUE,'Hulp (CAO''s)'!$D$3:$D$6,0)) &amp; "'!" &amp;
        INDEX('Hulp (CAO''s)'!$H$3:$H$6,
            MATCH(TRUE,'Hulp (CAO''s)'!$D$3:$D$6,0))
        &amp;
        MATCH(G26, INDIRECT("'" &amp; INDEX('Hulp (CAO''s)'!$C$3:$C$6,
            MATCH(TRUE,'Hulp (CAO''s)'!$D$3:$D$6,0)) &amp; "'!A:A"),0)
        &amp; ":H" &amp;
        IF(H26&lt;&gt;"",
            MATCH(H26, INDIRECT("'" &amp; INDEX('Hulp (CAO''s)'!$C$3:$C$6,
                MATCH(TRUE,'Hulp (CAO''s)'!$D$3:$D$6,0)) &amp; "'!A:A"),0)-1,
            1000
        )
    )
) * G27
),
IF(
    IFERROR(MIN(
        IF(
            (TRIM(INDIRECT("'" &amp; INDEX('Hulp (CAO''s)'!$C$3:$C$6,
                MATCH(TRUE,'Hulp (CAO''s)'!$D$3:$D$6,0)) &amp; "'!B1:B1000")) = TEXT(G28,"0")) *
            (ROW(INDIRECT("'" &amp; INDEX('Hulp (CAO''s)'!$C$3:$C$6,
                MATCH(TRUE,'Hulp (CAO''s)'!$D$3:$D$6,0)) &amp; "'!B1:B1000")) &gt; MATCH(
                G26,
                INDIRECT("'" &amp; INDEX('Hulp (CAO''s)'!$C$3:$C$6,
                    MATCH(TRUE,'Hulp (CAO''s)'!$D$3:$D$6,0)) &amp; "'!A:A"),
                0
            )) *
            IF(
                H26="",
                1,
                (ROW(INDIRECT("'" &amp; INDEX('Hulp (CAO''s)'!$C$3:$C$6,
                    MATCH(TRUE,'Hulp (CAO''s)'!$D$3:$D$6,0)) &amp; "'!B1:B1000")) &lt; MATCH(
                    H26,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TEXT(G28,"0")) *
                (ROW(INDIRECT("'" &amp; INDEX('Hulp (CAO''s)'!$C$3:$C$6,
                    MATCH(TRUE,'Hulp (CAO''s)'!$D$3:$D$6,0)) &amp; "'!B1:B1000")) &gt; MATCH(
                    G26,
                    INDIRECT("'" &amp; INDEX('Hulp (CAO''s)'!$C$3:$C$6,
                        MATCH(TRUE,'Hulp (CAO''s)'!$D$3:$D$6,0)) &amp; "'!A:A"),
                    0
                )) *
                IF(
                    H26="",
                    1,
                    (ROW(INDIRECT("'" &amp; INDEX('Hulp (CAO''s)'!$C$3:$C$6,
                        MATCH(TRUE,'Hulp (CAO''s)'!$D$3:$D$6,0)) &amp; "'!B1:B1000")) &lt; MATCH(
                        H26,
                        INDIRECT("'" &amp; INDEX('Hulp (CAO''s)'!$C$3:$C$6,
                            MATCH(TRUE,'Hulp (CAO''s)'!$D$3:$D$6,0)) &amp; "'!A:A"),
                        0
                    ))
                ),
                ROW(INDIRECT("'" &amp; INDEX('Hulp (CAO''s)'!$C$3:$C$6,
                    MATCH(TRUE,'Hulp (CAO''s)'!$D$3:$D$6,0)) &amp; "'!B1:B1000"))
            )
        ),0)
    )
))</f>
        <v/>
      </c>
      <c r="H29" s="86" t="str">
        <f t="array" aca="1" ref="H29" ca="1">IF($B28="Gebruik % van maximum trede",
IF(
    OR(H26="",H27=""),
    "",
    MAX(
    INDIRECT("'" &amp; INDEX('Hulp (CAO''s)'!$C$3:$C$6,
        MATCH(TRUE,'Hulp (CAO''s)'!$D$3:$D$6,0)) &amp; "'!" &amp;
        INDEX('Hulp (CAO''s)'!$H$3:$H$6,
            MATCH(TRUE,'Hulp (CAO''s)'!$D$3:$D$6,0))
        &amp;
        MATCH(H26, INDIRECT("'" &amp; INDEX('Hulp (CAO''s)'!$C$3:$C$6,
            MATCH(TRUE,'Hulp (CAO''s)'!$D$3:$D$6,0)) &amp; "'!A:A"),0)
        &amp; ":H" &amp;
        IF(I26&lt;&gt;"",
            MATCH(I26, INDIRECT("'" &amp; INDEX('Hulp (CAO''s)'!$C$3:$C$6,
                MATCH(TRUE,'Hulp (CAO''s)'!$D$3:$D$6,0)) &amp; "'!A:A"),0)-1,
            1000
        )
    )
) * H27
),
IF(
    IFERROR(MIN(
        IF(
            (TRIM(INDIRECT("'" &amp; INDEX('Hulp (CAO''s)'!$C$3:$C$6,
                MATCH(TRUE,'Hulp (CAO''s)'!$D$3:$D$6,0)) &amp; "'!B1:B1000")) = TEXT(H28,"0")) *
            (ROW(INDIRECT("'" &amp; INDEX('Hulp (CAO''s)'!$C$3:$C$6,
                MATCH(TRUE,'Hulp (CAO''s)'!$D$3:$D$6,0)) &amp; "'!B1:B1000")) &gt; MATCH(
                H26,
                INDIRECT("'" &amp; INDEX('Hulp (CAO''s)'!$C$3:$C$6,
                    MATCH(TRUE,'Hulp (CAO''s)'!$D$3:$D$6,0)) &amp; "'!A:A"),
                0
            )) *
            IF(
                I26="",
                1,
                (ROW(INDIRECT("'" &amp; INDEX('Hulp (CAO''s)'!$C$3:$C$6,
                    MATCH(TRUE,'Hulp (CAO''s)'!$D$3:$D$6,0)) &amp; "'!B1:B1000")) &lt; MATCH(
                    I26,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TEXT(H28,"0")) *
                (ROW(INDIRECT("'" &amp; INDEX('Hulp (CAO''s)'!$C$3:$C$6,
                    MATCH(TRUE,'Hulp (CAO''s)'!$D$3:$D$6,0)) &amp; "'!B1:B1000")) &gt; MATCH(
                    H26,
                    INDIRECT("'" &amp; INDEX('Hulp (CAO''s)'!$C$3:$C$6,
                        MATCH(TRUE,'Hulp (CAO''s)'!$D$3:$D$6,0)) &amp; "'!A:A"),
                    0
                )) *
                IF(
                    I26="",
                    1,
                    (ROW(INDIRECT("'" &amp; INDEX('Hulp (CAO''s)'!$C$3:$C$6,
                        MATCH(TRUE,'Hulp (CAO''s)'!$D$3:$D$6,0)) &amp; "'!B1:B1000")) &lt; MATCH(
                        I26,
                        INDIRECT("'" &amp; INDEX('Hulp (CAO''s)'!$C$3:$C$6,
                            MATCH(TRUE,'Hulp (CAO''s)'!$D$3:$D$6,0)) &amp; "'!A:A"),
                        0
                    ))
                ),
                ROW(INDIRECT("'" &amp; INDEX('Hulp (CAO''s)'!$C$3:$C$6,
                    MATCH(TRUE,'Hulp (CAO''s)'!$D$3:$D$6,0)) &amp; "'!B1:B1000"))
            )
        ),0)
    )
))</f>
        <v/>
      </c>
      <c r="I29" s="86" t="str">
        <f t="array" aca="1" ref="I29" ca="1">IF($B28="Gebruik % van maximum trede",
IF(
    OR(I26="",I27=""),
    "",
    MAX(
    INDIRECT("'" &amp; INDEX('Hulp (CAO''s)'!$C$3:$C$6,
        MATCH(TRUE,'Hulp (CAO''s)'!$D$3:$D$6,0)) &amp; "'!" &amp;
        INDEX('Hulp (CAO''s)'!$H$3:$H$6,
            MATCH(TRUE,'Hulp (CAO''s)'!$D$3:$D$6,0))
        &amp;
        MATCH(I26, INDIRECT("'" &amp; INDEX('Hulp (CAO''s)'!$C$3:$C$6,
            MATCH(TRUE,'Hulp (CAO''s)'!$D$3:$D$6,0)) &amp; "'!A:A"),0)
        &amp; ":H" &amp;
        IF(J26&lt;&gt;"",
            MATCH(J26, INDIRECT("'" &amp; INDEX('Hulp (CAO''s)'!$C$3:$C$6,
                MATCH(TRUE,'Hulp (CAO''s)'!$D$3:$D$6,0)) &amp; "'!A:A"),0)-1,
            1000
        )
    )
) * I27
),
IF(
    IFERROR(MIN(
        IF(
            (TRIM(INDIRECT("'" &amp; INDEX('Hulp (CAO''s)'!$C$3:$C$6,
                MATCH(TRUE,'Hulp (CAO''s)'!$D$3:$D$6,0)) &amp; "'!B1:B1000")) = TEXT(I28,"0")) *
            (ROW(INDIRECT("'" &amp; INDEX('Hulp (CAO''s)'!$C$3:$C$6,
                MATCH(TRUE,'Hulp (CAO''s)'!$D$3:$D$6,0)) &amp; "'!B1:B1000")) &gt; MATCH(
                I26,
                INDIRECT("'" &amp; INDEX('Hulp (CAO''s)'!$C$3:$C$6,
                    MATCH(TRUE,'Hulp (CAO''s)'!$D$3:$D$6,0)) &amp; "'!A:A"),
                0
            )) *
            IF(
                J26="",
                1,
                (ROW(INDIRECT("'" &amp; INDEX('Hulp (CAO''s)'!$C$3:$C$6,
                    MATCH(TRUE,'Hulp (CAO''s)'!$D$3:$D$6,0)) &amp; "'!B1:B1000")) &lt; MATCH(
                    J26,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TEXT(I28,"0")) *
                (ROW(INDIRECT("'" &amp; INDEX('Hulp (CAO''s)'!$C$3:$C$6,
                    MATCH(TRUE,'Hulp (CAO''s)'!$D$3:$D$6,0)) &amp; "'!B1:B1000")) &gt; MATCH(
                    I26,
                    INDIRECT("'" &amp; INDEX('Hulp (CAO''s)'!$C$3:$C$6,
                        MATCH(TRUE,'Hulp (CAO''s)'!$D$3:$D$6,0)) &amp; "'!A:A"),
                    0
                )) *
                IF(
                    J26="",
                    1,
                    (ROW(INDIRECT("'" &amp; INDEX('Hulp (CAO''s)'!$C$3:$C$6,
                        MATCH(TRUE,'Hulp (CAO''s)'!$D$3:$D$6,0)) &amp; "'!B1:B1000")) &lt; MATCH(
                        J26,
                        INDIRECT("'" &amp; INDEX('Hulp (CAO''s)'!$C$3:$C$6,
                            MATCH(TRUE,'Hulp (CAO''s)'!$D$3:$D$6,0)) &amp; "'!A:A"),
                        0
                    ))
                ),
                ROW(INDIRECT("'" &amp; INDEX('Hulp (CAO''s)'!$C$3:$C$6,
                    MATCH(TRUE,'Hulp (CAO''s)'!$D$3:$D$6,0)) &amp; "'!B1:B1000"))
            )
        ),0)
    )
))</f>
        <v/>
      </c>
      <c r="J29" s="86" t="str">
        <f t="array" aca="1" ref="J29" ca="1">IF($B28="Gebruik % van maximum trede",
IF(
    OR(J26="",J27=""),
    "",
    MAX(
    INDIRECT("'" &amp; INDEX('Hulp (CAO''s)'!$C$3:$C$6,
        MATCH(TRUE,'Hulp (CAO''s)'!$D$3:$D$6,0)) &amp; "'!" &amp;
        INDEX('Hulp (CAO''s)'!$H$3:$H$6,
            MATCH(TRUE,'Hulp (CAO''s)'!$D$3:$D$6,0))
        &amp;
        MATCH(J26, INDIRECT("'" &amp; INDEX('Hulp (CAO''s)'!$C$3:$C$6,
            MATCH(TRUE,'Hulp (CAO''s)'!$D$3:$D$6,0)) &amp; "'!A:A"),0)
        &amp; ":H" &amp;
        IF(K26&lt;&gt;"",
            MATCH(K26, INDIRECT("'" &amp; INDEX('Hulp (CAO''s)'!$C$3:$C$6,
                MATCH(TRUE,'Hulp (CAO''s)'!$D$3:$D$6,0)) &amp; "'!A:A"),0)-1,
            1000
        )
    )
) * J27
),
IF(
    IFERROR(MIN(
        IF(
            (TRIM(INDIRECT("'" &amp; INDEX('Hulp (CAO''s)'!$C$3:$C$6,
                MATCH(TRUE,'Hulp (CAO''s)'!$D$3:$D$6,0)) &amp; "'!B1:B1000")) = TEXT(J28,"0")) *
            (ROW(INDIRECT("'" &amp; INDEX('Hulp (CAO''s)'!$C$3:$C$6,
                MATCH(TRUE,'Hulp (CAO''s)'!$D$3:$D$6,0)) &amp; "'!B1:B1000")) &gt; MATCH(
                J26,
                INDIRECT("'" &amp; INDEX('Hulp (CAO''s)'!$C$3:$C$6,
                    MATCH(TRUE,'Hulp (CAO''s)'!$D$3:$D$6,0)) &amp; "'!A:A"),
                0
            )) *
            IF(
                K26="",
                1,
                (ROW(INDIRECT("'" &amp; INDEX('Hulp (CAO''s)'!$C$3:$C$6,
                    MATCH(TRUE,'Hulp (CAO''s)'!$D$3:$D$6,0)) &amp; "'!B1:B1000")) &lt; MATCH(
                    K26,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TEXT(J28,"0")) *
                (ROW(INDIRECT("'" &amp; INDEX('Hulp (CAO''s)'!$C$3:$C$6,
                    MATCH(TRUE,'Hulp (CAO''s)'!$D$3:$D$6,0)) &amp; "'!B1:B1000")) &gt; MATCH(
                    J26,
                    INDIRECT("'" &amp; INDEX('Hulp (CAO''s)'!$C$3:$C$6,
                        MATCH(TRUE,'Hulp (CAO''s)'!$D$3:$D$6,0)) &amp; "'!A:A"),
                    0
                )) *
                IF(
                    K26="",
                    1,
                    (ROW(INDIRECT("'" &amp; INDEX('Hulp (CAO''s)'!$C$3:$C$6,
                        MATCH(TRUE,'Hulp (CAO''s)'!$D$3:$D$6,0)) &amp; "'!B1:B1000")) &lt; MATCH(
                        K26,
                        INDIRECT("'" &amp; INDEX('Hulp (CAO''s)'!$C$3:$C$6,
                            MATCH(TRUE,'Hulp (CAO''s)'!$D$3:$D$6,0)) &amp; "'!A:A"),
                        0
                    ))
                ),
                ROW(INDIRECT("'" &amp; INDEX('Hulp (CAO''s)'!$C$3:$C$6,
                    MATCH(TRUE,'Hulp (CAO''s)'!$D$3:$D$6,0)) &amp; "'!B1:B1000"))
            )
        ),0)
    )
))</f>
        <v/>
      </c>
      <c r="K29" s="86" t="str">
        <f t="array" aca="1" ref="K29" ca="1">IF($B28="Gebruik % van maximum trede",
IF(
    OR(K26="",K27=""),
    "",
    MAX(
    INDIRECT("'" &amp; INDEX('Hulp (CAO''s)'!$C$3:$C$6,
        MATCH(TRUE,'Hulp (CAO''s)'!$D$3:$D$6,0)) &amp; "'!" &amp;
        INDEX('Hulp (CAO''s)'!$H$3:$H$6,
            MATCH(TRUE,'Hulp (CAO''s)'!$D$3:$D$6,0))
        &amp;
        MATCH(K26, INDIRECT("'" &amp; INDEX('Hulp (CAO''s)'!$C$3:$C$6,
            MATCH(TRUE,'Hulp (CAO''s)'!$D$3:$D$6,0)) &amp; "'!A:A"),0)
        &amp; ":H" &amp;
        IF(L26&lt;&gt;"",
            MATCH(L26, INDIRECT("'" &amp; INDEX('Hulp (CAO''s)'!$C$3:$C$6,
                MATCH(TRUE,'Hulp (CAO''s)'!$D$3:$D$6,0)) &amp; "'!A:A"),0)-1,
            1000
        )
    )
) * K27
),
IF(
    IFERROR(MIN(
        IF(
            (TRIM(INDIRECT("'" &amp; INDEX('Hulp (CAO''s)'!$C$3:$C$6,
                MATCH(TRUE,'Hulp (CAO''s)'!$D$3:$D$6,0)) &amp; "'!B1:B1000")) = TEXT(K28,"0")) *
            (ROW(INDIRECT("'" &amp; INDEX('Hulp (CAO''s)'!$C$3:$C$6,
                MATCH(TRUE,'Hulp (CAO''s)'!$D$3:$D$6,0)) &amp; "'!B1:B1000")) &gt; MATCH(
                K26,
                INDIRECT("'" &amp; INDEX('Hulp (CAO''s)'!$C$3:$C$6,
                    MATCH(TRUE,'Hulp (CAO''s)'!$D$3:$D$6,0)) &amp; "'!A:A"),
                0
            )) *
            IF(
                L26="",
                1,
                (ROW(INDIRECT("'" &amp; INDEX('Hulp (CAO''s)'!$C$3:$C$6,
                    MATCH(TRUE,'Hulp (CAO''s)'!$D$3:$D$6,0)) &amp; "'!B1:B1000")) &lt; MATCH(
                    L26,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TEXT(K28,"0")) *
                (ROW(INDIRECT("'" &amp; INDEX('Hulp (CAO''s)'!$C$3:$C$6,
                    MATCH(TRUE,'Hulp (CAO''s)'!$D$3:$D$6,0)) &amp; "'!B1:B1000")) &gt; MATCH(
                    K26,
                    INDIRECT("'" &amp; INDEX('Hulp (CAO''s)'!$C$3:$C$6,
                        MATCH(TRUE,'Hulp (CAO''s)'!$D$3:$D$6,0)) &amp; "'!A:A"),
                    0
                )) *
                IF(
                    L26="",
                    1,
                    (ROW(INDIRECT("'" &amp; INDEX('Hulp (CAO''s)'!$C$3:$C$6,
                        MATCH(TRUE,'Hulp (CAO''s)'!$D$3:$D$6,0)) &amp; "'!B1:B1000")) &lt; MATCH(
                        L26,
                        INDIRECT("'" &amp; INDEX('Hulp (CAO''s)'!$C$3:$C$6,
                            MATCH(TRUE,'Hulp (CAO''s)'!$D$3:$D$6,0)) &amp; "'!A:A"),
                        0
                    ))
                ),
                ROW(INDIRECT("'" &amp; INDEX('Hulp (CAO''s)'!$C$3:$C$6,
                    MATCH(TRUE,'Hulp (CAO''s)'!$D$3:$D$6,0)) &amp; "'!B1:B1000"))
            )
        ),0)
    )
))</f>
        <v/>
      </c>
      <c r="L29" s="86" t="str">
        <f t="array" aca="1" ref="L29" ca="1">IF($B28="Gebruik % van maximum trede",
IF(
    OR(L26="",L27=""),
    "",
    MAX(
    INDIRECT("'" &amp; INDEX('Hulp (CAO''s)'!$C$3:$C$6,
        MATCH(TRUE,'Hulp (CAO''s)'!$D$3:$D$6,0)) &amp; "'!" &amp;
        INDEX('Hulp (CAO''s)'!$H$3:$H$6,
            MATCH(TRUE,'Hulp (CAO''s)'!$D$3:$D$6,0))
        &amp;
        MATCH(L26, INDIRECT("'" &amp; INDEX('Hulp (CAO''s)'!$C$3:$C$6,
            MATCH(TRUE,'Hulp (CAO''s)'!$D$3:$D$6,0)) &amp; "'!A:A"),0)
        &amp; ":H" &amp;
        IF(M26&lt;&gt;"",
            MATCH(M26, INDIRECT("'" &amp; INDEX('Hulp (CAO''s)'!$C$3:$C$6,
                MATCH(TRUE,'Hulp (CAO''s)'!$D$3:$D$6,0)) &amp; "'!A:A"),0)-1,
            1000
        )
    )
) * L27
),
IF(
    IFERROR(MIN(
        IF(
            (TRIM(INDIRECT("'" &amp; INDEX('Hulp (CAO''s)'!$C$3:$C$6,
                MATCH(TRUE,'Hulp (CAO''s)'!$D$3:$D$6,0)) &amp; "'!B1:B1000")) = TEXT(L28,"0")) *
            (ROW(INDIRECT("'" &amp; INDEX('Hulp (CAO''s)'!$C$3:$C$6,
                MATCH(TRUE,'Hulp (CAO''s)'!$D$3:$D$6,0)) &amp; "'!B1:B1000")) &gt; MATCH(
                L26,
                INDIRECT("'" &amp; INDEX('Hulp (CAO''s)'!$C$3:$C$6,
                    MATCH(TRUE,'Hulp (CAO''s)'!$D$3:$D$6,0)) &amp; "'!A:A"),
                0
            )) *
            IF(
                M26="",
                1,
                (ROW(INDIRECT("'" &amp; INDEX('Hulp (CAO''s)'!$C$3:$C$6,
                    MATCH(TRUE,'Hulp (CAO''s)'!$D$3:$D$6,0)) &amp; "'!B1:B1000")) &lt; MATCH(
                    M26,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TEXT(L28,"0")) *
                (ROW(INDIRECT("'" &amp; INDEX('Hulp (CAO''s)'!$C$3:$C$6,
                    MATCH(TRUE,'Hulp (CAO''s)'!$D$3:$D$6,0)) &amp; "'!B1:B1000")) &gt; MATCH(
                    L26,
                    INDIRECT("'" &amp; INDEX('Hulp (CAO''s)'!$C$3:$C$6,
                        MATCH(TRUE,'Hulp (CAO''s)'!$D$3:$D$6,0)) &amp; "'!A:A"),
                    0
                )) *
                IF(
                    M26="",
                    1,
                    (ROW(INDIRECT("'" &amp; INDEX('Hulp (CAO''s)'!$C$3:$C$6,
                        MATCH(TRUE,'Hulp (CAO''s)'!$D$3:$D$6,0)) &amp; "'!B1:B1000")) &lt; MATCH(
                        M26,
                        INDIRECT("'" &amp; INDEX('Hulp (CAO''s)'!$C$3:$C$6,
                            MATCH(TRUE,'Hulp (CAO''s)'!$D$3:$D$6,0)) &amp; "'!A:A"),
                        0
                    ))
                ),
                ROW(INDIRECT("'" &amp; INDEX('Hulp (CAO''s)'!$C$3:$C$6,
                    MATCH(TRUE,'Hulp (CAO''s)'!$D$3:$D$6,0)) &amp; "'!B1:B1000"))
            )
        ),0)
    )
))</f>
        <v/>
      </c>
      <c r="M29" s="86" t="str">
        <f t="array" aca="1" ref="M29" ca="1">IF($B28="Gebruik % van maximum trede",
IF(
    OR(M26="",M27=""),
    "",
    MAX(
    INDIRECT("'" &amp; INDEX('Hulp (CAO''s)'!$C$3:$C$6,
        MATCH(TRUE,'Hulp (CAO''s)'!$D$3:$D$6,0)) &amp; "'!" &amp;
        INDEX('Hulp (CAO''s)'!$H$3:$H$6,
            MATCH(TRUE,'Hulp (CAO''s)'!$D$3:$D$6,0))
        &amp;
        MATCH(M26, INDIRECT("'" &amp; INDEX('Hulp (CAO''s)'!$C$3:$C$6,
            MATCH(TRUE,'Hulp (CAO''s)'!$D$3:$D$6,0)) &amp; "'!A:A"),0)
        &amp; ":H" &amp;
        IF(N26&lt;&gt;"",
            MATCH(N26, INDIRECT("'" &amp; INDEX('Hulp (CAO''s)'!$C$3:$C$6,
                MATCH(TRUE,'Hulp (CAO''s)'!$D$3:$D$6,0)) &amp; "'!A:A"),0)-1,
            1000
        )
    )
) * M27
),
IF(
    IFERROR(MIN(
        IF(
            (TRIM(INDIRECT("'" &amp; INDEX('Hulp (CAO''s)'!$C$3:$C$6,
                MATCH(TRUE,'Hulp (CAO''s)'!$D$3:$D$6,0)) &amp; "'!B1:B1000")) = TEXT(M28,"0")) *
            (ROW(INDIRECT("'" &amp; INDEX('Hulp (CAO''s)'!$C$3:$C$6,
                MATCH(TRUE,'Hulp (CAO''s)'!$D$3:$D$6,0)) &amp; "'!B1:B1000")) &gt; MATCH(
                M26,
                INDIRECT("'" &amp; INDEX('Hulp (CAO''s)'!$C$3:$C$6,
                    MATCH(TRUE,'Hulp (CAO''s)'!$D$3:$D$6,0)) &amp; "'!A:A"),
                0
            )) *
            IF(
                N26="",
                1,
                (ROW(INDIRECT("'" &amp; INDEX('Hulp (CAO''s)'!$C$3:$C$6,
                    MATCH(TRUE,'Hulp (CAO''s)'!$D$3:$D$6,0)) &amp; "'!B1:B1000")) &lt; MATCH(
                    N26,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TEXT(M28,"0")) *
                (ROW(INDIRECT("'" &amp; INDEX('Hulp (CAO''s)'!$C$3:$C$6,
                    MATCH(TRUE,'Hulp (CAO''s)'!$D$3:$D$6,0)) &amp; "'!B1:B1000")) &gt; MATCH(
                    M26,
                    INDIRECT("'" &amp; INDEX('Hulp (CAO''s)'!$C$3:$C$6,
                        MATCH(TRUE,'Hulp (CAO''s)'!$D$3:$D$6,0)) &amp; "'!A:A"),
                    0
                )) *
                IF(
                    N26="",
                    1,
                    (ROW(INDIRECT("'" &amp; INDEX('Hulp (CAO''s)'!$C$3:$C$6,
                        MATCH(TRUE,'Hulp (CAO''s)'!$D$3:$D$6,0)) &amp; "'!B1:B1000")) &lt; MATCH(
                        N26,
                        INDIRECT("'" &amp; INDEX('Hulp (CAO''s)'!$C$3:$C$6,
                            MATCH(TRUE,'Hulp (CAO''s)'!$D$3:$D$6,0)) &amp; "'!A:A"),
                        0
                    ))
                ),
                ROW(INDIRECT("'" &amp; INDEX('Hulp (CAO''s)'!$C$3:$C$6,
                    MATCH(TRUE,'Hulp (CAO''s)'!$D$3:$D$6,0)) &amp; "'!B1:B1000"))
            )
        ),0)
    )
))</f>
        <v/>
      </c>
      <c r="N29" s="86" t="str">
        <f t="array" aca="1" ref="N29" ca="1">IF($B28="Gebruik % van maximum trede",
IF(
    OR(N26="",N27=""),
    "",
    MAX(
    INDIRECT("'" &amp; INDEX('Hulp (CAO''s)'!$C$3:$C$6,
        MATCH(TRUE,'Hulp (CAO''s)'!$D$3:$D$6,0)) &amp; "'!" &amp;
        INDEX('Hulp (CAO''s)'!$H$3:$H$6,
            MATCH(TRUE,'Hulp (CAO''s)'!$D$3:$D$6,0))
        &amp;
        MATCH(N26, INDIRECT("'" &amp; INDEX('Hulp (CAO''s)'!$C$3:$C$6,
            MATCH(TRUE,'Hulp (CAO''s)'!$D$3:$D$6,0)) &amp; "'!A:A"),0)
        &amp; ":H" &amp;
        IF(O26&lt;&gt;"",
            MATCH(O26, INDIRECT("'" &amp; INDEX('Hulp (CAO''s)'!$C$3:$C$6,
                MATCH(TRUE,'Hulp (CAO''s)'!$D$3:$D$6,0)) &amp; "'!A:A"),0)-1,
            1000
        )
    )
) * N27
),
IF(
    IFERROR(MIN(
        IF(
            (TRIM(INDIRECT("'" &amp; INDEX('Hulp (CAO''s)'!$C$3:$C$6,
                MATCH(TRUE,'Hulp (CAO''s)'!$D$3:$D$6,0)) &amp; "'!B1:B1000")) = TEXT(N28,"0")) *
            (ROW(INDIRECT("'" &amp; INDEX('Hulp (CAO''s)'!$C$3:$C$6,
                MATCH(TRUE,'Hulp (CAO''s)'!$D$3:$D$6,0)) &amp; "'!B1:B1000")) &gt; MATCH(
                N26,
                INDIRECT("'" &amp; INDEX('Hulp (CAO''s)'!$C$3:$C$6,
                    MATCH(TRUE,'Hulp (CAO''s)'!$D$3:$D$6,0)) &amp; "'!A:A"),
                0
            )) *
            IF(
                O26="",
                1,
                (ROW(INDIRECT("'" &amp; INDEX('Hulp (CAO''s)'!$C$3:$C$6,
                    MATCH(TRUE,'Hulp (CAO''s)'!$D$3:$D$6,0)) &amp; "'!B1:B1000")) &lt; MATCH(
                    O26,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TEXT(N28,"0")) *
                (ROW(INDIRECT("'" &amp; INDEX('Hulp (CAO''s)'!$C$3:$C$6,
                    MATCH(TRUE,'Hulp (CAO''s)'!$D$3:$D$6,0)) &amp; "'!B1:B1000")) &gt; MATCH(
                    N26,
                    INDIRECT("'" &amp; INDEX('Hulp (CAO''s)'!$C$3:$C$6,
                        MATCH(TRUE,'Hulp (CAO''s)'!$D$3:$D$6,0)) &amp; "'!A:A"),
                    0
                )) *
                IF(
                    O26="",
                    1,
                    (ROW(INDIRECT("'" &amp; INDEX('Hulp (CAO''s)'!$C$3:$C$6,
                        MATCH(TRUE,'Hulp (CAO''s)'!$D$3:$D$6,0)) &amp; "'!B1:B1000")) &lt; MATCH(
                        O26,
                        INDIRECT("'" &amp; INDEX('Hulp (CAO''s)'!$C$3:$C$6,
                            MATCH(TRUE,'Hulp (CAO''s)'!$D$3:$D$6,0)) &amp; "'!A:A"),
                        0
                    ))
                ),
                ROW(INDIRECT("'" &amp; INDEX('Hulp (CAO''s)'!$C$3:$C$6,
                    MATCH(TRUE,'Hulp (CAO''s)'!$D$3:$D$6,0)) &amp; "'!B1:B1000"))
            )
        ),0)
    )
))</f>
        <v/>
      </c>
      <c r="O29" s="86" t="str">
        <f t="array" aca="1" ref="O29" ca="1">IF($B28="Gebruik % van maximum trede",
IF(
    OR(O26="",O27=""),
    "",
    MAX(
    INDIRECT("'" &amp; INDEX('Hulp (CAO''s)'!$C$3:$C$6,
        MATCH(TRUE,'Hulp (CAO''s)'!$D$3:$D$6,0)) &amp; "'!" &amp;
        INDEX('Hulp (CAO''s)'!$H$3:$H$6,
            MATCH(TRUE,'Hulp (CAO''s)'!$D$3:$D$6,0))
        &amp;
        MATCH(O26, INDIRECT("'" &amp; INDEX('Hulp (CAO''s)'!$C$3:$C$6,
            MATCH(TRUE,'Hulp (CAO''s)'!$D$3:$D$6,0)) &amp; "'!A:A"),0)
        &amp; ":H" &amp;
        IF(P26&lt;&gt;"",
            MATCH(P26, INDIRECT("'" &amp; INDEX('Hulp (CAO''s)'!$C$3:$C$6,
                MATCH(TRUE,'Hulp (CAO''s)'!$D$3:$D$6,0)) &amp; "'!A:A"),0)-1,
            1000
        )
    )
) * O27
),
IF(
    IFERROR(MIN(
        IF(
            (TRIM(INDIRECT("'" &amp; INDEX('Hulp (CAO''s)'!$C$3:$C$6,
                MATCH(TRUE,'Hulp (CAO''s)'!$D$3:$D$6,0)) &amp; "'!B1:B1000")) = TEXT(O28,"0")) *
            (ROW(INDIRECT("'" &amp; INDEX('Hulp (CAO''s)'!$C$3:$C$6,
                MATCH(TRUE,'Hulp (CAO''s)'!$D$3:$D$6,0)) &amp; "'!B1:B1000")) &gt; MATCH(
                O26,
                INDIRECT("'" &amp; INDEX('Hulp (CAO''s)'!$C$3:$C$6,
                    MATCH(TRUE,'Hulp (CAO''s)'!$D$3:$D$6,0)) &amp; "'!A:A"),
                0
            )) *
            IF(
                P26="",
                1,
                (ROW(INDIRECT("'" &amp; INDEX('Hulp (CAO''s)'!$C$3:$C$6,
                    MATCH(TRUE,'Hulp (CAO''s)'!$D$3:$D$6,0)) &amp; "'!B1:B1000")) &lt; MATCH(
                    P26,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TEXT(O28,"0")) *
                (ROW(INDIRECT("'" &amp; INDEX('Hulp (CAO''s)'!$C$3:$C$6,
                    MATCH(TRUE,'Hulp (CAO''s)'!$D$3:$D$6,0)) &amp; "'!B1:B1000")) &gt; MATCH(
                    O26,
                    INDIRECT("'" &amp; INDEX('Hulp (CAO''s)'!$C$3:$C$6,
                        MATCH(TRUE,'Hulp (CAO''s)'!$D$3:$D$6,0)) &amp; "'!A:A"),
                    0
                )) *
                IF(
                    P26="",
                    1,
                    (ROW(INDIRECT("'" &amp; INDEX('Hulp (CAO''s)'!$C$3:$C$6,
                        MATCH(TRUE,'Hulp (CAO''s)'!$D$3:$D$6,0)) &amp; "'!B1:B1000")) &lt; MATCH(
                        P26,
                        INDIRECT("'" &amp; INDEX('Hulp (CAO''s)'!$C$3:$C$6,
                            MATCH(TRUE,'Hulp (CAO''s)'!$D$3:$D$6,0)) &amp; "'!A:A"),
                        0
                    ))
                ),
                ROW(INDIRECT("'" &amp; INDEX('Hulp (CAO''s)'!$C$3:$C$6,
                    MATCH(TRUE,'Hulp (CAO''s)'!$D$3:$D$6,0)) &amp; "'!B1:B1000"))
            )
        ),0)
    )
))</f>
        <v/>
      </c>
      <c r="P29" s="86" t="str">
        <f t="array" aca="1" ref="P29" ca="1">IF($B28="Gebruik % van maximum trede",
IF(
    OR(P26="",P27=""),
    "",
    MAX(
    INDIRECT("'" &amp; INDEX('Hulp (CAO''s)'!$C$3:$C$6,
        MATCH(TRUE,'Hulp (CAO''s)'!$D$3:$D$6,0)) &amp; "'!" &amp;
        INDEX('Hulp (CAO''s)'!$H$3:$H$6,
            MATCH(TRUE,'Hulp (CAO''s)'!$D$3:$D$6,0))
        &amp;
        MATCH(P26, INDIRECT("'" &amp; INDEX('Hulp (CAO''s)'!$C$3:$C$6,
            MATCH(TRUE,'Hulp (CAO''s)'!$D$3:$D$6,0)) &amp; "'!A:A"),0)
        &amp; ":H" &amp;
        IF(Q26&lt;&gt;"",
            MATCH(Q26, INDIRECT("'" &amp; INDEX('Hulp (CAO''s)'!$C$3:$C$6,
                MATCH(TRUE,'Hulp (CAO''s)'!$D$3:$D$6,0)) &amp; "'!A:A"),0)-1,
            1000
        )
    )
) * P27
),
IF(
    IFERROR(MIN(
        IF(
            (TRIM(INDIRECT("'" &amp; INDEX('Hulp (CAO''s)'!$C$3:$C$6,
                MATCH(TRUE,'Hulp (CAO''s)'!$D$3:$D$6,0)) &amp; "'!B1:B1000")) = TEXT(P28,"0")) *
            (ROW(INDIRECT("'" &amp; INDEX('Hulp (CAO''s)'!$C$3:$C$6,
                MATCH(TRUE,'Hulp (CAO''s)'!$D$3:$D$6,0)) &amp; "'!B1:B1000")) &gt; MATCH(
                P26,
                INDIRECT("'" &amp; INDEX('Hulp (CAO''s)'!$C$3:$C$6,
                    MATCH(TRUE,'Hulp (CAO''s)'!$D$3:$D$6,0)) &amp; "'!A:A"),
                0
            )) *
            IF(
                Q26="",
                1,
                (ROW(INDIRECT("'" &amp; INDEX('Hulp (CAO''s)'!$C$3:$C$6,
                    MATCH(TRUE,'Hulp (CAO''s)'!$D$3:$D$6,0)) &amp; "'!B1:B1000")) &lt; MATCH(
                    Q26,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TEXT(P28,"0")) *
                (ROW(INDIRECT("'" &amp; INDEX('Hulp (CAO''s)'!$C$3:$C$6,
                    MATCH(TRUE,'Hulp (CAO''s)'!$D$3:$D$6,0)) &amp; "'!B1:B1000")) &gt; MATCH(
                    P26,
                    INDIRECT("'" &amp; INDEX('Hulp (CAO''s)'!$C$3:$C$6,
                        MATCH(TRUE,'Hulp (CAO''s)'!$D$3:$D$6,0)) &amp; "'!A:A"),
                    0
                )) *
                IF(
                    Q26="",
                    1,
                    (ROW(INDIRECT("'" &amp; INDEX('Hulp (CAO''s)'!$C$3:$C$6,
                        MATCH(TRUE,'Hulp (CAO''s)'!$D$3:$D$6,0)) &amp; "'!B1:B1000")) &lt; MATCH(
                        Q26,
                        INDIRECT("'" &amp; INDEX('Hulp (CAO''s)'!$C$3:$C$6,
                            MATCH(TRUE,'Hulp (CAO''s)'!$D$3:$D$6,0)) &amp; "'!A:A"),
                        0
                    ))
                ),
                ROW(INDIRECT("'" &amp; INDEX('Hulp (CAO''s)'!$C$3:$C$6,
                    MATCH(TRUE,'Hulp (CAO''s)'!$D$3:$D$6,0)) &amp; "'!B1:B1000"))
            )
        ),0)
    )
))</f>
        <v/>
      </c>
      <c r="Q29" s="86" t="str">
        <f t="array" aca="1" ref="Q29" ca="1">IF($B28="Gebruik % van maximum trede",
IF(
    OR(Q26="",Q27=""),
    "",
    MAX(
    INDIRECT("'" &amp; INDEX('Hulp (CAO''s)'!$C$3:$C$6,
        MATCH(TRUE,'Hulp (CAO''s)'!$D$3:$D$6,0)) &amp; "'!" &amp;
        INDEX('Hulp (CAO''s)'!$H$3:$H$6,
            MATCH(TRUE,'Hulp (CAO''s)'!$D$3:$D$6,0))
        &amp;
        MATCH(Q26, INDIRECT("'" &amp; INDEX('Hulp (CAO''s)'!$C$3:$C$6,
            MATCH(TRUE,'Hulp (CAO''s)'!$D$3:$D$6,0)) &amp; "'!A:A"),0)
        &amp; ":H" &amp;
        IF(R26&lt;&gt;"",
            MATCH(R26, INDIRECT("'" &amp; INDEX('Hulp (CAO''s)'!$C$3:$C$6,
                MATCH(TRUE,'Hulp (CAO''s)'!$D$3:$D$6,0)) &amp; "'!A:A"),0)-1,
            1000
        )
    )
) * Q27
),
IF(
    IFERROR(MIN(
        IF(
            (TRIM(INDIRECT("'" &amp; INDEX('Hulp (CAO''s)'!$C$3:$C$6,
                MATCH(TRUE,'Hulp (CAO''s)'!$D$3:$D$6,0)) &amp; "'!B1:B1000")) = TEXT(Q28,"0")) *
            (ROW(INDIRECT("'" &amp; INDEX('Hulp (CAO''s)'!$C$3:$C$6,
                MATCH(TRUE,'Hulp (CAO''s)'!$D$3:$D$6,0)) &amp; "'!B1:B1000")) &gt; MATCH(
                Q26,
                INDIRECT("'" &amp; INDEX('Hulp (CAO''s)'!$C$3:$C$6,
                    MATCH(TRUE,'Hulp (CAO''s)'!$D$3:$D$6,0)) &amp; "'!A:A"),
                0
            )) *
            IF(
                R26="",
                1,
                (ROW(INDIRECT("'" &amp; INDEX('Hulp (CAO''s)'!$C$3:$C$6,
                    MATCH(TRUE,'Hulp (CAO''s)'!$D$3:$D$6,0)) &amp; "'!B1:B1000")) &lt; MATCH(
                    R26,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TEXT(Q28,"0")) *
                (ROW(INDIRECT("'" &amp; INDEX('Hulp (CAO''s)'!$C$3:$C$6,
                    MATCH(TRUE,'Hulp (CAO''s)'!$D$3:$D$6,0)) &amp; "'!B1:B1000")) &gt; MATCH(
                    Q26,
                    INDIRECT("'" &amp; INDEX('Hulp (CAO''s)'!$C$3:$C$6,
                        MATCH(TRUE,'Hulp (CAO''s)'!$D$3:$D$6,0)) &amp; "'!A:A"),
                    0
                )) *
                IF(
                    R26="",
                    1,
                    (ROW(INDIRECT("'" &amp; INDEX('Hulp (CAO''s)'!$C$3:$C$6,
                        MATCH(TRUE,'Hulp (CAO''s)'!$D$3:$D$6,0)) &amp; "'!B1:B1000")) &lt; MATCH(
                        R26,
                        INDIRECT("'" &amp; INDEX('Hulp (CAO''s)'!$C$3:$C$6,
                            MATCH(TRUE,'Hulp (CAO''s)'!$D$3:$D$6,0)) &amp; "'!A:A"),
                        0
                    ))
                ),
                ROW(INDIRECT("'" &amp; INDEX('Hulp (CAO''s)'!$C$3:$C$6,
                    MATCH(TRUE,'Hulp (CAO''s)'!$D$3:$D$6,0)) &amp; "'!B1:B1000"))
            )
        ),0)
    )
))</f>
        <v/>
      </c>
      <c r="R29" s="86" t="str">
        <f t="array" aca="1" ref="R29" ca="1">IF($B28="Gebruik % van maximum trede",
IF(
    OR(R26="",R27=""),
    "",
    MAX(
    INDIRECT("'" &amp; INDEX('Hulp (CAO''s)'!$C$3:$C$6,
        MATCH(TRUE,'Hulp (CAO''s)'!$D$3:$D$6,0)) &amp; "'!" &amp;
        INDEX('Hulp (CAO''s)'!$H$3:$H$6,
            MATCH(TRUE,'Hulp (CAO''s)'!$D$3:$D$6,0))
        &amp;
        MATCH(R26, INDIRECT("'" &amp; INDEX('Hulp (CAO''s)'!$C$3:$C$6,
            MATCH(TRUE,'Hulp (CAO''s)'!$D$3:$D$6,0)) &amp; "'!A:A"),0)
        &amp; ":H" &amp;
        IF(S26&lt;&gt;"",
            MATCH(S26, INDIRECT("'" &amp; INDEX('Hulp (CAO''s)'!$C$3:$C$6,
                MATCH(TRUE,'Hulp (CAO''s)'!$D$3:$D$6,0)) &amp; "'!A:A"),0)-1,
            1000
        )
    )
) * R27
),
IF(
    IFERROR(MIN(
        IF(
            (TRIM(INDIRECT("'" &amp; INDEX('Hulp (CAO''s)'!$C$3:$C$6,
                MATCH(TRUE,'Hulp (CAO''s)'!$D$3:$D$6,0)) &amp; "'!B1:B1000")) = TEXT(R28,"0")) *
            (ROW(INDIRECT("'" &amp; INDEX('Hulp (CAO''s)'!$C$3:$C$6,
                MATCH(TRUE,'Hulp (CAO''s)'!$D$3:$D$6,0)) &amp; "'!B1:B1000")) &gt; MATCH(
                R26,
                INDIRECT("'" &amp; INDEX('Hulp (CAO''s)'!$C$3:$C$6,
                    MATCH(TRUE,'Hulp (CAO''s)'!$D$3:$D$6,0)) &amp; "'!A:A"),
                0
            )) *
            IF(
                S26="",
                1,
                (ROW(INDIRECT("'" &amp; INDEX('Hulp (CAO''s)'!$C$3:$C$6,
                    MATCH(TRUE,'Hulp (CAO''s)'!$D$3:$D$6,0)) &amp; "'!B1:B1000")) &lt; MATCH(
                    S26,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TEXT(R28,"0")) *
                (ROW(INDIRECT("'" &amp; INDEX('Hulp (CAO''s)'!$C$3:$C$6,
                    MATCH(TRUE,'Hulp (CAO''s)'!$D$3:$D$6,0)) &amp; "'!B1:B1000")) &gt; MATCH(
                    R26,
                    INDIRECT("'" &amp; INDEX('Hulp (CAO''s)'!$C$3:$C$6,
                        MATCH(TRUE,'Hulp (CAO''s)'!$D$3:$D$6,0)) &amp; "'!A:A"),
                    0
                )) *
                IF(
                    S26="",
                    1,
                    (ROW(INDIRECT("'" &amp; INDEX('Hulp (CAO''s)'!$C$3:$C$6,
                        MATCH(TRUE,'Hulp (CAO''s)'!$D$3:$D$6,0)) &amp; "'!B1:B1000")) &lt; MATCH(
                        S26,
                        INDIRECT("'" &amp; INDEX('Hulp (CAO''s)'!$C$3:$C$6,
                            MATCH(TRUE,'Hulp (CAO''s)'!$D$3:$D$6,0)) &amp; "'!A:A"),
                        0
                    ))
                ),
                ROW(INDIRECT("'" &amp; INDEX('Hulp (CAO''s)'!$C$3:$C$6,
                    MATCH(TRUE,'Hulp (CAO''s)'!$D$3:$D$6,0)) &amp; "'!B1:B1000"))
            )
        ),0)
    )
))</f>
        <v/>
      </c>
      <c r="S29" s="86" t="str">
        <f t="array" aca="1" ref="S29" ca="1">IF($B28="Gebruik % van maximum trede",
IF(
    OR(S26="",S27=""),
    "",
    MAX(
    INDIRECT("'" &amp; INDEX('Hulp (CAO''s)'!$C$3:$C$6,
        MATCH(TRUE,'Hulp (CAO''s)'!$D$3:$D$6,0)) &amp; "'!" &amp;
        INDEX('Hulp (CAO''s)'!$H$3:$H$6,
            MATCH(TRUE,'Hulp (CAO''s)'!$D$3:$D$6,0))
        &amp;
        MATCH(S26, INDIRECT("'" &amp; INDEX('Hulp (CAO''s)'!$C$3:$C$6,
            MATCH(TRUE,'Hulp (CAO''s)'!$D$3:$D$6,0)) &amp; "'!A:A"),0)
        &amp; ":H" &amp;
        IF(T26&lt;&gt;"",
            MATCH(T26, INDIRECT("'" &amp; INDEX('Hulp (CAO''s)'!$C$3:$C$6,
                MATCH(TRUE,'Hulp (CAO''s)'!$D$3:$D$6,0)) &amp; "'!A:A"),0)-1,
            1000
        )
    )
) * S27
),
IF(
    IFERROR(MIN(
        IF(
            (TRIM(INDIRECT("'" &amp; INDEX('Hulp (CAO''s)'!$C$3:$C$6,
                MATCH(TRUE,'Hulp (CAO''s)'!$D$3:$D$6,0)) &amp; "'!B1:B1000")) = TEXT(S28,"0")) *
            (ROW(INDIRECT("'" &amp; INDEX('Hulp (CAO''s)'!$C$3:$C$6,
                MATCH(TRUE,'Hulp (CAO''s)'!$D$3:$D$6,0)) &amp; "'!B1:B1000")) &gt; MATCH(
                S26,
                INDIRECT("'" &amp; INDEX('Hulp (CAO''s)'!$C$3:$C$6,
                    MATCH(TRUE,'Hulp (CAO''s)'!$D$3:$D$6,0)) &amp; "'!A:A"),
                0
            )) *
            IF(
                T26="",
                1,
                (ROW(INDIRECT("'" &amp; INDEX('Hulp (CAO''s)'!$C$3:$C$6,
                    MATCH(TRUE,'Hulp (CAO''s)'!$D$3:$D$6,0)) &amp; "'!B1:B1000")) &lt; MATCH(
                    T26,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TEXT(S28,"0")) *
                (ROW(INDIRECT("'" &amp; INDEX('Hulp (CAO''s)'!$C$3:$C$6,
                    MATCH(TRUE,'Hulp (CAO''s)'!$D$3:$D$6,0)) &amp; "'!B1:B1000")) &gt; MATCH(
                    S26,
                    INDIRECT("'" &amp; INDEX('Hulp (CAO''s)'!$C$3:$C$6,
                        MATCH(TRUE,'Hulp (CAO''s)'!$D$3:$D$6,0)) &amp; "'!A:A"),
                    0
                )) *
                IF(
                    T26="",
                    1,
                    (ROW(INDIRECT("'" &amp; INDEX('Hulp (CAO''s)'!$C$3:$C$6,
                        MATCH(TRUE,'Hulp (CAO''s)'!$D$3:$D$6,0)) &amp; "'!B1:B1000")) &lt; MATCH(
                        T26,
                        INDIRECT("'" &amp; INDEX('Hulp (CAO''s)'!$C$3:$C$6,
                            MATCH(TRUE,'Hulp (CAO''s)'!$D$3:$D$6,0)) &amp; "'!A:A"),
                        0
                    ))
                ),
                ROW(INDIRECT("'" &amp; INDEX('Hulp (CAO''s)'!$C$3:$C$6,
                    MATCH(TRUE,'Hulp (CAO''s)'!$D$3:$D$6,0)) &amp; "'!B1:B1000"))
            )
        ),0)
    )
))</f>
        <v/>
      </c>
      <c r="T29" s="39" t="str">
        <f t="array" aca="1" ref="T29" ca="1">IF($B28="Gebruik % van maximum trede",
IF(
    OR(T26="",T27=""),
    "",
    MAX(
    INDIRECT("'" &amp; INDEX('Hulp (CAO''s)'!$C$3:$C$6,
        MATCH(TRUE,'Hulp (CAO''s)'!$D$3:$D$6,0)) &amp; "'!" &amp;
        INDEX('Hulp (CAO''s)'!$H$3:$H$6,
            MATCH(TRUE,'Hulp (CAO''s)'!$D$3:$D$6,0))
        &amp;
        MATCH(T26, INDIRECT("'" &amp; INDEX('Hulp (CAO''s)'!$C$3:$C$6,
            MATCH(TRUE,'Hulp (CAO''s)'!$D$3:$D$6,0)) &amp; "'!A:A"),0)
        &amp; ":H" &amp;
        IF(U26&lt;&gt;"",
            MATCH(U26, INDIRECT("'" &amp; INDEX('Hulp (CAO''s)'!$C$3:$C$6,
                MATCH(TRUE,'Hulp (CAO''s)'!$D$3:$D$6,0)) &amp; "'!A:A"),0)-1,
            1000
        )
    )
) * T27
),
IF(
    IFERROR(MIN(
        IF(
            (TRIM(INDIRECT("'" &amp; INDEX('Hulp (CAO''s)'!$C$3:$C$6,
                MATCH(TRUE,'Hulp (CAO''s)'!$D$3:$D$6,0)) &amp; "'!B1:B1000")) = TEXT(T28,"0")) *
            (ROW(INDIRECT("'" &amp; INDEX('Hulp (CAO''s)'!$C$3:$C$6,
                MATCH(TRUE,'Hulp (CAO''s)'!$D$3:$D$6,0)) &amp; "'!B1:B1000")) &gt; MATCH(
                T26,
                INDIRECT("'" &amp; INDEX('Hulp (CAO''s)'!$C$3:$C$6,
                    MATCH(TRUE,'Hulp (CAO''s)'!$D$3:$D$6,0)) &amp; "'!A:A"),
                0
            )) *
            IF(
                U26="",
                1,
                (ROW(INDIRECT("'" &amp; INDEX('Hulp (CAO''s)'!$C$3:$C$6,
                    MATCH(TRUE,'Hulp (CAO''s)'!$D$3:$D$6,0)) &amp; "'!B1:B1000")) &lt; MATCH(
                    U26,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TEXT(T28,"0")) *
                (ROW(INDIRECT("'" &amp; INDEX('Hulp (CAO''s)'!$C$3:$C$6,
                    MATCH(TRUE,'Hulp (CAO''s)'!$D$3:$D$6,0)) &amp; "'!B1:B1000")) &gt; MATCH(
                    T26,
                    INDIRECT("'" &amp; INDEX('Hulp (CAO''s)'!$C$3:$C$6,
                        MATCH(TRUE,'Hulp (CAO''s)'!$D$3:$D$6,0)) &amp; "'!A:A"),
                    0
                )) *
                IF(
                    U26="",
                    1,
                    (ROW(INDIRECT("'" &amp; INDEX('Hulp (CAO''s)'!$C$3:$C$6,
                        MATCH(TRUE,'Hulp (CAO''s)'!$D$3:$D$6,0)) &amp; "'!B1:B1000")) &lt; MATCH(
                        U26,
                        INDIRECT("'" &amp; INDEX('Hulp (CAO''s)'!$C$3:$C$6,
                            MATCH(TRUE,'Hulp (CAO''s)'!$D$3:$D$6,0)) &amp; "'!A:A"),
                        0
                    ))
                ),
                ROW(INDIRECT("'" &amp; INDEX('Hulp (CAO''s)'!$C$3:$C$6,
                    MATCH(TRUE,'Hulp (CAO''s)'!$D$3:$D$6,0)) &amp; "'!B1:B1000"))
            )
        ),0)
    )
))</f>
        <v/>
      </c>
      <c r="V29" s="38" t="str">
        <f t="array" aca="1" ref="V29" ca="1">IF(
   SUM(E29:T29)=0,
   "",
   (
      SUMPRODUCT(
         IF(E29:T29="",0,E29:T29),
         IF(E30:T30="",0,E30:T30) * SUM(E30:T30)
      )
   ) *
   IF(
      'Hulp (CAO''s)'!#REF!,
      IF(
         OR(
            INDEX(#REF!, ROW(#REF!) + INT((ROW()-ROW($V$8))/6)*8)="",
            ISNA(INDEX(#REF!, ROW(#REF!) + INT((ROW()-ROW($V$8))/6)*8))
         ),
         1878/12,
         INDEX(#REF!, ROW(#REF!) + INT((ROW()-ROW($V$8))/6)*8)/12
      ),
      1
   )
)</f>
        <v/>
      </c>
    </row>
    <row r="30" spans="2:24" ht="14.65" thickBot="1" x14ac:dyDescent="0.5">
      <c r="B30" s="48" t="s">
        <v>60</v>
      </c>
      <c r="D30" s="24" t="s">
        <v>59</v>
      </c>
      <c r="E30" s="8">
        <v>0.05</v>
      </c>
      <c r="F30" s="8">
        <v>0.1</v>
      </c>
      <c r="G30" s="8">
        <v>0.1</v>
      </c>
      <c r="H30" s="8">
        <v>0.15</v>
      </c>
      <c r="I30" s="8">
        <v>0.2</v>
      </c>
      <c r="J30" s="8">
        <v>0.15</v>
      </c>
      <c r="K30" s="8">
        <v>0.1</v>
      </c>
      <c r="L30" s="8">
        <v>0.05</v>
      </c>
      <c r="M30" s="8">
        <v>0.05</v>
      </c>
      <c r="N30" s="8">
        <v>0.05</v>
      </c>
      <c r="O30" s="8">
        <v>0</v>
      </c>
      <c r="P30" s="8"/>
      <c r="Q30" s="8"/>
      <c r="R30" s="8"/>
      <c r="S30" s="8"/>
      <c r="T30" s="9"/>
      <c r="U30" s="7"/>
      <c r="V30" s="37" t="str">
        <f ca="1">IF(B26="","",IF(INDIRECT("'Hulp (control forms)'!C" &amp; (13 + INT((ROW()-ROW($B$5))/6))), V28, V29))</f>
        <v/>
      </c>
      <c r="W30" s="7"/>
    </row>
    <row r="31" spans="2:24" x14ac:dyDescent="0.5">
      <c r="S31" s="7" t="str">
        <f>IF($B30="Aandeel in %",
   "Totaal: "&amp;SUM(E30:T30)*100&amp;"%",
   "Totaal: "&amp;SUM(E30:T30)&amp;" uur"
)</f>
        <v>Totaal: 100%</v>
      </c>
      <c r="T31" s="7"/>
    </row>
    <row r="32" spans="2:24" ht="16.149999999999999" thickBot="1" x14ac:dyDescent="0.55000000000000004">
      <c r="B32" s="44" t="str">
        <f ca="1">IF(B33="","",IF(
   OR(
      INDIRECT("'1a. Input organisatieniveau'!N" &amp; (14 + INT((ROW()-4)/7)))="",
      INDIRECT("'1a. Input organisatieniveau'!N" &amp; (14 + INT((ROW()-4)/7)))=0
   ),
   "",
   INDIRECT("'1a. Input organisatieniveau'!N" &amp; (14 + INT((ROW()-4)/7)))
))</f>
        <v/>
      </c>
      <c r="E32" s="61" t="str">
        <f t="shared" ref="E32:T32" ca="1" si="4">IF($B35="Gebruik % van maximum trede", IF(AND(AND(E33&lt;&gt;"",E34&lt;&gt;""),E36=""),"!",""), IF(AND(AND(E33&lt;&gt;"",E35&lt;&gt;""),E36=""),"!",""))</f>
        <v/>
      </c>
      <c r="F32" s="61" t="str">
        <f t="shared" ca="1" si="4"/>
        <v/>
      </c>
      <c r="G32" s="61" t="str">
        <f t="shared" ca="1" si="4"/>
        <v/>
      </c>
      <c r="H32" s="61" t="str">
        <f t="shared" ca="1" si="4"/>
        <v/>
      </c>
      <c r="I32" s="61" t="str">
        <f t="shared" ca="1" si="4"/>
        <v/>
      </c>
      <c r="J32" s="61" t="str">
        <f t="shared" ca="1" si="4"/>
        <v/>
      </c>
      <c r="K32" s="61" t="str">
        <f t="shared" ca="1" si="4"/>
        <v/>
      </c>
      <c r="L32" s="61" t="str">
        <f t="shared" ca="1" si="4"/>
        <v/>
      </c>
      <c r="M32" s="61" t="str">
        <f t="shared" ca="1" si="4"/>
        <v/>
      </c>
      <c r="N32" s="61" t="str">
        <f t="shared" ca="1" si="4"/>
        <v/>
      </c>
      <c r="O32" s="61" t="str">
        <f t="shared" ca="1" si="4"/>
        <v/>
      </c>
      <c r="P32" s="61" t="str">
        <f t="shared" ca="1" si="4"/>
        <v/>
      </c>
      <c r="Q32" s="61" t="str">
        <f t="shared" ca="1" si="4"/>
        <v/>
      </c>
      <c r="R32" s="61" t="str">
        <f t="shared" ca="1" si="4"/>
        <v/>
      </c>
      <c r="S32" s="61" t="str">
        <f t="shared" ca="1" si="4"/>
        <v/>
      </c>
      <c r="T32" s="61" t="str">
        <f t="shared" ca="1" si="4"/>
        <v/>
      </c>
    </row>
    <row r="33" spans="2:24" ht="16.149999999999999" thickBot="1" x14ac:dyDescent="0.55000000000000004">
      <c r="B33" s="45" t="str">
        <f ca="1">IF(
   OR(
      INDIRECT("'1a. Input organisatieniveau'!M" &amp; (14 + INT((ROW()-4)/7)))="",
      INDIRECT("'1a. Input organisatieniveau'!M" &amp; (14 + INT((ROW()-4)/7)))=0
   ),
   "",
   INDIRECT("'1a. Input organisatieniveau'!M" &amp; (14 + INT((ROW()-4)/7)))
)</f>
        <v/>
      </c>
      <c r="D33" s="22" t="s">
        <v>28</v>
      </c>
      <c r="E33" s="10" t="str">
        <f t="array" aca="1" ref="E33" ca="1">IF($B33="", "", INDEX('Hulp (CAO''s)'!J$3:J$6, MATCH(TRUE, 'Hulp (CAO''s)'!$D$3:$D$6, 0)))</f>
        <v/>
      </c>
      <c r="F33" s="10" t="str">
        <f t="array" aca="1" ref="F33" ca="1">IF($B33="", "", INDEX('Hulp (CAO''s)'!K$3:K$6, MATCH(TRUE, 'Hulp (CAO''s)'!$D$3:$D$6, 0)))</f>
        <v/>
      </c>
      <c r="G33" s="10" t="str">
        <f t="array" aca="1" ref="G33" ca="1">IF($B33="", "", INDEX('Hulp (CAO''s)'!L$3:L$6, MATCH(TRUE, 'Hulp (CAO''s)'!$D$3:$D$6, 0)))</f>
        <v/>
      </c>
      <c r="H33" s="10" t="str">
        <f t="array" aca="1" ref="H33" ca="1">IF($B33="", "", INDEX('Hulp (CAO''s)'!M$3:M$6, MATCH(TRUE, 'Hulp (CAO''s)'!$D$3:$D$6, 0)))</f>
        <v/>
      </c>
      <c r="I33" s="10" t="str">
        <f t="array" aca="1" ref="I33" ca="1">IF($B33="", "", INDEX('Hulp (CAO''s)'!N$3:N$6, MATCH(TRUE, 'Hulp (CAO''s)'!$D$3:$D$6, 0)))</f>
        <v/>
      </c>
      <c r="J33" s="10" t="str">
        <f t="array" aca="1" ref="J33" ca="1">IF($B33="", "", INDEX('Hulp (CAO''s)'!O$3:O$6, MATCH(TRUE, 'Hulp (CAO''s)'!$D$3:$D$6, 0)))</f>
        <v/>
      </c>
      <c r="K33" s="10" t="str">
        <f t="array" aca="1" ref="K33" ca="1">IF($B33="", "", INDEX('Hulp (CAO''s)'!P$3:P$6, MATCH(TRUE, 'Hulp (CAO''s)'!$D$3:$D$6, 0)))</f>
        <v/>
      </c>
      <c r="L33" s="10" t="str">
        <f t="array" aca="1" ref="L33" ca="1">IF($B33="", "", INDEX('Hulp (CAO''s)'!Q$3:Q$6, MATCH(TRUE, 'Hulp (CAO''s)'!$D$3:$D$6, 0)))</f>
        <v/>
      </c>
      <c r="M33" s="10" t="str">
        <f t="array" aca="1" ref="M33" ca="1">IF($B33="", "", INDEX('Hulp (CAO''s)'!R$3:R$6, MATCH(TRUE, 'Hulp (CAO''s)'!$D$3:$D$6, 0)))</f>
        <v/>
      </c>
      <c r="N33" s="10" t="str">
        <f t="array" aca="1" ref="N33" ca="1">IF($B33="", "", INDEX('Hulp (CAO''s)'!S$3:S$6, MATCH(TRUE, 'Hulp (CAO''s)'!$D$3:$D$6, 0)))</f>
        <v/>
      </c>
      <c r="O33" s="10" t="str">
        <f t="array" aca="1" ref="O33" ca="1">IF($B33="", "", INDEX('Hulp (CAO''s)'!T$3:T$6, MATCH(TRUE, 'Hulp (CAO''s)'!$D$3:$D$6, 0)))</f>
        <v/>
      </c>
      <c r="P33" s="10" t="str">
        <f t="array" aca="1" ref="P33" ca="1">IF($B33="", "", INDEX('Hulp (CAO''s)'!U$3:U$6, MATCH(TRUE, 'Hulp (CAO''s)'!$D$3:$D$6, 0)))</f>
        <v/>
      </c>
      <c r="Q33" s="10" t="str">
        <f t="array" aca="1" ref="Q33" ca="1">IF($B33="", "", INDEX('Hulp (CAO''s)'!V$3:V$6, MATCH(TRUE, 'Hulp (CAO''s)'!$D$3:$D$6, 0)))</f>
        <v/>
      </c>
      <c r="R33" s="10" t="str">
        <f t="array" aca="1" ref="R33" ca="1">IF($B33="", "", INDEX('Hulp (CAO''s)'!W$3:W$6, MATCH(TRUE, 'Hulp (CAO''s)'!$D$3:$D$6, 0)))</f>
        <v/>
      </c>
      <c r="S33" s="10" t="str">
        <f t="array" aca="1" ref="S33" ca="1">IF($B33="", "", INDEX('Hulp (CAO''s)'!X$3:X$6, MATCH(TRUE, 'Hulp (CAO''s)'!$D$3:$D$6, 0)))</f>
        <v/>
      </c>
      <c r="T33" s="11" t="str">
        <f t="array" aca="1" ref="T33" ca="1">IF($B33="", "", INDEX('Hulp (CAO''s)'!Y$3:Y$6, MATCH(TRUE, 'Hulp (CAO''s)'!$D$3:$D$6, 0)))</f>
        <v/>
      </c>
      <c r="V33" s="25"/>
      <c r="W33" s="5"/>
    </row>
    <row r="34" spans="2:24" ht="16.149999999999999" thickBot="1" x14ac:dyDescent="0.55000000000000004">
      <c r="D34" s="23" t="s">
        <v>770</v>
      </c>
      <c r="E34" s="90">
        <v>0.96</v>
      </c>
      <c r="F34" s="90">
        <v>0.9</v>
      </c>
      <c r="G34" s="90">
        <v>0.9</v>
      </c>
      <c r="H34" s="90">
        <v>0.7</v>
      </c>
      <c r="I34" s="90">
        <v>0.8</v>
      </c>
      <c r="J34" s="90">
        <v>0.9</v>
      </c>
      <c r="K34" s="90">
        <v>0.9</v>
      </c>
      <c r="L34" s="90">
        <v>0.9</v>
      </c>
      <c r="M34" s="90">
        <v>0.9</v>
      </c>
      <c r="N34" s="90">
        <v>0.8</v>
      </c>
      <c r="O34" s="90">
        <v>0.95</v>
      </c>
      <c r="P34" s="90">
        <v>0.93</v>
      </c>
      <c r="Q34" s="90">
        <v>0.93</v>
      </c>
      <c r="R34" s="90">
        <v>0.95</v>
      </c>
      <c r="S34" s="90">
        <v>0.92</v>
      </c>
      <c r="T34" s="91">
        <v>0.95</v>
      </c>
      <c r="V34" s="25" t="s">
        <v>32</v>
      </c>
    </row>
    <row r="35" spans="2:24" ht="14.25" x14ac:dyDescent="0.45">
      <c r="B35" s="48" t="s">
        <v>771</v>
      </c>
      <c r="D35" s="23" t="s">
        <v>29</v>
      </c>
      <c r="E35" s="94">
        <v>9</v>
      </c>
      <c r="F35" s="94">
        <v>10</v>
      </c>
      <c r="G35" s="94">
        <v>10</v>
      </c>
      <c r="H35" s="94">
        <v>9</v>
      </c>
      <c r="I35" s="94">
        <v>10</v>
      </c>
      <c r="J35" s="94">
        <v>11</v>
      </c>
      <c r="K35" s="94">
        <v>10</v>
      </c>
      <c r="L35" s="94">
        <v>10</v>
      </c>
      <c r="M35" s="94">
        <v>9</v>
      </c>
      <c r="N35" s="94">
        <v>10</v>
      </c>
      <c r="O35" s="94">
        <v>11</v>
      </c>
      <c r="P35" s="94">
        <v>12</v>
      </c>
      <c r="Q35" s="94">
        <v>13</v>
      </c>
      <c r="R35" s="94">
        <v>12</v>
      </c>
      <c r="S35" s="94">
        <v>10</v>
      </c>
      <c r="T35" s="33">
        <v>5</v>
      </c>
      <c r="V35" s="52">
        <v>4000</v>
      </c>
      <c r="X35" s="60" t="s">
        <v>747</v>
      </c>
    </row>
    <row r="36" spans="2:24" ht="14.65" thickBot="1" x14ac:dyDescent="0.5">
      <c r="B36"/>
      <c r="D36" s="40" t="str">
        <f>IFERROR(
   INDEX('Hulp (CAO''s)'!$I$3:$I$6, MATCH(TRUE, 'Hulp (CAO''s)'!$D$3:$D$6, 0)),
"")</f>
        <v>Bruto maandsalaris</v>
      </c>
      <c r="E36" s="86" t="str">
        <f t="array" aca="1" ref="E36" ca="1">IF($B35="Gebruik % van maximum trede",
IF(
    OR(E33="",E34=""),
    "",
    MAX(
    INDIRECT("'" &amp; INDEX('Hulp (CAO''s)'!$C$3:$C$6,
        MATCH(TRUE,'Hulp (CAO''s)'!$D$3:$D$6,0)) &amp; "'!" &amp;
        INDEX('Hulp (CAO''s)'!$H$3:$H$6,
            MATCH(TRUE,'Hulp (CAO''s)'!$D$3:$D$6,0))
        &amp;
        MATCH(E33, INDIRECT("'" &amp; INDEX('Hulp (CAO''s)'!$C$3:$C$6,
            MATCH(TRUE,'Hulp (CAO''s)'!$D$3:$D$6,0)) &amp; "'!A:A"),0)
        &amp; ":H" &amp;
        IF(F33&lt;&gt;"",
            MATCH(F33, INDIRECT("'" &amp; INDEX('Hulp (CAO''s)'!$C$3:$C$6,
                MATCH(TRUE,'Hulp (CAO''s)'!$D$3:$D$6,0)) &amp; "'!A:A"),0)-1,
            1000
        )
    )
) * E34
),
IF(
    IFERROR(MIN(
        IF(
            (TRIM(INDIRECT("'" &amp; INDEX('Hulp (CAO''s)'!$C$3:$C$6,
                MATCH(TRUE,'Hulp (CAO''s)'!$D$3:$D$6,0)) &amp; "'!B1:B1000")) = TEXT(E35,"0")) *
            (ROW(INDIRECT("'" &amp; INDEX('Hulp (CAO''s)'!$C$3:$C$6,
                MATCH(TRUE,'Hulp (CAO''s)'!$D$3:$D$6,0)) &amp; "'!B1:B1000")) &gt; MATCH(
                E33,
                INDIRECT("'" &amp; INDEX('Hulp (CAO''s)'!$C$3:$C$6,
                    MATCH(TRUE,'Hulp (CAO''s)'!$D$3:$D$6,0)) &amp; "'!A:A"),
                0
            )) *
            IF(
                F33="",
                1,
                (ROW(INDIRECT("'" &amp; INDEX('Hulp (CAO''s)'!$C$3:$C$6,
                    MATCH(TRUE,'Hulp (CAO''s)'!$D$3:$D$6,0)) &amp; "'!B1:B1000")) &lt; MATCH(
                    F33,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TEXT(E35,"0")) *
                (ROW(INDIRECT("'" &amp; INDEX('Hulp (CAO''s)'!$C$3:$C$6,
                    MATCH(TRUE,'Hulp (CAO''s)'!$D$3:$D$6,0)) &amp; "'!B1:B1000")) &gt; MATCH(
                    E33,
                    INDIRECT("'" &amp; INDEX('Hulp (CAO''s)'!$C$3:$C$6,
                        MATCH(TRUE,'Hulp (CAO''s)'!$D$3:$D$6,0)) &amp; "'!A:A"),
                    0
                )) *
                IF(
                    F33="",
                    1,
                    (ROW(INDIRECT("'" &amp; INDEX('Hulp (CAO''s)'!$C$3:$C$6,
                        MATCH(TRUE,'Hulp (CAO''s)'!$D$3:$D$6,0)) &amp; "'!B1:B1000")) &lt; MATCH(
                        F33,
                        INDIRECT("'" &amp; INDEX('Hulp (CAO''s)'!$C$3:$C$6,
                            MATCH(TRUE,'Hulp (CAO''s)'!$D$3:$D$6,0)) &amp; "'!A:A"),
                        0
                    ))
                ),
                ROW(INDIRECT("'" &amp; INDEX('Hulp (CAO''s)'!$C$3:$C$6,
                    MATCH(TRUE,'Hulp (CAO''s)'!$D$3:$D$6,0)) &amp; "'!B1:B1000"))
            )
        ),0)
    )
))</f>
        <v/>
      </c>
      <c r="F36" s="86" t="str">
        <f t="array" aca="1" ref="F36" ca="1">IF($B35="Gebruik % van maximum trede",
IF(
    OR(F33="",F34=""),
    "",
    MAX(
    INDIRECT("'" &amp; INDEX('Hulp (CAO''s)'!$C$3:$C$6,
        MATCH(TRUE,'Hulp (CAO''s)'!$D$3:$D$6,0)) &amp; "'!" &amp;
        INDEX('Hulp (CAO''s)'!$H$3:$H$6,
            MATCH(TRUE,'Hulp (CAO''s)'!$D$3:$D$6,0))
        &amp;
        MATCH(F33, INDIRECT("'" &amp; INDEX('Hulp (CAO''s)'!$C$3:$C$6,
            MATCH(TRUE,'Hulp (CAO''s)'!$D$3:$D$6,0)) &amp; "'!A:A"),0)
        &amp; ":H" &amp;
        IF(G33&lt;&gt;"",
            MATCH(G33, INDIRECT("'" &amp; INDEX('Hulp (CAO''s)'!$C$3:$C$6,
                MATCH(TRUE,'Hulp (CAO''s)'!$D$3:$D$6,0)) &amp; "'!A:A"),0)-1,
            1000
        )
    )
) * F34
),
IF(
    IFERROR(MIN(
        IF(
            (TRIM(INDIRECT("'" &amp; INDEX('Hulp (CAO''s)'!$C$3:$C$6,
                MATCH(TRUE,'Hulp (CAO''s)'!$D$3:$D$6,0)) &amp; "'!B1:B1000")) = TEXT(F35,"0")) *
            (ROW(INDIRECT("'" &amp; INDEX('Hulp (CAO''s)'!$C$3:$C$6,
                MATCH(TRUE,'Hulp (CAO''s)'!$D$3:$D$6,0)) &amp; "'!B1:B1000")) &gt; MATCH(
                F33,
                INDIRECT("'" &amp; INDEX('Hulp (CAO''s)'!$C$3:$C$6,
                    MATCH(TRUE,'Hulp (CAO''s)'!$D$3:$D$6,0)) &amp; "'!A:A"),
                0
            )) *
            IF(
                G33="",
                1,
                (ROW(INDIRECT("'" &amp; INDEX('Hulp (CAO''s)'!$C$3:$C$6,
                    MATCH(TRUE,'Hulp (CAO''s)'!$D$3:$D$6,0)) &amp; "'!B1:B1000")) &lt; MATCH(
                    G33,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TEXT(F35,"0")) *
                (ROW(INDIRECT("'" &amp; INDEX('Hulp (CAO''s)'!$C$3:$C$6,
                    MATCH(TRUE,'Hulp (CAO''s)'!$D$3:$D$6,0)) &amp; "'!B1:B1000")) &gt; MATCH(
                    F33,
                    INDIRECT("'" &amp; INDEX('Hulp (CAO''s)'!$C$3:$C$6,
                        MATCH(TRUE,'Hulp (CAO''s)'!$D$3:$D$6,0)) &amp; "'!A:A"),
                    0
                )) *
                IF(
                    G33="",
                    1,
                    (ROW(INDIRECT("'" &amp; INDEX('Hulp (CAO''s)'!$C$3:$C$6,
                        MATCH(TRUE,'Hulp (CAO''s)'!$D$3:$D$6,0)) &amp; "'!B1:B1000")) &lt; MATCH(
                        G33,
                        INDIRECT("'" &amp; INDEX('Hulp (CAO''s)'!$C$3:$C$6,
                            MATCH(TRUE,'Hulp (CAO''s)'!$D$3:$D$6,0)) &amp; "'!A:A"),
                        0
                    ))
                ),
                ROW(INDIRECT("'" &amp; INDEX('Hulp (CAO''s)'!$C$3:$C$6,
                    MATCH(TRUE,'Hulp (CAO''s)'!$D$3:$D$6,0)) &amp; "'!B1:B1000"))
            )
        ),0)
    )
))</f>
        <v/>
      </c>
      <c r="G36" s="86" t="str">
        <f t="array" aca="1" ref="G36" ca="1">IF($B35="Gebruik % van maximum trede",
IF(
    OR(G33="",G34=""),
    "",
    MAX(
    INDIRECT("'" &amp; INDEX('Hulp (CAO''s)'!$C$3:$C$6,
        MATCH(TRUE,'Hulp (CAO''s)'!$D$3:$D$6,0)) &amp; "'!" &amp;
        INDEX('Hulp (CAO''s)'!$H$3:$H$6,
            MATCH(TRUE,'Hulp (CAO''s)'!$D$3:$D$6,0))
        &amp;
        MATCH(G33, INDIRECT("'" &amp; INDEX('Hulp (CAO''s)'!$C$3:$C$6,
            MATCH(TRUE,'Hulp (CAO''s)'!$D$3:$D$6,0)) &amp; "'!A:A"),0)
        &amp; ":H" &amp;
        IF(H33&lt;&gt;"",
            MATCH(H33, INDIRECT("'" &amp; INDEX('Hulp (CAO''s)'!$C$3:$C$6,
                MATCH(TRUE,'Hulp (CAO''s)'!$D$3:$D$6,0)) &amp; "'!A:A"),0)-1,
            1000
        )
    )
) * G34
),
IF(
    IFERROR(MIN(
        IF(
            (TRIM(INDIRECT("'" &amp; INDEX('Hulp (CAO''s)'!$C$3:$C$6,
                MATCH(TRUE,'Hulp (CAO''s)'!$D$3:$D$6,0)) &amp; "'!B1:B1000")) = TEXT(G35,"0")) *
            (ROW(INDIRECT("'" &amp; INDEX('Hulp (CAO''s)'!$C$3:$C$6,
                MATCH(TRUE,'Hulp (CAO''s)'!$D$3:$D$6,0)) &amp; "'!B1:B1000")) &gt; MATCH(
                G33,
                INDIRECT("'" &amp; INDEX('Hulp (CAO''s)'!$C$3:$C$6,
                    MATCH(TRUE,'Hulp (CAO''s)'!$D$3:$D$6,0)) &amp; "'!A:A"),
                0
            )) *
            IF(
                H33="",
                1,
                (ROW(INDIRECT("'" &amp; INDEX('Hulp (CAO''s)'!$C$3:$C$6,
                    MATCH(TRUE,'Hulp (CAO''s)'!$D$3:$D$6,0)) &amp; "'!B1:B1000")) &lt; MATCH(
                    H33,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TEXT(G35,"0")) *
                (ROW(INDIRECT("'" &amp; INDEX('Hulp (CAO''s)'!$C$3:$C$6,
                    MATCH(TRUE,'Hulp (CAO''s)'!$D$3:$D$6,0)) &amp; "'!B1:B1000")) &gt; MATCH(
                    G33,
                    INDIRECT("'" &amp; INDEX('Hulp (CAO''s)'!$C$3:$C$6,
                        MATCH(TRUE,'Hulp (CAO''s)'!$D$3:$D$6,0)) &amp; "'!A:A"),
                    0
                )) *
                IF(
                    H33="",
                    1,
                    (ROW(INDIRECT("'" &amp; INDEX('Hulp (CAO''s)'!$C$3:$C$6,
                        MATCH(TRUE,'Hulp (CAO''s)'!$D$3:$D$6,0)) &amp; "'!B1:B1000")) &lt; MATCH(
                        H33,
                        INDIRECT("'" &amp; INDEX('Hulp (CAO''s)'!$C$3:$C$6,
                            MATCH(TRUE,'Hulp (CAO''s)'!$D$3:$D$6,0)) &amp; "'!A:A"),
                        0
                    ))
                ),
                ROW(INDIRECT("'" &amp; INDEX('Hulp (CAO''s)'!$C$3:$C$6,
                    MATCH(TRUE,'Hulp (CAO''s)'!$D$3:$D$6,0)) &amp; "'!B1:B1000"))
            )
        ),0)
    )
))</f>
        <v/>
      </c>
      <c r="H36" s="86" t="str">
        <f t="array" aca="1" ref="H36" ca="1">IF($B35="Gebruik % van maximum trede",
IF(
    OR(H33="",H34=""),
    "",
    MAX(
    INDIRECT("'" &amp; INDEX('Hulp (CAO''s)'!$C$3:$C$6,
        MATCH(TRUE,'Hulp (CAO''s)'!$D$3:$D$6,0)) &amp; "'!" &amp;
        INDEX('Hulp (CAO''s)'!$H$3:$H$6,
            MATCH(TRUE,'Hulp (CAO''s)'!$D$3:$D$6,0))
        &amp;
        MATCH(H33, INDIRECT("'" &amp; INDEX('Hulp (CAO''s)'!$C$3:$C$6,
            MATCH(TRUE,'Hulp (CAO''s)'!$D$3:$D$6,0)) &amp; "'!A:A"),0)
        &amp; ":H" &amp;
        IF(I33&lt;&gt;"",
            MATCH(I33, INDIRECT("'" &amp; INDEX('Hulp (CAO''s)'!$C$3:$C$6,
                MATCH(TRUE,'Hulp (CAO''s)'!$D$3:$D$6,0)) &amp; "'!A:A"),0)-1,
            1000
        )
    )
) * H34
),
IF(
    IFERROR(MIN(
        IF(
            (TRIM(INDIRECT("'" &amp; INDEX('Hulp (CAO''s)'!$C$3:$C$6,
                MATCH(TRUE,'Hulp (CAO''s)'!$D$3:$D$6,0)) &amp; "'!B1:B1000")) = TEXT(H35,"0")) *
            (ROW(INDIRECT("'" &amp; INDEX('Hulp (CAO''s)'!$C$3:$C$6,
                MATCH(TRUE,'Hulp (CAO''s)'!$D$3:$D$6,0)) &amp; "'!B1:B1000")) &gt; MATCH(
                H33,
                INDIRECT("'" &amp; INDEX('Hulp (CAO''s)'!$C$3:$C$6,
                    MATCH(TRUE,'Hulp (CAO''s)'!$D$3:$D$6,0)) &amp; "'!A:A"),
                0
            )) *
            IF(
                I33="",
                1,
                (ROW(INDIRECT("'" &amp; INDEX('Hulp (CAO''s)'!$C$3:$C$6,
                    MATCH(TRUE,'Hulp (CAO''s)'!$D$3:$D$6,0)) &amp; "'!B1:B1000")) &lt; MATCH(
                    I33,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TEXT(H35,"0")) *
                (ROW(INDIRECT("'" &amp; INDEX('Hulp (CAO''s)'!$C$3:$C$6,
                    MATCH(TRUE,'Hulp (CAO''s)'!$D$3:$D$6,0)) &amp; "'!B1:B1000")) &gt; MATCH(
                    H33,
                    INDIRECT("'" &amp; INDEX('Hulp (CAO''s)'!$C$3:$C$6,
                        MATCH(TRUE,'Hulp (CAO''s)'!$D$3:$D$6,0)) &amp; "'!A:A"),
                    0
                )) *
                IF(
                    I33="",
                    1,
                    (ROW(INDIRECT("'" &amp; INDEX('Hulp (CAO''s)'!$C$3:$C$6,
                        MATCH(TRUE,'Hulp (CAO''s)'!$D$3:$D$6,0)) &amp; "'!B1:B1000")) &lt; MATCH(
                        I33,
                        INDIRECT("'" &amp; INDEX('Hulp (CAO''s)'!$C$3:$C$6,
                            MATCH(TRUE,'Hulp (CAO''s)'!$D$3:$D$6,0)) &amp; "'!A:A"),
                        0
                    ))
                ),
                ROW(INDIRECT("'" &amp; INDEX('Hulp (CAO''s)'!$C$3:$C$6,
                    MATCH(TRUE,'Hulp (CAO''s)'!$D$3:$D$6,0)) &amp; "'!B1:B1000"))
            )
        ),0)
    )
))</f>
        <v/>
      </c>
      <c r="I36" s="86" t="str">
        <f t="array" aca="1" ref="I36" ca="1">IF($B35="Gebruik % van maximum trede",
IF(
    OR(I33="",I34=""),
    "",
    MAX(
    INDIRECT("'" &amp; INDEX('Hulp (CAO''s)'!$C$3:$C$6,
        MATCH(TRUE,'Hulp (CAO''s)'!$D$3:$D$6,0)) &amp; "'!" &amp;
        INDEX('Hulp (CAO''s)'!$H$3:$H$6,
            MATCH(TRUE,'Hulp (CAO''s)'!$D$3:$D$6,0))
        &amp;
        MATCH(I33, INDIRECT("'" &amp; INDEX('Hulp (CAO''s)'!$C$3:$C$6,
            MATCH(TRUE,'Hulp (CAO''s)'!$D$3:$D$6,0)) &amp; "'!A:A"),0)
        &amp; ":H" &amp;
        IF(J33&lt;&gt;"",
            MATCH(J33, INDIRECT("'" &amp; INDEX('Hulp (CAO''s)'!$C$3:$C$6,
                MATCH(TRUE,'Hulp (CAO''s)'!$D$3:$D$6,0)) &amp; "'!A:A"),0)-1,
            1000
        )
    )
) * I34
),
IF(
    IFERROR(MIN(
        IF(
            (TRIM(INDIRECT("'" &amp; INDEX('Hulp (CAO''s)'!$C$3:$C$6,
                MATCH(TRUE,'Hulp (CAO''s)'!$D$3:$D$6,0)) &amp; "'!B1:B1000")) = TEXT(I35,"0")) *
            (ROW(INDIRECT("'" &amp; INDEX('Hulp (CAO''s)'!$C$3:$C$6,
                MATCH(TRUE,'Hulp (CAO''s)'!$D$3:$D$6,0)) &amp; "'!B1:B1000")) &gt; MATCH(
                I33,
                INDIRECT("'" &amp; INDEX('Hulp (CAO''s)'!$C$3:$C$6,
                    MATCH(TRUE,'Hulp (CAO''s)'!$D$3:$D$6,0)) &amp; "'!A:A"),
                0
            )) *
            IF(
                J33="",
                1,
                (ROW(INDIRECT("'" &amp; INDEX('Hulp (CAO''s)'!$C$3:$C$6,
                    MATCH(TRUE,'Hulp (CAO''s)'!$D$3:$D$6,0)) &amp; "'!B1:B1000")) &lt; MATCH(
                    J33,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TEXT(I35,"0")) *
                (ROW(INDIRECT("'" &amp; INDEX('Hulp (CAO''s)'!$C$3:$C$6,
                    MATCH(TRUE,'Hulp (CAO''s)'!$D$3:$D$6,0)) &amp; "'!B1:B1000")) &gt; MATCH(
                    I33,
                    INDIRECT("'" &amp; INDEX('Hulp (CAO''s)'!$C$3:$C$6,
                        MATCH(TRUE,'Hulp (CAO''s)'!$D$3:$D$6,0)) &amp; "'!A:A"),
                    0
                )) *
                IF(
                    J33="",
                    1,
                    (ROW(INDIRECT("'" &amp; INDEX('Hulp (CAO''s)'!$C$3:$C$6,
                        MATCH(TRUE,'Hulp (CAO''s)'!$D$3:$D$6,0)) &amp; "'!B1:B1000")) &lt; MATCH(
                        J33,
                        INDIRECT("'" &amp; INDEX('Hulp (CAO''s)'!$C$3:$C$6,
                            MATCH(TRUE,'Hulp (CAO''s)'!$D$3:$D$6,0)) &amp; "'!A:A"),
                        0
                    ))
                ),
                ROW(INDIRECT("'" &amp; INDEX('Hulp (CAO''s)'!$C$3:$C$6,
                    MATCH(TRUE,'Hulp (CAO''s)'!$D$3:$D$6,0)) &amp; "'!B1:B1000"))
            )
        ),0)
    )
))</f>
        <v/>
      </c>
      <c r="J36" s="86" t="str">
        <f t="array" aca="1" ref="J36" ca="1">IF($B35="Gebruik % van maximum trede",
IF(
    OR(J33="",J34=""),
    "",
    MAX(
    INDIRECT("'" &amp; INDEX('Hulp (CAO''s)'!$C$3:$C$6,
        MATCH(TRUE,'Hulp (CAO''s)'!$D$3:$D$6,0)) &amp; "'!" &amp;
        INDEX('Hulp (CAO''s)'!$H$3:$H$6,
            MATCH(TRUE,'Hulp (CAO''s)'!$D$3:$D$6,0))
        &amp;
        MATCH(J33, INDIRECT("'" &amp; INDEX('Hulp (CAO''s)'!$C$3:$C$6,
            MATCH(TRUE,'Hulp (CAO''s)'!$D$3:$D$6,0)) &amp; "'!A:A"),0)
        &amp; ":H" &amp;
        IF(K33&lt;&gt;"",
            MATCH(K33, INDIRECT("'" &amp; INDEX('Hulp (CAO''s)'!$C$3:$C$6,
                MATCH(TRUE,'Hulp (CAO''s)'!$D$3:$D$6,0)) &amp; "'!A:A"),0)-1,
            1000
        )
    )
) * J34
),
IF(
    IFERROR(MIN(
        IF(
            (TRIM(INDIRECT("'" &amp; INDEX('Hulp (CAO''s)'!$C$3:$C$6,
                MATCH(TRUE,'Hulp (CAO''s)'!$D$3:$D$6,0)) &amp; "'!B1:B1000")) = TEXT(J35,"0")) *
            (ROW(INDIRECT("'" &amp; INDEX('Hulp (CAO''s)'!$C$3:$C$6,
                MATCH(TRUE,'Hulp (CAO''s)'!$D$3:$D$6,0)) &amp; "'!B1:B1000")) &gt; MATCH(
                J33,
                INDIRECT("'" &amp; INDEX('Hulp (CAO''s)'!$C$3:$C$6,
                    MATCH(TRUE,'Hulp (CAO''s)'!$D$3:$D$6,0)) &amp; "'!A:A"),
                0
            )) *
            IF(
                K33="",
                1,
                (ROW(INDIRECT("'" &amp; INDEX('Hulp (CAO''s)'!$C$3:$C$6,
                    MATCH(TRUE,'Hulp (CAO''s)'!$D$3:$D$6,0)) &amp; "'!B1:B1000")) &lt; MATCH(
                    K33,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TEXT(J35,"0")) *
                (ROW(INDIRECT("'" &amp; INDEX('Hulp (CAO''s)'!$C$3:$C$6,
                    MATCH(TRUE,'Hulp (CAO''s)'!$D$3:$D$6,0)) &amp; "'!B1:B1000")) &gt; MATCH(
                    J33,
                    INDIRECT("'" &amp; INDEX('Hulp (CAO''s)'!$C$3:$C$6,
                        MATCH(TRUE,'Hulp (CAO''s)'!$D$3:$D$6,0)) &amp; "'!A:A"),
                    0
                )) *
                IF(
                    K33="",
                    1,
                    (ROW(INDIRECT("'" &amp; INDEX('Hulp (CAO''s)'!$C$3:$C$6,
                        MATCH(TRUE,'Hulp (CAO''s)'!$D$3:$D$6,0)) &amp; "'!B1:B1000")) &lt; MATCH(
                        K33,
                        INDIRECT("'" &amp; INDEX('Hulp (CAO''s)'!$C$3:$C$6,
                            MATCH(TRUE,'Hulp (CAO''s)'!$D$3:$D$6,0)) &amp; "'!A:A"),
                        0
                    ))
                ),
                ROW(INDIRECT("'" &amp; INDEX('Hulp (CAO''s)'!$C$3:$C$6,
                    MATCH(TRUE,'Hulp (CAO''s)'!$D$3:$D$6,0)) &amp; "'!B1:B1000"))
            )
        ),0)
    )
))</f>
        <v/>
      </c>
      <c r="K36" s="86" t="str">
        <f t="array" aca="1" ref="K36" ca="1">IF($B35="Gebruik % van maximum trede",
IF(
    OR(K33="",K34=""),
    "",
    MAX(
    INDIRECT("'" &amp; INDEX('Hulp (CAO''s)'!$C$3:$C$6,
        MATCH(TRUE,'Hulp (CAO''s)'!$D$3:$D$6,0)) &amp; "'!" &amp;
        INDEX('Hulp (CAO''s)'!$H$3:$H$6,
            MATCH(TRUE,'Hulp (CAO''s)'!$D$3:$D$6,0))
        &amp;
        MATCH(K33, INDIRECT("'" &amp; INDEX('Hulp (CAO''s)'!$C$3:$C$6,
            MATCH(TRUE,'Hulp (CAO''s)'!$D$3:$D$6,0)) &amp; "'!A:A"),0)
        &amp; ":H" &amp;
        IF(L33&lt;&gt;"",
            MATCH(L33, INDIRECT("'" &amp; INDEX('Hulp (CAO''s)'!$C$3:$C$6,
                MATCH(TRUE,'Hulp (CAO''s)'!$D$3:$D$6,0)) &amp; "'!A:A"),0)-1,
            1000
        )
    )
) * K34
),
IF(
    IFERROR(MIN(
        IF(
            (TRIM(INDIRECT("'" &amp; INDEX('Hulp (CAO''s)'!$C$3:$C$6,
                MATCH(TRUE,'Hulp (CAO''s)'!$D$3:$D$6,0)) &amp; "'!B1:B1000")) = TEXT(K35,"0")) *
            (ROW(INDIRECT("'" &amp; INDEX('Hulp (CAO''s)'!$C$3:$C$6,
                MATCH(TRUE,'Hulp (CAO''s)'!$D$3:$D$6,0)) &amp; "'!B1:B1000")) &gt; MATCH(
                K33,
                INDIRECT("'" &amp; INDEX('Hulp (CAO''s)'!$C$3:$C$6,
                    MATCH(TRUE,'Hulp (CAO''s)'!$D$3:$D$6,0)) &amp; "'!A:A"),
                0
            )) *
            IF(
                L33="",
                1,
                (ROW(INDIRECT("'" &amp; INDEX('Hulp (CAO''s)'!$C$3:$C$6,
                    MATCH(TRUE,'Hulp (CAO''s)'!$D$3:$D$6,0)) &amp; "'!B1:B1000")) &lt; MATCH(
                    L33,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TEXT(K35,"0")) *
                (ROW(INDIRECT("'" &amp; INDEX('Hulp (CAO''s)'!$C$3:$C$6,
                    MATCH(TRUE,'Hulp (CAO''s)'!$D$3:$D$6,0)) &amp; "'!B1:B1000")) &gt; MATCH(
                    K33,
                    INDIRECT("'" &amp; INDEX('Hulp (CAO''s)'!$C$3:$C$6,
                        MATCH(TRUE,'Hulp (CAO''s)'!$D$3:$D$6,0)) &amp; "'!A:A"),
                    0
                )) *
                IF(
                    L33="",
                    1,
                    (ROW(INDIRECT("'" &amp; INDEX('Hulp (CAO''s)'!$C$3:$C$6,
                        MATCH(TRUE,'Hulp (CAO''s)'!$D$3:$D$6,0)) &amp; "'!B1:B1000")) &lt; MATCH(
                        L33,
                        INDIRECT("'" &amp; INDEX('Hulp (CAO''s)'!$C$3:$C$6,
                            MATCH(TRUE,'Hulp (CAO''s)'!$D$3:$D$6,0)) &amp; "'!A:A"),
                        0
                    ))
                ),
                ROW(INDIRECT("'" &amp; INDEX('Hulp (CAO''s)'!$C$3:$C$6,
                    MATCH(TRUE,'Hulp (CAO''s)'!$D$3:$D$6,0)) &amp; "'!B1:B1000"))
            )
        ),0)
    )
))</f>
        <v/>
      </c>
      <c r="L36" s="86" t="str">
        <f t="array" aca="1" ref="L36" ca="1">IF($B35="Gebruik % van maximum trede",
IF(
    OR(L33="",L34=""),
    "",
    MAX(
    INDIRECT("'" &amp; INDEX('Hulp (CAO''s)'!$C$3:$C$6,
        MATCH(TRUE,'Hulp (CAO''s)'!$D$3:$D$6,0)) &amp; "'!" &amp;
        INDEX('Hulp (CAO''s)'!$H$3:$H$6,
            MATCH(TRUE,'Hulp (CAO''s)'!$D$3:$D$6,0))
        &amp;
        MATCH(L33, INDIRECT("'" &amp; INDEX('Hulp (CAO''s)'!$C$3:$C$6,
            MATCH(TRUE,'Hulp (CAO''s)'!$D$3:$D$6,0)) &amp; "'!A:A"),0)
        &amp; ":H" &amp;
        IF(M33&lt;&gt;"",
            MATCH(M33, INDIRECT("'" &amp; INDEX('Hulp (CAO''s)'!$C$3:$C$6,
                MATCH(TRUE,'Hulp (CAO''s)'!$D$3:$D$6,0)) &amp; "'!A:A"),0)-1,
            1000
        )
    )
) * L34
),
IF(
    IFERROR(MIN(
        IF(
            (TRIM(INDIRECT("'" &amp; INDEX('Hulp (CAO''s)'!$C$3:$C$6,
                MATCH(TRUE,'Hulp (CAO''s)'!$D$3:$D$6,0)) &amp; "'!B1:B1000")) = TEXT(L35,"0")) *
            (ROW(INDIRECT("'" &amp; INDEX('Hulp (CAO''s)'!$C$3:$C$6,
                MATCH(TRUE,'Hulp (CAO''s)'!$D$3:$D$6,0)) &amp; "'!B1:B1000")) &gt; MATCH(
                L33,
                INDIRECT("'" &amp; INDEX('Hulp (CAO''s)'!$C$3:$C$6,
                    MATCH(TRUE,'Hulp (CAO''s)'!$D$3:$D$6,0)) &amp; "'!A:A"),
                0
            )) *
            IF(
                M33="",
                1,
                (ROW(INDIRECT("'" &amp; INDEX('Hulp (CAO''s)'!$C$3:$C$6,
                    MATCH(TRUE,'Hulp (CAO''s)'!$D$3:$D$6,0)) &amp; "'!B1:B1000")) &lt; MATCH(
                    M33,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TEXT(L35,"0")) *
                (ROW(INDIRECT("'" &amp; INDEX('Hulp (CAO''s)'!$C$3:$C$6,
                    MATCH(TRUE,'Hulp (CAO''s)'!$D$3:$D$6,0)) &amp; "'!B1:B1000")) &gt; MATCH(
                    L33,
                    INDIRECT("'" &amp; INDEX('Hulp (CAO''s)'!$C$3:$C$6,
                        MATCH(TRUE,'Hulp (CAO''s)'!$D$3:$D$6,0)) &amp; "'!A:A"),
                    0
                )) *
                IF(
                    M33="",
                    1,
                    (ROW(INDIRECT("'" &amp; INDEX('Hulp (CAO''s)'!$C$3:$C$6,
                        MATCH(TRUE,'Hulp (CAO''s)'!$D$3:$D$6,0)) &amp; "'!B1:B1000")) &lt; MATCH(
                        M33,
                        INDIRECT("'" &amp; INDEX('Hulp (CAO''s)'!$C$3:$C$6,
                            MATCH(TRUE,'Hulp (CAO''s)'!$D$3:$D$6,0)) &amp; "'!A:A"),
                        0
                    ))
                ),
                ROW(INDIRECT("'" &amp; INDEX('Hulp (CAO''s)'!$C$3:$C$6,
                    MATCH(TRUE,'Hulp (CAO''s)'!$D$3:$D$6,0)) &amp; "'!B1:B1000"))
            )
        ),0)
    )
))</f>
        <v/>
      </c>
      <c r="M36" s="86" t="str">
        <f t="array" aca="1" ref="M36" ca="1">IF($B35="Gebruik % van maximum trede",
IF(
    OR(M33="",M34=""),
    "",
    MAX(
    INDIRECT("'" &amp; INDEX('Hulp (CAO''s)'!$C$3:$C$6,
        MATCH(TRUE,'Hulp (CAO''s)'!$D$3:$D$6,0)) &amp; "'!" &amp;
        INDEX('Hulp (CAO''s)'!$H$3:$H$6,
            MATCH(TRUE,'Hulp (CAO''s)'!$D$3:$D$6,0))
        &amp;
        MATCH(M33, INDIRECT("'" &amp; INDEX('Hulp (CAO''s)'!$C$3:$C$6,
            MATCH(TRUE,'Hulp (CAO''s)'!$D$3:$D$6,0)) &amp; "'!A:A"),0)
        &amp; ":H" &amp;
        IF(N33&lt;&gt;"",
            MATCH(N33, INDIRECT("'" &amp; INDEX('Hulp (CAO''s)'!$C$3:$C$6,
                MATCH(TRUE,'Hulp (CAO''s)'!$D$3:$D$6,0)) &amp; "'!A:A"),0)-1,
            1000
        )
    )
) * M34
),
IF(
    IFERROR(MIN(
        IF(
            (TRIM(INDIRECT("'" &amp; INDEX('Hulp (CAO''s)'!$C$3:$C$6,
                MATCH(TRUE,'Hulp (CAO''s)'!$D$3:$D$6,0)) &amp; "'!B1:B1000")) = TEXT(M35,"0")) *
            (ROW(INDIRECT("'" &amp; INDEX('Hulp (CAO''s)'!$C$3:$C$6,
                MATCH(TRUE,'Hulp (CAO''s)'!$D$3:$D$6,0)) &amp; "'!B1:B1000")) &gt; MATCH(
                M33,
                INDIRECT("'" &amp; INDEX('Hulp (CAO''s)'!$C$3:$C$6,
                    MATCH(TRUE,'Hulp (CAO''s)'!$D$3:$D$6,0)) &amp; "'!A:A"),
                0
            )) *
            IF(
                N33="",
                1,
                (ROW(INDIRECT("'" &amp; INDEX('Hulp (CAO''s)'!$C$3:$C$6,
                    MATCH(TRUE,'Hulp (CAO''s)'!$D$3:$D$6,0)) &amp; "'!B1:B1000")) &lt; MATCH(
                    N33,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TEXT(M35,"0")) *
                (ROW(INDIRECT("'" &amp; INDEX('Hulp (CAO''s)'!$C$3:$C$6,
                    MATCH(TRUE,'Hulp (CAO''s)'!$D$3:$D$6,0)) &amp; "'!B1:B1000")) &gt; MATCH(
                    M33,
                    INDIRECT("'" &amp; INDEX('Hulp (CAO''s)'!$C$3:$C$6,
                        MATCH(TRUE,'Hulp (CAO''s)'!$D$3:$D$6,0)) &amp; "'!A:A"),
                    0
                )) *
                IF(
                    N33="",
                    1,
                    (ROW(INDIRECT("'" &amp; INDEX('Hulp (CAO''s)'!$C$3:$C$6,
                        MATCH(TRUE,'Hulp (CAO''s)'!$D$3:$D$6,0)) &amp; "'!B1:B1000")) &lt; MATCH(
                        N33,
                        INDIRECT("'" &amp; INDEX('Hulp (CAO''s)'!$C$3:$C$6,
                            MATCH(TRUE,'Hulp (CAO''s)'!$D$3:$D$6,0)) &amp; "'!A:A"),
                        0
                    ))
                ),
                ROW(INDIRECT("'" &amp; INDEX('Hulp (CAO''s)'!$C$3:$C$6,
                    MATCH(TRUE,'Hulp (CAO''s)'!$D$3:$D$6,0)) &amp; "'!B1:B1000"))
            )
        ),0)
    )
))</f>
        <v/>
      </c>
      <c r="N36" s="86" t="str">
        <f t="array" aca="1" ref="N36" ca="1">IF($B35="Gebruik % van maximum trede",
IF(
    OR(N33="",N34=""),
    "",
    MAX(
    INDIRECT("'" &amp; INDEX('Hulp (CAO''s)'!$C$3:$C$6,
        MATCH(TRUE,'Hulp (CAO''s)'!$D$3:$D$6,0)) &amp; "'!" &amp;
        INDEX('Hulp (CAO''s)'!$H$3:$H$6,
            MATCH(TRUE,'Hulp (CAO''s)'!$D$3:$D$6,0))
        &amp;
        MATCH(N33, INDIRECT("'" &amp; INDEX('Hulp (CAO''s)'!$C$3:$C$6,
            MATCH(TRUE,'Hulp (CAO''s)'!$D$3:$D$6,0)) &amp; "'!A:A"),0)
        &amp; ":H" &amp;
        IF(O33&lt;&gt;"",
            MATCH(O33, INDIRECT("'" &amp; INDEX('Hulp (CAO''s)'!$C$3:$C$6,
                MATCH(TRUE,'Hulp (CAO''s)'!$D$3:$D$6,0)) &amp; "'!A:A"),0)-1,
            1000
        )
    )
) * N34
),
IF(
    IFERROR(MIN(
        IF(
            (TRIM(INDIRECT("'" &amp; INDEX('Hulp (CAO''s)'!$C$3:$C$6,
                MATCH(TRUE,'Hulp (CAO''s)'!$D$3:$D$6,0)) &amp; "'!B1:B1000")) = TEXT(N35,"0")) *
            (ROW(INDIRECT("'" &amp; INDEX('Hulp (CAO''s)'!$C$3:$C$6,
                MATCH(TRUE,'Hulp (CAO''s)'!$D$3:$D$6,0)) &amp; "'!B1:B1000")) &gt; MATCH(
                N33,
                INDIRECT("'" &amp; INDEX('Hulp (CAO''s)'!$C$3:$C$6,
                    MATCH(TRUE,'Hulp (CAO''s)'!$D$3:$D$6,0)) &amp; "'!A:A"),
                0
            )) *
            IF(
                O33="",
                1,
                (ROW(INDIRECT("'" &amp; INDEX('Hulp (CAO''s)'!$C$3:$C$6,
                    MATCH(TRUE,'Hulp (CAO''s)'!$D$3:$D$6,0)) &amp; "'!B1:B1000")) &lt; MATCH(
                    O33,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TEXT(N35,"0")) *
                (ROW(INDIRECT("'" &amp; INDEX('Hulp (CAO''s)'!$C$3:$C$6,
                    MATCH(TRUE,'Hulp (CAO''s)'!$D$3:$D$6,0)) &amp; "'!B1:B1000")) &gt; MATCH(
                    N33,
                    INDIRECT("'" &amp; INDEX('Hulp (CAO''s)'!$C$3:$C$6,
                        MATCH(TRUE,'Hulp (CAO''s)'!$D$3:$D$6,0)) &amp; "'!A:A"),
                    0
                )) *
                IF(
                    O33="",
                    1,
                    (ROW(INDIRECT("'" &amp; INDEX('Hulp (CAO''s)'!$C$3:$C$6,
                        MATCH(TRUE,'Hulp (CAO''s)'!$D$3:$D$6,0)) &amp; "'!B1:B1000")) &lt; MATCH(
                        O33,
                        INDIRECT("'" &amp; INDEX('Hulp (CAO''s)'!$C$3:$C$6,
                            MATCH(TRUE,'Hulp (CAO''s)'!$D$3:$D$6,0)) &amp; "'!A:A"),
                        0
                    ))
                ),
                ROW(INDIRECT("'" &amp; INDEX('Hulp (CAO''s)'!$C$3:$C$6,
                    MATCH(TRUE,'Hulp (CAO''s)'!$D$3:$D$6,0)) &amp; "'!B1:B1000"))
            )
        ),0)
    )
))</f>
        <v/>
      </c>
      <c r="O36" s="86" t="str">
        <f t="array" aca="1" ref="O36" ca="1">IF($B35="Gebruik % van maximum trede",
IF(
    OR(O33="",O34=""),
    "",
    MAX(
    INDIRECT("'" &amp; INDEX('Hulp (CAO''s)'!$C$3:$C$6,
        MATCH(TRUE,'Hulp (CAO''s)'!$D$3:$D$6,0)) &amp; "'!" &amp;
        INDEX('Hulp (CAO''s)'!$H$3:$H$6,
            MATCH(TRUE,'Hulp (CAO''s)'!$D$3:$D$6,0))
        &amp;
        MATCH(O33, INDIRECT("'" &amp; INDEX('Hulp (CAO''s)'!$C$3:$C$6,
            MATCH(TRUE,'Hulp (CAO''s)'!$D$3:$D$6,0)) &amp; "'!A:A"),0)
        &amp; ":H" &amp;
        IF(P33&lt;&gt;"",
            MATCH(P33, INDIRECT("'" &amp; INDEX('Hulp (CAO''s)'!$C$3:$C$6,
                MATCH(TRUE,'Hulp (CAO''s)'!$D$3:$D$6,0)) &amp; "'!A:A"),0)-1,
            1000
        )
    )
) * O34
),
IF(
    IFERROR(MIN(
        IF(
            (TRIM(INDIRECT("'" &amp; INDEX('Hulp (CAO''s)'!$C$3:$C$6,
                MATCH(TRUE,'Hulp (CAO''s)'!$D$3:$D$6,0)) &amp; "'!B1:B1000")) = TEXT(O35,"0")) *
            (ROW(INDIRECT("'" &amp; INDEX('Hulp (CAO''s)'!$C$3:$C$6,
                MATCH(TRUE,'Hulp (CAO''s)'!$D$3:$D$6,0)) &amp; "'!B1:B1000")) &gt; MATCH(
                O33,
                INDIRECT("'" &amp; INDEX('Hulp (CAO''s)'!$C$3:$C$6,
                    MATCH(TRUE,'Hulp (CAO''s)'!$D$3:$D$6,0)) &amp; "'!A:A"),
                0
            )) *
            IF(
                P33="",
                1,
                (ROW(INDIRECT("'" &amp; INDEX('Hulp (CAO''s)'!$C$3:$C$6,
                    MATCH(TRUE,'Hulp (CAO''s)'!$D$3:$D$6,0)) &amp; "'!B1:B1000")) &lt; MATCH(
                    P33,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TEXT(O35,"0")) *
                (ROW(INDIRECT("'" &amp; INDEX('Hulp (CAO''s)'!$C$3:$C$6,
                    MATCH(TRUE,'Hulp (CAO''s)'!$D$3:$D$6,0)) &amp; "'!B1:B1000")) &gt; MATCH(
                    O33,
                    INDIRECT("'" &amp; INDEX('Hulp (CAO''s)'!$C$3:$C$6,
                        MATCH(TRUE,'Hulp (CAO''s)'!$D$3:$D$6,0)) &amp; "'!A:A"),
                    0
                )) *
                IF(
                    P33="",
                    1,
                    (ROW(INDIRECT("'" &amp; INDEX('Hulp (CAO''s)'!$C$3:$C$6,
                        MATCH(TRUE,'Hulp (CAO''s)'!$D$3:$D$6,0)) &amp; "'!B1:B1000")) &lt; MATCH(
                        P33,
                        INDIRECT("'" &amp; INDEX('Hulp (CAO''s)'!$C$3:$C$6,
                            MATCH(TRUE,'Hulp (CAO''s)'!$D$3:$D$6,0)) &amp; "'!A:A"),
                        0
                    ))
                ),
                ROW(INDIRECT("'" &amp; INDEX('Hulp (CAO''s)'!$C$3:$C$6,
                    MATCH(TRUE,'Hulp (CAO''s)'!$D$3:$D$6,0)) &amp; "'!B1:B1000"))
            )
        ),0)
    )
))</f>
        <v/>
      </c>
      <c r="P36" s="86" t="str">
        <f t="array" aca="1" ref="P36" ca="1">IF($B35="Gebruik % van maximum trede",
IF(
    OR(P33="",P34=""),
    "",
    MAX(
    INDIRECT("'" &amp; INDEX('Hulp (CAO''s)'!$C$3:$C$6,
        MATCH(TRUE,'Hulp (CAO''s)'!$D$3:$D$6,0)) &amp; "'!" &amp;
        INDEX('Hulp (CAO''s)'!$H$3:$H$6,
            MATCH(TRUE,'Hulp (CAO''s)'!$D$3:$D$6,0))
        &amp;
        MATCH(P33, INDIRECT("'" &amp; INDEX('Hulp (CAO''s)'!$C$3:$C$6,
            MATCH(TRUE,'Hulp (CAO''s)'!$D$3:$D$6,0)) &amp; "'!A:A"),0)
        &amp; ":H" &amp;
        IF(Q33&lt;&gt;"",
            MATCH(Q33, INDIRECT("'" &amp; INDEX('Hulp (CAO''s)'!$C$3:$C$6,
                MATCH(TRUE,'Hulp (CAO''s)'!$D$3:$D$6,0)) &amp; "'!A:A"),0)-1,
            1000
        )
    )
) * P34
),
IF(
    IFERROR(MIN(
        IF(
            (TRIM(INDIRECT("'" &amp; INDEX('Hulp (CAO''s)'!$C$3:$C$6,
                MATCH(TRUE,'Hulp (CAO''s)'!$D$3:$D$6,0)) &amp; "'!B1:B1000")) = TEXT(P35,"0")) *
            (ROW(INDIRECT("'" &amp; INDEX('Hulp (CAO''s)'!$C$3:$C$6,
                MATCH(TRUE,'Hulp (CAO''s)'!$D$3:$D$6,0)) &amp; "'!B1:B1000")) &gt; MATCH(
                P33,
                INDIRECT("'" &amp; INDEX('Hulp (CAO''s)'!$C$3:$C$6,
                    MATCH(TRUE,'Hulp (CAO''s)'!$D$3:$D$6,0)) &amp; "'!A:A"),
                0
            )) *
            IF(
                Q33="",
                1,
                (ROW(INDIRECT("'" &amp; INDEX('Hulp (CAO''s)'!$C$3:$C$6,
                    MATCH(TRUE,'Hulp (CAO''s)'!$D$3:$D$6,0)) &amp; "'!B1:B1000")) &lt; MATCH(
                    Q33,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TEXT(P35,"0")) *
                (ROW(INDIRECT("'" &amp; INDEX('Hulp (CAO''s)'!$C$3:$C$6,
                    MATCH(TRUE,'Hulp (CAO''s)'!$D$3:$D$6,0)) &amp; "'!B1:B1000")) &gt; MATCH(
                    P33,
                    INDIRECT("'" &amp; INDEX('Hulp (CAO''s)'!$C$3:$C$6,
                        MATCH(TRUE,'Hulp (CAO''s)'!$D$3:$D$6,0)) &amp; "'!A:A"),
                    0
                )) *
                IF(
                    Q33="",
                    1,
                    (ROW(INDIRECT("'" &amp; INDEX('Hulp (CAO''s)'!$C$3:$C$6,
                        MATCH(TRUE,'Hulp (CAO''s)'!$D$3:$D$6,0)) &amp; "'!B1:B1000")) &lt; MATCH(
                        Q33,
                        INDIRECT("'" &amp; INDEX('Hulp (CAO''s)'!$C$3:$C$6,
                            MATCH(TRUE,'Hulp (CAO''s)'!$D$3:$D$6,0)) &amp; "'!A:A"),
                        0
                    ))
                ),
                ROW(INDIRECT("'" &amp; INDEX('Hulp (CAO''s)'!$C$3:$C$6,
                    MATCH(TRUE,'Hulp (CAO''s)'!$D$3:$D$6,0)) &amp; "'!B1:B1000"))
            )
        ),0)
    )
))</f>
        <v/>
      </c>
      <c r="Q36" s="86" t="str">
        <f t="array" aca="1" ref="Q36" ca="1">IF($B35="Gebruik % van maximum trede",
IF(
    OR(Q33="",Q34=""),
    "",
    MAX(
    INDIRECT("'" &amp; INDEX('Hulp (CAO''s)'!$C$3:$C$6,
        MATCH(TRUE,'Hulp (CAO''s)'!$D$3:$D$6,0)) &amp; "'!" &amp;
        INDEX('Hulp (CAO''s)'!$H$3:$H$6,
            MATCH(TRUE,'Hulp (CAO''s)'!$D$3:$D$6,0))
        &amp;
        MATCH(Q33, INDIRECT("'" &amp; INDEX('Hulp (CAO''s)'!$C$3:$C$6,
            MATCH(TRUE,'Hulp (CAO''s)'!$D$3:$D$6,0)) &amp; "'!A:A"),0)
        &amp; ":H" &amp;
        IF(R33&lt;&gt;"",
            MATCH(R33, INDIRECT("'" &amp; INDEX('Hulp (CAO''s)'!$C$3:$C$6,
                MATCH(TRUE,'Hulp (CAO''s)'!$D$3:$D$6,0)) &amp; "'!A:A"),0)-1,
            1000
        )
    )
) * Q34
),
IF(
    IFERROR(MIN(
        IF(
            (TRIM(INDIRECT("'" &amp; INDEX('Hulp (CAO''s)'!$C$3:$C$6,
                MATCH(TRUE,'Hulp (CAO''s)'!$D$3:$D$6,0)) &amp; "'!B1:B1000")) = TEXT(Q35,"0")) *
            (ROW(INDIRECT("'" &amp; INDEX('Hulp (CAO''s)'!$C$3:$C$6,
                MATCH(TRUE,'Hulp (CAO''s)'!$D$3:$D$6,0)) &amp; "'!B1:B1000")) &gt; MATCH(
                Q33,
                INDIRECT("'" &amp; INDEX('Hulp (CAO''s)'!$C$3:$C$6,
                    MATCH(TRUE,'Hulp (CAO''s)'!$D$3:$D$6,0)) &amp; "'!A:A"),
                0
            )) *
            IF(
                R33="",
                1,
                (ROW(INDIRECT("'" &amp; INDEX('Hulp (CAO''s)'!$C$3:$C$6,
                    MATCH(TRUE,'Hulp (CAO''s)'!$D$3:$D$6,0)) &amp; "'!B1:B1000")) &lt; MATCH(
                    R33,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TEXT(Q35,"0")) *
                (ROW(INDIRECT("'" &amp; INDEX('Hulp (CAO''s)'!$C$3:$C$6,
                    MATCH(TRUE,'Hulp (CAO''s)'!$D$3:$D$6,0)) &amp; "'!B1:B1000")) &gt; MATCH(
                    Q33,
                    INDIRECT("'" &amp; INDEX('Hulp (CAO''s)'!$C$3:$C$6,
                        MATCH(TRUE,'Hulp (CAO''s)'!$D$3:$D$6,0)) &amp; "'!A:A"),
                    0
                )) *
                IF(
                    R33="",
                    1,
                    (ROW(INDIRECT("'" &amp; INDEX('Hulp (CAO''s)'!$C$3:$C$6,
                        MATCH(TRUE,'Hulp (CAO''s)'!$D$3:$D$6,0)) &amp; "'!B1:B1000")) &lt; MATCH(
                        R33,
                        INDIRECT("'" &amp; INDEX('Hulp (CAO''s)'!$C$3:$C$6,
                            MATCH(TRUE,'Hulp (CAO''s)'!$D$3:$D$6,0)) &amp; "'!A:A"),
                        0
                    ))
                ),
                ROW(INDIRECT("'" &amp; INDEX('Hulp (CAO''s)'!$C$3:$C$6,
                    MATCH(TRUE,'Hulp (CAO''s)'!$D$3:$D$6,0)) &amp; "'!B1:B1000"))
            )
        ),0)
    )
))</f>
        <v/>
      </c>
      <c r="R36" s="86" t="str">
        <f t="array" aca="1" ref="R36" ca="1">IF($B35="Gebruik % van maximum trede",
IF(
    OR(R33="",R34=""),
    "",
    MAX(
    INDIRECT("'" &amp; INDEX('Hulp (CAO''s)'!$C$3:$C$6,
        MATCH(TRUE,'Hulp (CAO''s)'!$D$3:$D$6,0)) &amp; "'!" &amp;
        INDEX('Hulp (CAO''s)'!$H$3:$H$6,
            MATCH(TRUE,'Hulp (CAO''s)'!$D$3:$D$6,0))
        &amp;
        MATCH(R33, INDIRECT("'" &amp; INDEX('Hulp (CAO''s)'!$C$3:$C$6,
            MATCH(TRUE,'Hulp (CAO''s)'!$D$3:$D$6,0)) &amp; "'!A:A"),0)
        &amp; ":H" &amp;
        IF(S33&lt;&gt;"",
            MATCH(S33, INDIRECT("'" &amp; INDEX('Hulp (CAO''s)'!$C$3:$C$6,
                MATCH(TRUE,'Hulp (CAO''s)'!$D$3:$D$6,0)) &amp; "'!A:A"),0)-1,
            1000
        )
    )
) * R34
),
IF(
    IFERROR(MIN(
        IF(
            (TRIM(INDIRECT("'" &amp; INDEX('Hulp (CAO''s)'!$C$3:$C$6,
                MATCH(TRUE,'Hulp (CAO''s)'!$D$3:$D$6,0)) &amp; "'!B1:B1000")) = TEXT(R35,"0")) *
            (ROW(INDIRECT("'" &amp; INDEX('Hulp (CAO''s)'!$C$3:$C$6,
                MATCH(TRUE,'Hulp (CAO''s)'!$D$3:$D$6,0)) &amp; "'!B1:B1000")) &gt; MATCH(
                R33,
                INDIRECT("'" &amp; INDEX('Hulp (CAO''s)'!$C$3:$C$6,
                    MATCH(TRUE,'Hulp (CAO''s)'!$D$3:$D$6,0)) &amp; "'!A:A"),
                0
            )) *
            IF(
                S33="",
                1,
                (ROW(INDIRECT("'" &amp; INDEX('Hulp (CAO''s)'!$C$3:$C$6,
                    MATCH(TRUE,'Hulp (CAO''s)'!$D$3:$D$6,0)) &amp; "'!B1:B1000")) &lt; MATCH(
                    S33,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TEXT(R35,"0")) *
                (ROW(INDIRECT("'" &amp; INDEX('Hulp (CAO''s)'!$C$3:$C$6,
                    MATCH(TRUE,'Hulp (CAO''s)'!$D$3:$D$6,0)) &amp; "'!B1:B1000")) &gt; MATCH(
                    R33,
                    INDIRECT("'" &amp; INDEX('Hulp (CAO''s)'!$C$3:$C$6,
                        MATCH(TRUE,'Hulp (CAO''s)'!$D$3:$D$6,0)) &amp; "'!A:A"),
                    0
                )) *
                IF(
                    S33="",
                    1,
                    (ROW(INDIRECT("'" &amp; INDEX('Hulp (CAO''s)'!$C$3:$C$6,
                        MATCH(TRUE,'Hulp (CAO''s)'!$D$3:$D$6,0)) &amp; "'!B1:B1000")) &lt; MATCH(
                        S33,
                        INDIRECT("'" &amp; INDEX('Hulp (CAO''s)'!$C$3:$C$6,
                            MATCH(TRUE,'Hulp (CAO''s)'!$D$3:$D$6,0)) &amp; "'!A:A"),
                        0
                    ))
                ),
                ROW(INDIRECT("'" &amp; INDEX('Hulp (CAO''s)'!$C$3:$C$6,
                    MATCH(TRUE,'Hulp (CAO''s)'!$D$3:$D$6,0)) &amp; "'!B1:B1000"))
            )
        ),0)
    )
))</f>
        <v/>
      </c>
      <c r="S36" s="86" t="str">
        <f t="array" aca="1" ref="S36" ca="1">IF($B35="Gebruik % van maximum trede",
IF(
    OR(S33="",S34=""),
    "",
    MAX(
    INDIRECT("'" &amp; INDEX('Hulp (CAO''s)'!$C$3:$C$6,
        MATCH(TRUE,'Hulp (CAO''s)'!$D$3:$D$6,0)) &amp; "'!" &amp;
        INDEX('Hulp (CAO''s)'!$H$3:$H$6,
            MATCH(TRUE,'Hulp (CAO''s)'!$D$3:$D$6,0))
        &amp;
        MATCH(S33, INDIRECT("'" &amp; INDEX('Hulp (CAO''s)'!$C$3:$C$6,
            MATCH(TRUE,'Hulp (CAO''s)'!$D$3:$D$6,0)) &amp; "'!A:A"),0)
        &amp; ":H" &amp;
        IF(T33&lt;&gt;"",
            MATCH(T33, INDIRECT("'" &amp; INDEX('Hulp (CAO''s)'!$C$3:$C$6,
                MATCH(TRUE,'Hulp (CAO''s)'!$D$3:$D$6,0)) &amp; "'!A:A"),0)-1,
            1000
        )
    )
) * S34
),
IF(
    IFERROR(MIN(
        IF(
            (TRIM(INDIRECT("'" &amp; INDEX('Hulp (CAO''s)'!$C$3:$C$6,
                MATCH(TRUE,'Hulp (CAO''s)'!$D$3:$D$6,0)) &amp; "'!B1:B1000")) = TEXT(S35,"0")) *
            (ROW(INDIRECT("'" &amp; INDEX('Hulp (CAO''s)'!$C$3:$C$6,
                MATCH(TRUE,'Hulp (CAO''s)'!$D$3:$D$6,0)) &amp; "'!B1:B1000")) &gt; MATCH(
                S33,
                INDIRECT("'" &amp; INDEX('Hulp (CAO''s)'!$C$3:$C$6,
                    MATCH(TRUE,'Hulp (CAO''s)'!$D$3:$D$6,0)) &amp; "'!A:A"),
                0
            )) *
            IF(
                T33="",
                1,
                (ROW(INDIRECT("'" &amp; INDEX('Hulp (CAO''s)'!$C$3:$C$6,
                    MATCH(TRUE,'Hulp (CAO''s)'!$D$3:$D$6,0)) &amp; "'!B1:B1000")) &lt; MATCH(
                    T33,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TEXT(S35,"0")) *
                (ROW(INDIRECT("'" &amp; INDEX('Hulp (CAO''s)'!$C$3:$C$6,
                    MATCH(TRUE,'Hulp (CAO''s)'!$D$3:$D$6,0)) &amp; "'!B1:B1000")) &gt; MATCH(
                    S33,
                    INDIRECT("'" &amp; INDEX('Hulp (CAO''s)'!$C$3:$C$6,
                        MATCH(TRUE,'Hulp (CAO''s)'!$D$3:$D$6,0)) &amp; "'!A:A"),
                    0
                )) *
                IF(
                    T33="",
                    1,
                    (ROW(INDIRECT("'" &amp; INDEX('Hulp (CAO''s)'!$C$3:$C$6,
                        MATCH(TRUE,'Hulp (CAO''s)'!$D$3:$D$6,0)) &amp; "'!B1:B1000")) &lt; MATCH(
                        T33,
                        INDIRECT("'" &amp; INDEX('Hulp (CAO''s)'!$C$3:$C$6,
                            MATCH(TRUE,'Hulp (CAO''s)'!$D$3:$D$6,0)) &amp; "'!A:A"),
                        0
                    ))
                ),
                ROW(INDIRECT("'" &amp; INDEX('Hulp (CAO''s)'!$C$3:$C$6,
                    MATCH(TRUE,'Hulp (CAO''s)'!$D$3:$D$6,0)) &amp; "'!B1:B1000"))
            )
        ),0)
    )
))</f>
        <v/>
      </c>
      <c r="T36" s="39" t="str">
        <f t="array" aca="1" ref="T36" ca="1">IF($B35="Gebruik % van maximum trede",
IF(
    OR(T33="",T34=""),
    "",
    MAX(
    INDIRECT("'" &amp; INDEX('Hulp (CAO''s)'!$C$3:$C$6,
        MATCH(TRUE,'Hulp (CAO''s)'!$D$3:$D$6,0)) &amp; "'!" &amp;
        INDEX('Hulp (CAO''s)'!$H$3:$H$6,
            MATCH(TRUE,'Hulp (CAO''s)'!$D$3:$D$6,0))
        &amp;
        MATCH(T33, INDIRECT("'" &amp; INDEX('Hulp (CAO''s)'!$C$3:$C$6,
            MATCH(TRUE,'Hulp (CAO''s)'!$D$3:$D$6,0)) &amp; "'!A:A"),0)
        &amp; ":H" &amp;
        IF(U33&lt;&gt;"",
            MATCH(U33, INDIRECT("'" &amp; INDEX('Hulp (CAO''s)'!$C$3:$C$6,
                MATCH(TRUE,'Hulp (CAO''s)'!$D$3:$D$6,0)) &amp; "'!A:A"),0)-1,
            1000
        )
    )
) * T34
),
IF(
    IFERROR(MIN(
        IF(
            (TRIM(INDIRECT("'" &amp; INDEX('Hulp (CAO''s)'!$C$3:$C$6,
                MATCH(TRUE,'Hulp (CAO''s)'!$D$3:$D$6,0)) &amp; "'!B1:B1000")) = TEXT(T35,"0")) *
            (ROW(INDIRECT("'" &amp; INDEX('Hulp (CAO''s)'!$C$3:$C$6,
                MATCH(TRUE,'Hulp (CAO''s)'!$D$3:$D$6,0)) &amp; "'!B1:B1000")) &gt; MATCH(
                T33,
                INDIRECT("'" &amp; INDEX('Hulp (CAO''s)'!$C$3:$C$6,
                    MATCH(TRUE,'Hulp (CAO''s)'!$D$3:$D$6,0)) &amp; "'!A:A"),
                0
            )) *
            IF(
                U33="",
                1,
                (ROW(INDIRECT("'" &amp; INDEX('Hulp (CAO''s)'!$C$3:$C$6,
                    MATCH(TRUE,'Hulp (CAO''s)'!$D$3:$D$6,0)) &amp; "'!B1:B1000")) &lt; MATCH(
                    U33,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TEXT(T35,"0")) *
                (ROW(INDIRECT("'" &amp; INDEX('Hulp (CAO''s)'!$C$3:$C$6,
                    MATCH(TRUE,'Hulp (CAO''s)'!$D$3:$D$6,0)) &amp; "'!B1:B1000")) &gt; MATCH(
                    T33,
                    INDIRECT("'" &amp; INDEX('Hulp (CAO''s)'!$C$3:$C$6,
                        MATCH(TRUE,'Hulp (CAO''s)'!$D$3:$D$6,0)) &amp; "'!A:A"),
                    0
                )) *
                IF(
                    U33="",
                    1,
                    (ROW(INDIRECT("'" &amp; INDEX('Hulp (CAO''s)'!$C$3:$C$6,
                        MATCH(TRUE,'Hulp (CAO''s)'!$D$3:$D$6,0)) &amp; "'!B1:B1000")) &lt; MATCH(
                        U33,
                        INDIRECT("'" &amp; INDEX('Hulp (CAO''s)'!$C$3:$C$6,
                            MATCH(TRUE,'Hulp (CAO''s)'!$D$3:$D$6,0)) &amp; "'!A:A"),
                        0
                    ))
                ),
                ROW(INDIRECT("'" &amp; INDEX('Hulp (CAO''s)'!$C$3:$C$6,
                    MATCH(TRUE,'Hulp (CAO''s)'!$D$3:$D$6,0)) &amp; "'!B1:B1000"))
            )
        ),0)
    )
))</f>
        <v/>
      </c>
      <c r="V36" s="38" t="str">
        <f t="array" aca="1" ref="V36" ca="1">IF(
   SUM(E36:T36)=0,
   "",
   (
      SUMPRODUCT(
         IF(E36:T36="",0,E36:T36),
         IF(E37:T37="",0,E37:T37) * SUM(E37:T37)
      )
   ) *
   IF(
      'Hulp (CAO''s)'!#REF!,
      IF(
         OR(
            INDEX(#REF!, ROW(#REF!) + INT((ROW()-ROW($V$8))/6)*8)="",
            ISNA(INDEX(#REF!, ROW(#REF!) + INT((ROW()-ROW($V$8))/6)*8))
         ),
         1878/12,
         INDEX(#REF!, ROW(#REF!) + INT((ROW()-ROW($V$8))/6)*8)/12
      ),
      1
   )
)</f>
        <v/>
      </c>
    </row>
    <row r="37" spans="2:24" ht="14.65" thickBot="1" x14ac:dyDescent="0.5">
      <c r="B37" s="48" t="s">
        <v>60</v>
      </c>
      <c r="D37" s="24" t="s">
        <v>59</v>
      </c>
      <c r="E37" s="8">
        <v>0.05</v>
      </c>
      <c r="F37" s="8">
        <v>0.1</v>
      </c>
      <c r="G37" s="8">
        <v>0.1</v>
      </c>
      <c r="H37" s="8">
        <v>0.15</v>
      </c>
      <c r="I37" s="8">
        <v>0.2</v>
      </c>
      <c r="J37" s="8">
        <v>0.15</v>
      </c>
      <c r="K37" s="8">
        <v>0.1</v>
      </c>
      <c r="L37" s="8">
        <v>0.05</v>
      </c>
      <c r="M37" s="8">
        <v>0.05</v>
      </c>
      <c r="N37" s="8">
        <v>0.05</v>
      </c>
      <c r="O37" s="8">
        <v>0</v>
      </c>
      <c r="P37" s="8"/>
      <c r="Q37" s="8"/>
      <c r="R37" s="8"/>
      <c r="S37" s="8"/>
      <c r="T37" s="9"/>
      <c r="U37" s="7"/>
      <c r="V37" s="37" t="str">
        <f ca="1">IF(B33="","",IF(INDIRECT("'Hulp (control forms)'!C" &amp; (13 + INT((ROW()-ROW($B$5))/6))), V35, V36))</f>
        <v/>
      </c>
      <c r="W37" s="7"/>
    </row>
    <row r="38" spans="2:24" x14ac:dyDescent="0.5">
      <c r="S38" s="7" t="str">
        <f>IF($B37="Aandeel in %",
   "Totaal: "&amp;SUM(E37:T37)*100&amp;"%",
   "Totaal: "&amp;SUM(E37:T37)&amp;" uur"
)</f>
        <v>Totaal: 100%</v>
      </c>
      <c r="T38" s="7"/>
    </row>
    <row r="39" spans="2:24" ht="16.149999999999999" thickBot="1" x14ac:dyDescent="0.55000000000000004">
      <c r="B39" s="44" t="str">
        <f ca="1">IF(B40="","",IF(
   OR(
      INDIRECT("'1a. Input organisatieniveau'!N" &amp; (14 + INT((ROW()-4)/7)))="",
      INDIRECT("'1a. Input organisatieniveau'!N" &amp; (14 + INT((ROW()-4)/7)))=0
   ),
   "",
   INDIRECT("'1a. Input organisatieniveau'!N" &amp; (14 + INT((ROW()-4)/7)))
))</f>
        <v/>
      </c>
      <c r="E39" s="61" t="str">
        <f t="shared" ref="E39:T39" ca="1" si="5">IF($B42="Gebruik % van maximum trede", IF(AND(AND(E40&lt;&gt;"",E41&lt;&gt;""),E43=""),"!",""), IF(AND(AND(E40&lt;&gt;"",E42&lt;&gt;""),E43=""),"!",""))</f>
        <v/>
      </c>
      <c r="F39" s="61" t="str">
        <f t="shared" ca="1" si="5"/>
        <v/>
      </c>
      <c r="G39" s="61" t="str">
        <f t="shared" ca="1" si="5"/>
        <v/>
      </c>
      <c r="H39" s="61" t="str">
        <f t="shared" ca="1" si="5"/>
        <v/>
      </c>
      <c r="I39" s="61" t="str">
        <f t="shared" ca="1" si="5"/>
        <v/>
      </c>
      <c r="J39" s="61" t="str">
        <f t="shared" ca="1" si="5"/>
        <v/>
      </c>
      <c r="K39" s="61" t="str">
        <f t="shared" ca="1" si="5"/>
        <v/>
      </c>
      <c r="L39" s="61" t="str">
        <f t="shared" ca="1" si="5"/>
        <v/>
      </c>
      <c r="M39" s="61" t="str">
        <f t="shared" ca="1" si="5"/>
        <v/>
      </c>
      <c r="N39" s="61" t="str">
        <f t="shared" ca="1" si="5"/>
        <v/>
      </c>
      <c r="O39" s="61" t="str">
        <f t="shared" ca="1" si="5"/>
        <v/>
      </c>
      <c r="P39" s="61" t="str">
        <f t="shared" ca="1" si="5"/>
        <v/>
      </c>
      <c r="Q39" s="61" t="str">
        <f t="shared" ca="1" si="5"/>
        <v/>
      </c>
      <c r="R39" s="61" t="str">
        <f t="shared" ca="1" si="5"/>
        <v/>
      </c>
      <c r="S39" s="61" t="str">
        <f t="shared" ca="1" si="5"/>
        <v/>
      </c>
      <c r="T39" s="61" t="str">
        <f t="shared" ca="1" si="5"/>
        <v/>
      </c>
    </row>
    <row r="40" spans="2:24" ht="16.149999999999999" thickBot="1" x14ac:dyDescent="0.55000000000000004">
      <c r="B40" s="45" t="str">
        <f ca="1">IF(
   OR(
      INDIRECT("'1a. Input organisatieniveau'!M" &amp; (14 + INT((ROW()-4)/7)))="",
      INDIRECT("'1a. Input organisatieniveau'!M" &amp; (14 + INT((ROW()-4)/7)))=0
   ),
   "",
   INDIRECT("'1a. Input organisatieniveau'!M" &amp; (14 + INT((ROW()-4)/7)))
)</f>
        <v/>
      </c>
      <c r="D40" s="22" t="s">
        <v>28</v>
      </c>
      <c r="E40" s="10" t="str">
        <f t="array" aca="1" ref="E40" ca="1">IF($B40="", "", INDEX('Hulp (CAO''s)'!J$3:J$6, MATCH(TRUE, 'Hulp (CAO''s)'!$D$3:$D$6, 0)))</f>
        <v/>
      </c>
      <c r="F40" s="10" t="str">
        <f t="array" aca="1" ref="F40" ca="1">IF($B40="", "", INDEX('Hulp (CAO''s)'!K$3:K$6, MATCH(TRUE, 'Hulp (CAO''s)'!$D$3:$D$6, 0)))</f>
        <v/>
      </c>
      <c r="G40" s="10" t="str">
        <f t="array" aca="1" ref="G40" ca="1">IF($B40="", "", INDEX('Hulp (CAO''s)'!L$3:L$6, MATCH(TRUE, 'Hulp (CAO''s)'!$D$3:$D$6, 0)))</f>
        <v/>
      </c>
      <c r="H40" s="10" t="str">
        <f t="array" aca="1" ref="H40" ca="1">IF($B40="", "", INDEX('Hulp (CAO''s)'!M$3:M$6, MATCH(TRUE, 'Hulp (CAO''s)'!$D$3:$D$6, 0)))</f>
        <v/>
      </c>
      <c r="I40" s="10" t="str">
        <f t="array" aca="1" ref="I40" ca="1">IF($B40="", "", INDEX('Hulp (CAO''s)'!N$3:N$6, MATCH(TRUE, 'Hulp (CAO''s)'!$D$3:$D$6, 0)))</f>
        <v/>
      </c>
      <c r="J40" s="10" t="str">
        <f t="array" aca="1" ref="J40" ca="1">IF($B40="", "", INDEX('Hulp (CAO''s)'!O$3:O$6, MATCH(TRUE, 'Hulp (CAO''s)'!$D$3:$D$6, 0)))</f>
        <v/>
      </c>
      <c r="K40" s="10" t="str">
        <f t="array" aca="1" ref="K40" ca="1">IF($B40="", "", INDEX('Hulp (CAO''s)'!P$3:P$6, MATCH(TRUE, 'Hulp (CAO''s)'!$D$3:$D$6, 0)))</f>
        <v/>
      </c>
      <c r="L40" s="10" t="str">
        <f t="array" aca="1" ref="L40" ca="1">IF($B40="", "", INDEX('Hulp (CAO''s)'!Q$3:Q$6, MATCH(TRUE, 'Hulp (CAO''s)'!$D$3:$D$6, 0)))</f>
        <v/>
      </c>
      <c r="M40" s="10" t="str">
        <f t="array" aca="1" ref="M40" ca="1">IF($B40="", "", INDEX('Hulp (CAO''s)'!R$3:R$6, MATCH(TRUE, 'Hulp (CAO''s)'!$D$3:$D$6, 0)))</f>
        <v/>
      </c>
      <c r="N40" s="10" t="str">
        <f t="array" aca="1" ref="N40" ca="1">IF($B40="", "", INDEX('Hulp (CAO''s)'!S$3:S$6, MATCH(TRUE, 'Hulp (CAO''s)'!$D$3:$D$6, 0)))</f>
        <v/>
      </c>
      <c r="O40" s="10" t="str">
        <f t="array" aca="1" ref="O40" ca="1">IF($B40="", "", INDEX('Hulp (CAO''s)'!T$3:T$6, MATCH(TRUE, 'Hulp (CAO''s)'!$D$3:$D$6, 0)))</f>
        <v/>
      </c>
      <c r="P40" s="10" t="str">
        <f t="array" aca="1" ref="P40" ca="1">IF($B40="", "", INDEX('Hulp (CAO''s)'!U$3:U$6, MATCH(TRUE, 'Hulp (CAO''s)'!$D$3:$D$6, 0)))</f>
        <v/>
      </c>
      <c r="Q40" s="10" t="str">
        <f t="array" aca="1" ref="Q40" ca="1">IF($B40="", "", INDEX('Hulp (CAO''s)'!V$3:V$6, MATCH(TRUE, 'Hulp (CAO''s)'!$D$3:$D$6, 0)))</f>
        <v/>
      </c>
      <c r="R40" s="10" t="str">
        <f t="array" aca="1" ref="R40" ca="1">IF($B40="", "", INDEX('Hulp (CAO''s)'!W$3:W$6, MATCH(TRUE, 'Hulp (CAO''s)'!$D$3:$D$6, 0)))</f>
        <v/>
      </c>
      <c r="S40" s="10" t="str">
        <f t="array" aca="1" ref="S40" ca="1">IF($B40="", "", INDEX('Hulp (CAO''s)'!X$3:X$6, MATCH(TRUE, 'Hulp (CAO''s)'!$D$3:$D$6, 0)))</f>
        <v/>
      </c>
      <c r="T40" s="11" t="str">
        <f t="array" aca="1" ref="T40" ca="1">IF($B40="", "", INDEX('Hulp (CAO''s)'!Y$3:Y$6, MATCH(TRUE, 'Hulp (CAO''s)'!$D$3:$D$6, 0)))</f>
        <v/>
      </c>
      <c r="V40" s="25"/>
      <c r="W40" s="5"/>
    </row>
    <row r="41" spans="2:24" ht="16.149999999999999" thickBot="1" x14ac:dyDescent="0.55000000000000004">
      <c r="D41" s="23" t="s">
        <v>770</v>
      </c>
      <c r="E41" s="90">
        <v>0.96</v>
      </c>
      <c r="F41" s="90">
        <v>0.9</v>
      </c>
      <c r="G41" s="90">
        <v>0.9</v>
      </c>
      <c r="H41" s="90">
        <v>0.7</v>
      </c>
      <c r="I41" s="90">
        <v>0.8</v>
      </c>
      <c r="J41" s="90">
        <v>0.9</v>
      </c>
      <c r="K41" s="90">
        <v>0.9</v>
      </c>
      <c r="L41" s="90">
        <v>0.9</v>
      </c>
      <c r="M41" s="90">
        <v>0.9</v>
      </c>
      <c r="N41" s="90">
        <v>0.8</v>
      </c>
      <c r="O41" s="90">
        <v>0.95</v>
      </c>
      <c r="P41" s="90">
        <v>0.93</v>
      </c>
      <c r="Q41" s="90">
        <v>0.93</v>
      </c>
      <c r="R41" s="90">
        <v>0.95</v>
      </c>
      <c r="S41" s="90">
        <v>0.92</v>
      </c>
      <c r="T41" s="91">
        <v>0.95</v>
      </c>
      <c r="V41" s="25" t="s">
        <v>32</v>
      </c>
    </row>
    <row r="42" spans="2:24" ht="14.25" x14ac:dyDescent="0.45">
      <c r="B42" s="48" t="s">
        <v>771</v>
      </c>
      <c r="D42" s="23" t="s">
        <v>29</v>
      </c>
      <c r="E42" s="94">
        <v>9</v>
      </c>
      <c r="F42" s="94">
        <v>10</v>
      </c>
      <c r="G42" s="94">
        <v>10</v>
      </c>
      <c r="H42" s="94">
        <v>9</v>
      </c>
      <c r="I42" s="94">
        <v>10</v>
      </c>
      <c r="J42" s="94">
        <v>11</v>
      </c>
      <c r="K42" s="94">
        <v>10</v>
      </c>
      <c r="L42" s="94">
        <v>10</v>
      </c>
      <c r="M42" s="94">
        <v>9</v>
      </c>
      <c r="N42" s="94">
        <v>10</v>
      </c>
      <c r="O42" s="94">
        <v>11</v>
      </c>
      <c r="P42" s="94">
        <v>12</v>
      </c>
      <c r="Q42" s="94">
        <v>13</v>
      </c>
      <c r="R42" s="94">
        <v>12</v>
      </c>
      <c r="S42" s="94">
        <v>10</v>
      </c>
      <c r="T42" s="33">
        <v>5</v>
      </c>
      <c r="V42" s="52">
        <v>4000</v>
      </c>
      <c r="X42" s="60" t="s">
        <v>747</v>
      </c>
    </row>
    <row r="43" spans="2:24" ht="14.65" thickBot="1" x14ac:dyDescent="0.5">
      <c r="B43"/>
      <c r="D43" s="40" t="str">
        <f>IFERROR(
   INDEX('Hulp (CAO''s)'!$I$3:$I$6, MATCH(TRUE, 'Hulp (CAO''s)'!$D$3:$D$6, 0)),
"")</f>
        <v>Bruto maandsalaris</v>
      </c>
      <c r="E43" s="86" t="str">
        <f t="array" aca="1" ref="E43" ca="1">IF($B42="Gebruik % van maximum trede",
IF(
    OR(E40="",E41=""),
    "",
    MAX(
    INDIRECT("'" &amp; INDEX('Hulp (CAO''s)'!$C$3:$C$6,
        MATCH(TRUE,'Hulp (CAO''s)'!$D$3:$D$6,0)) &amp; "'!" &amp;
        INDEX('Hulp (CAO''s)'!$H$3:$H$6,
            MATCH(TRUE,'Hulp (CAO''s)'!$D$3:$D$6,0))
        &amp;
        MATCH(E40, INDIRECT("'" &amp; INDEX('Hulp (CAO''s)'!$C$3:$C$6,
            MATCH(TRUE,'Hulp (CAO''s)'!$D$3:$D$6,0)) &amp; "'!A:A"),0)
        &amp; ":H" &amp;
        IF(F40&lt;&gt;"",
            MATCH(F40, INDIRECT("'" &amp; INDEX('Hulp (CAO''s)'!$C$3:$C$6,
                MATCH(TRUE,'Hulp (CAO''s)'!$D$3:$D$6,0)) &amp; "'!A:A"),0)-1,
            1000
        )
    )
) * E41
),
IF(
    IFERROR(MIN(
        IF(
            (TRIM(INDIRECT("'" &amp; INDEX('Hulp (CAO''s)'!$C$3:$C$6,
                MATCH(TRUE,'Hulp (CAO''s)'!$D$3:$D$6,0)) &amp; "'!B1:B1000")) = TEXT(E42,"0")) *
            (ROW(INDIRECT("'" &amp; INDEX('Hulp (CAO''s)'!$C$3:$C$6,
                MATCH(TRUE,'Hulp (CAO''s)'!$D$3:$D$6,0)) &amp; "'!B1:B1000")) &gt; MATCH(
                E40,
                INDIRECT("'" &amp; INDEX('Hulp (CAO''s)'!$C$3:$C$6,
                    MATCH(TRUE,'Hulp (CAO''s)'!$D$3:$D$6,0)) &amp; "'!A:A"),
                0
            )) *
            IF(
                F40="",
                1,
                (ROW(INDIRECT("'" &amp; INDEX('Hulp (CAO''s)'!$C$3:$C$6,
                    MATCH(TRUE,'Hulp (CAO''s)'!$D$3:$D$6,0)) &amp; "'!B1:B1000")) &lt; MATCH(
                    F40,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TEXT(E42,"0")) *
                (ROW(INDIRECT("'" &amp; INDEX('Hulp (CAO''s)'!$C$3:$C$6,
                    MATCH(TRUE,'Hulp (CAO''s)'!$D$3:$D$6,0)) &amp; "'!B1:B1000")) &gt; MATCH(
                    E40,
                    INDIRECT("'" &amp; INDEX('Hulp (CAO''s)'!$C$3:$C$6,
                        MATCH(TRUE,'Hulp (CAO''s)'!$D$3:$D$6,0)) &amp; "'!A:A"),
                    0
                )) *
                IF(
                    F40="",
                    1,
                    (ROW(INDIRECT("'" &amp; INDEX('Hulp (CAO''s)'!$C$3:$C$6,
                        MATCH(TRUE,'Hulp (CAO''s)'!$D$3:$D$6,0)) &amp; "'!B1:B1000")) &lt; MATCH(
                        F40,
                        INDIRECT("'" &amp; INDEX('Hulp (CAO''s)'!$C$3:$C$6,
                            MATCH(TRUE,'Hulp (CAO''s)'!$D$3:$D$6,0)) &amp; "'!A:A"),
                        0
                    ))
                ),
                ROW(INDIRECT("'" &amp; INDEX('Hulp (CAO''s)'!$C$3:$C$6,
                    MATCH(TRUE,'Hulp (CAO''s)'!$D$3:$D$6,0)) &amp; "'!B1:B1000"))
            )
        ),0)
    )
))</f>
        <v/>
      </c>
      <c r="F43" s="86" t="str">
        <f t="array" aca="1" ref="F43" ca="1">IF($B42="Gebruik % van maximum trede",
IF(
    OR(F40="",F41=""),
    "",
    MAX(
    INDIRECT("'" &amp; INDEX('Hulp (CAO''s)'!$C$3:$C$6,
        MATCH(TRUE,'Hulp (CAO''s)'!$D$3:$D$6,0)) &amp; "'!" &amp;
        INDEX('Hulp (CAO''s)'!$H$3:$H$6,
            MATCH(TRUE,'Hulp (CAO''s)'!$D$3:$D$6,0))
        &amp;
        MATCH(F40, INDIRECT("'" &amp; INDEX('Hulp (CAO''s)'!$C$3:$C$6,
            MATCH(TRUE,'Hulp (CAO''s)'!$D$3:$D$6,0)) &amp; "'!A:A"),0)
        &amp; ":H" &amp;
        IF(G40&lt;&gt;"",
            MATCH(G40, INDIRECT("'" &amp; INDEX('Hulp (CAO''s)'!$C$3:$C$6,
                MATCH(TRUE,'Hulp (CAO''s)'!$D$3:$D$6,0)) &amp; "'!A:A"),0)-1,
            1000
        )
    )
) * F41
),
IF(
    IFERROR(MIN(
        IF(
            (TRIM(INDIRECT("'" &amp; INDEX('Hulp (CAO''s)'!$C$3:$C$6,
                MATCH(TRUE,'Hulp (CAO''s)'!$D$3:$D$6,0)) &amp; "'!B1:B1000")) = TEXT(F42,"0")) *
            (ROW(INDIRECT("'" &amp; INDEX('Hulp (CAO''s)'!$C$3:$C$6,
                MATCH(TRUE,'Hulp (CAO''s)'!$D$3:$D$6,0)) &amp; "'!B1:B1000")) &gt; MATCH(
                F40,
                INDIRECT("'" &amp; INDEX('Hulp (CAO''s)'!$C$3:$C$6,
                    MATCH(TRUE,'Hulp (CAO''s)'!$D$3:$D$6,0)) &amp; "'!A:A"),
                0
            )) *
            IF(
                G40="",
                1,
                (ROW(INDIRECT("'" &amp; INDEX('Hulp (CAO''s)'!$C$3:$C$6,
                    MATCH(TRUE,'Hulp (CAO''s)'!$D$3:$D$6,0)) &amp; "'!B1:B1000")) &lt; MATCH(
                    G40,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TEXT(F42,"0")) *
                (ROW(INDIRECT("'" &amp; INDEX('Hulp (CAO''s)'!$C$3:$C$6,
                    MATCH(TRUE,'Hulp (CAO''s)'!$D$3:$D$6,0)) &amp; "'!B1:B1000")) &gt; MATCH(
                    F40,
                    INDIRECT("'" &amp; INDEX('Hulp (CAO''s)'!$C$3:$C$6,
                        MATCH(TRUE,'Hulp (CAO''s)'!$D$3:$D$6,0)) &amp; "'!A:A"),
                    0
                )) *
                IF(
                    G40="",
                    1,
                    (ROW(INDIRECT("'" &amp; INDEX('Hulp (CAO''s)'!$C$3:$C$6,
                        MATCH(TRUE,'Hulp (CAO''s)'!$D$3:$D$6,0)) &amp; "'!B1:B1000")) &lt; MATCH(
                        G40,
                        INDIRECT("'" &amp; INDEX('Hulp (CAO''s)'!$C$3:$C$6,
                            MATCH(TRUE,'Hulp (CAO''s)'!$D$3:$D$6,0)) &amp; "'!A:A"),
                        0
                    ))
                ),
                ROW(INDIRECT("'" &amp; INDEX('Hulp (CAO''s)'!$C$3:$C$6,
                    MATCH(TRUE,'Hulp (CAO''s)'!$D$3:$D$6,0)) &amp; "'!B1:B1000"))
            )
        ),0)
    )
))</f>
        <v/>
      </c>
      <c r="G43" s="86" t="str">
        <f t="array" aca="1" ref="G43" ca="1">IF($B42="Gebruik % van maximum trede",
IF(
    OR(G40="",G41=""),
    "",
    MAX(
    INDIRECT("'" &amp; INDEX('Hulp (CAO''s)'!$C$3:$C$6,
        MATCH(TRUE,'Hulp (CAO''s)'!$D$3:$D$6,0)) &amp; "'!" &amp;
        INDEX('Hulp (CAO''s)'!$H$3:$H$6,
            MATCH(TRUE,'Hulp (CAO''s)'!$D$3:$D$6,0))
        &amp;
        MATCH(G40, INDIRECT("'" &amp; INDEX('Hulp (CAO''s)'!$C$3:$C$6,
            MATCH(TRUE,'Hulp (CAO''s)'!$D$3:$D$6,0)) &amp; "'!A:A"),0)
        &amp; ":H" &amp;
        IF(H40&lt;&gt;"",
            MATCH(H40, INDIRECT("'" &amp; INDEX('Hulp (CAO''s)'!$C$3:$C$6,
                MATCH(TRUE,'Hulp (CAO''s)'!$D$3:$D$6,0)) &amp; "'!A:A"),0)-1,
            1000
        )
    )
) * G41
),
IF(
    IFERROR(MIN(
        IF(
            (TRIM(INDIRECT("'" &amp; INDEX('Hulp (CAO''s)'!$C$3:$C$6,
                MATCH(TRUE,'Hulp (CAO''s)'!$D$3:$D$6,0)) &amp; "'!B1:B1000")) = TEXT(G42,"0")) *
            (ROW(INDIRECT("'" &amp; INDEX('Hulp (CAO''s)'!$C$3:$C$6,
                MATCH(TRUE,'Hulp (CAO''s)'!$D$3:$D$6,0)) &amp; "'!B1:B1000")) &gt; MATCH(
                G40,
                INDIRECT("'" &amp; INDEX('Hulp (CAO''s)'!$C$3:$C$6,
                    MATCH(TRUE,'Hulp (CAO''s)'!$D$3:$D$6,0)) &amp; "'!A:A"),
                0
            )) *
            IF(
                H40="",
                1,
                (ROW(INDIRECT("'" &amp; INDEX('Hulp (CAO''s)'!$C$3:$C$6,
                    MATCH(TRUE,'Hulp (CAO''s)'!$D$3:$D$6,0)) &amp; "'!B1:B1000")) &lt; MATCH(
                    H40,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TEXT(G42,"0")) *
                (ROW(INDIRECT("'" &amp; INDEX('Hulp (CAO''s)'!$C$3:$C$6,
                    MATCH(TRUE,'Hulp (CAO''s)'!$D$3:$D$6,0)) &amp; "'!B1:B1000")) &gt; MATCH(
                    G40,
                    INDIRECT("'" &amp; INDEX('Hulp (CAO''s)'!$C$3:$C$6,
                        MATCH(TRUE,'Hulp (CAO''s)'!$D$3:$D$6,0)) &amp; "'!A:A"),
                    0
                )) *
                IF(
                    H40="",
                    1,
                    (ROW(INDIRECT("'" &amp; INDEX('Hulp (CAO''s)'!$C$3:$C$6,
                        MATCH(TRUE,'Hulp (CAO''s)'!$D$3:$D$6,0)) &amp; "'!B1:B1000")) &lt; MATCH(
                        H40,
                        INDIRECT("'" &amp; INDEX('Hulp (CAO''s)'!$C$3:$C$6,
                            MATCH(TRUE,'Hulp (CAO''s)'!$D$3:$D$6,0)) &amp; "'!A:A"),
                        0
                    ))
                ),
                ROW(INDIRECT("'" &amp; INDEX('Hulp (CAO''s)'!$C$3:$C$6,
                    MATCH(TRUE,'Hulp (CAO''s)'!$D$3:$D$6,0)) &amp; "'!B1:B1000"))
            )
        ),0)
    )
))</f>
        <v/>
      </c>
      <c r="H43" s="86" t="str">
        <f t="array" aca="1" ref="H43" ca="1">IF($B42="Gebruik % van maximum trede",
IF(
    OR(H40="",H41=""),
    "",
    MAX(
    INDIRECT("'" &amp; INDEX('Hulp (CAO''s)'!$C$3:$C$6,
        MATCH(TRUE,'Hulp (CAO''s)'!$D$3:$D$6,0)) &amp; "'!" &amp;
        INDEX('Hulp (CAO''s)'!$H$3:$H$6,
            MATCH(TRUE,'Hulp (CAO''s)'!$D$3:$D$6,0))
        &amp;
        MATCH(H40, INDIRECT("'" &amp; INDEX('Hulp (CAO''s)'!$C$3:$C$6,
            MATCH(TRUE,'Hulp (CAO''s)'!$D$3:$D$6,0)) &amp; "'!A:A"),0)
        &amp; ":H" &amp;
        IF(I40&lt;&gt;"",
            MATCH(I40, INDIRECT("'" &amp; INDEX('Hulp (CAO''s)'!$C$3:$C$6,
                MATCH(TRUE,'Hulp (CAO''s)'!$D$3:$D$6,0)) &amp; "'!A:A"),0)-1,
            1000
        )
    )
) * H41
),
IF(
    IFERROR(MIN(
        IF(
            (TRIM(INDIRECT("'" &amp; INDEX('Hulp (CAO''s)'!$C$3:$C$6,
                MATCH(TRUE,'Hulp (CAO''s)'!$D$3:$D$6,0)) &amp; "'!B1:B1000")) = TEXT(H42,"0")) *
            (ROW(INDIRECT("'" &amp; INDEX('Hulp (CAO''s)'!$C$3:$C$6,
                MATCH(TRUE,'Hulp (CAO''s)'!$D$3:$D$6,0)) &amp; "'!B1:B1000")) &gt; MATCH(
                H40,
                INDIRECT("'" &amp; INDEX('Hulp (CAO''s)'!$C$3:$C$6,
                    MATCH(TRUE,'Hulp (CAO''s)'!$D$3:$D$6,0)) &amp; "'!A:A"),
                0
            )) *
            IF(
                I40="",
                1,
                (ROW(INDIRECT("'" &amp; INDEX('Hulp (CAO''s)'!$C$3:$C$6,
                    MATCH(TRUE,'Hulp (CAO''s)'!$D$3:$D$6,0)) &amp; "'!B1:B1000")) &lt; MATCH(
                    I40,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TEXT(H42,"0")) *
                (ROW(INDIRECT("'" &amp; INDEX('Hulp (CAO''s)'!$C$3:$C$6,
                    MATCH(TRUE,'Hulp (CAO''s)'!$D$3:$D$6,0)) &amp; "'!B1:B1000")) &gt; MATCH(
                    H40,
                    INDIRECT("'" &amp; INDEX('Hulp (CAO''s)'!$C$3:$C$6,
                        MATCH(TRUE,'Hulp (CAO''s)'!$D$3:$D$6,0)) &amp; "'!A:A"),
                    0
                )) *
                IF(
                    I40="",
                    1,
                    (ROW(INDIRECT("'" &amp; INDEX('Hulp (CAO''s)'!$C$3:$C$6,
                        MATCH(TRUE,'Hulp (CAO''s)'!$D$3:$D$6,0)) &amp; "'!B1:B1000")) &lt; MATCH(
                        I40,
                        INDIRECT("'" &amp; INDEX('Hulp (CAO''s)'!$C$3:$C$6,
                            MATCH(TRUE,'Hulp (CAO''s)'!$D$3:$D$6,0)) &amp; "'!A:A"),
                        0
                    ))
                ),
                ROW(INDIRECT("'" &amp; INDEX('Hulp (CAO''s)'!$C$3:$C$6,
                    MATCH(TRUE,'Hulp (CAO''s)'!$D$3:$D$6,0)) &amp; "'!B1:B1000"))
            )
        ),0)
    )
))</f>
        <v/>
      </c>
      <c r="I43" s="86" t="str">
        <f t="array" aca="1" ref="I43" ca="1">IF($B42="Gebruik % van maximum trede",
IF(
    OR(I40="",I41=""),
    "",
    MAX(
    INDIRECT("'" &amp; INDEX('Hulp (CAO''s)'!$C$3:$C$6,
        MATCH(TRUE,'Hulp (CAO''s)'!$D$3:$D$6,0)) &amp; "'!" &amp;
        INDEX('Hulp (CAO''s)'!$H$3:$H$6,
            MATCH(TRUE,'Hulp (CAO''s)'!$D$3:$D$6,0))
        &amp;
        MATCH(I40, INDIRECT("'" &amp; INDEX('Hulp (CAO''s)'!$C$3:$C$6,
            MATCH(TRUE,'Hulp (CAO''s)'!$D$3:$D$6,0)) &amp; "'!A:A"),0)
        &amp; ":H" &amp;
        IF(J40&lt;&gt;"",
            MATCH(J40, INDIRECT("'" &amp; INDEX('Hulp (CAO''s)'!$C$3:$C$6,
                MATCH(TRUE,'Hulp (CAO''s)'!$D$3:$D$6,0)) &amp; "'!A:A"),0)-1,
            1000
        )
    )
) * I41
),
IF(
    IFERROR(MIN(
        IF(
            (TRIM(INDIRECT("'" &amp; INDEX('Hulp (CAO''s)'!$C$3:$C$6,
                MATCH(TRUE,'Hulp (CAO''s)'!$D$3:$D$6,0)) &amp; "'!B1:B1000")) = TEXT(I42,"0")) *
            (ROW(INDIRECT("'" &amp; INDEX('Hulp (CAO''s)'!$C$3:$C$6,
                MATCH(TRUE,'Hulp (CAO''s)'!$D$3:$D$6,0)) &amp; "'!B1:B1000")) &gt; MATCH(
                I40,
                INDIRECT("'" &amp; INDEX('Hulp (CAO''s)'!$C$3:$C$6,
                    MATCH(TRUE,'Hulp (CAO''s)'!$D$3:$D$6,0)) &amp; "'!A:A"),
                0
            )) *
            IF(
                J40="",
                1,
                (ROW(INDIRECT("'" &amp; INDEX('Hulp (CAO''s)'!$C$3:$C$6,
                    MATCH(TRUE,'Hulp (CAO''s)'!$D$3:$D$6,0)) &amp; "'!B1:B1000")) &lt; MATCH(
                    J40,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TEXT(I42,"0")) *
                (ROW(INDIRECT("'" &amp; INDEX('Hulp (CAO''s)'!$C$3:$C$6,
                    MATCH(TRUE,'Hulp (CAO''s)'!$D$3:$D$6,0)) &amp; "'!B1:B1000")) &gt; MATCH(
                    I40,
                    INDIRECT("'" &amp; INDEX('Hulp (CAO''s)'!$C$3:$C$6,
                        MATCH(TRUE,'Hulp (CAO''s)'!$D$3:$D$6,0)) &amp; "'!A:A"),
                    0
                )) *
                IF(
                    J40="",
                    1,
                    (ROW(INDIRECT("'" &amp; INDEX('Hulp (CAO''s)'!$C$3:$C$6,
                        MATCH(TRUE,'Hulp (CAO''s)'!$D$3:$D$6,0)) &amp; "'!B1:B1000")) &lt; MATCH(
                        J40,
                        INDIRECT("'" &amp; INDEX('Hulp (CAO''s)'!$C$3:$C$6,
                            MATCH(TRUE,'Hulp (CAO''s)'!$D$3:$D$6,0)) &amp; "'!A:A"),
                        0
                    ))
                ),
                ROW(INDIRECT("'" &amp; INDEX('Hulp (CAO''s)'!$C$3:$C$6,
                    MATCH(TRUE,'Hulp (CAO''s)'!$D$3:$D$6,0)) &amp; "'!B1:B1000"))
            )
        ),0)
    )
))</f>
        <v/>
      </c>
      <c r="J43" s="86" t="str">
        <f t="array" aca="1" ref="J43" ca="1">IF($B42="Gebruik % van maximum trede",
IF(
    OR(J40="",J41=""),
    "",
    MAX(
    INDIRECT("'" &amp; INDEX('Hulp (CAO''s)'!$C$3:$C$6,
        MATCH(TRUE,'Hulp (CAO''s)'!$D$3:$D$6,0)) &amp; "'!" &amp;
        INDEX('Hulp (CAO''s)'!$H$3:$H$6,
            MATCH(TRUE,'Hulp (CAO''s)'!$D$3:$D$6,0))
        &amp;
        MATCH(J40, INDIRECT("'" &amp; INDEX('Hulp (CAO''s)'!$C$3:$C$6,
            MATCH(TRUE,'Hulp (CAO''s)'!$D$3:$D$6,0)) &amp; "'!A:A"),0)
        &amp; ":H" &amp;
        IF(K40&lt;&gt;"",
            MATCH(K40, INDIRECT("'" &amp; INDEX('Hulp (CAO''s)'!$C$3:$C$6,
                MATCH(TRUE,'Hulp (CAO''s)'!$D$3:$D$6,0)) &amp; "'!A:A"),0)-1,
            1000
        )
    )
) * J41
),
IF(
    IFERROR(MIN(
        IF(
            (TRIM(INDIRECT("'" &amp; INDEX('Hulp (CAO''s)'!$C$3:$C$6,
                MATCH(TRUE,'Hulp (CAO''s)'!$D$3:$D$6,0)) &amp; "'!B1:B1000")) = TEXT(J42,"0")) *
            (ROW(INDIRECT("'" &amp; INDEX('Hulp (CAO''s)'!$C$3:$C$6,
                MATCH(TRUE,'Hulp (CAO''s)'!$D$3:$D$6,0)) &amp; "'!B1:B1000")) &gt; MATCH(
                J40,
                INDIRECT("'" &amp; INDEX('Hulp (CAO''s)'!$C$3:$C$6,
                    MATCH(TRUE,'Hulp (CAO''s)'!$D$3:$D$6,0)) &amp; "'!A:A"),
                0
            )) *
            IF(
                K40="",
                1,
                (ROW(INDIRECT("'" &amp; INDEX('Hulp (CAO''s)'!$C$3:$C$6,
                    MATCH(TRUE,'Hulp (CAO''s)'!$D$3:$D$6,0)) &amp; "'!B1:B1000")) &lt; MATCH(
                    K40,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TEXT(J42,"0")) *
                (ROW(INDIRECT("'" &amp; INDEX('Hulp (CAO''s)'!$C$3:$C$6,
                    MATCH(TRUE,'Hulp (CAO''s)'!$D$3:$D$6,0)) &amp; "'!B1:B1000")) &gt; MATCH(
                    J40,
                    INDIRECT("'" &amp; INDEX('Hulp (CAO''s)'!$C$3:$C$6,
                        MATCH(TRUE,'Hulp (CAO''s)'!$D$3:$D$6,0)) &amp; "'!A:A"),
                    0
                )) *
                IF(
                    K40="",
                    1,
                    (ROW(INDIRECT("'" &amp; INDEX('Hulp (CAO''s)'!$C$3:$C$6,
                        MATCH(TRUE,'Hulp (CAO''s)'!$D$3:$D$6,0)) &amp; "'!B1:B1000")) &lt; MATCH(
                        K40,
                        INDIRECT("'" &amp; INDEX('Hulp (CAO''s)'!$C$3:$C$6,
                            MATCH(TRUE,'Hulp (CAO''s)'!$D$3:$D$6,0)) &amp; "'!A:A"),
                        0
                    ))
                ),
                ROW(INDIRECT("'" &amp; INDEX('Hulp (CAO''s)'!$C$3:$C$6,
                    MATCH(TRUE,'Hulp (CAO''s)'!$D$3:$D$6,0)) &amp; "'!B1:B1000"))
            )
        ),0)
    )
))</f>
        <v/>
      </c>
      <c r="K43" s="86" t="str">
        <f t="array" aca="1" ref="K43" ca="1">IF($B42="Gebruik % van maximum trede",
IF(
    OR(K40="",K41=""),
    "",
    MAX(
    INDIRECT("'" &amp; INDEX('Hulp (CAO''s)'!$C$3:$C$6,
        MATCH(TRUE,'Hulp (CAO''s)'!$D$3:$D$6,0)) &amp; "'!" &amp;
        INDEX('Hulp (CAO''s)'!$H$3:$H$6,
            MATCH(TRUE,'Hulp (CAO''s)'!$D$3:$D$6,0))
        &amp;
        MATCH(K40, INDIRECT("'" &amp; INDEX('Hulp (CAO''s)'!$C$3:$C$6,
            MATCH(TRUE,'Hulp (CAO''s)'!$D$3:$D$6,0)) &amp; "'!A:A"),0)
        &amp; ":H" &amp;
        IF(L40&lt;&gt;"",
            MATCH(L40, INDIRECT("'" &amp; INDEX('Hulp (CAO''s)'!$C$3:$C$6,
                MATCH(TRUE,'Hulp (CAO''s)'!$D$3:$D$6,0)) &amp; "'!A:A"),0)-1,
            1000
        )
    )
) * K41
),
IF(
    IFERROR(MIN(
        IF(
            (TRIM(INDIRECT("'" &amp; INDEX('Hulp (CAO''s)'!$C$3:$C$6,
                MATCH(TRUE,'Hulp (CAO''s)'!$D$3:$D$6,0)) &amp; "'!B1:B1000")) = TEXT(K42,"0")) *
            (ROW(INDIRECT("'" &amp; INDEX('Hulp (CAO''s)'!$C$3:$C$6,
                MATCH(TRUE,'Hulp (CAO''s)'!$D$3:$D$6,0)) &amp; "'!B1:B1000")) &gt; MATCH(
                K40,
                INDIRECT("'" &amp; INDEX('Hulp (CAO''s)'!$C$3:$C$6,
                    MATCH(TRUE,'Hulp (CAO''s)'!$D$3:$D$6,0)) &amp; "'!A:A"),
                0
            )) *
            IF(
                L40="",
                1,
                (ROW(INDIRECT("'" &amp; INDEX('Hulp (CAO''s)'!$C$3:$C$6,
                    MATCH(TRUE,'Hulp (CAO''s)'!$D$3:$D$6,0)) &amp; "'!B1:B1000")) &lt; MATCH(
                    L40,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TEXT(K42,"0")) *
                (ROW(INDIRECT("'" &amp; INDEX('Hulp (CAO''s)'!$C$3:$C$6,
                    MATCH(TRUE,'Hulp (CAO''s)'!$D$3:$D$6,0)) &amp; "'!B1:B1000")) &gt; MATCH(
                    K40,
                    INDIRECT("'" &amp; INDEX('Hulp (CAO''s)'!$C$3:$C$6,
                        MATCH(TRUE,'Hulp (CAO''s)'!$D$3:$D$6,0)) &amp; "'!A:A"),
                    0
                )) *
                IF(
                    L40="",
                    1,
                    (ROW(INDIRECT("'" &amp; INDEX('Hulp (CAO''s)'!$C$3:$C$6,
                        MATCH(TRUE,'Hulp (CAO''s)'!$D$3:$D$6,0)) &amp; "'!B1:B1000")) &lt; MATCH(
                        L40,
                        INDIRECT("'" &amp; INDEX('Hulp (CAO''s)'!$C$3:$C$6,
                            MATCH(TRUE,'Hulp (CAO''s)'!$D$3:$D$6,0)) &amp; "'!A:A"),
                        0
                    ))
                ),
                ROW(INDIRECT("'" &amp; INDEX('Hulp (CAO''s)'!$C$3:$C$6,
                    MATCH(TRUE,'Hulp (CAO''s)'!$D$3:$D$6,0)) &amp; "'!B1:B1000"))
            )
        ),0)
    )
))</f>
        <v/>
      </c>
      <c r="L43" s="86" t="str">
        <f t="array" aca="1" ref="L43" ca="1">IF($B42="Gebruik % van maximum trede",
IF(
    OR(L40="",L41=""),
    "",
    MAX(
    INDIRECT("'" &amp; INDEX('Hulp (CAO''s)'!$C$3:$C$6,
        MATCH(TRUE,'Hulp (CAO''s)'!$D$3:$D$6,0)) &amp; "'!" &amp;
        INDEX('Hulp (CAO''s)'!$H$3:$H$6,
            MATCH(TRUE,'Hulp (CAO''s)'!$D$3:$D$6,0))
        &amp;
        MATCH(L40, INDIRECT("'" &amp; INDEX('Hulp (CAO''s)'!$C$3:$C$6,
            MATCH(TRUE,'Hulp (CAO''s)'!$D$3:$D$6,0)) &amp; "'!A:A"),0)
        &amp; ":H" &amp;
        IF(M40&lt;&gt;"",
            MATCH(M40, INDIRECT("'" &amp; INDEX('Hulp (CAO''s)'!$C$3:$C$6,
                MATCH(TRUE,'Hulp (CAO''s)'!$D$3:$D$6,0)) &amp; "'!A:A"),0)-1,
            1000
        )
    )
) * L41
),
IF(
    IFERROR(MIN(
        IF(
            (TRIM(INDIRECT("'" &amp; INDEX('Hulp (CAO''s)'!$C$3:$C$6,
                MATCH(TRUE,'Hulp (CAO''s)'!$D$3:$D$6,0)) &amp; "'!B1:B1000")) = TEXT(L42,"0")) *
            (ROW(INDIRECT("'" &amp; INDEX('Hulp (CAO''s)'!$C$3:$C$6,
                MATCH(TRUE,'Hulp (CAO''s)'!$D$3:$D$6,0)) &amp; "'!B1:B1000")) &gt; MATCH(
                L40,
                INDIRECT("'" &amp; INDEX('Hulp (CAO''s)'!$C$3:$C$6,
                    MATCH(TRUE,'Hulp (CAO''s)'!$D$3:$D$6,0)) &amp; "'!A:A"),
                0
            )) *
            IF(
                M40="",
                1,
                (ROW(INDIRECT("'" &amp; INDEX('Hulp (CAO''s)'!$C$3:$C$6,
                    MATCH(TRUE,'Hulp (CAO''s)'!$D$3:$D$6,0)) &amp; "'!B1:B1000")) &lt; MATCH(
                    M40,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TEXT(L42,"0")) *
                (ROW(INDIRECT("'" &amp; INDEX('Hulp (CAO''s)'!$C$3:$C$6,
                    MATCH(TRUE,'Hulp (CAO''s)'!$D$3:$D$6,0)) &amp; "'!B1:B1000")) &gt; MATCH(
                    L40,
                    INDIRECT("'" &amp; INDEX('Hulp (CAO''s)'!$C$3:$C$6,
                        MATCH(TRUE,'Hulp (CAO''s)'!$D$3:$D$6,0)) &amp; "'!A:A"),
                    0
                )) *
                IF(
                    M40="",
                    1,
                    (ROW(INDIRECT("'" &amp; INDEX('Hulp (CAO''s)'!$C$3:$C$6,
                        MATCH(TRUE,'Hulp (CAO''s)'!$D$3:$D$6,0)) &amp; "'!B1:B1000")) &lt; MATCH(
                        M40,
                        INDIRECT("'" &amp; INDEX('Hulp (CAO''s)'!$C$3:$C$6,
                            MATCH(TRUE,'Hulp (CAO''s)'!$D$3:$D$6,0)) &amp; "'!A:A"),
                        0
                    ))
                ),
                ROW(INDIRECT("'" &amp; INDEX('Hulp (CAO''s)'!$C$3:$C$6,
                    MATCH(TRUE,'Hulp (CAO''s)'!$D$3:$D$6,0)) &amp; "'!B1:B1000"))
            )
        ),0)
    )
))</f>
        <v/>
      </c>
      <c r="M43" s="86" t="str">
        <f t="array" aca="1" ref="M43" ca="1">IF($B42="Gebruik % van maximum trede",
IF(
    OR(M40="",M41=""),
    "",
    MAX(
    INDIRECT("'" &amp; INDEX('Hulp (CAO''s)'!$C$3:$C$6,
        MATCH(TRUE,'Hulp (CAO''s)'!$D$3:$D$6,0)) &amp; "'!" &amp;
        INDEX('Hulp (CAO''s)'!$H$3:$H$6,
            MATCH(TRUE,'Hulp (CAO''s)'!$D$3:$D$6,0))
        &amp;
        MATCH(M40, INDIRECT("'" &amp; INDEX('Hulp (CAO''s)'!$C$3:$C$6,
            MATCH(TRUE,'Hulp (CAO''s)'!$D$3:$D$6,0)) &amp; "'!A:A"),0)
        &amp; ":H" &amp;
        IF(N40&lt;&gt;"",
            MATCH(N40, INDIRECT("'" &amp; INDEX('Hulp (CAO''s)'!$C$3:$C$6,
                MATCH(TRUE,'Hulp (CAO''s)'!$D$3:$D$6,0)) &amp; "'!A:A"),0)-1,
            1000
        )
    )
) * M41
),
IF(
    IFERROR(MIN(
        IF(
            (TRIM(INDIRECT("'" &amp; INDEX('Hulp (CAO''s)'!$C$3:$C$6,
                MATCH(TRUE,'Hulp (CAO''s)'!$D$3:$D$6,0)) &amp; "'!B1:B1000")) = TEXT(M42,"0")) *
            (ROW(INDIRECT("'" &amp; INDEX('Hulp (CAO''s)'!$C$3:$C$6,
                MATCH(TRUE,'Hulp (CAO''s)'!$D$3:$D$6,0)) &amp; "'!B1:B1000")) &gt; MATCH(
                M40,
                INDIRECT("'" &amp; INDEX('Hulp (CAO''s)'!$C$3:$C$6,
                    MATCH(TRUE,'Hulp (CAO''s)'!$D$3:$D$6,0)) &amp; "'!A:A"),
                0
            )) *
            IF(
                N40="",
                1,
                (ROW(INDIRECT("'" &amp; INDEX('Hulp (CAO''s)'!$C$3:$C$6,
                    MATCH(TRUE,'Hulp (CAO''s)'!$D$3:$D$6,0)) &amp; "'!B1:B1000")) &lt; MATCH(
                    N40,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TEXT(M42,"0")) *
                (ROW(INDIRECT("'" &amp; INDEX('Hulp (CAO''s)'!$C$3:$C$6,
                    MATCH(TRUE,'Hulp (CAO''s)'!$D$3:$D$6,0)) &amp; "'!B1:B1000")) &gt; MATCH(
                    M40,
                    INDIRECT("'" &amp; INDEX('Hulp (CAO''s)'!$C$3:$C$6,
                        MATCH(TRUE,'Hulp (CAO''s)'!$D$3:$D$6,0)) &amp; "'!A:A"),
                    0
                )) *
                IF(
                    N40="",
                    1,
                    (ROW(INDIRECT("'" &amp; INDEX('Hulp (CAO''s)'!$C$3:$C$6,
                        MATCH(TRUE,'Hulp (CAO''s)'!$D$3:$D$6,0)) &amp; "'!B1:B1000")) &lt; MATCH(
                        N40,
                        INDIRECT("'" &amp; INDEX('Hulp (CAO''s)'!$C$3:$C$6,
                            MATCH(TRUE,'Hulp (CAO''s)'!$D$3:$D$6,0)) &amp; "'!A:A"),
                        0
                    ))
                ),
                ROW(INDIRECT("'" &amp; INDEX('Hulp (CAO''s)'!$C$3:$C$6,
                    MATCH(TRUE,'Hulp (CAO''s)'!$D$3:$D$6,0)) &amp; "'!B1:B1000"))
            )
        ),0)
    )
))</f>
        <v/>
      </c>
      <c r="N43" s="86" t="str">
        <f t="array" aca="1" ref="N43" ca="1">IF($B42="Gebruik % van maximum trede",
IF(
    OR(N40="",N41=""),
    "",
    MAX(
    INDIRECT("'" &amp; INDEX('Hulp (CAO''s)'!$C$3:$C$6,
        MATCH(TRUE,'Hulp (CAO''s)'!$D$3:$D$6,0)) &amp; "'!" &amp;
        INDEX('Hulp (CAO''s)'!$H$3:$H$6,
            MATCH(TRUE,'Hulp (CAO''s)'!$D$3:$D$6,0))
        &amp;
        MATCH(N40, INDIRECT("'" &amp; INDEX('Hulp (CAO''s)'!$C$3:$C$6,
            MATCH(TRUE,'Hulp (CAO''s)'!$D$3:$D$6,0)) &amp; "'!A:A"),0)
        &amp; ":H" &amp;
        IF(O40&lt;&gt;"",
            MATCH(O40, INDIRECT("'" &amp; INDEX('Hulp (CAO''s)'!$C$3:$C$6,
                MATCH(TRUE,'Hulp (CAO''s)'!$D$3:$D$6,0)) &amp; "'!A:A"),0)-1,
            1000
        )
    )
) * N41
),
IF(
    IFERROR(MIN(
        IF(
            (TRIM(INDIRECT("'" &amp; INDEX('Hulp (CAO''s)'!$C$3:$C$6,
                MATCH(TRUE,'Hulp (CAO''s)'!$D$3:$D$6,0)) &amp; "'!B1:B1000")) = TEXT(N42,"0")) *
            (ROW(INDIRECT("'" &amp; INDEX('Hulp (CAO''s)'!$C$3:$C$6,
                MATCH(TRUE,'Hulp (CAO''s)'!$D$3:$D$6,0)) &amp; "'!B1:B1000")) &gt; MATCH(
                N40,
                INDIRECT("'" &amp; INDEX('Hulp (CAO''s)'!$C$3:$C$6,
                    MATCH(TRUE,'Hulp (CAO''s)'!$D$3:$D$6,0)) &amp; "'!A:A"),
                0
            )) *
            IF(
                O40="",
                1,
                (ROW(INDIRECT("'" &amp; INDEX('Hulp (CAO''s)'!$C$3:$C$6,
                    MATCH(TRUE,'Hulp (CAO''s)'!$D$3:$D$6,0)) &amp; "'!B1:B1000")) &lt; MATCH(
                    O40,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TEXT(N42,"0")) *
                (ROW(INDIRECT("'" &amp; INDEX('Hulp (CAO''s)'!$C$3:$C$6,
                    MATCH(TRUE,'Hulp (CAO''s)'!$D$3:$D$6,0)) &amp; "'!B1:B1000")) &gt; MATCH(
                    N40,
                    INDIRECT("'" &amp; INDEX('Hulp (CAO''s)'!$C$3:$C$6,
                        MATCH(TRUE,'Hulp (CAO''s)'!$D$3:$D$6,0)) &amp; "'!A:A"),
                    0
                )) *
                IF(
                    O40="",
                    1,
                    (ROW(INDIRECT("'" &amp; INDEX('Hulp (CAO''s)'!$C$3:$C$6,
                        MATCH(TRUE,'Hulp (CAO''s)'!$D$3:$D$6,0)) &amp; "'!B1:B1000")) &lt; MATCH(
                        O40,
                        INDIRECT("'" &amp; INDEX('Hulp (CAO''s)'!$C$3:$C$6,
                            MATCH(TRUE,'Hulp (CAO''s)'!$D$3:$D$6,0)) &amp; "'!A:A"),
                        0
                    ))
                ),
                ROW(INDIRECT("'" &amp; INDEX('Hulp (CAO''s)'!$C$3:$C$6,
                    MATCH(TRUE,'Hulp (CAO''s)'!$D$3:$D$6,0)) &amp; "'!B1:B1000"))
            )
        ),0)
    )
))</f>
        <v/>
      </c>
      <c r="O43" s="86" t="str">
        <f t="array" aca="1" ref="O43" ca="1">IF($B42="Gebruik % van maximum trede",
IF(
    OR(O40="",O41=""),
    "",
    MAX(
    INDIRECT("'" &amp; INDEX('Hulp (CAO''s)'!$C$3:$C$6,
        MATCH(TRUE,'Hulp (CAO''s)'!$D$3:$D$6,0)) &amp; "'!" &amp;
        INDEX('Hulp (CAO''s)'!$H$3:$H$6,
            MATCH(TRUE,'Hulp (CAO''s)'!$D$3:$D$6,0))
        &amp;
        MATCH(O40, INDIRECT("'" &amp; INDEX('Hulp (CAO''s)'!$C$3:$C$6,
            MATCH(TRUE,'Hulp (CAO''s)'!$D$3:$D$6,0)) &amp; "'!A:A"),0)
        &amp; ":H" &amp;
        IF(P40&lt;&gt;"",
            MATCH(P40, INDIRECT("'" &amp; INDEX('Hulp (CAO''s)'!$C$3:$C$6,
                MATCH(TRUE,'Hulp (CAO''s)'!$D$3:$D$6,0)) &amp; "'!A:A"),0)-1,
            1000
        )
    )
) * O41
),
IF(
    IFERROR(MIN(
        IF(
            (TRIM(INDIRECT("'" &amp; INDEX('Hulp (CAO''s)'!$C$3:$C$6,
                MATCH(TRUE,'Hulp (CAO''s)'!$D$3:$D$6,0)) &amp; "'!B1:B1000")) = TEXT(O42,"0")) *
            (ROW(INDIRECT("'" &amp; INDEX('Hulp (CAO''s)'!$C$3:$C$6,
                MATCH(TRUE,'Hulp (CAO''s)'!$D$3:$D$6,0)) &amp; "'!B1:B1000")) &gt; MATCH(
                O40,
                INDIRECT("'" &amp; INDEX('Hulp (CAO''s)'!$C$3:$C$6,
                    MATCH(TRUE,'Hulp (CAO''s)'!$D$3:$D$6,0)) &amp; "'!A:A"),
                0
            )) *
            IF(
                P40="",
                1,
                (ROW(INDIRECT("'" &amp; INDEX('Hulp (CAO''s)'!$C$3:$C$6,
                    MATCH(TRUE,'Hulp (CAO''s)'!$D$3:$D$6,0)) &amp; "'!B1:B1000")) &lt; MATCH(
                    P40,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TEXT(O42,"0")) *
                (ROW(INDIRECT("'" &amp; INDEX('Hulp (CAO''s)'!$C$3:$C$6,
                    MATCH(TRUE,'Hulp (CAO''s)'!$D$3:$D$6,0)) &amp; "'!B1:B1000")) &gt; MATCH(
                    O40,
                    INDIRECT("'" &amp; INDEX('Hulp (CAO''s)'!$C$3:$C$6,
                        MATCH(TRUE,'Hulp (CAO''s)'!$D$3:$D$6,0)) &amp; "'!A:A"),
                    0
                )) *
                IF(
                    P40="",
                    1,
                    (ROW(INDIRECT("'" &amp; INDEX('Hulp (CAO''s)'!$C$3:$C$6,
                        MATCH(TRUE,'Hulp (CAO''s)'!$D$3:$D$6,0)) &amp; "'!B1:B1000")) &lt; MATCH(
                        P40,
                        INDIRECT("'" &amp; INDEX('Hulp (CAO''s)'!$C$3:$C$6,
                            MATCH(TRUE,'Hulp (CAO''s)'!$D$3:$D$6,0)) &amp; "'!A:A"),
                        0
                    ))
                ),
                ROW(INDIRECT("'" &amp; INDEX('Hulp (CAO''s)'!$C$3:$C$6,
                    MATCH(TRUE,'Hulp (CAO''s)'!$D$3:$D$6,0)) &amp; "'!B1:B1000"))
            )
        ),0)
    )
))</f>
        <v/>
      </c>
      <c r="P43" s="86" t="str">
        <f t="array" aca="1" ref="P43" ca="1">IF($B42="Gebruik % van maximum trede",
IF(
    OR(P40="",P41=""),
    "",
    MAX(
    INDIRECT("'" &amp; INDEX('Hulp (CAO''s)'!$C$3:$C$6,
        MATCH(TRUE,'Hulp (CAO''s)'!$D$3:$D$6,0)) &amp; "'!" &amp;
        INDEX('Hulp (CAO''s)'!$H$3:$H$6,
            MATCH(TRUE,'Hulp (CAO''s)'!$D$3:$D$6,0))
        &amp;
        MATCH(P40, INDIRECT("'" &amp; INDEX('Hulp (CAO''s)'!$C$3:$C$6,
            MATCH(TRUE,'Hulp (CAO''s)'!$D$3:$D$6,0)) &amp; "'!A:A"),0)
        &amp; ":H" &amp;
        IF(Q40&lt;&gt;"",
            MATCH(Q40, INDIRECT("'" &amp; INDEX('Hulp (CAO''s)'!$C$3:$C$6,
                MATCH(TRUE,'Hulp (CAO''s)'!$D$3:$D$6,0)) &amp; "'!A:A"),0)-1,
            1000
        )
    )
) * P41
),
IF(
    IFERROR(MIN(
        IF(
            (TRIM(INDIRECT("'" &amp; INDEX('Hulp (CAO''s)'!$C$3:$C$6,
                MATCH(TRUE,'Hulp (CAO''s)'!$D$3:$D$6,0)) &amp; "'!B1:B1000")) = TEXT(P42,"0")) *
            (ROW(INDIRECT("'" &amp; INDEX('Hulp (CAO''s)'!$C$3:$C$6,
                MATCH(TRUE,'Hulp (CAO''s)'!$D$3:$D$6,0)) &amp; "'!B1:B1000")) &gt; MATCH(
                P40,
                INDIRECT("'" &amp; INDEX('Hulp (CAO''s)'!$C$3:$C$6,
                    MATCH(TRUE,'Hulp (CAO''s)'!$D$3:$D$6,0)) &amp; "'!A:A"),
                0
            )) *
            IF(
                Q40="",
                1,
                (ROW(INDIRECT("'" &amp; INDEX('Hulp (CAO''s)'!$C$3:$C$6,
                    MATCH(TRUE,'Hulp (CAO''s)'!$D$3:$D$6,0)) &amp; "'!B1:B1000")) &lt; MATCH(
                    Q40,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TEXT(P42,"0")) *
                (ROW(INDIRECT("'" &amp; INDEX('Hulp (CAO''s)'!$C$3:$C$6,
                    MATCH(TRUE,'Hulp (CAO''s)'!$D$3:$D$6,0)) &amp; "'!B1:B1000")) &gt; MATCH(
                    P40,
                    INDIRECT("'" &amp; INDEX('Hulp (CAO''s)'!$C$3:$C$6,
                        MATCH(TRUE,'Hulp (CAO''s)'!$D$3:$D$6,0)) &amp; "'!A:A"),
                    0
                )) *
                IF(
                    Q40="",
                    1,
                    (ROW(INDIRECT("'" &amp; INDEX('Hulp (CAO''s)'!$C$3:$C$6,
                        MATCH(TRUE,'Hulp (CAO''s)'!$D$3:$D$6,0)) &amp; "'!B1:B1000")) &lt; MATCH(
                        Q40,
                        INDIRECT("'" &amp; INDEX('Hulp (CAO''s)'!$C$3:$C$6,
                            MATCH(TRUE,'Hulp (CAO''s)'!$D$3:$D$6,0)) &amp; "'!A:A"),
                        0
                    ))
                ),
                ROW(INDIRECT("'" &amp; INDEX('Hulp (CAO''s)'!$C$3:$C$6,
                    MATCH(TRUE,'Hulp (CAO''s)'!$D$3:$D$6,0)) &amp; "'!B1:B1000"))
            )
        ),0)
    )
))</f>
        <v/>
      </c>
      <c r="Q43" s="86" t="str">
        <f t="array" aca="1" ref="Q43" ca="1">IF($B42="Gebruik % van maximum trede",
IF(
    OR(Q40="",Q41=""),
    "",
    MAX(
    INDIRECT("'" &amp; INDEX('Hulp (CAO''s)'!$C$3:$C$6,
        MATCH(TRUE,'Hulp (CAO''s)'!$D$3:$D$6,0)) &amp; "'!" &amp;
        INDEX('Hulp (CAO''s)'!$H$3:$H$6,
            MATCH(TRUE,'Hulp (CAO''s)'!$D$3:$D$6,0))
        &amp;
        MATCH(Q40, INDIRECT("'" &amp; INDEX('Hulp (CAO''s)'!$C$3:$C$6,
            MATCH(TRUE,'Hulp (CAO''s)'!$D$3:$D$6,0)) &amp; "'!A:A"),0)
        &amp; ":H" &amp;
        IF(R40&lt;&gt;"",
            MATCH(R40, INDIRECT("'" &amp; INDEX('Hulp (CAO''s)'!$C$3:$C$6,
                MATCH(TRUE,'Hulp (CAO''s)'!$D$3:$D$6,0)) &amp; "'!A:A"),0)-1,
            1000
        )
    )
) * Q41
),
IF(
    IFERROR(MIN(
        IF(
            (TRIM(INDIRECT("'" &amp; INDEX('Hulp (CAO''s)'!$C$3:$C$6,
                MATCH(TRUE,'Hulp (CAO''s)'!$D$3:$D$6,0)) &amp; "'!B1:B1000")) = TEXT(Q42,"0")) *
            (ROW(INDIRECT("'" &amp; INDEX('Hulp (CAO''s)'!$C$3:$C$6,
                MATCH(TRUE,'Hulp (CAO''s)'!$D$3:$D$6,0)) &amp; "'!B1:B1000")) &gt; MATCH(
                Q40,
                INDIRECT("'" &amp; INDEX('Hulp (CAO''s)'!$C$3:$C$6,
                    MATCH(TRUE,'Hulp (CAO''s)'!$D$3:$D$6,0)) &amp; "'!A:A"),
                0
            )) *
            IF(
                R40="",
                1,
                (ROW(INDIRECT("'" &amp; INDEX('Hulp (CAO''s)'!$C$3:$C$6,
                    MATCH(TRUE,'Hulp (CAO''s)'!$D$3:$D$6,0)) &amp; "'!B1:B1000")) &lt; MATCH(
                    R40,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TEXT(Q42,"0")) *
                (ROW(INDIRECT("'" &amp; INDEX('Hulp (CAO''s)'!$C$3:$C$6,
                    MATCH(TRUE,'Hulp (CAO''s)'!$D$3:$D$6,0)) &amp; "'!B1:B1000")) &gt; MATCH(
                    Q40,
                    INDIRECT("'" &amp; INDEX('Hulp (CAO''s)'!$C$3:$C$6,
                        MATCH(TRUE,'Hulp (CAO''s)'!$D$3:$D$6,0)) &amp; "'!A:A"),
                    0
                )) *
                IF(
                    R40="",
                    1,
                    (ROW(INDIRECT("'" &amp; INDEX('Hulp (CAO''s)'!$C$3:$C$6,
                        MATCH(TRUE,'Hulp (CAO''s)'!$D$3:$D$6,0)) &amp; "'!B1:B1000")) &lt; MATCH(
                        R40,
                        INDIRECT("'" &amp; INDEX('Hulp (CAO''s)'!$C$3:$C$6,
                            MATCH(TRUE,'Hulp (CAO''s)'!$D$3:$D$6,0)) &amp; "'!A:A"),
                        0
                    ))
                ),
                ROW(INDIRECT("'" &amp; INDEX('Hulp (CAO''s)'!$C$3:$C$6,
                    MATCH(TRUE,'Hulp (CAO''s)'!$D$3:$D$6,0)) &amp; "'!B1:B1000"))
            )
        ),0)
    )
))</f>
        <v/>
      </c>
      <c r="R43" s="86" t="str">
        <f t="array" aca="1" ref="R43" ca="1">IF($B42="Gebruik % van maximum trede",
IF(
    OR(R40="",R41=""),
    "",
    MAX(
    INDIRECT("'" &amp; INDEX('Hulp (CAO''s)'!$C$3:$C$6,
        MATCH(TRUE,'Hulp (CAO''s)'!$D$3:$D$6,0)) &amp; "'!" &amp;
        INDEX('Hulp (CAO''s)'!$H$3:$H$6,
            MATCH(TRUE,'Hulp (CAO''s)'!$D$3:$D$6,0))
        &amp;
        MATCH(R40, INDIRECT("'" &amp; INDEX('Hulp (CAO''s)'!$C$3:$C$6,
            MATCH(TRUE,'Hulp (CAO''s)'!$D$3:$D$6,0)) &amp; "'!A:A"),0)
        &amp; ":H" &amp;
        IF(S40&lt;&gt;"",
            MATCH(S40, INDIRECT("'" &amp; INDEX('Hulp (CAO''s)'!$C$3:$C$6,
                MATCH(TRUE,'Hulp (CAO''s)'!$D$3:$D$6,0)) &amp; "'!A:A"),0)-1,
            1000
        )
    )
) * R41
),
IF(
    IFERROR(MIN(
        IF(
            (TRIM(INDIRECT("'" &amp; INDEX('Hulp (CAO''s)'!$C$3:$C$6,
                MATCH(TRUE,'Hulp (CAO''s)'!$D$3:$D$6,0)) &amp; "'!B1:B1000")) = TEXT(R42,"0")) *
            (ROW(INDIRECT("'" &amp; INDEX('Hulp (CAO''s)'!$C$3:$C$6,
                MATCH(TRUE,'Hulp (CAO''s)'!$D$3:$D$6,0)) &amp; "'!B1:B1000")) &gt; MATCH(
                R40,
                INDIRECT("'" &amp; INDEX('Hulp (CAO''s)'!$C$3:$C$6,
                    MATCH(TRUE,'Hulp (CAO''s)'!$D$3:$D$6,0)) &amp; "'!A:A"),
                0
            )) *
            IF(
                S40="",
                1,
                (ROW(INDIRECT("'" &amp; INDEX('Hulp (CAO''s)'!$C$3:$C$6,
                    MATCH(TRUE,'Hulp (CAO''s)'!$D$3:$D$6,0)) &amp; "'!B1:B1000")) &lt; MATCH(
                    S40,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TEXT(R42,"0")) *
                (ROW(INDIRECT("'" &amp; INDEX('Hulp (CAO''s)'!$C$3:$C$6,
                    MATCH(TRUE,'Hulp (CAO''s)'!$D$3:$D$6,0)) &amp; "'!B1:B1000")) &gt; MATCH(
                    R40,
                    INDIRECT("'" &amp; INDEX('Hulp (CAO''s)'!$C$3:$C$6,
                        MATCH(TRUE,'Hulp (CAO''s)'!$D$3:$D$6,0)) &amp; "'!A:A"),
                    0
                )) *
                IF(
                    S40="",
                    1,
                    (ROW(INDIRECT("'" &amp; INDEX('Hulp (CAO''s)'!$C$3:$C$6,
                        MATCH(TRUE,'Hulp (CAO''s)'!$D$3:$D$6,0)) &amp; "'!B1:B1000")) &lt; MATCH(
                        S40,
                        INDIRECT("'" &amp; INDEX('Hulp (CAO''s)'!$C$3:$C$6,
                            MATCH(TRUE,'Hulp (CAO''s)'!$D$3:$D$6,0)) &amp; "'!A:A"),
                        0
                    ))
                ),
                ROW(INDIRECT("'" &amp; INDEX('Hulp (CAO''s)'!$C$3:$C$6,
                    MATCH(TRUE,'Hulp (CAO''s)'!$D$3:$D$6,0)) &amp; "'!B1:B1000"))
            )
        ),0)
    )
))</f>
        <v/>
      </c>
      <c r="S43" s="86" t="str">
        <f t="array" aca="1" ref="S43" ca="1">IF($B42="Gebruik % van maximum trede",
IF(
    OR(S40="",S41=""),
    "",
    MAX(
    INDIRECT("'" &amp; INDEX('Hulp (CAO''s)'!$C$3:$C$6,
        MATCH(TRUE,'Hulp (CAO''s)'!$D$3:$D$6,0)) &amp; "'!" &amp;
        INDEX('Hulp (CAO''s)'!$H$3:$H$6,
            MATCH(TRUE,'Hulp (CAO''s)'!$D$3:$D$6,0))
        &amp;
        MATCH(S40, INDIRECT("'" &amp; INDEX('Hulp (CAO''s)'!$C$3:$C$6,
            MATCH(TRUE,'Hulp (CAO''s)'!$D$3:$D$6,0)) &amp; "'!A:A"),0)
        &amp; ":H" &amp;
        IF(T40&lt;&gt;"",
            MATCH(T40, INDIRECT("'" &amp; INDEX('Hulp (CAO''s)'!$C$3:$C$6,
                MATCH(TRUE,'Hulp (CAO''s)'!$D$3:$D$6,0)) &amp; "'!A:A"),0)-1,
            1000
        )
    )
) * S41
),
IF(
    IFERROR(MIN(
        IF(
            (TRIM(INDIRECT("'" &amp; INDEX('Hulp (CAO''s)'!$C$3:$C$6,
                MATCH(TRUE,'Hulp (CAO''s)'!$D$3:$D$6,0)) &amp; "'!B1:B1000")) = TEXT(S42,"0")) *
            (ROW(INDIRECT("'" &amp; INDEX('Hulp (CAO''s)'!$C$3:$C$6,
                MATCH(TRUE,'Hulp (CAO''s)'!$D$3:$D$6,0)) &amp; "'!B1:B1000")) &gt; MATCH(
                S40,
                INDIRECT("'" &amp; INDEX('Hulp (CAO''s)'!$C$3:$C$6,
                    MATCH(TRUE,'Hulp (CAO''s)'!$D$3:$D$6,0)) &amp; "'!A:A"),
                0
            )) *
            IF(
                T40="",
                1,
                (ROW(INDIRECT("'" &amp; INDEX('Hulp (CAO''s)'!$C$3:$C$6,
                    MATCH(TRUE,'Hulp (CAO''s)'!$D$3:$D$6,0)) &amp; "'!B1:B1000")) &lt; MATCH(
                    T40,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TEXT(S42,"0")) *
                (ROW(INDIRECT("'" &amp; INDEX('Hulp (CAO''s)'!$C$3:$C$6,
                    MATCH(TRUE,'Hulp (CAO''s)'!$D$3:$D$6,0)) &amp; "'!B1:B1000")) &gt; MATCH(
                    S40,
                    INDIRECT("'" &amp; INDEX('Hulp (CAO''s)'!$C$3:$C$6,
                        MATCH(TRUE,'Hulp (CAO''s)'!$D$3:$D$6,0)) &amp; "'!A:A"),
                    0
                )) *
                IF(
                    T40="",
                    1,
                    (ROW(INDIRECT("'" &amp; INDEX('Hulp (CAO''s)'!$C$3:$C$6,
                        MATCH(TRUE,'Hulp (CAO''s)'!$D$3:$D$6,0)) &amp; "'!B1:B1000")) &lt; MATCH(
                        T40,
                        INDIRECT("'" &amp; INDEX('Hulp (CAO''s)'!$C$3:$C$6,
                            MATCH(TRUE,'Hulp (CAO''s)'!$D$3:$D$6,0)) &amp; "'!A:A"),
                        0
                    ))
                ),
                ROW(INDIRECT("'" &amp; INDEX('Hulp (CAO''s)'!$C$3:$C$6,
                    MATCH(TRUE,'Hulp (CAO''s)'!$D$3:$D$6,0)) &amp; "'!B1:B1000"))
            )
        ),0)
    )
))</f>
        <v/>
      </c>
      <c r="T43" s="39" t="str">
        <f t="array" aca="1" ref="T43" ca="1">IF($B42="Gebruik % van maximum trede",
IF(
    OR(T40="",T41=""),
    "",
    MAX(
    INDIRECT("'" &amp; INDEX('Hulp (CAO''s)'!$C$3:$C$6,
        MATCH(TRUE,'Hulp (CAO''s)'!$D$3:$D$6,0)) &amp; "'!" &amp;
        INDEX('Hulp (CAO''s)'!$H$3:$H$6,
            MATCH(TRUE,'Hulp (CAO''s)'!$D$3:$D$6,0))
        &amp;
        MATCH(T40, INDIRECT("'" &amp; INDEX('Hulp (CAO''s)'!$C$3:$C$6,
            MATCH(TRUE,'Hulp (CAO''s)'!$D$3:$D$6,0)) &amp; "'!A:A"),0)
        &amp; ":H" &amp;
        IF(U40&lt;&gt;"",
            MATCH(U40, INDIRECT("'" &amp; INDEX('Hulp (CAO''s)'!$C$3:$C$6,
                MATCH(TRUE,'Hulp (CAO''s)'!$D$3:$D$6,0)) &amp; "'!A:A"),0)-1,
            1000
        )
    )
) * T41
),
IF(
    IFERROR(MIN(
        IF(
            (TRIM(INDIRECT("'" &amp; INDEX('Hulp (CAO''s)'!$C$3:$C$6,
                MATCH(TRUE,'Hulp (CAO''s)'!$D$3:$D$6,0)) &amp; "'!B1:B1000")) = TEXT(T42,"0")) *
            (ROW(INDIRECT("'" &amp; INDEX('Hulp (CAO''s)'!$C$3:$C$6,
                MATCH(TRUE,'Hulp (CAO''s)'!$D$3:$D$6,0)) &amp; "'!B1:B1000")) &gt; MATCH(
                T40,
                INDIRECT("'" &amp; INDEX('Hulp (CAO''s)'!$C$3:$C$6,
                    MATCH(TRUE,'Hulp (CAO''s)'!$D$3:$D$6,0)) &amp; "'!A:A"),
                0
            )) *
            IF(
                U40="",
                1,
                (ROW(INDIRECT("'" &amp; INDEX('Hulp (CAO''s)'!$C$3:$C$6,
                    MATCH(TRUE,'Hulp (CAO''s)'!$D$3:$D$6,0)) &amp; "'!B1:B1000")) &lt; MATCH(
                    U40,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TEXT(T42,"0")) *
                (ROW(INDIRECT("'" &amp; INDEX('Hulp (CAO''s)'!$C$3:$C$6,
                    MATCH(TRUE,'Hulp (CAO''s)'!$D$3:$D$6,0)) &amp; "'!B1:B1000")) &gt; MATCH(
                    T40,
                    INDIRECT("'" &amp; INDEX('Hulp (CAO''s)'!$C$3:$C$6,
                        MATCH(TRUE,'Hulp (CAO''s)'!$D$3:$D$6,0)) &amp; "'!A:A"),
                    0
                )) *
                IF(
                    U40="",
                    1,
                    (ROW(INDIRECT("'" &amp; INDEX('Hulp (CAO''s)'!$C$3:$C$6,
                        MATCH(TRUE,'Hulp (CAO''s)'!$D$3:$D$6,0)) &amp; "'!B1:B1000")) &lt; MATCH(
                        U40,
                        INDIRECT("'" &amp; INDEX('Hulp (CAO''s)'!$C$3:$C$6,
                            MATCH(TRUE,'Hulp (CAO''s)'!$D$3:$D$6,0)) &amp; "'!A:A"),
                        0
                    ))
                ),
                ROW(INDIRECT("'" &amp; INDEX('Hulp (CAO''s)'!$C$3:$C$6,
                    MATCH(TRUE,'Hulp (CAO''s)'!$D$3:$D$6,0)) &amp; "'!B1:B1000"))
            )
        ),0)
    )
))</f>
        <v/>
      </c>
      <c r="V43" s="38" t="str">
        <f t="array" aca="1" ref="V43" ca="1">IF(
   SUM(E43:T43)=0,
   "",
   (
      SUMPRODUCT(
         IF(E43:T43="",0,E43:T43),
         IF(E44:T44="",0,E44:T44) * SUM(E44:T44)
      )
   ) *
   IF(
      'Hulp (CAO''s)'!#REF!,
      IF(
         OR(
            INDEX(#REF!, ROW(#REF!) + INT((ROW()-ROW($V$8))/6)*8)="",
            ISNA(INDEX(#REF!, ROW(#REF!) + INT((ROW()-ROW($V$8))/6)*8))
         ),
         1878/12,
         INDEX(#REF!, ROW(#REF!) + INT((ROW()-ROW($V$8))/6)*8)/12
      ),
      1
   )
)</f>
        <v/>
      </c>
    </row>
    <row r="44" spans="2:24" ht="14.65" thickBot="1" x14ac:dyDescent="0.5">
      <c r="B44" s="48" t="s">
        <v>60</v>
      </c>
      <c r="D44" s="24" t="s">
        <v>59</v>
      </c>
      <c r="E44" s="8">
        <v>0.05</v>
      </c>
      <c r="F44" s="8">
        <v>0.1</v>
      </c>
      <c r="G44" s="8">
        <v>0.1</v>
      </c>
      <c r="H44" s="8">
        <v>0.15</v>
      </c>
      <c r="I44" s="8">
        <v>0.2</v>
      </c>
      <c r="J44" s="8">
        <v>0.15</v>
      </c>
      <c r="K44" s="8">
        <v>0.1</v>
      </c>
      <c r="L44" s="8">
        <v>0.05</v>
      </c>
      <c r="M44" s="8">
        <v>0.05</v>
      </c>
      <c r="N44" s="8">
        <v>0.05</v>
      </c>
      <c r="O44" s="8">
        <v>0</v>
      </c>
      <c r="P44" s="8"/>
      <c r="Q44" s="8"/>
      <c r="R44" s="8"/>
      <c r="S44" s="8"/>
      <c r="T44" s="9"/>
      <c r="U44" s="7"/>
      <c r="V44" s="37" t="str">
        <f ca="1">IF(B40="","",IF(INDIRECT("'Hulp (control forms)'!C" &amp; (13 + INT((ROW()-ROW($B$5))/6))), V42, V43))</f>
        <v/>
      </c>
      <c r="W44" s="7"/>
    </row>
    <row r="45" spans="2:24" x14ac:dyDescent="0.5">
      <c r="S45" s="7" t="str">
        <f>IF($B44="Aandeel in %",
   "Totaal: "&amp;SUM(E44:T44)*100&amp;"%",
   "Totaal: "&amp;SUM(E44:T44)&amp;" uur"
)</f>
        <v>Totaal: 100%</v>
      </c>
      <c r="T45" s="7"/>
    </row>
    <row r="46" spans="2:24" ht="16.149999999999999" thickBot="1" x14ac:dyDescent="0.55000000000000004">
      <c r="B46" s="44" t="str">
        <f ca="1">IF(B47="","",IF(
   OR(
      INDIRECT("'1a. Input organisatieniveau'!N" &amp; (14 + INT((ROW()-4)/7)))="",
      INDIRECT("'1a. Input organisatieniveau'!N" &amp; (14 + INT((ROW()-4)/7)))=0
   ),
   "",
   INDIRECT("'1a. Input organisatieniveau'!N" &amp; (14 + INT((ROW()-4)/7)))
))</f>
        <v/>
      </c>
      <c r="E46" s="61" t="str">
        <f t="shared" ref="E46:T46" ca="1" si="6">IF($B49="Gebruik % van maximum trede", IF(AND(AND(E47&lt;&gt;"",E48&lt;&gt;""),E50=""),"!",""), IF(AND(AND(E47&lt;&gt;"",E49&lt;&gt;""),E50=""),"!",""))</f>
        <v/>
      </c>
      <c r="F46" s="61" t="str">
        <f t="shared" ca="1" si="6"/>
        <v/>
      </c>
      <c r="G46" s="61" t="str">
        <f t="shared" ca="1" si="6"/>
        <v/>
      </c>
      <c r="H46" s="61" t="str">
        <f t="shared" ca="1" si="6"/>
        <v/>
      </c>
      <c r="I46" s="61" t="str">
        <f t="shared" ca="1" si="6"/>
        <v/>
      </c>
      <c r="J46" s="61" t="str">
        <f t="shared" ca="1" si="6"/>
        <v/>
      </c>
      <c r="K46" s="61" t="str">
        <f t="shared" ca="1" si="6"/>
        <v/>
      </c>
      <c r="L46" s="61" t="str">
        <f t="shared" ca="1" si="6"/>
        <v/>
      </c>
      <c r="M46" s="61" t="str">
        <f t="shared" ca="1" si="6"/>
        <v/>
      </c>
      <c r="N46" s="61" t="str">
        <f t="shared" ca="1" si="6"/>
        <v/>
      </c>
      <c r="O46" s="61" t="str">
        <f t="shared" ca="1" si="6"/>
        <v/>
      </c>
      <c r="P46" s="61" t="str">
        <f t="shared" ca="1" si="6"/>
        <v/>
      </c>
      <c r="Q46" s="61" t="str">
        <f t="shared" ca="1" si="6"/>
        <v/>
      </c>
      <c r="R46" s="61" t="str">
        <f t="shared" ca="1" si="6"/>
        <v/>
      </c>
      <c r="S46" s="61" t="str">
        <f t="shared" ca="1" si="6"/>
        <v/>
      </c>
      <c r="T46" s="61" t="str">
        <f t="shared" ca="1" si="6"/>
        <v/>
      </c>
    </row>
    <row r="47" spans="2:24" ht="16.149999999999999" thickBot="1" x14ac:dyDescent="0.55000000000000004">
      <c r="B47" s="45" t="str">
        <f ca="1">IF(
   OR(
      INDIRECT("'1a. Input organisatieniveau'!M" &amp; (14 + INT((ROW()-4)/7)))="",
      INDIRECT("'1a. Input organisatieniveau'!M" &amp; (14 + INT((ROW()-4)/7)))=0
   ),
   "",
   INDIRECT("'1a. Input organisatieniveau'!M" &amp; (14 + INT((ROW()-4)/7)))
)</f>
        <v/>
      </c>
      <c r="D47" s="22" t="s">
        <v>28</v>
      </c>
      <c r="E47" s="10" t="str">
        <f t="array" aca="1" ref="E47" ca="1">IF($B47="", "", INDEX('Hulp (CAO''s)'!J$3:J$6, MATCH(TRUE, 'Hulp (CAO''s)'!$D$3:$D$6, 0)))</f>
        <v/>
      </c>
      <c r="F47" s="10" t="str">
        <f t="array" aca="1" ref="F47" ca="1">IF($B47="", "", INDEX('Hulp (CAO''s)'!K$3:K$6, MATCH(TRUE, 'Hulp (CAO''s)'!$D$3:$D$6, 0)))</f>
        <v/>
      </c>
      <c r="G47" s="10" t="str">
        <f t="array" aca="1" ref="G47" ca="1">IF($B47="", "", INDEX('Hulp (CAO''s)'!L$3:L$6, MATCH(TRUE, 'Hulp (CAO''s)'!$D$3:$D$6, 0)))</f>
        <v/>
      </c>
      <c r="H47" s="10" t="str">
        <f t="array" aca="1" ref="H47" ca="1">IF($B47="", "", INDEX('Hulp (CAO''s)'!M$3:M$6, MATCH(TRUE, 'Hulp (CAO''s)'!$D$3:$D$6, 0)))</f>
        <v/>
      </c>
      <c r="I47" s="10" t="str">
        <f t="array" aca="1" ref="I47" ca="1">IF($B47="", "", INDEX('Hulp (CAO''s)'!N$3:N$6, MATCH(TRUE, 'Hulp (CAO''s)'!$D$3:$D$6, 0)))</f>
        <v/>
      </c>
      <c r="J47" s="10" t="str">
        <f t="array" aca="1" ref="J47" ca="1">IF($B47="", "", INDEX('Hulp (CAO''s)'!O$3:O$6, MATCH(TRUE, 'Hulp (CAO''s)'!$D$3:$D$6, 0)))</f>
        <v/>
      </c>
      <c r="K47" s="10" t="str">
        <f t="array" aca="1" ref="K47" ca="1">IF($B47="", "", INDEX('Hulp (CAO''s)'!P$3:P$6, MATCH(TRUE, 'Hulp (CAO''s)'!$D$3:$D$6, 0)))</f>
        <v/>
      </c>
      <c r="L47" s="10" t="str">
        <f t="array" aca="1" ref="L47" ca="1">IF($B47="", "", INDEX('Hulp (CAO''s)'!Q$3:Q$6, MATCH(TRUE, 'Hulp (CAO''s)'!$D$3:$D$6, 0)))</f>
        <v/>
      </c>
      <c r="M47" s="10" t="str">
        <f t="array" aca="1" ref="M47" ca="1">IF($B47="", "", INDEX('Hulp (CAO''s)'!R$3:R$6, MATCH(TRUE, 'Hulp (CAO''s)'!$D$3:$D$6, 0)))</f>
        <v/>
      </c>
      <c r="N47" s="10" t="str">
        <f t="array" aca="1" ref="N47" ca="1">IF($B47="", "", INDEX('Hulp (CAO''s)'!S$3:S$6, MATCH(TRUE, 'Hulp (CAO''s)'!$D$3:$D$6, 0)))</f>
        <v/>
      </c>
      <c r="O47" s="10" t="str">
        <f t="array" aca="1" ref="O47" ca="1">IF($B47="", "", INDEX('Hulp (CAO''s)'!T$3:T$6, MATCH(TRUE, 'Hulp (CAO''s)'!$D$3:$D$6, 0)))</f>
        <v/>
      </c>
      <c r="P47" s="10" t="str">
        <f t="array" aca="1" ref="P47" ca="1">IF($B47="", "", INDEX('Hulp (CAO''s)'!U$3:U$6, MATCH(TRUE, 'Hulp (CAO''s)'!$D$3:$D$6, 0)))</f>
        <v/>
      </c>
      <c r="Q47" s="10" t="str">
        <f t="array" aca="1" ref="Q47" ca="1">IF($B47="", "", INDEX('Hulp (CAO''s)'!V$3:V$6, MATCH(TRUE, 'Hulp (CAO''s)'!$D$3:$D$6, 0)))</f>
        <v/>
      </c>
      <c r="R47" s="10" t="str">
        <f t="array" aca="1" ref="R47" ca="1">IF($B47="", "", INDEX('Hulp (CAO''s)'!W$3:W$6, MATCH(TRUE, 'Hulp (CAO''s)'!$D$3:$D$6, 0)))</f>
        <v/>
      </c>
      <c r="S47" s="10" t="str">
        <f t="array" aca="1" ref="S47" ca="1">IF($B47="", "", INDEX('Hulp (CAO''s)'!X$3:X$6, MATCH(TRUE, 'Hulp (CAO''s)'!$D$3:$D$6, 0)))</f>
        <v/>
      </c>
      <c r="T47" s="11" t="str">
        <f t="array" aca="1" ref="T47" ca="1">IF($B47="", "", INDEX('Hulp (CAO''s)'!Y$3:Y$6, MATCH(TRUE, 'Hulp (CAO''s)'!$D$3:$D$6, 0)))</f>
        <v/>
      </c>
      <c r="V47" s="25"/>
      <c r="W47" s="5"/>
    </row>
    <row r="48" spans="2:24" ht="16.149999999999999" thickBot="1" x14ac:dyDescent="0.55000000000000004">
      <c r="D48" s="23" t="s">
        <v>770</v>
      </c>
      <c r="E48" s="90">
        <v>0.96</v>
      </c>
      <c r="F48" s="90">
        <v>0.9</v>
      </c>
      <c r="G48" s="90">
        <v>0.9</v>
      </c>
      <c r="H48" s="90">
        <v>0.7</v>
      </c>
      <c r="I48" s="90">
        <v>0.8</v>
      </c>
      <c r="J48" s="90">
        <v>0.9</v>
      </c>
      <c r="K48" s="90">
        <v>0.9</v>
      </c>
      <c r="L48" s="90">
        <v>0.9</v>
      </c>
      <c r="M48" s="90">
        <v>0.9</v>
      </c>
      <c r="N48" s="90">
        <v>0.8</v>
      </c>
      <c r="O48" s="90">
        <v>0.95</v>
      </c>
      <c r="P48" s="90">
        <v>0.93</v>
      </c>
      <c r="Q48" s="90">
        <v>0.93</v>
      </c>
      <c r="R48" s="90">
        <v>0.95</v>
      </c>
      <c r="S48" s="90">
        <v>0.92</v>
      </c>
      <c r="T48" s="91">
        <v>0.95</v>
      </c>
      <c r="V48" s="25" t="s">
        <v>32</v>
      </c>
    </row>
    <row r="49" spans="2:24" ht="14.25" x14ac:dyDescent="0.45">
      <c r="B49" s="48" t="s">
        <v>771</v>
      </c>
      <c r="D49" s="23" t="s">
        <v>29</v>
      </c>
      <c r="E49" s="94">
        <v>9</v>
      </c>
      <c r="F49" s="94">
        <v>10</v>
      </c>
      <c r="G49" s="94">
        <v>10</v>
      </c>
      <c r="H49" s="94">
        <v>9</v>
      </c>
      <c r="I49" s="94">
        <v>10</v>
      </c>
      <c r="J49" s="94">
        <v>11</v>
      </c>
      <c r="K49" s="94">
        <v>10</v>
      </c>
      <c r="L49" s="94">
        <v>10</v>
      </c>
      <c r="M49" s="94">
        <v>9</v>
      </c>
      <c r="N49" s="94">
        <v>10</v>
      </c>
      <c r="O49" s="94">
        <v>11</v>
      </c>
      <c r="P49" s="94">
        <v>12</v>
      </c>
      <c r="Q49" s="94">
        <v>13</v>
      </c>
      <c r="R49" s="94">
        <v>12</v>
      </c>
      <c r="S49" s="94">
        <v>10</v>
      </c>
      <c r="T49" s="33">
        <v>5</v>
      </c>
      <c r="V49" s="52">
        <v>4000</v>
      </c>
      <c r="X49" s="60" t="s">
        <v>747</v>
      </c>
    </row>
    <row r="50" spans="2:24" ht="14.65" thickBot="1" x14ac:dyDescent="0.5">
      <c r="B50"/>
      <c r="D50" s="40" t="str">
        <f>IFERROR(
   INDEX('Hulp (CAO''s)'!$I$3:$I$6, MATCH(TRUE, 'Hulp (CAO''s)'!$D$3:$D$6, 0)),
"")</f>
        <v>Bruto maandsalaris</v>
      </c>
      <c r="E50" s="86" t="str">
        <f t="array" aca="1" ref="E50" ca="1">IF($B49="Gebruik % van maximum trede",
IF(
    OR(E47="",E48=""),
    "",
    MAX(
    INDIRECT("'" &amp; INDEX('Hulp (CAO''s)'!$C$3:$C$6,
        MATCH(TRUE,'Hulp (CAO''s)'!$D$3:$D$6,0)) &amp; "'!" &amp;
        INDEX('Hulp (CAO''s)'!$H$3:$H$6,
            MATCH(TRUE,'Hulp (CAO''s)'!$D$3:$D$6,0))
        &amp;
        MATCH(E47, INDIRECT("'" &amp; INDEX('Hulp (CAO''s)'!$C$3:$C$6,
            MATCH(TRUE,'Hulp (CAO''s)'!$D$3:$D$6,0)) &amp; "'!A:A"),0)
        &amp; ":H" &amp;
        IF(F47&lt;&gt;"",
            MATCH(F47, INDIRECT("'" &amp; INDEX('Hulp (CAO''s)'!$C$3:$C$6,
                MATCH(TRUE,'Hulp (CAO''s)'!$D$3:$D$6,0)) &amp; "'!A:A"),0)-1,
            1000
        )
    )
) * E48
),
IF(
    IFERROR(MIN(
        IF(
            (TRIM(INDIRECT("'" &amp; INDEX('Hulp (CAO''s)'!$C$3:$C$6,
                MATCH(TRUE,'Hulp (CAO''s)'!$D$3:$D$6,0)) &amp; "'!B1:B1000")) = TEXT(E49,"0")) *
            (ROW(INDIRECT("'" &amp; INDEX('Hulp (CAO''s)'!$C$3:$C$6,
                MATCH(TRUE,'Hulp (CAO''s)'!$D$3:$D$6,0)) &amp; "'!B1:B1000")) &gt; MATCH(
                E47,
                INDIRECT("'" &amp; INDEX('Hulp (CAO''s)'!$C$3:$C$6,
                    MATCH(TRUE,'Hulp (CAO''s)'!$D$3:$D$6,0)) &amp; "'!A:A"),
                0
            )) *
            IF(
                F47="",
                1,
                (ROW(INDIRECT("'" &amp; INDEX('Hulp (CAO''s)'!$C$3:$C$6,
                    MATCH(TRUE,'Hulp (CAO''s)'!$D$3:$D$6,0)) &amp; "'!B1:B1000")) &lt; MATCH(
                    F47,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TEXT(E49,"0")) *
                (ROW(INDIRECT("'" &amp; INDEX('Hulp (CAO''s)'!$C$3:$C$6,
                    MATCH(TRUE,'Hulp (CAO''s)'!$D$3:$D$6,0)) &amp; "'!B1:B1000")) &gt; MATCH(
                    E47,
                    INDIRECT("'" &amp; INDEX('Hulp (CAO''s)'!$C$3:$C$6,
                        MATCH(TRUE,'Hulp (CAO''s)'!$D$3:$D$6,0)) &amp; "'!A:A"),
                    0
                )) *
                IF(
                    F47="",
                    1,
                    (ROW(INDIRECT("'" &amp; INDEX('Hulp (CAO''s)'!$C$3:$C$6,
                        MATCH(TRUE,'Hulp (CAO''s)'!$D$3:$D$6,0)) &amp; "'!B1:B1000")) &lt; MATCH(
                        F47,
                        INDIRECT("'" &amp; INDEX('Hulp (CAO''s)'!$C$3:$C$6,
                            MATCH(TRUE,'Hulp (CAO''s)'!$D$3:$D$6,0)) &amp; "'!A:A"),
                        0
                    ))
                ),
                ROW(INDIRECT("'" &amp; INDEX('Hulp (CAO''s)'!$C$3:$C$6,
                    MATCH(TRUE,'Hulp (CAO''s)'!$D$3:$D$6,0)) &amp; "'!B1:B1000"))
            )
        ),0)
    )
))</f>
        <v/>
      </c>
      <c r="F50" s="86" t="str">
        <f t="array" aca="1" ref="F50" ca="1">IF($B49="Gebruik % van maximum trede",
IF(
    OR(F47="",F48=""),
    "",
    MAX(
    INDIRECT("'" &amp; INDEX('Hulp (CAO''s)'!$C$3:$C$6,
        MATCH(TRUE,'Hulp (CAO''s)'!$D$3:$D$6,0)) &amp; "'!" &amp;
        INDEX('Hulp (CAO''s)'!$H$3:$H$6,
            MATCH(TRUE,'Hulp (CAO''s)'!$D$3:$D$6,0))
        &amp;
        MATCH(F47, INDIRECT("'" &amp; INDEX('Hulp (CAO''s)'!$C$3:$C$6,
            MATCH(TRUE,'Hulp (CAO''s)'!$D$3:$D$6,0)) &amp; "'!A:A"),0)
        &amp; ":H" &amp;
        IF(G47&lt;&gt;"",
            MATCH(G47, INDIRECT("'" &amp; INDEX('Hulp (CAO''s)'!$C$3:$C$6,
                MATCH(TRUE,'Hulp (CAO''s)'!$D$3:$D$6,0)) &amp; "'!A:A"),0)-1,
            1000
        )
    )
) * F48
),
IF(
    IFERROR(MIN(
        IF(
            (TRIM(INDIRECT("'" &amp; INDEX('Hulp (CAO''s)'!$C$3:$C$6,
                MATCH(TRUE,'Hulp (CAO''s)'!$D$3:$D$6,0)) &amp; "'!B1:B1000")) = TEXT(F49,"0")) *
            (ROW(INDIRECT("'" &amp; INDEX('Hulp (CAO''s)'!$C$3:$C$6,
                MATCH(TRUE,'Hulp (CAO''s)'!$D$3:$D$6,0)) &amp; "'!B1:B1000")) &gt; MATCH(
                F47,
                INDIRECT("'" &amp; INDEX('Hulp (CAO''s)'!$C$3:$C$6,
                    MATCH(TRUE,'Hulp (CAO''s)'!$D$3:$D$6,0)) &amp; "'!A:A"),
                0
            )) *
            IF(
                G47="",
                1,
                (ROW(INDIRECT("'" &amp; INDEX('Hulp (CAO''s)'!$C$3:$C$6,
                    MATCH(TRUE,'Hulp (CAO''s)'!$D$3:$D$6,0)) &amp; "'!B1:B1000")) &lt; MATCH(
                    G47,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TEXT(F49,"0")) *
                (ROW(INDIRECT("'" &amp; INDEX('Hulp (CAO''s)'!$C$3:$C$6,
                    MATCH(TRUE,'Hulp (CAO''s)'!$D$3:$D$6,0)) &amp; "'!B1:B1000")) &gt; MATCH(
                    F47,
                    INDIRECT("'" &amp; INDEX('Hulp (CAO''s)'!$C$3:$C$6,
                        MATCH(TRUE,'Hulp (CAO''s)'!$D$3:$D$6,0)) &amp; "'!A:A"),
                    0
                )) *
                IF(
                    G47="",
                    1,
                    (ROW(INDIRECT("'" &amp; INDEX('Hulp (CAO''s)'!$C$3:$C$6,
                        MATCH(TRUE,'Hulp (CAO''s)'!$D$3:$D$6,0)) &amp; "'!B1:B1000")) &lt; MATCH(
                        G47,
                        INDIRECT("'" &amp; INDEX('Hulp (CAO''s)'!$C$3:$C$6,
                            MATCH(TRUE,'Hulp (CAO''s)'!$D$3:$D$6,0)) &amp; "'!A:A"),
                        0
                    ))
                ),
                ROW(INDIRECT("'" &amp; INDEX('Hulp (CAO''s)'!$C$3:$C$6,
                    MATCH(TRUE,'Hulp (CAO''s)'!$D$3:$D$6,0)) &amp; "'!B1:B1000"))
            )
        ),0)
    )
))</f>
        <v/>
      </c>
      <c r="G50" s="86" t="str">
        <f t="array" aca="1" ref="G50" ca="1">IF($B49="Gebruik % van maximum trede",
IF(
    OR(G47="",G48=""),
    "",
    MAX(
    INDIRECT("'" &amp; INDEX('Hulp (CAO''s)'!$C$3:$C$6,
        MATCH(TRUE,'Hulp (CAO''s)'!$D$3:$D$6,0)) &amp; "'!" &amp;
        INDEX('Hulp (CAO''s)'!$H$3:$H$6,
            MATCH(TRUE,'Hulp (CAO''s)'!$D$3:$D$6,0))
        &amp;
        MATCH(G47, INDIRECT("'" &amp; INDEX('Hulp (CAO''s)'!$C$3:$C$6,
            MATCH(TRUE,'Hulp (CAO''s)'!$D$3:$D$6,0)) &amp; "'!A:A"),0)
        &amp; ":H" &amp;
        IF(H47&lt;&gt;"",
            MATCH(H47, INDIRECT("'" &amp; INDEX('Hulp (CAO''s)'!$C$3:$C$6,
                MATCH(TRUE,'Hulp (CAO''s)'!$D$3:$D$6,0)) &amp; "'!A:A"),0)-1,
            1000
        )
    )
) * G48
),
IF(
    IFERROR(MIN(
        IF(
            (TRIM(INDIRECT("'" &amp; INDEX('Hulp (CAO''s)'!$C$3:$C$6,
                MATCH(TRUE,'Hulp (CAO''s)'!$D$3:$D$6,0)) &amp; "'!B1:B1000")) = TEXT(G49,"0")) *
            (ROW(INDIRECT("'" &amp; INDEX('Hulp (CAO''s)'!$C$3:$C$6,
                MATCH(TRUE,'Hulp (CAO''s)'!$D$3:$D$6,0)) &amp; "'!B1:B1000")) &gt; MATCH(
                G47,
                INDIRECT("'" &amp; INDEX('Hulp (CAO''s)'!$C$3:$C$6,
                    MATCH(TRUE,'Hulp (CAO''s)'!$D$3:$D$6,0)) &amp; "'!A:A"),
                0
            )) *
            IF(
                H47="",
                1,
                (ROW(INDIRECT("'" &amp; INDEX('Hulp (CAO''s)'!$C$3:$C$6,
                    MATCH(TRUE,'Hulp (CAO''s)'!$D$3:$D$6,0)) &amp; "'!B1:B1000")) &lt; MATCH(
                    H47,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TEXT(G49,"0")) *
                (ROW(INDIRECT("'" &amp; INDEX('Hulp (CAO''s)'!$C$3:$C$6,
                    MATCH(TRUE,'Hulp (CAO''s)'!$D$3:$D$6,0)) &amp; "'!B1:B1000")) &gt; MATCH(
                    G47,
                    INDIRECT("'" &amp; INDEX('Hulp (CAO''s)'!$C$3:$C$6,
                        MATCH(TRUE,'Hulp (CAO''s)'!$D$3:$D$6,0)) &amp; "'!A:A"),
                    0
                )) *
                IF(
                    H47="",
                    1,
                    (ROW(INDIRECT("'" &amp; INDEX('Hulp (CAO''s)'!$C$3:$C$6,
                        MATCH(TRUE,'Hulp (CAO''s)'!$D$3:$D$6,0)) &amp; "'!B1:B1000")) &lt; MATCH(
                        H47,
                        INDIRECT("'" &amp; INDEX('Hulp (CAO''s)'!$C$3:$C$6,
                            MATCH(TRUE,'Hulp (CAO''s)'!$D$3:$D$6,0)) &amp; "'!A:A"),
                        0
                    ))
                ),
                ROW(INDIRECT("'" &amp; INDEX('Hulp (CAO''s)'!$C$3:$C$6,
                    MATCH(TRUE,'Hulp (CAO''s)'!$D$3:$D$6,0)) &amp; "'!B1:B1000"))
            )
        ),0)
    )
))</f>
        <v/>
      </c>
      <c r="H50" s="86" t="str">
        <f t="array" aca="1" ref="H50" ca="1">IF($B49="Gebruik % van maximum trede",
IF(
    OR(H47="",H48=""),
    "",
    MAX(
    INDIRECT("'" &amp; INDEX('Hulp (CAO''s)'!$C$3:$C$6,
        MATCH(TRUE,'Hulp (CAO''s)'!$D$3:$D$6,0)) &amp; "'!" &amp;
        INDEX('Hulp (CAO''s)'!$H$3:$H$6,
            MATCH(TRUE,'Hulp (CAO''s)'!$D$3:$D$6,0))
        &amp;
        MATCH(H47, INDIRECT("'" &amp; INDEX('Hulp (CAO''s)'!$C$3:$C$6,
            MATCH(TRUE,'Hulp (CAO''s)'!$D$3:$D$6,0)) &amp; "'!A:A"),0)
        &amp; ":H" &amp;
        IF(I47&lt;&gt;"",
            MATCH(I47, INDIRECT("'" &amp; INDEX('Hulp (CAO''s)'!$C$3:$C$6,
                MATCH(TRUE,'Hulp (CAO''s)'!$D$3:$D$6,0)) &amp; "'!A:A"),0)-1,
            1000
        )
    )
) * H48
),
IF(
    IFERROR(MIN(
        IF(
            (TRIM(INDIRECT("'" &amp; INDEX('Hulp (CAO''s)'!$C$3:$C$6,
                MATCH(TRUE,'Hulp (CAO''s)'!$D$3:$D$6,0)) &amp; "'!B1:B1000")) = TEXT(H49,"0")) *
            (ROW(INDIRECT("'" &amp; INDEX('Hulp (CAO''s)'!$C$3:$C$6,
                MATCH(TRUE,'Hulp (CAO''s)'!$D$3:$D$6,0)) &amp; "'!B1:B1000")) &gt; MATCH(
                H47,
                INDIRECT("'" &amp; INDEX('Hulp (CAO''s)'!$C$3:$C$6,
                    MATCH(TRUE,'Hulp (CAO''s)'!$D$3:$D$6,0)) &amp; "'!A:A"),
                0
            )) *
            IF(
                I47="",
                1,
                (ROW(INDIRECT("'" &amp; INDEX('Hulp (CAO''s)'!$C$3:$C$6,
                    MATCH(TRUE,'Hulp (CAO''s)'!$D$3:$D$6,0)) &amp; "'!B1:B1000")) &lt; MATCH(
                    I47,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TEXT(H49,"0")) *
                (ROW(INDIRECT("'" &amp; INDEX('Hulp (CAO''s)'!$C$3:$C$6,
                    MATCH(TRUE,'Hulp (CAO''s)'!$D$3:$D$6,0)) &amp; "'!B1:B1000")) &gt; MATCH(
                    H47,
                    INDIRECT("'" &amp; INDEX('Hulp (CAO''s)'!$C$3:$C$6,
                        MATCH(TRUE,'Hulp (CAO''s)'!$D$3:$D$6,0)) &amp; "'!A:A"),
                    0
                )) *
                IF(
                    I47="",
                    1,
                    (ROW(INDIRECT("'" &amp; INDEX('Hulp (CAO''s)'!$C$3:$C$6,
                        MATCH(TRUE,'Hulp (CAO''s)'!$D$3:$D$6,0)) &amp; "'!B1:B1000")) &lt; MATCH(
                        I47,
                        INDIRECT("'" &amp; INDEX('Hulp (CAO''s)'!$C$3:$C$6,
                            MATCH(TRUE,'Hulp (CAO''s)'!$D$3:$D$6,0)) &amp; "'!A:A"),
                        0
                    ))
                ),
                ROW(INDIRECT("'" &amp; INDEX('Hulp (CAO''s)'!$C$3:$C$6,
                    MATCH(TRUE,'Hulp (CAO''s)'!$D$3:$D$6,0)) &amp; "'!B1:B1000"))
            )
        ),0)
    )
))</f>
        <v/>
      </c>
      <c r="I50" s="86" t="str">
        <f t="array" aca="1" ref="I50" ca="1">IF($B49="Gebruik % van maximum trede",
IF(
    OR(I47="",I48=""),
    "",
    MAX(
    INDIRECT("'" &amp; INDEX('Hulp (CAO''s)'!$C$3:$C$6,
        MATCH(TRUE,'Hulp (CAO''s)'!$D$3:$D$6,0)) &amp; "'!" &amp;
        INDEX('Hulp (CAO''s)'!$H$3:$H$6,
            MATCH(TRUE,'Hulp (CAO''s)'!$D$3:$D$6,0))
        &amp;
        MATCH(I47, INDIRECT("'" &amp; INDEX('Hulp (CAO''s)'!$C$3:$C$6,
            MATCH(TRUE,'Hulp (CAO''s)'!$D$3:$D$6,0)) &amp; "'!A:A"),0)
        &amp; ":H" &amp;
        IF(J47&lt;&gt;"",
            MATCH(J47, INDIRECT("'" &amp; INDEX('Hulp (CAO''s)'!$C$3:$C$6,
                MATCH(TRUE,'Hulp (CAO''s)'!$D$3:$D$6,0)) &amp; "'!A:A"),0)-1,
            1000
        )
    )
) * I48
),
IF(
    IFERROR(MIN(
        IF(
            (TRIM(INDIRECT("'" &amp; INDEX('Hulp (CAO''s)'!$C$3:$C$6,
                MATCH(TRUE,'Hulp (CAO''s)'!$D$3:$D$6,0)) &amp; "'!B1:B1000")) = TEXT(I49,"0")) *
            (ROW(INDIRECT("'" &amp; INDEX('Hulp (CAO''s)'!$C$3:$C$6,
                MATCH(TRUE,'Hulp (CAO''s)'!$D$3:$D$6,0)) &amp; "'!B1:B1000")) &gt; MATCH(
                I47,
                INDIRECT("'" &amp; INDEX('Hulp (CAO''s)'!$C$3:$C$6,
                    MATCH(TRUE,'Hulp (CAO''s)'!$D$3:$D$6,0)) &amp; "'!A:A"),
                0
            )) *
            IF(
                J47="",
                1,
                (ROW(INDIRECT("'" &amp; INDEX('Hulp (CAO''s)'!$C$3:$C$6,
                    MATCH(TRUE,'Hulp (CAO''s)'!$D$3:$D$6,0)) &amp; "'!B1:B1000")) &lt; MATCH(
                    J47,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TEXT(I49,"0")) *
                (ROW(INDIRECT("'" &amp; INDEX('Hulp (CAO''s)'!$C$3:$C$6,
                    MATCH(TRUE,'Hulp (CAO''s)'!$D$3:$D$6,0)) &amp; "'!B1:B1000")) &gt; MATCH(
                    I47,
                    INDIRECT("'" &amp; INDEX('Hulp (CAO''s)'!$C$3:$C$6,
                        MATCH(TRUE,'Hulp (CAO''s)'!$D$3:$D$6,0)) &amp; "'!A:A"),
                    0
                )) *
                IF(
                    J47="",
                    1,
                    (ROW(INDIRECT("'" &amp; INDEX('Hulp (CAO''s)'!$C$3:$C$6,
                        MATCH(TRUE,'Hulp (CAO''s)'!$D$3:$D$6,0)) &amp; "'!B1:B1000")) &lt; MATCH(
                        J47,
                        INDIRECT("'" &amp; INDEX('Hulp (CAO''s)'!$C$3:$C$6,
                            MATCH(TRUE,'Hulp (CAO''s)'!$D$3:$D$6,0)) &amp; "'!A:A"),
                        0
                    ))
                ),
                ROW(INDIRECT("'" &amp; INDEX('Hulp (CAO''s)'!$C$3:$C$6,
                    MATCH(TRUE,'Hulp (CAO''s)'!$D$3:$D$6,0)) &amp; "'!B1:B1000"))
            )
        ),0)
    )
))</f>
        <v/>
      </c>
      <c r="J50" s="86" t="str">
        <f t="array" aca="1" ref="J50" ca="1">IF($B49="Gebruik % van maximum trede",
IF(
    OR(J47="",J48=""),
    "",
    MAX(
    INDIRECT("'" &amp; INDEX('Hulp (CAO''s)'!$C$3:$C$6,
        MATCH(TRUE,'Hulp (CAO''s)'!$D$3:$D$6,0)) &amp; "'!" &amp;
        INDEX('Hulp (CAO''s)'!$H$3:$H$6,
            MATCH(TRUE,'Hulp (CAO''s)'!$D$3:$D$6,0))
        &amp;
        MATCH(J47, INDIRECT("'" &amp; INDEX('Hulp (CAO''s)'!$C$3:$C$6,
            MATCH(TRUE,'Hulp (CAO''s)'!$D$3:$D$6,0)) &amp; "'!A:A"),0)
        &amp; ":H" &amp;
        IF(K47&lt;&gt;"",
            MATCH(K47, INDIRECT("'" &amp; INDEX('Hulp (CAO''s)'!$C$3:$C$6,
                MATCH(TRUE,'Hulp (CAO''s)'!$D$3:$D$6,0)) &amp; "'!A:A"),0)-1,
            1000
        )
    )
) * J48
),
IF(
    IFERROR(MIN(
        IF(
            (TRIM(INDIRECT("'" &amp; INDEX('Hulp (CAO''s)'!$C$3:$C$6,
                MATCH(TRUE,'Hulp (CAO''s)'!$D$3:$D$6,0)) &amp; "'!B1:B1000")) = TEXT(J49,"0")) *
            (ROW(INDIRECT("'" &amp; INDEX('Hulp (CAO''s)'!$C$3:$C$6,
                MATCH(TRUE,'Hulp (CAO''s)'!$D$3:$D$6,0)) &amp; "'!B1:B1000")) &gt; MATCH(
                J47,
                INDIRECT("'" &amp; INDEX('Hulp (CAO''s)'!$C$3:$C$6,
                    MATCH(TRUE,'Hulp (CAO''s)'!$D$3:$D$6,0)) &amp; "'!A:A"),
                0
            )) *
            IF(
                K47="",
                1,
                (ROW(INDIRECT("'" &amp; INDEX('Hulp (CAO''s)'!$C$3:$C$6,
                    MATCH(TRUE,'Hulp (CAO''s)'!$D$3:$D$6,0)) &amp; "'!B1:B1000")) &lt; MATCH(
                    K47,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TEXT(J49,"0")) *
                (ROW(INDIRECT("'" &amp; INDEX('Hulp (CAO''s)'!$C$3:$C$6,
                    MATCH(TRUE,'Hulp (CAO''s)'!$D$3:$D$6,0)) &amp; "'!B1:B1000")) &gt; MATCH(
                    J47,
                    INDIRECT("'" &amp; INDEX('Hulp (CAO''s)'!$C$3:$C$6,
                        MATCH(TRUE,'Hulp (CAO''s)'!$D$3:$D$6,0)) &amp; "'!A:A"),
                    0
                )) *
                IF(
                    K47="",
                    1,
                    (ROW(INDIRECT("'" &amp; INDEX('Hulp (CAO''s)'!$C$3:$C$6,
                        MATCH(TRUE,'Hulp (CAO''s)'!$D$3:$D$6,0)) &amp; "'!B1:B1000")) &lt; MATCH(
                        K47,
                        INDIRECT("'" &amp; INDEX('Hulp (CAO''s)'!$C$3:$C$6,
                            MATCH(TRUE,'Hulp (CAO''s)'!$D$3:$D$6,0)) &amp; "'!A:A"),
                        0
                    ))
                ),
                ROW(INDIRECT("'" &amp; INDEX('Hulp (CAO''s)'!$C$3:$C$6,
                    MATCH(TRUE,'Hulp (CAO''s)'!$D$3:$D$6,0)) &amp; "'!B1:B1000"))
            )
        ),0)
    )
))</f>
        <v/>
      </c>
      <c r="K50" s="86" t="str">
        <f t="array" aca="1" ref="K50" ca="1">IF($B49="Gebruik % van maximum trede",
IF(
    OR(K47="",K48=""),
    "",
    MAX(
    INDIRECT("'" &amp; INDEX('Hulp (CAO''s)'!$C$3:$C$6,
        MATCH(TRUE,'Hulp (CAO''s)'!$D$3:$D$6,0)) &amp; "'!" &amp;
        INDEX('Hulp (CAO''s)'!$H$3:$H$6,
            MATCH(TRUE,'Hulp (CAO''s)'!$D$3:$D$6,0))
        &amp;
        MATCH(K47, INDIRECT("'" &amp; INDEX('Hulp (CAO''s)'!$C$3:$C$6,
            MATCH(TRUE,'Hulp (CAO''s)'!$D$3:$D$6,0)) &amp; "'!A:A"),0)
        &amp; ":H" &amp;
        IF(L47&lt;&gt;"",
            MATCH(L47, INDIRECT("'" &amp; INDEX('Hulp (CAO''s)'!$C$3:$C$6,
                MATCH(TRUE,'Hulp (CAO''s)'!$D$3:$D$6,0)) &amp; "'!A:A"),0)-1,
            1000
        )
    )
) * K48
),
IF(
    IFERROR(MIN(
        IF(
            (TRIM(INDIRECT("'" &amp; INDEX('Hulp (CAO''s)'!$C$3:$C$6,
                MATCH(TRUE,'Hulp (CAO''s)'!$D$3:$D$6,0)) &amp; "'!B1:B1000")) = TEXT(K49,"0")) *
            (ROW(INDIRECT("'" &amp; INDEX('Hulp (CAO''s)'!$C$3:$C$6,
                MATCH(TRUE,'Hulp (CAO''s)'!$D$3:$D$6,0)) &amp; "'!B1:B1000")) &gt; MATCH(
                K47,
                INDIRECT("'" &amp; INDEX('Hulp (CAO''s)'!$C$3:$C$6,
                    MATCH(TRUE,'Hulp (CAO''s)'!$D$3:$D$6,0)) &amp; "'!A:A"),
                0
            )) *
            IF(
                L47="",
                1,
                (ROW(INDIRECT("'" &amp; INDEX('Hulp (CAO''s)'!$C$3:$C$6,
                    MATCH(TRUE,'Hulp (CAO''s)'!$D$3:$D$6,0)) &amp; "'!B1:B1000")) &lt; MATCH(
                    L47,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TEXT(K49,"0")) *
                (ROW(INDIRECT("'" &amp; INDEX('Hulp (CAO''s)'!$C$3:$C$6,
                    MATCH(TRUE,'Hulp (CAO''s)'!$D$3:$D$6,0)) &amp; "'!B1:B1000")) &gt; MATCH(
                    K47,
                    INDIRECT("'" &amp; INDEX('Hulp (CAO''s)'!$C$3:$C$6,
                        MATCH(TRUE,'Hulp (CAO''s)'!$D$3:$D$6,0)) &amp; "'!A:A"),
                    0
                )) *
                IF(
                    L47="",
                    1,
                    (ROW(INDIRECT("'" &amp; INDEX('Hulp (CAO''s)'!$C$3:$C$6,
                        MATCH(TRUE,'Hulp (CAO''s)'!$D$3:$D$6,0)) &amp; "'!B1:B1000")) &lt; MATCH(
                        L47,
                        INDIRECT("'" &amp; INDEX('Hulp (CAO''s)'!$C$3:$C$6,
                            MATCH(TRUE,'Hulp (CAO''s)'!$D$3:$D$6,0)) &amp; "'!A:A"),
                        0
                    ))
                ),
                ROW(INDIRECT("'" &amp; INDEX('Hulp (CAO''s)'!$C$3:$C$6,
                    MATCH(TRUE,'Hulp (CAO''s)'!$D$3:$D$6,0)) &amp; "'!B1:B1000"))
            )
        ),0)
    )
))</f>
        <v/>
      </c>
      <c r="L50" s="86" t="str">
        <f t="array" aca="1" ref="L50" ca="1">IF($B49="Gebruik % van maximum trede",
IF(
    OR(L47="",L48=""),
    "",
    MAX(
    INDIRECT("'" &amp; INDEX('Hulp (CAO''s)'!$C$3:$C$6,
        MATCH(TRUE,'Hulp (CAO''s)'!$D$3:$D$6,0)) &amp; "'!" &amp;
        INDEX('Hulp (CAO''s)'!$H$3:$H$6,
            MATCH(TRUE,'Hulp (CAO''s)'!$D$3:$D$6,0))
        &amp;
        MATCH(L47, INDIRECT("'" &amp; INDEX('Hulp (CAO''s)'!$C$3:$C$6,
            MATCH(TRUE,'Hulp (CAO''s)'!$D$3:$D$6,0)) &amp; "'!A:A"),0)
        &amp; ":H" &amp;
        IF(M47&lt;&gt;"",
            MATCH(M47, INDIRECT("'" &amp; INDEX('Hulp (CAO''s)'!$C$3:$C$6,
                MATCH(TRUE,'Hulp (CAO''s)'!$D$3:$D$6,0)) &amp; "'!A:A"),0)-1,
            1000
        )
    )
) * L48
),
IF(
    IFERROR(MIN(
        IF(
            (TRIM(INDIRECT("'" &amp; INDEX('Hulp (CAO''s)'!$C$3:$C$6,
                MATCH(TRUE,'Hulp (CAO''s)'!$D$3:$D$6,0)) &amp; "'!B1:B1000")) = TEXT(L49,"0")) *
            (ROW(INDIRECT("'" &amp; INDEX('Hulp (CAO''s)'!$C$3:$C$6,
                MATCH(TRUE,'Hulp (CAO''s)'!$D$3:$D$6,0)) &amp; "'!B1:B1000")) &gt; MATCH(
                L47,
                INDIRECT("'" &amp; INDEX('Hulp (CAO''s)'!$C$3:$C$6,
                    MATCH(TRUE,'Hulp (CAO''s)'!$D$3:$D$6,0)) &amp; "'!A:A"),
                0
            )) *
            IF(
                M47="",
                1,
                (ROW(INDIRECT("'" &amp; INDEX('Hulp (CAO''s)'!$C$3:$C$6,
                    MATCH(TRUE,'Hulp (CAO''s)'!$D$3:$D$6,0)) &amp; "'!B1:B1000")) &lt; MATCH(
                    M47,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TEXT(L49,"0")) *
                (ROW(INDIRECT("'" &amp; INDEX('Hulp (CAO''s)'!$C$3:$C$6,
                    MATCH(TRUE,'Hulp (CAO''s)'!$D$3:$D$6,0)) &amp; "'!B1:B1000")) &gt; MATCH(
                    L47,
                    INDIRECT("'" &amp; INDEX('Hulp (CAO''s)'!$C$3:$C$6,
                        MATCH(TRUE,'Hulp (CAO''s)'!$D$3:$D$6,0)) &amp; "'!A:A"),
                    0
                )) *
                IF(
                    M47="",
                    1,
                    (ROW(INDIRECT("'" &amp; INDEX('Hulp (CAO''s)'!$C$3:$C$6,
                        MATCH(TRUE,'Hulp (CAO''s)'!$D$3:$D$6,0)) &amp; "'!B1:B1000")) &lt; MATCH(
                        M47,
                        INDIRECT("'" &amp; INDEX('Hulp (CAO''s)'!$C$3:$C$6,
                            MATCH(TRUE,'Hulp (CAO''s)'!$D$3:$D$6,0)) &amp; "'!A:A"),
                        0
                    ))
                ),
                ROW(INDIRECT("'" &amp; INDEX('Hulp (CAO''s)'!$C$3:$C$6,
                    MATCH(TRUE,'Hulp (CAO''s)'!$D$3:$D$6,0)) &amp; "'!B1:B1000"))
            )
        ),0)
    )
))</f>
        <v/>
      </c>
      <c r="M50" s="86" t="str">
        <f t="array" aca="1" ref="M50" ca="1">IF($B49="Gebruik % van maximum trede",
IF(
    OR(M47="",M48=""),
    "",
    MAX(
    INDIRECT("'" &amp; INDEX('Hulp (CAO''s)'!$C$3:$C$6,
        MATCH(TRUE,'Hulp (CAO''s)'!$D$3:$D$6,0)) &amp; "'!" &amp;
        INDEX('Hulp (CAO''s)'!$H$3:$H$6,
            MATCH(TRUE,'Hulp (CAO''s)'!$D$3:$D$6,0))
        &amp;
        MATCH(M47, INDIRECT("'" &amp; INDEX('Hulp (CAO''s)'!$C$3:$C$6,
            MATCH(TRUE,'Hulp (CAO''s)'!$D$3:$D$6,0)) &amp; "'!A:A"),0)
        &amp; ":H" &amp;
        IF(N47&lt;&gt;"",
            MATCH(N47, INDIRECT("'" &amp; INDEX('Hulp (CAO''s)'!$C$3:$C$6,
                MATCH(TRUE,'Hulp (CAO''s)'!$D$3:$D$6,0)) &amp; "'!A:A"),0)-1,
            1000
        )
    )
) * M48
),
IF(
    IFERROR(MIN(
        IF(
            (TRIM(INDIRECT("'" &amp; INDEX('Hulp (CAO''s)'!$C$3:$C$6,
                MATCH(TRUE,'Hulp (CAO''s)'!$D$3:$D$6,0)) &amp; "'!B1:B1000")) = TEXT(M49,"0")) *
            (ROW(INDIRECT("'" &amp; INDEX('Hulp (CAO''s)'!$C$3:$C$6,
                MATCH(TRUE,'Hulp (CAO''s)'!$D$3:$D$6,0)) &amp; "'!B1:B1000")) &gt; MATCH(
                M47,
                INDIRECT("'" &amp; INDEX('Hulp (CAO''s)'!$C$3:$C$6,
                    MATCH(TRUE,'Hulp (CAO''s)'!$D$3:$D$6,0)) &amp; "'!A:A"),
                0
            )) *
            IF(
                N47="",
                1,
                (ROW(INDIRECT("'" &amp; INDEX('Hulp (CAO''s)'!$C$3:$C$6,
                    MATCH(TRUE,'Hulp (CAO''s)'!$D$3:$D$6,0)) &amp; "'!B1:B1000")) &lt; MATCH(
                    N47,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TEXT(M49,"0")) *
                (ROW(INDIRECT("'" &amp; INDEX('Hulp (CAO''s)'!$C$3:$C$6,
                    MATCH(TRUE,'Hulp (CAO''s)'!$D$3:$D$6,0)) &amp; "'!B1:B1000")) &gt; MATCH(
                    M47,
                    INDIRECT("'" &amp; INDEX('Hulp (CAO''s)'!$C$3:$C$6,
                        MATCH(TRUE,'Hulp (CAO''s)'!$D$3:$D$6,0)) &amp; "'!A:A"),
                    0
                )) *
                IF(
                    N47="",
                    1,
                    (ROW(INDIRECT("'" &amp; INDEX('Hulp (CAO''s)'!$C$3:$C$6,
                        MATCH(TRUE,'Hulp (CAO''s)'!$D$3:$D$6,0)) &amp; "'!B1:B1000")) &lt; MATCH(
                        N47,
                        INDIRECT("'" &amp; INDEX('Hulp (CAO''s)'!$C$3:$C$6,
                            MATCH(TRUE,'Hulp (CAO''s)'!$D$3:$D$6,0)) &amp; "'!A:A"),
                        0
                    ))
                ),
                ROW(INDIRECT("'" &amp; INDEX('Hulp (CAO''s)'!$C$3:$C$6,
                    MATCH(TRUE,'Hulp (CAO''s)'!$D$3:$D$6,0)) &amp; "'!B1:B1000"))
            )
        ),0)
    )
))</f>
        <v/>
      </c>
      <c r="N50" s="86" t="str">
        <f t="array" aca="1" ref="N50" ca="1">IF($B49="Gebruik % van maximum trede",
IF(
    OR(N47="",N48=""),
    "",
    MAX(
    INDIRECT("'" &amp; INDEX('Hulp (CAO''s)'!$C$3:$C$6,
        MATCH(TRUE,'Hulp (CAO''s)'!$D$3:$D$6,0)) &amp; "'!" &amp;
        INDEX('Hulp (CAO''s)'!$H$3:$H$6,
            MATCH(TRUE,'Hulp (CAO''s)'!$D$3:$D$6,0))
        &amp;
        MATCH(N47, INDIRECT("'" &amp; INDEX('Hulp (CAO''s)'!$C$3:$C$6,
            MATCH(TRUE,'Hulp (CAO''s)'!$D$3:$D$6,0)) &amp; "'!A:A"),0)
        &amp; ":H" &amp;
        IF(O47&lt;&gt;"",
            MATCH(O47, INDIRECT("'" &amp; INDEX('Hulp (CAO''s)'!$C$3:$C$6,
                MATCH(TRUE,'Hulp (CAO''s)'!$D$3:$D$6,0)) &amp; "'!A:A"),0)-1,
            1000
        )
    )
) * N48
),
IF(
    IFERROR(MIN(
        IF(
            (TRIM(INDIRECT("'" &amp; INDEX('Hulp (CAO''s)'!$C$3:$C$6,
                MATCH(TRUE,'Hulp (CAO''s)'!$D$3:$D$6,0)) &amp; "'!B1:B1000")) = TEXT(N49,"0")) *
            (ROW(INDIRECT("'" &amp; INDEX('Hulp (CAO''s)'!$C$3:$C$6,
                MATCH(TRUE,'Hulp (CAO''s)'!$D$3:$D$6,0)) &amp; "'!B1:B1000")) &gt; MATCH(
                N47,
                INDIRECT("'" &amp; INDEX('Hulp (CAO''s)'!$C$3:$C$6,
                    MATCH(TRUE,'Hulp (CAO''s)'!$D$3:$D$6,0)) &amp; "'!A:A"),
                0
            )) *
            IF(
                O47="",
                1,
                (ROW(INDIRECT("'" &amp; INDEX('Hulp (CAO''s)'!$C$3:$C$6,
                    MATCH(TRUE,'Hulp (CAO''s)'!$D$3:$D$6,0)) &amp; "'!B1:B1000")) &lt; MATCH(
                    O47,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TEXT(N49,"0")) *
                (ROW(INDIRECT("'" &amp; INDEX('Hulp (CAO''s)'!$C$3:$C$6,
                    MATCH(TRUE,'Hulp (CAO''s)'!$D$3:$D$6,0)) &amp; "'!B1:B1000")) &gt; MATCH(
                    N47,
                    INDIRECT("'" &amp; INDEX('Hulp (CAO''s)'!$C$3:$C$6,
                        MATCH(TRUE,'Hulp (CAO''s)'!$D$3:$D$6,0)) &amp; "'!A:A"),
                    0
                )) *
                IF(
                    O47="",
                    1,
                    (ROW(INDIRECT("'" &amp; INDEX('Hulp (CAO''s)'!$C$3:$C$6,
                        MATCH(TRUE,'Hulp (CAO''s)'!$D$3:$D$6,0)) &amp; "'!B1:B1000")) &lt; MATCH(
                        O47,
                        INDIRECT("'" &amp; INDEX('Hulp (CAO''s)'!$C$3:$C$6,
                            MATCH(TRUE,'Hulp (CAO''s)'!$D$3:$D$6,0)) &amp; "'!A:A"),
                        0
                    ))
                ),
                ROW(INDIRECT("'" &amp; INDEX('Hulp (CAO''s)'!$C$3:$C$6,
                    MATCH(TRUE,'Hulp (CAO''s)'!$D$3:$D$6,0)) &amp; "'!B1:B1000"))
            )
        ),0)
    )
))</f>
        <v/>
      </c>
      <c r="O50" s="86" t="str">
        <f t="array" aca="1" ref="O50" ca="1">IF($B49="Gebruik % van maximum trede",
IF(
    OR(O47="",O48=""),
    "",
    MAX(
    INDIRECT("'" &amp; INDEX('Hulp (CAO''s)'!$C$3:$C$6,
        MATCH(TRUE,'Hulp (CAO''s)'!$D$3:$D$6,0)) &amp; "'!" &amp;
        INDEX('Hulp (CAO''s)'!$H$3:$H$6,
            MATCH(TRUE,'Hulp (CAO''s)'!$D$3:$D$6,0))
        &amp;
        MATCH(O47, INDIRECT("'" &amp; INDEX('Hulp (CAO''s)'!$C$3:$C$6,
            MATCH(TRUE,'Hulp (CAO''s)'!$D$3:$D$6,0)) &amp; "'!A:A"),0)
        &amp; ":H" &amp;
        IF(P47&lt;&gt;"",
            MATCH(P47, INDIRECT("'" &amp; INDEX('Hulp (CAO''s)'!$C$3:$C$6,
                MATCH(TRUE,'Hulp (CAO''s)'!$D$3:$D$6,0)) &amp; "'!A:A"),0)-1,
            1000
        )
    )
) * O48
),
IF(
    IFERROR(MIN(
        IF(
            (TRIM(INDIRECT("'" &amp; INDEX('Hulp (CAO''s)'!$C$3:$C$6,
                MATCH(TRUE,'Hulp (CAO''s)'!$D$3:$D$6,0)) &amp; "'!B1:B1000")) = TEXT(O49,"0")) *
            (ROW(INDIRECT("'" &amp; INDEX('Hulp (CAO''s)'!$C$3:$C$6,
                MATCH(TRUE,'Hulp (CAO''s)'!$D$3:$D$6,0)) &amp; "'!B1:B1000")) &gt; MATCH(
                O47,
                INDIRECT("'" &amp; INDEX('Hulp (CAO''s)'!$C$3:$C$6,
                    MATCH(TRUE,'Hulp (CAO''s)'!$D$3:$D$6,0)) &amp; "'!A:A"),
                0
            )) *
            IF(
                P47="",
                1,
                (ROW(INDIRECT("'" &amp; INDEX('Hulp (CAO''s)'!$C$3:$C$6,
                    MATCH(TRUE,'Hulp (CAO''s)'!$D$3:$D$6,0)) &amp; "'!B1:B1000")) &lt; MATCH(
                    P47,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TEXT(O49,"0")) *
                (ROW(INDIRECT("'" &amp; INDEX('Hulp (CAO''s)'!$C$3:$C$6,
                    MATCH(TRUE,'Hulp (CAO''s)'!$D$3:$D$6,0)) &amp; "'!B1:B1000")) &gt; MATCH(
                    O47,
                    INDIRECT("'" &amp; INDEX('Hulp (CAO''s)'!$C$3:$C$6,
                        MATCH(TRUE,'Hulp (CAO''s)'!$D$3:$D$6,0)) &amp; "'!A:A"),
                    0
                )) *
                IF(
                    P47="",
                    1,
                    (ROW(INDIRECT("'" &amp; INDEX('Hulp (CAO''s)'!$C$3:$C$6,
                        MATCH(TRUE,'Hulp (CAO''s)'!$D$3:$D$6,0)) &amp; "'!B1:B1000")) &lt; MATCH(
                        P47,
                        INDIRECT("'" &amp; INDEX('Hulp (CAO''s)'!$C$3:$C$6,
                            MATCH(TRUE,'Hulp (CAO''s)'!$D$3:$D$6,0)) &amp; "'!A:A"),
                        0
                    ))
                ),
                ROW(INDIRECT("'" &amp; INDEX('Hulp (CAO''s)'!$C$3:$C$6,
                    MATCH(TRUE,'Hulp (CAO''s)'!$D$3:$D$6,0)) &amp; "'!B1:B1000"))
            )
        ),0)
    )
))</f>
        <v/>
      </c>
      <c r="P50" s="86" t="str">
        <f t="array" aca="1" ref="P50" ca="1">IF($B49="Gebruik % van maximum trede",
IF(
    OR(P47="",P48=""),
    "",
    MAX(
    INDIRECT("'" &amp; INDEX('Hulp (CAO''s)'!$C$3:$C$6,
        MATCH(TRUE,'Hulp (CAO''s)'!$D$3:$D$6,0)) &amp; "'!" &amp;
        INDEX('Hulp (CAO''s)'!$H$3:$H$6,
            MATCH(TRUE,'Hulp (CAO''s)'!$D$3:$D$6,0))
        &amp;
        MATCH(P47, INDIRECT("'" &amp; INDEX('Hulp (CAO''s)'!$C$3:$C$6,
            MATCH(TRUE,'Hulp (CAO''s)'!$D$3:$D$6,0)) &amp; "'!A:A"),0)
        &amp; ":H" &amp;
        IF(Q47&lt;&gt;"",
            MATCH(Q47, INDIRECT("'" &amp; INDEX('Hulp (CAO''s)'!$C$3:$C$6,
                MATCH(TRUE,'Hulp (CAO''s)'!$D$3:$D$6,0)) &amp; "'!A:A"),0)-1,
            1000
        )
    )
) * P48
),
IF(
    IFERROR(MIN(
        IF(
            (TRIM(INDIRECT("'" &amp; INDEX('Hulp (CAO''s)'!$C$3:$C$6,
                MATCH(TRUE,'Hulp (CAO''s)'!$D$3:$D$6,0)) &amp; "'!B1:B1000")) = TEXT(P49,"0")) *
            (ROW(INDIRECT("'" &amp; INDEX('Hulp (CAO''s)'!$C$3:$C$6,
                MATCH(TRUE,'Hulp (CAO''s)'!$D$3:$D$6,0)) &amp; "'!B1:B1000")) &gt; MATCH(
                P47,
                INDIRECT("'" &amp; INDEX('Hulp (CAO''s)'!$C$3:$C$6,
                    MATCH(TRUE,'Hulp (CAO''s)'!$D$3:$D$6,0)) &amp; "'!A:A"),
                0
            )) *
            IF(
                Q47="",
                1,
                (ROW(INDIRECT("'" &amp; INDEX('Hulp (CAO''s)'!$C$3:$C$6,
                    MATCH(TRUE,'Hulp (CAO''s)'!$D$3:$D$6,0)) &amp; "'!B1:B1000")) &lt; MATCH(
                    Q47,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TEXT(P49,"0")) *
                (ROW(INDIRECT("'" &amp; INDEX('Hulp (CAO''s)'!$C$3:$C$6,
                    MATCH(TRUE,'Hulp (CAO''s)'!$D$3:$D$6,0)) &amp; "'!B1:B1000")) &gt; MATCH(
                    P47,
                    INDIRECT("'" &amp; INDEX('Hulp (CAO''s)'!$C$3:$C$6,
                        MATCH(TRUE,'Hulp (CAO''s)'!$D$3:$D$6,0)) &amp; "'!A:A"),
                    0
                )) *
                IF(
                    Q47="",
                    1,
                    (ROW(INDIRECT("'" &amp; INDEX('Hulp (CAO''s)'!$C$3:$C$6,
                        MATCH(TRUE,'Hulp (CAO''s)'!$D$3:$D$6,0)) &amp; "'!B1:B1000")) &lt; MATCH(
                        Q47,
                        INDIRECT("'" &amp; INDEX('Hulp (CAO''s)'!$C$3:$C$6,
                            MATCH(TRUE,'Hulp (CAO''s)'!$D$3:$D$6,0)) &amp; "'!A:A"),
                        0
                    ))
                ),
                ROW(INDIRECT("'" &amp; INDEX('Hulp (CAO''s)'!$C$3:$C$6,
                    MATCH(TRUE,'Hulp (CAO''s)'!$D$3:$D$6,0)) &amp; "'!B1:B1000"))
            )
        ),0)
    )
))</f>
        <v/>
      </c>
      <c r="Q50" s="86" t="str">
        <f t="array" aca="1" ref="Q50" ca="1">IF($B49="Gebruik % van maximum trede",
IF(
    OR(Q47="",Q48=""),
    "",
    MAX(
    INDIRECT("'" &amp; INDEX('Hulp (CAO''s)'!$C$3:$C$6,
        MATCH(TRUE,'Hulp (CAO''s)'!$D$3:$D$6,0)) &amp; "'!" &amp;
        INDEX('Hulp (CAO''s)'!$H$3:$H$6,
            MATCH(TRUE,'Hulp (CAO''s)'!$D$3:$D$6,0))
        &amp;
        MATCH(Q47, INDIRECT("'" &amp; INDEX('Hulp (CAO''s)'!$C$3:$C$6,
            MATCH(TRUE,'Hulp (CAO''s)'!$D$3:$D$6,0)) &amp; "'!A:A"),0)
        &amp; ":H" &amp;
        IF(R47&lt;&gt;"",
            MATCH(R47, INDIRECT("'" &amp; INDEX('Hulp (CAO''s)'!$C$3:$C$6,
                MATCH(TRUE,'Hulp (CAO''s)'!$D$3:$D$6,0)) &amp; "'!A:A"),0)-1,
            1000
        )
    )
) * Q48
),
IF(
    IFERROR(MIN(
        IF(
            (TRIM(INDIRECT("'" &amp; INDEX('Hulp (CAO''s)'!$C$3:$C$6,
                MATCH(TRUE,'Hulp (CAO''s)'!$D$3:$D$6,0)) &amp; "'!B1:B1000")) = TEXT(Q49,"0")) *
            (ROW(INDIRECT("'" &amp; INDEX('Hulp (CAO''s)'!$C$3:$C$6,
                MATCH(TRUE,'Hulp (CAO''s)'!$D$3:$D$6,0)) &amp; "'!B1:B1000")) &gt; MATCH(
                Q47,
                INDIRECT("'" &amp; INDEX('Hulp (CAO''s)'!$C$3:$C$6,
                    MATCH(TRUE,'Hulp (CAO''s)'!$D$3:$D$6,0)) &amp; "'!A:A"),
                0
            )) *
            IF(
                R47="",
                1,
                (ROW(INDIRECT("'" &amp; INDEX('Hulp (CAO''s)'!$C$3:$C$6,
                    MATCH(TRUE,'Hulp (CAO''s)'!$D$3:$D$6,0)) &amp; "'!B1:B1000")) &lt; MATCH(
                    R47,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TEXT(Q49,"0")) *
                (ROW(INDIRECT("'" &amp; INDEX('Hulp (CAO''s)'!$C$3:$C$6,
                    MATCH(TRUE,'Hulp (CAO''s)'!$D$3:$D$6,0)) &amp; "'!B1:B1000")) &gt; MATCH(
                    Q47,
                    INDIRECT("'" &amp; INDEX('Hulp (CAO''s)'!$C$3:$C$6,
                        MATCH(TRUE,'Hulp (CAO''s)'!$D$3:$D$6,0)) &amp; "'!A:A"),
                    0
                )) *
                IF(
                    R47="",
                    1,
                    (ROW(INDIRECT("'" &amp; INDEX('Hulp (CAO''s)'!$C$3:$C$6,
                        MATCH(TRUE,'Hulp (CAO''s)'!$D$3:$D$6,0)) &amp; "'!B1:B1000")) &lt; MATCH(
                        R47,
                        INDIRECT("'" &amp; INDEX('Hulp (CAO''s)'!$C$3:$C$6,
                            MATCH(TRUE,'Hulp (CAO''s)'!$D$3:$D$6,0)) &amp; "'!A:A"),
                        0
                    ))
                ),
                ROW(INDIRECT("'" &amp; INDEX('Hulp (CAO''s)'!$C$3:$C$6,
                    MATCH(TRUE,'Hulp (CAO''s)'!$D$3:$D$6,0)) &amp; "'!B1:B1000"))
            )
        ),0)
    )
))</f>
        <v/>
      </c>
      <c r="R50" s="86" t="str">
        <f t="array" aca="1" ref="R50" ca="1">IF($B49="Gebruik % van maximum trede",
IF(
    OR(R47="",R48=""),
    "",
    MAX(
    INDIRECT("'" &amp; INDEX('Hulp (CAO''s)'!$C$3:$C$6,
        MATCH(TRUE,'Hulp (CAO''s)'!$D$3:$D$6,0)) &amp; "'!" &amp;
        INDEX('Hulp (CAO''s)'!$H$3:$H$6,
            MATCH(TRUE,'Hulp (CAO''s)'!$D$3:$D$6,0))
        &amp;
        MATCH(R47, INDIRECT("'" &amp; INDEX('Hulp (CAO''s)'!$C$3:$C$6,
            MATCH(TRUE,'Hulp (CAO''s)'!$D$3:$D$6,0)) &amp; "'!A:A"),0)
        &amp; ":H" &amp;
        IF(S47&lt;&gt;"",
            MATCH(S47, INDIRECT("'" &amp; INDEX('Hulp (CAO''s)'!$C$3:$C$6,
                MATCH(TRUE,'Hulp (CAO''s)'!$D$3:$D$6,0)) &amp; "'!A:A"),0)-1,
            1000
        )
    )
) * R48
),
IF(
    IFERROR(MIN(
        IF(
            (TRIM(INDIRECT("'" &amp; INDEX('Hulp (CAO''s)'!$C$3:$C$6,
                MATCH(TRUE,'Hulp (CAO''s)'!$D$3:$D$6,0)) &amp; "'!B1:B1000")) = TEXT(R49,"0")) *
            (ROW(INDIRECT("'" &amp; INDEX('Hulp (CAO''s)'!$C$3:$C$6,
                MATCH(TRUE,'Hulp (CAO''s)'!$D$3:$D$6,0)) &amp; "'!B1:B1000")) &gt; MATCH(
                R47,
                INDIRECT("'" &amp; INDEX('Hulp (CAO''s)'!$C$3:$C$6,
                    MATCH(TRUE,'Hulp (CAO''s)'!$D$3:$D$6,0)) &amp; "'!A:A"),
                0
            )) *
            IF(
                S47="",
                1,
                (ROW(INDIRECT("'" &amp; INDEX('Hulp (CAO''s)'!$C$3:$C$6,
                    MATCH(TRUE,'Hulp (CAO''s)'!$D$3:$D$6,0)) &amp; "'!B1:B1000")) &lt; MATCH(
                    S47,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TEXT(R49,"0")) *
                (ROW(INDIRECT("'" &amp; INDEX('Hulp (CAO''s)'!$C$3:$C$6,
                    MATCH(TRUE,'Hulp (CAO''s)'!$D$3:$D$6,0)) &amp; "'!B1:B1000")) &gt; MATCH(
                    R47,
                    INDIRECT("'" &amp; INDEX('Hulp (CAO''s)'!$C$3:$C$6,
                        MATCH(TRUE,'Hulp (CAO''s)'!$D$3:$D$6,0)) &amp; "'!A:A"),
                    0
                )) *
                IF(
                    S47="",
                    1,
                    (ROW(INDIRECT("'" &amp; INDEX('Hulp (CAO''s)'!$C$3:$C$6,
                        MATCH(TRUE,'Hulp (CAO''s)'!$D$3:$D$6,0)) &amp; "'!B1:B1000")) &lt; MATCH(
                        S47,
                        INDIRECT("'" &amp; INDEX('Hulp (CAO''s)'!$C$3:$C$6,
                            MATCH(TRUE,'Hulp (CAO''s)'!$D$3:$D$6,0)) &amp; "'!A:A"),
                        0
                    ))
                ),
                ROW(INDIRECT("'" &amp; INDEX('Hulp (CAO''s)'!$C$3:$C$6,
                    MATCH(TRUE,'Hulp (CAO''s)'!$D$3:$D$6,0)) &amp; "'!B1:B1000"))
            )
        ),0)
    )
))</f>
        <v/>
      </c>
      <c r="S50" s="86" t="str">
        <f t="array" aca="1" ref="S50" ca="1">IF($B49="Gebruik % van maximum trede",
IF(
    OR(S47="",S48=""),
    "",
    MAX(
    INDIRECT("'" &amp; INDEX('Hulp (CAO''s)'!$C$3:$C$6,
        MATCH(TRUE,'Hulp (CAO''s)'!$D$3:$D$6,0)) &amp; "'!" &amp;
        INDEX('Hulp (CAO''s)'!$H$3:$H$6,
            MATCH(TRUE,'Hulp (CAO''s)'!$D$3:$D$6,0))
        &amp;
        MATCH(S47, INDIRECT("'" &amp; INDEX('Hulp (CAO''s)'!$C$3:$C$6,
            MATCH(TRUE,'Hulp (CAO''s)'!$D$3:$D$6,0)) &amp; "'!A:A"),0)
        &amp; ":H" &amp;
        IF(T47&lt;&gt;"",
            MATCH(T47, INDIRECT("'" &amp; INDEX('Hulp (CAO''s)'!$C$3:$C$6,
                MATCH(TRUE,'Hulp (CAO''s)'!$D$3:$D$6,0)) &amp; "'!A:A"),0)-1,
            1000
        )
    )
) * S48
),
IF(
    IFERROR(MIN(
        IF(
            (TRIM(INDIRECT("'" &amp; INDEX('Hulp (CAO''s)'!$C$3:$C$6,
                MATCH(TRUE,'Hulp (CAO''s)'!$D$3:$D$6,0)) &amp; "'!B1:B1000")) = TEXT(S49,"0")) *
            (ROW(INDIRECT("'" &amp; INDEX('Hulp (CAO''s)'!$C$3:$C$6,
                MATCH(TRUE,'Hulp (CAO''s)'!$D$3:$D$6,0)) &amp; "'!B1:B1000")) &gt; MATCH(
                S47,
                INDIRECT("'" &amp; INDEX('Hulp (CAO''s)'!$C$3:$C$6,
                    MATCH(TRUE,'Hulp (CAO''s)'!$D$3:$D$6,0)) &amp; "'!A:A"),
                0
            )) *
            IF(
                T47="",
                1,
                (ROW(INDIRECT("'" &amp; INDEX('Hulp (CAO''s)'!$C$3:$C$6,
                    MATCH(TRUE,'Hulp (CAO''s)'!$D$3:$D$6,0)) &amp; "'!B1:B1000")) &lt; MATCH(
                    T47,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TEXT(S49,"0")) *
                (ROW(INDIRECT("'" &amp; INDEX('Hulp (CAO''s)'!$C$3:$C$6,
                    MATCH(TRUE,'Hulp (CAO''s)'!$D$3:$D$6,0)) &amp; "'!B1:B1000")) &gt; MATCH(
                    S47,
                    INDIRECT("'" &amp; INDEX('Hulp (CAO''s)'!$C$3:$C$6,
                        MATCH(TRUE,'Hulp (CAO''s)'!$D$3:$D$6,0)) &amp; "'!A:A"),
                    0
                )) *
                IF(
                    T47="",
                    1,
                    (ROW(INDIRECT("'" &amp; INDEX('Hulp (CAO''s)'!$C$3:$C$6,
                        MATCH(TRUE,'Hulp (CAO''s)'!$D$3:$D$6,0)) &amp; "'!B1:B1000")) &lt; MATCH(
                        T47,
                        INDIRECT("'" &amp; INDEX('Hulp (CAO''s)'!$C$3:$C$6,
                            MATCH(TRUE,'Hulp (CAO''s)'!$D$3:$D$6,0)) &amp; "'!A:A"),
                        0
                    ))
                ),
                ROW(INDIRECT("'" &amp; INDEX('Hulp (CAO''s)'!$C$3:$C$6,
                    MATCH(TRUE,'Hulp (CAO''s)'!$D$3:$D$6,0)) &amp; "'!B1:B1000"))
            )
        ),0)
    )
))</f>
        <v/>
      </c>
      <c r="T50" s="39" t="str">
        <f t="array" aca="1" ref="T50" ca="1">IF($B49="Gebruik % van maximum trede",
IF(
    OR(T47="",T48=""),
    "",
    MAX(
    INDIRECT("'" &amp; INDEX('Hulp (CAO''s)'!$C$3:$C$6,
        MATCH(TRUE,'Hulp (CAO''s)'!$D$3:$D$6,0)) &amp; "'!" &amp;
        INDEX('Hulp (CAO''s)'!$H$3:$H$6,
            MATCH(TRUE,'Hulp (CAO''s)'!$D$3:$D$6,0))
        &amp;
        MATCH(T47, INDIRECT("'" &amp; INDEX('Hulp (CAO''s)'!$C$3:$C$6,
            MATCH(TRUE,'Hulp (CAO''s)'!$D$3:$D$6,0)) &amp; "'!A:A"),0)
        &amp; ":H" &amp;
        IF(U47&lt;&gt;"",
            MATCH(U47, INDIRECT("'" &amp; INDEX('Hulp (CAO''s)'!$C$3:$C$6,
                MATCH(TRUE,'Hulp (CAO''s)'!$D$3:$D$6,0)) &amp; "'!A:A"),0)-1,
            1000
        )
    )
) * T48
),
IF(
    IFERROR(MIN(
        IF(
            (TRIM(INDIRECT("'" &amp; INDEX('Hulp (CAO''s)'!$C$3:$C$6,
                MATCH(TRUE,'Hulp (CAO''s)'!$D$3:$D$6,0)) &amp; "'!B1:B1000")) = TEXT(T49,"0")) *
            (ROW(INDIRECT("'" &amp; INDEX('Hulp (CAO''s)'!$C$3:$C$6,
                MATCH(TRUE,'Hulp (CAO''s)'!$D$3:$D$6,0)) &amp; "'!B1:B1000")) &gt; MATCH(
                T47,
                INDIRECT("'" &amp; INDEX('Hulp (CAO''s)'!$C$3:$C$6,
                    MATCH(TRUE,'Hulp (CAO''s)'!$D$3:$D$6,0)) &amp; "'!A:A"),
                0
            )) *
            IF(
                U47="",
                1,
                (ROW(INDIRECT("'" &amp; INDEX('Hulp (CAO''s)'!$C$3:$C$6,
                    MATCH(TRUE,'Hulp (CAO''s)'!$D$3:$D$6,0)) &amp; "'!B1:B1000")) &lt; MATCH(
                    U47,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TEXT(T49,"0")) *
                (ROW(INDIRECT("'" &amp; INDEX('Hulp (CAO''s)'!$C$3:$C$6,
                    MATCH(TRUE,'Hulp (CAO''s)'!$D$3:$D$6,0)) &amp; "'!B1:B1000")) &gt; MATCH(
                    T47,
                    INDIRECT("'" &amp; INDEX('Hulp (CAO''s)'!$C$3:$C$6,
                        MATCH(TRUE,'Hulp (CAO''s)'!$D$3:$D$6,0)) &amp; "'!A:A"),
                    0
                )) *
                IF(
                    U47="",
                    1,
                    (ROW(INDIRECT("'" &amp; INDEX('Hulp (CAO''s)'!$C$3:$C$6,
                        MATCH(TRUE,'Hulp (CAO''s)'!$D$3:$D$6,0)) &amp; "'!B1:B1000")) &lt; MATCH(
                        U47,
                        INDIRECT("'" &amp; INDEX('Hulp (CAO''s)'!$C$3:$C$6,
                            MATCH(TRUE,'Hulp (CAO''s)'!$D$3:$D$6,0)) &amp; "'!A:A"),
                        0
                    ))
                ),
                ROW(INDIRECT("'" &amp; INDEX('Hulp (CAO''s)'!$C$3:$C$6,
                    MATCH(TRUE,'Hulp (CAO''s)'!$D$3:$D$6,0)) &amp; "'!B1:B1000"))
            )
        ),0)
    )
))</f>
        <v/>
      </c>
      <c r="V50" s="38" t="str">
        <f t="array" aca="1" ref="V50" ca="1">IF(
   SUM(E50:T50)=0,
   "",
   (
      SUMPRODUCT(
         IF(E50:T50="",0,E50:T50),
         IF(E51:T51="",0,E51:T51) * SUM(E51:T51)
      )
   ) *
   IF(
      'Hulp (CAO''s)'!#REF!,
      IF(
         OR(
            INDEX(#REF!, ROW(#REF!) + INT((ROW()-ROW($V$8))/6)*8)="",
            ISNA(INDEX(#REF!, ROW(#REF!) + INT((ROW()-ROW($V$8))/6)*8))
         ),
         1878/12,
         INDEX(#REF!, ROW(#REF!) + INT((ROW()-ROW($V$8))/6)*8)/12
      ),
      1
   )
)</f>
        <v/>
      </c>
    </row>
    <row r="51" spans="2:24" ht="14.65" thickBot="1" x14ac:dyDescent="0.5">
      <c r="B51" s="48" t="s">
        <v>60</v>
      </c>
      <c r="D51" s="24" t="s">
        <v>59</v>
      </c>
      <c r="E51" s="8">
        <v>0.05</v>
      </c>
      <c r="F51" s="8">
        <v>0.1</v>
      </c>
      <c r="G51" s="8">
        <v>0.1</v>
      </c>
      <c r="H51" s="8">
        <v>0.15</v>
      </c>
      <c r="I51" s="8">
        <v>0.2</v>
      </c>
      <c r="J51" s="8">
        <v>0.15</v>
      </c>
      <c r="K51" s="8">
        <v>0.1</v>
      </c>
      <c r="L51" s="8">
        <v>0.05</v>
      </c>
      <c r="M51" s="8">
        <v>0.05</v>
      </c>
      <c r="N51" s="8">
        <v>0.05</v>
      </c>
      <c r="O51" s="8">
        <v>0</v>
      </c>
      <c r="P51" s="8"/>
      <c r="Q51" s="8"/>
      <c r="R51" s="8"/>
      <c r="S51" s="8"/>
      <c r="T51" s="9"/>
      <c r="U51" s="7"/>
      <c r="V51" s="37" t="str">
        <f ca="1">IF(B47="","",IF(INDIRECT("'Hulp (control forms)'!C" &amp; (13 + INT((ROW()-ROW($B$5))/6))), V49, V50))</f>
        <v/>
      </c>
      <c r="W51" s="7"/>
    </row>
    <row r="52" spans="2:24" x14ac:dyDescent="0.5">
      <c r="S52" s="7" t="str">
        <f>IF($B51="Aandeel in %",
   "Totaal: "&amp;SUM(E51:T51)*100&amp;"%",
   "Totaal: "&amp;SUM(E51:T51)&amp;" uur"
)</f>
        <v>Totaal: 100%</v>
      </c>
      <c r="T52" s="7"/>
    </row>
    <row r="53" spans="2:24" ht="16.149999999999999" thickBot="1" x14ac:dyDescent="0.55000000000000004">
      <c r="B53" s="44" t="str">
        <f ca="1">IF(B54="","",IF(
   OR(
      INDIRECT("'1a. Input organisatieniveau'!N" &amp; (14 + INT((ROW()-4)/7)))="",
      INDIRECT("'1a. Input organisatieniveau'!N" &amp; (14 + INT((ROW()-4)/7)))=0
   ),
   "",
   INDIRECT("'1a. Input organisatieniveau'!N" &amp; (14 + INT((ROW()-4)/7)))
))</f>
        <v/>
      </c>
      <c r="E53" s="61" t="str">
        <f t="shared" ref="E53:T53" ca="1" si="7">IF($B56="Gebruik % van maximum trede", IF(AND(AND(E54&lt;&gt;"",E55&lt;&gt;""),E57=""),"!",""), IF(AND(AND(E54&lt;&gt;"",E56&lt;&gt;""),E57=""),"!",""))</f>
        <v/>
      </c>
      <c r="F53" s="61" t="str">
        <f t="shared" ca="1" si="7"/>
        <v/>
      </c>
      <c r="G53" s="61" t="str">
        <f t="shared" ca="1" si="7"/>
        <v/>
      </c>
      <c r="H53" s="61" t="str">
        <f t="shared" ca="1" si="7"/>
        <v/>
      </c>
      <c r="I53" s="61" t="str">
        <f t="shared" ca="1" si="7"/>
        <v/>
      </c>
      <c r="J53" s="61" t="str">
        <f t="shared" ca="1" si="7"/>
        <v/>
      </c>
      <c r="K53" s="61" t="str">
        <f t="shared" ca="1" si="7"/>
        <v/>
      </c>
      <c r="L53" s="61" t="str">
        <f t="shared" ca="1" si="7"/>
        <v/>
      </c>
      <c r="M53" s="61" t="str">
        <f t="shared" ca="1" si="7"/>
        <v/>
      </c>
      <c r="N53" s="61" t="str">
        <f t="shared" ca="1" si="7"/>
        <v/>
      </c>
      <c r="O53" s="61" t="str">
        <f t="shared" ca="1" si="7"/>
        <v/>
      </c>
      <c r="P53" s="61" t="str">
        <f t="shared" ca="1" si="7"/>
        <v/>
      </c>
      <c r="Q53" s="61" t="str">
        <f t="shared" ca="1" si="7"/>
        <v/>
      </c>
      <c r="R53" s="61" t="str">
        <f t="shared" ca="1" si="7"/>
        <v/>
      </c>
      <c r="S53" s="61" t="str">
        <f t="shared" ca="1" si="7"/>
        <v/>
      </c>
      <c r="T53" s="61" t="str">
        <f t="shared" ca="1" si="7"/>
        <v/>
      </c>
    </row>
    <row r="54" spans="2:24" ht="16.149999999999999" thickBot="1" x14ac:dyDescent="0.55000000000000004">
      <c r="B54" s="45" t="str">
        <f ca="1">IF(
   OR(
      INDIRECT("'1a. Input organisatieniveau'!M" &amp; (14 + INT((ROW()-4)/7)))="",
      INDIRECT("'1a. Input organisatieniveau'!M" &amp; (14 + INT((ROW()-4)/7)))=0
   ),
   "",
   INDIRECT("'1a. Input organisatieniveau'!M" &amp; (14 + INT((ROW()-4)/7)))
)</f>
        <v/>
      </c>
      <c r="D54" s="22" t="s">
        <v>28</v>
      </c>
      <c r="E54" s="10" t="str">
        <f t="array" aca="1" ref="E54" ca="1">IF($B54="", "", INDEX('Hulp (CAO''s)'!J$3:J$6, MATCH(TRUE, 'Hulp (CAO''s)'!$D$3:$D$6, 0)))</f>
        <v/>
      </c>
      <c r="F54" s="10" t="str">
        <f t="array" aca="1" ref="F54" ca="1">IF($B54="", "", INDEX('Hulp (CAO''s)'!K$3:K$6, MATCH(TRUE, 'Hulp (CAO''s)'!$D$3:$D$6, 0)))</f>
        <v/>
      </c>
      <c r="G54" s="10" t="str">
        <f t="array" aca="1" ref="G54" ca="1">IF($B54="", "", INDEX('Hulp (CAO''s)'!L$3:L$6, MATCH(TRUE, 'Hulp (CAO''s)'!$D$3:$D$6, 0)))</f>
        <v/>
      </c>
      <c r="H54" s="10" t="str">
        <f t="array" aca="1" ref="H54" ca="1">IF($B54="", "", INDEX('Hulp (CAO''s)'!M$3:M$6, MATCH(TRUE, 'Hulp (CAO''s)'!$D$3:$D$6, 0)))</f>
        <v/>
      </c>
      <c r="I54" s="10" t="str">
        <f t="array" aca="1" ref="I54" ca="1">IF($B54="", "", INDEX('Hulp (CAO''s)'!N$3:N$6, MATCH(TRUE, 'Hulp (CAO''s)'!$D$3:$D$6, 0)))</f>
        <v/>
      </c>
      <c r="J54" s="10" t="str">
        <f t="array" aca="1" ref="J54" ca="1">IF($B54="", "", INDEX('Hulp (CAO''s)'!O$3:O$6, MATCH(TRUE, 'Hulp (CAO''s)'!$D$3:$D$6, 0)))</f>
        <v/>
      </c>
      <c r="K54" s="10" t="str">
        <f t="array" aca="1" ref="K54" ca="1">IF($B54="", "", INDEX('Hulp (CAO''s)'!P$3:P$6, MATCH(TRUE, 'Hulp (CAO''s)'!$D$3:$D$6, 0)))</f>
        <v/>
      </c>
      <c r="L54" s="10" t="str">
        <f t="array" aca="1" ref="L54" ca="1">IF($B54="", "", INDEX('Hulp (CAO''s)'!Q$3:Q$6, MATCH(TRUE, 'Hulp (CAO''s)'!$D$3:$D$6, 0)))</f>
        <v/>
      </c>
      <c r="M54" s="10" t="str">
        <f t="array" aca="1" ref="M54" ca="1">IF($B54="", "", INDEX('Hulp (CAO''s)'!R$3:R$6, MATCH(TRUE, 'Hulp (CAO''s)'!$D$3:$D$6, 0)))</f>
        <v/>
      </c>
      <c r="N54" s="10" t="str">
        <f t="array" aca="1" ref="N54" ca="1">IF($B54="", "", INDEX('Hulp (CAO''s)'!S$3:S$6, MATCH(TRUE, 'Hulp (CAO''s)'!$D$3:$D$6, 0)))</f>
        <v/>
      </c>
      <c r="O54" s="10" t="str">
        <f t="array" aca="1" ref="O54" ca="1">IF($B54="", "", INDEX('Hulp (CAO''s)'!T$3:T$6, MATCH(TRUE, 'Hulp (CAO''s)'!$D$3:$D$6, 0)))</f>
        <v/>
      </c>
      <c r="P54" s="10" t="str">
        <f t="array" aca="1" ref="P54" ca="1">IF($B54="", "", INDEX('Hulp (CAO''s)'!U$3:U$6, MATCH(TRUE, 'Hulp (CAO''s)'!$D$3:$D$6, 0)))</f>
        <v/>
      </c>
      <c r="Q54" s="10" t="str">
        <f t="array" aca="1" ref="Q54" ca="1">IF($B54="", "", INDEX('Hulp (CAO''s)'!V$3:V$6, MATCH(TRUE, 'Hulp (CAO''s)'!$D$3:$D$6, 0)))</f>
        <v/>
      </c>
      <c r="R54" s="10" t="str">
        <f t="array" aca="1" ref="R54" ca="1">IF($B54="", "", INDEX('Hulp (CAO''s)'!W$3:W$6, MATCH(TRUE, 'Hulp (CAO''s)'!$D$3:$D$6, 0)))</f>
        <v/>
      </c>
      <c r="S54" s="10" t="str">
        <f t="array" aca="1" ref="S54" ca="1">IF($B54="", "", INDEX('Hulp (CAO''s)'!X$3:X$6, MATCH(TRUE, 'Hulp (CAO''s)'!$D$3:$D$6, 0)))</f>
        <v/>
      </c>
      <c r="T54" s="11" t="str">
        <f t="array" aca="1" ref="T54" ca="1">IF($B54="", "", INDEX('Hulp (CAO''s)'!Y$3:Y$6, MATCH(TRUE, 'Hulp (CAO''s)'!$D$3:$D$6, 0)))</f>
        <v/>
      </c>
      <c r="V54" s="25"/>
      <c r="W54" s="5"/>
    </row>
    <row r="55" spans="2:24" ht="16.149999999999999" thickBot="1" x14ac:dyDescent="0.55000000000000004">
      <c r="D55" s="23" t="s">
        <v>770</v>
      </c>
      <c r="E55" s="90">
        <v>0.96</v>
      </c>
      <c r="F55" s="90">
        <v>0.9</v>
      </c>
      <c r="G55" s="90">
        <v>0.9</v>
      </c>
      <c r="H55" s="90">
        <v>0.7</v>
      </c>
      <c r="I55" s="90">
        <v>0.8</v>
      </c>
      <c r="J55" s="90">
        <v>0.9</v>
      </c>
      <c r="K55" s="90">
        <v>0.9</v>
      </c>
      <c r="L55" s="90">
        <v>0.9</v>
      </c>
      <c r="M55" s="90">
        <v>0.9</v>
      </c>
      <c r="N55" s="90">
        <v>0.8</v>
      </c>
      <c r="O55" s="90">
        <v>0.95</v>
      </c>
      <c r="P55" s="90">
        <v>0.93</v>
      </c>
      <c r="Q55" s="90">
        <v>0.93</v>
      </c>
      <c r="R55" s="90">
        <v>0.95</v>
      </c>
      <c r="S55" s="90">
        <v>0.92</v>
      </c>
      <c r="T55" s="91">
        <v>0.95</v>
      </c>
      <c r="V55" s="25" t="s">
        <v>32</v>
      </c>
    </row>
    <row r="56" spans="2:24" ht="14.25" x14ac:dyDescent="0.45">
      <c r="B56" s="48" t="s">
        <v>771</v>
      </c>
      <c r="D56" s="23" t="s">
        <v>29</v>
      </c>
      <c r="E56" s="94">
        <v>9</v>
      </c>
      <c r="F56" s="94">
        <v>10</v>
      </c>
      <c r="G56" s="94">
        <v>10</v>
      </c>
      <c r="H56" s="94">
        <v>9</v>
      </c>
      <c r="I56" s="94">
        <v>10</v>
      </c>
      <c r="J56" s="94">
        <v>11</v>
      </c>
      <c r="K56" s="94">
        <v>10</v>
      </c>
      <c r="L56" s="94">
        <v>10</v>
      </c>
      <c r="M56" s="94">
        <v>9</v>
      </c>
      <c r="N56" s="94">
        <v>10</v>
      </c>
      <c r="O56" s="94">
        <v>11</v>
      </c>
      <c r="P56" s="94">
        <v>12</v>
      </c>
      <c r="Q56" s="94">
        <v>13</v>
      </c>
      <c r="R56" s="94">
        <v>12</v>
      </c>
      <c r="S56" s="94">
        <v>10</v>
      </c>
      <c r="T56" s="33">
        <v>5</v>
      </c>
      <c r="V56" s="52">
        <v>4000</v>
      </c>
      <c r="X56" s="60" t="s">
        <v>747</v>
      </c>
    </row>
    <row r="57" spans="2:24" ht="14.65" thickBot="1" x14ac:dyDescent="0.5">
      <c r="B57"/>
      <c r="D57" s="40" t="str">
        <f>IFERROR(
   INDEX('Hulp (CAO''s)'!$I$3:$I$6, MATCH(TRUE, 'Hulp (CAO''s)'!$D$3:$D$6, 0)),
"")</f>
        <v>Bruto maandsalaris</v>
      </c>
      <c r="E57" s="86" t="str">
        <f t="array" aca="1" ref="E57" ca="1">IF($B56="Gebruik % van maximum trede",
IF(
    OR(E54="",E55=""),
    "",
    MAX(
    INDIRECT("'" &amp; INDEX('Hulp (CAO''s)'!$C$3:$C$6,
        MATCH(TRUE,'Hulp (CAO''s)'!$D$3:$D$6,0)) &amp; "'!" &amp;
        INDEX('Hulp (CAO''s)'!$H$3:$H$6,
            MATCH(TRUE,'Hulp (CAO''s)'!$D$3:$D$6,0))
        &amp;
        MATCH(E54, INDIRECT("'" &amp; INDEX('Hulp (CAO''s)'!$C$3:$C$6,
            MATCH(TRUE,'Hulp (CAO''s)'!$D$3:$D$6,0)) &amp; "'!A:A"),0)
        &amp; ":H" &amp;
        IF(F54&lt;&gt;"",
            MATCH(F54, INDIRECT("'" &amp; INDEX('Hulp (CAO''s)'!$C$3:$C$6,
                MATCH(TRUE,'Hulp (CAO''s)'!$D$3:$D$6,0)) &amp; "'!A:A"),0)-1,
            1000
        )
    )
) * E55
),
IF(
    IFERROR(MIN(
        IF(
            (TRIM(INDIRECT("'" &amp; INDEX('Hulp (CAO''s)'!$C$3:$C$6,
                MATCH(TRUE,'Hulp (CAO''s)'!$D$3:$D$6,0)) &amp; "'!B1:B1000")) = TEXT(E56,"0")) *
            (ROW(INDIRECT("'" &amp; INDEX('Hulp (CAO''s)'!$C$3:$C$6,
                MATCH(TRUE,'Hulp (CAO''s)'!$D$3:$D$6,0)) &amp; "'!B1:B1000")) &gt; MATCH(
                E54,
                INDIRECT("'" &amp; INDEX('Hulp (CAO''s)'!$C$3:$C$6,
                    MATCH(TRUE,'Hulp (CAO''s)'!$D$3:$D$6,0)) &amp; "'!A:A"),
                0
            )) *
            IF(
                F54="",
                1,
                (ROW(INDIRECT("'" &amp; INDEX('Hulp (CAO''s)'!$C$3:$C$6,
                    MATCH(TRUE,'Hulp (CAO''s)'!$D$3:$D$6,0)) &amp; "'!B1:B1000")) &lt; MATCH(
                    F54,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TEXT(E56,"0")) *
                (ROW(INDIRECT("'" &amp; INDEX('Hulp (CAO''s)'!$C$3:$C$6,
                    MATCH(TRUE,'Hulp (CAO''s)'!$D$3:$D$6,0)) &amp; "'!B1:B1000")) &gt; MATCH(
                    E54,
                    INDIRECT("'" &amp; INDEX('Hulp (CAO''s)'!$C$3:$C$6,
                        MATCH(TRUE,'Hulp (CAO''s)'!$D$3:$D$6,0)) &amp; "'!A:A"),
                    0
                )) *
                IF(
                    F54="",
                    1,
                    (ROW(INDIRECT("'" &amp; INDEX('Hulp (CAO''s)'!$C$3:$C$6,
                        MATCH(TRUE,'Hulp (CAO''s)'!$D$3:$D$6,0)) &amp; "'!B1:B1000")) &lt; MATCH(
                        F54,
                        INDIRECT("'" &amp; INDEX('Hulp (CAO''s)'!$C$3:$C$6,
                            MATCH(TRUE,'Hulp (CAO''s)'!$D$3:$D$6,0)) &amp; "'!A:A"),
                        0
                    ))
                ),
                ROW(INDIRECT("'" &amp; INDEX('Hulp (CAO''s)'!$C$3:$C$6,
                    MATCH(TRUE,'Hulp (CAO''s)'!$D$3:$D$6,0)) &amp; "'!B1:B1000"))
            )
        ),0)
    )
))</f>
        <v/>
      </c>
      <c r="F57" s="86" t="str">
        <f t="array" aca="1" ref="F57" ca="1">IF($B56="Gebruik % van maximum trede",
IF(
    OR(F54="",F55=""),
    "",
    MAX(
    INDIRECT("'" &amp; INDEX('Hulp (CAO''s)'!$C$3:$C$6,
        MATCH(TRUE,'Hulp (CAO''s)'!$D$3:$D$6,0)) &amp; "'!" &amp;
        INDEX('Hulp (CAO''s)'!$H$3:$H$6,
            MATCH(TRUE,'Hulp (CAO''s)'!$D$3:$D$6,0))
        &amp;
        MATCH(F54, INDIRECT("'" &amp; INDEX('Hulp (CAO''s)'!$C$3:$C$6,
            MATCH(TRUE,'Hulp (CAO''s)'!$D$3:$D$6,0)) &amp; "'!A:A"),0)
        &amp; ":H" &amp;
        IF(G54&lt;&gt;"",
            MATCH(G54, INDIRECT("'" &amp; INDEX('Hulp (CAO''s)'!$C$3:$C$6,
                MATCH(TRUE,'Hulp (CAO''s)'!$D$3:$D$6,0)) &amp; "'!A:A"),0)-1,
            1000
        )
    )
) * F55
),
IF(
    IFERROR(MIN(
        IF(
            (TRIM(INDIRECT("'" &amp; INDEX('Hulp (CAO''s)'!$C$3:$C$6,
                MATCH(TRUE,'Hulp (CAO''s)'!$D$3:$D$6,0)) &amp; "'!B1:B1000")) = TEXT(F56,"0")) *
            (ROW(INDIRECT("'" &amp; INDEX('Hulp (CAO''s)'!$C$3:$C$6,
                MATCH(TRUE,'Hulp (CAO''s)'!$D$3:$D$6,0)) &amp; "'!B1:B1000")) &gt; MATCH(
                F54,
                INDIRECT("'" &amp; INDEX('Hulp (CAO''s)'!$C$3:$C$6,
                    MATCH(TRUE,'Hulp (CAO''s)'!$D$3:$D$6,0)) &amp; "'!A:A"),
                0
            )) *
            IF(
                G54="",
                1,
                (ROW(INDIRECT("'" &amp; INDEX('Hulp (CAO''s)'!$C$3:$C$6,
                    MATCH(TRUE,'Hulp (CAO''s)'!$D$3:$D$6,0)) &amp; "'!B1:B1000")) &lt; MATCH(
                    G54,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TEXT(F56,"0")) *
                (ROW(INDIRECT("'" &amp; INDEX('Hulp (CAO''s)'!$C$3:$C$6,
                    MATCH(TRUE,'Hulp (CAO''s)'!$D$3:$D$6,0)) &amp; "'!B1:B1000")) &gt; MATCH(
                    F54,
                    INDIRECT("'" &amp; INDEX('Hulp (CAO''s)'!$C$3:$C$6,
                        MATCH(TRUE,'Hulp (CAO''s)'!$D$3:$D$6,0)) &amp; "'!A:A"),
                    0
                )) *
                IF(
                    G54="",
                    1,
                    (ROW(INDIRECT("'" &amp; INDEX('Hulp (CAO''s)'!$C$3:$C$6,
                        MATCH(TRUE,'Hulp (CAO''s)'!$D$3:$D$6,0)) &amp; "'!B1:B1000")) &lt; MATCH(
                        G54,
                        INDIRECT("'" &amp; INDEX('Hulp (CAO''s)'!$C$3:$C$6,
                            MATCH(TRUE,'Hulp (CAO''s)'!$D$3:$D$6,0)) &amp; "'!A:A"),
                        0
                    ))
                ),
                ROW(INDIRECT("'" &amp; INDEX('Hulp (CAO''s)'!$C$3:$C$6,
                    MATCH(TRUE,'Hulp (CAO''s)'!$D$3:$D$6,0)) &amp; "'!B1:B1000"))
            )
        ),0)
    )
))</f>
        <v/>
      </c>
      <c r="G57" s="86" t="str">
        <f t="array" aca="1" ref="G57" ca="1">IF($B56="Gebruik % van maximum trede",
IF(
    OR(G54="",G55=""),
    "",
    MAX(
    INDIRECT("'" &amp; INDEX('Hulp (CAO''s)'!$C$3:$C$6,
        MATCH(TRUE,'Hulp (CAO''s)'!$D$3:$D$6,0)) &amp; "'!" &amp;
        INDEX('Hulp (CAO''s)'!$H$3:$H$6,
            MATCH(TRUE,'Hulp (CAO''s)'!$D$3:$D$6,0))
        &amp;
        MATCH(G54, INDIRECT("'" &amp; INDEX('Hulp (CAO''s)'!$C$3:$C$6,
            MATCH(TRUE,'Hulp (CAO''s)'!$D$3:$D$6,0)) &amp; "'!A:A"),0)
        &amp; ":H" &amp;
        IF(H54&lt;&gt;"",
            MATCH(H54, INDIRECT("'" &amp; INDEX('Hulp (CAO''s)'!$C$3:$C$6,
                MATCH(TRUE,'Hulp (CAO''s)'!$D$3:$D$6,0)) &amp; "'!A:A"),0)-1,
            1000
        )
    )
) * G55
),
IF(
    IFERROR(MIN(
        IF(
            (TRIM(INDIRECT("'" &amp; INDEX('Hulp (CAO''s)'!$C$3:$C$6,
                MATCH(TRUE,'Hulp (CAO''s)'!$D$3:$D$6,0)) &amp; "'!B1:B1000")) = TEXT(G56,"0")) *
            (ROW(INDIRECT("'" &amp; INDEX('Hulp (CAO''s)'!$C$3:$C$6,
                MATCH(TRUE,'Hulp (CAO''s)'!$D$3:$D$6,0)) &amp; "'!B1:B1000")) &gt; MATCH(
                G54,
                INDIRECT("'" &amp; INDEX('Hulp (CAO''s)'!$C$3:$C$6,
                    MATCH(TRUE,'Hulp (CAO''s)'!$D$3:$D$6,0)) &amp; "'!A:A"),
                0
            )) *
            IF(
                H54="",
                1,
                (ROW(INDIRECT("'" &amp; INDEX('Hulp (CAO''s)'!$C$3:$C$6,
                    MATCH(TRUE,'Hulp (CAO''s)'!$D$3:$D$6,0)) &amp; "'!B1:B1000")) &lt; MATCH(
                    H54,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TEXT(G56,"0")) *
                (ROW(INDIRECT("'" &amp; INDEX('Hulp (CAO''s)'!$C$3:$C$6,
                    MATCH(TRUE,'Hulp (CAO''s)'!$D$3:$D$6,0)) &amp; "'!B1:B1000")) &gt; MATCH(
                    G54,
                    INDIRECT("'" &amp; INDEX('Hulp (CAO''s)'!$C$3:$C$6,
                        MATCH(TRUE,'Hulp (CAO''s)'!$D$3:$D$6,0)) &amp; "'!A:A"),
                    0
                )) *
                IF(
                    H54="",
                    1,
                    (ROW(INDIRECT("'" &amp; INDEX('Hulp (CAO''s)'!$C$3:$C$6,
                        MATCH(TRUE,'Hulp (CAO''s)'!$D$3:$D$6,0)) &amp; "'!B1:B1000")) &lt; MATCH(
                        H54,
                        INDIRECT("'" &amp; INDEX('Hulp (CAO''s)'!$C$3:$C$6,
                            MATCH(TRUE,'Hulp (CAO''s)'!$D$3:$D$6,0)) &amp; "'!A:A"),
                        0
                    ))
                ),
                ROW(INDIRECT("'" &amp; INDEX('Hulp (CAO''s)'!$C$3:$C$6,
                    MATCH(TRUE,'Hulp (CAO''s)'!$D$3:$D$6,0)) &amp; "'!B1:B1000"))
            )
        ),0)
    )
))</f>
        <v/>
      </c>
      <c r="H57" s="86" t="str">
        <f t="array" aca="1" ref="H57" ca="1">IF($B56="Gebruik % van maximum trede",
IF(
    OR(H54="",H55=""),
    "",
    MAX(
    INDIRECT("'" &amp; INDEX('Hulp (CAO''s)'!$C$3:$C$6,
        MATCH(TRUE,'Hulp (CAO''s)'!$D$3:$D$6,0)) &amp; "'!" &amp;
        INDEX('Hulp (CAO''s)'!$H$3:$H$6,
            MATCH(TRUE,'Hulp (CAO''s)'!$D$3:$D$6,0))
        &amp;
        MATCH(H54, INDIRECT("'" &amp; INDEX('Hulp (CAO''s)'!$C$3:$C$6,
            MATCH(TRUE,'Hulp (CAO''s)'!$D$3:$D$6,0)) &amp; "'!A:A"),0)
        &amp; ":H" &amp;
        IF(I54&lt;&gt;"",
            MATCH(I54, INDIRECT("'" &amp; INDEX('Hulp (CAO''s)'!$C$3:$C$6,
                MATCH(TRUE,'Hulp (CAO''s)'!$D$3:$D$6,0)) &amp; "'!A:A"),0)-1,
            1000
        )
    )
) * H55
),
IF(
    IFERROR(MIN(
        IF(
            (TRIM(INDIRECT("'" &amp; INDEX('Hulp (CAO''s)'!$C$3:$C$6,
                MATCH(TRUE,'Hulp (CAO''s)'!$D$3:$D$6,0)) &amp; "'!B1:B1000")) = TEXT(H56,"0")) *
            (ROW(INDIRECT("'" &amp; INDEX('Hulp (CAO''s)'!$C$3:$C$6,
                MATCH(TRUE,'Hulp (CAO''s)'!$D$3:$D$6,0)) &amp; "'!B1:B1000")) &gt; MATCH(
                H54,
                INDIRECT("'" &amp; INDEX('Hulp (CAO''s)'!$C$3:$C$6,
                    MATCH(TRUE,'Hulp (CAO''s)'!$D$3:$D$6,0)) &amp; "'!A:A"),
                0
            )) *
            IF(
                I54="",
                1,
                (ROW(INDIRECT("'" &amp; INDEX('Hulp (CAO''s)'!$C$3:$C$6,
                    MATCH(TRUE,'Hulp (CAO''s)'!$D$3:$D$6,0)) &amp; "'!B1:B1000")) &lt; MATCH(
                    I54,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TEXT(H56,"0")) *
                (ROW(INDIRECT("'" &amp; INDEX('Hulp (CAO''s)'!$C$3:$C$6,
                    MATCH(TRUE,'Hulp (CAO''s)'!$D$3:$D$6,0)) &amp; "'!B1:B1000")) &gt; MATCH(
                    H54,
                    INDIRECT("'" &amp; INDEX('Hulp (CAO''s)'!$C$3:$C$6,
                        MATCH(TRUE,'Hulp (CAO''s)'!$D$3:$D$6,0)) &amp; "'!A:A"),
                    0
                )) *
                IF(
                    I54="",
                    1,
                    (ROW(INDIRECT("'" &amp; INDEX('Hulp (CAO''s)'!$C$3:$C$6,
                        MATCH(TRUE,'Hulp (CAO''s)'!$D$3:$D$6,0)) &amp; "'!B1:B1000")) &lt; MATCH(
                        I54,
                        INDIRECT("'" &amp; INDEX('Hulp (CAO''s)'!$C$3:$C$6,
                            MATCH(TRUE,'Hulp (CAO''s)'!$D$3:$D$6,0)) &amp; "'!A:A"),
                        0
                    ))
                ),
                ROW(INDIRECT("'" &amp; INDEX('Hulp (CAO''s)'!$C$3:$C$6,
                    MATCH(TRUE,'Hulp (CAO''s)'!$D$3:$D$6,0)) &amp; "'!B1:B1000"))
            )
        ),0)
    )
))</f>
        <v/>
      </c>
      <c r="I57" s="86" t="str">
        <f t="array" aca="1" ref="I57" ca="1">IF($B56="Gebruik % van maximum trede",
IF(
    OR(I54="",I55=""),
    "",
    MAX(
    INDIRECT("'" &amp; INDEX('Hulp (CAO''s)'!$C$3:$C$6,
        MATCH(TRUE,'Hulp (CAO''s)'!$D$3:$D$6,0)) &amp; "'!" &amp;
        INDEX('Hulp (CAO''s)'!$H$3:$H$6,
            MATCH(TRUE,'Hulp (CAO''s)'!$D$3:$D$6,0))
        &amp;
        MATCH(I54, INDIRECT("'" &amp; INDEX('Hulp (CAO''s)'!$C$3:$C$6,
            MATCH(TRUE,'Hulp (CAO''s)'!$D$3:$D$6,0)) &amp; "'!A:A"),0)
        &amp; ":H" &amp;
        IF(J54&lt;&gt;"",
            MATCH(J54, INDIRECT("'" &amp; INDEX('Hulp (CAO''s)'!$C$3:$C$6,
                MATCH(TRUE,'Hulp (CAO''s)'!$D$3:$D$6,0)) &amp; "'!A:A"),0)-1,
            1000
        )
    )
) * I55
),
IF(
    IFERROR(MIN(
        IF(
            (TRIM(INDIRECT("'" &amp; INDEX('Hulp (CAO''s)'!$C$3:$C$6,
                MATCH(TRUE,'Hulp (CAO''s)'!$D$3:$D$6,0)) &amp; "'!B1:B1000")) = TEXT(I56,"0")) *
            (ROW(INDIRECT("'" &amp; INDEX('Hulp (CAO''s)'!$C$3:$C$6,
                MATCH(TRUE,'Hulp (CAO''s)'!$D$3:$D$6,0)) &amp; "'!B1:B1000")) &gt; MATCH(
                I54,
                INDIRECT("'" &amp; INDEX('Hulp (CAO''s)'!$C$3:$C$6,
                    MATCH(TRUE,'Hulp (CAO''s)'!$D$3:$D$6,0)) &amp; "'!A:A"),
                0
            )) *
            IF(
                J54="",
                1,
                (ROW(INDIRECT("'" &amp; INDEX('Hulp (CAO''s)'!$C$3:$C$6,
                    MATCH(TRUE,'Hulp (CAO''s)'!$D$3:$D$6,0)) &amp; "'!B1:B1000")) &lt; MATCH(
                    J54,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TEXT(I56,"0")) *
                (ROW(INDIRECT("'" &amp; INDEX('Hulp (CAO''s)'!$C$3:$C$6,
                    MATCH(TRUE,'Hulp (CAO''s)'!$D$3:$D$6,0)) &amp; "'!B1:B1000")) &gt; MATCH(
                    I54,
                    INDIRECT("'" &amp; INDEX('Hulp (CAO''s)'!$C$3:$C$6,
                        MATCH(TRUE,'Hulp (CAO''s)'!$D$3:$D$6,0)) &amp; "'!A:A"),
                    0
                )) *
                IF(
                    J54="",
                    1,
                    (ROW(INDIRECT("'" &amp; INDEX('Hulp (CAO''s)'!$C$3:$C$6,
                        MATCH(TRUE,'Hulp (CAO''s)'!$D$3:$D$6,0)) &amp; "'!B1:B1000")) &lt; MATCH(
                        J54,
                        INDIRECT("'" &amp; INDEX('Hulp (CAO''s)'!$C$3:$C$6,
                            MATCH(TRUE,'Hulp (CAO''s)'!$D$3:$D$6,0)) &amp; "'!A:A"),
                        0
                    ))
                ),
                ROW(INDIRECT("'" &amp; INDEX('Hulp (CAO''s)'!$C$3:$C$6,
                    MATCH(TRUE,'Hulp (CAO''s)'!$D$3:$D$6,0)) &amp; "'!B1:B1000"))
            )
        ),0)
    )
))</f>
        <v/>
      </c>
      <c r="J57" s="86" t="str">
        <f t="array" aca="1" ref="J57" ca="1">IF($B56="Gebruik % van maximum trede",
IF(
    OR(J54="",J55=""),
    "",
    MAX(
    INDIRECT("'" &amp; INDEX('Hulp (CAO''s)'!$C$3:$C$6,
        MATCH(TRUE,'Hulp (CAO''s)'!$D$3:$D$6,0)) &amp; "'!" &amp;
        INDEX('Hulp (CAO''s)'!$H$3:$H$6,
            MATCH(TRUE,'Hulp (CAO''s)'!$D$3:$D$6,0))
        &amp;
        MATCH(J54, INDIRECT("'" &amp; INDEX('Hulp (CAO''s)'!$C$3:$C$6,
            MATCH(TRUE,'Hulp (CAO''s)'!$D$3:$D$6,0)) &amp; "'!A:A"),0)
        &amp; ":H" &amp;
        IF(K54&lt;&gt;"",
            MATCH(K54, INDIRECT("'" &amp; INDEX('Hulp (CAO''s)'!$C$3:$C$6,
                MATCH(TRUE,'Hulp (CAO''s)'!$D$3:$D$6,0)) &amp; "'!A:A"),0)-1,
            1000
        )
    )
) * J55
),
IF(
    IFERROR(MIN(
        IF(
            (TRIM(INDIRECT("'" &amp; INDEX('Hulp (CAO''s)'!$C$3:$C$6,
                MATCH(TRUE,'Hulp (CAO''s)'!$D$3:$D$6,0)) &amp; "'!B1:B1000")) = TEXT(J56,"0")) *
            (ROW(INDIRECT("'" &amp; INDEX('Hulp (CAO''s)'!$C$3:$C$6,
                MATCH(TRUE,'Hulp (CAO''s)'!$D$3:$D$6,0)) &amp; "'!B1:B1000")) &gt; MATCH(
                J54,
                INDIRECT("'" &amp; INDEX('Hulp (CAO''s)'!$C$3:$C$6,
                    MATCH(TRUE,'Hulp (CAO''s)'!$D$3:$D$6,0)) &amp; "'!A:A"),
                0
            )) *
            IF(
                K54="",
                1,
                (ROW(INDIRECT("'" &amp; INDEX('Hulp (CAO''s)'!$C$3:$C$6,
                    MATCH(TRUE,'Hulp (CAO''s)'!$D$3:$D$6,0)) &amp; "'!B1:B1000")) &lt; MATCH(
                    K54,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TEXT(J56,"0")) *
                (ROW(INDIRECT("'" &amp; INDEX('Hulp (CAO''s)'!$C$3:$C$6,
                    MATCH(TRUE,'Hulp (CAO''s)'!$D$3:$D$6,0)) &amp; "'!B1:B1000")) &gt; MATCH(
                    J54,
                    INDIRECT("'" &amp; INDEX('Hulp (CAO''s)'!$C$3:$C$6,
                        MATCH(TRUE,'Hulp (CAO''s)'!$D$3:$D$6,0)) &amp; "'!A:A"),
                    0
                )) *
                IF(
                    K54="",
                    1,
                    (ROW(INDIRECT("'" &amp; INDEX('Hulp (CAO''s)'!$C$3:$C$6,
                        MATCH(TRUE,'Hulp (CAO''s)'!$D$3:$D$6,0)) &amp; "'!B1:B1000")) &lt; MATCH(
                        K54,
                        INDIRECT("'" &amp; INDEX('Hulp (CAO''s)'!$C$3:$C$6,
                            MATCH(TRUE,'Hulp (CAO''s)'!$D$3:$D$6,0)) &amp; "'!A:A"),
                        0
                    ))
                ),
                ROW(INDIRECT("'" &amp; INDEX('Hulp (CAO''s)'!$C$3:$C$6,
                    MATCH(TRUE,'Hulp (CAO''s)'!$D$3:$D$6,0)) &amp; "'!B1:B1000"))
            )
        ),0)
    )
))</f>
        <v/>
      </c>
      <c r="K57" s="86" t="str">
        <f t="array" aca="1" ref="K57" ca="1">IF($B56="Gebruik % van maximum trede",
IF(
    OR(K54="",K55=""),
    "",
    MAX(
    INDIRECT("'" &amp; INDEX('Hulp (CAO''s)'!$C$3:$C$6,
        MATCH(TRUE,'Hulp (CAO''s)'!$D$3:$D$6,0)) &amp; "'!" &amp;
        INDEX('Hulp (CAO''s)'!$H$3:$H$6,
            MATCH(TRUE,'Hulp (CAO''s)'!$D$3:$D$6,0))
        &amp;
        MATCH(K54, INDIRECT("'" &amp; INDEX('Hulp (CAO''s)'!$C$3:$C$6,
            MATCH(TRUE,'Hulp (CAO''s)'!$D$3:$D$6,0)) &amp; "'!A:A"),0)
        &amp; ":H" &amp;
        IF(L54&lt;&gt;"",
            MATCH(L54, INDIRECT("'" &amp; INDEX('Hulp (CAO''s)'!$C$3:$C$6,
                MATCH(TRUE,'Hulp (CAO''s)'!$D$3:$D$6,0)) &amp; "'!A:A"),0)-1,
            1000
        )
    )
) * K55
),
IF(
    IFERROR(MIN(
        IF(
            (TRIM(INDIRECT("'" &amp; INDEX('Hulp (CAO''s)'!$C$3:$C$6,
                MATCH(TRUE,'Hulp (CAO''s)'!$D$3:$D$6,0)) &amp; "'!B1:B1000")) = TEXT(K56,"0")) *
            (ROW(INDIRECT("'" &amp; INDEX('Hulp (CAO''s)'!$C$3:$C$6,
                MATCH(TRUE,'Hulp (CAO''s)'!$D$3:$D$6,0)) &amp; "'!B1:B1000")) &gt; MATCH(
                K54,
                INDIRECT("'" &amp; INDEX('Hulp (CAO''s)'!$C$3:$C$6,
                    MATCH(TRUE,'Hulp (CAO''s)'!$D$3:$D$6,0)) &amp; "'!A:A"),
                0
            )) *
            IF(
                L54="",
                1,
                (ROW(INDIRECT("'" &amp; INDEX('Hulp (CAO''s)'!$C$3:$C$6,
                    MATCH(TRUE,'Hulp (CAO''s)'!$D$3:$D$6,0)) &amp; "'!B1:B1000")) &lt; MATCH(
                    L54,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TEXT(K56,"0")) *
                (ROW(INDIRECT("'" &amp; INDEX('Hulp (CAO''s)'!$C$3:$C$6,
                    MATCH(TRUE,'Hulp (CAO''s)'!$D$3:$D$6,0)) &amp; "'!B1:B1000")) &gt; MATCH(
                    K54,
                    INDIRECT("'" &amp; INDEX('Hulp (CAO''s)'!$C$3:$C$6,
                        MATCH(TRUE,'Hulp (CAO''s)'!$D$3:$D$6,0)) &amp; "'!A:A"),
                    0
                )) *
                IF(
                    L54="",
                    1,
                    (ROW(INDIRECT("'" &amp; INDEX('Hulp (CAO''s)'!$C$3:$C$6,
                        MATCH(TRUE,'Hulp (CAO''s)'!$D$3:$D$6,0)) &amp; "'!B1:B1000")) &lt; MATCH(
                        L54,
                        INDIRECT("'" &amp; INDEX('Hulp (CAO''s)'!$C$3:$C$6,
                            MATCH(TRUE,'Hulp (CAO''s)'!$D$3:$D$6,0)) &amp; "'!A:A"),
                        0
                    ))
                ),
                ROW(INDIRECT("'" &amp; INDEX('Hulp (CAO''s)'!$C$3:$C$6,
                    MATCH(TRUE,'Hulp (CAO''s)'!$D$3:$D$6,0)) &amp; "'!B1:B1000"))
            )
        ),0)
    )
))</f>
        <v/>
      </c>
      <c r="L57" s="86" t="str">
        <f t="array" aca="1" ref="L57" ca="1">IF($B56="Gebruik % van maximum trede",
IF(
    OR(L54="",L55=""),
    "",
    MAX(
    INDIRECT("'" &amp; INDEX('Hulp (CAO''s)'!$C$3:$C$6,
        MATCH(TRUE,'Hulp (CAO''s)'!$D$3:$D$6,0)) &amp; "'!" &amp;
        INDEX('Hulp (CAO''s)'!$H$3:$H$6,
            MATCH(TRUE,'Hulp (CAO''s)'!$D$3:$D$6,0))
        &amp;
        MATCH(L54, INDIRECT("'" &amp; INDEX('Hulp (CAO''s)'!$C$3:$C$6,
            MATCH(TRUE,'Hulp (CAO''s)'!$D$3:$D$6,0)) &amp; "'!A:A"),0)
        &amp; ":H" &amp;
        IF(M54&lt;&gt;"",
            MATCH(M54, INDIRECT("'" &amp; INDEX('Hulp (CAO''s)'!$C$3:$C$6,
                MATCH(TRUE,'Hulp (CAO''s)'!$D$3:$D$6,0)) &amp; "'!A:A"),0)-1,
            1000
        )
    )
) * L55
),
IF(
    IFERROR(MIN(
        IF(
            (TRIM(INDIRECT("'" &amp; INDEX('Hulp (CAO''s)'!$C$3:$C$6,
                MATCH(TRUE,'Hulp (CAO''s)'!$D$3:$D$6,0)) &amp; "'!B1:B1000")) = TEXT(L56,"0")) *
            (ROW(INDIRECT("'" &amp; INDEX('Hulp (CAO''s)'!$C$3:$C$6,
                MATCH(TRUE,'Hulp (CAO''s)'!$D$3:$D$6,0)) &amp; "'!B1:B1000")) &gt; MATCH(
                L54,
                INDIRECT("'" &amp; INDEX('Hulp (CAO''s)'!$C$3:$C$6,
                    MATCH(TRUE,'Hulp (CAO''s)'!$D$3:$D$6,0)) &amp; "'!A:A"),
                0
            )) *
            IF(
                M54="",
                1,
                (ROW(INDIRECT("'" &amp; INDEX('Hulp (CAO''s)'!$C$3:$C$6,
                    MATCH(TRUE,'Hulp (CAO''s)'!$D$3:$D$6,0)) &amp; "'!B1:B1000")) &lt; MATCH(
                    M54,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TEXT(L56,"0")) *
                (ROW(INDIRECT("'" &amp; INDEX('Hulp (CAO''s)'!$C$3:$C$6,
                    MATCH(TRUE,'Hulp (CAO''s)'!$D$3:$D$6,0)) &amp; "'!B1:B1000")) &gt; MATCH(
                    L54,
                    INDIRECT("'" &amp; INDEX('Hulp (CAO''s)'!$C$3:$C$6,
                        MATCH(TRUE,'Hulp (CAO''s)'!$D$3:$D$6,0)) &amp; "'!A:A"),
                    0
                )) *
                IF(
                    M54="",
                    1,
                    (ROW(INDIRECT("'" &amp; INDEX('Hulp (CAO''s)'!$C$3:$C$6,
                        MATCH(TRUE,'Hulp (CAO''s)'!$D$3:$D$6,0)) &amp; "'!B1:B1000")) &lt; MATCH(
                        M54,
                        INDIRECT("'" &amp; INDEX('Hulp (CAO''s)'!$C$3:$C$6,
                            MATCH(TRUE,'Hulp (CAO''s)'!$D$3:$D$6,0)) &amp; "'!A:A"),
                        0
                    ))
                ),
                ROW(INDIRECT("'" &amp; INDEX('Hulp (CAO''s)'!$C$3:$C$6,
                    MATCH(TRUE,'Hulp (CAO''s)'!$D$3:$D$6,0)) &amp; "'!B1:B1000"))
            )
        ),0)
    )
))</f>
        <v/>
      </c>
      <c r="M57" s="86" t="str">
        <f t="array" aca="1" ref="M57" ca="1">IF($B56="Gebruik % van maximum trede",
IF(
    OR(M54="",M55=""),
    "",
    MAX(
    INDIRECT("'" &amp; INDEX('Hulp (CAO''s)'!$C$3:$C$6,
        MATCH(TRUE,'Hulp (CAO''s)'!$D$3:$D$6,0)) &amp; "'!" &amp;
        INDEX('Hulp (CAO''s)'!$H$3:$H$6,
            MATCH(TRUE,'Hulp (CAO''s)'!$D$3:$D$6,0))
        &amp;
        MATCH(M54, INDIRECT("'" &amp; INDEX('Hulp (CAO''s)'!$C$3:$C$6,
            MATCH(TRUE,'Hulp (CAO''s)'!$D$3:$D$6,0)) &amp; "'!A:A"),0)
        &amp; ":H" &amp;
        IF(N54&lt;&gt;"",
            MATCH(N54, INDIRECT("'" &amp; INDEX('Hulp (CAO''s)'!$C$3:$C$6,
                MATCH(TRUE,'Hulp (CAO''s)'!$D$3:$D$6,0)) &amp; "'!A:A"),0)-1,
            1000
        )
    )
) * M55
),
IF(
    IFERROR(MIN(
        IF(
            (TRIM(INDIRECT("'" &amp; INDEX('Hulp (CAO''s)'!$C$3:$C$6,
                MATCH(TRUE,'Hulp (CAO''s)'!$D$3:$D$6,0)) &amp; "'!B1:B1000")) = TEXT(M56,"0")) *
            (ROW(INDIRECT("'" &amp; INDEX('Hulp (CAO''s)'!$C$3:$C$6,
                MATCH(TRUE,'Hulp (CAO''s)'!$D$3:$D$6,0)) &amp; "'!B1:B1000")) &gt; MATCH(
                M54,
                INDIRECT("'" &amp; INDEX('Hulp (CAO''s)'!$C$3:$C$6,
                    MATCH(TRUE,'Hulp (CAO''s)'!$D$3:$D$6,0)) &amp; "'!A:A"),
                0
            )) *
            IF(
                N54="",
                1,
                (ROW(INDIRECT("'" &amp; INDEX('Hulp (CAO''s)'!$C$3:$C$6,
                    MATCH(TRUE,'Hulp (CAO''s)'!$D$3:$D$6,0)) &amp; "'!B1:B1000")) &lt; MATCH(
                    N54,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TEXT(M56,"0")) *
                (ROW(INDIRECT("'" &amp; INDEX('Hulp (CAO''s)'!$C$3:$C$6,
                    MATCH(TRUE,'Hulp (CAO''s)'!$D$3:$D$6,0)) &amp; "'!B1:B1000")) &gt; MATCH(
                    M54,
                    INDIRECT("'" &amp; INDEX('Hulp (CAO''s)'!$C$3:$C$6,
                        MATCH(TRUE,'Hulp (CAO''s)'!$D$3:$D$6,0)) &amp; "'!A:A"),
                    0
                )) *
                IF(
                    N54="",
                    1,
                    (ROW(INDIRECT("'" &amp; INDEX('Hulp (CAO''s)'!$C$3:$C$6,
                        MATCH(TRUE,'Hulp (CAO''s)'!$D$3:$D$6,0)) &amp; "'!B1:B1000")) &lt; MATCH(
                        N54,
                        INDIRECT("'" &amp; INDEX('Hulp (CAO''s)'!$C$3:$C$6,
                            MATCH(TRUE,'Hulp (CAO''s)'!$D$3:$D$6,0)) &amp; "'!A:A"),
                        0
                    ))
                ),
                ROW(INDIRECT("'" &amp; INDEX('Hulp (CAO''s)'!$C$3:$C$6,
                    MATCH(TRUE,'Hulp (CAO''s)'!$D$3:$D$6,0)) &amp; "'!B1:B1000"))
            )
        ),0)
    )
))</f>
        <v/>
      </c>
      <c r="N57" s="86" t="str">
        <f t="array" aca="1" ref="N57" ca="1">IF($B56="Gebruik % van maximum trede",
IF(
    OR(N54="",N55=""),
    "",
    MAX(
    INDIRECT("'" &amp; INDEX('Hulp (CAO''s)'!$C$3:$C$6,
        MATCH(TRUE,'Hulp (CAO''s)'!$D$3:$D$6,0)) &amp; "'!" &amp;
        INDEX('Hulp (CAO''s)'!$H$3:$H$6,
            MATCH(TRUE,'Hulp (CAO''s)'!$D$3:$D$6,0))
        &amp;
        MATCH(N54, INDIRECT("'" &amp; INDEX('Hulp (CAO''s)'!$C$3:$C$6,
            MATCH(TRUE,'Hulp (CAO''s)'!$D$3:$D$6,0)) &amp; "'!A:A"),0)
        &amp; ":H" &amp;
        IF(O54&lt;&gt;"",
            MATCH(O54, INDIRECT("'" &amp; INDEX('Hulp (CAO''s)'!$C$3:$C$6,
                MATCH(TRUE,'Hulp (CAO''s)'!$D$3:$D$6,0)) &amp; "'!A:A"),0)-1,
            1000
        )
    )
) * N55
),
IF(
    IFERROR(MIN(
        IF(
            (TRIM(INDIRECT("'" &amp; INDEX('Hulp (CAO''s)'!$C$3:$C$6,
                MATCH(TRUE,'Hulp (CAO''s)'!$D$3:$D$6,0)) &amp; "'!B1:B1000")) = TEXT(N56,"0")) *
            (ROW(INDIRECT("'" &amp; INDEX('Hulp (CAO''s)'!$C$3:$C$6,
                MATCH(TRUE,'Hulp (CAO''s)'!$D$3:$D$6,0)) &amp; "'!B1:B1000")) &gt; MATCH(
                N54,
                INDIRECT("'" &amp; INDEX('Hulp (CAO''s)'!$C$3:$C$6,
                    MATCH(TRUE,'Hulp (CAO''s)'!$D$3:$D$6,0)) &amp; "'!A:A"),
                0
            )) *
            IF(
                O54="",
                1,
                (ROW(INDIRECT("'" &amp; INDEX('Hulp (CAO''s)'!$C$3:$C$6,
                    MATCH(TRUE,'Hulp (CAO''s)'!$D$3:$D$6,0)) &amp; "'!B1:B1000")) &lt; MATCH(
                    O54,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TEXT(N56,"0")) *
                (ROW(INDIRECT("'" &amp; INDEX('Hulp (CAO''s)'!$C$3:$C$6,
                    MATCH(TRUE,'Hulp (CAO''s)'!$D$3:$D$6,0)) &amp; "'!B1:B1000")) &gt; MATCH(
                    N54,
                    INDIRECT("'" &amp; INDEX('Hulp (CAO''s)'!$C$3:$C$6,
                        MATCH(TRUE,'Hulp (CAO''s)'!$D$3:$D$6,0)) &amp; "'!A:A"),
                    0
                )) *
                IF(
                    O54="",
                    1,
                    (ROW(INDIRECT("'" &amp; INDEX('Hulp (CAO''s)'!$C$3:$C$6,
                        MATCH(TRUE,'Hulp (CAO''s)'!$D$3:$D$6,0)) &amp; "'!B1:B1000")) &lt; MATCH(
                        O54,
                        INDIRECT("'" &amp; INDEX('Hulp (CAO''s)'!$C$3:$C$6,
                            MATCH(TRUE,'Hulp (CAO''s)'!$D$3:$D$6,0)) &amp; "'!A:A"),
                        0
                    ))
                ),
                ROW(INDIRECT("'" &amp; INDEX('Hulp (CAO''s)'!$C$3:$C$6,
                    MATCH(TRUE,'Hulp (CAO''s)'!$D$3:$D$6,0)) &amp; "'!B1:B1000"))
            )
        ),0)
    )
))</f>
        <v/>
      </c>
      <c r="O57" s="86" t="str">
        <f t="array" aca="1" ref="O57" ca="1">IF($B56="Gebruik % van maximum trede",
IF(
    OR(O54="",O55=""),
    "",
    MAX(
    INDIRECT("'" &amp; INDEX('Hulp (CAO''s)'!$C$3:$C$6,
        MATCH(TRUE,'Hulp (CAO''s)'!$D$3:$D$6,0)) &amp; "'!" &amp;
        INDEX('Hulp (CAO''s)'!$H$3:$H$6,
            MATCH(TRUE,'Hulp (CAO''s)'!$D$3:$D$6,0))
        &amp;
        MATCH(O54, INDIRECT("'" &amp; INDEX('Hulp (CAO''s)'!$C$3:$C$6,
            MATCH(TRUE,'Hulp (CAO''s)'!$D$3:$D$6,0)) &amp; "'!A:A"),0)
        &amp; ":H" &amp;
        IF(P54&lt;&gt;"",
            MATCH(P54, INDIRECT("'" &amp; INDEX('Hulp (CAO''s)'!$C$3:$C$6,
                MATCH(TRUE,'Hulp (CAO''s)'!$D$3:$D$6,0)) &amp; "'!A:A"),0)-1,
            1000
        )
    )
) * O55
),
IF(
    IFERROR(MIN(
        IF(
            (TRIM(INDIRECT("'" &amp; INDEX('Hulp (CAO''s)'!$C$3:$C$6,
                MATCH(TRUE,'Hulp (CAO''s)'!$D$3:$D$6,0)) &amp; "'!B1:B1000")) = TEXT(O56,"0")) *
            (ROW(INDIRECT("'" &amp; INDEX('Hulp (CAO''s)'!$C$3:$C$6,
                MATCH(TRUE,'Hulp (CAO''s)'!$D$3:$D$6,0)) &amp; "'!B1:B1000")) &gt; MATCH(
                O54,
                INDIRECT("'" &amp; INDEX('Hulp (CAO''s)'!$C$3:$C$6,
                    MATCH(TRUE,'Hulp (CAO''s)'!$D$3:$D$6,0)) &amp; "'!A:A"),
                0
            )) *
            IF(
                P54="",
                1,
                (ROW(INDIRECT("'" &amp; INDEX('Hulp (CAO''s)'!$C$3:$C$6,
                    MATCH(TRUE,'Hulp (CAO''s)'!$D$3:$D$6,0)) &amp; "'!B1:B1000")) &lt; MATCH(
                    P54,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TEXT(O56,"0")) *
                (ROW(INDIRECT("'" &amp; INDEX('Hulp (CAO''s)'!$C$3:$C$6,
                    MATCH(TRUE,'Hulp (CAO''s)'!$D$3:$D$6,0)) &amp; "'!B1:B1000")) &gt; MATCH(
                    O54,
                    INDIRECT("'" &amp; INDEX('Hulp (CAO''s)'!$C$3:$C$6,
                        MATCH(TRUE,'Hulp (CAO''s)'!$D$3:$D$6,0)) &amp; "'!A:A"),
                    0
                )) *
                IF(
                    P54="",
                    1,
                    (ROW(INDIRECT("'" &amp; INDEX('Hulp (CAO''s)'!$C$3:$C$6,
                        MATCH(TRUE,'Hulp (CAO''s)'!$D$3:$D$6,0)) &amp; "'!B1:B1000")) &lt; MATCH(
                        P54,
                        INDIRECT("'" &amp; INDEX('Hulp (CAO''s)'!$C$3:$C$6,
                            MATCH(TRUE,'Hulp (CAO''s)'!$D$3:$D$6,0)) &amp; "'!A:A"),
                        0
                    ))
                ),
                ROW(INDIRECT("'" &amp; INDEX('Hulp (CAO''s)'!$C$3:$C$6,
                    MATCH(TRUE,'Hulp (CAO''s)'!$D$3:$D$6,0)) &amp; "'!B1:B1000"))
            )
        ),0)
    )
))</f>
        <v/>
      </c>
      <c r="P57" s="86" t="str">
        <f t="array" aca="1" ref="P57" ca="1">IF($B56="Gebruik % van maximum trede",
IF(
    OR(P54="",P55=""),
    "",
    MAX(
    INDIRECT("'" &amp; INDEX('Hulp (CAO''s)'!$C$3:$C$6,
        MATCH(TRUE,'Hulp (CAO''s)'!$D$3:$D$6,0)) &amp; "'!" &amp;
        INDEX('Hulp (CAO''s)'!$H$3:$H$6,
            MATCH(TRUE,'Hulp (CAO''s)'!$D$3:$D$6,0))
        &amp;
        MATCH(P54, INDIRECT("'" &amp; INDEX('Hulp (CAO''s)'!$C$3:$C$6,
            MATCH(TRUE,'Hulp (CAO''s)'!$D$3:$D$6,0)) &amp; "'!A:A"),0)
        &amp; ":H" &amp;
        IF(Q54&lt;&gt;"",
            MATCH(Q54, INDIRECT("'" &amp; INDEX('Hulp (CAO''s)'!$C$3:$C$6,
                MATCH(TRUE,'Hulp (CAO''s)'!$D$3:$D$6,0)) &amp; "'!A:A"),0)-1,
            1000
        )
    )
) * P55
),
IF(
    IFERROR(MIN(
        IF(
            (TRIM(INDIRECT("'" &amp; INDEX('Hulp (CAO''s)'!$C$3:$C$6,
                MATCH(TRUE,'Hulp (CAO''s)'!$D$3:$D$6,0)) &amp; "'!B1:B1000")) = TEXT(P56,"0")) *
            (ROW(INDIRECT("'" &amp; INDEX('Hulp (CAO''s)'!$C$3:$C$6,
                MATCH(TRUE,'Hulp (CAO''s)'!$D$3:$D$6,0)) &amp; "'!B1:B1000")) &gt; MATCH(
                P54,
                INDIRECT("'" &amp; INDEX('Hulp (CAO''s)'!$C$3:$C$6,
                    MATCH(TRUE,'Hulp (CAO''s)'!$D$3:$D$6,0)) &amp; "'!A:A"),
                0
            )) *
            IF(
                Q54="",
                1,
                (ROW(INDIRECT("'" &amp; INDEX('Hulp (CAO''s)'!$C$3:$C$6,
                    MATCH(TRUE,'Hulp (CAO''s)'!$D$3:$D$6,0)) &amp; "'!B1:B1000")) &lt; MATCH(
                    Q54,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TEXT(P56,"0")) *
                (ROW(INDIRECT("'" &amp; INDEX('Hulp (CAO''s)'!$C$3:$C$6,
                    MATCH(TRUE,'Hulp (CAO''s)'!$D$3:$D$6,0)) &amp; "'!B1:B1000")) &gt; MATCH(
                    P54,
                    INDIRECT("'" &amp; INDEX('Hulp (CAO''s)'!$C$3:$C$6,
                        MATCH(TRUE,'Hulp (CAO''s)'!$D$3:$D$6,0)) &amp; "'!A:A"),
                    0
                )) *
                IF(
                    Q54="",
                    1,
                    (ROW(INDIRECT("'" &amp; INDEX('Hulp (CAO''s)'!$C$3:$C$6,
                        MATCH(TRUE,'Hulp (CAO''s)'!$D$3:$D$6,0)) &amp; "'!B1:B1000")) &lt; MATCH(
                        Q54,
                        INDIRECT("'" &amp; INDEX('Hulp (CAO''s)'!$C$3:$C$6,
                            MATCH(TRUE,'Hulp (CAO''s)'!$D$3:$D$6,0)) &amp; "'!A:A"),
                        0
                    ))
                ),
                ROW(INDIRECT("'" &amp; INDEX('Hulp (CAO''s)'!$C$3:$C$6,
                    MATCH(TRUE,'Hulp (CAO''s)'!$D$3:$D$6,0)) &amp; "'!B1:B1000"))
            )
        ),0)
    )
))</f>
        <v/>
      </c>
      <c r="Q57" s="86" t="str">
        <f t="array" aca="1" ref="Q57" ca="1">IF($B56="Gebruik % van maximum trede",
IF(
    OR(Q54="",Q55=""),
    "",
    MAX(
    INDIRECT("'" &amp; INDEX('Hulp (CAO''s)'!$C$3:$C$6,
        MATCH(TRUE,'Hulp (CAO''s)'!$D$3:$D$6,0)) &amp; "'!" &amp;
        INDEX('Hulp (CAO''s)'!$H$3:$H$6,
            MATCH(TRUE,'Hulp (CAO''s)'!$D$3:$D$6,0))
        &amp;
        MATCH(Q54, INDIRECT("'" &amp; INDEX('Hulp (CAO''s)'!$C$3:$C$6,
            MATCH(TRUE,'Hulp (CAO''s)'!$D$3:$D$6,0)) &amp; "'!A:A"),0)
        &amp; ":H" &amp;
        IF(R54&lt;&gt;"",
            MATCH(R54, INDIRECT("'" &amp; INDEX('Hulp (CAO''s)'!$C$3:$C$6,
                MATCH(TRUE,'Hulp (CAO''s)'!$D$3:$D$6,0)) &amp; "'!A:A"),0)-1,
            1000
        )
    )
) * Q55
),
IF(
    IFERROR(MIN(
        IF(
            (TRIM(INDIRECT("'" &amp; INDEX('Hulp (CAO''s)'!$C$3:$C$6,
                MATCH(TRUE,'Hulp (CAO''s)'!$D$3:$D$6,0)) &amp; "'!B1:B1000")) = TEXT(Q56,"0")) *
            (ROW(INDIRECT("'" &amp; INDEX('Hulp (CAO''s)'!$C$3:$C$6,
                MATCH(TRUE,'Hulp (CAO''s)'!$D$3:$D$6,0)) &amp; "'!B1:B1000")) &gt; MATCH(
                Q54,
                INDIRECT("'" &amp; INDEX('Hulp (CAO''s)'!$C$3:$C$6,
                    MATCH(TRUE,'Hulp (CAO''s)'!$D$3:$D$6,0)) &amp; "'!A:A"),
                0
            )) *
            IF(
                R54="",
                1,
                (ROW(INDIRECT("'" &amp; INDEX('Hulp (CAO''s)'!$C$3:$C$6,
                    MATCH(TRUE,'Hulp (CAO''s)'!$D$3:$D$6,0)) &amp; "'!B1:B1000")) &lt; MATCH(
                    R54,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TEXT(Q56,"0")) *
                (ROW(INDIRECT("'" &amp; INDEX('Hulp (CAO''s)'!$C$3:$C$6,
                    MATCH(TRUE,'Hulp (CAO''s)'!$D$3:$D$6,0)) &amp; "'!B1:B1000")) &gt; MATCH(
                    Q54,
                    INDIRECT("'" &amp; INDEX('Hulp (CAO''s)'!$C$3:$C$6,
                        MATCH(TRUE,'Hulp (CAO''s)'!$D$3:$D$6,0)) &amp; "'!A:A"),
                    0
                )) *
                IF(
                    R54="",
                    1,
                    (ROW(INDIRECT("'" &amp; INDEX('Hulp (CAO''s)'!$C$3:$C$6,
                        MATCH(TRUE,'Hulp (CAO''s)'!$D$3:$D$6,0)) &amp; "'!B1:B1000")) &lt; MATCH(
                        R54,
                        INDIRECT("'" &amp; INDEX('Hulp (CAO''s)'!$C$3:$C$6,
                            MATCH(TRUE,'Hulp (CAO''s)'!$D$3:$D$6,0)) &amp; "'!A:A"),
                        0
                    ))
                ),
                ROW(INDIRECT("'" &amp; INDEX('Hulp (CAO''s)'!$C$3:$C$6,
                    MATCH(TRUE,'Hulp (CAO''s)'!$D$3:$D$6,0)) &amp; "'!B1:B1000"))
            )
        ),0)
    )
))</f>
        <v/>
      </c>
      <c r="R57" s="86" t="str">
        <f t="array" aca="1" ref="R57" ca="1">IF($B56="Gebruik % van maximum trede",
IF(
    OR(R54="",R55=""),
    "",
    MAX(
    INDIRECT("'" &amp; INDEX('Hulp (CAO''s)'!$C$3:$C$6,
        MATCH(TRUE,'Hulp (CAO''s)'!$D$3:$D$6,0)) &amp; "'!" &amp;
        INDEX('Hulp (CAO''s)'!$H$3:$H$6,
            MATCH(TRUE,'Hulp (CAO''s)'!$D$3:$D$6,0))
        &amp;
        MATCH(R54, INDIRECT("'" &amp; INDEX('Hulp (CAO''s)'!$C$3:$C$6,
            MATCH(TRUE,'Hulp (CAO''s)'!$D$3:$D$6,0)) &amp; "'!A:A"),0)
        &amp; ":H" &amp;
        IF(S54&lt;&gt;"",
            MATCH(S54, INDIRECT("'" &amp; INDEX('Hulp (CAO''s)'!$C$3:$C$6,
                MATCH(TRUE,'Hulp (CAO''s)'!$D$3:$D$6,0)) &amp; "'!A:A"),0)-1,
            1000
        )
    )
) * R55
),
IF(
    IFERROR(MIN(
        IF(
            (TRIM(INDIRECT("'" &amp; INDEX('Hulp (CAO''s)'!$C$3:$C$6,
                MATCH(TRUE,'Hulp (CAO''s)'!$D$3:$D$6,0)) &amp; "'!B1:B1000")) = TEXT(R56,"0")) *
            (ROW(INDIRECT("'" &amp; INDEX('Hulp (CAO''s)'!$C$3:$C$6,
                MATCH(TRUE,'Hulp (CAO''s)'!$D$3:$D$6,0)) &amp; "'!B1:B1000")) &gt; MATCH(
                R54,
                INDIRECT("'" &amp; INDEX('Hulp (CAO''s)'!$C$3:$C$6,
                    MATCH(TRUE,'Hulp (CAO''s)'!$D$3:$D$6,0)) &amp; "'!A:A"),
                0
            )) *
            IF(
                S54="",
                1,
                (ROW(INDIRECT("'" &amp; INDEX('Hulp (CAO''s)'!$C$3:$C$6,
                    MATCH(TRUE,'Hulp (CAO''s)'!$D$3:$D$6,0)) &amp; "'!B1:B1000")) &lt; MATCH(
                    S54,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TEXT(R56,"0")) *
                (ROW(INDIRECT("'" &amp; INDEX('Hulp (CAO''s)'!$C$3:$C$6,
                    MATCH(TRUE,'Hulp (CAO''s)'!$D$3:$D$6,0)) &amp; "'!B1:B1000")) &gt; MATCH(
                    R54,
                    INDIRECT("'" &amp; INDEX('Hulp (CAO''s)'!$C$3:$C$6,
                        MATCH(TRUE,'Hulp (CAO''s)'!$D$3:$D$6,0)) &amp; "'!A:A"),
                    0
                )) *
                IF(
                    S54="",
                    1,
                    (ROW(INDIRECT("'" &amp; INDEX('Hulp (CAO''s)'!$C$3:$C$6,
                        MATCH(TRUE,'Hulp (CAO''s)'!$D$3:$D$6,0)) &amp; "'!B1:B1000")) &lt; MATCH(
                        S54,
                        INDIRECT("'" &amp; INDEX('Hulp (CAO''s)'!$C$3:$C$6,
                            MATCH(TRUE,'Hulp (CAO''s)'!$D$3:$D$6,0)) &amp; "'!A:A"),
                        0
                    ))
                ),
                ROW(INDIRECT("'" &amp; INDEX('Hulp (CAO''s)'!$C$3:$C$6,
                    MATCH(TRUE,'Hulp (CAO''s)'!$D$3:$D$6,0)) &amp; "'!B1:B1000"))
            )
        ),0)
    )
))</f>
        <v/>
      </c>
      <c r="S57" s="86" t="str">
        <f t="array" aca="1" ref="S57" ca="1">IF($B56="Gebruik % van maximum trede",
IF(
    OR(S54="",S55=""),
    "",
    MAX(
    INDIRECT("'" &amp; INDEX('Hulp (CAO''s)'!$C$3:$C$6,
        MATCH(TRUE,'Hulp (CAO''s)'!$D$3:$D$6,0)) &amp; "'!" &amp;
        INDEX('Hulp (CAO''s)'!$H$3:$H$6,
            MATCH(TRUE,'Hulp (CAO''s)'!$D$3:$D$6,0))
        &amp;
        MATCH(S54, INDIRECT("'" &amp; INDEX('Hulp (CAO''s)'!$C$3:$C$6,
            MATCH(TRUE,'Hulp (CAO''s)'!$D$3:$D$6,0)) &amp; "'!A:A"),0)
        &amp; ":H" &amp;
        IF(T54&lt;&gt;"",
            MATCH(T54, INDIRECT("'" &amp; INDEX('Hulp (CAO''s)'!$C$3:$C$6,
                MATCH(TRUE,'Hulp (CAO''s)'!$D$3:$D$6,0)) &amp; "'!A:A"),0)-1,
            1000
        )
    )
) * S55
),
IF(
    IFERROR(MIN(
        IF(
            (TRIM(INDIRECT("'" &amp; INDEX('Hulp (CAO''s)'!$C$3:$C$6,
                MATCH(TRUE,'Hulp (CAO''s)'!$D$3:$D$6,0)) &amp; "'!B1:B1000")) = TEXT(S56,"0")) *
            (ROW(INDIRECT("'" &amp; INDEX('Hulp (CAO''s)'!$C$3:$C$6,
                MATCH(TRUE,'Hulp (CAO''s)'!$D$3:$D$6,0)) &amp; "'!B1:B1000")) &gt; MATCH(
                S54,
                INDIRECT("'" &amp; INDEX('Hulp (CAO''s)'!$C$3:$C$6,
                    MATCH(TRUE,'Hulp (CAO''s)'!$D$3:$D$6,0)) &amp; "'!A:A"),
                0
            )) *
            IF(
                T54="",
                1,
                (ROW(INDIRECT("'" &amp; INDEX('Hulp (CAO''s)'!$C$3:$C$6,
                    MATCH(TRUE,'Hulp (CAO''s)'!$D$3:$D$6,0)) &amp; "'!B1:B1000")) &lt; MATCH(
                    T54,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TEXT(S56,"0")) *
                (ROW(INDIRECT("'" &amp; INDEX('Hulp (CAO''s)'!$C$3:$C$6,
                    MATCH(TRUE,'Hulp (CAO''s)'!$D$3:$D$6,0)) &amp; "'!B1:B1000")) &gt; MATCH(
                    S54,
                    INDIRECT("'" &amp; INDEX('Hulp (CAO''s)'!$C$3:$C$6,
                        MATCH(TRUE,'Hulp (CAO''s)'!$D$3:$D$6,0)) &amp; "'!A:A"),
                    0
                )) *
                IF(
                    T54="",
                    1,
                    (ROW(INDIRECT("'" &amp; INDEX('Hulp (CAO''s)'!$C$3:$C$6,
                        MATCH(TRUE,'Hulp (CAO''s)'!$D$3:$D$6,0)) &amp; "'!B1:B1000")) &lt; MATCH(
                        T54,
                        INDIRECT("'" &amp; INDEX('Hulp (CAO''s)'!$C$3:$C$6,
                            MATCH(TRUE,'Hulp (CAO''s)'!$D$3:$D$6,0)) &amp; "'!A:A"),
                        0
                    ))
                ),
                ROW(INDIRECT("'" &amp; INDEX('Hulp (CAO''s)'!$C$3:$C$6,
                    MATCH(TRUE,'Hulp (CAO''s)'!$D$3:$D$6,0)) &amp; "'!B1:B1000"))
            )
        ),0)
    )
))</f>
        <v/>
      </c>
      <c r="T57" s="39" t="str">
        <f t="array" aca="1" ref="T57" ca="1">IF($B56="Gebruik % van maximum trede",
IF(
    OR(T54="",T55=""),
    "",
    MAX(
    INDIRECT("'" &amp; INDEX('Hulp (CAO''s)'!$C$3:$C$6,
        MATCH(TRUE,'Hulp (CAO''s)'!$D$3:$D$6,0)) &amp; "'!" &amp;
        INDEX('Hulp (CAO''s)'!$H$3:$H$6,
            MATCH(TRUE,'Hulp (CAO''s)'!$D$3:$D$6,0))
        &amp;
        MATCH(T54, INDIRECT("'" &amp; INDEX('Hulp (CAO''s)'!$C$3:$C$6,
            MATCH(TRUE,'Hulp (CAO''s)'!$D$3:$D$6,0)) &amp; "'!A:A"),0)
        &amp; ":H" &amp;
        IF(U54&lt;&gt;"",
            MATCH(U54, INDIRECT("'" &amp; INDEX('Hulp (CAO''s)'!$C$3:$C$6,
                MATCH(TRUE,'Hulp (CAO''s)'!$D$3:$D$6,0)) &amp; "'!A:A"),0)-1,
            1000
        )
    )
) * T55
),
IF(
    IFERROR(MIN(
        IF(
            (TRIM(INDIRECT("'" &amp; INDEX('Hulp (CAO''s)'!$C$3:$C$6,
                MATCH(TRUE,'Hulp (CAO''s)'!$D$3:$D$6,0)) &amp; "'!B1:B1000")) = TEXT(T56,"0")) *
            (ROW(INDIRECT("'" &amp; INDEX('Hulp (CAO''s)'!$C$3:$C$6,
                MATCH(TRUE,'Hulp (CAO''s)'!$D$3:$D$6,0)) &amp; "'!B1:B1000")) &gt; MATCH(
                T54,
                INDIRECT("'" &amp; INDEX('Hulp (CAO''s)'!$C$3:$C$6,
                    MATCH(TRUE,'Hulp (CAO''s)'!$D$3:$D$6,0)) &amp; "'!A:A"),
                0
            )) *
            IF(
                U54="",
                1,
                (ROW(INDIRECT("'" &amp; INDEX('Hulp (CAO''s)'!$C$3:$C$6,
                    MATCH(TRUE,'Hulp (CAO''s)'!$D$3:$D$6,0)) &amp; "'!B1:B1000")) &lt; MATCH(
                    U54,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TEXT(T56,"0")) *
                (ROW(INDIRECT("'" &amp; INDEX('Hulp (CAO''s)'!$C$3:$C$6,
                    MATCH(TRUE,'Hulp (CAO''s)'!$D$3:$D$6,0)) &amp; "'!B1:B1000")) &gt; MATCH(
                    T54,
                    INDIRECT("'" &amp; INDEX('Hulp (CAO''s)'!$C$3:$C$6,
                        MATCH(TRUE,'Hulp (CAO''s)'!$D$3:$D$6,0)) &amp; "'!A:A"),
                    0
                )) *
                IF(
                    U54="",
                    1,
                    (ROW(INDIRECT("'" &amp; INDEX('Hulp (CAO''s)'!$C$3:$C$6,
                        MATCH(TRUE,'Hulp (CAO''s)'!$D$3:$D$6,0)) &amp; "'!B1:B1000")) &lt; MATCH(
                        U54,
                        INDIRECT("'" &amp; INDEX('Hulp (CAO''s)'!$C$3:$C$6,
                            MATCH(TRUE,'Hulp (CAO''s)'!$D$3:$D$6,0)) &amp; "'!A:A"),
                        0
                    ))
                ),
                ROW(INDIRECT("'" &amp; INDEX('Hulp (CAO''s)'!$C$3:$C$6,
                    MATCH(TRUE,'Hulp (CAO''s)'!$D$3:$D$6,0)) &amp; "'!B1:B1000"))
            )
        ),0)
    )
))</f>
        <v/>
      </c>
      <c r="V57" s="38" t="str">
        <f t="array" aca="1" ref="V57" ca="1">IF(
   SUM(E57:T57)=0,
   "",
   (
      SUMPRODUCT(
         IF(E57:T57="",0,E57:T57),
         IF(E58:T58="",0,E58:T58) * SUM(E58:T58)
      )
   ) *
   IF(
      'Hulp (CAO''s)'!#REF!,
      IF(
         OR(
            INDEX(#REF!, ROW(#REF!) + INT((ROW()-ROW($V$8))/6)*8)="",
            ISNA(INDEX(#REF!, ROW(#REF!) + INT((ROW()-ROW($V$8))/6)*8))
         ),
         1878/12,
         INDEX(#REF!, ROW(#REF!) + INT((ROW()-ROW($V$8))/6)*8)/12
      ),
      1
   )
)</f>
        <v/>
      </c>
    </row>
    <row r="58" spans="2:24" ht="14.65" thickBot="1" x14ac:dyDescent="0.5">
      <c r="B58" s="48" t="s">
        <v>60</v>
      </c>
      <c r="D58" s="24" t="s">
        <v>59</v>
      </c>
      <c r="E58" s="8">
        <v>0.05</v>
      </c>
      <c r="F58" s="8">
        <v>0.1</v>
      </c>
      <c r="G58" s="8">
        <v>0.1</v>
      </c>
      <c r="H58" s="8">
        <v>0.15</v>
      </c>
      <c r="I58" s="8">
        <v>0.2</v>
      </c>
      <c r="J58" s="8">
        <v>0.15</v>
      </c>
      <c r="K58" s="8">
        <v>0.1</v>
      </c>
      <c r="L58" s="8">
        <v>0.05</v>
      </c>
      <c r="M58" s="8">
        <v>0.05</v>
      </c>
      <c r="N58" s="8">
        <v>0.05</v>
      </c>
      <c r="O58" s="8">
        <v>0</v>
      </c>
      <c r="P58" s="8"/>
      <c r="Q58" s="8"/>
      <c r="R58" s="8"/>
      <c r="S58" s="8"/>
      <c r="T58" s="9"/>
      <c r="U58" s="7"/>
      <c r="V58" s="37" t="str">
        <f ca="1">IF(B54="","",IF(INDIRECT("'Hulp (control forms)'!C" &amp; (13 + INT((ROW()-ROW($B$5))/6))), V56, V57))</f>
        <v/>
      </c>
      <c r="W58" s="7"/>
    </row>
    <row r="59" spans="2:24" x14ac:dyDescent="0.5">
      <c r="S59" s="7" t="str">
        <f>IF($B58="Aandeel in %",
   "Totaal: "&amp;SUM(E58:T58)*100&amp;"%",
   "Totaal: "&amp;SUM(E58:T58)&amp;" uur"
)</f>
        <v>Totaal: 100%</v>
      </c>
      <c r="T59" s="7"/>
    </row>
    <row r="60" spans="2:24" ht="16.149999999999999" thickBot="1" x14ac:dyDescent="0.55000000000000004">
      <c r="B60" s="44" t="str">
        <f ca="1">IF(B61="","",IF(
   OR(
      INDIRECT("'1a. Input organisatieniveau'!N" &amp; (14 + INT((ROW()-4)/7)))="",
      INDIRECT("'1a. Input organisatieniveau'!N" &amp; (14 + INT((ROW()-4)/7)))=0
   ),
   "",
   INDIRECT("'1a. Input organisatieniveau'!N" &amp; (14 + INT((ROW()-4)/7)))
))</f>
        <v/>
      </c>
      <c r="E60" s="61" t="str">
        <f t="shared" ref="E60:T60" ca="1" si="8">IF($B63="Gebruik % van maximum trede", IF(AND(AND(E61&lt;&gt;"",E62&lt;&gt;""),E64=""),"!",""), IF(AND(AND(E61&lt;&gt;"",E63&lt;&gt;""),E64=""),"!",""))</f>
        <v/>
      </c>
      <c r="F60" s="61" t="str">
        <f t="shared" ca="1" si="8"/>
        <v/>
      </c>
      <c r="G60" s="61" t="str">
        <f t="shared" ca="1" si="8"/>
        <v/>
      </c>
      <c r="H60" s="61" t="str">
        <f t="shared" ca="1" si="8"/>
        <v/>
      </c>
      <c r="I60" s="61" t="str">
        <f t="shared" ca="1" si="8"/>
        <v/>
      </c>
      <c r="J60" s="61" t="str">
        <f t="shared" ca="1" si="8"/>
        <v/>
      </c>
      <c r="K60" s="61" t="str">
        <f t="shared" ca="1" si="8"/>
        <v/>
      </c>
      <c r="L60" s="61" t="str">
        <f t="shared" ca="1" si="8"/>
        <v/>
      </c>
      <c r="M60" s="61" t="str">
        <f t="shared" ca="1" si="8"/>
        <v/>
      </c>
      <c r="N60" s="61" t="str">
        <f t="shared" ca="1" si="8"/>
        <v/>
      </c>
      <c r="O60" s="61" t="str">
        <f t="shared" ca="1" si="8"/>
        <v/>
      </c>
      <c r="P60" s="61" t="str">
        <f t="shared" ca="1" si="8"/>
        <v/>
      </c>
      <c r="Q60" s="61" t="str">
        <f t="shared" ca="1" si="8"/>
        <v/>
      </c>
      <c r="R60" s="61" t="str">
        <f t="shared" ca="1" si="8"/>
        <v/>
      </c>
      <c r="S60" s="61" t="str">
        <f t="shared" ca="1" si="8"/>
        <v/>
      </c>
      <c r="T60" s="61" t="str">
        <f t="shared" ca="1" si="8"/>
        <v/>
      </c>
    </row>
    <row r="61" spans="2:24" ht="16.149999999999999" thickBot="1" x14ac:dyDescent="0.55000000000000004">
      <c r="B61" s="45" t="str">
        <f ca="1">IF(
   OR(
      INDIRECT("'1a. Input organisatieniveau'!M" &amp; (14 + INT((ROW()-4)/7)))="",
      INDIRECT("'1a. Input organisatieniveau'!M" &amp; (14 + INT((ROW()-4)/7)))=0
   ),
   "",
   INDIRECT("'1a. Input organisatieniveau'!M" &amp; (14 + INT((ROW()-4)/7)))
)</f>
        <v/>
      </c>
      <c r="D61" s="22" t="s">
        <v>28</v>
      </c>
      <c r="E61" s="10" t="str">
        <f t="array" aca="1" ref="E61" ca="1">IF($B61="", "", INDEX('Hulp (CAO''s)'!J$3:J$6, MATCH(TRUE, 'Hulp (CAO''s)'!$D$3:$D$6, 0)))</f>
        <v/>
      </c>
      <c r="F61" s="10" t="str">
        <f t="array" aca="1" ref="F61" ca="1">IF($B61="", "", INDEX('Hulp (CAO''s)'!K$3:K$6, MATCH(TRUE, 'Hulp (CAO''s)'!$D$3:$D$6, 0)))</f>
        <v/>
      </c>
      <c r="G61" s="10" t="str">
        <f t="array" aca="1" ref="G61" ca="1">IF($B61="", "", INDEX('Hulp (CAO''s)'!L$3:L$6, MATCH(TRUE, 'Hulp (CAO''s)'!$D$3:$D$6, 0)))</f>
        <v/>
      </c>
      <c r="H61" s="10" t="str">
        <f t="array" aca="1" ref="H61" ca="1">IF($B61="", "", INDEX('Hulp (CAO''s)'!M$3:M$6, MATCH(TRUE, 'Hulp (CAO''s)'!$D$3:$D$6, 0)))</f>
        <v/>
      </c>
      <c r="I61" s="10" t="str">
        <f t="array" aca="1" ref="I61" ca="1">IF($B61="", "", INDEX('Hulp (CAO''s)'!N$3:N$6, MATCH(TRUE, 'Hulp (CAO''s)'!$D$3:$D$6, 0)))</f>
        <v/>
      </c>
      <c r="J61" s="10" t="str">
        <f t="array" aca="1" ref="J61" ca="1">IF($B61="", "", INDEX('Hulp (CAO''s)'!O$3:O$6, MATCH(TRUE, 'Hulp (CAO''s)'!$D$3:$D$6, 0)))</f>
        <v/>
      </c>
      <c r="K61" s="10" t="str">
        <f t="array" aca="1" ref="K61" ca="1">IF($B61="", "", INDEX('Hulp (CAO''s)'!P$3:P$6, MATCH(TRUE, 'Hulp (CAO''s)'!$D$3:$D$6, 0)))</f>
        <v/>
      </c>
      <c r="L61" s="10" t="str">
        <f t="array" aca="1" ref="L61" ca="1">IF($B61="", "", INDEX('Hulp (CAO''s)'!Q$3:Q$6, MATCH(TRUE, 'Hulp (CAO''s)'!$D$3:$D$6, 0)))</f>
        <v/>
      </c>
      <c r="M61" s="10" t="str">
        <f t="array" aca="1" ref="M61" ca="1">IF($B61="", "", INDEX('Hulp (CAO''s)'!R$3:R$6, MATCH(TRUE, 'Hulp (CAO''s)'!$D$3:$D$6, 0)))</f>
        <v/>
      </c>
      <c r="N61" s="10" t="str">
        <f t="array" aca="1" ref="N61" ca="1">IF($B61="", "", INDEX('Hulp (CAO''s)'!S$3:S$6, MATCH(TRUE, 'Hulp (CAO''s)'!$D$3:$D$6, 0)))</f>
        <v/>
      </c>
      <c r="O61" s="10" t="str">
        <f t="array" aca="1" ref="O61" ca="1">IF($B61="", "", INDEX('Hulp (CAO''s)'!T$3:T$6, MATCH(TRUE, 'Hulp (CAO''s)'!$D$3:$D$6, 0)))</f>
        <v/>
      </c>
      <c r="P61" s="10" t="str">
        <f t="array" aca="1" ref="P61" ca="1">IF($B61="", "", INDEX('Hulp (CAO''s)'!U$3:U$6, MATCH(TRUE, 'Hulp (CAO''s)'!$D$3:$D$6, 0)))</f>
        <v/>
      </c>
      <c r="Q61" s="10" t="str">
        <f t="array" aca="1" ref="Q61" ca="1">IF($B61="", "", INDEX('Hulp (CAO''s)'!V$3:V$6, MATCH(TRUE, 'Hulp (CAO''s)'!$D$3:$D$6, 0)))</f>
        <v/>
      </c>
      <c r="R61" s="10" t="str">
        <f t="array" aca="1" ref="R61" ca="1">IF($B61="", "", INDEX('Hulp (CAO''s)'!W$3:W$6, MATCH(TRUE, 'Hulp (CAO''s)'!$D$3:$D$6, 0)))</f>
        <v/>
      </c>
      <c r="S61" s="10" t="str">
        <f t="array" aca="1" ref="S61" ca="1">IF($B61="", "", INDEX('Hulp (CAO''s)'!X$3:X$6, MATCH(TRUE, 'Hulp (CAO''s)'!$D$3:$D$6, 0)))</f>
        <v/>
      </c>
      <c r="T61" s="11" t="str">
        <f t="array" aca="1" ref="T61" ca="1">IF($B61="", "", INDEX('Hulp (CAO''s)'!Y$3:Y$6, MATCH(TRUE, 'Hulp (CAO''s)'!$D$3:$D$6, 0)))</f>
        <v/>
      </c>
      <c r="V61" s="25"/>
      <c r="W61" s="5"/>
    </row>
    <row r="62" spans="2:24" ht="16.149999999999999" thickBot="1" x14ac:dyDescent="0.55000000000000004">
      <c r="D62" s="23" t="s">
        <v>770</v>
      </c>
      <c r="E62" s="90">
        <v>0.96</v>
      </c>
      <c r="F62" s="90">
        <v>0.9</v>
      </c>
      <c r="G62" s="90">
        <v>0.9</v>
      </c>
      <c r="H62" s="90">
        <v>0.7</v>
      </c>
      <c r="I62" s="90">
        <v>0.8</v>
      </c>
      <c r="J62" s="90">
        <v>0.9</v>
      </c>
      <c r="K62" s="90">
        <v>0.9</v>
      </c>
      <c r="L62" s="90">
        <v>0.9</v>
      </c>
      <c r="M62" s="90">
        <v>0.9</v>
      </c>
      <c r="N62" s="90">
        <v>0.8</v>
      </c>
      <c r="O62" s="90">
        <v>0.95</v>
      </c>
      <c r="P62" s="90">
        <v>0.93</v>
      </c>
      <c r="Q62" s="90">
        <v>0.93</v>
      </c>
      <c r="R62" s="90">
        <v>0.95</v>
      </c>
      <c r="S62" s="90">
        <v>0.92</v>
      </c>
      <c r="T62" s="91">
        <v>0.95</v>
      </c>
      <c r="V62" s="25" t="s">
        <v>32</v>
      </c>
    </row>
    <row r="63" spans="2:24" ht="14.25" x14ac:dyDescent="0.45">
      <c r="B63" s="48" t="s">
        <v>771</v>
      </c>
      <c r="D63" s="23" t="s">
        <v>29</v>
      </c>
      <c r="E63" s="94">
        <v>9</v>
      </c>
      <c r="F63" s="94">
        <v>10</v>
      </c>
      <c r="G63" s="94">
        <v>10</v>
      </c>
      <c r="H63" s="94">
        <v>9</v>
      </c>
      <c r="I63" s="94">
        <v>10</v>
      </c>
      <c r="J63" s="94">
        <v>11</v>
      </c>
      <c r="K63" s="94">
        <v>10</v>
      </c>
      <c r="L63" s="94">
        <v>10</v>
      </c>
      <c r="M63" s="94">
        <v>9</v>
      </c>
      <c r="N63" s="94">
        <v>10</v>
      </c>
      <c r="O63" s="94">
        <v>11</v>
      </c>
      <c r="P63" s="94">
        <v>12</v>
      </c>
      <c r="Q63" s="94">
        <v>13</v>
      </c>
      <c r="R63" s="94">
        <v>12</v>
      </c>
      <c r="S63" s="94">
        <v>10</v>
      </c>
      <c r="T63" s="33">
        <v>5</v>
      </c>
      <c r="V63" s="52">
        <v>4000</v>
      </c>
      <c r="X63" s="60" t="s">
        <v>747</v>
      </c>
    </row>
    <row r="64" spans="2:24" ht="14.65" thickBot="1" x14ac:dyDescent="0.5">
      <c r="B64"/>
      <c r="D64" s="40" t="str">
        <f>IFERROR(
   INDEX('Hulp (CAO''s)'!$I$3:$I$6, MATCH(TRUE, 'Hulp (CAO''s)'!$D$3:$D$6, 0)),
"")</f>
        <v>Bruto maandsalaris</v>
      </c>
      <c r="E64" s="86" t="str">
        <f t="array" aca="1" ref="E64" ca="1">IF($B63="Gebruik % van maximum trede",
IF(
    OR(E61="",E62=""),
    "",
    MAX(
    INDIRECT("'" &amp; INDEX('Hulp (CAO''s)'!$C$3:$C$6,
        MATCH(TRUE,'Hulp (CAO''s)'!$D$3:$D$6,0)) &amp; "'!" &amp;
        INDEX('Hulp (CAO''s)'!$H$3:$H$6,
            MATCH(TRUE,'Hulp (CAO''s)'!$D$3:$D$6,0))
        &amp;
        MATCH(E61, INDIRECT("'" &amp; INDEX('Hulp (CAO''s)'!$C$3:$C$6,
            MATCH(TRUE,'Hulp (CAO''s)'!$D$3:$D$6,0)) &amp; "'!A:A"),0)
        &amp; ":H" &amp;
        IF(F61&lt;&gt;"",
            MATCH(F61, INDIRECT("'" &amp; INDEX('Hulp (CAO''s)'!$C$3:$C$6,
                MATCH(TRUE,'Hulp (CAO''s)'!$D$3:$D$6,0)) &amp; "'!A:A"),0)-1,
            1000
        )
    )
) * E62
),
IF(
    IFERROR(MIN(
        IF(
            (TRIM(INDIRECT("'" &amp; INDEX('Hulp (CAO''s)'!$C$3:$C$6,
                MATCH(TRUE,'Hulp (CAO''s)'!$D$3:$D$6,0)) &amp; "'!B1:B1000")) = TEXT(E63,"0")) *
            (ROW(INDIRECT("'" &amp; INDEX('Hulp (CAO''s)'!$C$3:$C$6,
                MATCH(TRUE,'Hulp (CAO''s)'!$D$3:$D$6,0)) &amp; "'!B1:B1000")) &gt; MATCH(
                E61,
                INDIRECT("'" &amp; INDEX('Hulp (CAO''s)'!$C$3:$C$6,
                    MATCH(TRUE,'Hulp (CAO''s)'!$D$3:$D$6,0)) &amp; "'!A:A"),
                0
            )) *
            IF(
                F61="",
                1,
                (ROW(INDIRECT("'" &amp; INDEX('Hulp (CAO''s)'!$C$3:$C$6,
                    MATCH(TRUE,'Hulp (CAO''s)'!$D$3:$D$6,0)) &amp; "'!B1:B1000")) &lt; MATCH(
                    F61,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TEXT(E63,"0")) *
                (ROW(INDIRECT("'" &amp; INDEX('Hulp (CAO''s)'!$C$3:$C$6,
                    MATCH(TRUE,'Hulp (CAO''s)'!$D$3:$D$6,0)) &amp; "'!B1:B1000")) &gt; MATCH(
                    E61,
                    INDIRECT("'" &amp; INDEX('Hulp (CAO''s)'!$C$3:$C$6,
                        MATCH(TRUE,'Hulp (CAO''s)'!$D$3:$D$6,0)) &amp; "'!A:A"),
                    0
                )) *
                IF(
                    F61="",
                    1,
                    (ROW(INDIRECT("'" &amp; INDEX('Hulp (CAO''s)'!$C$3:$C$6,
                        MATCH(TRUE,'Hulp (CAO''s)'!$D$3:$D$6,0)) &amp; "'!B1:B1000")) &lt; MATCH(
                        F61,
                        INDIRECT("'" &amp; INDEX('Hulp (CAO''s)'!$C$3:$C$6,
                            MATCH(TRUE,'Hulp (CAO''s)'!$D$3:$D$6,0)) &amp; "'!A:A"),
                        0
                    ))
                ),
                ROW(INDIRECT("'" &amp; INDEX('Hulp (CAO''s)'!$C$3:$C$6,
                    MATCH(TRUE,'Hulp (CAO''s)'!$D$3:$D$6,0)) &amp; "'!B1:B1000"))
            )
        ),0)
    )
))</f>
        <v/>
      </c>
      <c r="F64" s="86" t="str">
        <f t="array" aca="1" ref="F64" ca="1">IF($B63="Gebruik % van maximum trede",
IF(
    OR(F61="",F62=""),
    "",
    MAX(
    INDIRECT("'" &amp; INDEX('Hulp (CAO''s)'!$C$3:$C$6,
        MATCH(TRUE,'Hulp (CAO''s)'!$D$3:$D$6,0)) &amp; "'!" &amp;
        INDEX('Hulp (CAO''s)'!$H$3:$H$6,
            MATCH(TRUE,'Hulp (CAO''s)'!$D$3:$D$6,0))
        &amp;
        MATCH(F61, INDIRECT("'" &amp; INDEX('Hulp (CAO''s)'!$C$3:$C$6,
            MATCH(TRUE,'Hulp (CAO''s)'!$D$3:$D$6,0)) &amp; "'!A:A"),0)
        &amp; ":H" &amp;
        IF(G61&lt;&gt;"",
            MATCH(G61, INDIRECT("'" &amp; INDEX('Hulp (CAO''s)'!$C$3:$C$6,
                MATCH(TRUE,'Hulp (CAO''s)'!$D$3:$D$6,0)) &amp; "'!A:A"),0)-1,
            1000
        )
    )
) * F62
),
IF(
    IFERROR(MIN(
        IF(
            (TRIM(INDIRECT("'" &amp; INDEX('Hulp (CAO''s)'!$C$3:$C$6,
                MATCH(TRUE,'Hulp (CAO''s)'!$D$3:$D$6,0)) &amp; "'!B1:B1000")) = TEXT(F63,"0")) *
            (ROW(INDIRECT("'" &amp; INDEX('Hulp (CAO''s)'!$C$3:$C$6,
                MATCH(TRUE,'Hulp (CAO''s)'!$D$3:$D$6,0)) &amp; "'!B1:B1000")) &gt; MATCH(
                F61,
                INDIRECT("'" &amp; INDEX('Hulp (CAO''s)'!$C$3:$C$6,
                    MATCH(TRUE,'Hulp (CAO''s)'!$D$3:$D$6,0)) &amp; "'!A:A"),
                0
            )) *
            IF(
                G61="",
                1,
                (ROW(INDIRECT("'" &amp; INDEX('Hulp (CAO''s)'!$C$3:$C$6,
                    MATCH(TRUE,'Hulp (CAO''s)'!$D$3:$D$6,0)) &amp; "'!B1:B1000")) &lt; MATCH(
                    G61,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TEXT(F63,"0")) *
                (ROW(INDIRECT("'" &amp; INDEX('Hulp (CAO''s)'!$C$3:$C$6,
                    MATCH(TRUE,'Hulp (CAO''s)'!$D$3:$D$6,0)) &amp; "'!B1:B1000")) &gt; MATCH(
                    F61,
                    INDIRECT("'" &amp; INDEX('Hulp (CAO''s)'!$C$3:$C$6,
                        MATCH(TRUE,'Hulp (CAO''s)'!$D$3:$D$6,0)) &amp; "'!A:A"),
                    0
                )) *
                IF(
                    G61="",
                    1,
                    (ROW(INDIRECT("'" &amp; INDEX('Hulp (CAO''s)'!$C$3:$C$6,
                        MATCH(TRUE,'Hulp (CAO''s)'!$D$3:$D$6,0)) &amp; "'!B1:B1000")) &lt; MATCH(
                        G61,
                        INDIRECT("'" &amp; INDEX('Hulp (CAO''s)'!$C$3:$C$6,
                            MATCH(TRUE,'Hulp (CAO''s)'!$D$3:$D$6,0)) &amp; "'!A:A"),
                        0
                    ))
                ),
                ROW(INDIRECT("'" &amp; INDEX('Hulp (CAO''s)'!$C$3:$C$6,
                    MATCH(TRUE,'Hulp (CAO''s)'!$D$3:$D$6,0)) &amp; "'!B1:B1000"))
            )
        ),0)
    )
))</f>
        <v/>
      </c>
      <c r="G64" s="86" t="str">
        <f t="array" aca="1" ref="G64" ca="1">IF($B63="Gebruik % van maximum trede",
IF(
    OR(G61="",G62=""),
    "",
    MAX(
    INDIRECT("'" &amp; INDEX('Hulp (CAO''s)'!$C$3:$C$6,
        MATCH(TRUE,'Hulp (CAO''s)'!$D$3:$D$6,0)) &amp; "'!" &amp;
        INDEX('Hulp (CAO''s)'!$H$3:$H$6,
            MATCH(TRUE,'Hulp (CAO''s)'!$D$3:$D$6,0))
        &amp;
        MATCH(G61, INDIRECT("'" &amp; INDEX('Hulp (CAO''s)'!$C$3:$C$6,
            MATCH(TRUE,'Hulp (CAO''s)'!$D$3:$D$6,0)) &amp; "'!A:A"),0)
        &amp; ":H" &amp;
        IF(H61&lt;&gt;"",
            MATCH(H61, INDIRECT("'" &amp; INDEX('Hulp (CAO''s)'!$C$3:$C$6,
                MATCH(TRUE,'Hulp (CAO''s)'!$D$3:$D$6,0)) &amp; "'!A:A"),0)-1,
            1000
        )
    )
) * G62
),
IF(
    IFERROR(MIN(
        IF(
            (TRIM(INDIRECT("'" &amp; INDEX('Hulp (CAO''s)'!$C$3:$C$6,
                MATCH(TRUE,'Hulp (CAO''s)'!$D$3:$D$6,0)) &amp; "'!B1:B1000")) = TEXT(G63,"0")) *
            (ROW(INDIRECT("'" &amp; INDEX('Hulp (CAO''s)'!$C$3:$C$6,
                MATCH(TRUE,'Hulp (CAO''s)'!$D$3:$D$6,0)) &amp; "'!B1:B1000")) &gt; MATCH(
                G61,
                INDIRECT("'" &amp; INDEX('Hulp (CAO''s)'!$C$3:$C$6,
                    MATCH(TRUE,'Hulp (CAO''s)'!$D$3:$D$6,0)) &amp; "'!A:A"),
                0
            )) *
            IF(
                H61="",
                1,
                (ROW(INDIRECT("'" &amp; INDEX('Hulp (CAO''s)'!$C$3:$C$6,
                    MATCH(TRUE,'Hulp (CAO''s)'!$D$3:$D$6,0)) &amp; "'!B1:B1000")) &lt; MATCH(
                    H61,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TEXT(G63,"0")) *
                (ROW(INDIRECT("'" &amp; INDEX('Hulp (CAO''s)'!$C$3:$C$6,
                    MATCH(TRUE,'Hulp (CAO''s)'!$D$3:$D$6,0)) &amp; "'!B1:B1000")) &gt; MATCH(
                    G61,
                    INDIRECT("'" &amp; INDEX('Hulp (CAO''s)'!$C$3:$C$6,
                        MATCH(TRUE,'Hulp (CAO''s)'!$D$3:$D$6,0)) &amp; "'!A:A"),
                    0
                )) *
                IF(
                    H61="",
                    1,
                    (ROW(INDIRECT("'" &amp; INDEX('Hulp (CAO''s)'!$C$3:$C$6,
                        MATCH(TRUE,'Hulp (CAO''s)'!$D$3:$D$6,0)) &amp; "'!B1:B1000")) &lt; MATCH(
                        H61,
                        INDIRECT("'" &amp; INDEX('Hulp (CAO''s)'!$C$3:$C$6,
                            MATCH(TRUE,'Hulp (CAO''s)'!$D$3:$D$6,0)) &amp; "'!A:A"),
                        0
                    ))
                ),
                ROW(INDIRECT("'" &amp; INDEX('Hulp (CAO''s)'!$C$3:$C$6,
                    MATCH(TRUE,'Hulp (CAO''s)'!$D$3:$D$6,0)) &amp; "'!B1:B1000"))
            )
        ),0)
    )
))</f>
        <v/>
      </c>
      <c r="H64" s="86" t="str">
        <f t="array" aca="1" ref="H64" ca="1">IF($B63="Gebruik % van maximum trede",
IF(
    OR(H61="",H62=""),
    "",
    MAX(
    INDIRECT("'" &amp; INDEX('Hulp (CAO''s)'!$C$3:$C$6,
        MATCH(TRUE,'Hulp (CAO''s)'!$D$3:$D$6,0)) &amp; "'!" &amp;
        INDEX('Hulp (CAO''s)'!$H$3:$H$6,
            MATCH(TRUE,'Hulp (CAO''s)'!$D$3:$D$6,0))
        &amp;
        MATCH(H61, INDIRECT("'" &amp; INDEX('Hulp (CAO''s)'!$C$3:$C$6,
            MATCH(TRUE,'Hulp (CAO''s)'!$D$3:$D$6,0)) &amp; "'!A:A"),0)
        &amp; ":H" &amp;
        IF(I61&lt;&gt;"",
            MATCH(I61, INDIRECT("'" &amp; INDEX('Hulp (CAO''s)'!$C$3:$C$6,
                MATCH(TRUE,'Hulp (CAO''s)'!$D$3:$D$6,0)) &amp; "'!A:A"),0)-1,
            1000
        )
    )
) * H62
),
IF(
    IFERROR(MIN(
        IF(
            (TRIM(INDIRECT("'" &amp; INDEX('Hulp (CAO''s)'!$C$3:$C$6,
                MATCH(TRUE,'Hulp (CAO''s)'!$D$3:$D$6,0)) &amp; "'!B1:B1000")) = TEXT(H63,"0")) *
            (ROW(INDIRECT("'" &amp; INDEX('Hulp (CAO''s)'!$C$3:$C$6,
                MATCH(TRUE,'Hulp (CAO''s)'!$D$3:$D$6,0)) &amp; "'!B1:B1000")) &gt; MATCH(
                H61,
                INDIRECT("'" &amp; INDEX('Hulp (CAO''s)'!$C$3:$C$6,
                    MATCH(TRUE,'Hulp (CAO''s)'!$D$3:$D$6,0)) &amp; "'!A:A"),
                0
            )) *
            IF(
                I61="",
                1,
                (ROW(INDIRECT("'" &amp; INDEX('Hulp (CAO''s)'!$C$3:$C$6,
                    MATCH(TRUE,'Hulp (CAO''s)'!$D$3:$D$6,0)) &amp; "'!B1:B1000")) &lt; MATCH(
                    I61,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TEXT(H63,"0")) *
                (ROW(INDIRECT("'" &amp; INDEX('Hulp (CAO''s)'!$C$3:$C$6,
                    MATCH(TRUE,'Hulp (CAO''s)'!$D$3:$D$6,0)) &amp; "'!B1:B1000")) &gt; MATCH(
                    H61,
                    INDIRECT("'" &amp; INDEX('Hulp (CAO''s)'!$C$3:$C$6,
                        MATCH(TRUE,'Hulp (CAO''s)'!$D$3:$D$6,0)) &amp; "'!A:A"),
                    0
                )) *
                IF(
                    I61="",
                    1,
                    (ROW(INDIRECT("'" &amp; INDEX('Hulp (CAO''s)'!$C$3:$C$6,
                        MATCH(TRUE,'Hulp (CAO''s)'!$D$3:$D$6,0)) &amp; "'!B1:B1000")) &lt; MATCH(
                        I61,
                        INDIRECT("'" &amp; INDEX('Hulp (CAO''s)'!$C$3:$C$6,
                            MATCH(TRUE,'Hulp (CAO''s)'!$D$3:$D$6,0)) &amp; "'!A:A"),
                        0
                    ))
                ),
                ROW(INDIRECT("'" &amp; INDEX('Hulp (CAO''s)'!$C$3:$C$6,
                    MATCH(TRUE,'Hulp (CAO''s)'!$D$3:$D$6,0)) &amp; "'!B1:B1000"))
            )
        ),0)
    )
))</f>
        <v/>
      </c>
      <c r="I64" s="86" t="str">
        <f t="array" aca="1" ref="I64" ca="1">IF($B63="Gebruik % van maximum trede",
IF(
    OR(I61="",I62=""),
    "",
    MAX(
    INDIRECT("'" &amp; INDEX('Hulp (CAO''s)'!$C$3:$C$6,
        MATCH(TRUE,'Hulp (CAO''s)'!$D$3:$D$6,0)) &amp; "'!" &amp;
        INDEX('Hulp (CAO''s)'!$H$3:$H$6,
            MATCH(TRUE,'Hulp (CAO''s)'!$D$3:$D$6,0))
        &amp;
        MATCH(I61, INDIRECT("'" &amp; INDEX('Hulp (CAO''s)'!$C$3:$C$6,
            MATCH(TRUE,'Hulp (CAO''s)'!$D$3:$D$6,0)) &amp; "'!A:A"),0)
        &amp; ":H" &amp;
        IF(J61&lt;&gt;"",
            MATCH(J61, INDIRECT("'" &amp; INDEX('Hulp (CAO''s)'!$C$3:$C$6,
                MATCH(TRUE,'Hulp (CAO''s)'!$D$3:$D$6,0)) &amp; "'!A:A"),0)-1,
            1000
        )
    )
) * I62
),
IF(
    IFERROR(MIN(
        IF(
            (TRIM(INDIRECT("'" &amp; INDEX('Hulp (CAO''s)'!$C$3:$C$6,
                MATCH(TRUE,'Hulp (CAO''s)'!$D$3:$D$6,0)) &amp; "'!B1:B1000")) = TEXT(I63,"0")) *
            (ROW(INDIRECT("'" &amp; INDEX('Hulp (CAO''s)'!$C$3:$C$6,
                MATCH(TRUE,'Hulp (CAO''s)'!$D$3:$D$6,0)) &amp; "'!B1:B1000")) &gt; MATCH(
                I61,
                INDIRECT("'" &amp; INDEX('Hulp (CAO''s)'!$C$3:$C$6,
                    MATCH(TRUE,'Hulp (CAO''s)'!$D$3:$D$6,0)) &amp; "'!A:A"),
                0
            )) *
            IF(
                J61="",
                1,
                (ROW(INDIRECT("'" &amp; INDEX('Hulp (CAO''s)'!$C$3:$C$6,
                    MATCH(TRUE,'Hulp (CAO''s)'!$D$3:$D$6,0)) &amp; "'!B1:B1000")) &lt; MATCH(
                    J61,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TEXT(I63,"0")) *
                (ROW(INDIRECT("'" &amp; INDEX('Hulp (CAO''s)'!$C$3:$C$6,
                    MATCH(TRUE,'Hulp (CAO''s)'!$D$3:$D$6,0)) &amp; "'!B1:B1000")) &gt; MATCH(
                    I61,
                    INDIRECT("'" &amp; INDEX('Hulp (CAO''s)'!$C$3:$C$6,
                        MATCH(TRUE,'Hulp (CAO''s)'!$D$3:$D$6,0)) &amp; "'!A:A"),
                    0
                )) *
                IF(
                    J61="",
                    1,
                    (ROW(INDIRECT("'" &amp; INDEX('Hulp (CAO''s)'!$C$3:$C$6,
                        MATCH(TRUE,'Hulp (CAO''s)'!$D$3:$D$6,0)) &amp; "'!B1:B1000")) &lt; MATCH(
                        J61,
                        INDIRECT("'" &amp; INDEX('Hulp (CAO''s)'!$C$3:$C$6,
                            MATCH(TRUE,'Hulp (CAO''s)'!$D$3:$D$6,0)) &amp; "'!A:A"),
                        0
                    ))
                ),
                ROW(INDIRECT("'" &amp; INDEX('Hulp (CAO''s)'!$C$3:$C$6,
                    MATCH(TRUE,'Hulp (CAO''s)'!$D$3:$D$6,0)) &amp; "'!B1:B1000"))
            )
        ),0)
    )
))</f>
        <v/>
      </c>
      <c r="J64" s="86" t="str">
        <f t="array" aca="1" ref="J64" ca="1">IF($B63="Gebruik % van maximum trede",
IF(
    OR(J61="",J62=""),
    "",
    MAX(
    INDIRECT("'" &amp; INDEX('Hulp (CAO''s)'!$C$3:$C$6,
        MATCH(TRUE,'Hulp (CAO''s)'!$D$3:$D$6,0)) &amp; "'!" &amp;
        INDEX('Hulp (CAO''s)'!$H$3:$H$6,
            MATCH(TRUE,'Hulp (CAO''s)'!$D$3:$D$6,0))
        &amp;
        MATCH(J61, INDIRECT("'" &amp; INDEX('Hulp (CAO''s)'!$C$3:$C$6,
            MATCH(TRUE,'Hulp (CAO''s)'!$D$3:$D$6,0)) &amp; "'!A:A"),0)
        &amp; ":H" &amp;
        IF(K61&lt;&gt;"",
            MATCH(K61, INDIRECT("'" &amp; INDEX('Hulp (CAO''s)'!$C$3:$C$6,
                MATCH(TRUE,'Hulp (CAO''s)'!$D$3:$D$6,0)) &amp; "'!A:A"),0)-1,
            1000
        )
    )
) * J62
),
IF(
    IFERROR(MIN(
        IF(
            (TRIM(INDIRECT("'" &amp; INDEX('Hulp (CAO''s)'!$C$3:$C$6,
                MATCH(TRUE,'Hulp (CAO''s)'!$D$3:$D$6,0)) &amp; "'!B1:B1000")) = TEXT(J63,"0")) *
            (ROW(INDIRECT("'" &amp; INDEX('Hulp (CAO''s)'!$C$3:$C$6,
                MATCH(TRUE,'Hulp (CAO''s)'!$D$3:$D$6,0)) &amp; "'!B1:B1000")) &gt; MATCH(
                J61,
                INDIRECT("'" &amp; INDEX('Hulp (CAO''s)'!$C$3:$C$6,
                    MATCH(TRUE,'Hulp (CAO''s)'!$D$3:$D$6,0)) &amp; "'!A:A"),
                0
            )) *
            IF(
                K61="",
                1,
                (ROW(INDIRECT("'" &amp; INDEX('Hulp (CAO''s)'!$C$3:$C$6,
                    MATCH(TRUE,'Hulp (CAO''s)'!$D$3:$D$6,0)) &amp; "'!B1:B1000")) &lt; MATCH(
                    K61,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TEXT(J63,"0")) *
                (ROW(INDIRECT("'" &amp; INDEX('Hulp (CAO''s)'!$C$3:$C$6,
                    MATCH(TRUE,'Hulp (CAO''s)'!$D$3:$D$6,0)) &amp; "'!B1:B1000")) &gt; MATCH(
                    J61,
                    INDIRECT("'" &amp; INDEX('Hulp (CAO''s)'!$C$3:$C$6,
                        MATCH(TRUE,'Hulp (CAO''s)'!$D$3:$D$6,0)) &amp; "'!A:A"),
                    0
                )) *
                IF(
                    K61="",
                    1,
                    (ROW(INDIRECT("'" &amp; INDEX('Hulp (CAO''s)'!$C$3:$C$6,
                        MATCH(TRUE,'Hulp (CAO''s)'!$D$3:$D$6,0)) &amp; "'!B1:B1000")) &lt; MATCH(
                        K61,
                        INDIRECT("'" &amp; INDEX('Hulp (CAO''s)'!$C$3:$C$6,
                            MATCH(TRUE,'Hulp (CAO''s)'!$D$3:$D$6,0)) &amp; "'!A:A"),
                        0
                    ))
                ),
                ROW(INDIRECT("'" &amp; INDEX('Hulp (CAO''s)'!$C$3:$C$6,
                    MATCH(TRUE,'Hulp (CAO''s)'!$D$3:$D$6,0)) &amp; "'!B1:B1000"))
            )
        ),0)
    )
))</f>
        <v/>
      </c>
      <c r="K64" s="86" t="str">
        <f t="array" aca="1" ref="K64" ca="1">IF($B63="Gebruik % van maximum trede",
IF(
    OR(K61="",K62=""),
    "",
    MAX(
    INDIRECT("'" &amp; INDEX('Hulp (CAO''s)'!$C$3:$C$6,
        MATCH(TRUE,'Hulp (CAO''s)'!$D$3:$D$6,0)) &amp; "'!" &amp;
        INDEX('Hulp (CAO''s)'!$H$3:$H$6,
            MATCH(TRUE,'Hulp (CAO''s)'!$D$3:$D$6,0))
        &amp;
        MATCH(K61, INDIRECT("'" &amp; INDEX('Hulp (CAO''s)'!$C$3:$C$6,
            MATCH(TRUE,'Hulp (CAO''s)'!$D$3:$D$6,0)) &amp; "'!A:A"),0)
        &amp; ":H" &amp;
        IF(L61&lt;&gt;"",
            MATCH(L61, INDIRECT("'" &amp; INDEX('Hulp (CAO''s)'!$C$3:$C$6,
                MATCH(TRUE,'Hulp (CAO''s)'!$D$3:$D$6,0)) &amp; "'!A:A"),0)-1,
            1000
        )
    )
) * K62
),
IF(
    IFERROR(MIN(
        IF(
            (TRIM(INDIRECT("'" &amp; INDEX('Hulp (CAO''s)'!$C$3:$C$6,
                MATCH(TRUE,'Hulp (CAO''s)'!$D$3:$D$6,0)) &amp; "'!B1:B1000")) = TEXT(K63,"0")) *
            (ROW(INDIRECT("'" &amp; INDEX('Hulp (CAO''s)'!$C$3:$C$6,
                MATCH(TRUE,'Hulp (CAO''s)'!$D$3:$D$6,0)) &amp; "'!B1:B1000")) &gt; MATCH(
                K61,
                INDIRECT("'" &amp; INDEX('Hulp (CAO''s)'!$C$3:$C$6,
                    MATCH(TRUE,'Hulp (CAO''s)'!$D$3:$D$6,0)) &amp; "'!A:A"),
                0
            )) *
            IF(
                L61="",
                1,
                (ROW(INDIRECT("'" &amp; INDEX('Hulp (CAO''s)'!$C$3:$C$6,
                    MATCH(TRUE,'Hulp (CAO''s)'!$D$3:$D$6,0)) &amp; "'!B1:B1000")) &lt; MATCH(
                    L61,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TEXT(K63,"0")) *
                (ROW(INDIRECT("'" &amp; INDEX('Hulp (CAO''s)'!$C$3:$C$6,
                    MATCH(TRUE,'Hulp (CAO''s)'!$D$3:$D$6,0)) &amp; "'!B1:B1000")) &gt; MATCH(
                    K61,
                    INDIRECT("'" &amp; INDEX('Hulp (CAO''s)'!$C$3:$C$6,
                        MATCH(TRUE,'Hulp (CAO''s)'!$D$3:$D$6,0)) &amp; "'!A:A"),
                    0
                )) *
                IF(
                    L61="",
                    1,
                    (ROW(INDIRECT("'" &amp; INDEX('Hulp (CAO''s)'!$C$3:$C$6,
                        MATCH(TRUE,'Hulp (CAO''s)'!$D$3:$D$6,0)) &amp; "'!B1:B1000")) &lt; MATCH(
                        L61,
                        INDIRECT("'" &amp; INDEX('Hulp (CAO''s)'!$C$3:$C$6,
                            MATCH(TRUE,'Hulp (CAO''s)'!$D$3:$D$6,0)) &amp; "'!A:A"),
                        0
                    ))
                ),
                ROW(INDIRECT("'" &amp; INDEX('Hulp (CAO''s)'!$C$3:$C$6,
                    MATCH(TRUE,'Hulp (CAO''s)'!$D$3:$D$6,0)) &amp; "'!B1:B1000"))
            )
        ),0)
    )
))</f>
        <v/>
      </c>
      <c r="L64" s="86" t="str">
        <f t="array" aca="1" ref="L64" ca="1">IF($B63="Gebruik % van maximum trede",
IF(
    OR(L61="",L62=""),
    "",
    MAX(
    INDIRECT("'" &amp; INDEX('Hulp (CAO''s)'!$C$3:$C$6,
        MATCH(TRUE,'Hulp (CAO''s)'!$D$3:$D$6,0)) &amp; "'!" &amp;
        INDEX('Hulp (CAO''s)'!$H$3:$H$6,
            MATCH(TRUE,'Hulp (CAO''s)'!$D$3:$D$6,0))
        &amp;
        MATCH(L61, INDIRECT("'" &amp; INDEX('Hulp (CAO''s)'!$C$3:$C$6,
            MATCH(TRUE,'Hulp (CAO''s)'!$D$3:$D$6,0)) &amp; "'!A:A"),0)
        &amp; ":H" &amp;
        IF(M61&lt;&gt;"",
            MATCH(M61, INDIRECT("'" &amp; INDEX('Hulp (CAO''s)'!$C$3:$C$6,
                MATCH(TRUE,'Hulp (CAO''s)'!$D$3:$D$6,0)) &amp; "'!A:A"),0)-1,
            1000
        )
    )
) * L62
),
IF(
    IFERROR(MIN(
        IF(
            (TRIM(INDIRECT("'" &amp; INDEX('Hulp (CAO''s)'!$C$3:$C$6,
                MATCH(TRUE,'Hulp (CAO''s)'!$D$3:$D$6,0)) &amp; "'!B1:B1000")) = TEXT(L63,"0")) *
            (ROW(INDIRECT("'" &amp; INDEX('Hulp (CAO''s)'!$C$3:$C$6,
                MATCH(TRUE,'Hulp (CAO''s)'!$D$3:$D$6,0)) &amp; "'!B1:B1000")) &gt; MATCH(
                L61,
                INDIRECT("'" &amp; INDEX('Hulp (CAO''s)'!$C$3:$C$6,
                    MATCH(TRUE,'Hulp (CAO''s)'!$D$3:$D$6,0)) &amp; "'!A:A"),
                0
            )) *
            IF(
                M61="",
                1,
                (ROW(INDIRECT("'" &amp; INDEX('Hulp (CAO''s)'!$C$3:$C$6,
                    MATCH(TRUE,'Hulp (CAO''s)'!$D$3:$D$6,0)) &amp; "'!B1:B1000")) &lt; MATCH(
                    M61,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TEXT(L63,"0")) *
                (ROW(INDIRECT("'" &amp; INDEX('Hulp (CAO''s)'!$C$3:$C$6,
                    MATCH(TRUE,'Hulp (CAO''s)'!$D$3:$D$6,0)) &amp; "'!B1:B1000")) &gt; MATCH(
                    L61,
                    INDIRECT("'" &amp; INDEX('Hulp (CAO''s)'!$C$3:$C$6,
                        MATCH(TRUE,'Hulp (CAO''s)'!$D$3:$D$6,0)) &amp; "'!A:A"),
                    0
                )) *
                IF(
                    M61="",
                    1,
                    (ROW(INDIRECT("'" &amp; INDEX('Hulp (CAO''s)'!$C$3:$C$6,
                        MATCH(TRUE,'Hulp (CAO''s)'!$D$3:$D$6,0)) &amp; "'!B1:B1000")) &lt; MATCH(
                        M61,
                        INDIRECT("'" &amp; INDEX('Hulp (CAO''s)'!$C$3:$C$6,
                            MATCH(TRUE,'Hulp (CAO''s)'!$D$3:$D$6,0)) &amp; "'!A:A"),
                        0
                    ))
                ),
                ROW(INDIRECT("'" &amp; INDEX('Hulp (CAO''s)'!$C$3:$C$6,
                    MATCH(TRUE,'Hulp (CAO''s)'!$D$3:$D$6,0)) &amp; "'!B1:B1000"))
            )
        ),0)
    )
))</f>
        <v/>
      </c>
      <c r="M64" s="86" t="str">
        <f t="array" aca="1" ref="M64" ca="1">IF($B63="Gebruik % van maximum trede",
IF(
    OR(M61="",M62=""),
    "",
    MAX(
    INDIRECT("'" &amp; INDEX('Hulp (CAO''s)'!$C$3:$C$6,
        MATCH(TRUE,'Hulp (CAO''s)'!$D$3:$D$6,0)) &amp; "'!" &amp;
        INDEX('Hulp (CAO''s)'!$H$3:$H$6,
            MATCH(TRUE,'Hulp (CAO''s)'!$D$3:$D$6,0))
        &amp;
        MATCH(M61, INDIRECT("'" &amp; INDEX('Hulp (CAO''s)'!$C$3:$C$6,
            MATCH(TRUE,'Hulp (CAO''s)'!$D$3:$D$6,0)) &amp; "'!A:A"),0)
        &amp; ":H" &amp;
        IF(N61&lt;&gt;"",
            MATCH(N61, INDIRECT("'" &amp; INDEX('Hulp (CAO''s)'!$C$3:$C$6,
                MATCH(TRUE,'Hulp (CAO''s)'!$D$3:$D$6,0)) &amp; "'!A:A"),0)-1,
            1000
        )
    )
) * M62
),
IF(
    IFERROR(MIN(
        IF(
            (TRIM(INDIRECT("'" &amp; INDEX('Hulp (CAO''s)'!$C$3:$C$6,
                MATCH(TRUE,'Hulp (CAO''s)'!$D$3:$D$6,0)) &amp; "'!B1:B1000")) = TEXT(M63,"0")) *
            (ROW(INDIRECT("'" &amp; INDEX('Hulp (CAO''s)'!$C$3:$C$6,
                MATCH(TRUE,'Hulp (CAO''s)'!$D$3:$D$6,0)) &amp; "'!B1:B1000")) &gt; MATCH(
                M61,
                INDIRECT("'" &amp; INDEX('Hulp (CAO''s)'!$C$3:$C$6,
                    MATCH(TRUE,'Hulp (CAO''s)'!$D$3:$D$6,0)) &amp; "'!A:A"),
                0
            )) *
            IF(
                N61="",
                1,
                (ROW(INDIRECT("'" &amp; INDEX('Hulp (CAO''s)'!$C$3:$C$6,
                    MATCH(TRUE,'Hulp (CAO''s)'!$D$3:$D$6,0)) &amp; "'!B1:B1000")) &lt; MATCH(
                    N61,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TEXT(M63,"0")) *
                (ROW(INDIRECT("'" &amp; INDEX('Hulp (CAO''s)'!$C$3:$C$6,
                    MATCH(TRUE,'Hulp (CAO''s)'!$D$3:$D$6,0)) &amp; "'!B1:B1000")) &gt; MATCH(
                    M61,
                    INDIRECT("'" &amp; INDEX('Hulp (CAO''s)'!$C$3:$C$6,
                        MATCH(TRUE,'Hulp (CAO''s)'!$D$3:$D$6,0)) &amp; "'!A:A"),
                    0
                )) *
                IF(
                    N61="",
                    1,
                    (ROW(INDIRECT("'" &amp; INDEX('Hulp (CAO''s)'!$C$3:$C$6,
                        MATCH(TRUE,'Hulp (CAO''s)'!$D$3:$D$6,0)) &amp; "'!B1:B1000")) &lt; MATCH(
                        N61,
                        INDIRECT("'" &amp; INDEX('Hulp (CAO''s)'!$C$3:$C$6,
                            MATCH(TRUE,'Hulp (CAO''s)'!$D$3:$D$6,0)) &amp; "'!A:A"),
                        0
                    ))
                ),
                ROW(INDIRECT("'" &amp; INDEX('Hulp (CAO''s)'!$C$3:$C$6,
                    MATCH(TRUE,'Hulp (CAO''s)'!$D$3:$D$6,0)) &amp; "'!B1:B1000"))
            )
        ),0)
    )
))</f>
        <v/>
      </c>
      <c r="N64" s="86" t="str">
        <f t="array" aca="1" ref="N64" ca="1">IF($B63="Gebruik % van maximum trede",
IF(
    OR(N61="",N62=""),
    "",
    MAX(
    INDIRECT("'" &amp; INDEX('Hulp (CAO''s)'!$C$3:$C$6,
        MATCH(TRUE,'Hulp (CAO''s)'!$D$3:$D$6,0)) &amp; "'!" &amp;
        INDEX('Hulp (CAO''s)'!$H$3:$H$6,
            MATCH(TRUE,'Hulp (CAO''s)'!$D$3:$D$6,0))
        &amp;
        MATCH(N61, INDIRECT("'" &amp; INDEX('Hulp (CAO''s)'!$C$3:$C$6,
            MATCH(TRUE,'Hulp (CAO''s)'!$D$3:$D$6,0)) &amp; "'!A:A"),0)
        &amp; ":H" &amp;
        IF(O61&lt;&gt;"",
            MATCH(O61, INDIRECT("'" &amp; INDEX('Hulp (CAO''s)'!$C$3:$C$6,
                MATCH(TRUE,'Hulp (CAO''s)'!$D$3:$D$6,0)) &amp; "'!A:A"),0)-1,
            1000
        )
    )
) * N62
),
IF(
    IFERROR(MIN(
        IF(
            (TRIM(INDIRECT("'" &amp; INDEX('Hulp (CAO''s)'!$C$3:$C$6,
                MATCH(TRUE,'Hulp (CAO''s)'!$D$3:$D$6,0)) &amp; "'!B1:B1000")) = TEXT(N63,"0")) *
            (ROW(INDIRECT("'" &amp; INDEX('Hulp (CAO''s)'!$C$3:$C$6,
                MATCH(TRUE,'Hulp (CAO''s)'!$D$3:$D$6,0)) &amp; "'!B1:B1000")) &gt; MATCH(
                N61,
                INDIRECT("'" &amp; INDEX('Hulp (CAO''s)'!$C$3:$C$6,
                    MATCH(TRUE,'Hulp (CAO''s)'!$D$3:$D$6,0)) &amp; "'!A:A"),
                0
            )) *
            IF(
                O61="",
                1,
                (ROW(INDIRECT("'" &amp; INDEX('Hulp (CAO''s)'!$C$3:$C$6,
                    MATCH(TRUE,'Hulp (CAO''s)'!$D$3:$D$6,0)) &amp; "'!B1:B1000")) &lt; MATCH(
                    O61,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TEXT(N63,"0")) *
                (ROW(INDIRECT("'" &amp; INDEX('Hulp (CAO''s)'!$C$3:$C$6,
                    MATCH(TRUE,'Hulp (CAO''s)'!$D$3:$D$6,0)) &amp; "'!B1:B1000")) &gt; MATCH(
                    N61,
                    INDIRECT("'" &amp; INDEX('Hulp (CAO''s)'!$C$3:$C$6,
                        MATCH(TRUE,'Hulp (CAO''s)'!$D$3:$D$6,0)) &amp; "'!A:A"),
                    0
                )) *
                IF(
                    O61="",
                    1,
                    (ROW(INDIRECT("'" &amp; INDEX('Hulp (CAO''s)'!$C$3:$C$6,
                        MATCH(TRUE,'Hulp (CAO''s)'!$D$3:$D$6,0)) &amp; "'!B1:B1000")) &lt; MATCH(
                        O61,
                        INDIRECT("'" &amp; INDEX('Hulp (CAO''s)'!$C$3:$C$6,
                            MATCH(TRUE,'Hulp (CAO''s)'!$D$3:$D$6,0)) &amp; "'!A:A"),
                        0
                    ))
                ),
                ROW(INDIRECT("'" &amp; INDEX('Hulp (CAO''s)'!$C$3:$C$6,
                    MATCH(TRUE,'Hulp (CAO''s)'!$D$3:$D$6,0)) &amp; "'!B1:B1000"))
            )
        ),0)
    )
))</f>
        <v/>
      </c>
      <c r="O64" s="86" t="str">
        <f t="array" aca="1" ref="O64" ca="1">IF($B63="Gebruik % van maximum trede",
IF(
    OR(O61="",O62=""),
    "",
    MAX(
    INDIRECT("'" &amp; INDEX('Hulp (CAO''s)'!$C$3:$C$6,
        MATCH(TRUE,'Hulp (CAO''s)'!$D$3:$D$6,0)) &amp; "'!" &amp;
        INDEX('Hulp (CAO''s)'!$H$3:$H$6,
            MATCH(TRUE,'Hulp (CAO''s)'!$D$3:$D$6,0))
        &amp;
        MATCH(O61, INDIRECT("'" &amp; INDEX('Hulp (CAO''s)'!$C$3:$C$6,
            MATCH(TRUE,'Hulp (CAO''s)'!$D$3:$D$6,0)) &amp; "'!A:A"),0)
        &amp; ":H" &amp;
        IF(P61&lt;&gt;"",
            MATCH(P61, INDIRECT("'" &amp; INDEX('Hulp (CAO''s)'!$C$3:$C$6,
                MATCH(TRUE,'Hulp (CAO''s)'!$D$3:$D$6,0)) &amp; "'!A:A"),0)-1,
            1000
        )
    )
) * O62
),
IF(
    IFERROR(MIN(
        IF(
            (TRIM(INDIRECT("'" &amp; INDEX('Hulp (CAO''s)'!$C$3:$C$6,
                MATCH(TRUE,'Hulp (CAO''s)'!$D$3:$D$6,0)) &amp; "'!B1:B1000")) = TEXT(O63,"0")) *
            (ROW(INDIRECT("'" &amp; INDEX('Hulp (CAO''s)'!$C$3:$C$6,
                MATCH(TRUE,'Hulp (CAO''s)'!$D$3:$D$6,0)) &amp; "'!B1:B1000")) &gt; MATCH(
                O61,
                INDIRECT("'" &amp; INDEX('Hulp (CAO''s)'!$C$3:$C$6,
                    MATCH(TRUE,'Hulp (CAO''s)'!$D$3:$D$6,0)) &amp; "'!A:A"),
                0
            )) *
            IF(
                P61="",
                1,
                (ROW(INDIRECT("'" &amp; INDEX('Hulp (CAO''s)'!$C$3:$C$6,
                    MATCH(TRUE,'Hulp (CAO''s)'!$D$3:$D$6,0)) &amp; "'!B1:B1000")) &lt; MATCH(
                    P61,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TEXT(O63,"0")) *
                (ROW(INDIRECT("'" &amp; INDEX('Hulp (CAO''s)'!$C$3:$C$6,
                    MATCH(TRUE,'Hulp (CAO''s)'!$D$3:$D$6,0)) &amp; "'!B1:B1000")) &gt; MATCH(
                    O61,
                    INDIRECT("'" &amp; INDEX('Hulp (CAO''s)'!$C$3:$C$6,
                        MATCH(TRUE,'Hulp (CAO''s)'!$D$3:$D$6,0)) &amp; "'!A:A"),
                    0
                )) *
                IF(
                    P61="",
                    1,
                    (ROW(INDIRECT("'" &amp; INDEX('Hulp (CAO''s)'!$C$3:$C$6,
                        MATCH(TRUE,'Hulp (CAO''s)'!$D$3:$D$6,0)) &amp; "'!B1:B1000")) &lt; MATCH(
                        P61,
                        INDIRECT("'" &amp; INDEX('Hulp (CAO''s)'!$C$3:$C$6,
                            MATCH(TRUE,'Hulp (CAO''s)'!$D$3:$D$6,0)) &amp; "'!A:A"),
                        0
                    ))
                ),
                ROW(INDIRECT("'" &amp; INDEX('Hulp (CAO''s)'!$C$3:$C$6,
                    MATCH(TRUE,'Hulp (CAO''s)'!$D$3:$D$6,0)) &amp; "'!B1:B1000"))
            )
        ),0)
    )
))</f>
        <v/>
      </c>
      <c r="P64" s="86" t="str">
        <f t="array" aca="1" ref="P64" ca="1">IF($B63="Gebruik % van maximum trede",
IF(
    OR(P61="",P62=""),
    "",
    MAX(
    INDIRECT("'" &amp; INDEX('Hulp (CAO''s)'!$C$3:$C$6,
        MATCH(TRUE,'Hulp (CAO''s)'!$D$3:$D$6,0)) &amp; "'!" &amp;
        INDEX('Hulp (CAO''s)'!$H$3:$H$6,
            MATCH(TRUE,'Hulp (CAO''s)'!$D$3:$D$6,0))
        &amp;
        MATCH(P61, INDIRECT("'" &amp; INDEX('Hulp (CAO''s)'!$C$3:$C$6,
            MATCH(TRUE,'Hulp (CAO''s)'!$D$3:$D$6,0)) &amp; "'!A:A"),0)
        &amp; ":H" &amp;
        IF(Q61&lt;&gt;"",
            MATCH(Q61, INDIRECT("'" &amp; INDEX('Hulp (CAO''s)'!$C$3:$C$6,
                MATCH(TRUE,'Hulp (CAO''s)'!$D$3:$D$6,0)) &amp; "'!A:A"),0)-1,
            1000
        )
    )
) * P62
),
IF(
    IFERROR(MIN(
        IF(
            (TRIM(INDIRECT("'" &amp; INDEX('Hulp (CAO''s)'!$C$3:$C$6,
                MATCH(TRUE,'Hulp (CAO''s)'!$D$3:$D$6,0)) &amp; "'!B1:B1000")) = TEXT(P63,"0")) *
            (ROW(INDIRECT("'" &amp; INDEX('Hulp (CAO''s)'!$C$3:$C$6,
                MATCH(TRUE,'Hulp (CAO''s)'!$D$3:$D$6,0)) &amp; "'!B1:B1000")) &gt; MATCH(
                P61,
                INDIRECT("'" &amp; INDEX('Hulp (CAO''s)'!$C$3:$C$6,
                    MATCH(TRUE,'Hulp (CAO''s)'!$D$3:$D$6,0)) &amp; "'!A:A"),
                0
            )) *
            IF(
                Q61="",
                1,
                (ROW(INDIRECT("'" &amp; INDEX('Hulp (CAO''s)'!$C$3:$C$6,
                    MATCH(TRUE,'Hulp (CAO''s)'!$D$3:$D$6,0)) &amp; "'!B1:B1000")) &lt; MATCH(
                    Q61,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TEXT(P63,"0")) *
                (ROW(INDIRECT("'" &amp; INDEX('Hulp (CAO''s)'!$C$3:$C$6,
                    MATCH(TRUE,'Hulp (CAO''s)'!$D$3:$D$6,0)) &amp; "'!B1:B1000")) &gt; MATCH(
                    P61,
                    INDIRECT("'" &amp; INDEX('Hulp (CAO''s)'!$C$3:$C$6,
                        MATCH(TRUE,'Hulp (CAO''s)'!$D$3:$D$6,0)) &amp; "'!A:A"),
                    0
                )) *
                IF(
                    Q61="",
                    1,
                    (ROW(INDIRECT("'" &amp; INDEX('Hulp (CAO''s)'!$C$3:$C$6,
                        MATCH(TRUE,'Hulp (CAO''s)'!$D$3:$D$6,0)) &amp; "'!B1:B1000")) &lt; MATCH(
                        Q61,
                        INDIRECT("'" &amp; INDEX('Hulp (CAO''s)'!$C$3:$C$6,
                            MATCH(TRUE,'Hulp (CAO''s)'!$D$3:$D$6,0)) &amp; "'!A:A"),
                        0
                    ))
                ),
                ROW(INDIRECT("'" &amp; INDEX('Hulp (CAO''s)'!$C$3:$C$6,
                    MATCH(TRUE,'Hulp (CAO''s)'!$D$3:$D$6,0)) &amp; "'!B1:B1000"))
            )
        ),0)
    )
))</f>
        <v/>
      </c>
      <c r="Q64" s="86" t="str">
        <f t="array" aca="1" ref="Q64" ca="1">IF($B63="Gebruik % van maximum trede",
IF(
    OR(Q61="",Q62=""),
    "",
    MAX(
    INDIRECT("'" &amp; INDEX('Hulp (CAO''s)'!$C$3:$C$6,
        MATCH(TRUE,'Hulp (CAO''s)'!$D$3:$D$6,0)) &amp; "'!" &amp;
        INDEX('Hulp (CAO''s)'!$H$3:$H$6,
            MATCH(TRUE,'Hulp (CAO''s)'!$D$3:$D$6,0))
        &amp;
        MATCH(Q61, INDIRECT("'" &amp; INDEX('Hulp (CAO''s)'!$C$3:$C$6,
            MATCH(TRUE,'Hulp (CAO''s)'!$D$3:$D$6,0)) &amp; "'!A:A"),0)
        &amp; ":H" &amp;
        IF(R61&lt;&gt;"",
            MATCH(R61, INDIRECT("'" &amp; INDEX('Hulp (CAO''s)'!$C$3:$C$6,
                MATCH(TRUE,'Hulp (CAO''s)'!$D$3:$D$6,0)) &amp; "'!A:A"),0)-1,
            1000
        )
    )
) * Q62
),
IF(
    IFERROR(MIN(
        IF(
            (TRIM(INDIRECT("'" &amp; INDEX('Hulp (CAO''s)'!$C$3:$C$6,
                MATCH(TRUE,'Hulp (CAO''s)'!$D$3:$D$6,0)) &amp; "'!B1:B1000")) = TEXT(Q63,"0")) *
            (ROW(INDIRECT("'" &amp; INDEX('Hulp (CAO''s)'!$C$3:$C$6,
                MATCH(TRUE,'Hulp (CAO''s)'!$D$3:$D$6,0)) &amp; "'!B1:B1000")) &gt; MATCH(
                Q61,
                INDIRECT("'" &amp; INDEX('Hulp (CAO''s)'!$C$3:$C$6,
                    MATCH(TRUE,'Hulp (CAO''s)'!$D$3:$D$6,0)) &amp; "'!A:A"),
                0
            )) *
            IF(
                R61="",
                1,
                (ROW(INDIRECT("'" &amp; INDEX('Hulp (CAO''s)'!$C$3:$C$6,
                    MATCH(TRUE,'Hulp (CAO''s)'!$D$3:$D$6,0)) &amp; "'!B1:B1000")) &lt; MATCH(
                    R61,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TEXT(Q63,"0")) *
                (ROW(INDIRECT("'" &amp; INDEX('Hulp (CAO''s)'!$C$3:$C$6,
                    MATCH(TRUE,'Hulp (CAO''s)'!$D$3:$D$6,0)) &amp; "'!B1:B1000")) &gt; MATCH(
                    Q61,
                    INDIRECT("'" &amp; INDEX('Hulp (CAO''s)'!$C$3:$C$6,
                        MATCH(TRUE,'Hulp (CAO''s)'!$D$3:$D$6,0)) &amp; "'!A:A"),
                    0
                )) *
                IF(
                    R61="",
                    1,
                    (ROW(INDIRECT("'" &amp; INDEX('Hulp (CAO''s)'!$C$3:$C$6,
                        MATCH(TRUE,'Hulp (CAO''s)'!$D$3:$D$6,0)) &amp; "'!B1:B1000")) &lt; MATCH(
                        R61,
                        INDIRECT("'" &amp; INDEX('Hulp (CAO''s)'!$C$3:$C$6,
                            MATCH(TRUE,'Hulp (CAO''s)'!$D$3:$D$6,0)) &amp; "'!A:A"),
                        0
                    ))
                ),
                ROW(INDIRECT("'" &amp; INDEX('Hulp (CAO''s)'!$C$3:$C$6,
                    MATCH(TRUE,'Hulp (CAO''s)'!$D$3:$D$6,0)) &amp; "'!B1:B1000"))
            )
        ),0)
    )
))</f>
        <v/>
      </c>
      <c r="R64" s="86" t="str">
        <f t="array" aca="1" ref="R64" ca="1">IF($B63="Gebruik % van maximum trede",
IF(
    OR(R61="",R62=""),
    "",
    MAX(
    INDIRECT("'" &amp; INDEX('Hulp (CAO''s)'!$C$3:$C$6,
        MATCH(TRUE,'Hulp (CAO''s)'!$D$3:$D$6,0)) &amp; "'!" &amp;
        INDEX('Hulp (CAO''s)'!$H$3:$H$6,
            MATCH(TRUE,'Hulp (CAO''s)'!$D$3:$D$6,0))
        &amp;
        MATCH(R61, INDIRECT("'" &amp; INDEX('Hulp (CAO''s)'!$C$3:$C$6,
            MATCH(TRUE,'Hulp (CAO''s)'!$D$3:$D$6,0)) &amp; "'!A:A"),0)
        &amp; ":H" &amp;
        IF(S61&lt;&gt;"",
            MATCH(S61, INDIRECT("'" &amp; INDEX('Hulp (CAO''s)'!$C$3:$C$6,
                MATCH(TRUE,'Hulp (CAO''s)'!$D$3:$D$6,0)) &amp; "'!A:A"),0)-1,
            1000
        )
    )
) * R62
),
IF(
    IFERROR(MIN(
        IF(
            (TRIM(INDIRECT("'" &amp; INDEX('Hulp (CAO''s)'!$C$3:$C$6,
                MATCH(TRUE,'Hulp (CAO''s)'!$D$3:$D$6,0)) &amp; "'!B1:B1000")) = TEXT(R63,"0")) *
            (ROW(INDIRECT("'" &amp; INDEX('Hulp (CAO''s)'!$C$3:$C$6,
                MATCH(TRUE,'Hulp (CAO''s)'!$D$3:$D$6,0)) &amp; "'!B1:B1000")) &gt; MATCH(
                R61,
                INDIRECT("'" &amp; INDEX('Hulp (CAO''s)'!$C$3:$C$6,
                    MATCH(TRUE,'Hulp (CAO''s)'!$D$3:$D$6,0)) &amp; "'!A:A"),
                0
            )) *
            IF(
                S61="",
                1,
                (ROW(INDIRECT("'" &amp; INDEX('Hulp (CAO''s)'!$C$3:$C$6,
                    MATCH(TRUE,'Hulp (CAO''s)'!$D$3:$D$6,0)) &amp; "'!B1:B1000")) &lt; MATCH(
                    S61,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TEXT(R63,"0")) *
                (ROW(INDIRECT("'" &amp; INDEX('Hulp (CAO''s)'!$C$3:$C$6,
                    MATCH(TRUE,'Hulp (CAO''s)'!$D$3:$D$6,0)) &amp; "'!B1:B1000")) &gt; MATCH(
                    R61,
                    INDIRECT("'" &amp; INDEX('Hulp (CAO''s)'!$C$3:$C$6,
                        MATCH(TRUE,'Hulp (CAO''s)'!$D$3:$D$6,0)) &amp; "'!A:A"),
                    0
                )) *
                IF(
                    S61="",
                    1,
                    (ROW(INDIRECT("'" &amp; INDEX('Hulp (CAO''s)'!$C$3:$C$6,
                        MATCH(TRUE,'Hulp (CAO''s)'!$D$3:$D$6,0)) &amp; "'!B1:B1000")) &lt; MATCH(
                        S61,
                        INDIRECT("'" &amp; INDEX('Hulp (CAO''s)'!$C$3:$C$6,
                            MATCH(TRUE,'Hulp (CAO''s)'!$D$3:$D$6,0)) &amp; "'!A:A"),
                        0
                    ))
                ),
                ROW(INDIRECT("'" &amp; INDEX('Hulp (CAO''s)'!$C$3:$C$6,
                    MATCH(TRUE,'Hulp (CAO''s)'!$D$3:$D$6,0)) &amp; "'!B1:B1000"))
            )
        ),0)
    )
))</f>
        <v/>
      </c>
      <c r="S64" s="86" t="str">
        <f t="array" aca="1" ref="S64" ca="1">IF($B63="Gebruik % van maximum trede",
IF(
    OR(S61="",S62=""),
    "",
    MAX(
    INDIRECT("'" &amp; INDEX('Hulp (CAO''s)'!$C$3:$C$6,
        MATCH(TRUE,'Hulp (CAO''s)'!$D$3:$D$6,0)) &amp; "'!" &amp;
        INDEX('Hulp (CAO''s)'!$H$3:$H$6,
            MATCH(TRUE,'Hulp (CAO''s)'!$D$3:$D$6,0))
        &amp;
        MATCH(S61, INDIRECT("'" &amp; INDEX('Hulp (CAO''s)'!$C$3:$C$6,
            MATCH(TRUE,'Hulp (CAO''s)'!$D$3:$D$6,0)) &amp; "'!A:A"),0)
        &amp; ":H" &amp;
        IF(T61&lt;&gt;"",
            MATCH(T61, INDIRECT("'" &amp; INDEX('Hulp (CAO''s)'!$C$3:$C$6,
                MATCH(TRUE,'Hulp (CAO''s)'!$D$3:$D$6,0)) &amp; "'!A:A"),0)-1,
            1000
        )
    )
) * S62
),
IF(
    IFERROR(MIN(
        IF(
            (TRIM(INDIRECT("'" &amp; INDEX('Hulp (CAO''s)'!$C$3:$C$6,
                MATCH(TRUE,'Hulp (CAO''s)'!$D$3:$D$6,0)) &amp; "'!B1:B1000")) = TEXT(S63,"0")) *
            (ROW(INDIRECT("'" &amp; INDEX('Hulp (CAO''s)'!$C$3:$C$6,
                MATCH(TRUE,'Hulp (CAO''s)'!$D$3:$D$6,0)) &amp; "'!B1:B1000")) &gt; MATCH(
                S61,
                INDIRECT("'" &amp; INDEX('Hulp (CAO''s)'!$C$3:$C$6,
                    MATCH(TRUE,'Hulp (CAO''s)'!$D$3:$D$6,0)) &amp; "'!A:A"),
                0
            )) *
            IF(
                T61="",
                1,
                (ROW(INDIRECT("'" &amp; INDEX('Hulp (CAO''s)'!$C$3:$C$6,
                    MATCH(TRUE,'Hulp (CAO''s)'!$D$3:$D$6,0)) &amp; "'!B1:B1000")) &lt; MATCH(
                    T61,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TEXT(S63,"0")) *
                (ROW(INDIRECT("'" &amp; INDEX('Hulp (CAO''s)'!$C$3:$C$6,
                    MATCH(TRUE,'Hulp (CAO''s)'!$D$3:$D$6,0)) &amp; "'!B1:B1000")) &gt; MATCH(
                    S61,
                    INDIRECT("'" &amp; INDEX('Hulp (CAO''s)'!$C$3:$C$6,
                        MATCH(TRUE,'Hulp (CAO''s)'!$D$3:$D$6,0)) &amp; "'!A:A"),
                    0
                )) *
                IF(
                    T61="",
                    1,
                    (ROW(INDIRECT("'" &amp; INDEX('Hulp (CAO''s)'!$C$3:$C$6,
                        MATCH(TRUE,'Hulp (CAO''s)'!$D$3:$D$6,0)) &amp; "'!B1:B1000")) &lt; MATCH(
                        T61,
                        INDIRECT("'" &amp; INDEX('Hulp (CAO''s)'!$C$3:$C$6,
                            MATCH(TRUE,'Hulp (CAO''s)'!$D$3:$D$6,0)) &amp; "'!A:A"),
                        0
                    ))
                ),
                ROW(INDIRECT("'" &amp; INDEX('Hulp (CAO''s)'!$C$3:$C$6,
                    MATCH(TRUE,'Hulp (CAO''s)'!$D$3:$D$6,0)) &amp; "'!B1:B1000"))
            )
        ),0)
    )
))</f>
        <v/>
      </c>
      <c r="T64" s="39" t="str">
        <f t="array" aca="1" ref="T64" ca="1">IF($B63="Gebruik % van maximum trede",
IF(
    OR(T61="",T62=""),
    "",
    MAX(
    INDIRECT("'" &amp; INDEX('Hulp (CAO''s)'!$C$3:$C$6,
        MATCH(TRUE,'Hulp (CAO''s)'!$D$3:$D$6,0)) &amp; "'!" &amp;
        INDEX('Hulp (CAO''s)'!$H$3:$H$6,
            MATCH(TRUE,'Hulp (CAO''s)'!$D$3:$D$6,0))
        &amp;
        MATCH(T61, INDIRECT("'" &amp; INDEX('Hulp (CAO''s)'!$C$3:$C$6,
            MATCH(TRUE,'Hulp (CAO''s)'!$D$3:$D$6,0)) &amp; "'!A:A"),0)
        &amp; ":H" &amp;
        IF(U61&lt;&gt;"",
            MATCH(U61, INDIRECT("'" &amp; INDEX('Hulp (CAO''s)'!$C$3:$C$6,
                MATCH(TRUE,'Hulp (CAO''s)'!$D$3:$D$6,0)) &amp; "'!A:A"),0)-1,
            1000
        )
    )
) * T62
),
IF(
    IFERROR(MIN(
        IF(
            (TRIM(INDIRECT("'" &amp; INDEX('Hulp (CAO''s)'!$C$3:$C$6,
                MATCH(TRUE,'Hulp (CAO''s)'!$D$3:$D$6,0)) &amp; "'!B1:B1000")) = TEXT(T63,"0")) *
            (ROW(INDIRECT("'" &amp; INDEX('Hulp (CAO''s)'!$C$3:$C$6,
                MATCH(TRUE,'Hulp (CAO''s)'!$D$3:$D$6,0)) &amp; "'!B1:B1000")) &gt; MATCH(
                T61,
                INDIRECT("'" &amp; INDEX('Hulp (CAO''s)'!$C$3:$C$6,
                    MATCH(TRUE,'Hulp (CAO''s)'!$D$3:$D$6,0)) &amp; "'!A:A"),
                0
            )) *
            IF(
                U61="",
                1,
                (ROW(INDIRECT("'" &amp; INDEX('Hulp (CAO''s)'!$C$3:$C$6,
                    MATCH(TRUE,'Hulp (CAO''s)'!$D$3:$D$6,0)) &amp; "'!B1:B1000")) &lt; MATCH(
                    U61,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TEXT(T63,"0")) *
                (ROW(INDIRECT("'" &amp; INDEX('Hulp (CAO''s)'!$C$3:$C$6,
                    MATCH(TRUE,'Hulp (CAO''s)'!$D$3:$D$6,0)) &amp; "'!B1:B1000")) &gt; MATCH(
                    T61,
                    INDIRECT("'" &amp; INDEX('Hulp (CAO''s)'!$C$3:$C$6,
                        MATCH(TRUE,'Hulp (CAO''s)'!$D$3:$D$6,0)) &amp; "'!A:A"),
                    0
                )) *
                IF(
                    U61="",
                    1,
                    (ROW(INDIRECT("'" &amp; INDEX('Hulp (CAO''s)'!$C$3:$C$6,
                        MATCH(TRUE,'Hulp (CAO''s)'!$D$3:$D$6,0)) &amp; "'!B1:B1000")) &lt; MATCH(
                        U61,
                        INDIRECT("'" &amp; INDEX('Hulp (CAO''s)'!$C$3:$C$6,
                            MATCH(TRUE,'Hulp (CAO''s)'!$D$3:$D$6,0)) &amp; "'!A:A"),
                        0
                    ))
                ),
                ROW(INDIRECT("'" &amp; INDEX('Hulp (CAO''s)'!$C$3:$C$6,
                    MATCH(TRUE,'Hulp (CAO''s)'!$D$3:$D$6,0)) &amp; "'!B1:B1000"))
            )
        ),0)
    )
))</f>
        <v/>
      </c>
      <c r="V64" s="38" t="str">
        <f t="array" aca="1" ref="V64" ca="1">IF(
   SUM(E64:T64)=0,
   "",
   (
      SUMPRODUCT(
         IF(E64:T64="",0,E64:T64),
         IF(E65:T65="",0,E65:T65) * SUM(E65:T65)
      )
   ) *
   IF(
      'Hulp (CAO''s)'!#REF!,
      IF(
         OR(
            INDEX(#REF!, ROW(#REF!) + INT((ROW()-ROW($V$8))/6)*8)="",
            ISNA(INDEX(#REF!, ROW(#REF!) + INT((ROW()-ROW($V$8))/6)*8))
         ),
         1878/12,
         INDEX(#REF!, ROW(#REF!) + INT((ROW()-ROW($V$8))/6)*8)/12
      ),
      1
   )
)</f>
        <v/>
      </c>
    </row>
    <row r="65" spans="2:24" ht="14.65" thickBot="1" x14ac:dyDescent="0.5">
      <c r="B65" s="48" t="s">
        <v>60</v>
      </c>
      <c r="D65" s="24" t="s">
        <v>59</v>
      </c>
      <c r="E65" s="8">
        <v>0.05</v>
      </c>
      <c r="F65" s="8">
        <v>0.1</v>
      </c>
      <c r="G65" s="8">
        <v>0.1</v>
      </c>
      <c r="H65" s="8">
        <v>0.15</v>
      </c>
      <c r="I65" s="8">
        <v>0.2</v>
      </c>
      <c r="J65" s="8">
        <v>0.15</v>
      </c>
      <c r="K65" s="8">
        <v>0.1</v>
      </c>
      <c r="L65" s="8">
        <v>0.05</v>
      </c>
      <c r="M65" s="8">
        <v>0.05</v>
      </c>
      <c r="N65" s="8">
        <v>0.05</v>
      </c>
      <c r="O65" s="8">
        <v>0</v>
      </c>
      <c r="P65" s="8"/>
      <c r="Q65" s="8"/>
      <c r="R65" s="8"/>
      <c r="S65" s="8"/>
      <c r="T65" s="9"/>
      <c r="U65" s="7"/>
      <c r="V65" s="37" t="str">
        <f ca="1">IF(B61="","",IF(INDIRECT("'Hulp (control forms)'!C" &amp; (13 + INT((ROW()-ROW($B$5))/6))), V63, V64))</f>
        <v/>
      </c>
      <c r="W65" s="7"/>
    </row>
    <row r="66" spans="2:24" x14ac:dyDescent="0.5">
      <c r="S66" s="7" t="str">
        <f>IF($B65="Aandeel in %",
   "Totaal: "&amp;SUM(E65:T65)*100&amp;"%",
   "Totaal: "&amp;SUM(E65:T65)&amp;" uur"
)</f>
        <v>Totaal: 100%</v>
      </c>
      <c r="T66" s="7"/>
    </row>
    <row r="67" spans="2:24" ht="16.149999999999999" thickBot="1" x14ac:dyDescent="0.55000000000000004">
      <c r="B67" s="44" t="str">
        <f ca="1">IF(B68="","",IF(
   OR(
      INDIRECT("'1a. Input organisatieniveau'!N" &amp; (14 + INT((ROW()-4)/7)))="",
      INDIRECT("'1a. Input organisatieniveau'!N" &amp; (14 + INT((ROW()-4)/7)))=0
   ),
   "",
   INDIRECT("'1a. Input organisatieniveau'!N" &amp; (14 + INT((ROW()-4)/7)))
))</f>
        <v/>
      </c>
      <c r="E67" s="61" t="str">
        <f t="shared" ref="E67:T67" ca="1" si="9">IF($B70="Gebruik % van maximum trede", IF(AND(AND(E68&lt;&gt;"",E69&lt;&gt;""),E71=""),"!",""), IF(AND(AND(E68&lt;&gt;"",E70&lt;&gt;""),E71=""),"!",""))</f>
        <v/>
      </c>
      <c r="F67" s="61" t="str">
        <f t="shared" ca="1" si="9"/>
        <v/>
      </c>
      <c r="G67" s="61" t="str">
        <f t="shared" ca="1" si="9"/>
        <v/>
      </c>
      <c r="H67" s="61" t="str">
        <f t="shared" ca="1" si="9"/>
        <v/>
      </c>
      <c r="I67" s="61" t="str">
        <f t="shared" ca="1" si="9"/>
        <v/>
      </c>
      <c r="J67" s="61" t="str">
        <f t="shared" ca="1" si="9"/>
        <v/>
      </c>
      <c r="K67" s="61" t="str">
        <f t="shared" ca="1" si="9"/>
        <v/>
      </c>
      <c r="L67" s="61" t="str">
        <f t="shared" ca="1" si="9"/>
        <v/>
      </c>
      <c r="M67" s="61" t="str">
        <f t="shared" ca="1" si="9"/>
        <v/>
      </c>
      <c r="N67" s="61" t="str">
        <f t="shared" ca="1" si="9"/>
        <v/>
      </c>
      <c r="O67" s="61" t="str">
        <f t="shared" ca="1" si="9"/>
        <v/>
      </c>
      <c r="P67" s="61" t="str">
        <f t="shared" ca="1" si="9"/>
        <v/>
      </c>
      <c r="Q67" s="61" t="str">
        <f t="shared" ca="1" si="9"/>
        <v/>
      </c>
      <c r="R67" s="61" t="str">
        <f t="shared" ca="1" si="9"/>
        <v/>
      </c>
      <c r="S67" s="61" t="str">
        <f t="shared" ca="1" si="9"/>
        <v/>
      </c>
      <c r="T67" s="61" t="str">
        <f t="shared" ca="1" si="9"/>
        <v/>
      </c>
    </row>
    <row r="68" spans="2:24" ht="16.149999999999999" thickBot="1" x14ac:dyDescent="0.55000000000000004">
      <c r="B68" s="45" t="str">
        <f ca="1">IF(
   OR(
      INDIRECT("'1a. Input organisatieniveau'!M" &amp; (14 + INT((ROW()-4)/7)))="",
      INDIRECT("'1a. Input organisatieniveau'!M" &amp; (14 + INT((ROW()-4)/7)))=0
   ),
   "",
   INDIRECT("'1a. Input organisatieniveau'!M" &amp; (14 + INT((ROW()-4)/7)))
)</f>
        <v/>
      </c>
      <c r="D68" s="22" t="s">
        <v>28</v>
      </c>
      <c r="E68" s="10" t="str">
        <f t="array" aca="1" ref="E68" ca="1">IF($B68="", "", INDEX('Hulp (CAO''s)'!J$3:J$6, MATCH(TRUE, 'Hulp (CAO''s)'!$D$3:$D$6, 0)))</f>
        <v/>
      </c>
      <c r="F68" s="10" t="str">
        <f t="array" aca="1" ref="F68" ca="1">IF($B68="", "", INDEX('Hulp (CAO''s)'!K$3:K$6, MATCH(TRUE, 'Hulp (CAO''s)'!$D$3:$D$6, 0)))</f>
        <v/>
      </c>
      <c r="G68" s="10" t="str">
        <f t="array" aca="1" ref="G68" ca="1">IF($B68="", "", INDEX('Hulp (CAO''s)'!L$3:L$6, MATCH(TRUE, 'Hulp (CAO''s)'!$D$3:$D$6, 0)))</f>
        <v/>
      </c>
      <c r="H68" s="10" t="str">
        <f t="array" aca="1" ref="H68" ca="1">IF($B68="", "", INDEX('Hulp (CAO''s)'!M$3:M$6, MATCH(TRUE, 'Hulp (CAO''s)'!$D$3:$D$6, 0)))</f>
        <v/>
      </c>
      <c r="I68" s="10" t="str">
        <f t="array" aca="1" ref="I68" ca="1">IF($B68="", "", INDEX('Hulp (CAO''s)'!N$3:N$6, MATCH(TRUE, 'Hulp (CAO''s)'!$D$3:$D$6, 0)))</f>
        <v/>
      </c>
      <c r="J68" s="10" t="str">
        <f t="array" aca="1" ref="J68" ca="1">IF($B68="", "", INDEX('Hulp (CAO''s)'!O$3:O$6, MATCH(TRUE, 'Hulp (CAO''s)'!$D$3:$D$6, 0)))</f>
        <v/>
      </c>
      <c r="K68" s="10" t="str">
        <f t="array" aca="1" ref="K68" ca="1">IF($B68="", "", INDEX('Hulp (CAO''s)'!P$3:P$6, MATCH(TRUE, 'Hulp (CAO''s)'!$D$3:$D$6, 0)))</f>
        <v/>
      </c>
      <c r="L68" s="10" t="str">
        <f t="array" aca="1" ref="L68" ca="1">IF($B68="", "", INDEX('Hulp (CAO''s)'!Q$3:Q$6, MATCH(TRUE, 'Hulp (CAO''s)'!$D$3:$D$6, 0)))</f>
        <v/>
      </c>
      <c r="M68" s="10" t="str">
        <f t="array" aca="1" ref="M68" ca="1">IF($B68="", "", INDEX('Hulp (CAO''s)'!R$3:R$6, MATCH(TRUE, 'Hulp (CAO''s)'!$D$3:$D$6, 0)))</f>
        <v/>
      </c>
      <c r="N68" s="10" t="str">
        <f t="array" aca="1" ref="N68" ca="1">IF($B68="", "", INDEX('Hulp (CAO''s)'!S$3:S$6, MATCH(TRUE, 'Hulp (CAO''s)'!$D$3:$D$6, 0)))</f>
        <v/>
      </c>
      <c r="O68" s="10" t="str">
        <f t="array" aca="1" ref="O68" ca="1">IF($B68="", "", INDEX('Hulp (CAO''s)'!T$3:T$6, MATCH(TRUE, 'Hulp (CAO''s)'!$D$3:$D$6, 0)))</f>
        <v/>
      </c>
      <c r="P68" s="10" t="str">
        <f t="array" aca="1" ref="P68" ca="1">IF($B68="", "", INDEX('Hulp (CAO''s)'!U$3:U$6, MATCH(TRUE, 'Hulp (CAO''s)'!$D$3:$D$6, 0)))</f>
        <v/>
      </c>
      <c r="Q68" s="10" t="str">
        <f t="array" aca="1" ref="Q68" ca="1">IF($B68="", "", INDEX('Hulp (CAO''s)'!V$3:V$6, MATCH(TRUE, 'Hulp (CAO''s)'!$D$3:$D$6, 0)))</f>
        <v/>
      </c>
      <c r="R68" s="10" t="str">
        <f t="array" aca="1" ref="R68" ca="1">IF($B68="", "", INDEX('Hulp (CAO''s)'!W$3:W$6, MATCH(TRUE, 'Hulp (CAO''s)'!$D$3:$D$6, 0)))</f>
        <v/>
      </c>
      <c r="S68" s="10" t="str">
        <f t="array" aca="1" ref="S68" ca="1">IF($B68="", "", INDEX('Hulp (CAO''s)'!X$3:X$6, MATCH(TRUE, 'Hulp (CAO''s)'!$D$3:$D$6, 0)))</f>
        <v/>
      </c>
      <c r="T68" s="11" t="str">
        <f t="array" aca="1" ref="T68" ca="1">IF($B68="", "", INDEX('Hulp (CAO''s)'!Y$3:Y$6, MATCH(TRUE, 'Hulp (CAO''s)'!$D$3:$D$6, 0)))</f>
        <v/>
      </c>
      <c r="V68" s="25"/>
      <c r="W68" s="5"/>
    </row>
    <row r="69" spans="2:24" ht="16.149999999999999" thickBot="1" x14ac:dyDescent="0.55000000000000004">
      <c r="D69" s="23" t="s">
        <v>770</v>
      </c>
      <c r="E69" s="90">
        <v>0.96</v>
      </c>
      <c r="F69" s="90">
        <v>0.9</v>
      </c>
      <c r="G69" s="90">
        <v>0.9</v>
      </c>
      <c r="H69" s="90">
        <v>0.7</v>
      </c>
      <c r="I69" s="90">
        <v>0.8</v>
      </c>
      <c r="J69" s="90">
        <v>0.9</v>
      </c>
      <c r="K69" s="90">
        <v>0.9</v>
      </c>
      <c r="L69" s="90">
        <v>0.9</v>
      </c>
      <c r="M69" s="90">
        <v>0.9</v>
      </c>
      <c r="N69" s="90">
        <v>0.8</v>
      </c>
      <c r="O69" s="90">
        <v>0.95</v>
      </c>
      <c r="P69" s="90">
        <v>0.93</v>
      </c>
      <c r="Q69" s="90">
        <v>0.93</v>
      </c>
      <c r="R69" s="90">
        <v>0.95</v>
      </c>
      <c r="S69" s="90">
        <v>0.92</v>
      </c>
      <c r="T69" s="91">
        <v>0.95</v>
      </c>
      <c r="V69" s="25" t="s">
        <v>32</v>
      </c>
    </row>
    <row r="70" spans="2:24" ht="14.25" x14ac:dyDescent="0.45">
      <c r="B70" s="48" t="s">
        <v>771</v>
      </c>
      <c r="D70" s="23" t="s">
        <v>29</v>
      </c>
      <c r="E70" s="94">
        <v>9</v>
      </c>
      <c r="F70" s="94">
        <v>10</v>
      </c>
      <c r="G70" s="94">
        <v>10</v>
      </c>
      <c r="H70" s="94">
        <v>9</v>
      </c>
      <c r="I70" s="94">
        <v>10</v>
      </c>
      <c r="J70" s="94">
        <v>11</v>
      </c>
      <c r="K70" s="94">
        <v>10</v>
      </c>
      <c r="L70" s="94">
        <v>10</v>
      </c>
      <c r="M70" s="94">
        <v>9</v>
      </c>
      <c r="N70" s="94">
        <v>10</v>
      </c>
      <c r="O70" s="94">
        <v>11</v>
      </c>
      <c r="P70" s="94">
        <v>12</v>
      </c>
      <c r="Q70" s="94">
        <v>13</v>
      </c>
      <c r="R70" s="94">
        <v>12</v>
      </c>
      <c r="S70" s="94">
        <v>10</v>
      </c>
      <c r="T70" s="33">
        <v>5</v>
      </c>
      <c r="V70" s="52">
        <v>4000</v>
      </c>
      <c r="X70" s="60" t="s">
        <v>747</v>
      </c>
    </row>
    <row r="71" spans="2:24" ht="14.65" thickBot="1" x14ac:dyDescent="0.5">
      <c r="B71"/>
      <c r="D71" s="40" t="str">
        <f>IFERROR(
   INDEX('Hulp (CAO''s)'!$I$3:$I$6, MATCH(TRUE, 'Hulp (CAO''s)'!$D$3:$D$6, 0)),
"")</f>
        <v>Bruto maandsalaris</v>
      </c>
      <c r="E71" s="86" t="str">
        <f t="array" aca="1" ref="E71" ca="1">IF($B70="Gebruik % van maximum trede",
IF(
    OR(E68="",E69=""),
    "",
    MAX(
    INDIRECT("'" &amp; INDEX('Hulp (CAO''s)'!$C$3:$C$6,
        MATCH(TRUE,'Hulp (CAO''s)'!$D$3:$D$6,0)) &amp; "'!" &amp;
        INDEX('Hulp (CAO''s)'!$H$3:$H$6,
            MATCH(TRUE,'Hulp (CAO''s)'!$D$3:$D$6,0))
        &amp;
        MATCH(E68, INDIRECT("'" &amp; INDEX('Hulp (CAO''s)'!$C$3:$C$6,
            MATCH(TRUE,'Hulp (CAO''s)'!$D$3:$D$6,0)) &amp; "'!A:A"),0)
        &amp; ":H" &amp;
        IF(F68&lt;&gt;"",
            MATCH(F68, INDIRECT("'" &amp; INDEX('Hulp (CAO''s)'!$C$3:$C$6,
                MATCH(TRUE,'Hulp (CAO''s)'!$D$3:$D$6,0)) &amp; "'!A:A"),0)-1,
            1000
        )
    )
) * E69
),
IF(
    IFERROR(MIN(
        IF(
            (TRIM(INDIRECT("'" &amp; INDEX('Hulp (CAO''s)'!$C$3:$C$6,
                MATCH(TRUE,'Hulp (CAO''s)'!$D$3:$D$6,0)) &amp; "'!B1:B1000")) = TEXT(E70,"0")) *
            (ROW(INDIRECT("'" &amp; INDEX('Hulp (CAO''s)'!$C$3:$C$6,
                MATCH(TRUE,'Hulp (CAO''s)'!$D$3:$D$6,0)) &amp; "'!B1:B1000")) &gt; MATCH(
                E68,
                INDIRECT("'" &amp; INDEX('Hulp (CAO''s)'!$C$3:$C$6,
                    MATCH(TRUE,'Hulp (CAO''s)'!$D$3:$D$6,0)) &amp; "'!A:A"),
                0
            )) *
            IF(
                F68="",
                1,
                (ROW(INDIRECT("'" &amp; INDEX('Hulp (CAO''s)'!$C$3:$C$6,
                    MATCH(TRUE,'Hulp (CAO''s)'!$D$3:$D$6,0)) &amp; "'!B1:B1000")) &lt; MATCH(
                    F68,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TEXT(E70,"0")) *
                (ROW(INDIRECT("'" &amp; INDEX('Hulp (CAO''s)'!$C$3:$C$6,
                    MATCH(TRUE,'Hulp (CAO''s)'!$D$3:$D$6,0)) &amp; "'!B1:B1000")) &gt; MATCH(
                    E68,
                    INDIRECT("'" &amp; INDEX('Hulp (CAO''s)'!$C$3:$C$6,
                        MATCH(TRUE,'Hulp (CAO''s)'!$D$3:$D$6,0)) &amp; "'!A:A"),
                    0
                )) *
                IF(
                    F68="",
                    1,
                    (ROW(INDIRECT("'" &amp; INDEX('Hulp (CAO''s)'!$C$3:$C$6,
                        MATCH(TRUE,'Hulp (CAO''s)'!$D$3:$D$6,0)) &amp; "'!B1:B1000")) &lt; MATCH(
                        F68,
                        INDIRECT("'" &amp; INDEX('Hulp (CAO''s)'!$C$3:$C$6,
                            MATCH(TRUE,'Hulp (CAO''s)'!$D$3:$D$6,0)) &amp; "'!A:A"),
                        0
                    ))
                ),
                ROW(INDIRECT("'" &amp; INDEX('Hulp (CAO''s)'!$C$3:$C$6,
                    MATCH(TRUE,'Hulp (CAO''s)'!$D$3:$D$6,0)) &amp; "'!B1:B1000"))
            )
        ),0)
    )
))</f>
        <v/>
      </c>
      <c r="F71" s="86" t="str">
        <f t="array" aca="1" ref="F71" ca="1">IF($B70="Gebruik % van maximum trede",
IF(
    OR(F68="",F69=""),
    "",
    MAX(
    INDIRECT("'" &amp; INDEX('Hulp (CAO''s)'!$C$3:$C$6,
        MATCH(TRUE,'Hulp (CAO''s)'!$D$3:$D$6,0)) &amp; "'!" &amp;
        INDEX('Hulp (CAO''s)'!$H$3:$H$6,
            MATCH(TRUE,'Hulp (CAO''s)'!$D$3:$D$6,0))
        &amp;
        MATCH(F68, INDIRECT("'" &amp; INDEX('Hulp (CAO''s)'!$C$3:$C$6,
            MATCH(TRUE,'Hulp (CAO''s)'!$D$3:$D$6,0)) &amp; "'!A:A"),0)
        &amp; ":H" &amp;
        IF(G68&lt;&gt;"",
            MATCH(G68, INDIRECT("'" &amp; INDEX('Hulp (CAO''s)'!$C$3:$C$6,
                MATCH(TRUE,'Hulp (CAO''s)'!$D$3:$D$6,0)) &amp; "'!A:A"),0)-1,
            1000
        )
    )
) * F69
),
IF(
    IFERROR(MIN(
        IF(
            (TRIM(INDIRECT("'" &amp; INDEX('Hulp (CAO''s)'!$C$3:$C$6,
                MATCH(TRUE,'Hulp (CAO''s)'!$D$3:$D$6,0)) &amp; "'!B1:B1000")) = TEXT(F70,"0")) *
            (ROW(INDIRECT("'" &amp; INDEX('Hulp (CAO''s)'!$C$3:$C$6,
                MATCH(TRUE,'Hulp (CAO''s)'!$D$3:$D$6,0)) &amp; "'!B1:B1000")) &gt; MATCH(
                F68,
                INDIRECT("'" &amp; INDEX('Hulp (CAO''s)'!$C$3:$C$6,
                    MATCH(TRUE,'Hulp (CAO''s)'!$D$3:$D$6,0)) &amp; "'!A:A"),
                0
            )) *
            IF(
                G68="",
                1,
                (ROW(INDIRECT("'" &amp; INDEX('Hulp (CAO''s)'!$C$3:$C$6,
                    MATCH(TRUE,'Hulp (CAO''s)'!$D$3:$D$6,0)) &amp; "'!B1:B1000")) &lt; MATCH(
                    G68,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TEXT(F70,"0")) *
                (ROW(INDIRECT("'" &amp; INDEX('Hulp (CAO''s)'!$C$3:$C$6,
                    MATCH(TRUE,'Hulp (CAO''s)'!$D$3:$D$6,0)) &amp; "'!B1:B1000")) &gt; MATCH(
                    F68,
                    INDIRECT("'" &amp; INDEX('Hulp (CAO''s)'!$C$3:$C$6,
                        MATCH(TRUE,'Hulp (CAO''s)'!$D$3:$D$6,0)) &amp; "'!A:A"),
                    0
                )) *
                IF(
                    G68="",
                    1,
                    (ROW(INDIRECT("'" &amp; INDEX('Hulp (CAO''s)'!$C$3:$C$6,
                        MATCH(TRUE,'Hulp (CAO''s)'!$D$3:$D$6,0)) &amp; "'!B1:B1000")) &lt; MATCH(
                        G68,
                        INDIRECT("'" &amp; INDEX('Hulp (CAO''s)'!$C$3:$C$6,
                            MATCH(TRUE,'Hulp (CAO''s)'!$D$3:$D$6,0)) &amp; "'!A:A"),
                        0
                    ))
                ),
                ROW(INDIRECT("'" &amp; INDEX('Hulp (CAO''s)'!$C$3:$C$6,
                    MATCH(TRUE,'Hulp (CAO''s)'!$D$3:$D$6,0)) &amp; "'!B1:B1000"))
            )
        ),0)
    )
))</f>
        <v/>
      </c>
      <c r="G71" s="86" t="str">
        <f t="array" aca="1" ref="G71" ca="1">IF($B70="Gebruik % van maximum trede",
IF(
    OR(G68="",G69=""),
    "",
    MAX(
    INDIRECT("'" &amp; INDEX('Hulp (CAO''s)'!$C$3:$C$6,
        MATCH(TRUE,'Hulp (CAO''s)'!$D$3:$D$6,0)) &amp; "'!" &amp;
        INDEX('Hulp (CAO''s)'!$H$3:$H$6,
            MATCH(TRUE,'Hulp (CAO''s)'!$D$3:$D$6,0))
        &amp;
        MATCH(G68, INDIRECT("'" &amp; INDEX('Hulp (CAO''s)'!$C$3:$C$6,
            MATCH(TRUE,'Hulp (CAO''s)'!$D$3:$D$6,0)) &amp; "'!A:A"),0)
        &amp; ":H" &amp;
        IF(H68&lt;&gt;"",
            MATCH(H68, INDIRECT("'" &amp; INDEX('Hulp (CAO''s)'!$C$3:$C$6,
                MATCH(TRUE,'Hulp (CAO''s)'!$D$3:$D$6,0)) &amp; "'!A:A"),0)-1,
            1000
        )
    )
) * G69
),
IF(
    IFERROR(MIN(
        IF(
            (TRIM(INDIRECT("'" &amp; INDEX('Hulp (CAO''s)'!$C$3:$C$6,
                MATCH(TRUE,'Hulp (CAO''s)'!$D$3:$D$6,0)) &amp; "'!B1:B1000")) = TEXT(G70,"0")) *
            (ROW(INDIRECT("'" &amp; INDEX('Hulp (CAO''s)'!$C$3:$C$6,
                MATCH(TRUE,'Hulp (CAO''s)'!$D$3:$D$6,0)) &amp; "'!B1:B1000")) &gt; MATCH(
                G68,
                INDIRECT("'" &amp; INDEX('Hulp (CAO''s)'!$C$3:$C$6,
                    MATCH(TRUE,'Hulp (CAO''s)'!$D$3:$D$6,0)) &amp; "'!A:A"),
                0
            )) *
            IF(
                H68="",
                1,
                (ROW(INDIRECT("'" &amp; INDEX('Hulp (CAO''s)'!$C$3:$C$6,
                    MATCH(TRUE,'Hulp (CAO''s)'!$D$3:$D$6,0)) &amp; "'!B1:B1000")) &lt; MATCH(
                    H68,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TEXT(G70,"0")) *
                (ROW(INDIRECT("'" &amp; INDEX('Hulp (CAO''s)'!$C$3:$C$6,
                    MATCH(TRUE,'Hulp (CAO''s)'!$D$3:$D$6,0)) &amp; "'!B1:B1000")) &gt; MATCH(
                    G68,
                    INDIRECT("'" &amp; INDEX('Hulp (CAO''s)'!$C$3:$C$6,
                        MATCH(TRUE,'Hulp (CAO''s)'!$D$3:$D$6,0)) &amp; "'!A:A"),
                    0
                )) *
                IF(
                    H68="",
                    1,
                    (ROW(INDIRECT("'" &amp; INDEX('Hulp (CAO''s)'!$C$3:$C$6,
                        MATCH(TRUE,'Hulp (CAO''s)'!$D$3:$D$6,0)) &amp; "'!B1:B1000")) &lt; MATCH(
                        H68,
                        INDIRECT("'" &amp; INDEX('Hulp (CAO''s)'!$C$3:$C$6,
                            MATCH(TRUE,'Hulp (CAO''s)'!$D$3:$D$6,0)) &amp; "'!A:A"),
                        0
                    ))
                ),
                ROW(INDIRECT("'" &amp; INDEX('Hulp (CAO''s)'!$C$3:$C$6,
                    MATCH(TRUE,'Hulp (CAO''s)'!$D$3:$D$6,0)) &amp; "'!B1:B1000"))
            )
        ),0)
    )
))</f>
        <v/>
      </c>
      <c r="H71" s="86" t="str">
        <f t="array" aca="1" ref="H71" ca="1">IF($B70="Gebruik % van maximum trede",
IF(
    OR(H68="",H69=""),
    "",
    MAX(
    INDIRECT("'" &amp; INDEX('Hulp (CAO''s)'!$C$3:$C$6,
        MATCH(TRUE,'Hulp (CAO''s)'!$D$3:$D$6,0)) &amp; "'!" &amp;
        INDEX('Hulp (CAO''s)'!$H$3:$H$6,
            MATCH(TRUE,'Hulp (CAO''s)'!$D$3:$D$6,0))
        &amp;
        MATCH(H68, INDIRECT("'" &amp; INDEX('Hulp (CAO''s)'!$C$3:$C$6,
            MATCH(TRUE,'Hulp (CAO''s)'!$D$3:$D$6,0)) &amp; "'!A:A"),0)
        &amp; ":H" &amp;
        IF(I68&lt;&gt;"",
            MATCH(I68, INDIRECT("'" &amp; INDEX('Hulp (CAO''s)'!$C$3:$C$6,
                MATCH(TRUE,'Hulp (CAO''s)'!$D$3:$D$6,0)) &amp; "'!A:A"),0)-1,
            1000
        )
    )
) * H69
),
IF(
    IFERROR(MIN(
        IF(
            (TRIM(INDIRECT("'" &amp; INDEX('Hulp (CAO''s)'!$C$3:$C$6,
                MATCH(TRUE,'Hulp (CAO''s)'!$D$3:$D$6,0)) &amp; "'!B1:B1000")) = TEXT(H70,"0")) *
            (ROW(INDIRECT("'" &amp; INDEX('Hulp (CAO''s)'!$C$3:$C$6,
                MATCH(TRUE,'Hulp (CAO''s)'!$D$3:$D$6,0)) &amp; "'!B1:B1000")) &gt; MATCH(
                H68,
                INDIRECT("'" &amp; INDEX('Hulp (CAO''s)'!$C$3:$C$6,
                    MATCH(TRUE,'Hulp (CAO''s)'!$D$3:$D$6,0)) &amp; "'!A:A"),
                0
            )) *
            IF(
                I68="",
                1,
                (ROW(INDIRECT("'" &amp; INDEX('Hulp (CAO''s)'!$C$3:$C$6,
                    MATCH(TRUE,'Hulp (CAO''s)'!$D$3:$D$6,0)) &amp; "'!B1:B1000")) &lt; MATCH(
                    I68,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TEXT(H70,"0")) *
                (ROW(INDIRECT("'" &amp; INDEX('Hulp (CAO''s)'!$C$3:$C$6,
                    MATCH(TRUE,'Hulp (CAO''s)'!$D$3:$D$6,0)) &amp; "'!B1:B1000")) &gt; MATCH(
                    H68,
                    INDIRECT("'" &amp; INDEX('Hulp (CAO''s)'!$C$3:$C$6,
                        MATCH(TRUE,'Hulp (CAO''s)'!$D$3:$D$6,0)) &amp; "'!A:A"),
                    0
                )) *
                IF(
                    I68="",
                    1,
                    (ROW(INDIRECT("'" &amp; INDEX('Hulp (CAO''s)'!$C$3:$C$6,
                        MATCH(TRUE,'Hulp (CAO''s)'!$D$3:$D$6,0)) &amp; "'!B1:B1000")) &lt; MATCH(
                        I68,
                        INDIRECT("'" &amp; INDEX('Hulp (CAO''s)'!$C$3:$C$6,
                            MATCH(TRUE,'Hulp (CAO''s)'!$D$3:$D$6,0)) &amp; "'!A:A"),
                        0
                    ))
                ),
                ROW(INDIRECT("'" &amp; INDEX('Hulp (CAO''s)'!$C$3:$C$6,
                    MATCH(TRUE,'Hulp (CAO''s)'!$D$3:$D$6,0)) &amp; "'!B1:B1000"))
            )
        ),0)
    )
))</f>
        <v/>
      </c>
      <c r="I71" s="86" t="str">
        <f t="array" aca="1" ref="I71" ca="1">IF($B70="Gebruik % van maximum trede",
IF(
    OR(I68="",I69=""),
    "",
    MAX(
    INDIRECT("'" &amp; INDEX('Hulp (CAO''s)'!$C$3:$C$6,
        MATCH(TRUE,'Hulp (CAO''s)'!$D$3:$D$6,0)) &amp; "'!" &amp;
        INDEX('Hulp (CAO''s)'!$H$3:$H$6,
            MATCH(TRUE,'Hulp (CAO''s)'!$D$3:$D$6,0))
        &amp;
        MATCH(I68, INDIRECT("'" &amp; INDEX('Hulp (CAO''s)'!$C$3:$C$6,
            MATCH(TRUE,'Hulp (CAO''s)'!$D$3:$D$6,0)) &amp; "'!A:A"),0)
        &amp; ":H" &amp;
        IF(J68&lt;&gt;"",
            MATCH(J68, INDIRECT("'" &amp; INDEX('Hulp (CAO''s)'!$C$3:$C$6,
                MATCH(TRUE,'Hulp (CAO''s)'!$D$3:$D$6,0)) &amp; "'!A:A"),0)-1,
            1000
        )
    )
) * I69
),
IF(
    IFERROR(MIN(
        IF(
            (TRIM(INDIRECT("'" &amp; INDEX('Hulp (CAO''s)'!$C$3:$C$6,
                MATCH(TRUE,'Hulp (CAO''s)'!$D$3:$D$6,0)) &amp; "'!B1:B1000")) = TEXT(I70,"0")) *
            (ROW(INDIRECT("'" &amp; INDEX('Hulp (CAO''s)'!$C$3:$C$6,
                MATCH(TRUE,'Hulp (CAO''s)'!$D$3:$D$6,0)) &amp; "'!B1:B1000")) &gt; MATCH(
                I68,
                INDIRECT("'" &amp; INDEX('Hulp (CAO''s)'!$C$3:$C$6,
                    MATCH(TRUE,'Hulp (CAO''s)'!$D$3:$D$6,0)) &amp; "'!A:A"),
                0
            )) *
            IF(
                J68="",
                1,
                (ROW(INDIRECT("'" &amp; INDEX('Hulp (CAO''s)'!$C$3:$C$6,
                    MATCH(TRUE,'Hulp (CAO''s)'!$D$3:$D$6,0)) &amp; "'!B1:B1000")) &lt; MATCH(
                    J68,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TEXT(I70,"0")) *
                (ROW(INDIRECT("'" &amp; INDEX('Hulp (CAO''s)'!$C$3:$C$6,
                    MATCH(TRUE,'Hulp (CAO''s)'!$D$3:$D$6,0)) &amp; "'!B1:B1000")) &gt; MATCH(
                    I68,
                    INDIRECT("'" &amp; INDEX('Hulp (CAO''s)'!$C$3:$C$6,
                        MATCH(TRUE,'Hulp (CAO''s)'!$D$3:$D$6,0)) &amp; "'!A:A"),
                    0
                )) *
                IF(
                    J68="",
                    1,
                    (ROW(INDIRECT("'" &amp; INDEX('Hulp (CAO''s)'!$C$3:$C$6,
                        MATCH(TRUE,'Hulp (CAO''s)'!$D$3:$D$6,0)) &amp; "'!B1:B1000")) &lt; MATCH(
                        J68,
                        INDIRECT("'" &amp; INDEX('Hulp (CAO''s)'!$C$3:$C$6,
                            MATCH(TRUE,'Hulp (CAO''s)'!$D$3:$D$6,0)) &amp; "'!A:A"),
                        0
                    ))
                ),
                ROW(INDIRECT("'" &amp; INDEX('Hulp (CAO''s)'!$C$3:$C$6,
                    MATCH(TRUE,'Hulp (CAO''s)'!$D$3:$D$6,0)) &amp; "'!B1:B1000"))
            )
        ),0)
    )
))</f>
        <v/>
      </c>
      <c r="J71" s="86" t="str">
        <f t="array" aca="1" ref="J71" ca="1">IF($B70="Gebruik % van maximum trede",
IF(
    OR(J68="",J69=""),
    "",
    MAX(
    INDIRECT("'" &amp; INDEX('Hulp (CAO''s)'!$C$3:$C$6,
        MATCH(TRUE,'Hulp (CAO''s)'!$D$3:$D$6,0)) &amp; "'!" &amp;
        INDEX('Hulp (CAO''s)'!$H$3:$H$6,
            MATCH(TRUE,'Hulp (CAO''s)'!$D$3:$D$6,0))
        &amp;
        MATCH(J68, INDIRECT("'" &amp; INDEX('Hulp (CAO''s)'!$C$3:$C$6,
            MATCH(TRUE,'Hulp (CAO''s)'!$D$3:$D$6,0)) &amp; "'!A:A"),0)
        &amp; ":H" &amp;
        IF(K68&lt;&gt;"",
            MATCH(K68, INDIRECT("'" &amp; INDEX('Hulp (CAO''s)'!$C$3:$C$6,
                MATCH(TRUE,'Hulp (CAO''s)'!$D$3:$D$6,0)) &amp; "'!A:A"),0)-1,
            1000
        )
    )
) * J69
),
IF(
    IFERROR(MIN(
        IF(
            (TRIM(INDIRECT("'" &amp; INDEX('Hulp (CAO''s)'!$C$3:$C$6,
                MATCH(TRUE,'Hulp (CAO''s)'!$D$3:$D$6,0)) &amp; "'!B1:B1000")) = TEXT(J70,"0")) *
            (ROW(INDIRECT("'" &amp; INDEX('Hulp (CAO''s)'!$C$3:$C$6,
                MATCH(TRUE,'Hulp (CAO''s)'!$D$3:$D$6,0)) &amp; "'!B1:B1000")) &gt; MATCH(
                J68,
                INDIRECT("'" &amp; INDEX('Hulp (CAO''s)'!$C$3:$C$6,
                    MATCH(TRUE,'Hulp (CAO''s)'!$D$3:$D$6,0)) &amp; "'!A:A"),
                0
            )) *
            IF(
                K68="",
                1,
                (ROW(INDIRECT("'" &amp; INDEX('Hulp (CAO''s)'!$C$3:$C$6,
                    MATCH(TRUE,'Hulp (CAO''s)'!$D$3:$D$6,0)) &amp; "'!B1:B1000")) &lt; MATCH(
                    K68,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TEXT(J70,"0")) *
                (ROW(INDIRECT("'" &amp; INDEX('Hulp (CAO''s)'!$C$3:$C$6,
                    MATCH(TRUE,'Hulp (CAO''s)'!$D$3:$D$6,0)) &amp; "'!B1:B1000")) &gt; MATCH(
                    J68,
                    INDIRECT("'" &amp; INDEX('Hulp (CAO''s)'!$C$3:$C$6,
                        MATCH(TRUE,'Hulp (CAO''s)'!$D$3:$D$6,0)) &amp; "'!A:A"),
                    0
                )) *
                IF(
                    K68="",
                    1,
                    (ROW(INDIRECT("'" &amp; INDEX('Hulp (CAO''s)'!$C$3:$C$6,
                        MATCH(TRUE,'Hulp (CAO''s)'!$D$3:$D$6,0)) &amp; "'!B1:B1000")) &lt; MATCH(
                        K68,
                        INDIRECT("'" &amp; INDEX('Hulp (CAO''s)'!$C$3:$C$6,
                            MATCH(TRUE,'Hulp (CAO''s)'!$D$3:$D$6,0)) &amp; "'!A:A"),
                        0
                    ))
                ),
                ROW(INDIRECT("'" &amp; INDEX('Hulp (CAO''s)'!$C$3:$C$6,
                    MATCH(TRUE,'Hulp (CAO''s)'!$D$3:$D$6,0)) &amp; "'!B1:B1000"))
            )
        ),0)
    )
))</f>
        <v/>
      </c>
      <c r="K71" s="86" t="str">
        <f t="array" aca="1" ref="K71" ca="1">IF($B70="Gebruik % van maximum trede",
IF(
    OR(K68="",K69=""),
    "",
    MAX(
    INDIRECT("'" &amp; INDEX('Hulp (CAO''s)'!$C$3:$C$6,
        MATCH(TRUE,'Hulp (CAO''s)'!$D$3:$D$6,0)) &amp; "'!" &amp;
        INDEX('Hulp (CAO''s)'!$H$3:$H$6,
            MATCH(TRUE,'Hulp (CAO''s)'!$D$3:$D$6,0))
        &amp;
        MATCH(K68, INDIRECT("'" &amp; INDEX('Hulp (CAO''s)'!$C$3:$C$6,
            MATCH(TRUE,'Hulp (CAO''s)'!$D$3:$D$6,0)) &amp; "'!A:A"),0)
        &amp; ":H" &amp;
        IF(L68&lt;&gt;"",
            MATCH(L68, INDIRECT("'" &amp; INDEX('Hulp (CAO''s)'!$C$3:$C$6,
                MATCH(TRUE,'Hulp (CAO''s)'!$D$3:$D$6,0)) &amp; "'!A:A"),0)-1,
            1000
        )
    )
) * K69
),
IF(
    IFERROR(MIN(
        IF(
            (TRIM(INDIRECT("'" &amp; INDEX('Hulp (CAO''s)'!$C$3:$C$6,
                MATCH(TRUE,'Hulp (CAO''s)'!$D$3:$D$6,0)) &amp; "'!B1:B1000")) = TEXT(K70,"0")) *
            (ROW(INDIRECT("'" &amp; INDEX('Hulp (CAO''s)'!$C$3:$C$6,
                MATCH(TRUE,'Hulp (CAO''s)'!$D$3:$D$6,0)) &amp; "'!B1:B1000")) &gt; MATCH(
                K68,
                INDIRECT("'" &amp; INDEX('Hulp (CAO''s)'!$C$3:$C$6,
                    MATCH(TRUE,'Hulp (CAO''s)'!$D$3:$D$6,0)) &amp; "'!A:A"),
                0
            )) *
            IF(
                L68="",
                1,
                (ROW(INDIRECT("'" &amp; INDEX('Hulp (CAO''s)'!$C$3:$C$6,
                    MATCH(TRUE,'Hulp (CAO''s)'!$D$3:$D$6,0)) &amp; "'!B1:B1000")) &lt; MATCH(
                    L68,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TEXT(K70,"0")) *
                (ROW(INDIRECT("'" &amp; INDEX('Hulp (CAO''s)'!$C$3:$C$6,
                    MATCH(TRUE,'Hulp (CAO''s)'!$D$3:$D$6,0)) &amp; "'!B1:B1000")) &gt; MATCH(
                    K68,
                    INDIRECT("'" &amp; INDEX('Hulp (CAO''s)'!$C$3:$C$6,
                        MATCH(TRUE,'Hulp (CAO''s)'!$D$3:$D$6,0)) &amp; "'!A:A"),
                    0
                )) *
                IF(
                    L68="",
                    1,
                    (ROW(INDIRECT("'" &amp; INDEX('Hulp (CAO''s)'!$C$3:$C$6,
                        MATCH(TRUE,'Hulp (CAO''s)'!$D$3:$D$6,0)) &amp; "'!B1:B1000")) &lt; MATCH(
                        L68,
                        INDIRECT("'" &amp; INDEX('Hulp (CAO''s)'!$C$3:$C$6,
                            MATCH(TRUE,'Hulp (CAO''s)'!$D$3:$D$6,0)) &amp; "'!A:A"),
                        0
                    ))
                ),
                ROW(INDIRECT("'" &amp; INDEX('Hulp (CAO''s)'!$C$3:$C$6,
                    MATCH(TRUE,'Hulp (CAO''s)'!$D$3:$D$6,0)) &amp; "'!B1:B1000"))
            )
        ),0)
    )
))</f>
        <v/>
      </c>
      <c r="L71" s="86" t="str">
        <f t="array" aca="1" ref="L71" ca="1">IF($B70="Gebruik % van maximum trede",
IF(
    OR(L68="",L69=""),
    "",
    MAX(
    INDIRECT("'" &amp; INDEX('Hulp (CAO''s)'!$C$3:$C$6,
        MATCH(TRUE,'Hulp (CAO''s)'!$D$3:$D$6,0)) &amp; "'!" &amp;
        INDEX('Hulp (CAO''s)'!$H$3:$H$6,
            MATCH(TRUE,'Hulp (CAO''s)'!$D$3:$D$6,0))
        &amp;
        MATCH(L68, INDIRECT("'" &amp; INDEX('Hulp (CAO''s)'!$C$3:$C$6,
            MATCH(TRUE,'Hulp (CAO''s)'!$D$3:$D$6,0)) &amp; "'!A:A"),0)
        &amp; ":H" &amp;
        IF(M68&lt;&gt;"",
            MATCH(M68, INDIRECT("'" &amp; INDEX('Hulp (CAO''s)'!$C$3:$C$6,
                MATCH(TRUE,'Hulp (CAO''s)'!$D$3:$D$6,0)) &amp; "'!A:A"),0)-1,
            1000
        )
    )
) * L69
),
IF(
    IFERROR(MIN(
        IF(
            (TRIM(INDIRECT("'" &amp; INDEX('Hulp (CAO''s)'!$C$3:$C$6,
                MATCH(TRUE,'Hulp (CAO''s)'!$D$3:$D$6,0)) &amp; "'!B1:B1000")) = TEXT(L70,"0")) *
            (ROW(INDIRECT("'" &amp; INDEX('Hulp (CAO''s)'!$C$3:$C$6,
                MATCH(TRUE,'Hulp (CAO''s)'!$D$3:$D$6,0)) &amp; "'!B1:B1000")) &gt; MATCH(
                L68,
                INDIRECT("'" &amp; INDEX('Hulp (CAO''s)'!$C$3:$C$6,
                    MATCH(TRUE,'Hulp (CAO''s)'!$D$3:$D$6,0)) &amp; "'!A:A"),
                0
            )) *
            IF(
                M68="",
                1,
                (ROW(INDIRECT("'" &amp; INDEX('Hulp (CAO''s)'!$C$3:$C$6,
                    MATCH(TRUE,'Hulp (CAO''s)'!$D$3:$D$6,0)) &amp; "'!B1:B1000")) &lt; MATCH(
                    M68,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TEXT(L70,"0")) *
                (ROW(INDIRECT("'" &amp; INDEX('Hulp (CAO''s)'!$C$3:$C$6,
                    MATCH(TRUE,'Hulp (CAO''s)'!$D$3:$D$6,0)) &amp; "'!B1:B1000")) &gt; MATCH(
                    L68,
                    INDIRECT("'" &amp; INDEX('Hulp (CAO''s)'!$C$3:$C$6,
                        MATCH(TRUE,'Hulp (CAO''s)'!$D$3:$D$6,0)) &amp; "'!A:A"),
                    0
                )) *
                IF(
                    M68="",
                    1,
                    (ROW(INDIRECT("'" &amp; INDEX('Hulp (CAO''s)'!$C$3:$C$6,
                        MATCH(TRUE,'Hulp (CAO''s)'!$D$3:$D$6,0)) &amp; "'!B1:B1000")) &lt; MATCH(
                        M68,
                        INDIRECT("'" &amp; INDEX('Hulp (CAO''s)'!$C$3:$C$6,
                            MATCH(TRUE,'Hulp (CAO''s)'!$D$3:$D$6,0)) &amp; "'!A:A"),
                        0
                    ))
                ),
                ROW(INDIRECT("'" &amp; INDEX('Hulp (CAO''s)'!$C$3:$C$6,
                    MATCH(TRUE,'Hulp (CAO''s)'!$D$3:$D$6,0)) &amp; "'!B1:B1000"))
            )
        ),0)
    )
))</f>
        <v/>
      </c>
      <c r="M71" s="86" t="str">
        <f t="array" aca="1" ref="M71" ca="1">IF($B70="Gebruik % van maximum trede",
IF(
    OR(M68="",M69=""),
    "",
    MAX(
    INDIRECT("'" &amp; INDEX('Hulp (CAO''s)'!$C$3:$C$6,
        MATCH(TRUE,'Hulp (CAO''s)'!$D$3:$D$6,0)) &amp; "'!" &amp;
        INDEX('Hulp (CAO''s)'!$H$3:$H$6,
            MATCH(TRUE,'Hulp (CAO''s)'!$D$3:$D$6,0))
        &amp;
        MATCH(M68, INDIRECT("'" &amp; INDEX('Hulp (CAO''s)'!$C$3:$C$6,
            MATCH(TRUE,'Hulp (CAO''s)'!$D$3:$D$6,0)) &amp; "'!A:A"),0)
        &amp; ":H" &amp;
        IF(N68&lt;&gt;"",
            MATCH(N68, INDIRECT("'" &amp; INDEX('Hulp (CAO''s)'!$C$3:$C$6,
                MATCH(TRUE,'Hulp (CAO''s)'!$D$3:$D$6,0)) &amp; "'!A:A"),0)-1,
            1000
        )
    )
) * M69
),
IF(
    IFERROR(MIN(
        IF(
            (TRIM(INDIRECT("'" &amp; INDEX('Hulp (CAO''s)'!$C$3:$C$6,
                MATCH(TRUE,'Hulp (CAO''s)'!$D$3:$D$6,0)) &amp; "'!B1:B1000")) = TEXT(M70,"0")) *
            (ROW(INDIRECT("'" &amp; INDEX('Hulp (CAO''s)'!$C$3:$C$6,
                MATCH(TRUE,'Hulp (CAO''s)'!$D$3:$D$6,0)) &amp; "'!B1:B1000")) &gt; MATCH(
                M68,
                INDIRECT("'" &amp; INDEX('Hulp (CAO''s)'!$C$3:$C$6,
                    MATCH(TRUE,'Hulp (CAO''s)'!$D$3:$D$6,0)) &amp; "'!A:A"),
                0
            )) *
            IF(
                N68="",
                1,
                (ROW(INDIRECT("'" &amp; INDEX('Hulp (CAO''s)'!$C$3:$C$6,
                    MATCH(TRUE,'Hulp (CAO''s)'!$D$3:$D$6,0)) &amp; "'!B1:B1000")) &lt; MATCH(
                    N68,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TEXT(M70,"0")) *
                (ROW(INDIRECT("'" &amp; INDEX('Hulp (CAO''s)'!$C$3:$C$6,
                    MATCH(TRUE,'Hulp (CAO''s)'!$D$3:$D$6,0)) &amp; "'!B1:B1000")) &gt; MATCH(
                    M68,
                    INDIRECT("'" &amp; INDEX('Hulp (CAO''s)'!$C$3:$C$6,
                        MATCH(TRUE,'Hulp (CAO''s)'!$D$3:$D$6,0)) &amp; "'!A:A"),
                    0
                )) *
                IF(
                    N68="",
                    1,
                    (ROW(INDIRECT("'" &amp; INDEX('Hulp (CAO''s)'!$C$3:$C$6,
                        MATCH(TRUE,'Hulp (CAO''s)'!$D$3:$D$6,0)) &amp; "'!B1:B1000")) &lt; MATCH(
                        N68,
                        INDIRECT("'" &amp; INDEX('Hulp (CAO''s)'!$C$3:$C$6,
                            MATCH(TRUE,'Hulp (CAO''s)'!$D$3:$D$6,0)) &amp; "'!A:A"),
                        0
                    ))
                ),
                ROW(INDIRECT("'" &amp; INDEX('Hulp (CAO''s)'!$C$3:$C$6,
                    MATCH(TRUE,'Hulp (CAO''s)'!$D$3:$D$6,0)) &amp; "'!B1:B1000"))
            )
        ),0)
    )
))</f>
        <v/>
      </c>
      <c r="N71" s="86" t="str">
        <f t="array" aca="1" ref="N71" ca="1">IF($B70="Gebruik % van maximum trede",
IF(
    OR(N68="",N69=""),
    "",
    MAX(
    INDIRECT("'" &amp; INDEX('Hulp (CAO''s)'!$C$3:$C$6,
        MATCH(TRUE,'Hulp (CAO''s)'!$D$3:$D$6,0)) &amp; "'!" &amp;
        INDEX('Hulp (CAO''s)'!$H$3:$H$6,
            MATCH(TRUE,'Hulp (CAO''s)'!$D$3:$D$6,0))
        &amp;
        MATCH(N68, INDIRECT("'" &amp; INDEX('Hulp (CAO''s)'!$C$3:$C$6,
            MATCH(TRUE,'Hulp (CAO''s)'!$D$3:$D$6,0)) &amp; "'!A:A"),0)
        &amp; ":H" &amp;
        IF(O68&lt;&gt;"",
            MATCH(O68, INDIRECT("'" &amp; INDEX('Hulp (CAO''s)'!$C$3:$C$6,
                MATCH(TRUE,'Hulp (CAO''s)'!$D$3:$D$6,0)) &amp; "'!A:A"),0)-1,
            1000
        )
    )
) * N69
),
IF(
    IFERROR(MIN(
        IF(
            (TRIM(INDIRECT("'" &amp; INDEX('Hulp (CAO''s)'!$C$3:$C$6,
                MATCH(TRUE,'Hulp (CAO''s)'!$D$3:$D$6,0)) &amp; "'!B1:B1000")) = TEXT(N70,"0")) *
            (ROW(INDIRECT("'" &amp; INDEX('Hulp (CAO''s)'!$C$3:$C$6,
                MATCH(TRUE,'Hulp (CAO''s)'!$D$3:$D$6,0)) &amp; "'!B1:B1000")) &gt; MATCH(
                N68,
                INDIRECT("'" &amp; INDEX('Hulp (CAO''s)'!$C$3:$C$6,
                    MATCH(TRUE,'Hulp (CAO''s)'!$D$3:$D$6,0)) &amp; "'!A:A"),
                0
            )) *
            IF(
                O68="",
                1,
                (ROW(INDIRECT("'" &amp; INDEX('Hulp (CAO''s)'!$C$3:$C$6,
                    MATCH(TRUE,'Hulp (CAO''s)'!$D$3:$D$6,0)) &amp; "'!B1:B1000")) &lt; MATCH(
                    O68,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TEXT(N70,"0")) *
                (ROW(INDIRECT("'" &amp; INDEX('Hulp (CAO''s)'!$C$3:$C$6,
                    MATCH(TRUE,'Hulp (CAO''s)'!$D$3:$D$6,0)) &amp; "'!B1:B1000")) &gt; MATCH(
                    N68,
                    INDIRECT("'" &amp; INDEX('Hulp (CAO''s)'!$C$3:$C$6,
                        MATCH(TRUE,'Hulp (CAO''s)'!$D$3:$D$6,0)) &amp; "'!A:A"),
                    0
                )) *
                IF(
                    O68="",
                    1,
                    (ROW(INDIRECT("'" &amp; INDEX('Hulp (CAO''s)'!$C$3:$C$6,
                        MATCH(TRUE,'Hulp (CAO''s)'!$D$3:$D$6,0)) &amp; "'!B1:B1000")) &lt; MATCH(
                        O68,
                        INDIRECT("'" &amp; INDEX('Hulp (CAO''s)'!$C$3:$C$6,
                            MATCH(TRUE,'Hulp (CAO''s)'!$D$3:$D$6,0)) &amp; "'!A:A"),
                        0
                    ))
                ),
                ROW(INDIRECT("'" &amp; INDEX('Hulp (CAO''s)'!$C$3:$C$6,
                    MATCH(TRUE,'Hulp (CAO''s)'!$D$3:$D$6,0)) &amp; "'!B1:B1000"))
            )
        ),0)
    )
))</f>
        <v/>
      </c>
      <c r="O71" s="86" t="str">
        <f t="array" aca="1" ref="O71" ca="1">IF($B70="Gebruik % van maximum trede",
IF(
    OR(O68="",O69=""),
    "",
    MAX(
    INDIRECT("'" &amp; INDEX('Hulp (CAO''s)'!$C$3:$C$6,
        MATCH(TRUE,'Hulp (CAO''s)'!$D$3:$D$6,0)) &amp; "'!" &amp;
        INDEX('Hulp (CAO''s)'!$H$3:$H$6,
            MATCH(TRUE,'Hulp (CAO''s)'!$D$3:$D$6,0))
        &amp;
        MATCH(O68, INDIRECT("'" &amp; INDEX('Hulp (CAO''s)'!$C$3:$C$6,
            MATCH(TRUE,'Hulp (CAO''s)'!$D$3:$D$6,0)) &amp; "'!A:A"),0)
        &amp; ":H" &amp;
        IF(P68&lt;&gt;"",
            MATCH(P68, INDIRECT("'" &amp; INDEX('Hulp (CAO''s)'!$C$3:$C$6,
                MATCH(TRUE,'Hulp (CAO''s)'!$D$3:$D$6,0)) &amp; "'!A:A"),0)-1,
            1000
        )
    )
) * O69
),
IF(
    IFERROR(MIN(
        IF(
            (TRIM(INDIRECT("'" &amp; INDEX('Hulp (CAO''s)'!$C$3:$C$6,
                MATCH(TRUE,'Hulp (CAO''s)'!$D$3:$D$6,0)) &amp; "'!B1:B1000")) = TEXT(O70,"0")) *
            (ROW(INDIRECT("'" &amp; INDEX('Hulp (CAO''s)'!$C$3:$C$6,
                MATCH(TRUE,'Hulp (CAO''s)'!$D$3:$D$6,0)) &amp; "'!B1:B1000")) &gt; MATCH(
                O68,
                INDIRECT("'" &amp; INDEX('Hulp (CAO''s)'!$C$3:$C$6,
                    MATCH(TRUE,'Hulp (CAO''s)'!$D$3:$D$6,0)) &amp; "'!A:A"),
                0
            )) *
            IF(
                P68="",
                1,
                (ROW(INDIRECT("'" &amp; INDEX('Hulp (CAO''s)'!$C$3:$C$6,
                    MATCH(TRUE,'Hulp (CAO''s)'!$D$3:$D$6,0)) &amp; "'!B1:B1000")) &lt; MATCH(
                    P68,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TEXT(O70,"0")) *
                (ROW(INDIRECT("'" &amp; INDEX('Hulp (CAO''s)'!$C$3:$C$6,
                    MATCH(TRUE,'Hulp (CAO''s)'!$D$3:$D$6,0)) &amp; "'!B1:B1000")) &gt; MATCH(
                    O68,
                    INDIRECT("'" &amp; INDEX('Hulp (CAO''s)'!$C$3:$C$6,
                        MATCH(TRUE,'Hulp (CAO''s)'!$D$3:$D$6,0)) &amp; "'!A:A"),
                    0
                )) *
                IF(
                    P68="",
                    1,
                    (ROW(INDIRECT("'" &amp; INDEX('Hulp (CAO''s)'!$C$3:$C$6,
                        MATCH(TRUE,'Hulp (CAO''s)'!$D$3:$D$6,0)) &amp; "'!B1:B1000")) &lt; MATCH(
                        P68,
                        INDIRECT("'" &amp; INDEX('Hulp (CAO''s)'!$C$3:$C$6,
                            MATCH(TRUE,'Hulp (CAO''s)'!$D$3:$D$6,0)) &amp; "'!A:A"),
                        0
                    ))
                ),
                ROW(INDIRECT("'" &amp; INDEX('Hulp (CAO''s)'!$C$3:$C$6,
                    MATCH(TRUE,'Hulp (CAO''s)'!$D$3:$D$6,0)) &amp; "'!B1:B1000"))
            )
        ),0)
    )
))</f>
        <v/>
      </c>
      <c r="P71" s="86" t="str">
        <f t="array" aca="1" ref="P71" ca="1">IF($B70="Gebruik % van maximum trede",
IF(
    OR(P68="",P69=""),
    "",
    MAX(
    INDIRECT("'" &amp; INDEX('Hulp (CAO''s)'!$C$3:$C$6,
        MATCH(TRUE,'Hulp (CAO''s)'!$D$3:$D$6,0)) &amp; "'!" &amp;
        INDEX('Hulp (CAO''s)'!$H$3:$H$6,
            MATCH(TRUE,'Hulp (CAO''s)'!$D$3:$D$6,0))
        &amp;
        MATCH(P68, INDIRECT("'" &amp; INDEX('Hulp (CAO''s)'!$C$3:$C$6,
            MATCH(TRUE,'Hulp (CAO''s)'!$D$3:$D$6,0)) &amp; "'!A:A"),0)
        &amp; ":H" &amp;
        IF(Q68&lt;&gt;"",
            MATCH(Q68, INDIRECT("'" &amp; INDEX('Hulp (CAO''s)'!$C$3:$C$6,
                MATCH(TRUE,'Hulp (CAO''s)'!$D$3:$D$6,0)) &amp; "'!A:A"),0)-1,
            1000
        )
    )
) * P69
),
IF(
    IFERROR(MIN(
        IF(
            (TRIM(INDIRECT("'" &amp; INDEX('Hulp (CAO''s)'!$C$3:$C$6,
                MATCH(TRUE,'Hulp (CAO''s)'!$D$3:$D$6,0)) &amp; "'!B1:B1000")) = TEXT(P70,"0")) *
            (ROW(INDIRECT("'" &amp; INDEX('Hulp (CAO''s)'!$C$3:$C$6,
                MATCH(TRUE,'Hulp (CAO''s)'!$D$3:$D$6,0)) &amp; "'!B1:B1000")) &gt; MATCH(
                P68,
                INDIRECT("'" &amp; INDEX('Hulp (CAO''s)'!$C$3:$C$6,
                    MATCH(TRUE,'Hulp (CAO''s)'!$D$3:$D$6,0)) &amp; "'!A:A"),
                0
            )) *
            IF(
                Q68="",
                1,
                (ROW(INDIRECT("'" &amp; INDEX('Hulp (CAO''s)'!$C$3:$C$6,
                    MATCH(TRUE,'Hulp (CAO''s)'!$D$3:$D$6,0)) &amp; "'!B1:B1000")) &lt; MATCH(
                    Q68,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TEXT(P70,"0")) *
                (ROW(INDIRECT("'" &amp; INDEX('Hulp (CAO''s)'!$C$3:$C$6,
                    MATCH(TRUE,'Hulp (CAO''s)'!$D$3:$D$6,0)) &amp; "'!B1:B1000")) &gt; MATCH(
                    P68,
                    INDIRECT("'" &amp; INDEX('Hulp (CAO''s)'!$C$3:$C$6,
                        MATCH(TRUE,'Hulp (CAO''s)'!$D$3:$D$6,0)) &amp; "'!A:A"),
                    0
                )) *
                IF(
                    Q68="",
                    1,
                    (ROW(INDIRECT("'" &amp; INDEX('Hulp (CAO''s)'!$C$3:$C$6,
                        MATCH(TRUE,'Hulp (CAO''s)'!$D$3:$D$6,0)) &amp; "'!B1:B1000")) &lt; MATCH(
                        Q68,
                        INDIRECT("'" &amp; INDEX('Hulp (CAO''s)'!$C$3:$C$6,
                            MATCH(TRUE,'Hulp (CAO''s)'!$D$3:$D$6,0)) &amp; "'!A:A"),
                        0
                    ))
                ),
                ROW(INDIRECT("'" &amp; INDEX('Hulp (CAO''s)'!$C$3:$C$6,
                    MATCH(TRUE,'Hulp (CAO''s)'!$D$3:$D$6,0)) &amp; "'!B1:B1000"))
            )
        ),0)
    )
))</f>
        <v/>
      </c>
      <c r="Q71" s="86" t="str">
        <f t="array" aca="1" ref="Q71" ca="1">IF($B70="Gebruik % van maximum trede",
IF(
    OR(Q68="",Q69=""),
    "",
    MAX(
    INDIRECT("'" &amp; INDEX('Hulp (CAO''s)'!$C$3:$C$6,
        MATCH(TRUE,'Hulp (CAO''s)'!$D$3:$D$6,0)) &amp; "'!" &amp;
        INDEX('Hulp (CAO''s)'!$H$3:$H$6,
            MATCH(TRUE,'Hulp (CAO''s)'!$D$3:$D$6,0))
        &amp;
        MATCH(Q68, INDIRECT("'" &amp; INDEX('Hulp (CAO''s)'!$C$3:$C$6,
            MATCH(TRUE,'Hulp (CAO''s)'!$D$3:$D$6,0)) &amp; "'!A:A"),0)
        &amp; ":H" &amp;
        IF(R68&lt;&gt;"",
            MATCH(R68, INDIRECT("'" &amp; INDEX('Hulp (CAO''s)'!$C$3:$C$6,
                MATCH(TRUE,'Hulp (CAO''s)'!$D$3:$D$6,0)) &amp; "'!A:A"),0)-1,
            1000
        )
    )
) * Q69
),
IF(
    IFERROR(MIN(
        IF(
            (TRIM(INDIRECT("'" &amp; INDEX('Hulp (CAO''s)'!$C$3:$C$6,
                MATCH(TRUE,'Hulp (CAO''s)'!$D$3:$D$6,0)) &amp; "'!B1:B1000")) = TEXT(Q70,"0")) *
            (ROW(INDIRECT("'" &amp; INDEX('Hulp (CAO''s)'!$C$3:$C$6,
                MATCH(TRUE,'Hulp (CAO''s)'!$D$3:$D$6,0)) &amp; "'!B1:B1000")) &gt; MATCH(
                Q68,
                INDIRECT("'" &amp; INDEX('Hulp (CAO''s)'!$C$3:$C$6,
                    MATCH(TRUE,'Hulp (CAO''s)'!$D$3:$D$6,0)) &amp; "'!A:A"),
                0
            )) *
            IF(
                R68="",
                1,
                (ROW(INDIRECT("'" &amp; INDEX('Hulp (CAO''s)'!$C$3:$C$6,
                    MATCH(TRUE,'Hulp (CAO''s)'!$D$3:$D$6,0)) &amp; "'!B1:B1000")) &lt; MATCH(
                    R68,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TEXT(Q70,"0")) *
                (ROW(INDIRECT("'" &amp; INDEX('Hulp (CAO''s)'!$C$3:$C$6,
                    MATCH(TRUE,'Hulp (CAO''s)'!$D$3:$D$6,0)) &amp; "'!B1:B1000")) &gt; MATCH(
                    Q68,
                    INDIRECT("'" &amp; INDEX('Hulp (CAO''s)'!$C$3:$C$6,
                        MATCH(TRUE,'Hulp (CAO''s)'!$D$3:$D$6,0)) &amp; "'!A:A"),
                    0
                )) *
                IF(
                    R68="",
                    1,
                    (ROW(INDIRECT("'" &amp; INDEX('Hulp (CAO''s)'!$C$3:$C$6,
                        MATCH(TRUE,'Hulp (CAO''s)'!$D$3:$D$6,0)) &amp; "'!B1:B1000")) &lt; MATCH(
                        R68,
                        INDIRECT("'" &amp; INDEX('Hulp (CAO''s)'!$C$3:$C$6,
                            MATCH(TRUE,'Hulp (CAO''s)'!$D$3:$D$6,0)) &amp; "'!A:A"),
                        0
                    ))
                ),
                ROW(INDIRECT("'" &amp; INDEX('Hulp (CAO''s)'!$C$3:$C$6,
                    MATCH(TRUE,'Hulp (CAO''s)'!$D$3:$D$6,0)) &amp; "'!B1:B1000"))
            )
        ),0)
    )
))</f>
        <v/>
      </c>
      <c r="R71" s="86" t="str">
        <f t="array" aca="1" ref="R71" ca="1">IF($B70="Gebruik % van maximum trede",
IF(
    OR(R68="",R69=""),
    "",
    MAX(
    INDIRECT("'" &amp; INDEX('Hulp (CAO''s)'!$C$3:$C$6,
        MATCH(TRUE,'Hulp (CAO''s)'!$D$3:$D$6,0)) &amp; "'!" &amp;
        INDEX('Hulp (CAO''s)'!$H$3:$H$6,
            MATCH(TRUE,'Hulp (CAO''s)'!$D$3:$D$6,0))
        &amp;
        MATCH(R68, INDIRECT("'" &amp; INDEX('Hulp (CAO''s)'!$C$3:$C$6,
            MATCH(TRUE,'Hulp (CAO''s)'!$D$3:$D$6,0)) &amp; "'!A:A"),0)
        &amp; ":H" &amp;
        IF(S68&lt;&gt;"",
            MATCH(S68, INDIRECT("'" &amp; INDEX('Hulp (CAO''s)'!$C$3:$C$6,
                MATCH(TRUE,'Hulp (CAO''s)'!$D$3:$D$6,0)) &amp; "'!A:A"),0)-1,
            1000
        )
    )
) * R69
),
IF(
    IFERROR(MIN(
        IF(
            (TRIM(INDIRECT("'" &amp; INDEX('Hulp (CAO''s)'!$C$3:$C$6,
                MATCH(TRUE,'Hulp (CAO''s)'!$D$3:$D$6,0)) &amp; "'!B1:B1000")) = TEXT(R70,"0")) *
            (ROW(INDIRECT("'" &amp; INDEX('Hulp (CAO''s)'!$C$3:$C$6,
                MATCH(TRUE,'Hulp (CAO''s)'!$D$3:$D$6,0)) &amp; "'!B1:B1000")) &gt; MATCH(
                R68,
                INDIRECT("'" &amp; INDEX('Hulp (CAO''s)'!$C$3:$C$6,
                    MATCH(TRUE,'Hulp (CAO''s)'!$D$3:$D$6,0)) &amp; "'!A:A"),
                0
            )) *
            IF(
                S68="",
                1,
                (ROW(INDIRECT("'" &amp; INDEX('Hulp (CAO''s)'!$C$3:$C$6,
                    MATCH(TRUE,'Hulp (CAO''s)'!$D$3:$D$6,0)) &amp; "'!B1:B1000")) &lt; MATCH(
                    S68,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TEXT(R70,"0")) *
                (ROW(INDIRECT("'" &amp; INDEX('Hulp (CAO''s)'!$C$3:$C$6,
                    MATCH(TRUE,'Hulp (CAO''s)'!$D$3:$D$6,0)) &amp; "'!B1:B1000")) &gt; MATCH(
                    R68,
                    INDIRECT("'" &amp; INDEX('Hulp (CAO''s)'!$C$3:$C$6,
                        MATCH(TRUE,'Hulp (CAO''s)'!$D$3:$D$6,0)) &amp; "'!A:A"),
                    0
                )) *
                IF(
                    S68="",
                    1,
                    (ROW(INDIRECT("'" &amp; INDEX('Hulp (CAO''s)'!$C$3:$C$6,
                        MATCH(TRUE,'Hulp (CAO''s)'!$D$3:$D$6,0)) &amp; "'!B1:B1000")) &lt; MATCH(
                        S68,
                        INDIRECT("'" &amp; INDEX('Hulp (CAO''s)'!$C$3:$C$6,
                            MATCH(TRUE,'Hulp (CAO''s)'!$D$3:$D$6,0)) &amp; "'!A:A"),
                        0
                    ))
                ),
                ROW(INDIRECT("'" &amp; INDEX('Hulp (CAO''s)'!$C$3:$C$6,
                    MATCH(TRUE,'Hulp (CAO''s)'!$D$3:$D$6,0)) &amp; "'!B1:B1000"))
            )
        ),0)
    )
))</f>
        <v/>
      </c>
      <c r="S71" s="86" t="str">
        <f t="array" aca="1" ref="S71" ca="1">IF($B70="Gebruik % van maximum trede",
IF(
    OR(S68="",S69=""),
    "",
    MAX(
    INDIRECT("'" &amp; INDEX('Hulp (CAO''s)'!$C$3:$C$6,
        MATCH(TRUE,'Hulp (CAO''s)'!$D$3:$D$6,0)) &amp; "'!" &amp;
        INDEX('Hulp (CAO''s)'!$H$3:$H$6,
            MATCH(TRUE,'Hulp (CAO''s)'!$D$3:$D$6,0))
        &amp;
        MATCH(S68, INDIRECT("'" &amp; INDEX('Hulp (CAO''s)'!$C$3:$C$6,
            MATCH(TRUE,'Hulp (CAO''s)'!$D$3:$D$6,0)) &amp; "'!A:A"),0)
        &amp; ":H" &amp;
        IF(T68&lt;&gt;"",
            MATCH(T68, INDIRECT("'" &amp; INDEX('Hulp (CAO''s)'!$C$3:$C$6,
                MATCH(TRUE,'Hulp (CAO''s)'!$D$3:$D$6,0)) &amp; "'!A:A"),0)-1,
            1000
        )
    )
) * S69
),
IF(
    IFERROR(MIN(
        IF(
            (TRIM(INDIRECT("'" &amp; INDEX('Hulp (CAO''s)'!$C$3:$C$6,
                MATCH(TRUE,'Hulp (CAO''s)'!$D$3:$D$6,0)) &amp; "'!B1:B1000")) = TEXT(S70,"0")) *
            (ROW(INDIRECT("'" &amp; INDEX('Hulp (CAO''s)'!$C$3:$C$6,
                MATCH(TRUE,'Hulp (CAO''s)'!$D$3:$D$6,0)) &amp; "'!B1:B1000")) &gt; MATCH(
                S68,
                INDIRECT("'" &amp; INDEX('Hulp (CAO''s)'!$C$3:$C$6,
                    MATCH(TRUE,'Hulp (CAO''s)'!$D$3:$D$6,0)) &amp; "'!A:A"),
                0
            )) *
            IF(
                T68="",
                1,
                (ROW(INDIRECT("'" &amp; INDEX('Hulp (CAO''s)'!$C$3:$C$6,
                    MATCH(TRUE,'Hulp (CAO''s)'!$D$3:$D$6,0)) &amp; "'!B1:B1000")) &lt; MATCH(
                    T68,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TEXT(S70,"0")) *
                (ROW(INDIRECT("'" &amp; INDEX('Hulp (CAO''s)'!$C$3:$C$6,
                    MATCH(TRUE,'Hulp (CAO''s)'!$D$3:$D$6,0)) &amp; "'!B1:B1000")) &gt; MATCH(
                    S68,
                    INDIRECT("'" &amp; INDEX('Hulp (CAO''s)'!$C$3:$C$6,
                        MATCH(TRUE,'Hulp (CAO''s)'!$D$3:$D$6,0)) &amp; "'!A:A"),
                    0
                )) *
                IF(
                    T68="",
                    1,
                    (ROW(INDIRECT("'" &amp; INDEX('Hulp (CAO''s)'!$C$3:$C$6,
                        MATCH(TRUE,'Hulp (CAO''s)'!$D$3:$D$6,0)) &amp; "'!B1:B1000")) &lt; MATCH(
                        T68,
                        INDIRECT("'" &amp; INDEX('Hulp (CAO''s)'!$C$3:$C$6,
                            MATCH(TRUE,'Hulp (CAO''s)'!$D$3:$D$6,0)) &amp; "'!A:A"),
                        0
                    ))
                ),
                ROW(INDIRECT("'" &amp; INDEX('Hulp (CAO''s)'!$C$3:$C$6,
                    MATCH(TRUE,'Hulp (CAO''s)'!$D$3:$D$6,0)) &amp; "'!B1:B1000"))
            )
        ),0)
    )
))</f>
        <v/>
      </c>
      <c r="T71" s="39" t="str">
        <f t="array" aca="1" ref="T71" ca="1">IF($B70="Gebruik % van maximum trede",
IF(
    OR(T68="",T69=""),
    "",
    MAX(
    INDIRECT("'" &amp; INDEX('Hulp (CAO''s)'!$C$3:$C$6,
        MATCH(TRUE,'Hulp (CAO''s)'!$D$3:$D$6,0)) &amp; "'!" &amp;
        INDEX('Hulp (CAO''s)'!$H$3:$H$6,
            MATCH(TRUE,'Hulp (CAO''s)'!$D$3:$D$6,0))
        &amp;
        MATCH(T68, INDIRECT("'" &amp; INDEX('Hulp (CAO''s)'!$C$3:$C$6,
            MATCH(TRUE,'Hulp (CAO''s)'!$D$3:$D$6,0)) &amp; "'!A:A"),0)
        &amp; ":H" &amp;
        IF(U68&lt;&gt;"",
            MATCH(U68, INDIRECT("'" &amp; INDEX('Hulp (CAO''s)'!$C$3:$C$6,
                MATCH(TRUE,'Hulp (CAO''s)'!$D$3:$D$6,0)) &amp; "'!A:A"),0)-1,
            1000
        )
    )
) * T69
),
IF(
    IFERROR(MIN(
        IF(
            (TRIM(INDIRECT("'" &amp; INDEX('Hulp (CAO''s)'!$C$3:$C$6,
                MATCH(TRUE,'Hulp (CAO''s)'!$D$3:$D$6,0)) &amp; "'!B1:B1000")) = TEXT(T70,"0")) *
            (ROW(INDIRECT("'" &amp; INDEX('Hulp (CAO''s)'!$C$3:$C$6,
                MATCH(TRUE,'Hulp (CAO''s)'!$D$3:$D$6,0)) &amp; "'!B1:B1000")) &gt; MATCH(
                T68,
                INDIRECT("'" &amp; INDEX('Hulp (CAO''s)'!$C$3:$C$6,
                    MATCH(TRUE,'Hulp (CAO''s)'!$D$3:$D$6,0)) &amp; "'!A:A"),
                0
            )) *
            IF(
                U68="",
                1,
                (ROW(INDIRECT("'" &amp; INDEX('Hulp (CAO''s)'!$C$3:$C$6,
                    MATCH(TRUE,'Hulp (CAO''s)'!$D$3:$D$6,0)) &amp; "'!B1:B1000")) &lt; MATCH(
                    U68,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TEXT(T70,"0")) *
                (ROW(INDIRECT("'" &amp; INDEX('Hulp (CAO''s)'!$C$3:$C$6,
                    MATCH(TRUE,'Hulp (CAO''s)'!$D$3:$D$6,0)) &amp; "'!B1:B1000")) &gt; MATCH(
                    T68,
                    INDIRECT("'" &amp; INDEX('Hulp (CAO''s)'!$C$3:$C$6,
                        MATCH(TRUE,'Hulp (CAO''s)'!$D$3:$D$6,0)) &amp; "'!A:A"),
                    0
                )) *
                IF(
                    U68="",
                    1,
                    (ROW(INDIRECT("'" &amp; INDEX('Hulp (CAO''s)'!$C$3:$C$6,
                        MATCH(TRUE,'Hulp (CAO''s)'!$D$3:$D$6,0)) &amp; "'!B1:B1000")) &lt; MATCH(
                        U68,
                        INDIRECT("'" &amp; INDEX('Hulp (CAO''s)'!$C$3:$C$6,
                            MATCH(TRUE,'Hulp (CAO''s)'!$D$3:$D$6,0)) &amp; "'!A:A"),
                        0
                    ))
                ),
                ROW(INDIRECT("'" &amp; INDEX('Hulp (CAO''s)'!$C$3:$C$6,
                    MATCH(TRUE,'Hulp (CAO''s)'!$D$3:$D$6,0)) &amp; "'!B1:B1000"))
            )
        ),0)
    )
))</f>
        <v/>
      </c>
      <c r="V71" s="38" t="str">
        <f t="array" aca="1" ref="V71" ca="1">IF(
   SUM(E71:T71)=0,
   "",
   (
      SUMPRODUCT(
         IF(E71:T71="",0,E71:T71),
         IF(E72:T72="",0,E72:T72) * SUM(E72:T72)
      )
   ) *
   IF(
      'Hulp (CAO''s)'!#REF!,
      IF(
         OR(
            INDEX(#REF!, ROW(#REF!) + INT((ROW()-ROW($V$8))/6)*8)="",
            ISNA(INDEX(#REF!, ROW(#REF!) + INT((ROW()-ROW($V$8))/6)*8))
         ),
         1878/12,
         INDEX(#REF!, ROW(#REF!) + INT((ROW()-ROW($V$8))/6)*8)/12
      ),
      1
   )
)</f>
        <v/>
      </c>
    </row>
    <row r="72" spans="2:24" ht="14.65" thickBot="1" x14ac:dyDescent="0.5">
      <c r="B72" s="48" t="s">
        <v>60</v>
      </c>
      <c r="D72" s="24" t="s">
        <v>59</v>
      </c>
      <c r="E72" s="8">
        <v>0.05</v>
      </c>
      <c r="F72" s="8">
        <v>0.1</v>
      </c>
      <c r="G72" s="8">
        <v>0.1</v>
      </c>
      <c r="H72" s="8">
        <v>0.15</v>
      </c>
      <c r="I72" s="8">
        <v>0.2</v>
      </c>
      <c r="J72" s="8">
        <v>0.15</v>
      </c>
      <c r="K72" s="8">
        <v>0.1</v>
      </c>
      <c r="L72" s="8">
        <v>0.05</v>
      </c>
      <c r="M72" s="8">
        <v>0.05</v>
      </c>
      <c r="N72" s="8">
        <v>0.05</v>
      </c>
      <c r="O72" s="8">
        <v>0</v>
      </c>
      <c r="P72" s="8"/>
      <c r="Q72" s="8"/>
      <c r="R72" s="8"/>
      <c r="S72" s="8"/>
      <c r="T72" s="9"/>
      <c r="U72" s="7"/>
      <c r="V72" s="37" t="str">
        <f ca="1">IF(B68="","",IF(INDIRECT("'Hulp (control forms)'!C" &amp; (13 + INT((ROW()-ROW($B$5))/6))), V70, V71))</f>
        <v/>
      </c>
      <c r="W72" s="7"/>
    </row>
    <row r="73" spans="2:24" x14ac:dyDescent="0.5">
      <c r="S73" s="7" t="str">
        <f>IF($B72="Aandeel in %",
   "Totaal: "&amp;SUM(E72:T72)*100&amp;"%",
   "Totaal: "&amp;SUM(E72:T72)&amp;" uur"
)</f>
        <v>Totaal: 100%</v>
      </c>
      <c r="T73" s="7"/>
    </row>
    <row r="74" spans="2:24" ht="16.149999999999999" thickBot="1" x14ac:dyDescent="0.55000000000000004">
      <c r="B74" s="44" t="str">
        <f ca="1">IF(B75="","",IF(
   OR(
      INDIRECT("'1a. Input organisatieniveau'!N" &amp; (14 + INT((ROW()-4)/7)))="",
      INDIRECT("'1a. Input organisatieniveau'!N" &amp; (14 + INT((ROW()-4)/7)))=0
   ),
   "",
   INDIRECT("'1a. Input organisatieniveau'!N" &amp; (14 + INT((ROW()-4)/7)))
))</f>
        <v/>
      </c>
      <c r="E74" s="61" t="str">
        <f t="shared" ref="E74:T74" ca="1" si="10">IF($B77="Gebruik % van maximum trede", IF(AND(AND(E75&lt;&gt;"",E76&lt;&gt;""),E78=""),"!",""), IF(AND(AND(E75&lt;&gt;"",E77&lt;&gt;""),E78=""),"!",""))</f>
        <v/>
      </c>
      <c r="F74" s="61" t="str">
        <f t="shared" ca="1" si="10"/>
        <v/>
      </c>
      <c r="G74" s="61" t="str">
        <f t="shared" ca="1" si="10"/>
        <v/>
      </c>
      <c r="H74" s="61" t="str">
        <f t="shared" ca="1" si="10"/>
        <v/>
      </c>
      <c r="I74" s="61" t="str">
        <f t="shared" ca="1" si="10"/>
        <v/>
      </c>
      <c r="J74" s="61" t="str">
        <f t="shared" ca="1" si="10"/>
        <v/>
      </c>
      <c r="K74" s="61" t="str">
        <f t="shared" ca="1" si="10"/>
        <v/>
      </c>
      <c r="L74" s="61" t="str">
        <f t="shared" ca="1" si="10"/>
        <v/>
      </c>
      <c r="M74" s="61" t="str">
        <f t="shared" ca="1" si="10"/>
        <v/>
      </c>
      <c r="N74" s="61" t="str">
        <f t="shared" ca="1" si="10"/>
        <v/>
      </c>
      <c r="O74" s="61" t="str">
        <f t="shared" ca="1" si="10"/>
        <v/>
      </c>
      <c r="P74" s="61" t="str">
        <f t="shared" ca="1" si="10"/>
        <v/>
      </c>
      <c r="Q74" s="61" t="str">
        <f t="shared" ca="1" si="10"/>
        <v/>
      </c>
      <c r="R74" s="61" t="str">
        <f t="shared" ca="1" si="10"/>
        <v/>
      </c>
      <c r="S74" s="61" t="str">
        <f t="shared" ca="1" si="10"/>
        <v/>
      </c>
      <c r="T74" s="61" t="str">
        <f t="shared" ca="1" si="10"/>
        <v/>
      </c>
    </row>
    <row r="75" spans="2:24" ht="16.149999999999999" thickBot="1" x14ac:dyDescent="0.55000000000000004">
      <c r="B75" s="45" t="str">
        <f ca="1">IF(
   OR(
      INDIRECT("'1a. Input organisatieniveau'!M" &amp; (14 + INT((ROW()-4)/7)))="",
      INDIRECT("'1a. Input organisatieniveau'!M" &amp; (14 + INT((ROW()-4)/7)))=0
   ),
   "",
   INDIRECT("'1a. Input organisatieniveau'!M" &amp; (14 + INT((ROW()-4)/7)))
)</f>
        <v/>
      </c>
      <c r="D75" s="22" t="s">
        <v>28</v>
      </c>
      <c r="E75" s="10" t="str">
        <f t="array" aca="1" ref="E75" ca="1">IF($B75="", "", INDEX('Hulp (CAO''s)'!J$3:J$6, MATCH(TRUE, 'Hulp (CAO''s)'!$D$3:$D$6, 0)))</f>
        <v/>
      </c>
      <c r="F75" s="10" t="str">
        <f t="array" aca="1" ref="F75" ca="1">IF($B75="", "", INDEX('Hulp (CAO''s)'!K$3:K$6, MATCH(TRUE, 'Hulp (CAO''s)'!$D$3:$D$6, 0)))</f>
        <v/>
      </c>
      <c r="G75" s="10" t="str">
        <f t="array" aca="1" ref="G75" ca="1">IF($B75="", "", INDEX('Hulp (CAO''s)'!L$3:L$6, MATCH(TRUE, 'Hulp (CAO''s)'!$D$3:$D$6, 0)))</f>
        <v/>
      </c>
      <c r="H75" s="10" t="str">
        <f t="array" aca="1" ref="H75" ca="1">IF($B75="", "", INDEX('Hulp (CAO''s)'!M$3:M$6, MATCH(TRUE, 'Hulp (CAO''s)'!$D$3:$D$6, 0)))</f>
        <v/>
      </c>
      <c r="I75" s="10" t="str">
        <f t="array" aca="1" ref="I75" ca="1">IF($B75="", "", INDEX('Hulp (CAO''s)'!N$3:N$6, MATCH(TRUE, 'Hulp (CAO''s)'!$D$3:$D$6, 0)))</f>
        <v/>
      </c>
      <c r="J75" s="10" t="str">
        <f t="array" aca="1" ref="J75" ca="1">IF($B75="", "", INDEX('Hulp (CAO''s)'!O$3:O$6, MATCH(TRUE, 'Hulp (CAO''s)'!$D$3:$D$6, 0)))</f>
        <v/>
      </c>
      <c r="K75" s="10" t="str">
        <f t="array" aca="1" ref="K75" ca="1">IF($B75="", "", INDEX('Hulp (CAO''s)'!P$3:P$6, MATCH(TRUE, 'Hulp (CAO''s)'!$D$3:$D$6, 0)))</f>
        <v/>
      </c>
      <c r="L75" s="10" t="str">
        <f t="array" aca="1" ref="L75" ca="1">IF($B75="", "", INDEX('Hulp (CAO''s)'!Q$3:Q$6, MATCH(TRUE, 'Hulp (CAO''s)'!$D$3:$D$6, 0)))</f>
        <v/>
      </c>
      <c r="M75" s="10" t="str">
        <f t="array" aca="1" ref="M75" ca="1">IF($B75="", "", INDEX('Hulp (CAO''s)'!R$3:R$6, MATCH(TRUE, 'Hulp (CAO''s)'!$D$3:$D$6, 0)))</f>
        <v/>
      </c>
      <c r="N75" s="10" t="str">
        <f t="array" aca="1" ref="N75" ca="1">IF($B75="", "", INDEX('Hulp (CAO''s)'!S$3:S$6, MATCH(TRUE, 'Hulp (CAO''s)'!$D$3:$D$6, 0)))</f>
        <v/>
      </c>
      <c r="O75" s="10" t="str">
        <f t="array" aca="1" ref="O75" ca="1">IF($B75="", "", INDEX('Hulp (CAO''s)'!T$3:T$6, MATCH(TRUE, 'Hulp (CAO''s)'!$D$3:$D$6, 0)))</f>
        <v/>
      </c>
      <c r="P75" s="10" t="str">
        <f t="array" aca="1" ref="P75" ca="1">IF($B75="", "", INDEX('Hulp (CAO''s)'!U$3:U$6, MATCH(TRUE, 'Hulp (CAO''s)'!$D$3:$D$6, 0)))</f>
        <v/>
      </c>
      <c r="Q75" s="10" t="str">
        <f t="array" aca="1" ref="Q75" ca="1">IF($B75="", "", INDEX('Hulp (CAO''s)'!V$3:V$6, MATCH(TRUE, 'Hulp (CAO''s)'!$D$3:$D$6, 0)))</f>
        <v/>
      </c>
      <c r="R75" s="10" t="str">
        <f t="array" aca="1" ref="R75" ca="1">IF($B75="", "", INDEX('Hulp (CAO''s)'!W$3:W$6, MATCH(TRUE, 'Hulp (CAO''s)'!$D$3:$D$6, 0)))</f>
        <v/>
      </c>
      <c r="S75" s="10" t="str">
        <f t="array" aca="1" ref="S75" ca="1">IF($B75="", "", INDEX('Hulp (CAO''s)'!X$3:X$6, MATCH(TRUE, 'Hulp (CAO''s)'!$D$3:$D$6, 0)))</f>
        <v/>
      </c>
      <c r="T75" s="11" t="str">
        <f t="array" aca="1" ref="T75" ca="1">IF($B75="", "", INDEX('Hulp (CAO''s)'!Y$3:Y$6, MATCH(TRUE, 'Hulp (CAO''s)'!$D$3:$D$6, 0)))</f>
        <v/>
      </c>
      <c r="V75" s="25"/>
      <c r="W75" s="5"/>
    </row>
    <row r="76" spans="2:24" ht="16.149999999999999" thickBot="1" x14ac:dyDescent="0.55000000000000004">
      <c r="D76" s="23" t="s">
        <v>770</v>
      </c>
      <c r="E76" s="90">
        <v>0.96</v>
      </c>
      <c r="F76" s="90">
        <v>0.9</v>
      </c>
      <c r="G76" s="90">
        <v>0.9</v>
      </c>
      <c r="H76" s="90">
        <v>0.7</v>
      </c>
      <c r="I76" s="90">
        <v>0.8</v>
      </c>
      <c r="J76" s="90">
        <v>0.9</v>
      </c>
      <c r="K76" s="90">
        <v>0.9</v>
      </c>
      <c r="L76" s="90">
        <v>0.9</v>
      </c>
      <c r="M76" s="90">
        <v>0.9</v>
      </c>
      <c r="N76" s="90">
        <v>0.8</v>
      </c>
      <c r="O76" s="90">
        <v>0.95</v>
      </c>
      <c r="P76" s="90">
        <v>0.93</v>
      </c>
      <c r="Q76" s="90">
        <v>0.93</v>
      </c>
      <c r="R76" s="90">
        <v>0.95</v>
      </c>
      <c r="S76" s="90">
        <v>0.92</v>
      </c>
      <c r="T76" s="91">
        <v>0.95</v>
      </c>
      <c r="V76" s="25" t="s">
        <v>32</v>
      </c>
    </row>
    <row r="77" spans="2:24" ht="14.25" x14ac:dyDescent="0.45">
      <c r="B77" s="48" t="s">
        <v>771</v>
      </c>
      <c r="D77" s="23" t="s">
        <v>29</v>
      </c>
      <c r="E77" s="94">
        <v>9</v>
      </c>
      <c r="F77" s="94">
        <v>10</v>
      </c>
      <c r="G77" s="94">
        <v>10</v>
      </c>
      <c r="H77" s="94">
        <v>9</v>
      </c>
      <c r="I77" s="94">
        <v>10</v>
      </c>
      <c r="J77" s="94">
        <v>11</v>
      </c>
      <c r="K77" s="94">
        <v>10</v>
      </c>
      <c r="L77" s="94">
        <v>10</v>
      </c>
      <c r="M77" s="94">
        <v>9</v>
      </c>
      <c r="N77" s="94">
        <v>10</v>
      </c>
      <c r="O77" s="94">
        <v>11</v>
      </c>
      <c r="P77" s="94">
        <v>12</v>
      </c>
      <c r="Q77" s="94">
        <v>13</v>
      </c>
      <c r="R77" s="94">
        <v>12</v>
      </c>
      <c r="S77" s="94">
        <v>10</v>
      </c>
      <c r="T77" s="33">
        <v>5</v>
      </c>
      <c r="V77" s="52">
        <v>4000</v>
      </c>
      <c r="X77" s="60" t="s">
        <v>747</v>
      </c>
    </row>
    <row r="78" spans="2:24" ht="14.65" thickBot="1" x14ac:dyDescent="0.5">
      <c r="B78"/>
      <c r="D78" s="40" t="str">
        <f>IFERROR(
   INDEX('Hulp (CAO''s)'!$I$3:$I$6, MATCH(TRUE, 'Hulp (CAO''s)'!$D$3:$D$6, 0)),
"")</f>
        <v>Bruto maandsalaris</v>
      </c>
      <c r="E78" s="86" t="str">
        <f t="array" aca="1" ref="E78" ca="1">IF($B77="Gebruik % van maximum trede",
IF(
    OR(E75="",E76=""),
    "",
    MAX(
    INDIRECT("'" &amp; INDEX('Hulp (CAO''s)'!$C$3:$C$6,
        MATCH(TRUE,'Hulp (CAO''s)'!$D$3:$D$6,0)) &amp; "'!" &amp;
        INDEX('Hulp (CAO''s)'!$H$3:$H$6,
            MATCH(TRUE,'Hulp (CAO''s)'!$D$3:$D$6,0))
        &amp;
        MATCH(E75, INDIRECT("'" &amp; INDEX('Hulp (CAO''s)'!$C$3:$C$6,
            MATCH(TRUE,'Hulp (CAO''s)'!$D$3:$D$6,0)) &amp; "'!A:A"),0)
        &amp; ":H" &amp;
        IF(F75&lt;&gt;"",
            MATCH(F75, INDIRECT("'" &amp; INDEX('Hulp (CAO''s)'!$C$3:$C$6,
                MATCH(TRUE,'Hulp (CAO''s)'!$D$3:$D$6,0)) &amp; "'!A:A"),0)-1,
            1000
        )
    )
) * E76
),
IF(
    IFERROR(MIN(
        IF(
            (TRIM(INDIRECT("'" &amp; INDEX('Hulp (CAO''s)'!$C$3:$C$6,
                MATCH(TRUE,'Hulp (CAO''s)'!$D$3:$D$6,0)) &amp; "'!B1:B1000")) = TEXT(E77,"0")) *
            (ROW(INDIRECT("'" &amp; INDEX('Hulp (CAO''s)'!$C$3:$C$6,
                MATCH(TRUE,'Hulp (CAO''s)'!$D$3:$D$6,0)) &amp; "'!B1:B1000")) &gt; MATCH(
                E75,
                INDIRECT("'" &amp; INDEX('Hulp (CAO''s)'!$C$3:$C$6,
                    MATCH(TRUE,'Hulp (CAO''s)'!$D$3:$D$6,0)) &amp; "'!A:A"),
                0
            )) *
            IF(
                F75="",
                1,
                (ROW(INDIRECT("'" &amp; INDEX('Hulp (CAO''s)'!$C$3:$C$6,
                    MATCH(TRUE,'Hulp (CAO''s)'!$D$3:$D$6,0)) &amp; "'!B1:B1000")) &lt; MATCH(
                    F75,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TEXT(E77,"0")) *
                (ROW(INDIRECT("'" &amp; INDEX('Hulp (CAO''s)'!$C$3:$C$6,
                    MATCH(TRUE,'Hulp (CAO''s)'!$D$3:$D$6,0)) &amp; "'!B1:B1000")) &gt; MATCH(
                    E75,
                    INDIRECT("'" &amp; INDEX('Hulp (CAO''s)'!$C$3:$C$6,
                        MATCH(TRUE,'Hulp (CAO''s)'!$D$3:$D$6,0)) &amp; "'!A:A"),
                    0
                )) *
                IF(
                    F75="",
                    1,
                    (ROW(INDIRECT("'" &amp; INDEX('Hulp (CAO''s)'!$C$3:$C$6,
                        MATCH(TRUE,'Hulp (CAO''s)'!$D$3:$D$6,0)) &amp; "'!B1:B1000")) &lt; MATCH(
                        F75,
                        INDIRECT("'" &amp; INDEX('Hulp (CAO''s)'!$C$3:$C$6,
                            MATCH(TRUE,'Hulp (CAO''s)'!$D$3:$D$6,0)) &amp; "'!A:A"),
                        0
                    ))
                ),
                ROW(INDIRECT("'" &amp; INDEX('Hulp (CAO''s)'!$C$3:$C$6,
                    MATCH(TRUE,'Hulp (CAO''s)'!$D$3:$D$6,0)) &amp; "'!B1:B1000"))
            )
        ),0)
    )
))</f>
        <v/>
      </c>
      <c r="F78" s="86" t="str">
        <f t="array" aca="1" ref="F78" ca="1">IF($B77="Gebruik % van maximum trede",
IF(
    OR(F75="",F76=""),
    "",
    MAX(
    INDIRECT("'" &amp; INDEX('Hulp (CAO''s)'!$C$3:$C$6,
        MATCH(TRUE,'Hulp (CAO''s)'!$D$3:$D$6,0)) &amp; "'!" &amp;
        INDEX('Hulp (CAO''s)'!$H$3:$H$6,
            MATCH(TRUE,'Hulp (CAO''s)'!$D$3:$D$6,0))
        &amp;
        MATCH(F75, INDIRECT("'" &amp; INDEX('Hulp (CAO''s)'!$C$3:$C$6,
            MATCH(TRUE,'Hulp (CAO''s)'!$D$3:$D$6,0)) &amp; "'!A:A"),0)
        &amp; ":H" &amp;
        IF(G75&lt;&gt;"",
            MATCH(G75, INDIRECT("'" &amp; INDEX('Hulp (CAO''s)'!$C$3:$C$6,
                MATCH(TRUE,'Hulp (CAO''s)'!$D$3:$D$6,0)) &amp; "'!A:A"),0)-1,
            1000
        )
    )
) * F76
),
IF(
    IFERROR(MIN(
        IF(
            (TRIM(INDIRECT("'" &amp; INDEX('Hulp (CAO''s)'!$C$3:$C$6,
                MATCH(TRUE,'Hulp (CAO''s)'!$D$3:$D$6,0)) &amp; "'!B1:B1000")) = TEXT(F77,"0")) *
            (ROW(INDIRECT("'" &amp; INDEX('Hulp (CAO''s)'!$C$3:$C$6,
                MATCH(TRUE,'Hulp (CAO''s)'!$D$3:$D$6,0)) &amp; "'!B1:B1000")) &gt; MATCH(
                F75,
                INDIRECT("'" &amp; INDEX('Hulp (CAO''s)'!$C$3:$C$6,
                    MATCH(TRUE,'Hulp (CAO''s)'!$D$3:$D$6,0)) &amp; "'!A:A"),
                0
            )) *
            IF(
                G75="",
                1,
                (ROW(INDIRECT("'" &amp; INDEX('Hulp (CAO''s)'!$C$3:$C$6,
                    MATCH(TRUE,'Hulp (CAO''s)'!$D$3:$D$6,0)) &amp; "'!B1:B1000")) &lt; MATCH(
                    G75,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TEXT(F77,"0")) *
                (ROW(INDIRECT("'" &amp; INDEX('Hulp (CAO''s)'!$C$3:$C$6,
                    MATCH(TRUE,'Hulp (CAO''s)'!$D$3:$D$6,0)) &amp; "'!B1:B1000")) &gt; MATCH(
                    F75,
                    INDIRECT("'" &amp; INDEX('Hulp (CAO''s)'!$C$3:$C$6,
                        MATCH(TRUE,'Hulp (CAO''s)'!$D$3:$D$6,0)) &amp; "'!A:A"),
                    0
                )) *
                IF(
                    G75="",
                    1,
                    (ROW(INDIRECT("'" &amp; INDEX('Hulp (CAO''s)'!$C$3:$C$6,
                        MATCH(TRUE,'Hulp (CAO''s)'!$D$3:$D$6,0)) &amp; "'!B1:B1000")) &lt; MATCH(
                        G75,
                        INDIRECT("'" &amp; INDEX('Hulp (CAO''s)'!$C$3:$C$6,
                            MATCH(TRUE,'Hulp (CAO''s)'!$D$3:$D$6,0)) &amp; "'!A:A"),
                        0
                    ))
                ),
                ROW(INDIRECT("'" &amp; INDEX('Hulp (CAO''s)'!$C$3:$C$6,
                    MATCH(TRUE,'Hulp (CAO''s)'!$D$3:$D$6,0)) &amp; "'!B1:B1000"))
            )
        ),0)
    )
))</f>
        <v/>
      </c>
      <c r="G78" s="86" t="str">
        <f t="array" aca="1" ref="G78" ca="1">IF($B77="Gebruik % van maximum trede",
IF(
    OR(G75="",G76=""),
    "",
    MAX(
    INDIRECT("'" &amp; INDEX('Hulp (CAO''s)'!$C$3:$C$6,
        MATCH(TRUE,'Hulp (CAO''s)'!$D$3:$D$6,0)) &amp; "'!" &amp;
        INDEX('Hulp (CAO''s)'!$H$3:$H$6,
            MATCH(TRUE,'Hulp (CAO''s)'!$D$3:$D$6,0))
        &amp;
        MATCH(G75, INDIRECT("'" &amp; INDEX('Hulp (CAO''s)'!$C$3:$C$6,
            MATCH(TRUE,'Hulp (CAO''s)'!$D$3:$D$6,0)) &amp; "'!A:A"),0)
        &amp; ":H" &amp;
        IF(H75&lt;&gt;"",
            MATCH(H75, INDIRECT("'" &amp; INDEX('Hulp (CAO''s)'!$C$3:$C$6,
                MATCH(TRUE,'Hulp (CAO''s)'!$D$3:$D$6,0)) &amp; "'!A:A"),0)-1,
            1000
        )
    )
) * G76
),
IF(
    IFERROR(MIN(
        IF(
            (TRIM(INDIRECT("'" &amp; INDEX('Hulp (CAO''s)'!$C$3:$C$6,
                MATCH(TRUE,'Hulp (CAO''s)'!$D$3:$D$6,0)) &amp; "'!B1:B1000")) = TEXT(G77,"0")) *
            (ROW(INDIRECT("'" &amp; INDEX('Hulp (CAO''s)'!$C$3:$C$6,
                MATCH(TRUE,'Hulp (CAO''s)'!$D$3:$D$6,0)) &amp; "'!B1:B1000")) &gt; MATCH(
                G75,
                INDIRECT("'" &amp; INDEX('Hulp (CAO''s)'!$C$3:$C$6,
                    MATCH(TRUE,'Hulp (CAO''s)'!$D$3:$D$6,0)) &amp; "'!A:A"),
                0
            )) *
            IF(
                H75="",
                1,
                (ROW(INDIRECT("'" &amp; INDEX('Hulp (CAO''s)'!$C$3:$C$6,
                    MATCH(TRUE,'Hulp (CAO''s)'!$D$3:$D$6,0)) &amp; "'!B1:B1000")) &lt; MATCH(
                    H75,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TEXT(G77,"0")) *
                (ROW(INDIRECT("'" &amp; INDEX('Hulp (CAO''s)'!$C$3:$C$6,
                    MATCH(TRUE,'Hulp (CAO''s)'!$D$3:$D$6,0)) &amp; "'!B1:B1000")) &gt; MATCH(
                    G75,
                    INDIRECT("'" &amp; INDEX('Hulp (CAO''s)'!$C$3:$C$6,
                        MATCH(TRUE,'Hulp (CAO''s)'!$D$3:$D$6,0)) &amp; "'!A:A"),
                    0
                )) *
                IF(
                    H75="",
                    1,
                    (ROW(INDIRECT("'" &amp; INDEX('Hulp (CAO''s)'!$C$3:$C$6,
                        MATCH(TRUE,'Hulp (CAO''s)'!$D$3:$D$6,0)) &amp; "'!B1:B1000")) &lt; MATCH(
                        H75,
                        INDIRECT("'" &amp; INDEX('Hulp (CAO''s)'!$C$3:$C$6,
                            MATCH(TRUE,'Hulp (CAO''s)'!$D$3:$D$6,0)) &amp; "'!A:A"),
                        0
                    ))
                ),
                ROW(INDIRECT("'" &amp; INDEX('Hulp (CAO''s)'!$C$3:$C$6,
                    MATCH(TRUE,'Hulp (CAO''s)'!$D$3:$D$6,0)) &amp; "'!B1:B1000"))
            )
        ),0)
    )
))</f>
        <v/>
      </c>
      <c r="H78" s="86" t="str">
        <f t="array" aca="1" ref="H78" ca="1">IF($B77="Gebruik % van maximum trede",
IF(
    OR(H75="",H76=""),
    "",
    MAX(
    INDIRECT("'" &amp; INDEX('Hulp (CAO''s)'!$C$3:$C$6,
        MATCH(TRUE,'Hulp (CAO''s)'!$D$3:$D$6,0)) &amp; "'!" &amp;
        INDEX('Hulp (CAO''s)'!$H$3:$H$6,
            MATCH(TRUE,'Hulp (CAO''s)'!$D$3:$D$6,0))
        &amp;
        MATCH(H75, INDIRECT("'" &amp; INDEX('Hulp (CAO''s)'!$C$3:$C$6,
            MATCH(TRUE,'Hulp (CAO''s)'!$D$3:$D$6,0)) &amp; "'!A:A"),0)
        &amp; ":H" &amp;
        IF(I75&lt;&gt;"",
            MATCH(I75, INDIRECT("'" &amp; INDEX('Hulp (CAO''s)'!$C$3:$C$6,
                MATCH(TRUE,'Hulp (CAO''s)'!$D$3:$D$6,0)) &amp; "'!A:A"),0)-1,
            1000
        )
    )
) * H76
),
IF(
    IFERROR(MIN(
        IF(
            (TRIM(INDIRECT("'" &amp; INDEX('Hulp (CAO''s)'!$C$3:$C$6,
                MATCH(TRUE,'Hulp (CAO''s)'!$D$3:$D$6,0)) &amp; "'!B1:B1000")) = TEXT(H77,"0")) *
            (ROW(INDIRECT("'" &amp; INDEX('Hulp (CAO''s)'!$C$3:$C$6,
                MATCH(TRUE,'Hulp (CAO''s)'!$D$3:$D$6,0)) &amp; "'!B1:B1000")) &gt; MATCH(
                H75,
                INDIRECT("'" &amp; INDEX('Hulp (CAO''s)'!$C$3:$C$6,
                    MATCH(TRUE,'Hulp (CAO''s)'!$D$3:$D$6,0)) &amp; "'!A:A"),
                0
            )) *
            IF(
                I75="",
                1,
                (ROW(INDIRECT("'" &amp; INDEX('Hulp (CAO''s)'!$C$3:$C$6,
                    MATCH(TRUE,'Hulp (CAO''s)'!$D$3:$D$6,0)) &amp; "'!B1:B1000")) &lt; MATCH(
                    I75,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TEXT(H77,"0")) *
                (ROW(INDIRECT("'" &amp; INDEX('Hulp (CAO''s)'!$C$3:$C$6,
                    MATCH(TRUE,'Hulp (CAO''s)'!$D$3:$D$6,0)) &amp; "'!B1:B1000")) &gt; MATCH(
                    H75,
                    INDIRECT("'" &amp; INDEX('Hulp (CAO''s)'!$C$3:$C$6,
                        MATCH(TRUE,'Hulp (CAO''s)'!$D$3:$D$6,0)) &amp; "'!A:A"),
                    0
                )) *
                IF(
                    I75="",
                    1,
                    (ROW(INDIRECT("'" &amp; INDEX('Hulp (CAO''s)'!$C$3:$C$6,
                        MATCH(TRUE,'Hulp (CAO''s)'!$D$3:$D$6,0)) &amp; "'!B1:B1000")) &lt; MATCH(
                        I75,
                        INDIRECT("'" &amp; INDEX('Hulp (CAO''s)'!$C$3:$C$6,
                            MATCH(TRUE,'Hulp (CAO''s)'!$D$3:$D$6,0)) &amp; "'!A:A"),
                        0
                    ))
                ),
                ROW(INDIRECT("'" &amp; INDEX('Hulp (CAO''s)'!$C$3:$C$6,
                    MATCH(TRUE,'Hulp (CAO''s)'!$D$3:$D$6,0)) &amp; "'!B1:B1000"))
            )
        ),0)
    )
))</f>
        <v/>
      </c>
      <c r="I78" s="86" t="str">
        <f t="array" aca="1" ref="I78" ca="1">IF($B77="Gebruik % van maximum trede",
IF(
    OR(I75="",I76=""),
    "",
    MAX(
    INDIRECT("'" &amp; INDEX('Hulp (CAO''s)'!$C$3:$C$6,
        MATCH(TRUE,'Hulp (CAO''s)'!$D$3:$D$6,0)) &amp; "'!" &amp;
        INDEX('Hulp (CAO''s)'!$H$3:$H$6,
            MATCH(TRUE,'Hulp (CAO''s)'!$D$3:$D$6,0))
        &amp;
        MATCH(I75, INDIRECT("'" &amp; INDEX('Hulp (CAO''s)'!$C$3:$C$6,
            MATCH(TRUE,'Hulp (CAO''s)'!$D$3:$D$6,0)) &amp; "'!A:A"),0)
        &amp; ":H" &amp;
        IF(J75&lt;&gt;"",
            MATCH(J75, INDIRECT("'" &amp; INDEX('Hulp (CAO''s)'!$C$3:$C$6,
                MATCH(TRUE,'Hulp (CAO''s)'!$D$3:$D$6,0)) &amp; "'!A:A"),0)-1,
            1000
        )
    )
) * I76
),
IF(
    IFERROR(MIN(
        IF(
            (TRIM(INDIRECT("'" &amp; INDEX('Hulp (CAO''s)'!$C$3:$C$6,
                MATCH(TRUE,'Hulp (CAO''s)'!$D$3:$D$6,0)) &amp; "'!B1:B1000")) = TEXT(I77,"0")) *
            (ROW(INDIRECT("'" &amp; INDEX('Hulp (CAO''s)'!$C$3:$C$6,
                MATCH(TRUE,'Hulp (CAO''s)'!$D$3:$D$6,0)) &amp; "'!B1:B1000")) &gt; MATCH(
                I75,
                INDIRECT("'" &amp; INDEX('Hulp (CAO''s)'!$C$3:$C$6,
                    MATCH(TRUE,'Hulp (CAO''s)'!$D$3:$D$6,0)) &amp; "'!A:A"),
                0
            )) *
            IF(
                J75="",
                1,
                (ROW(INDIRECT("'" &amp; INDEX('Hulp (CAO''s)'!$C$3:$C$6,
                    MATCH(TRUE,'Hulp (CAO''s)'!$D$3:$D$6,0)) &amp; "'!B1:B1000")) &lt; MATCH(
                    J75,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TEXT(I77,"0")) *
                (ROW(INDIRECT("'" &amp; INDEX('Hulp (CAO''s)'!$C$3:$C$6,
                    MATCH(TRUE,'Hulp (CAO''s)'!$D$3:$D$6,0)) &amp; "'!B1:B1000")) &gt; MATCH(
                    I75,
                    INDIRECT("'" &amp; INDEX('Hulp (CAO''s)'!$C$3:$C$6,
                        MATCH(TRUE,'Hulp (CAO''s)'!$D$3:$D$6,0)) &amp; "'!A:A"),
                    0
                )) *
                IF(
                    J75="",
                    1,
                    (ROW(INDIRECT("'" &amp; INDEX('Hulp (CAO''s)'!$C$3:$C$6,
                        MATCH(TRUE,'Hulp (CAO''s)'!$D$3:$D$6,0)) &amp; "'!B1:B1000")) &lt; MATCH(
                        J75,
                        INDIRECT("'" &amp; INDEX('Hulp (CAO''s)'!$C$3:$C$6,
                            MATCH(TRUE,'Hulp (CAO''s)'!$D$3:$D$6,0)) &amp; "'!A:A"),
                        0
                    ))
                ),
                ROW(INDIRECT("'" &amp; INDEX('Hulp (CAO''s)'!$C$3:$C$6,
                    MATCH(TRUE,'Hulp (CAO''s)'!$D$3:$D$6,0)) &amp; "'!B1:B1000"))
            )
        ),0)
    )
))</f>
        <v/>
      </c>
      <c r="J78" s="86" t="str">
        <f t="array" aca="1" ref="J78" ca="1">IF($B77="Gebruik % van maximum trede",
IF(
    OR(J75="",J76=""),
    "",
    MAX(
    INDIRECT("'" &amp; INDEX('Hulp (CAO''s)'!$C$3:$C$6,
        MATCH(TRUE,'Hulp (CAO''s)'!$D$3:$D$6,0)) &amp; "'!" &amp;
        INDEX('Hulp (CAO''s)'!$H$3:$H$6,
            MATCH(TRUE,'Hulp (CAO''s)'!$D$3:$D$6,0))
        &amp;
        MATCH(J75, INDIRECT("'" &amp; INDEX('Hulp (CAO''s)'!$C$3:$C$6,
            MATCH(TRUE,'Hulp (CAO''s)'!$D$3:$D$6,0)) &amp; "'!A:A"),0)
        &amp; ":H" &amp;
        IF(K75&lt;&gt;"",
            MATCH(K75, INDIRECT("'" &amp; INDEX('Hulp (CAO''s)'!$C$3:$C$6,
                MATCH(TRUE,'Hulp (CAO''s)'!$D$3:$D$6,0)) &amp; "'!A:A"),0)-1,
            1000
        )
    )
) * J76
),
IF(
    IFERROR(MIN(
        IF(
            (TRIM(INDIRECT("'" &amp; INDEX('Hulp (CAO''s)'!$C$3:$C$6,
                MATCH(TRUE,'Hulp (CAO''s)'!$D$3:$D$6,0)) &amp; "'!B1:B1000")) = TEXT(J77,"0")) *
            (ROW(INDIRECT("'" &amp; INDEX('Hulp (CAO''s)'!$C$3:$C$6,
                MATCH(TRUE,'Hulp (CAO''s)'!$D$3:$D$6,0)) &amp; "'!B1:B1000")) &gt; MATCH(
                J75,
                INDIRECT("'" &amp; INDEX('Hulp (CAO''s)'!$C$3:$C$6,
                    MATCH(TRUE,'Hulp (CAO''s)'!$D$3:$D$6,0)) &amp; "'!A:A"),
                0
            )) *
            IF(
                K75="",
                1,
                (ROW(INDIRECT("'" &amp; INDEX('Hulp (CAO''s)'!$C$3:$C$6,
                    MATCH(TRUE,'Hulp (CAO''s)'!$D$3:$D$6,0)) &amp; "'!B1:B1000")) &lt; MATCH(
                    K75,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TEXT(J77,"0")) *
                (ROW(INDIRECT("'" &amp; INDEX('Hulp (CAO''s)'!$C$3:$C$6,
                    MATCH(TRUE,'Hulp (CAO''s)'!$D$3:$D$6,0)) &amp; "'!B1:B1000")) &gt; MATCH(
                    J75,
                    INDIRECT("'" &amp; INDEX('Hulp (CAO''s)'!$C$3:$C$6,
                        MATCH(TRUE,'Hulp (CAO''s)'!$D$3:$D$6,0)) &amp; "'!A:A"),
                    0
                )) *
                IF(
                    K75="",
                    1,
                    (ROW(INDIRECT("'" &amp; INDEX('Hulp (CAO''s)'!$C$3:$C$6,
                        MATCH(TRUE,'Hulp (CAO''s)'!$D$3:$D$6,0)) &amp; "'!B1:B1000")) &lt; MATCH(
                        K75,
                        INDIRECT("'" &amp; INDEX('Hulp (CAO''s)'!$C$3:$C$6,
                            MATCH(TRUE,'Hulp (CAO''s)'!$D$3:$D$6,0)) &amp; "'!A:A"),
                        0
                    ))
                ),
                ROW(INDIRECT("'" &amp; INDEX('Hulp (CAO''s)'!$C$3:$C$6,
                    MATCH(TRUE,'Hulp (CAO''s)'!$D$3:$D$6,0)) &amp; "'!B1:B1000"))
            )
        ),0)
    )
))</f>
        <v/>
      </c>
      <c r="K78" s="86" t="str">
        <f t="array" aca="1" ref="K78" ca="1">IF($B77="Gebruik % van maximum trede",
IF(
    OR(K75="",K76=""),
    "",
    MAX(
    INDIRECT("'" &amp; INDEX('Hulp (CAO''s)'!$C$3:$C$6,
        MATCH(TRUE,'Hulp (CAO''s)'!$D$3:$D$6,0)) &amp; "'!" &amp;
        INDEX('Hulp (CAO''s)'!$H$3:$H$6,
            MATCH(TRUE,'Hulp (CAO''s)'!$D$3:$D$6,0))
        &amp;
        MATCH(K75, INDIRECT("'" &amp; INDEX('Hulp (CAO''s)'!$C$3:$C$6,
            MATCH(TRUE,'Hulp (CAO''s)'!$D$3:$D$6,0)) &amp; "'!A:A"),0)
        &amp; ":H" &amp;
        IF(L75&lt;&gt;"",
            MATCH(L75, INDIRECT("'" &amp; INDEX('Hulp (CAO''s)'!$C$3:$C$6,
                MATCH(TRUE,'Hulp (CAO''s)'!$D$3:$D$6,0)) &amp; "'!A:A"),0)-1,
            1000
        )
    )
) * K76
),
IF(
    IFERROR(MIN(
        IF(
            (TRIM(INDIRECT("'" &amp; INDEX('Hulp (CAO''s)'!$C$3:$C$6,
                MATCH(TRUE,'Hulp (CAO''s)'!$D$3:$D$6,0)) &amp; "'!B1:B1000")) = TEXT(K77,"0")) *
            (ROW(INDIRECT("'" &amp; INDEX('Hulp (CAO''s)'!$C$3:$C$6,
                MATCH(TRUE,'Hulp (CAO''s)'!$D$3:$D$6,0)) &amp; "'!B1:B1000")) &gt; MATCH(
                K75,
                INDIRECT("'" &amp; INDEX('Hulp (CAO''s)'!$C$3:$C$6,
                    MATCH(TRUE,'Hulp (CAO''s)'!$D$3:$D$6,0)) &amp; "'!A:A"),
                0
            )) *
            IF(
                L75="",
                1,
                (ROW(INDIRECT("'" &amp; INDEX('Hulp (CAO''s)'!$C$3:$C$6,
                    MATCH(TRUE,'Hulp (CAO''s)'!$D$3:$D$6,0)) &amp; "'!B1:B1000")) &lt; MATCH(
                    L75,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TEXT(K77,"0")) *
                (ROW(INDIRECT("'" &amp; INDEX('Hulp (CAO''s)'!$C$3:$C$6,
                    MATCH(TRUE,'Hulp (CAO''s)'!$D$3:$D$6,0)) &amp; "'!B1:B1000")) &gt; MATCH(
                    K75,
                    INDIRECT("'" &amp; INDEX('Hulp (CAO''s)'!$C$3:$C$6,
                        MATCH(TRUE,'Hulp (CAO''s)'!$D$3:$D$6,0)) &amp; "'!A:A"),
                    0
                )) *
                IF(
                    L75="",
                    1,
                    (ROW(INDIRECT("'" &amp; INDEX('Hulp (CAO''s)'!$C$3:$C$6,
                        MATCH(TRUE,'Hulp (CAO''s)'!$D$3:$D$6,0)) &amp; "'!B1:B1000")) &lt; MATCH(
                        L75,
                        INDIRECT("'" &amp; INDEX('Hulp (CAO''s)'!$C$3:$C$6,
                            MATCH(TRUE,'Hulp (CAO''s)'!$D$3:$D$6,0)) &amp; "'!A:A"),
                        0
                    ))
                ),
                ROW(INDIRECT("'" &amp; INDEX('Hulp (CAO''s)'!$C$3:$C$6,
                    MATCH(TRUE,'Hulp (CAO''s)'!$D$3:$D$6,0)) &amp; "'!B1:B1000"))
            )
        ),0)
    )
))</f>
        <v/>
      </c>
      <c r="L78" s="86" t="str">
        <f t="array" aca="1" ref="L78" ca="1">IF($B77="Gebruik % van maximum trede",
IF(
    OR(L75="",L76=""),
    "",
    MAX(
    INDIRECT("'" &amp; INDEX('Hulp (CAO''s)'!$C$3:$C$6,
        MATCH(TRUE,'Hulp (CAO''s)'!$D$3:$D$6,0)) &amp; "'!" &amp;
        INDEX('Hulp (CAO''s)'!$H$3:$H$6,
            MATCH(TRUE,'Hulp (CAO''s)'!$D$3:$D$6,0))
        &amp;
        MATCH(L75, INDIRECT("'" &amp; INDEX('Hulp (CAO''s)'!$C$3:$C$6,
            MATCH(TRUE,'Hulp (CAO''s)'!$D$3:$D$6,0)) &amp; "'!A:A"),0)
        &amp; ":H" &amp;
        IF(M75&lt;&gt;"",
            MATCH(M75, INDIRECT("'" &amp; INDEX('Hulp (CAO''s)'!$C$3:$C$6,
                MATCH(TRUE,'Hulp (CAO''s)'!$D$3:$D$6,0)) &amp; "'!A:A"),0)-1,
            1000
        )
    )
) * L76
),
IF(
    IFERROR(MIN(
        IF(
            (TRIM(INDIRECT("'" &amp; INDEX('Hulp (CAO''s)'!$C$3:$C$6,
                MATCH(TRUE,'Hulp (CAO''s)'!$D$3:$D$6,0)) &amp; "'!B1:B1000")) = TEXT(L77,"0")) *
            (ROW(INDIRECT("'" &amp; INDEX('Hulp (CAO''s)'!$C$3:$C$6,
                MATCH(TRUE,'Hulp (CAO''s)'!$D$3:$D$6,0)) &amp; "'!B1:B1000")) &gt; MATCH(
                L75,
                INDIRECT("'" &amp; INDEX('Hulp (CAO''s)'!$C$3:$C$6,
                    MATCH(TRUE,'Hulp (CAO''s)'!$D$3:$D$6,0)) &amp; "'!A:A"),
                0
            )) *
            IF(
                M75="",
                1,
                (ROW(INDIRECT("'" &amp; INDEX('Hulp (CAO''s)'!$C$3:$C$6,
                    MATCH(TRUE,'Hulp (CAO''s)'!$D$3:$D$6,0)) &amp; "'!B1:B1000")) &lt; MATCH(
                    M75,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TEXT(L77,"0")) *
                (ROW(INDIRECT("'" &amp; INDEX('Hulp (CAO''s)'!$C$3:$C$6,
                    MATCH(TRUE,'Hulp (CAO''s)'!$D$3:$D$6,0)) &amp; "'!B1:B1000")) &gt; MATCH(
                    L75,
                    INDIRECT("'" &amp; INDEX('Hulp (CAO''s)'!$C$3:$C$6,
                        MATCH(TRUE,'Hulp (CAO''s)'!$D$3:$D$6,0)) &amp; "'!A:A"),
                    0
                )) *
                IF(
                    M75="",
                    1,
                    (ROW(INDIRECT("'" &amp; INDEX('Hulp (CAO''s)'!$C$3:$C$6,
                        MATCH(TRUE,'Hulp (CAO''s)'!$D$3:$D$6,0)) &amp; "'!B1:B1000")) &lt; MATCH(
                        M75,
                        INDIRECT("'" &amp; INDEX('Hulp (CAO''s)'!$C$3:$C$6,
                            MATCH(TRUE,'Hulp (CAO''s)'!$D$3:$D$6,0)) &amp; "'!A:A"),
                        0
                    ))
                ),
                ROW(INDIRECT("'" &amp; INDEX('Hulp (CAO''s)'!$C$3:$C$6,
                    MATCH(TRUE,'Hulp (CAO''s)'!$D$3:$D$6,0)) &amp; "'!B1:B1000"))
            )
        ),0)
    )
))</f>
        <v/>
      </c>
      <c r="M78" s="86" t="str">
        <f t="array" aca="1" ref="M78" ca="1">IF($B77="Gebruik % van maximum trede",
IF(
    OR(M75="",M76=""),
    "",
    MAX(
    INDIRECT("'" &amp; INDEX('Hulp (CAO''s)'!$C$3:$C$6,
        MATCH(TRUE,'Hulp (CAO''s)'!$D$3:$D$6,0)) &amp; "'!" &amp;
        INDEX('Hulp (CAO''s)'!$H$3:$H$6,
            MATCH(TRUE,'Hulp (CAO''s)'!$D$3:$D$6,0))
        &amp;
        MATCH(M75, INDIRECT("'" &amp; INDEX('Hulp (CAO''s)'!$C$3:$C$6,
            MATCH(TRUE,'Hulp (CAO''s)'!$D$3:$D$6,0)) &amp; "'!A:A"),0)
        &amp; ":H" &amp;
        IF(N75&lt;&gt;"",
            MATCH(N75, INDIRECT("'" &amp; INDEX('Hulp (CAO''s)'!$C$3:$C$6,
                MATCH(TRUE,'Hulp (CAO''s)'!$D$3:$D$6,0)) &amp; "'!A:A"),0)-1,
            1000
        )
    )
) * M76
),
IF(
    IFERROR(MIN(
        IF(
            (TRIM(INDIRECT("'" &amp; INDEX('Hulp (CAO''s)'!$C$3:$C$6,
                MATCH(TRUE,'Hulp (CAO''s)'!$D$3:$D$6,0)) &amp; "'!B1:B1000")) = TEXT(M77,"0")) *
            (ROW(INDIRECT("'" &amp; INDEX('Hulp (CAO''s)'!$C$3:$C$6,
                MATCH(TRUE,'Hulp (CAO''s)'!$D$3:$D$6,0)) &amp; "'!B1:B1000")) &gt; MATCH(
                M75,
                INDIRECT("'" &amp; INDEX('Hulp (CAO''s)'!$C$3:$C$6,
                    MATCH(TRUE,'Hulp (CAO''s)'!$D$3:$D$6,0)) &amp; "'!A:A"),
                0
            )) *
            IF(
                N75="",
                1,
                (ROW(INDIRECT("'" &amp; INDEX('Hulp (CAO''s)'!$C$3:$C$6,
                    MATCH(TRUE,'Hulp (CAO''s)'!$D$3:$D$6,0)) &amp; "'!B1:B1000")) &lt; MATCH(
                    N75,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TEXT(M77,"0")) *
                (ROW(INDIRECT("'" &amp; INDEX('Hulp (CAO''s)'!$C$3:$C$6,
                    MATCH(TRUE,'Hulp (CAO''s)'!$D$3:$D$6,0)) &amp; "'!B1:B1000")) &gt; MATCH(
                    M75,
                    INDIRECT("'" &amp; INDEX('Hulp (CAO''s)'!$C$3:$C$6,
                        MATCH(TRUE,'Hulp (CAO''s)'!$D$3:$D$6,0)) &amp; "'!A:A"),
                    0
                )) *
                IF(
                    N75="",
                    1,
                    (ROW(INDIRECT("'" &amp; INDEX('Hulp (CAO''s)'!$C$3:$C$6,
                        MATCH(TRUE,'Hulp (CAO''s)'!$D$3:$D$6,0)) &amp; "'!B1:B1000")) &lt; MATCH(
                        N75,
                        INDIRECT("'" &amp; INDEX('Hulp (CAO''s)'!$C$3:$C$6,
                            MATCH(TRUE,'Hulp (CAO''s)'!$D$3:$D$6,0)) &amp; "'!A:A"),
                        0
                    ))
                ),
                ROW(INDIRECT("'" &amp; INDEX('Hulp (CAO''s)'!$C$3:$C$6,
                    MATCH(TRUE,'Hulp (CAO''s)'!$D$3:$D$6,0)) &amp; "'!B1:B1000"))
            )
        ),0)
    )
))</f>
        <v/>
      </c>
      <c r="N78" s="86" t="str">
        <f t="array" aca="1" ref="N78" ca="1">IF($B77="Gebruik % van maximum trede",
IF(
    OR(N75="",N76=""),
    "",
    MAX(
    INDIRECT("'" &amp; INDEX('Hulp (CAO''s)'!$C$3:$C$6,
        MATCH(TRUE,'Hulp (CAO''s)'!$D$3:$D$6,0)) &amp; "'!" &amp;
        INDEX('Hulp (CAO''s)'!$H$3:$H$6,
            MATCH(TRUE,'Hulp (CAO''s)'!$D$3:$D$6,0))
        &amp;
        MATCH(N75, INDIRECT("'" &amp; INDEX('Hulp (CAO''s)'!$C$3:$C$6,
            MATCH(TRUE,'Hulp (CAO''s)'!$D$3:$D$6,0)) &amp; "'!A:A"),0)
        &amp; ":H" &amp;
        IF(O75&lt;&gt;"",
            MATCH(O75, INDIRECT("'" &amp; INDEX('Hulp (CAO''s)'!$C$3:$C$6,
                MATCH(TRUE,'Hulp (CAO''s)'!$D$3:$D$6,0)) &amp; "'!A:A"),0)-1,
            1000
        )
    )
) * N76
),
IF(
    IFERROR(MIN(
        IF(
            (TRIM(INDIRECT("'" &amp; INDEX('Hulp (CAO''s)'!$C$3:$C$6,
                MATCH(TRUE,'Hulp (CAO''s)'!$D$3:$D$6,0)) &amp; "'!B1:B1000")) = TEXT(N77,"0")) *
            (ROW(INDIRECT("'" &amp; INDEX('Hulp (CAO''s)'!$C$3:$C$6,
                MATCH(TRUE,'Hulp (CAO''s)'!$D$3:$D$6,0)) &amp; "'!B1:B1000")) &gt; MATCH(
                N75,
                INDIRECT("'" &amp; INDEX('Hulp (CAO''s)'!$C$3:$C$6,
                    MATCH(TRUE,'Hulp (CAO''s)'!$D$3:$D$6,0)) &amp; "'!A:A"),
                0
            )) *
            IF(
                O75="",
                1,
                (ROW(INDIRECT("'" &amp; INDEX('Hulp (CAO''s)'!$C$3:$C$6,
                    MATCH(TRUE,'Hulp (CAO''s)'!$D$3:$D$6,0)) &amp; "'!B1:B1000")) &lt; MATCH(
                    O75,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TEXT(N77,"0")) *
                (ROW(INDIRECT("'" &amp; INDEX('Hulp (CAO''s)'!$C$3:$C$6,
                    MATCH(TRUE,'Hulp (CAO''s)'!$D$3:$D$6,0)) &amp; "'!B1:B1000")) &gt; MATCH(
                    N75,
                    INDIRECT("'" &amp; INDEX('Hulp (CAO''s)'!$C$3:$C$6,
                        MATCH(TRUE,'Hulp (CAO''s)'!$D$3:$D$6,0)) &amp; "'!A:A"),
                    0
                )) *
                IF(
                    O75="",
                    1,
                    (ROW(INDIRECT("'" &amp; INDEX('Hulp (CAO''s)'!$C$3:$C$6,
                        MATCH(TRUE,'Hulp (CAO''s)'!$D$3:$D$6,0)) &amp; "'!B1:B1000")) &lt; MATCH(
                        O75,
                        INDIRECT("'" &amp; INDEX('Hulp (CAO''s)'!$C$3:$C$6,
                            MATCH(TRUE,'Hulp (CAO''s)'!$D$3:$D$6,0)) &amp; "'!A:A"),
                        0
                    ))
                ),
                ROW(INDIRECT("'" &amp; INDEX('Hulp (CAO''s)'!$C$3:$C$6,
                    MATCH(TRUE,'Hulp (CAO''s)'!$D$3:$D$6,0)) &amp; "'!B1:B1000"))
            )
        ),0)
    )
))</f>
        <v/>
      </c>
      <c r="O78" s="86" t="str">
        <f t="array" aca="1" ref="O78" ca="1">IF($B77="Gebruik % van maximum trede",
IF(
    OR(O75="",O76=""),
    "",
    MAX(
    INDIRECT("'" &amp; INDEX('Hulp (CAO''s)'!$C$3:$C$6,
        MATCH(TRUE,'Hulp (CAO''s)'!$D$3:$D$6,0)) &amp; "'!" &amp;
        INDEX('Hulp (CAO''s)'!$H$3:$H$6,
            MATCH(TRUE,'Hulp (CAO''s)'!$D$3:$D$6,0))
        &amp;
        MATCH(O75, INDIRECT("'" &amp; INDEX('Hulp (CAO''s)'!$C$3:$C$6,
            MATCH(TRUE,'Hulp (CAO''s)'!$D$3:$D$6,0)) &amp; "'!A:A"),0)
        &amp; ":H" &amp;
        IF(P75&lt;&gt;"",
            MATCH(P75, INDIRECT("'" &amp; INDEX('Hulp (CAO''s)'!$C$3:$C$6,
                MATCH(TRUE,'Hulp (CAO''s)'!$D$3:$D$6,0)) &amp; "'!A:A"),0)-1,
            1000
        )
    )
) * O76
),
IF(
    IFERROR(MIN(
        IF(
            (TRIM(INDIRECT("'" &amp; INDEX('Hulp (CAO''s)'!$C$3:$C$6,
                MATCH(TRUE,'Hulp (CAO''s)'!$D$3:$D$6,0)) &amp; "'!B1:B1000")) = TEXT(O77,"0")) *
            (ROW(INDIRECT("'" &amp; INDEX('Hulp (CAO''s)'!$C$3:$C$6,
                MATCH(TRUE,'Hulp (CAO''s)'!$D$3:$D$6,0)) &amp; "'!B1:B1000")) &gt; MATCH(
                O75,
                INDIRECT("'" &amp; INDEX('Hulp (CAO''s)'!$C$3:$C$6,
                    MATCH(TRUE,'Hulp (CAO''s)'!$D$3:$D$6,0)) &amp; "'!A:A"),
                0
            )) *
            IF(
                P75="",
                1,
                (ROW(INDIRECT("'" &amp; INDEX('Hulp (CAO''s)'!$C$3:$C$6,
                    MATCH(TRUE,'Hulp (CAO''s)'!$D$3:$D$6,0)) &amp; "'!B1:B1000")) &lt; MATCH(
                    P75,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TEXT(O77,"0")) *
                (ROW(INDIRECT("'" &amp; INDEX('Hulp (CAO''s)'!$C$3:$C$6,
                    MATCH(TRUE,'Hulp (CAO''s)'!$D$3:$D$6,0)) &amp; "'!B1:B1000")) &gt; MATCH(
                    O75,
                    INDIRECT("'" &amp; INDEX('Hulp (CAO''s)'!$C$3:$C$6,
                        MATCH(TRUE,'Hulp (CAO''s)'!$D$3:$D$6,0)) &amp; "'!A:A"),
                    0
                )) *
                IF(
                    P75="",
                    1,
                    (ROW(INDIRECT("'" &amp; INDEX('Hulp (CAO''s)'!$C$3:$C$6,
                        MATCH(TRUE,'Hulp (CAO''s)'!$D$3:$D$6,0)) &amp; "'!B1:B1000")) &lt; MATCH(
                        P75,
                        INDIRECT("'" &amp; INDEX('Hulp (CAO''s)'!$C$3:$C$6,
                            MATCH(TRUE,'Hulp (CAO''s)'!$D$3:$D$6,0)) &amp; "'!A:A"),
                        0
                    ))
                ),
                ROW(INDIRECT("'" &amp; INDEX('Hulp (CAO''s)'!$C$3:$C$6,
                    MATCH(TRUE,'Hulp (CAO''s)'!$D$3:$D$6,0)) &amp; "'!B1:B1000"))
            )
        ),0)
    )
))</f>
        <v/>
      </c>
      <c r="P78" s="86" t="str">
        <f t="array" aca="1" ref="P78" ca="1">IF($B77="Gebruik % van maximum trede",
IF(
    OR(P75="",P76=""),
    "",
    MAX(
    INDIRECT("'" &amp; INDEX('Hulp (CAO''s)'!$C$3:$C$6,
        MATCH(TRUE,'Hulp (CAO''s)'!$D$3:$D$6,0)) &amp; "'!" &amp;
        INDEX('Hulp (CAO''s)'!$H$3:$H$6,
            MATCH(TRUE,'Hulp (CAO''s)'!$D$3:$D$6,0))
        &amp;
        MATCH(P75, INDIRECT("'" &amp; INDEX('Hulp (CAO''s)'!$C$3:$C$6,
            MATCH(TRUE,'Hulp (CAO''s)'!$D$3:$D$6,0)) &amp; "'!A:A"),0)
        &amp; ":H" &amp;
        IF(Q75&lt;&gt;"",
            MATCH(Q75, INDIRECT("'" &amp; INDEX('Hulp (CAO''s)'!$C$3:$C$6,
                MATCH(TRUE,'Hulp (CAO''s)'!$D$3:$D$6,0)) &amp; "'!A:A"),0)-1,
            1000
        )
    )
) * P76
),
IF(
    IFERROR(MIN(
        IF(
            (TRIM(INDIRECT("'" &amp; INDEX('Hulp (CAO''s)'!$C$3:$C$6,
                MATCH(TRUE,'Hulp (CAO''s)'!$D$3:$D$6,0)) &amp; "'!B1:B1000")) = TEXT(P77,"0")) *
            (ROW(INDIRECT("'" &amp; INDEX('Hulp (CAO''s)'!$C$3:$C$6,
                MATCH(TRUE,'Hulp (CAO''s)'!$D$3:$D$6,0)) &amp; "'!B1:B1000")) &gt; MATCH(
                P75,
                INDIRECT("'" &amp; INDEX('Hulp (CAO''s)'!$C$3:$C$6,
                    MATCH(TRUE,'Hulp (CAO''s)'!$D$3:$D$6,0)) &amp; "'!A:A"),
                0
            )) *
            IF(
                Q75="",
                1,
                (ROW(INDIRECT("'" &amp; INDEX('Hulp (CAO''s)'!$C$3:$C$6,
                    MATCH(TRUE,'Hulp (CAO''s)'!$D$3:$D$6,0)) &amp; "'!B1:B1000")) &lt; MATCH(
                    Q75,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TEXT(P77,"0")) *
                (ROW(INDIRECT("'" &amp; INDEX('Hulp (CAO''s)'!$C$3:$C$6,
                    MATCH(TRUE,'Hulp (CAO''s)'!$D$3:$D$6,0)) &amp; "'!B1:B1000")) &gt; MATCH(
                    P75,
                    INDIRECT("'" &amp; INDEX('Hulp (CAO''s)'!$C$3:$C$6,
                        MATCH(TRUE,'Hulp (CAO''s)'!$D$3:$D$6,0)) &amp; "'!A:A"),
                    0
                )) *
                IF(
                    Q75="",
                    1,
                    (ROW(INDIRECT("'" &amp; INDEX('Hulp (CAO''s)'!$C$3:$C$6,
                        MATCH(TRUE,'Hulp (CAO''s)'!$D$3:$D$6,0)) &amp; "'!B1:B1000")) &lt; MATCH(
                        Q75,
                        INDIRECT("'" &amp; INDEX('Hulp (CAO''s)'!$C$3:$C$6,
                            MATCH(TRUE,'Hulp (CAO''s)'!$D$3:$D$6,0)) &amp; "'!A:A"),
                        0
                    ))
                ),
                ROW(INDIRECT("'" &amp; INDEX('Hulp (CAO''s)'!$C$3:$C$6,
                    MATCH(TRUE,'Hulp (CAO''s)'!$D$3:$D$6,0)) &amp; "'!B1:B1000"))
            )
        ),0)
    )
))</f>
        <v/>
      </c>
      <c r="Q78" s="86" t="str">
        <f t="array" aca="1" ref="Q78" ca="1">IF($B77="Gebruik % van maximum trede",
IF(
    OR(Q75="",Q76=""),
    "",
    MAX(
    INDIRECT("'" &amp; INDEX('Hulp (CAO''s)'!$C$3:$C$6,
        MATCH(TRUE,'Hulp (CAO''s)'!$D$3:$D$6,0)) &amp; "'!" &amp;
        INDEX('Hulp (CAO''s)'!$H$3:$H$6,
            MATCH(TRUE,'Hulp (CAO''s)'!$D$3:$D$6,0))
        &amp;
        MATCH(Q75, INDIRECT("'" &amp; INDEX('Hulp (CAO''s)'!$C$3:$C$6,
            MATCH(TRUE,'Hulp (CAO''s)'!$D$3:$D$6,0)) &amp; "'!A:A"),0)
        &amp; ":H" &amp;
        IF(R75&lt;&gt;"",
            MATCH(R75, INDIRECT("'" &amp; INDEX('Hulp (CAO''s)'!$C$3:$C$6,
                MATCH(TRUE,'Hulp (CAO''s)'!$D$3:$D$6,0)) &amp; "'!A:A"),0)-1,
            1000
        )
    )
) * Q76
),
IF(
    IFERROR(MIN(
        IF(
            (TRIM(INDIRECT("'" &amp; INDEX('Hulp (CAO''s)'!$C$3:$C$6,
                MATCH(TRUE,'Hulp (CAO''s)'!$D$3:$D$6,0)) &amp; "'!B1:B1000")) = TEXT(Q77,"0")) *
            (ROW(INDIRECT("'" &amp; INDEX('Hulp (CAO''s)'!$C$3:$C$6,
                MATCH(TRUE,'Hulp (CAO''s)'!$D$3:$D$6,0)) &amp; "'!B1:B1000")) &gt; MATCH(
                Q75,
                INDIRECT("'" &amp; INDEX('Hulp (CAO''s)'!$C$3:$C$6,
                    MATCH(TRUE,'Hulp (CAO''s)'!$D$3:$D$6,0)) &amp; "'!A:A"),
                0
            )) *
            IF(
                R75="",
                1,
                (ROW(INDIRECT("'" &amp; INDEX('Hulp (CAO''s)'!$C$3:$C$6,
                    MATCH(TRUE,'Hulp (CAO''s)'!$D$3:$D$6,0)) &amp; "'!B1:B1000")) &lt; MATCH(
                    R75,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TEXT(Q77,"0")) *
                (ROW(INDIRECT("'" &amp; INDEX('Hulp (CAO''s)'!$C$3:$C$6,
                    MATCH(TRUE,'Hulp (CAO''s)'!$D$3:$D$6,0)) &amp; "'!B1:B1000")) &gt; MATCH(
                    Q75,
                    INDIRECT("'" &amp; INDEX('Hulp (CAO''s)'!$C$3:$C$6,
                        MATCH(TRUE,'Hulp (CAO''s)'!$D$3:$D$6,0)) &amp; "'!A:A"),
                    0
                )) *
                IF(
                    R75="",
                    1,
                    (ROW(INDIRECT("'" &amp; INDEX('Hulp (CAO''s)'!$C$3:$C$6,
                        MATCH(TRUE,'Hulp (CAO''s)'!$D$3:$D$6,0)) &amp; "'!B1:B1000")) &lt; MATCH(
                        R75,
                        INDIRECT("'" &amp; INDEX('Hulp (CAO''s)'!$C$3:$C$6,
                            MATCH(TRUE,'Hulp (CAO''s)'!$D$3:$D$6,0)) &amp; "'!A:A"),
                        0
                    ))
                ),
                ROW(INDIRECT("'" &amp; INDEX('Hulp (CAO''s)'!$C$3:$C$6,
                    MATCH(TRUE,'Hulp (CAO''s)'!$D$3:$D$6,0)) &amp; "'!B1:B1000"))
            )
        ),0)
    )
))</f>
        <v/>
      </c>
      <c r="R78" s="86" t="str">
        <f t="array" aca="1" ref="R78" ca="1">IF($B77="Gebruik % van maximum trede",
IF(
    OR(R75="",R76=""),
    "",
    MAX(
    INDIRECT("'" &amp; INDEX('Hulp (CAO''s)'!$C$3:$C$6,
        MATCH(TRUE,'Hulp (CAO''s)'!$D$3:$D$6,0)) &amp; "'!" &amp;
        INDEX('Hulp (CAO''s)'!$H$3:$H$6,
            MATCH(TRUE,'Hulp (CAO''s)'!$D$3:$D$6,0))
        &amp;
        MATCH(R75, INDIRECT("'" &amp; INDEX('Hulp (CAO''s)'!$C$3:$C$6,
            MATCH(TRUE,'Hulp (CAO''s)'!$D$3:$D$6,0)) &amp; "'!A:A"),0)
        &amp; ":H" &amp;
        IF(S75&lt;&gt;"",
            MATCH(S75, INDIRECT("'" &amp; INDEX('Hulp (CAO''s)'!$C$3:$C$6,
                MATCH(TRUE,'Hulp (CAO''s)'!$D$3:$D$6,0)) &amp; "'!A:A"),0)-1,
            1000
        )
    )
) * R76
),
IF(
    IFERROR(MIN(
        IF(
            (TRIM(INDIRECT("'" &amp; INDEX('Hulp (CAO''s)'!$C$3:$C$6,
                MATCH(TRUE,'Hulp (CAO''s)'!$D$3:$D$6,0)) &amp; "'!B1:B1000")) = TEXT(R77,"0")) *
            (ROW(INDIRECT("'" &amp; INDEX('Hulp (CAO''s)'!$C$3:$C$6,
                MATCH(TRUE,'Hulp (CAO''s)'!$D$3:$D$6,0)) &amp; "'!B1:B1000")) &gt; MATCH(
                R75,
                INDIRECT("'" &amp; INDEX('Hulp (CAO''s)'!$C$3:$C$6,
                    MATCH(TRUE,'Hulp (CAO''s)'!$D$3:$D$6,0)) &amp; "'!A:A"),
                0
            )) *
            IF(
                S75="",
                1,
                (ROW(INDIRECT("'" &amp; INDEX('Hulp (CAO''s)'!$C$3:$C$6,
                    MATCH(TRUE,'Hulp (CAO''s)'!$D$3:$D$6,0)) &amp; "'!B1:B1000")) &lt; MATCH(
                    S75,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TEXT(R77,"0")) *
                (ROW(INDIRECT("'" &amp; INDEX('Hulp (CAO''s)'!$C$3:$C$6,
                    MATCH(TRUE,'Hulp (CAO''s)'!$D$3:$D$6,0)) &amp; "'!B1:B1000")) &gt; MATCH(
                    R75,
                    INDIRECT("'" &amp; INDEX('Hulp (CAO''s)'!$C$3:$C$6,
                        MATCH(TRUE,'Hulp (CAO''s)'!$D$3:$D$6,0)) &amp; "'!A:A"),
                    0
                )) *
                IF(
                    S75="",
                    1,
                    (ROW(INDIRECT("'" &amp; INDEX('Hulp (CAO''s)'!$C$3:$C$6,
                        MATCH(TRUE,'Hulp (CAO''s)'!$D$3:$D$6,0)) &amp; "'!B1:B1000")) &lt; MATCH(
                        S75,
                        INDIRECT("'" &amp; INDEX('Hulp (CAO''s)'!$C$3:$C$6,
                            MATCH(TRUE,'Hulp (CAO''s)'!$D$3:$D$6,0)) &amp; "'!A:A"),
                        0
                    ))
                ),
                ROW(INDIRECT("'" &amp; INDEX('Hulp (CAO''s)'!$C$3:$C$6,
                    MATCH(TRUE,'Hulp (CAO''s)'!$D$3:$D$6,0)) &amp; "'!B1:B1000"))
            )
        ),0)
    )
))</f>
        <v/>
      </c>
      <c r="S78" s="86" t="str">
        <f t="array" aca="1" ref="S78" ca="1">IF($B77="Gebruik % van maximum trede",
IF(
    OR(S75="",S76=""),
    "",
    MAX(
    INDIRECT("'" &amp; INDEX('Hulp (CAO''s)'!$C$3:$C$6,
        MATCH(TRUE,'Hulp (CAO''s)'!$D$3:$D$6,0)) &amp; "'!" &amp;
        INDEX('Hulp (CAO''s)'!$H$3:$H$6,
            MATCH(TRUE,'Hulp (CAO''s)'!$D$3:$D$6,0))
        &amp;
        MATCH(S75, INDIRECT("'" &amp; INDEX('Hulp (CAO''s)'!$C$3:$C$6,
            MATCH(TRUE,'Hulp (CAO''s)'!$D$3:$D$6,0)) &amp; "'!A:A"),0)
        &amp; ":H" &amp;
        IF(T75&lt;&gt;"",
            MATCH(T75, INDIRECT("'" &amp; INDEX('Hulp (CAO''s)'!$C$3:$C$6,
                MATCH(TRUE,'Hulp (CAO''s)'!$D$3:$D$6,0)) &amp; "'!A:A"),0)-1,
            1000
        )
    )
) * S76
),
IF(
    IFERROR(MIN(
        IF(
            (TRIM(INDIRECT("'" &amp; INDEX('Hulp (CAO''s)'!$C$3:$C$6,
                MATCH(TRUE,'Hulp (CAO''s)'!$D$3:$D$6,0)) &amp; "'!B1:B1000")) = TEXT(S77,"0")) *
            (ROW(INDIRECT("'" &amp; INDEX('Hulp (CAO''s)'!$C$3:$C$6,
                MATCH(TRUE,'Hulp (CAO''s)'!$D$3:$D$6,0)) &amp; "'!B1:B1000")) &gt; MATCH(
                S75,
                INDIRECT("'" &amp; INDEX('Hulp (CAO''s)'!$C$3:$C$6,
                    MATCH(TRUE,'Hulp (CAO''s)'!$D$3:$D$6,0)) &amp; "'!A:A"),
                0
            )) *
            IF(
                T75="",
                1,
                (ROW(INDIRECT("'" &amp; INDEX('Hulp (CAO''s)'!$C$3:$C$6,
                    MATCH(TRUE,'Hulp (CAO''s)'!$D$3:$D$6,0)) &amp; "'!B1:B1000")) &lt; MATCH(
                    T75,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TEXT(S77,"0")) *
                (ROW(INDIRECT("'" &amp; INDEX('Hulp (CAO''s)'!$C$3:$C$6,
                    MATCH(TRUE,'Hulp (CAO''s)'!$D$3:$D$6,0)) &amp; "'!B1:B1000")) &gt; MATCH(
                    S75,
                    INDIRECT("'" &amp; INDEX('Hulp (CAO''s)'!$C$3:$C$6,
                        MATCH(TRUE,'Hulp (CAO''s)'!$D$3:$D$6,0)) &amp; "'!A:A"),
                    0
                )) *
                IF(
                    T75="",
                    1,
                    (ROW(INDIRECT("'" &amp; INDEX('Hulp (CAO''s)'!$C$3:$C$6,
                        MATCH(TRUE,'Hulp (CAO''s)'!$D$3:$D$6,0)) &amp; "'!B1:B1000")) &lt; MATCH(
                        T75,
                        INDIRECT("'" &amp; INDEX('Hulp (CAO''s)'!$C$3:$C$6,
                            MATCH(TRUE,'Hulp (CAO''s)'!$D$3:$D$6,0)) &amp; "'!A:A"),
                        0
                    ))
                ),
                ROW(INDIRECT("'" &amp; INDEX('Hulp (CAO''s)'!$C$3:$C$6,
                    MATCH(TRUE,'Hulp (CAO''s)'!$D$3:$D$6,0)) &amp; "'!B1:B1000"))
            )
        ),0)
    )
))</f>
        <v/>
      </c>
      <c r="T78" s="39" t="str">
        <f t="array" aca="1" ref="T78" ca="1">IF($B77="Gebruik % van maximum trede",
IF(
    OR(T75="",T76=""),
    "",
    MAX(
    INDIRECT("'" &amp; INDEX('Hulp (CAO''s)'!$C$3:$C$6,
        MATCH(TRUE,'Hulp (CAO''s)'!$D$3:$D$6,0)) &amp; "'!" &amp;
        INDEX('Hulp (CAO''s)'!$H$3:$H$6,
            MATCH(TRUE,'Hulp (CAO''s)'!$D$3:$D$6,0))
        &amp;
        MATCH(T75, INDIRECT("'" &amp; INDEX('Hulp (CAO''s)'!$C$3:$C$6,
            MATCH(TRUE,'Hulp (CAO''s)'!$D$3:$D$6,0)) &amp; "'!A:A"),0)
        &amp; ":H" &amp;
        IF(U75&lt;&gt;"",
            MATCH(U75, INDIRECT("'" &amp; INDEX('Hulp (CAO''s)'!$C$3:$C$6,
                MATCH(TRUE,'Hulp (CAO''s)'!$D$3:$D$6,0)) &amp; "'!A:A"),0)-1,
            1000
        )
    )
) * T76
),
IF(
    IFERROR(MIN(
        IF(
            (TRIM(INDIRECT("'" &amp; INDEX('Hulp (CAO''s)'!$C$3:$C$6,
                MATCH(TRUE,'Hulp (CAO''s)'!$D$3:$D$6,0)) &amp; "'!B1:B1000")) = TEXT(T77,"0")) *
            (ROW(INDIRECT("'" &amp; INDEX('Hulp (CAO''s)'!$C$3:$C$6,
                MATCH(TRUE,'Hulp (CAO''s)'!$D$3:$D$6,0)) &amp; "'!B1:B1000")) &gt; MATCH(
                T75,
                INDIRECT("'" &amp; INDEX('Hulp (CAO''s)'!$C$3:$C$6,
                    MATCH(TRUE,'Hulp (CAO''s)'!$D$3:$D$6,0)) &amp; "'!A:A"),
                0
            )) *
            IF(
                U75="",
                1,
                (ROW(INDIRECT("'" &amp; INDEX('Hulp (CAO''s)'!$C$3:$C$6,
                    MATCH(TRUE,'Hulp (CAO''s)'!$D$3:$D$6,0)) &amp; "'!B1:B1000")) &lt; MATCH(
                    U75,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TEXT(T77,"0")) *
                (ROW(INDIRECT("'" &amp; INDEX('Hulp (CAO''s)'!$C$3:$C$6,
                    MATCH(TRUE,'Hulp (CAO''s)'!$D$3:$D$6,0)) &amp; "'!B1:B1000")) &gt; MATCH(
                    T75,
                    INDIRECT("'" &amp; INDEX('Hulp (CAO''s)'!$C$3:$C$6,
                        MATCH(TRUE,'Hulp (CAO''s)'!$D$3:$D$6,0)) &amp; "'!A:A"),
                    0
                )) *
                IF(
                    U75="",
                    1,
                    (ROW(INDIRECT("'" &amp; INDEX('Hulp (CAO''s)'!$C$3:$C$6,
                        MATCH(TRUE,'Hulp (CAO''s)'!$D$3:$D$6,0)) &amp; "'!B1:B1000")) &lt; MATCH(
                        U75,
                        INDIRECT("'" &amp; INDEX('Hulp (CAO''s)'!$C$3:$C$6,
                            MATCH(TRUE,'Hulp (CAO''s)'!$D$3:$D$6,0)) &amp; "'!A:A"),
                        0
                    ))
                ),
                ROW(INDIRECT("'" &amp; INDEX('Hulp (CAO''s)'!$C$3:$C$6,
                    MATCH(TRUE,'Hulp (CAO''s)'!$D$3:$D$6,0)) &amp; "'!B1:B1000"))
            )
        ),0)
    )
))</f>
        <v/>
      </c>
      <c r="V78" s="38" t="str">
        <f t="array" aca="1" ref="V78" ca="1">IF(
   SUM(E78:T78)=0,
   "",
   (
      SUMPRODUCT(
         IF(E78:T78="",0,E78:T78),
         IF(E79:T79="",0,E79:T79) * SUM(E79:T79)
      )
   ) *
   IF(
      'Hulp (CAO''s)'!#REF!,
      IF(
         OR(
            INDEX(#REF!, ROW(#REF!) + INT((ROW()-ROW($V$8))/6)*8)="",
            ISNA(INDEX(#REF!, ROW(#REF!) + INT((ROW()-ROW($V$8))/6)*8))
         ),
         1878/12,
         INDEX(#REF!, ROW(#REF!) + INT((ROW()-ROW($V$8))/6)*8)/12
      ),
      1
   )
)</f>
        <v/>
      </c>
    </row>
    <row r="79" spans="2:24" ht="14.65" thickBot="1" x14ac:dyDescent="0.5">
      <c r="B79" s="48" t="s">
        <v>60</v>
      </c>
      <c r="D79" s="24" t="s">
        <v>59</v>
      </c>
      <c r="E79" s="8">
        <v>0.05</v>
      </c>
      <c r="F79" s="8">
        <v>0.1</v>
      </c>
      <c r="G79" s="8">
        <v>0.1</v>
      </c>
      <c r="H79" s="8">
        <v>0.15</v>
      </c>
      <c r="I79" s="8">
        <v>0.2</v>
      </c>
      <c r="J79" s="8">
        <v>0.15</v>
      </c>
      <c r="K79" s="8">
        <v>0.1</v>
      </c>
      <c r="L79" s="8">
        <v>0.05</v>
      </c>
      <c r="M79" s="8">
        <v>0.05</v>
      </c>
      <c r="N79" s="8">
        <v>0.05</v>
      </c>
      <c r="O79" s="8">
        <v>0</v>
      </c>
      <c r="P79" s="8"/>
      <c r="Q79" s="8"/>
      <c r="R79" s="8"/>
      <c r="S79" s="8"/>
      <c r="T79" s="9"/>
      <c r="U79" s="7"/>
      <c r="V79" s="37" t="str">
        <f ca="1">IF(B75="","",IF(INDIRECT("'Hulp (control forms)'!C" &amp; (13 + INT((ROW()-ROW($B$5))/6))), V77, V78))</f>
        <v/>
      </c>
      <c r="W79" s="7"/>
    </row>
    <row r="80" spans="2:24" x14ac:dyDescent="0.5">
      <c r="S80" s="7" t="str">
        <f>IF($B79="Aandeel in %",
   "Totaal: "&amp;SUM(E79:T79)*100&amp;"%",
   "Totaal: "&amp;SUM(E79:T79)&amp;" uur"
)</f>
        <v>Totaal: 100%</v>
      </c>
      <c r="T80" s="7"/>
    </row>
    <row r="81" spans="2:24" ht="16.149999999999999" thickBot="1" x14ac:dyDescent="0.55000000000000004">
      <c r="B81" s="44" t="str">
        <f ca="1">IF(B82="","",IF(
   OR(
      INDIRECT("'1a. Input organisatieniveau'!N" &amp; (14 + INT((ROW()-4)/7)))="",
      INDIRECT("'1a. Input organisatieniveau'!N" &amp; (14 + INT((ROW()-4)/7)))=0
   ),
   "",
   INDIRECT("'1a. Input organisatieniveau'!N" &amp; (14 + INT((ROW()-4)/7)))
))</f>
        <v/>
      </c>
      <c r="E81" s="61" t="str">
        <f t="shared" ref="E81:T81" ca="1" si="11">IF($B84="Gebruik % van maximum trede", IF(AND(AND(E82&lt;&gt;"",E83&lt;&gt;""),E85=""),"!",""), IF(AND(AND(E82&lt;&gt;"",E84&lt;&gt;""),E85=""),"!",""))</f>
        <v/>
      </c>
      <c r="F81" s="61" t="str">
        <f t="shared" ca="1" si="11"/>
        <v/>
      </c>
      <c r="G81" s="61" t="str">
        <f t="shared" ca="1" si="11"/>
        <v/>
      </c>
      <c r="H81" s="61" t="str">
        <f t="shared" ca="1" si="11"/>
        <v/>
      </c>
      <c r="I81" s="61" t="str">
        <f t="shared" ca="1" si="11"/>
        <v/>
      </c>
      <c r="J81" s="61" t="str">
        <f t="shared" ca="1" si="11"/>
        <v/>
      </c>
      <c r="K81" s="61" t="str">
        <f t="shared" ca="1" si="11"/>
        <v/>
      </c>
      <c r="L81" s="61" t="str">
        <f t="shared" ca="1" si="11"/>
        <v/>
      </c>
      <c r="M81" s="61" t="str">
        <f t="shared" ca="1" si="11"/>
        <v/>
      </c>
      <c r="N81" s="61" t="str">
        <f t="shared" ca="1" si="11"/>
        <v/>
      </c>
      <c r="O81" s="61" t="str">
        <f t="shared" ca="1" si="11"/>
        <v/>
      </c>
      <c r="P81" s="61" t="str">
        <f t="shared" ca="1" si="11"/>
        <v/>
      </c>
      <c r="Q81" s="61" t="str">
        <f t="shared" ca="1" si="11"/>
        <v/>
      </c>
      <c r="R81" s="61" t="str">
        <f t="shared" ca="1" si="11"/>
        <v/>
      </c>
      <c r="S81" s="61" t="str">
        <f t="shared" ca="1" si="11"/>
        <v/>
      </c>
      <c r="T81" s="61" t="str">
        <f t="shared" ca="1" si="11"/>
        <v/>
      </c>
    </row>
    <row r="82" spans="2:24" ht="16.149999999999999" thickBot="1" x14ac:dyDescent="0.55000000000000004">
      <c r="B82" s="45" t="str">
        <f ca="1">IF(
   OR(
      INDIRECT("'1a. Input organisatieniveau'!M" &amp; (14 + INT((ROW()-4)/7)))="",
      INDIRECT("'1a. Input organisatieniveau'!M" &amp; (14 + INT((ROW()-4)/7)))=0
   ),
   "",
   INDIRECT("'1a. Input organisatieniveau'!M" &amp; (14 + INT((ROW()-4)/7)))
)</f>
        <v/>
      </c>
      <c r="D82" s="22" t="s">
        <v>28</v>
      </c>
      <c r="E82" s="10" t="str">
        <f t="array" aca="1" ref="E82" ca="1">IF($B82="", "", INDEX('Hulp (CAO''s)'!J$3:J$6, MATCH(TRUE, 'Hulp (CAO''s)'!$D$3:$D$6, 0)))</f>
        <v/>
      </c>
      <c r="F82" s="10" t="str">
        <f t="array" aca="1" ref="F82" ca="1">IF($B82="", "", INDEX('Hulp (CAO''s)'!K$3:K$6, MATCH(TRUE, 'Hulp (CAO''s)'!$D$3:$D$6, 0)))</f>
        <v/>
      </c>
      <c r="G82" s="10" t="str">
        <f t="array" aca="1" ref="G82" ca="1">IF($B82="", "", INDEX('Hulp (CAO''s)'!L$3:L$6, MATCH(TRUE, 'Hulp (CAO''s)'!$D$3:$D$6, 0)))</f>
        <v/>
      </c>
      <c r="H82" s="10" t="str">
        <f t="array" aca="1" ref="H82" ca="1">IF($B82="", "", INDEX('Hulp (CAO''s)'!M$3:M$6, MATCH(TRUE, 'Hulp (CAO''s)'!$D$3:$D$6, 0)))</f>
        <v/>
      </c>
      <c r="I82" s="10" t="str">
        <f t="array" aca="1" ref="I82" ca="1">IF($B82="", "", INDEX('Hulp (CAO''s)'!N$3:N$6, MATCH(TRUE, 'Hulp (CAO''s)'!$D$3:$D$6, 0)))</f>
        <v/>
      </c>
      <c r="J82" s="10" t="str">
        <f t="array" aca="1" ref="J82" ca="1">IF($B82="", "", INDEX('Hulp (CAO''s)'!O$3:O$6, MATCH(TRUE, 'Hulp (CAO''s)'!$D$3:$D$6, 0)))</f>
        <v/>
      </c>
      <c r="K82" s="10" t="str">
        <f t="array" aca="1" ref="K82" ca="1">IF($B82="", "", INDEX('Hulp (CAO''s)'!P$3:P$6, MATCH(TRUE, 'Hulp (CAO''s)'!$D$3:$D$6, 0)))</f>
        <v/>
      </c>
      <c r="L82" s="10" t="str">
        <f t="array" aca="1" ref="L82" ca="1">IF($B82="", "", INDEX('Hulp (CAO''s)'!Q$3:Q$6, MATCH(TRUE, 'Hulp (CAO''s)'!$D$3:$D$6, 0)))</f>
        <v/>
      </c>
      <c r="M82" s="10" t="str">
        <f t="array" aca="1" ref="M82" ca="1">IF($B82="", "", INDEX('Hulp (CAO''s)'!R$3:R$6, MATCH(TRUE, 'Hulp (CAO''s)'!$D$3:$D$6, 0)))</f>
        <v/>
      </c>
      <c r="N82" s="10" t="str">
        <f t="array" aca="1" ref="N82" ca="1">IF($B82="", "", INDEX('Hulp (CAO''s)'!S$3:S$6, MATCH(TRUE, 'Hulp (CAO''s)'!$D$3:$D$6, 0)))</f>
        <v/>
      </c>
      <c r="O82" s="10" t="str">
        <f t="array" aca="1" ref="O82" ca="1">IF($B82="", "", INDEX('Hulp (CAO''s)'!T$3:T$6, MATCH(TRUE, 'Hulp (CAO''s)'!$D$3:$D$6, 0)))</f>
        <v/>
      </c>
      <c r="P82" s="10" t="str">
        <f t="array" aca="1" ref="P82" ca="1">IF($B82="", "", INDEX('Hulp (CAO''s)'!U$3:U$6, MATCH(TRUE, 'Hulp (CAO''s)'!$D$3:$D$6, 0)))</f>
        <v/>
      </c>
      <c r="Q82" s="10" t="str">
        <f t="array" aca="1" ref="Q82" ca="1">IF($B82="", "", INDEX('Hulp (CAO''s)'!V$3:V$6, MATCH(TRUE, 'Hulp (CAO''s)'!$D$3:$D$6, 0)))</f>
        <v/>
      </c>
      <c r="R82" s="10" t="str">
        <f t="array" aca="1" ref="R82" ca="1">IF($B82="", "", INDEX('Hulp (CAO''s)'!W$3:W$6, MATCH(TRUE, 'Hulp (CAO''s)'!$D$3:$D$6, 0)))</f>
        <v/>
      </c>
      <c r="S82" s="10" t="str">
        <f t="array" aca="1" ref="S82" ca="1">IF($B82="", "", INDEX('Hulp (CAO''s)'!X$3:X$6, MATCH(TRUE, 'Hulp (CAO''s)'!$D$3:$D$6, 0)))</f>
        <v/>
      </c>
      <c r="T82" s="11" t="str">
        <f t="array" aca="1" ref="T82" ca="1">IF($B82="", "", INDEX('Hulp (CAO''s)'!Y$3:Y$6, MATCH(TRUE, 'Hulp (CAO''s)'!$D$3:$D$6, 0)))</f>
        <v/>
      </c>
      <c r="V82" s="25"/>
      <c r="W82" s="5"/>
    </row>
    <row r="83" spans="2:24" ht="16.149999999999999" thickBot="1" x14ac:dyDescent="0.55000000000000004">
      <c r="D83" s="23" t="s">
        <v>770</v>
      </c>
      <c r="E83" s="90">
        <v>0.96</v>
      </c>
      <c r="F83" s="90">
        <v>0.9</v>
      </c>
      <c r="G83" s="90">
        <v>0.9</v>
      </c>
      <c r="H83" s="90">
        <v>0.7</v>
      </c>
      <c r="I83" s="90">
        <v>0.8</v>
      </c>
      <c r="J83" s="90">
        <v>0.9</v>
      </c>
      <c r="K83" s="90">
        <v>0.9</v>
      </c>
      <c r="L83" s="90">
        <v>0.9</v>
      </c>
      <c r="M83" s="90">
        <v>0.9</v>
      </c>
      <c r="N83" s="90">
        <v>0.8</v>
      </c>
      <c r="O83" s="90">
        <v>0.95</v>
      </c>
      <c r="P83" s="90">
        <v>0.93</v>
      </c>
      <c r="Q83" s="90">
        <v>0.93</v>
      </c>
      <c r="R83" s="90">
        <v>0.95</v>
      </c>
      <c r="S83" s="90">
        <v>0.92</v>
      </c>
      <c r="T83" s="91">
        <v>0.95</v>
      </c>
      <c r="V83" s="25" t="s">
        <v>32</v>
      </c>
    </row>
    <row r="84" spans="2:24" ht="14.25" x14ac:dyDescent="0.45">
      <c r="B84" s="48" t="s">
        <v>771</v>
      </c>
      <c r="D84" s="23" t="s">
        <v>29</v>
      </c>
      <c r="E84" s="94">
        <v>9</v>
      </c>
      <c r="F84" s="94">
        <v>10</v>
      </c>
      <c r="G84" s="94">
        <v>10</v>
      </c>
      <c r="H84" s="94">
        <v>9</v>
      </c>
      <c r="I84" s="94">
        <v>10</v>
      </c>
      <c r="J84" s="94">
        <v>11</v>
      </c>
      <c r="K84" s="94">
        <v>10</v>
      </c>
      <c r="L84" s="94">
        <v>10</v>
      </c>
      <c r="M84" s="94">
        <v>9</v>
      </c>
      <c r="N84" s="94">
        <v>10</v>
      </c>
      <c r="O84" s="94">
        <v>11</v>
      </c>
      <c r="P84" s="94">
        <v>12</v>
      </c>
      <c r="Q84" s="94">
        <v>13</v>
      </c>
      <c r="R84" s="94">
        <v>12</v>
      </c>
      <c r="S84" s="94">
        <v>10</v>
      </c>
      <c r="T84" s="33">
        <v>5</v>
      </c>
      <c r="V84" s="52">
        <v>4000</v>
      </c>
      <c r="X84" s="60" t="s">
        <v>747</v>
      </c>
    </row>
    <row r="85" spans="2:24" ht="14.65" thickBot="1" x14ac:dyDescent="0.5">
      <c r="B85"/>
      <c r="D85" s="40" t="str">
        <f>IFERROR(
   INDEX('Hulp (CAO''s)'!$I$3:$I$6, MATCH(TRUE, 'Hulp (CAO''s)'!$D$3:$D$6, 0)),
"")</f>
        <v>Bruto maandsalaris</v>
      </c>
      <c r="E85" s="86" t="str">
        <f t="array" aca="1" ref="E85" ca="1">IF($B84="Gebruik % van maximum trede",
IF(
    OR(E82="",E83=""),
    "",
    MAX(
    INDIRECT("'" &amp; INDEX('Hulp (CAO''s)'!$C$3:$C$6,
        MATCH(TRUE,'Hulp (CAO''s)'!$D$3:$D$6,0)) &amp; "'!" &amp;
        INDEX('Hulp (CAO''s)'!$H$3:$H$6,
            MATCH(TRUE,'Hulp (CAO''s)'!$D$3:$D$6,0))
        &amp;
        MATCH(E82, INDIRECT("'" &amp; INDEX('Hulp (CAO''s)'!$C$3:$C$6,
            MATCH(TRUE,'Hulp (CAO''s)'!$D$3:$D$6,0)) &amp; "'!A:A"),0)
        &amp; ":H" &amp;
        IF(F82&lt;&gt;"",
            MATCH(F82, INDIRECT("'" &amp; INDEX('Hulp (CAO''s)'!$C$3:$C$6,
                MATCH(TRUE,'Hulp (CAO''s)'!$D$3:$D$6,0)) &amp; "'!A:A"),0)-1,
            1000
        )
    )
) * E83
),
IF(
    IFERROR(MIN(
        IF(
            (TRIM(INDIRECT("'" &amp; INDEX('Hulp (CAO''s)'!$C$3:$C$6,
                MATCH(TRUE,'Hulp (CAO''s)'!$D$3:$D$6,0)) &amp; "'!B1:B1000")) = TEXT(E84,"0")) *
            (ROW(INDIRECT("'" &amp; INDEX('Hulp (CAO''s)'!$C$3:$C$6,
                MATCH(TRUE,'Hulp (CAO''s)'!$D$3:$D$6,0)) &amp; "'!B1:B1000")) &gt; MATCH(
                E82,
                INDIRECT("'" &amp; INDEX('Hulp (CAO''s)'!$C$3:$C$6,
                    MATCH(TRUE,'Hulp (CAO''s)'!$D$3:$D$6,0)) &amp; "'!A:A"),
                0
            )) *
            IF(
                F82="",
                1,
                (ROW(INDIRECT("'" &amp; INDEX('Hulp (CAO''s)'!$C$3:$C$6,
                    MATCH(TRUE,'Hulp (CAO''s)'!$D$3:$D$6,0)) &amp; "'!B1:B1000")) &lt; MATCH(
                    F82,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TEXT(E84,"0")) *
                (ROW(INDIRECT("'" &amp; INDEX('Hulp (CAO''s)'!$C$3:$C$6,
                    MATCH(TRUE,'Hulp (CAO''s)'!$D$3:$D$6,0)) &amp; "'!B1:B1000")) &gt; MATCH(
                    E82,
                    INDIRECT("'" &amp; INDEX('Hulp (CAO''s)'!$C$3:$C$6,
                        MATCH(TRUE,'Hulp (CAO''s)'!$D$3:$D$6,0)) &amp; "'!A:A"),
                    0
                )) *
                IF(
                    F82="",
                    1,
                    (ROW(INDIRECT("'" &amp; INDEX('Hulp (CAO''s)'!$C$3:$C$6,
                        MATCH(TRUE,'Hulp (CAO''s)'!$D$3:$D$6,0)) &amp; "'!B1:B1000")) &lt; MATCH(
                        F82,
                        INDIRECT("'" &amp; INDEX('Hulp (CAO''s)'!$C$3:$C$6,
                            MATCH(TRUE,'Hulp (CAO''s)'!$D$3:$D$6,0)) &amp; "'!A:A"),
                        0
                    ))
                ),
                ROW(INDIRECT("'" &amp; INDEX('Hulp (CAO''s)'!$C$3:$C$6,
                    MATCH(TRUE,'Hulp (CAO''s)'!$D$3:$D$6,0)) &amp; "'!B1:B1000"))
            )
        ),0)
    )
))</f>
        <v/>
      </c>
      <c r="F85" s="86" t="str">
        <f t="array" aca="1" ref="F85" ca="1">IF($B84="Gebruik % van maximum trede",
IF(
    OR(F82="",F83=""),
    "",
    MAX(
    INDIRECT("'" &amp; INDEX('Hulp (CAO''s)'!$C$3:$C$6,
        MATCH(TRUE,'Hulp (CAO''s)'!$D$3:$D$6,0)) &amp; "'!" &amp;
        INDEX('Hulp (CAO''s)'!$H$3:$H$6,
            MATCH(TRUE,'Hulp (CAO''s)'!$D$3:$D$6,0))
        &amp;
        MATCH(F82, INDIRECT("'" &amp; INDEX('Hulp (CAO''s)'!$C$3:$C$6,
            MATCH(TRUE,'Hulp (CAO''s)'!$D$3:$D$6,0)) &amp; "'!A:A"),0)
        &amp; ":H" &amp;
        IF(G82&lt;&gt;"",
            MATCH(G82, INDIRECT("'" &amp; INDEX('Hulp (CAO''s)'!$C$3:$C$6,
                MATCH(TRUE,'Hulp (CAO''s)'!$D$3:$D$6,0)) &amp; "'!A:A"),0)-1,
            1000
        )
    )
) * F83
),
IF(
    IFERROR(MIN(
        IF(
            (TRIM(INDIRECT("'" &amp; INDEX('Hulp (CAO''s)'!$C$3:$C$6,
                MATCH(TRUE,'Hulp (CAO''s)'!$D$3:$D$6,0)) &amp; "'!B1:B1000")) = TEXT(F84,"0")) *
            (ROW(INDIRECT("'" &amp; INDEX('Hulp (CAO''s)'!$C$3:$C$6,
                MATCH(TRUE,'Hulp (CAO''s)'!$D$3:$D$6,0)) &amp; "'!B1:B1000")) &gt; MATCH(
                F82,
                INDIRECT("'" &amp; INDEX('Hulp (CAO''s)'!$C$3:$C$6,
                    MATCH(TRUE,'Hulp (CAO''s)'!$D$3:$D$6,0)) &amp; "'!A:A"),
                0
            )) *
            IF(
                G82="",
                1,
                (ROW(INDIRECT("'" &amp; INDEX('Hulp (CAO''s)'!$C$3:$C$6,
                    MATCH(TRUE,'Hulp (CAO''s)'!$D$3:$D$6,0)) &amp; "'!B1:B1000")) &lt; MATCH(
                    G82,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TEXT(F84,"0")) *
                (ROW(INDIRECT("'" &amp; INDEX('Hulp (CAO''s)'!$C$3:$C$6,
                    MATCH(TRUE,'Hulp (CAO''s)'!$D$3:$D$6,0)) &amp; "'!B1:B1000")) &gt; MATCH(
                    F82,
                    INDIRECT("'" &amp; INDEX('Hulp (CAO''s)'!$C$3:$C$6,
                        MATCH(TRUE,'Hulp (CAO''s)'!$D$3:$D$6,0)) &amp; "'!A:A"),
                    0
                )) *
                IF(
                    G82="",
                    1,
                    (ROW(INDIRECT("'" &amp; INDEX('Hulp (CAO''s)'!$C$3:$C$6,
                        MATCH(TRUE,'Hulp (CAO''s)'!$D$3:$D$6,0)) &amp; "'!B1:B1000")) &lt; MATCH(
                        G82,
                        INDIRECT("'" &amp; INDEX('Hulp (CAO''s)'!$C$3:$C$6,
                            MATCH(TRUE,'Hulp (CAO''s)'!$D$3:$D$6,0)) &amp; "'!A:A"),
                        0
                    ))
                ),
                ROW(INDIRECT("'" &amp; INDEX('Hulp (CAO''s)'!$C$3:$C$6,
                    MATCH(TRUE,'Hulp (CAO''s)'!$D$3:$D$6,0)) &amp; "'!B1:B1000"))
            )
        ),0)
    )
))</f>
        <v/>
      </c>
      <c r="G85" s="86" t="str">
        <f t="array" aca="1" ref="G85" ca="1">IF($B84="Gebruik % van maximum trede",
IF(
    OR(G82="",G83=""),
    "",
    MAX(
    INDIRECT("'" &amp; INDEX('Hulp (CAO''s)'!$C$3:$C$6,
        MATCH(TRUE,'Hulp (CAO''s)'!$D$3:$D$6,0)) &amp; "'!" &amp;
        INDEX('Hulp (CAO''s)'!$H$3:$H$6,
            MATCH(TRUE,'Hulp (CAO''s)'!$D$3:$D$6,0))
        &amp;
        MATCH(G82, INDIRECT("'" &amp; INDEX('Hulp (CAO''s)'!$C$3:$C$6,
            MATCH(TRUE,'Hulp (CAO''s)'!$D$3:$D$6,0)) &amp; "'!A:A"),0)
        &amp; ":H" &amp;
        IF(H82&lt;&gt;"",
            MATCH(H82, INDIRECT("'" &amp; INDEX('Hulp (CAO''s)'!$C$3:$C$6,
                MATCH(TRUE,'Hulp (CAO''s)'!$D$3:$D$6,0)) &amp; "'!A:A"),0)-1,
            1000
        )
    )
) * G83
),
IF(
    IFERROR(MIN(
        IF(
            (TRIM(INDIRECT("'" &amp; INDEX('Hulp (CAO''s)'!$C$3:$C$6,
                MATCH(TRUE,'Hulp (CAO''s)'!$D$3:$D$6,0)) &amp; "'!B1:B1000")) = TEXT(G84,"0")) *
            (ROW(INDIRECT("'" &amp; INDEX('Hulp (CAO''s)'!$C$3:$C$6,
                MATCH(TRUE,'Hulp (CAO''s)'!$D$3:$D$6,0)) &amp; "'!B1:B1000")) &gt; MATCH(
                G82,
                INDIRECT("'" &amp; INDEX('Hulp (CAO''s)'!$C$3:$C$6,
                    MATCH(TRUE,'Hulp (CAO''s)'!$D$3:$D$6,0)) &amp; "'!A:A"),
                0
            )) *
            IF(
                H82="",
                1,
                (ROW(INDIRECT("'" &amp; INDEX('Hulp (CAO''s)'!$C$3:$C$6,
                    MATCH(TRUE,'Hulp (CAO''s)'!$D$3:$D$6,0)) &amp; "'!B1:B1000")) &lt; MATCH(
                    H82,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TEXT(G84,"0")) *
                (ROW(INDIRECT("'" &amp; INDEX('Hulp (CAO''s)'!$C$3:$C$6,
                    MATCH(TRUE,'Hulp (CAO''s)'!$D$3:$D$6,0)) &amp; "'!B1:B1000")) &gt; MATCH(
                    G82,
                    INDIRECT("'" &amp; INDEX('Hulp (CAO''s)'!$C$3:$C$6,
                        MATCH(TRUE,'Hulp (CAO''s)'!$D$3:$D$6,0)) &amp; "'!A:A"),
                    0
                )) *
                IF(
                    H82="",
                    1,
                    (ROW(INDIRECT("'" &amp; INDEX('Hulp (CAO''s)'!$C$3:$C$6,
                        MATCH(TRUE,'Hulp (CAO''s)'!$D$3:$D$6,0)) &amp; "'!B1:B1000")) &lt; MATCH(
                        H82,
                        INDIRECT("'" &amp; INDEX('Hulp (CAO''s)'!$C$3:$C$6,
                            MATCH(TRUE,'Hulp (CAO''s)'!$D$3:$D$6,0)) &amp; "'!A:A"),
                        0
                    ))
                ),
                ROW(INDIRECT("'" &amp; INDEX('Hulp (CAO''s)'!$C$3:$C$6,
                    MATCH(TRUE,'Hulp (CAO''s)'!$D$3:$D$6,0)) &amp; "'!B1:B1000"))
            )
        ),0)
    )
))</f>
        <v/>
      </c>
      <c r="H85" s="86" t="str">
        <f t="array" aca="1" ref="H85" ca="1">IF($B84="Gebruik % van maximum trede",
IF(
    OR(H82="",H83=""),
    "",
    MAX(
    INDIRECT("'" &amp; INDEX('Hulp (CAO''s)'!$C$3:$C$6,
        MATCH(TRUE,'Hulp (CAO''s)'!$D$3:$D$6,0)) &amp; "'!" &amp;
        INDEX('Hulp (CAO''s)'!$H$3:$H$6,
            MATCH(TRUE,'Hulp (CAO''s)'!$D$3:$D$6,0))
        &amp;
        MATCH(H82, INDIRECT("'" &amp; INDEX('Hulp (CAO''s)'!$C$3:$C$6,
            MATCH(TRUE,'Hulp (CAO''s)'!$D$3:$D$6,0)) &amp; "'!A:A"),0)
        &amp; ":H" &amp;
        IF(I82&lt;&gt;"",
            MATCH(I82, INDIRECT("'" &amp; INDEX('Hulp (CAO''s)'!$C$3:$C$6,
                MATCH(TRUE,'Hulp (CAO''s)'!$D$3:$D$6,0)) &amp; "'!A:A"),0)-1,
            1000
        )
    )
) * H83
),
IF(
    IFERROR(MIN(
        IF(
            (TRIM(INDIRECT("'" &amp; INDEX('Hulp (CAO''s)'!$C$3:$C$6,
                MATCH(TRUE,'Hulp (CAO''s)'!$D$3:$D$6,0)) &amp; "'!B1:B1000")) = TEXT(H84,"0")) *
            (ROW(INDIRECT("'" &amp; INDEX('Hulp (CAO''s)'!$C$3:$C$6,
                MATCH(TRUE,'Hulp (CAO''s)'!$D$3:$D$6,0)) &amp; "'!B1:B1000")) &gt; MATCH(
                H82,
                INDIRECT("'" &amp; INDEX('Hulp (CAO''s)'!$C$3:$C$6,
                    MATCH(TRUE,'Hulp (CAO''s)'!$D$3:$D$6,0)) &amp; "'!A:A"),
                0
            )) *
            IF(
                I82="",
                1,
                (ROW(INDIRECT("'" &amp; INDEX('Hulp (CAO''s)'!$C$3:$C$6,
                    MATCH(TRUE,'Hulp (CAO''s)'!$D$3:$D$6,0)) &amp; "'!B1:B1000")) &lt; MATCH(
                    I82,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TEXT(H84,"0")) *
                (ROW(INDIRECT("'" &amp; INDEX('Hulp (CAO''s)'!$C$3:$C$6,
                    MATCH(TRUE,'Hulp (CAO''s)'!$D$3:$D$6,0)) &amp; "'!B1:B1000")) &gt; MATCH(
                    H82,
                    INDIRECT("'" &amp; INDEX('Hulp (CAO''s)'!$C$3:$C$6,
                        MATCH(TRUE,'Hulp (CAO''s)'!$D$3:$D$6,0)) &amp; "'!A:A"),
                    0
                )) *
                IF(
                    I82="",
                    1,
                    (ROW(INDIRECT("'" &amp; INDEX('Hulp (CAO''s)'!$C$3:$C$6,
                        MATCH(TRUE,'Hulp (CAO''s)'!$D$3:$D$6,0)) &amp; "'!B1:B1000")) &lt; MATCH(
                        I82,
                        INDIRECT("'" &amp; INDEX('Hulp (CAO''s)'!$C$3:$C$6,
                            MATCH(TRUE,'Hulp (CAO''s)'!$D$3:$D$6,0)) &amp; "'!A:A"),
                        0
                    ))
                ),
                ROW(INDIRECT("'" &amp; INDEX('Hulp (CAO''s)'!$C$3:$C$6,
                    MATCH(TRUE,'Hulp (CAO''s)'!$D$3:$D$6,0)) &amp; "'!B1:B1000"))
            )
        ),0)
    )
))</f>
        <v/>
      </c>
      <c r="I85" s="86" t="str">
        <f t="array" aca="1" ref="I85" ca="1">IF($B84="Gebruik % van maximum trede",
IF(
    OR(I82="",I83=""),
    "",
    MAX(
    INDIRECT("'" &amp; INDEX('Hulp (CAO''s)'!$C$3:$C$6,
        MATCH(TRUE,'Hulp (CAO''s)'!$D$3:$D$6,0)) &amp; "'!" &amp;
        INDEX('Hulp (CAO''s)'!$H$3:$H$6,
            MATCH(TRUE,'Hulp (CAO''s)'!$D$3:$D$6,0))
        &amp;
        MATCH(I82, INDIRECT("'" &amp; INDEX('Hulp (CAO''s)'!$C$3:$C$6,
            MATCH(TRUE,'Hulp (CAO''s)'!$D$3:$D$6,0)) &amp; "'!A:A"),0)
        &amp; ":H" &amp;
        IF(J82&lt;&gt;"",
            MATCH(J82, INDIRECT("'" &amp; INDEX('Hulp (CAO''s)'!$C$3:$C$6,
                MATCH(TRUE,'Hulp (CAO''s)'!$D$3:$D$6,0)) &amp; "'!A:A"),0)-1,
            1000
        )
    )
) * I83
),
IF(
    IFERROR(MIN(
        IF(
            (TRIM(INDIRECT("'" &amp; INDEX('Hulp (CAO''s)'!$C$3:$C$6,
                MATCH(TRUE,'Hulp (CAO''s)'!$D$3:$D$6,0)) &amp; "'!B1:B1000")) = TEXT(I84,"0")) *
            (ROW(INDIRECT("'" &amp; INDEX('Hulp (CAO''s)'!$C$3:$C$6,
                MATCH(TRUE,'Hulp (CAO''s)'!$D$3:$D$6,0)) &amp; "'!B1:B1000")) &gt; MATCH(
                I82,
                INDIRECT("'" &amp; INDEX('Hulp (CAO''s)'!$C$3:$C$6,
                    MATCH(TRUE,'Hulp (CAO''s)'!$D$3:$D$6,0)) &amp; "'!A:A"),
                0
            )) *
            IF(
                J82="",
                1,
                (ROW(INDIRECT("'" &amp; INDEX('Hulp (CAO''s)'!$C$3:$C$6,
                    MATCH(TRUE,'Hulp (CAO''s)'!$D$3:$D$6,0)) &amp; "'!B1:B1000")) &lt; MATCH(
                    J82,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TEXT(I84,"0")) *
                (ROW(INDIRECT("'" &amp; INDEX('Hulp (CAO''s)'!$C$3:$C$6,
                    MATCH(TRUE,'Hulp (CAO''s)'!$D$3:$D$6,0)) &amp; "'!B1:B1000")) &gt; MATCH(
                    I82,
                    INDIRECT("'" &amp; INDEX('Hulp (CAO''s)'!$C$3:$C$6,
                        MATCH(TRUE,'Hulp (CAO''s)'!$D$3:$D$6,0)) &amp; "'!A:A"),
                    0
                )) *
                IF(
                    J82="",
                    1,
                    (ROW(INDIRECT("'" &amp; INDEX('Hulp (CAO''s)'!$C$3:$C$6,
                        MATCH(TRUE,'Hulp (CAO''s)'!$D$3:$D$6,0)) &amp; "'!B1:B1000")) &lt; MATCH(
                        J82,
                        INDIRECT("'" &amp; INDEX('Hulp (CAO''s)'!$C$3:$C$6,
                            MATCH(TRUE,'Hulp (CAO''s)'!$D$3:$D$6,0)) &amp; "'!A:A"),
                        0
                    ))
                ),
                ROW(INDIRECT("'" &amp; INDEX('Hulp (CAO''s)'!$C$3:$C$6,
                    MATCH(TRUE,'Hulp (CAO''s)'!$D$3:$D$6,0)) &amp; "'!B1:B1000"))
            )
        ),0)
    )
))</f>
        <v/>
      </c>
      <c r="J85" s="86" t="str">
        <f t="array" aca="1" ref="J85" ca="1">IF($B84="Gebruik % van maximum trede",
IF(
    OR(J82="",J83=""),
    "",
    MAX(
    INDIRECT("'" &amp; INDEX('Hulp (CAO''s)'!$C$3:$C$6,
        MATCH(TRUE,'Hulp (CAO''s)'!$D$3:$D$6,0)) &amp; "'!" &amp;
        INDEX('Hulp (CAO''s)'!$H$3:$H$6,
            MATCH(TRUE,'Hulp (CAO''s)'!$D$3:$D$6,0))
        &amp;
        MATCH(J82, INDIRECT("'" &amp; INDEX('Hulp (CAO''s)'!$C$3:$C$6,
            MATCH(TRUE,'Hulp (CAO''s)'!$D$3:$D$6,0)) &amp; "'!A:A"),0)
        &amp; ":H" &amp;
        IF(K82&lt;&gt;"",
            MATCH(K82, INDIRECT("'" &amp; INDEX('Hulp (CAO''s)'!$C$3:$C$6,
                MATCH(TRUE,'Hulp (CAO''s)'!$D$3:$D$6,0)) &amp; "'!A:A"),0)-1,
            1000
        )
    )
) * J83
),
IF(
    IFERROR(MIN(
        IF(
            (TRIM(INDIRECT("'" &amp; INDEX('Hulp (CAO''s)'!$C$3:$C$6,
                MATCH(TRUE,'Hulp (CAO''s)'!$D$3:$D$6,0)) &amp; "'!B1:B1000")) = TEXT(J84,"0")) *
            (ROW(INDIRECT("'" &amp; INDEX('Hulp (CAO''s)'!$C$3:$C$6,
                MATCH(TRUE,'Hulp (CAO''s)'!$D$3:$D$6,0)) &amp; "'!B1:B1000")) &gt; MATCH(
                J82,
                INDIRECT("'" &amp; INDEX('Hulp (CAO''s)'!$C$3:$C$6,
                    MATCH(TRUE,'Hulp (CAO''s)'!$D$3:$D$6,0)) &amp; "'!A:A"),
                0
            )) *
            IF(
                K82="",
                1,
                (ROW(INDIRECT("'" &amp; INDEX('Hulp (CAO''s)'!$C$3:$C$6,
                    MATCH(TRUE,'Hulp (CAO''s)'!$D$3:$D$6,0)) &amp; "'!B1:B1000")) &lt; MATCH(
                    K82,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TEXT(J84,"0")) *
                (ROW(INDIRECT("'" &amp; INDEX('Hulp (CAO''s)'!$C$3:$C$6,
                    MATCH(TRUE,'Hulp (CAO''s)'!$D$3:$D$6,0)) &amp; "'!B1:B1000")) &gt; MATCH(
                    J82,
                    INDIRECT("'" &amp; INDEX('Hulp (CAO''s)'!$C$3:$C$6,
                        MATCH(TRUE,'Hulp (CAO''s)'!$D$3:$D$6,0)) &amp; "'!A:A"),
                    0
                )) *
                IF(
                    K82="",
                    1,
                    (ROW(INDIRECT("'" &amp; INDEX('Hulp (CAO''s)'!$C$3:$C$6,
                        MATCH(TRUE,'Hulp (CAO''s)'!$D$3:$D$6,0)) &amp; "'!B1:B1000")) &lt; MATCH(
                        K82,
                        INDIRECT("'" &amp; INDEX('Hulp (CAO''s)'!$C$3:$C$6,
                            MATCH(TRUE,'Hulp (CAO''s)'!$D$3:$D$6,0)) &amp; "'!A:A"),
                        0
                    ))
                ),
                ROW(INDIRECT("'" &amp; INDEX('Hulp (CAO''s)'!$C$3:$C$6,
                    MATCH(TRUE,'Hulp (CAO''s)'!$D$3:$D$6,0)) &amp; "'!B1:B1000"))
            )
        ),0)
    )
))</f>
        <v/>
      </c>
      <c r="K85" s="86" t="str">
        <f t="array" aca="1" ref="K85" ca="1">IF($B84="Gebruik % van maximum trede",
IF(
    OR(K82="",K83=""),
    "",
    MAX(
    INDIRECT("'" &amp; INDEX('Hulp (CAO''s)'!$C$3:$C$6,
        MATCH(TRUE,'Hulp (CAO''s)'!$D$3:$D$6,0)) &amp; "'!" &amp;
        INDEX('Hulp (CAO''s)'!$H$3:$H$6,
            MATCH(TRUE,'Hulp (CAO''s)'!$D$3:$D$6,0))
        &amp;
        MATCH(K82, INDIRECT("'" &amp; INDEX('Hulp (CAO''s)'!$C$3:$C$6,
            MATCH(TRUE,'Hulp (CAO''s)'!$D$3:$D$6,0)) &amp; "'!A:A"),0)
        &amp; ":H" &amp;
        IF(L82&lt;&gt;"",
            MATCH(L82, INDIRECT("'" &amp; INDEX('Hulp (CAO''s)'!$C$3:$C$6,
                MATCH(TRUE,'Hulp (CAO''s)'!$D$3:$D$6,0)) &amp; "'!A:A"),0)-1,
            1000
        )
    )
) * K83
),
IF(
    IFERROR(MIN(
        IF(
            (TRIM(INDIRECT("'" &amp; INDEX('Hulp (CAO''s)'!$C$3:$C$6,
                MATCH(TRUE,'Hulp (CAO''s)'!$D$3:$D$6,0)) &amp; "'!B1:B1000")) = TEXT(K84,"0")) *
            (ROW(INDIRECT("'" &amp; INDEX('Hulp (CAO''s)'!$C$3:$C$6,
                MATCH(TRUE,'Hulp (CAO''s)'!$D$3:$D$6,0)) &amp; "'!B1:B1000")) &gt; MATCH(
                K82,
                INDIRECT("'" &amp; INDEX('Hulp (CAO''s)'!$C$3:$C$6,
                    MATCH(TRUE,'Hulp (CAO''s)'!$D$3:$D$6,0)) &amp; "'!A:A"),
                0
            )) *
            IF(
                L82="",
                1,
                (ROW(INDIRECT("'" &amp; INDEX('Hulp (CAO''s)'!$C$3:$C$6,
                    MATCH(TRUE,'Hulp (CAO''s)'!$D$3:$D$6,0)) &amp; "'!B1:B1000")) &lt; MATCH(
                    L82,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TEXT(K84,"0")) *
                (ROW(INDIRECT("'" &amp; INDEX('Hulp (CAO''s)'!$C$3:$C$6,
                    MATCH(TRUE,'Hulp (CAO''s)'!$D$3:$D$6,0)) &amp; "'!B1:B1000")) &gt; MATCH(
                    K82,
                    INDIRECT("'" &amp; INDEX('Hulp (CAO''s)'!$C$3:$C$6,
                        MATCH(TRUE,'Hulp (CAO''s)'!$D$3:$D$6,0)) &amp; "'!A:A"),
                    0
                )) *
                IF(
                    L82="",
                    1,
                    (ROW(INDIRECT("'" &amp; INDEX('Hulp (CAO''s)'!$C$3:$C$6,
                        MATCH(TRUE,'Hulp (CAO''s)'!$D$3:$D$6,0)) &amp; "'!B1:B1000")) &lt; MATCH(
                        L82,
                        INDIRECT("'" &amp; INDEX('Hulp (CAO''s)'!$C$3:$C$6,
                            MATCH(TRUE,'Hulp (CAO''s)'!$D$3:$D$6,0)) &amp; "'!A:A"),
                        0
                    ))
                ),
                ROW(INDIRECT("'" &amp; INDEX('Hulp (CAO''s)'!$C$3:$C$6,
                    MATCH(TRUE,'Hulp (CAO''s)'!$D$3:$D$6,0)) &amp; "'!B1:B1000"))
            )
        ),0)
    )
))</f>
        <v/>
      </c>
      <c r="L85" s="86" t="str">
        <f t="array" aca="1" ref="L85" ca="1">IF($B84="Gebruik % van maximum trede",
IF(
    OR(L82="",L83=""),
    "",
    MAX(
    INDIRECT("'" &amp; INDEX('Hulp (CAO''s)'!$C$3:$C$6,
        MATCH(TRUE,'Hulp (CAO''s)'!$D$3:$D$6,0)) &amp; "'!" &amp;
        INDEX('Hulp (CAO''s)'!$H$3:$H$6,
            MATCH(TRUE,'Hulp (CAO''s)'!$D$3:$D$6,0))
        &amp;
        MATCH(L82, INDIRECT("'" &amp; INDEX('Hulp (CAO''s)'!$C$3:$C$6,
            MATCH(TRUE,'Hulp (CAO''s)'!$D$3:$D$6,0)) &amp; "'!A:A"),0)
        &amp; ":H" &amp;
        IF(M82&lt;&gt;"",
            MATCH(M82, INDIRECT("'" &amp; INDEX('Hulp (CAO''s)'!$C$3:$C$6,
                MATCH(TRUE,'Hulp (CAO''s)'!$D$3:$D$6,0)) &amp; "'!A:A"),0)-1,
            1000
        )
    )
) * L83
),
IF(
    IFERROR(MIN(
        IF(
            (TRIM(INDIRECT("'" &amp; INDEX('Hulp (CAO''s)'!$C$3:$C$6,
                MATCH(TRUE,'Hulp (CAO''s)'!$D$3:$D$6,0)) &amp; "'!B1:B1000")) = TEXT(L84,"0")) *
            (ROW(INDIRECT("'" &amp; INDEX('Hulp (CAO''s)'!$C$3:$C$6,
                MATCH(TRUE,'Hulp (CAO''s)'!$D$3:$D$6,0)) &amp; "'!B1:B1000")) &gt; MATCH(
                L82,
                INDIRECT("'" &amp; INDEX('Hulp (CAO''s)'!$C$3:$C$6,
                    MATCH(TRUE,'Hulp (CAO''s)'!$D$3:$D$6,0)) &amp; "'!A:A"),
                0
            )) *
            IF(
                M82="",
                1,
                (ROW(INDIRECT("'" &amp; INDEX('Hulp (CAO''s)'!$C$3:$C$6,
                    MATCH(TRUE,'Hulp (CAO''s)'!$D$3:$D$6,0)) &amp; "'!B1:B1000")) &lt; MATCH(
                    M82,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TEXT(L84,"0")) *
                (ROW(INDIRECT("'" &amp; INDEX('Hulp (CAO''s)'!$C$3:$C$6,
                    MATCH(TRUE,'Hulp (CAO''s)'!$D$3:$D$6,0)) &amp; "'!B1:B1000")) &gt; MATCH(
                    L82,
                    INDIRECT("'" &amp; INDEX('Hulp (CAO''s)'!$C$3:$C$6,
                        MATCH(TRUE,'Hulp (CAO''s)'!$D$3:$D$6,0)) &amp; "'!A:A"),
                    0
                )) *
                IF(
                    M82="",
                    1,
                    (ROW(INDIRECT("'" &amp; INDEX('Hulp (CAO''s)'!$C$3:$C$6,
                        MATCH(TRUE,'Hulp (CAO''s)'!$D$3:$D$6,0)) &amp; "'!B1:B1000")) &lt; MATCH(
                        M82,
                        INDIRECT("'" &amp; INDEX('Hulp (CAO''s)'!$C$3:$C$6,
                            MATCH(TRUE,'Hulp (CAO''s)'!$D$3:$D$6,0)) &amp; "'!A:A"),
                        0
                    ))
                ),
                ROW(INDIRECT("'" &amp; INDEX('Hulp (CAO''s)'!$C$3:$C$6,
                    MATCH(TRUE,'Hulp (CAO''s)'!$D$3:$D$6,0)) &amp; "'!B1:B1000"))
            )
        ),0)
    )
))</f>
        <v/>
      </c>
      <c r="M85" s="86" t="str">
        <f t="array" aca="1" ref="M85" ca="1">IF($B84="Gebruik % van maximum trede",
IF(
    OR(M82="",M83=""),
    "",
    MAX(
    INDIRECT("'" &amp; INDEX('Hulp (CAO''s)'!$C$3:$C$6,
        MATCH(TRUE,'Hulp (CAO''s)'!$D$3:$D$6,0)) &amp; "'!" &amp;
        INDEX('Hulp (CAO''s)'!$H$3:$H$6,
            MATCH(TRUE,'Hulp (CAO''s)'!$D$3:$D$6,0))
        &amp;
        MATCH(M82, INDIRECT("'" &amp; INDEX('Hulp (CAO''s)'!$C$3:$C$6,
            MATCH(TRUE,'Hulp (CAO''s)'!$D$3:$D$6,0)) &amp; "'!A:A"),0)
        &amp; ":H" &amp;
        IF(N82&lt;&gt;"",
            MATCH(N82, INDIRECT("'" &amp; INDEX('Hulp (CAO''s)'!$C$3:$C$6,
                MATCH(TRUE,'Hulp (CAO''s)'!$D$3:$D$6,0)) &amp; "'!A:A"),0)-1,
            1000
        )
    )
) * M83
),
IF(
    IFERROR(MIN(
        IF(
            (TRIM(INDIRECT("'" &amp; INDEX('Hulp (CAO''s)'!$C$3:$C$6,
                MATCH(TRUE,'Hulp (CAO''s)'!$D$3:$D$6,0)) &amp; "'!B1:B1000")) = TEXT(M84,"0")) *
            (ROW(INDIRECT("'" &amp; INDEX('Hulp (CAO''s)'!$C$3:$C$6,
                MATCH(TRUE,'Hulp (CAO''s)'!$D$3:$D$6,0)) &amp; "'!B1:B1000")) &gt; MATCH(
                M82,
                INDIRECT("'" &amp; INDEX('Hulp (CAO''s)'!$C$3:$C$6,
                    MATCH(TRUE,'Hulp (CAO''s)'!$D$3:$D$6,0)) &amp; "'!A:A"),
                0
            )) *
            IF(
                N82="",
                1,
                (ROW(INDIRECT("'" &amp; INDEX('Hulp (CAO''s)'!$C$3:$C$6,
                    MATCH(TRUE,'Hulp (CAO''s)'!$D$3:$D$6,0)) &amp; "'!B1:B1000")) &lt; MATCH(
                    N82,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TEXT(M84,"0")) *
                (ROW(INDIRECT("'" &amp; INDEX('Hulp (CAO''s)'!$C$3:$C$6,
                    MATCH(TRUE,'Hulp (CAO''s)'!$D$3:$D$6,0)) &amp; "'!B1:B1000")) &gt; MATCH(
                    M82,
                    INDIRECT("'" &amp; INDEX('Hulp (CAO''s)'!$C$3:$C$6,
                        MATCH(TRUE,'Hulp (CAO''s)'!$D$3:$D$6,0)) &amp; "'!A:A"),
                    0
                )) *
                IF(
                    N82="",
                    1,
                    (ROW(INDIRECT("'" &amp; INDEX('Hulp (CAO''s)'!$C$3:$C$6,
                        MATCH(TRUE,'Hulp (CAO''s)'!$D$3:$D$6,0)) &amp; "'!B1:B1000")) &lt; MATCH(
                        N82,
                        INDIRECT("'" &amp; INDEX('Hulp (CAO''s)'!$C$3:$C$6,
                            MATCH(TRUE,'Hulp (CAO''s)'!$D$3:$D$6,0)) &amp; "'!A:A"),
                        0
                    ))
                ),
                ROW(INDIRECT("'" &amp; INDEX('Hulp (CAO''s)'!$C$3:$C$6,
                    MATCH(TRUE,'Hulp (CAO''s)'!$D$3:$D$6,0)) &amp; "'!B1:B1000"))
            )
        ),0)
    )
))</f>
        <v/>
      </c>
      <c r="N85" s="86" t="str">
        <f t="array" aca="1" ref="N85" ca="1">IF($B84="Gebruik % van maximum trede",
IF(
    OR(N82="",N83=""),
    "",
    MAX(
    INDIRECT("'" &amp; INDEX('Hulp (CAO''s)'!$C$3:$C$6,
        MATCH(TRUE,'Hulp (CAO''s)'!$D$3:$D$6,0)) &amp; "'!" &amp;
        INDEX('Hulp (CAO''s)'!$H$3:$H$6,
            MATCH(TRUE,'Hulp (CAO''s)'!$D$3:$D$6,0))
        &amp;
        MATCH(N82, INDIRECT("'" &amp; INDEX('Hulp (CAO''s)'!$C$3:$C$6,
            MATCH(TRUE,'Hulp (CAO''s)'!$D$3:$D$6,0)) &amp; "'!A:A"),0)
        &amp; ":H" &amp;
        IF(O82&lt;&gt;"",
            MATCH(O82, INDIRECT("'" &amp; INDEX('Hulp (CAO''s)'!$C$3:$C$6,
                MATCH(TRUE,'Hulp (CAO''s)'!$D$3:$D$6,0)) &amp; "'!A:A"),0)-1,
            1000
        )
    )
) * N83
),
IF(
    IFERROR(MIN(
        IF(
            (TRIM(INDIRECT("'" &amp; INDEX('Hulp (CAO''s)'!$C$3:$C$6,
                MATCH(TRUE,'Hulp (CAO''s)'!$D$3:$D$6,0)) &amp; "'!B1:B1000")) = TEXT(N84,"0")) *
            (ROW(INDIRECT("'" &amp; INDEX('Hulp (CAO''s)'!$C$3:$C$6,
                MATCH(TRUE,'Hulp (CAO''s)'!$D$3:$D$6,0)) &amp; "'!B1:B1000")) &gt; MATCH(
                N82,
                INDIRECT("'" &amp; INDEX('Hulp (CAO''s)'!$C$3:$C$6,
                    MATCH(TRUE,'Hulp (CAO''s)'!$D$3:$D$6,0)) &amp; "'!A:A"),
                0
            )) *
            IF(
                O82="",
                1,
                (ROW(INDIRECT("'" &amp; INDEX('Hulp (CAO''s)'!$C$3:$C$6,
                    MATCH(TRUE,'Hulp (CAO''s)'!$D$3:$D$6,0)) &amp; "'!B1:B1000")) &lt; MATCH(
                    O82,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TEXT(N84,"0")) *
                (ROW(INDIRECT("'" &amp; INDEX('Hulp (CAO''s)'!$C$3:$C$6,
                    MATCH(TRUE,'Hulp (CAO''s)'!$D$3:$D$6,0)) &amp; "'!B1:B1000")) &gt; MATCH(
                    N82,
                    INDIRECT("'" &amp; INDEX('Hulp (CAO''s)'!$C$3:$C$6,
                        MATCH(TRUE,'Hulp (CAO''s)'!$D$3:$D$6,0)) &amp; "'!A:A"),
                    0
                )) *
                IF(
                    O82="",
                    1,
                    (ROW(INDIRECT("'" &amp; INDEX('Hulp (CAO''s)'!$C$3:$C$6,
                        MATCH(TRUE,'Hulp (CAO''s)'!$D$3:$D$6,0)) &amp; "'!B1:B1000")) &lt; MATCH(
                        O82,
                        INDIRECT("'" &amp; INDEX('Hulp (CAO''s)'!$C$3:$C$6,
                            MATCH(TRUE,'Hulp (CAO''s)'!$D$3:$D$6,0)) &amp; "'!A:A"),
                        0
                    ))
                ),
                ROW(INDIRECT("'" &amp; INDEX('Hulp (CAO''s)'!$C$3:$C$6,
                    MATCH(TRUE,'Hulp (CAO''s)'!$D$3:$D$6,0)) &amp; "'!B1:B1000"))
            )
        ),0)
    )
))</f>
        <v/>
      </c>
      <c r="O85" s="86" t="str">
        <f t="array" aca="1" ref="O85" ca="1">IF($B84="Gebruik % van maximum trede",
IF(
    OR(O82="",O83=""),
    "",
    MAX(
    INDIRECT("'" &amp; INDEX('Hulp (CAO''s)'!$C$3:$C$6,
        MATCH(TRUE,'Hulp (CAO''s)'!$D$3:$D$6,0)) &amp; "'!" &amp;
        INDEX('Hulp (CAO''s)'!$H$3:$H$6,
            MATCH(TRUE,'Hulp (CAO''s)'!$D$3:$D$6,0))
        &amp;
        MATCH(O82, INDIRECT("'" &amp; INDEX('Hulp (CAO''s)'!$C$3:$C$6,
            MATCH(TRUE,'Hulp (CAO''s)'!$D$3:$D$6,0)) &amp; "'!A:A"),0)
        &amp; ":H" &amp;
        IF(P82&lt;&gt;"",
            MATCH(P82, INDIRECT("'" &amp; INDEX('Hulp (CAO''s)'!$C$3:$C$6,
                MATCH(TRUE,'Hulp (CAO''s)'!$D$3:$D$6,0)) &amp; "'!A:A"),0)-1,
            1000
        )
    )
) * O83
),
IF(
    IFERROR(MIN(
        IF(
            (TRIM(INDIRECT("'" &amp; INDEX('Hulp (CAO''s)'!$C$3:$C$6,
                MATCH(TRUE,'Hulp (CAO''s)'!$D$3:$D$6,0)) &amp; "'!B1:B1000")) = TEXT(O84,"0")) *
            (ROW(INDIRECT("'" &amp; INDEX('Hulp (CAO''s)'!$C$3:$C$6,
                MATCH(TRUE,'Hulp (CAO''s)'!$D$3:$D$6,0)) &amp; "'!B1:B1000")) &gt; MATCH(
                O82,
                INDIRECT("'" &amp; INDEX('Hulp (CAO''s)'!$C$3:$C$6,
                    MATCH(TRUE,'Hulp (CAO''s)'!$D$3:$D$6,0)) &amp; "'!A:A"),
                0
            )) *
            IF(
                P82="",
                1,
                (ROW(INDIRECT("'" &amp; INDEX('Hulp (CAO''s)'!$C$3:$C$6,
                    MATCH(TRUE,'Hulp (CAO''s)'!$D$3:$D$6,0)) &amp; "'!B1:B1000")) &lt; MATCH(
                    P82,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TEXT(O84,"0")) *
                (ROW(INDIRECT("'" &amp; INDEX('Hulp (CAO''s)'!$C$3:$C$6,
                    MATCH(TRUE,'Hulp (CAO''s)'!$D$3:$D$6,0)) &amp; "'!B1:B1000")) &gt; MATCH(
                    O82,
                    INDIRECT("'" &amp; INDEX('Hulp (CAO''s)'!$C$3:$C$6,
                        MATCH(TRUE,'Hulp (CAO''s)'!$D$3:$D$6,0)) &amp; "'!A:A"),
                    0
                )) *
                IF(
                    P82="",
                    1,
                    (ROW(INDIRECT("'" &amp; INDEX('Hulp (CAO''s)'!$C$3:$C$6,
                        MATCH(TRUE,'Hulp (CAO''s)'!$D$3:$D$6,0)) &amp; "'!B1:B1000")) &lt; MATCH(
                        P82,
                        INDIRECT("'" &amp; INDEX('Hulp (CAO''s)'!$C$3:$C$6,
                            MATCH(TRUE,'Hulp (CAO''s)'!$D$3:$D$6,0)) &amp; "'!A:A"),
                        0
                    ))
                ),
                ROW(INDIRECT("'" &amp; INDEX('Hulp (CAO''s)'!$C$3:$C$6,
                    MATCH(TRUE,'Hulp (CAO''s)'!$D$3:$D$6,0)) &amp; "'!B1:B1000"))
            )
        ),0)
    )
))</f>
        <v/>
      </c>
      <c r="P85" s="86" t="str">
        <f t="array" aca="1" ref="P85" ca="1">IF($B84="Gebruik % van maximum trede",
IF(
    OR(P82="",P83=""),
    "",
    MAX(
    INDIRECT("'" &amp; INDEX('Hulp (CAO''s)'!$C$3:$C$6,
        MATCH(TRUE,'Hulp (CAO''s)'!$D$3:$D$6,0)) &amp; "'!" &amp;
        INDEX('Hulp (CAO''s)'!$H$3:$H$6,
            MATCH(TRUE,'Hulp (CAO''s)'!$D$3:$D$6,0))
        &amp;
        MATCH(P82, INDIRECT("'" &amp; INDEX('Hulp (CAO''s)'!$C$3:$C$6,
            MATCH(TRUE,'Hulp (CAO''s)'!$D$3:$D$6,0)) &amp; "'!A:A"),0)
        &amp; ":H" &amp;
        IF(Q82&lt;&gt;"",
            MATCH(Q82, INDIRECT("'" &amp; INDEX('Hulp (CAO''s)'!$C$3:$C$6,
                MATCH(TRUE,'Hulp (CAO''s)'!$D$3:$D$6,0)) &amp; "'!A:A"),0)-1,
            1000
        )
    )
) * P83
),
IF(
    IFERROR(MIN(
        IF(
            (TRIM(INDIRECT("'" &amp; INDEX('Hulp (CAO''s)'!$C$3:$C$6,
                MATCH(TRUE,'Hulp (CAO''s)'!$D$3:$D$6,0)) &amp; "'!B1:B1000")) = TEXT(P84,"0")) *
            (ROW(INDIRECT("'" &amp; INDEX('Hulp (CAO''s)'!$C$3:$C$6,
                MATCH(TRUE,'Hulp (CAO''s)'!$D$3:$D$6,0)) &amp; "'!B1:B1000")) &gt; MATCH(
                P82,
                INDIRECT("'" &amp; INDEX('Hulp (CAO''s)'!$C$3:$C$6,
                    MATCH(TRUE,'Hulp (CAO''s)'!$D$3:$D$6,0)) &amp; "'!A:A"),
                0
            )) *
            IF(
                Q82="",
                1,
                (ROW(INDIRECT("'" &amp; INDEX('Hulp (CAO''s)'!$C$3:$C$6,
                    MATCH(TRUE,'Hulp (CAO''s)'!$D$3:$D$6,0)) &amp; "'!B1:B1000")) &lt; MATCH(
                    Q82,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TEXT(P84,"0")) *
                (ROW(INDIRECT("'" &amp; INDEX('Hulp (CAO''s)'!$C$3:$C$6,
                    MATCH(TRUE,'Hulp (CAO''s)'!$D$3:$D$6,0)) &amp; "'!B1:B1000")) &gt; MATCH(
                    P82,
                    INDIRECT("'" &amp; INDEX('Hulp (CAO''s)'!$C$3:$C$6,
                        MATCH(TRUE,'Hulp (CAO''s)'!$D$3:$D$6,0)) &amp; "'!A:A"),
                    0
                )) *
                IF(
                    Q82="",
                    1,
                    (ROW(INDIRECT("'" &amp; INDEX('Hulp (CAO''s)'!$C$3:$C$6,
                        MATCH(TRUE,'Hulp (CAO''s)'!$D$3:$D$6,0)) &amp; "'!B1:B1000")) &lt; MATCH(
                        Q82,
                        INDIRECT("'" &amp; INDEX('Hulp (CAO''s)'!$C$3:$C$6,
                            MATCH(TRUE,'Hulp (CAO''s)'!$D$3:$D$6,0)) &amp; "'!A:A"),
                        0
                    ))
                ),
                ROW(INDIRECT("'" &amp; INDEX('Hulp (CAO''s)'!$C$3:$C$6,
                    MATCH(TRUE,'Hulp (CAO''s)'!$D$3:$D$6,0)) &amp; "'!B1:B1000"))
            )
        ),0)
    )
))</f>
        <v/>
      </c>
      <c r="Q85" s="86" t="str">
        <f t="array" aca="1" ref="Q85" ca="1">IF($B84="Gebruik % van maximum trede",
IF(
    OR(Q82="",Q83=""),
    "",
    MAX(
    INDIRECT("'" &amp; INDEX('Hulp (CAO''s)'!$C$3:$C$6,
        MATCH(TRUE,'Hulp (CAO''s)'!$D$3:$D$6,0)) &amp; "'!" &amp;
        INDEX('Hulp (CAO''s)'!$H$3:$H$6,
            MATCH(TRUE,'Hulp (CAO''s)'!$D$3:$D$6,0))
        &amp;
        MATCH(Q82, INDIRECT("'" &amp; INDEX('Hulp (CAO''s)'!$C$3:$C$6,
            MATCH(TRUE,'Hulp (CAO''s)'!$D$3:$D$6,0)) &amp; "'!A:A"),0)
        &amp; ":H" &amp;
        IF(R82&lt;&gt;"",
            MATCH(R82, INDIRECT("'" &amp; INDEX('Hulp (CAO''s)'!$C$3:$C$6,
                MATCH(TRUE,'Hulp (CAO''s)'!$D$3:$D$6,0)) &amp; "'!A:A"),0)-1,
            1000
        )
    )
) * Q83
),
IF(
    IFERROR(MIN(
        IF(
            (TRIM(INDIRECT("'" &amp; INDEX('Hulp (CAO''s)'!$C$3:$C$6,
                MATCH(TRUE,'Hulp (CAO''s)'!$D$3:$D$6,0)) &amp; "'!B1:B1000")) = TEXT(Q84,"0")) *
            (ROW(INDIRECT("'" &amp; INDEX('Hulp (CAO''s)'!$C$3:$C$6,
                MATCH(TRUE,'Hulp (CAO''s)'!$D$3:$D$6,0)) &amp; "'!B1:B1000")) &gt; MATCH(
                Q82,
                INDIRECT("'" &amp; INDEX('Hulp (CAO''s)'!$C$3:$C$6,
                    MATCH(TRUE,'Hulp (CAO''s)'!$D$3:$D$6,0)) &amp; "'!A:A"),
                0
            )) *
            IF(
                R82="",
                1,
                (ROW(INDIRECT("'" &amp; INDEX('Hulp (CAO''s)'!$C$3:$C$6,
                    MATCH(TRUE,'Hulp (CAO''s)'!$D$3:$D$6,0)) &amp; "'!B1:B1000")) &lt; MATCH(
                    R82,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TEXT(Q84,"0")) *
                (ROW(INDIRECT("'" &amp; INDEX('Hulp (CAO''s)'!$C$3:$C$6,
                    MATCH(TRUE,'Hulp (CAO''s)'!$D$3:$D$6,0)) &amp; "'!B1:B1000")) &gt; MATCH(
                    Q82,
                    INDIRECT("'" &amp; INDEX('Hulp (CAO''s)'!$C$3:$C$6,
                        MATCH(TRUE,'Hulp (CAO''s)'!$D$3:$D$6,0)) &amp; "'!A:A"),
                    0
                )) *
                IF(
                    R82="",
                    1,
                    (ROW(INDIRECT("'" &amp; INDEX('Hulp (CAO''s)'!$C$3:$C$6,
                        MATCH(TRUE,'Hulp (CAO''s)'!$D$3:$D$6,0)) &amp; "'!B1:B1000")) &lt; MATCH(
                        R82,
                        INDIRECT("'" &amp; INDEX('Hulp (CAO''s)'!$C$3:$C$6,
                            MATCH(TRUE,'Hulp (CAO''s)'!$D$3:$D$6,0)) &amp; "'!A:A"),
                        0
                    ))
                ),
                ROW(INDIRECT("'" &amp; INDEX('Hulp (CAO''s)'!$C$3:$C$6,
                    MATCH(TRUE,'Hulp (CAO''s)'!$D$3:$D$6,0)) &amp; "'!B1:B1000"))
            )
        ),0)
    )
))</f>
        <v/>
      </c>
      <c r="R85" s="86" t="str">
        <f t="array" aca="1" ref="R85" ca="1">IF($B84="Gebruik % van maximum trede",
IF(
    OR(R82="",R83=""),
    "",
    MAX(
    INDIRECT("'" &amp; INDEX('Hulp (CAO''s)'!$C$3:$C$6,
        MATCH(TRUE,'Hulp (CAO''s)'!$D$3:$D$6,0)) &amp; "'!" &amp;
        INDEX('Hulp (CAO''s)'!$H$3:$H$6,
            MATCH(TRUE,'Hulp (CAO''s)'!$D$3:$D$6,0))
        &amp;
        MATCH(R82, INDIRECT("'" &amp; INDEX('Hulp (CAO''s)'!$C$3:$C$6,
            MATCH(TRUE,'Hulp (CAO''s)'!$D$3:$D$6,0)) &amp; "'!A:A"),0)
        &amp; ":H" &amp;
        IF(S82&lt;&gt;"",
            MATCH(S82, INDIRECT("'" &amp; INDEX('Hulp (CAO''s)'!$C$3:$C$6,
                MATCH(TRUE,'Hulp (CAO''s)'!$D$3:$D$6,0)) &amp; "'!A:A"),0)-1,
            1000
        )
    )
) * R83
),
IF(
    IFERROR(MIN(
        IF(
            (TRIM(INDIRECT("'" &amp; INDEX('Hulp (CAO''s)'!$C$3:$C$6,
                MATCH(TRUE,'Hulp (CAO''s)'!$D$3:$D$6,0)) &amp; "'!B1:B1000")) = TEXT(R84,"0")) *
            (ROW(INDIRECT("'" &amp; INDEX('Hulp (CAO''s)'!$C$3:$C$6,
                MATCH(TRUE,'Hulp (CAO''s)'!$D$3:$D$6,0)) &amp; "'!B1:B1000")) &gt; MATCH(
                R82,
                INDIRECT("'" &amp; INDEX('Hulp (CAO''s)'!$C$3:$C$6,
                    MATCH(TRUE,'Hulp (CAO''s)'!$D$3:$D$6,0)) &amp; "'!A:A"),
                0
            )) *
            IF(
                S82="",
                1,
                (ROW(INDIRECT("'" &amp; INDEX('Hulp (CAO''s)'!$C$3:$C$6,
                    MATCH(TRUE,'Hulp (CAO''s)'!$D$3:$D$6,0)) &amp; "'!B1:B1000")) &lt; MATCH(
                    S82,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TEXT(R84,"0")) *
                (ROW(INDIRECT("'" &amp; INDEX('Hulp (CAO''s)'!$C$3:$C$6,
                    MATCH(TRUE,'Hulp (CAO''s)'!$D$3:$D$6,0)) &amp; "'!B1:B1000")) &gt; MATCH(
                    R82,
                    INDIRECT("'" &amp; INDEX('Hulp (CAO''s)'!$C$3:$C$6,
                        MATCH(TRUE,'Hulp (CAO''s)'!$D$3:$D$6,0)) &amp; "'!A:A"),
                    0
                )) *
                IF(
                    S82="",
                    1,
                    (ROW(INDIRECT("'" &amp; INDEX('Hulp (CAO''s)'!$C$3:$C$6,
                        MATCH(TRUE,'Hulp (CAO''s)'!$D$3:$D$6,0)) &amp; "'!B1:B1000")) &lt; MATCH(
                        S82,
                        INDIRECT("'" &amp; INDEX('Hulp (CAO''s)'!$C$3:$C$6,
                            MATCH(TRUE,'Hulp (CAO''s)'!$D$3:$D$6,0)) &amp; "'!A:A"),
                        0
                    ))
                ),
                ROW(INDIRECT("'" &amp; INDEX('Hulp (CAO''s)'!$C$3:$C$6,
                    MATCH(TRUE,'Hulp (CAO''s)'!$D$3:$D$6,0)) &amp; "'!B1:B1000"))
            )
        ),0)
    )
))</f>
        <v/>
      </c>
      <c r="S85" s="86" t="str">
        <f t="array" aca="1" ref="S85" ca="1">IF($B84="Gebruik % van maximum trede",
IF(
    OR(S82="",S83=""),
    "",
    MAX(
    INDIRECT("'" &amp; INDEX('Hulp (CAO''s)'!$C$3:$C$6,
        MATCH(TRUE,'Hulp (CAO''s)'!$D$3:$D$6,0)) &amp; "'!" &amp;
        INDEX('Hulp (CAO''s)'!$H$3:$H$6,
            MATCH(TRUE,'Hulp (CAO''s)'!$D$3:$D$6,0))
        &amp;
        MATCH(S82, INDIRECT("'" &amp; INDEX('Hulp (CAO''s)'!$C$3:$C$6,
            MATCH(TRUE,'Hulp (CAO''s)'!$D$3:$D$6,0)) &amp; "'!A:A"),0)
        &amp; ":H" &amp;
        IF(T82&lt;&gt;"",
            MATCH(T82, INDIRECT("'" &amp; INDEX('Hulp (CAO''s)'!$C$3:$C$6,
                MATCH(TRUE,'Hulp (CAO''s)'!$D$3:$D$6,0)) &amp; "'!A:A"),0)-1,
            1000
        )
    )
) * S83
),
IF(
    IFERROR(MIN(
        IF(
            (TRIM(INDIRECT("'" &amp; INDEX('Hulp (CAO''s)'!$C$3:$C$6,
                MATCH(TRUE,'Hulp (CAO''s)'!$D$3:$D$6,0)) &amp; "'!B1:B1000")) = TEXT(S84,"0")) *
            (ROW(INDIRECT("'" &amp; INDEX('Hulp (CAO''s)'!$C$3:$C$6,
                MATCH(TRUE,'Hulp (CAO''s)'!$D$3:$D$6,0)) &amp; "'!B1:B1000")) &gt; MATCH(
                S82,
                INDIRECT("'" &amp; INDEX('Hulp (CAO''s)'!$C$3:$C$6,
                    MATCH(TRUE,'Hulp (CAO''s)'!$D$3:$D$6,0)) &amp; "'!A:A"),
                0
            )) *
            IF(
                T82="",
                1,
                (ROW(INDIRECT("'" &amp; INDEX('Hulp (CAO''s)'!$C$3:$C$6,
                    MATCH(TRUE,'Hulp (CAO''s)'!$D$3:$D$6,0)) &amp; "'!B1:B1000")) &lt; MATCH(
                    T82,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TEXT(S84,"0")) *
                (ROW(INDIRECT("'" &amp; INDEX('Hulp (CAO''s)'!$C$3:$C$6,
                    MATCH(TRUE,'Hulp (CAO''s)'!$D$3:$D$6,0)) &amp; "'!B1:B1000")) &gt; MATCH(
                    S82,
                    INDIRECT("'" &amp; INDEX('Hulp (CAO''s)'!$C$3:$C$6,
                        MATCH(TRUE,'Hulp (CAO''s)'!$D$3:$D$6,0)) &amp; "'!A:A"),
                    0
                )) *
                IF(
                    T82="",
                    1,
                    (ROW(INDIRECT("'" &amp; INDEX('Hulp (CAO''s)'!$C$3:$C$6,
                        MATCH(TRUE,'Hulp (CAO''s)'!$D$3:$D$6,0)) &amp; "'!B1:B1000")) &lt; MATCH(
                        T82,
                        INDIRECT("'" &amp; INDEX('Hulp (CAO''s)'!$C$3:$C$6,
                            MATCH(TRUE,'Hulp (CAO''s)'!$D$3:$D$6,0)) &amp; "'!A:A"),
                        0
                    ))
                ),
                ROW(INDIRECT("'" &amp; INDEX('Hulp (CAO''s)'!$C$3:$C$6,
                    MATCH(TRUE,'Hulp (CAO''s)'!$D$3:$D$6,0)) &amp; "'!B1:B1000"))
            )
        ),0)
    )
))</f>
        <v/>
      </c>
      <c r="T85" s="39" t="str">
        <f t="array" aca="1" ref="T85" ca="1">IF($B84="Gebruik % van maximum trede",
IF(
    OR(T82="",T83=""),
    "",
    MAX(
    INDIRECT("'" &amp; INDEX('Hulp (CAO''s)'!$C$3:$C$6,
        MATCH(TRUE,'Hulp (CAO''s)'!$D$3:$D$6,0)) &amp; "'!" &amp;
        INDEX('Hulp (CAO''s)'!$H$3:$H$6,
            MATCH(TRUE,'Hulp (CAO''s)'!$D$3:$D$6,0))
        &amp;
        MATCH(T82, INDIRECT("'" &amp; INDEX('Hulp (CAO''s)'!$C$3:$C$6,
            MATCH(TRUE,'Hulp (CAO''s)'!$D$3:$D$6,0)) &amp; "'!A:A"),0)
        &amp; ":H" &amp;
        IF(U82&lt;&gt;"",
            MATCH(U82, INDIRECT("'" &amp; INDEX('Hulp (CAO''s)'!$C$3:$C$6,
                MATCH(TRUE,'Hulp (CAO''s)'!$D$3:$D$6,0)) &amp; "'!A:A"),0)-1,
            1000
        )
    )
) * T83
),
IF(
    IFERROR(MIN(
        IF(
            (TRIM(INDIRECT("'" &amp; INDEX('Hulp (CAO''s)'!$C$3:$C$6,
                MATCH(TRUE,'Hulp (CAO''s)'!$D$3:$D$6,0)) &amp; "'!B1:B1000")) = TEXT(T84,"0")) *
            (ROW(INDIRECT("'" &amp; INDEX('Hulp (CAO''s)'!$C$3:$C$6,
                MATCH(TRUE,'Hulp (CAO''s)'!$D$3:$D$6,0)) &amp; "'!B1:B1000")) &gt; MATCH(
                T82,
                INDIRECT("'" &amp; INDEX('Hulp (CAO''s)'!$C$3:$C$6,
                    MATCH(TRUE,'Hulp (CAO''s)'!$D$3:$D$6,0)) &amp; "'!A:A"),
                0
            )) *
            IF(
                U82="",
                1,
                (ROW(INDIRECT("'" &amp; INDEX('Hulp (CAO''s)'!$C$3:$C$6,
                    MATCH(TRUE,'Hulp (CAO''s)'!$D$3:$D$6,0)) &amp; "'!B1:B1000")) &lt; MATCH(
                    U82,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TEXT(T84,"0")) *
                (ROW(INDIRECT("'" &amp; INDEX('Hulp (CAO''s)'!$C$3:$C$6,
                    MATCH(TRUE,'Hulp (CAO''s)'!$D$3:$D$6,0)) &amp; "'!B1:B1000")) &gt; MATCH(
                    T82,
                    INDIRECT("'" &amp; INDEX('Hulp (CAO''s)'!$C$3:$C$6,
                        MATCH(TRUE,'Hulp (CAO''s)'!$D$3:$D$6,0)) &amp; "'!A:A"),
                    0
                )) *
                IF(
                    U82="",
                    1,
                    (ROW(INDIRECT("'" &amp; INDEX('Hulp (CAO''s)'!$C$3:$C$6,
                        MATCH(TRUE,'Hulp (CAO''s)'!$D$3:$D$6,0)) &amp; "'!B1:B1000")) &lt; MATCH(
                        U82,
                        INDIRECT("'" &amp; INDEX('Hulp (CAO''s)'!$C$3:$C$6,
                            MATCH(TRUE,'Hulp (CAO''s)'!$D$3:$D$6,0)) &amp; "'!A:A"),
                        0
                    ))
                ),
                ROW(INDIRECT("'" &amp; INDEX('Hulp (CAO''s)'!$C$3:$C$6,
                    MATCH(TRUE,'Hulp (CAO''s)'!$D$3:$D$6,0)) &amp; "'!B1:B1000"))
            )
        ),0)
    )
))</f>
        <v/>
      </c>
      <c r="V85" s="38" t="str">
        <f t="array" aca="1" ref="V85" ca="1">IF(
   SUM(E85:T85)=0,
   "",
   (
      SUMPRODUCT(
         IF(E85:T85="",0,E85:T85),
         IF(E86:T86="",0,E86:T86) * SUM(E86:T86)
      )
   ) *
   IF(
      'Hulp (CAO''s)'!#REF!,
      IF(
         OR(
            INDEX(#REF!, ROW(#REF!) + INT((ROW()-ROW($V$8))/6)*8)="",
            ISNA(INDEX(#REF!, ROW(#REF!) + INT((ROW()-ROW($V$8))/6)*8))
         ),
         1878/12,
         INDEX(#REF!, ROW(#REF!) + INT((ROW()-ROW($V$8))/6)*8)/12
      ),
      1
   )
)</f>
        <v/>
      </c>
    </row>
    <row r="86" spans="2:24" ht="14.65" thickBot="1" x14ac:dyDescent="0.5">
      <c r="B86" s="48" t="s">
        <v>60</v>
      </c>
      <c r="D86" s="24" t="s">
        <v>59</v>
      </c>
      <c r="E86" s="8">
        <v>0.05</v>
      </c>
      <c r="F86" s="8">
        <v>0.1</v>
      </c>
      <c r="G86" s="8">
        <v>0.1</v>
      </c>
      <c r="H86" s="8">
        <v>0.15</v>
      </c>
      <c r="I86" s="8">
        <v>0.2</v>
      </c>
      <c r="J86" s="8">
        <v>0.15</v>
      </c>
      <c r="K86" s="8">
        <v>0.1</v>
      </c>
      <c r="L86" s="8">
        <v>0.05</v>
      </c>
      <c r="M86" s="8">
        <v>0.05</v>
      </c>
      <c r="N86" s="8">
        <v>0.05</v>
      </c>
      <c r="O86" s="8">
        <v>0</v>
      </c>
      <c r="P86" s="8"/>
      <c r="Q86" s="8"/>
      <c r="R86" s="8"/>
      <c r="S86" s="8"/>
      <c r="T86" s="9"/>
      <c r="U86" s="7"/>
      <c r="V86" s="37" t="str">
        <f ca="1">IF(B82="","",IF(INDIRECT("'Hulp (control forms)'!C" &amp; (13 + INT((ROW()-ROW($B$5))/6))), V84, V85))</f>
        <v/>
      </c>
      <c r="W86" s="7"/>
    </row>
    <row r="87" spans="2:24" x14ac:dyDescent="0.5">
      <c r="S87" s="7" t="str">
        <f>IF($B86="Aandeel in %",
   "Totaal: "&amp;SUM(E86:T86)*100&amp;"%",
   "Totaal: "&amp;SUM(E86:T86)&amp;" uur"
)</f>
        <v>Totaal: 100%</v>
      </c>
      <c r="T87" s="7"/>
    </row>
  </sheetData>
  <conditionalFormatting sqref="E6:T6">
    <cfRule type="expression" dxfId="116" priority="57">
      <formula>OR($B5="",$B7&lt;&gt;"Gebruik % van maximum trede")</formula>
    </cfRule>
  </conditionalFormatting>
  <conditionalFormatting sqref="E7:T7">
    <cfRule type="expression" dxfId="115" priority="56">
      <formula>OR($B5="",$B7&lt;&gt;"Gebruik trede (gemiddeld)")</formula>
    </cfRule>
  </conditionalFormatting>
  <conditionalFormatting sqref="E9:T9">
    <cfRule type="expression" dxfId="114" priority="91">
      <formula>$B9="Aandeel in uren"</formula>
    </cfRule>
    <cfRule type="expression" dxfId="113" priority="93">
      <formula>$B5=""</formula>
    </cfRule>
  </conditionalFormatting>
  <conditionalFormatting sqref="E13:T13">
    <cfRule type="expression" dxfId="112" priority="52">
      <formula>OR($B12="",$B14&lt;&gt;"Gebruik % van maximum trede")</formula>
    </cfRule>
  </conditionalFormatting>
  <conditionalFormatting sqref="E14:T14">
    <cfRule type="expression" dxfId="111" priority="51">
      <formula>OR($B12="",$B14&lt;&gt;"Gebruik trede (gemiddeld)")</formula>
    </cfRule>
  </conditionalFormatting>
  <conditionalFormatting sqref="E20:T20">
    <cfRule type="expression" dxfId="110" priority="47">
      <formula>OR($B19="",$B21&lt;&gt;"Gebruik % van maximum trede")</formula>
    </cfRule>
  </conditionalFormatting>
  <conditionalFormatting sqref="E21:T21">
    <cfRule type="expression" dxfId="109" priority="46">
      <formula>OR($B19="",$B21&lt;&gt;"Gebruik trede (gemiddeld)")</formula>
    </cfRule>
  </conditionalFormatting>
  <conditionalFormatting sqref="E27:T27">
    <cfRule type="expression" dxfId="108" priority="42">
      <formula>OR($B26="",$B28&lt;&gt;"Gebruik % van maximum trede")</formula>
    </cfRule>
  </conditionalFormatting>
  <conditionalFormatting sqref="E28:T28">
    <cfRule type="expression" dxfId="107" priority="41">
      <formula>OR($B26="",$B28&lt;&gt;"Gebruik trede (gemiddeld)")</formula>
    </cfRule>
  </conditionalFormatting>
  <conditionalFormatting sqref="E34:T34">
    <cfRule type="expression" dxfId="106" priority="37">
      <formula>OR($B33="",$B35&lt;&gt;"Gebruik % van maximum trede")</formula>
    </cfRule>
  </conditionalFormatting>
  <conditionalFormatting sqref="E35:T35">
    <cfRule type="expression" dxfId="105" priority="36">
      <formula>OR($B33="",$B35&lt;&gt;"Gebruik trede (gemiddeld)")</formula>
    </cfRule>
  </conditionalFormatting>
  <conditionalFormatting sqref="E41:T41">
    <cfRule type="expression" dxfId="104" priority="32">
      <formula>OR($B40="",$B42&lt;&gt;"Gebruik % van maximum trede")</formula>
    </cfRule>
  </conditionalFormatting>
  <conditionalFormatting sqref="E42:T42">
    <cfRule type="expression" dxfId="103" priority="31">
      <formula>OR($B40="",$B42&lt;&gt;"Gebruik trede (gemiddeld)")</formula>
    </cfRule>
  </conditionalFormatting>
  <conditionalFormatting sqref="E48:T48">
    <cfRule type="expression" dxfId="102" priority="27">
      <formula>OR($B47="",$B49&lt;&gt;"Gebruik % van maximum trede")</formula>
    </cfRule>
  </conditionalFormatting>
  <conditionalFormatting sqref="E49:T49">
    <cfRule type="expression" dxfId="101" priority="26">
      <formula>OR($B47="",$B49&lt;&gt;"Gebruik trede (gemiddeld)")</formula>
    </cfRule>
  </conditionalFormatting>
  <conditionalFormatting sqref="E55:T55">
    <cfRule type="expression" dxfId="100" priority="22">
      <formula>OR($B54="",$B56&lt;&gt;"Gebruik % van maximum trede")</formula>
    </cfRule>
  </conditionalFormatting>
  <conditionalFormatting sqref="E56:T56">
    <cfRule type="expression" dxfId="99" priority="21">
      <formula>OR($B54="",$B56&lt;&gt;"Gebruik trede (gemiddeld)")</formula>
    </cfRule>
  </conditionalFormatting>
  <conditionalFormatting sqref="E62:T62">
    <cfRule type="expression" dxfId="98" priority="17">
      <formula>OR($B61="",$B63&lt;&gt;"Gebruik % van maximum trede")</formula>
    </cfRule>
  </conditionalFormatting>
  <conditionalFormatting sqref="E63:T63">
    <cfRule type="expression" dxfId="97" priority="16">
      <formula>OR($B61="",$B63&lt;&gt;"Gebruik trede (gemiddeld)")</formula>
    </cfRule>
  </conditionalFormatting>
  <conditionalFormatting sqref="E69:T69">
    <cfRule type="expression" dxfId="96" priority="12">
      <formula>OR($B68="",$B70&lt;&gt;"Gebruik % van maximum trede")</formula>
    </cfRule>
  </conditionalFormatting>
  <conditionalFormatting sqref="E70:T70">
    <cfRule type="expression" dxfId="95" priority="11">
      <formula>OR($B68="",$B70&lt;&gt;"Gebruik trede (gemiddeld)")</formula>
    </cfRule>
  </conditionalFormatting>
  <conditionalFormatting sqref="E76:T76">
    <cfRule type="expression" dxfId="94" priority="7">
      <formula>OR($B75="",$B77&lt;&gt;"Gebruik % van maximum trede")</formula>
    </cfRule>
  </conditionalFormatting>
  <conditionalFormatting sqref="E77:T77">
    <cfRule type="expression" dxfId="93" priority="6">
      <formula>OR($B75="",$B77&lt;&gt;"Gebruik trede (gemiddeld)")</formula>
    </cfRule>
  </conditionalFormatting>
  <conditionalFormatting sqref="E83:T83">
    <cfRule type="expression" dxfId="92" priority="2">
      <formula>OR($B82="",$B84&lt;&gt;"Gebruik % van maximum trede")</formula>
    </cfRule>
  </conditionalFormatting>
  <conditionalFormatting sqref="E84:T84">
    <cfRule type="expression" dxfId="91" priority="1">
      <formula>OR($B82="",$B84&lt;&gt;"Gebruik trede (gemiddeld)")</formula>
    </cfRule>
  </conditionalFormatting>
  <dataValidations count="2">
    <dataValidation type="list" allowBlank="1" showInputMessage="1" showErrorMessage="1" sqref="B9 B16 B23 B30 B37 B44 B51 B58 B65 B72 B79 B86" xr:uid="{00000000-0002-0000-0E00-000000000000}">
      <formula1>"Aandeel in %, Aandeel in uren"</formula1>
    </dataValidation>
    <dataValidation type="list" allowBlank="1" showInputMessage="1" showErrorMessage="1" sqref="B7 B14 B21 B28 B35 B42 B49 B56 B63 B70 B77 B84" xr:uid="{00000000-0002-0000-0E00-000001000000}">
      <formula1>"Gebruik % van maximum trede, Gebruik trede (gemiddeld)"</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22</xdr:col>
                    <xdr:colOff>61913</xdr:colOff>
                    <xdr:row>6</xdr:row>
                    <xdr:rowOff>0</xdr:rowOff>
                  </from>
                  <to>
                    <xdr:col>23</xdr:col>
                    <xdr:colOff>23813</xdr:colOff>
                    <xdr:row>7</xdr:row>
                    <xdr:rowOff>14288</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22</xdr:col>
                    <xdr:colOff>71438</xdr:colOff>
                    <xdr:row>13</xdr:row>
                    <xdr:rowOff>4763</xdr:rowOff>
                  </from>
                  <to>
                    <xdr:col>23</xdr:col>
                    <xdr:colOff>4763</xdr:colOff>
                    <xdr:row>14</xdr:row>
                    <xdr:rowOff>33338</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22</xdr:col>
                    <xdr:colOff>71438</xdr:colOff>
                    <xdr:row>19</xdr:row>
                    <xdr:rowOff>190500</xdr:rowOff>
                  </from>
                  <to>
                    <xdr:col>23</xdr:col>
                    <xdr:colOff>19050</xdr:colOff>
                    <xdr:row>21</xdr:row>
                    <xdr:rowOff>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22</xdr:col>
                    <xdr:colOff>61913</xdr:colOff>
                    <xdr:row>27</xdr:row>
                    <xdr:rowOff>0</xdr:rowOff>
                  </from>
                  <to>
                    <xdr:col>23</xdr:col>
                    <xdr:colOff>0</xdr:colOff>
                    <xdr:row>28</xdr:row>
                    <xdr:rowOff>19050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22</xdr:col>
                    <xdr:colOff>57150</xdr:colOff>
                    <xdr:row>34</xdr:row>
                    <xdr:rowOff>4763</xdr:rowOff>
                  </from>
                  <to>
                    <xdr:col>23</xdr:col>
                    <xdr:colOff>38100</xdr:colOff>
                    <xdr:row>35</xdr:row>
                    <xdr:rowOff>19050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22</xdr:col>
                    <xdr:colOff>42863</xdr:colOff>
                    <xdr:row>40</xdr:row>
                    <xdr:rowOff>166688</xdr:rowOff>
                  </from>
                  <to>
                    <xdr:col>23</xdr:col>
                    <xdr:colOff>4763</xdr:colOff>
                    <xdr:row>41</xdr:row>
                    <xdr:rowOff>166688</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22</xdr:col>
                    <xdr:colOff>61913</xdr:colOff>
                    <xdr:row>47</xdr:row>
                    <xdr:rowOff>171450</xdr:rowOff>
                  </from>
                  <to>
                    <xdr:col>23</xdr:col>
                    <xdr:colOff>38100</xdr:colOff>
                    <xdr:row>48</xdr:row>
                    <xdr:rowOff>166688</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22</xdr:col>
                    <xdr:colOff>71438</xdr:colOff>
                    <xdr:row>54</xdr:row>
                    <xdr:rowOff>195263</xdr:rowOff>
                  </from>
                  <to>
                    <xdr:col>23</xdr:col>
                    <xdr:colOff>0</xdr:colOff>
                    <xdr:row>55</xdr:row>
                    <xdr:rowOff>176213</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22</xdr:col>
                    <xdr:colOff>61913</xdr:colOff>
                    <xdr:row>62</xdr:row>
                    <xdr:rowOff>0</xdr:rowOff>
                  </from>
                  <to>
                    <xdr:col>23</xdr:col>
                    <xdr:colOff>23813</xdr:colOff>
                    <xdr:row>63</xdr:row>
                    <xdr:rowOff>14288</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22</xdr:col>
                    <xdr:colOff>61913</xdr:colOff>
                    <xdr:row>68</xdr:row>
                    <xdr:rowOff>152400</xdr:rowOff>
                  </from>
                  <to>
                    <xdr:col>23</xdr:col>
                    <xdr:colOff>42863</xdr:colOff>
                    <xdr:row>69</xdr:row>
                    <xdr:rowOff>157163</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22</xdr:col>
                    <xdr:colOff>71438</xdr:colOff>
                    <xdr:row>75</xdr:row>
                    <xdr:rowOff>171450</xdr:rowOff>
                  </from>
                  <to>
                    <xdr:col>23</xdr:col>
                    <xdr:colOff>19050</xdr:colOff>
                    <xdr:row>77</xdr:row>
                    <xdr:rowOff>19050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22</xdr:col>
                    <xdr:colOff>57150</xdr:colOff>
                    <xdr:row>83</xdr:row>
                    <xdr:rowOff>19050</xdr:rowOff>
                  </from>
                  <to>
                    <xdr:col>23</xdr:col>
                    <xdr:colOff>19050</xdr:colOff>
                    <xdr:row>84</xdr:row>
                    <xdr:rowOff>33338</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850" id="{C508F9AB-CBB6-46F6-A6CF-47B7D8ED873B}">
            <xm:f>OR($B5="",'Hulp (control forms)'!$C$13&lt;&gt;TRUE)</xm:f>
            <x14:dxf>
              <font>
                <color theme="6" tint="0.59996337778862885"/>
              </font>
              <fill>
                <patternFill>
                  <bgColor theme="6" tint="0.59996337778862885"/>
                </patternFill>
              </fill>
            </x14:dxf>
          </x14:cfRule>
          <xm:sqref>V7</xm:sqref>
        </x14:conditionalFormatting>
        <x14:conditionalFormatting xmlns:xm="http://schemas.microsoft.com/office/excel/2006/main">
          <x14:cfRule type="expression" priority="54" id="{C508F9AB-CBB6-46F6-A6CF-47B7D8ED873B}">
            <xm:f>OR($B12="",'Hulp (control forms)'!$C$14&lt;&gt;TRUE)</xm:f>
            <x14:dxf>
              <font>
                <color theme="6" tint="0.59996337778862885"/>
              </font>
              <fill>
                <patternFill>
                  <bgColor theme="6" tint="0.59996337778862885"/>
                </patternFill>
              </fill>
            </x14:dxf>
          </x14:cfRule>
          <xm:sqref>V14</xm:sqref>
        </x14:conditionalFormatting>
        <x14:conditionalFormatting xmlns:xm="http://schemas.microsoft.com/office/excel/2006/main">
          <x14:cfRule type="expression" priority="49" id="{A578EA4A-5692-4EDE-A337-A0B0B6F78047}">
            <xm:f>OR($B19="",'Hulp (control forms)'!$C$15&lt;&gt;TRUE)</xm:f>
            <x14:dxf>
              <font>
                <color theme="6" tint="0.59996337778862885"/>
              </font>
              <fill>
                <patternFill>
                  <bgColor theme="6" tint="0.59996337778862885"/>
                </patternFill>
              </fill>
            </x14:dxf>
          </x14:cfRule>
          <xm:sqref>V21</xm:sqref>
        </x14:conditionalFormatting>
        <x14:conditionalFormatting xmlns:xm="http://schemas.microsoft.com/office/excel/2006/main">
          <x14:cfRule type="expression" priority="44" id="{0E4483D0-67AF-4566-BA86-FEACF46C887E}">
            <xm:f>OR($B26="",'Hulp (control forms)'!$C$16&lt;&gt;TRUE)</xm:f>
            <x14:dxf>
              <font>
                <color theme="6" tint="0.59996337778862885"/>
              </font>
              <fill>
                <patternFill>
                  <bgColor theme="6" tint="0.59996337778862885"/>
                </patternFill>
              </fill>
            </x14:dxf>
          </x14:cfRule>
          <xm:sqref>V28</xm:sqref>
        </x14:conditionalFormatting>
        <x14:conditionalFormatting xmlns:xm="http://schemas.microsoft.com/office/excel/2006/main">
          <x14:cfRule type="expression" priority="39" id="{8DADC33C-8DBD-4B53-A94D-3A9219D10D1D}">
            <xm:f>OR($B33="",'Hulp (control forms)'!$C$17&lt;&gt;TRUE)</xm:f>
            <x14:dxf>
              <font>
                <color theme="6" tint="0.59996337778862885"/>
              </font>
              <fill>
                <patternFill>
                  <bgColor theme="6" tint="0.59996337778862885"/>
                </patternFill>
              </fill>
            </x14:dxf>
          </x14:cfRule>
          <xm:sqref>V35</xm:sqref>
        </x14:conditionalFormatting>
        <x14:conditionalFormatting xmlns:xm="http://schemas.microsoft.com/office/excel/2006/main">
          <x14:cfRule type="expression" priority="34" id="{02632F27-184E-46D3-BCA0-87579C554896}">
            <xm:f>OR($B40="",'Hulp (control forms)'!$C$18&lt;&gt;TRUE)</xm:f>
            <x14:dxf>
              <font>
                <color theme="6" tint="0.59996337778862885"/>
              </font>
              <fill>
                <patternFill>
                  <bgColor theme="6" tint="0.59996337778862885"/>
                </patternFill>
              </fill>
            </x14:dxf>
          </x14:cfRule>
          <xm:sqref>V42</xm:sqref>
        </x14:conditionalFormatting>
        <x14:conditionalFormatting xmlns:xm="http://schemas.microsoft.com/office/excel/2006/main">
          <x14:cfRule type="expression" priority="29" id="{A4198875-3D3D-4178-8173-7EA527C3BE20}">
            <xm:f>OR($B47="",'Hulp (control forms)'!$C$19&lt;&gt;TRUE)</xm:f>
            <x14:dxf>
              <font>
                <color theme="6" tint="0.59996337778862885"/>
              </font>
              <fill>
                <patternFill>
                  <bgColor theme="6" tint="0.59996337778862885"/>
                </patternFill>
              </fill>
            </x14:dxf>
          </x14:cfRule>
          <xm:sqref>V49</xm:sqref>
        </x14:conditionalFormatting>
        <x14:conditionalFormatting xmlns:xm="http://schemas.microsoft.com/office/excel/2006/main">
          <x14:cfRule type="expression" priority="24" id="{90ACC9CD-2571-4B5E-9B87-CB51A4DECF98}">
            <xm:f>OR($B54="",'Hulp (control forms)'!$C$20&lt;&gt;TRUE)</xm:f>
            <x14:dxf>
              <font>
                <color theme="6" tint="0.59996337778862885"/>
              </font>
              <fill>
                <patternFill>
                  <bgColor theme="6" tint="0.59996337778862885"/>
                </patternFill>
              </fill>
            </x14:dxf>
          </x14:cfRule>
          <xm:sqref>V56</xm:sqref>
        </x14:conditionalFormatting>
        <x14:conditionalFormatting xmlns:xm="http://schemas.microsoft.com/office/excel/2006/main">
          <x14:cfRule type="expression" priority="19" id="{0AB28F6B-7FF8-4DED-B368-B77FADAA44F3}">
            <xm:f>OR($B61="",'Hulp (control forms)'!$C$21&lt;&gt;TRUE)</xm:f>
            <x14:dxf>
              <font>
                <color theme="6" tint="0.59996337778862885"/>
              </font>
              <fill>
                <patternFill>
                  <bgColor theme="6" tint="0.59996337778862885"/>
                </patternFill>
              </fill>
            </x14:dxf>
          </x14:cfRule>
          <xm:sqref>V63</xm:sqref>
        </x14:conditionalFormatting>
        <x14:conditionalFormatting xmlns:xm="http://schemas.microsoft.com/office/excel/2006/main">
          <x14:cfRule type="expression" priority="14" id="{62DD50BC-584A-4E20-945B-0FA7E859EA4B}">
            <xm:f>OR($B68="",'Hulp (control forms)'!$C$22&lt;&gt;TRUE)</xm:f>
            <x14:dxf>
              <font>
                <color theme="6" tint="0.59996337778862885"/>
              </font>
              <fill>
                <patternFill>
                  <bgColor theme="6" tint="0.59996337778862885"/>
                </patternFill>
              </fill>
            </x14:dxf>
          </x14:cfRule>
          <xm:sqref>V70</xm:sqref>
        </x14:conditionalFormatting>
        <x14:conditionalFormatting xmlns:xm="http://schemas.microsoft.com/office/excel/2006/main">
          <x14:cfRule type="expression" priority="9" id="{392C1564-FCAC-4004-82E9-7130031A93BE}">
            <xm:f>OR($B75="",'Hulp (control forms)'!$C$23&lt;&gt;TRUE)</xm:f>
            <x14:dxf>
              <font>
                <color theme="6" tint="0.59996337778862885"/>
              </font>
              <fill>
                <patternFill>
                  <bgColor theme="6" tint="0.59996337778862885"/>
                </patternFill>
              </fill>
            </x14:dxf>
          </x14:cfRule>
          <xm:sqref>V77</xm:sqref>
        </x14:conditionalFormatting>
        <x14:conditionalFormatting xmlns:xm="http://schemas.microsoft.com/office/excel/2006/main">
          <x14:cfRule type="expression" priority="4" id="{C73AAECA-604C-4B73-9C6A-D859825B94CF}">
            <xm:f>OR($B82="",'Hulp (control forms)'!$C$24&lt;&gt;TRUE)</xm:f>
            <x14:dxf>
              <font>
                <color theme="6" tint="0.59996337778862885"/>
              </font>
              <fill>
                <patternFill>
                  <bgColor theme="6" tint="0.59996337778862885"/>
                </patternFill>
              </fill>
            </x14:dxf>
          </x14:cfRule>
          <xm:sqref>V84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B3:I54"/>
  <sheetViews>
    <sheetView topLeftCell="A10" zoomScale="55" zoomScaleNormal="55" workbookViewId="0">
      <selection activeCell="E40" sqref="E40"/>
    </sheetView>
  </sheetViews>
  <sheetFormatPr defaultRowHeight="14.25" x14ac:dyDescent="0.45"/>
  <cols>
    <col min="2" max="2" width="30.59765625" customWidth="1"/>
    <col min="3" max="3" width="16.59765625" customWidth="1"/>
    <col min="4" max="4" width="8.59765625" customWidth="1"/>
    <col min="5" max="5" width="16.59765625" customWidth="1"/>
    <col min="6" max="6" width="8.59765625" customWidth="1"/>
    <col min="7" max="8" width="16.59765625" customWidth="1"/>
    <col min="9" max="11" width="8.73046875" customWidth="1"/>
  </cols>
  <sheetData>
    <row r="3" spans="2:9" ht="18" x14ac:dyDescent="0.55000000000000004">
      <c r="B3" s="46" t="s">
        <v>773</v>
      </c>
    </row>
    <row r="4" spans="2:9" ht="14.65" thickBot="1" x14ac:dyDescent="0.5"/>
    <row r="5" spans="2:9" ht="25.05" customHeight="1" x14ac:dyDescent="0.45">
      <c r="B5" s="253" t="s">
        <v>901</v>
      </c>
      <c r="C5" s="835" t="s">
        <v>902</v>
      </c>
      <c r="D5" s="836"/>
      <c r="E5" s="836"/>
      <c r="F5" s="835" t="s">
        <v>903</v>
      </c>
      <c r="G5" s="836"/>
      <c r="H5" s="841"/>
    </row>
    <row r="6" spans="2:9" ht="25.05" customHeight="1" x14ac:dyDescent="0.45">
      <c r="B6" s="254" t="s">
        <v>946</v>
      </c>
      <c r="C6" s="837">
        <f>IF(SUM(E17:E19)=0,"",SUM(E17:E19))</f>
        <v>19.913529028232986</v>
      </c>
      <c r="D6" s="838"/>
      <c r="E6" s="838"/>
      <c r="F6" s="837">
        <f>IF(SUM(H17:H19)=0,"",SUM(H17:H19))</f>
        <v>65.617843915948271</v>
      </c>
      <c r="G6" s="838"/>
      <c r="H6" s="842"/>
    </row>
    <row r="7" spans="2:9" ht="25.05" customHeight="1" x14ac:dyDescent="0.45">
      <c r="B7" s="255" t="s">
        <v>731</v>
      </c>
      <c r="C7" s="844">
        <f>IF(SUM(E21:E22)=0,"",SUM(E21:E22))</f>
        <v>12.832735564466997</v>
      </c>
      <c r="D7" s="845"/>
      <c r="E7" s="845"/>
      <c r="F7" s="844">
        <f>IF(SUM(H21:H22)=0,"",SUM(H21:H22))</f>
        <v>32.988574290068755</v>
      </c>
      <c r="G7" s="845"/>
      <c r="H7" s="846"/>
    </row>
    <row r="8" spans="2:9" ht="25.05" customHeight="1" thickBot="1" x14ac:dyDescent="0.6">
      <c r="B8" s="252" t="s">
        <v>941</v>
      </c>
      <c r="C8" s="839">
        <f>IF(E23="","",E23)</f>
        <v>61.108264592699982</v>
      </c>
      <c r="D8" s="840"/>
      <c r="E8" s="840"/>
      <c r="F8" s="839">
        <f>IF(H23="","",H23)</f>
        <v>127.35502237268369</v>
      </c>
      <c r="G8" s="840"/>
      <c r="H8" s="843"/>
    </row>
    <row r="11" spans="2:9" ht="18" x14ac:dyDescent="0.55000000000000004">
      <c r="B11" s="46" t="s">
        <v>61</v>
      </c>
    </row>
    <row r="12" spans="2:9" ht="14.65" thickBot="1" x14ac:dyDescent="0.5">
      <c r="E12" s="217"/>
      <c r="F12" s="217"/>
      <c r="H12" s="217"/>
      <c r="I12" s="217"/>
    </row>
    <row r="13" spans="2:9" ht="25.05" customHeight="1" x14ac:dyDescent="0.45">
      <c r="B13" s="205" t="s">
        <v>901</v>
      </c>
      <c r="C13" s="853" t="s">
        <v>940</v>
      </c>
      <c r="D13" s="854"/>
      <c r="E13" s="229" t="s">
        <v>902</v>
      </c>
      <c r="F13" s="853" t="s">
        <v>939</v>
      </c>
      <c r="G13" s="854"/>
      <c r="H13" s="231" t="s">
        <v>903</v>
      </c>
      <c r="I13" s="217"/>
    </row>
    <row r="14" spans="2:9" x14ac:dyDescent="0.45">
      <c r="B14" s="17" t="s">
        <v>937</v>
      </c>
      <c r="C14" s="849"/>
      <c r="D14" s="850"/>
      <c r="E14" s="235">
        <v>365</v>
      </c>
      <c r="F14" s="849"/>
      <c r="G14" s="850"/>
      <c r="H14" s="236">
        <v>72</v>
      </c>
    </row>
    <row r="15" spans="2:9" x14ac:dyDescent="0.45">
      <c r="B15" s="2" t="s">
        <v>936</v>
      </c>
      <c r="C15" s="867" t="str">
        <f>IF(E15="","",HYPERLINK("#B46", "Zie berekening"))</f>
        <v>Zie berekening</v>
      </c>
      <c r="D15" s="868"/>
      <c r="E15" s="198">
        <f>IF(F51="","",F51)</f>
        <v>26.916000000000004</v>
      </c>
      <c r="F15" s="851">
        <f>IF(H15="","",1)</f>
        <v>1</v>
      </c>
      <c r="G15" s="852"/>
      <c r="H15" s="232">
        <f>IF(E15="","",E15)</f>
        <v>26.916000000000004</v>
      </c>
    </row>
    <row r="16" spans="2:9" ht="14.55" customHeight="1" x14ac:dyDescent="0.45">
      <c r="B16" s="2" t="s">
        <v>898</v>
      </c>
      <c r="C16" s="847" t="str">
        <f>IF(E16="","", "4.82 x " &amp; TEXT('1p. Input pleegzorg oud'!G7, "0.0%"))</f>
        <v>4.82 x 30.0%</v>
      </c>
      <c r="D16" s="848"/>
      <c r="E16" s="198">
        <f>IF('1p. Input pleegzorg oud'!G7="","",4.82*'1p. Input pleegzorg oud'!G7)</f>
        <v>1.446</v>
      </c>
      <c r="F16" s="847" t="str">
        <f>IF(H16="","",
TEXT('1p. Input pleegzorg oud'!I7, "0.0%") &amp; " x " &amp;E14&amp;" / "&amp;H14&amp;" = "&amp;TEXT('1p. Input pleegzorg oud'!I7*E14/H14,"0.00")
)</f>
        <v>25.0% x 365 / 72 = 1.27</v>
      </c>
      <c r="G16" s="848"/>
      <c r="H16" s="232">
        <f>IF(OR('1p. Input pleegzorg oud'!I7="",E16="",E14="",H14="",H14=0),"",E16*'1p. Input pleegzorg oud'!I7*(E14/H14))</f>
        <v>1.8326041666666666</v>
      </c>
    </row>
    <row r="17" spans="2:9" ht="14.55" customHeight="1" x14ac:dyDescent="0.45">
      <c r="B17" s="2" t="s">
        <v>908</v>
      </c>
      <c r="C17" s="847" t="str">
        <f>IF(E17="","",
     TEXT(E40,"€ #,##0.00") &amp; " x " &amp; '1p. Input pleegzorg oud'!G9 &amp; " / " &amp; E14
)</f>
        <v>€ 51.57 x 61 / 365</v>
      </c>
      <c r="D17" s="848"/>
      <c r="E17" s="198">
        <f>IF(OR(E40="",E14="",'1p. Input pleegzorg oud'!G9=""),"",
     E40*'1p. Input pleegzorg oud'!G9/E14
)</f>
        <v>8.619260125536135</v>
      </c>
      <c r="F17" s="847" t="str">
        <f>IF(H17="","",
TEXT('1p. Input pleegzorg oud'!I9, "0.0%") &amp; " x " &amp;E14&amp;" / "&amp;H14&amp;" = "&amp;TEXT('1p. Input pleegzorg oud'!I9*E14/H14,"0.00")
)</f>
        <v>65.0% x 365 / 72 = 3.30</v>
      </c>
      <c r="G17" s="848"/>
      <c r="H17" s="232">
        <f>IF(OR('1p. Input pleegzorg oud'!I9="",E17="",E14="",H14="",H14=0),"",E17*'1p. Input pleegzorg oud'!I9*(E14/H14))</f>
        <v>28.401659233103448</v>
      </c>
    </row>
    <row r="18" spans="2:9" ht="14.55" customHeight="1" x14ac:dyDescent="0.45">
      <c r="B18" s="2" t="s">
        <v>909</v>
      </c>
      <c r="C18" s="847" t="str">
        <f>IF(E18="","",
     TEXT(E40,"€ #,##0.00") &amp; " x " &amp; '1p. Input pleegzorg oud'!G10 &amp; " / " &amp; E14
)</f>
        <v>€ 51.57 x 39 / 365</v>
      </c>
      <c r="D18" s="848"/>
      <c r="E18" s="198">
        <f>IF(OR(E40="",E14="",'1p. Input pleegzorg oud'!G10=""),"",
     E40*'1p. Input pleegzorg oud'!G10/E14
)</f>
        <v>5.5106745064903162</v>
      </c>
      <c r="F18" s="847" t="str">
        <f>IF(H18="","",
TEXT('1p. Input pleegzorg oud'!I10, "0.0%") &amp; " x " &amp;E14&amp;" / "&amp;H14&amp;" = "&amp;TEXT('1p. Input pleegzorg oud'!I10*E14/H14,"0.00")
)</f>
        <v>65.0% x 365 / 72 = 3.30</v>
      </c>
      <c r="G18" s="848"/>
      <c r="H18" s="232">
        <f>IF(OR('1p. Input pleegzorg oud'!I10="",E18="",E14="",H14="",H14=0),"",E18*'1p. Input pleegzorg oud'!I10*(E14/H14))</f>
        <v>18.158437870344827</v>
      </c>
    </row>
    <row r="19" spans="2:9" ht="14.55" customHeight="1" x14ac:dyDescent="0.45">
      <c r="B19" s="2" t="s">
        <v>910</v>
      </c>
      <c r="C19" s="847" t="str">
        <f>IF(E19="","",
     TEXT(G40,"€ #,##0.00") &amp; " x " &amp; '1p. Input pleegzorg oud'!G11 &amp; " / " &amp; E14
)</f>
        <v>€ 70.37 x 30 / 365</v>
      </c>
      <c r="D19" s="848"/>
      <c r="E19" s="198">
        <f>IF(OR(G40="",E14="",'1p. Input pleegzorg oud'!G11=""),"",
     G40*'1p. Input pleegzorg oud'!G11/E14
)</f>
        <v>5.7835943962065341</v>
      </c>
      <c r="F19" s="847" t="str">
        <f>IF(H19="","",
TEXT('1p. Input pleegzorg oud'!I11, "0.0%") &amp; " x " &amp;E14&amp;" / "&amp;H14&amp;" = "&amp;TEXT('1p. Input pleegzorg oud'!I11*E14/H14,"0.00")
)</f>
        <v>65.0% x 365 / 72 = 3.30</v>
      </c>
      <c r="G19" s="848"/>
      <c r="H19" s="232">
        <f>IF(OR('1p. Input pleegzorg oud'!I11="",E19="",E14="",H14="",H14=0),"",E19*'1p. Input pleegzorg oud'!I11*(E14/H14))</f>
        <v>19.057746812500003</v>
      </c>
    </row>
    <row r="20" spans="2:9" ht="14.55" customHeight="1" x14ac:dyDescent="0.45">
      <c r="B20" s="193" t="s">
        <v>938</v>
      </c>
      <c r="C20" s="847"/>
      <c r="D20" s="848"/>
      <c r="E20" s="230">
        <f>IF(SUM(E15:E19)=0,"",SUM(E15:E19))</f>
        <v>48.275529028232988</v>
      </c>
      <c r="F20" s="847"/>
      <c r="G20" s="848"/>
      <c r="H20" s="234">
        <f>IF(SUM(H15:H19)=0,"",SUM(H15:H19))</f>
        <v>94.366448082614937</v>
      </c>
    </row>
    <row r="21" spans="2:9" ht="14.55" customHeight="1" x14ac:dyDescent="0.45">
      <c r="B21" s="2" t="s">
        <v>899</v>
      </c>
      <c r="C21" s="847" t="str">
        <f>IF(E21="","",TEXT(E20,"€ #,##0.00") &amp; " / " &amp; TEXT(1-('1p. Input pleegzorg oud'!G19+'1p. Input pleegzorg oud'!G21), "0.0%") &amp; " x " &amp; TEXT('1p. Input pleegzorg oud'!G19, "0.0%"))</f>
        <v>€ 48.28 / 79.0% x 8.0%</v>
      </c>
      <c r="D21" s="848"/>
      <c r="E21" s="198">
        <f>IF(OR('1p. Input pleegzorg oud'!G19="",E20=""),"",E20/(1-('1p. Input pleegzorg oud'!G19+'1p. Input pleegzorg oud'!G21))*('1p. Input pleegzorg oud'!G19))</f>
        <v>4.8886611674159983</v>
      </c>
      <c r="F21" s="847" t="str">
        <f>IF(H21="","",
E14&amp;" / "&amp;H14&amp;" = "&amp;TEXT(E14/H14,"0.00")
)</f>
        <v>365 / 72 = 5.07</v>
      </c>
      <c r="G21" s="848"/>
      <c r="H21" s="232">
        <f>IF(OR(E14="",H14="",H14=0,E21=""),"", E21*E14/H14)</f>
        <v>24.782796195928327</v>
      </c>
    </row>
    <row r="22" spans="2:9" ht="14.55" customHeight="1" x14ac:dyDescent="0.45">
      <c r="B22" s="2" t="s">
        <v>900</v>
      </c>
      <c r="C22" s="847" t="str">
        <f>IF(E22="","",TEXT(E20,"€ #,##0.00") &amp; " / " &amp; TEXT(1-('1p. Input pleegzorg oud'!G19+'1p. Input pleegzorg oud'!G21), "0.0%") &amp; " x " &amp; TEXT('1p. Input pleegzorg oud'!G21, "0.0%"))</f>
        <v>€ 48.28 / 79.0% x 13.0%</v>
      </c>
      <c r="D22" s="848"/>
      <c r="E22" s="198">
        <f>IF(OR('1p. Input pleegzorg oud'!G21="",E20=""),"",E20/(1-('1p. Input pleegzorg oud'!G19+'1p. Input pleegzorg oud'!G21))*('1p. Input pleegzorg oud'!G21))</f>
        <v>7.9440743970509979</v>
      </c>
      <c r="F22" s="847" t="str">
        <f>IF(H22="","",
    TEXT(H20,"€ #,##0.00") &amp; " / " &amp;
    TEXT(1-'1p. Input pleegzorg oud'!H21, "0.0%") &amp; " x " &amp;
    TEXT('1p. Input pleegzorg oud'!H21, "0.0%") &amp; "*"
)</f>
        <v>€ 94.37 / 92.0% x 8.0%*</v>
      </c>
      <c r="G22" s="848"/>
      <c r="H22" s="233">
        <f>IF(OR(H20="",'1p. Input pleegzorg oud'!H21=""),"",H20/(1-'1p. Input pleegzorg oud'!H21)*'1p. Input pleegzorg oud'!H21)</f>
        <v>8.2057780941404292</v>
      </c>
    </row>
    <row r="23" spans="2:9" ht="25.05" customHeight="1" thickBot="1" x14ac:dyDescent="0.55000000000000004">
      <c r="B23" s="251" t="s">
        <v>941</v>
      </c>
      <c r="C23" s="833"/>
      <c r="D23" s="834"/>
      <c r="E23" s="248">
        <f>IF(SUM(E20:E22)=0,"",SUM(E20:E22))</f>
        <v>61.108264592699982</v>
      </c>
      <c r="F23" s="833"/>
      <c r="G23" s="877"/>
      <c r="H23" s="249">
        <f>IF(SUM(H20:H22)=0,"",SUM(H20:H22))</f>
        <v>127.35502237268369</v>
      </c>
    </row>
    <row r="24" spans="2:9" ht="14.55" customHeight="1" x14ac:dyDescent="0.45">
      <c r="E24" s="216"/>
      <c r="I24" s="95" t="s">
        <v>942</v>
      </c>
    </row>
    <row r="25" spans="2:9" ht="14.55" customHeight="1" x14ac:dyDescent="0.45"/>
    <row r="26" spans="2:9" ht="14.55" customHeight="1" x14ac:dyDescent="0.55000000000000004">
      <c r="B26" s="46" t="s">
        <v>917</v>
      </c>
    </row>
    <row r="27" spans="2:9" ht="14.55" customHeight="1" thickBot="1" x14ac:dyDescent="0.5"/>
    <row r="28" spans="2:9" ht="25.05" customHeight="1" x14ac:dyDescent="0.45">
      <c r="B28" s="205" t="s">
        <v>905</v>
      </c>
      <c r="C28" s="207"/>
      <c r="D28" s="819" t="s">
        <v>896</v>
      </c>
      <c r="E28" s="864"/>
      <c r="F28" s="819" t="s">
        <v>915</v>
      </c>
      <c r="G28" s="829"/>
    </row>
    <row r="29" spans="2:9" ht="14.55" customHeight="1" x14ac:dyDescent="0.45">
      <c r="B29" s="194" t="s">
        <v>919</v>
      </c>
      <c r="C29" s="173"/>
      <c r="D29" s="28"/>
      <c r="E29" s="209">
        <f>IF(INDEX('1p. Input pleegzorg oud'!$G$23:$Z$23, 1, INT((COLUMN()-COLUMN($E$29))/2)+1)="",
   "",
   INDEX('1p. Input pleegzorg oud'!$G$23:$Z$23, 1, INT((COLUMN()-COLUMN($E$29))/2)+1)
)</f>
        <v>48000</v>
      </c>
      <c r="F29" s="28"/>
      <c r="G29" s="210">
        <f>IF(INDEX('1p. Input pleegzorg oud'!$G$23:$Z$23, 1, INT((COLUMN()-COLUMN($E$29))/2)+1)="",
   "",
   INDEX('1p. Input pleegzorg oud'!$G$23:$Z$23, 1, INT((COLUMN()-COLUMN($E$29))/2)+1)
)</f>
        <v>60000</v>
      </c>
    </row>
    <row r="30" spans="2:9" ht="14.55" customHeight="1" x14ac:dyDescent="0.45">
      <c r="B30" s="2" t="s">
        <v>811</v>
      </c>
      <c r="C30" s="21"/>
      <c r="D30" s="26"/>
      <c r="E30">
        <f>IF(E$29="","",
IF(INDEX('1p. Input pleegzorg oud'!$G$24:$Z$24, 1, INT((COLUMN()-COLUMN($E$29))/2)+1)="",
   "",
   INDEX('1p. Input pleegzorg oud'!$G$24:$Z$24, 1, INT((COLUMN()-COLUMN($E$29))/2)+1)
))</f>
        <v>1450</v>
      </c>
      <c r="F30" s="26"/>
      <c r="G30" s="212">
        <f>IF(G29="","",
IF(INDEX('1p. Input pleegzorg oud'!$G$24:$Z$24, 1, INT((COLUMN()-COLUMN($E$29))/2)+1)="",
   "",
   INDEX('1p. Input pleegzorg oud'!$G$24:$Z$24, 1, INT((COLUMN()-COLUMN($E$29))/2)+1)
))</f>
        <v>1300</v>
      </c>
    </row>
    <row r="31" spans="2:9" ht="14.55" customHeight="1" x14ac:dyDescent="0.45">
      <c r="B31" s="193" t="s">
        <v>33</v>
      </c>
      <c r="C31" s="21"/>
      <c r="D31" s="26"/>
      <c r="E31" s="89">
        <f>IF(E$29="","",
IF(E30=0,"",
E29/E30))</f>
        <v>33.103448275862071</v>
      </c>
      <c r="F31" s="26"/>
      <c r="G31" s="176">
        <f>IF(G29="","",
IF(G30=0,"",
G29/G30))</f>
        <v>46.153846153846153</v>
      </c>
    </row>
    <row r="32" spans="2:9" ht="14.55" customHeight="1" x14ac:dyDescent="0.45">
      <c r="B32" s="2" t="s">
        <v>6</v>
      </c>
      <c r="C32" s="42">
        <f>IF(AND(E29="",G29=""),"",0.08)</f>
        <v>0.08</v>
      </c>
      <c r="D32" s="18"/>
      <c r="E32" s="127">
        <f>IF(E$31="","",
IF($C32="","",
E$31*$C32))</f>
        <v>2.6482758620689659</v>
      </c>
      <c r="F32" s="211"/>
      <c r="G32" s="138">
        <f>IF(G$31="","",
IF($C32="","",
G$31*$C32))</f>
        <v>3.6923076923076925</v>
      </c>
    </row>
    <row r="33" spans="2:7" ht="14.55" customHeight="1" x14ac:dyDescent="0.45">
      <c r="B33" s="2" t="s">
        <v>7</v>
      </c>
      <c r="C33" s="42">
        <f>IF(AND(E29="",G29=""),"",0.0833)</f>
        <v>8.3299999999999999E-2</v>
      </c>
      <c r="D33" s="18"/>
      <c r="E33" s="127">
        <f>IF(E$31="","",
IF($C33="","",
E$31*$C33))</f>
        <v>2.7575172413793103</v>
      </c>
      <c r="F33" s="211"/>
      <c r="G33" s="138">
        <f>IF(G$31="","",
IF($C33="","",
G$31*$C33))</f>
        <v>3.8446153846153845</v>
      </c>
    </row>
    <row r="34" spans="2:7" ht="14.55" customHeight="1" x14ac:dyDescent="0.45">
      <c r="B34" s="2" t="s">
        <v>34</v>
      </c>
      <c r="C34" s="21"/>
      <c r="D34" s="211">
        <f>IF(E$29="","",
IF(INDEX('1p. Input pleegzorg oud'!$G25:$Z25, 1, INT((COLUMN()-COLUMN($D$29))/2)+1)="",
   "",
   INDEX('1p. Input pleegzorg oud'!$G25:$Z25, 1, INT((COLUMN()-COLUMN($D$29))/2)+1)
))</f>
        <v>0.03</v>
      </c>
      <c r="E34" s="127">
        <f>IF(E$31="","",
IF(D34="","",
E$31*D34))</f>
        <v>0.99310344827586206</v>
      </c>
      <c r="F34" s="211">
        <f>IF(G$29="","",
IF(INDEX('1p. Input pleegzorg oud'!$G25:$Z25, 1, INT((COLUMN()-COLUMN($D$29))/2)+1)="",
   "",
   INDEX('1p. Input pleegzorg oud'!$G25:$Z25, 1, INT((COLUMN()-COLUMN($D$29))/2)+1)
))</f>
        <v>0.03</v>
      </c>
      <c r="G34" s="138">
        <f>IF(G$31="","",
IF(F34="","",
G$31*F34))</f>
        <v>1.3846153846153846</v>
      </c>
    </row>
    <row r="35" spans="2:7" ht="14.55" customHeight="1" x14ac:dyDescent="0.45">
      <c r="B35" s="193" t="s">
        <v>35</v>
      </c>
      <c r="C35" s="174"/>
      <c r="D35" s="211"/>
      <c r="E35" s="89">
        <f>IF(E$31="","",
SUM(E31:E34))</f>
        <v>39.502344827586207</v>
      </c>
      <c r="F35" s="211"/>
      <c r="G35" s="176">
        <f>IF(G$31="","",
SUM(G31:G34))</f>
        <v>55.075384615384621</v>
      </c>
    </row>
    <row r="36" spans="2:7" ht="14.55" customHeight="1" x14ac:dyDescent="0.45">
      <c r="B36" s="2" t="s">
        <v>36</v>
      </c>
      <c r="C36" s="21"/>
      <c r="D36" s="211">
        <f>IF(E$29="","",
IF(INDEX('1p. Input pleegzorg oud'!$G26:$Z26, 1, INT((COLUMN()-COLUMN($D$29))/2)+1)="",
   "",
   INDEX('1p. Input pleegzorg oud'!$G26:$Z26, 1, INT((COLUMN()-COLUMN($D$29))/2)+1)
))</f>
        <v>0.28000000000000003</v>
      </c>
      <c r="E36" s="127">
        <f>IF(E$35="","",
IF(D36="","",
E$35*D36))</f>
        <v>11.060656551724138</v>
      </c>
      <c r="F36" s="211">
        <f>IF(G$29="","",
IF(INDEX('1p. Input pleegzorg oud'!$G26:$Z26, 1, INT((COLUMN()-COLUMN($D$29))/2)+1)="",
   "",
   INDEX('1p. Input pleegzorg oud'!$G26:$Z26, 1, INT((COLUMN()-COLUMN($D$29))/2)+1)
))</f>
        <v>0.26500000000000001</v>
      </c>
      <c r="G36" s="138">
        <f>IF(G$35="","",
IF(F36="","",
G$35*F36))</f>
        <v>14.594976923076926</v>
      </c>
    </row>
    <row r="37" spans="2:7" ht="14.55" customHeight="1" x14ac:dyDescent="0.45">
      <c r="B37" s="193" t="s">
        <v>925</v>
      </c>
      <c r="C37" s="174"/>
      <c r="D37" s="211"/>
      <c r="E37" s="89">
        <f>IF(E$35="","",
SUM(E35:E36))</f>
        <v>50.563001379310343</v>
      </c>
      <c r="F37" s="211"/>
      <c r="G37" s="176">
        <f>IF(G$35="","",
SUM(G35:G36))</f>
        <v>69.670361538461549</v>
      </c>
    </row>
    <row r="38" spans="2:7" ht="14.55" customHeight="1" x14ac:dyDescent="0.45">
      <c r="B38" s="2" t="s">
        <v>15</v>
      </c>
      <c r="C38" s="21"/>
      <c r="D38" s="211">
        <f>IF(E$29="","",
IF(INDEX('1p. Input pleegzorg oud'!$G27:$Z27, 1, INT((COLUMN()-COLUMN($D$29))/2)+1)="",
   "",
   INDEX('1p. Input pleegzorg oud'!$G27:$Z27, 1, INT((COLUMN()-COLUMN($D$29))/2)+1)
))</f>
        <v>0.01</v>
      </c>
      <c r="E38" s="127">
        <f>IF(E$37="","",
IF(D38="","",
E$37*D38))</f>
        <v>0.50563001379310346</v>
      </c>
      <c r="F38" s="211">
        <f>IF(G$29="","",
IF(INDEX('1p. Input pleegzorg oud'!$G27:$Z27, 1, INT((COLUMN()-COLUMN($D$29))/2)+1)="",
   "",
   INDEX('1p. Input pleegzorg oud'!$G27:$Z27, 1, INT((COLUMN()-COLUMN($D$29))/2)+1)
))</f>
        <v>0.01</v>
      </c>
      <c r="G38" s="138">
        <f>IF(G$37="","",
IF(F38="","",
G$37*F38))</f>
        <v>0.69670361538461545</v>
      </c>
    </row>
    <row r="39" spans="2:7" ht="14.55" customHeight="1" x14ac:dyDescent="0.45">
      <c r="B39" s="2" t="s">
        <v>67</v>
      </c>
      <c r="C39" s="21"/>
      <c r="D39" s="211">
        <f>IF(E$29="","",
IF(INDEX('1p. Input pleegzorg oud'!$G28:$Z28, 1, INT((COLUMN()-COLUMN($D$29))/2)+1)="",
   "",
   INDEX('1p. Input pleegzorg oud'!$G28:$Z28, 1, INT((COLUMN()-COLUMN($D$29))/2)+1)
))</f>
        <v>0.01</v>
      </c>
      <c r="E39" s="127">
        <f>IF(E$37="","",
IF(D39="","",
E$37*D39))</f>
        <v>0.50563001379310346</v>
      </c>
      <c r="F39" s="211">
        <f>IF(G$29="","",
IF(INDEX('1p. Input pleegzorg oud'!$G28:$Z28, 1, INT((COLUMN()-COLUMN($D$29))/2)+1)="",
   "",
   INDEX('1p. Input pleegzorg oud'!$G28:$Z28, 1, INT((COLUMN()-COLUMN($D$29))/2)+1)
))</f>
        <v>0</v>
      </c>
      <c r="G39" s="138">
        <f>IF(G$37="","",
IF(F39="","",
G$37*F39))</f>
        <v>0</v>
      </c>
    </row>
    <row r="40" spans="2:7" ht="25.05" customHeight="1" thickBot="1" x14ac:dyDescent="0.5">
      <c r="B40" s="206" t="s">
        <v>924</v>
      </c>
      <c r="C40" s="208"/>
      <c r="D40" s="175"/>
      <c r="E40" s="213">
        <f>IF(E$37="","",
SUM(E37:E39))</f>
        <v>51.574261406896547</v>
      </c>
      <c r="F40" s="175"/>
      <c r="G40" s="214">
        <f>IF(G$37="","",
SUM(G37:G39))</f>
        <v>70.36706515384617</v>
      </c>
    </row>
    <row r="41" spans="2:7" ht="14.55" customHeight="1" x14ac:dyDescent="0.45"/>
    <row r="42" spans="2:7" ht="14.55" customHeight="1" x14ac:dyDescent="0.45"/>
    <row r="43" spans="2:7" ht="14.55" customHeight="1" x14ac:dyDescent="0.55000000000000004">
      <c r="B43" s="46" t="s">
        <v>918</v>
      </c>
    </row>
    <row r="44" spans="2:7" ht="14.55" customHeight="1" thickBot="1" x14ac:dyDescent="0.5"/>
    <row r="45" spans="2:7" ht="25.05" customHeight="1" x14ac:dyDescent="0.45">
      <c r="B45" s="878" t="s">
        <v>931</v>
      </c>
      <c r="C45" s="879"/>
      <c r="D45" s="865" t="s">
        <v>933</v>
      </c>
      <c r="E45" s="866"/>
      <c r="F45" s="875" t="s">
        <v>934</v>
      </c>
      <c r="G45" s="876"/>
    </row>
    <row r="46" spans="2:7" x14ac:dyDescent="0.45">
      <c r="B46" s="880" t="s">
        <v>930</v>
      </c>
      <c r="C46" s="881"/>
      <c r="D46" s="855">
        <f>IF('1p. Input pleegzorg oud'!G13="","",'1p. Input pleegzorg oud'!G13)</f>
        <v>0.2</v>
      </c>
      <c r="E46" s="856"/>
      <c r="F46" s="871">
        <f>IF(D46="","",24.18)</f>
        <v>24.18</v>
      </c>
      <c r="G46" s="872"/>
    </row>
    <row r="47" spans="2:7" x14ac:dyDescent="0.45">
      <c r="B47" s="859" t="s">
        <v>927</v>
      </c>
      <c r="C47" s="860"/>
      <c r="D47" s="857">
        <f>IF('1p. Input pleegzorg oud'!G14="","",'1p. Input pleegzorg oud'!G14)</f>
        <v>0.2</v>
      </c>
      <c r="E47" s="858"/>
      <c r="F47" s="873">
        <f>IF(D47="","",24.5)</f>
        <v>24.5</v>
      </c>
      <c r="G47" s="874"/>
    </row>
    <row r="48" spans="2:7" x14ac:dyDescent="0.45">
      <c r="B48" s="859" t="s">
        <v>928</v>
      </c>
      <c r="C48" s="860"/>
      <c r="D48" s="857">
        <f>IF('1p. Input pleegzorg oud'!G15="","",'1p. Input pleegzorg oud'!G15)</f>
        <v>0.2</v>
      </c>
      <c r="E48" s="858"/>
      <c r="F48" s="873">
        <f>IF(D48="","",26.68)</f>
        <v>26.68</v>
      </c>
      <c r="G48" s="874"/>
    </row>
    <row r="49" spans="2:7" x14ac:dyDescent="0.45">
      <c r="B49" s="859" t="s">
        <v>929</v>
      </c>
      <c r="C49" s="860"/>
      <c r="D49" s="857">
        <f>IF('1p. Input pleegzorg oud'!G16="","",'1p. Input pleegzorg oud'!G16)</f>
        <v>0.2</v>
      </c>
      <c r="E49" s="858"/>
      <c r="F49" s="873">
        <f>IF(D49="","",29.46)</f>
        <v>29.46</v>
      </c>
      <c r="G49" s="874"/>
    </row>
    <row r="50" spans="2:7" x14ac:dyDescent="0.45">
      <c r="B50" s="859" t="s">
        <v>897</v>
      </c>
      <c r="C50" s="860"/>
      <c r="D50" s="857">
        <f>IF('1p. Input pleegzorg oud'!G17="","",'1p. Input pleegzorg oud'!G17)</f>
        <v>0.2</v>
      </c>
      <c r="E50" s="858"/>
      <c r="F50" s="873">
        <f>IF(D50="","",29.76)</f>
        <v>29.76</v>
      </c>
      <c r="G50" s="874"/>
    </row>
    <row r="51" spans="2:7" ht="14.65" thickBot="1" x14ac:dyDescent="0.5">
      <c r="B51" s="861" t="s">
        <v>935</v>
      </c>
      <c r="C51" s="862"/>
      <c r="D51" s="862"/>
      <c r="E51" s="863"/>
      <c r="F51" s="869">
        <f>IF(SUM(D46:E50)=0,"",SUMPRODUCT(D46:D50,F46:F50))</f>
        <v>26.916000000000004</v>
      </c>
      <c r="G51" s="870"/>
    </row>
    <row r="54" spans="2:7" ht="14.55" customHeight="1" x14ac:dyDescent="0.45"/>
  </sheetData>
  <mergeCells count="52">
    <mergeCell ref="D28:E28"/>
    <mergeCell ref="D45:E45"/>
    <mergeCell ref="C15:D15"/>
    <mergeCell ref="F13:G13"/>
    <mergeCell ref="F51:G51"/>
    <mergeCell ref="F46:G46"/>
    <mergeCell ref="F47:G47"/>
    <mergeCell ref="F48:G48"/>
    <mergeCell ref="F49:G49"/>
    <mergeCell ref="F50:G50"/>
    <mergeCell ref="F28:G28"/>
    <mergeCell ref="F45:G45"/>
    <mergeCell ref="F23:G23"/>
    <mergeCell ref="F20:G20"/>
    <mergeCell ref="B45:C45"/>
    <mergeCell ref="B46:C46"/>
    <mergeCell ref="B47:C47"/>
    <mergeCell ref="B48:C48"/>
    <mergeCell ref="B49:C49"/>
    <mergeCell ref="B50:C50"/>
    <mergeCell ref="B51:E51"/>
    <mergeCell ref="D46:E46"/>
    <mergeCell ref="D47:E47"/>
    <mergeCell ref="D48:E48"/>
    <mergeCell ref="D49:E49"/>
    <mergeCell ref="D50:E50"/>
    <mergeCell ref="F22:G22"/>
    <mergeCell ref="F17:G17"/>
    <mergeCell ref="F18:G18"/>
    <mergeCell ref="F19:G19"/>
    <mergeCell ref="C13:D13"/>
    <mergeCell ref="C19:D19"/>
    <mergeCell ref="C16:D16"/>
    <mergeCell ref="C17:D17"/>
    <mergeCell ref="C18:D18"/>
    <mergeCell ref="F21:G21"/>
    <mergeCell ref="C23:D23"/>
    <mergeCell ref="C5:E5"/>
    <mergeCell ref="C6:E6"/>
    <mergeCell ref="C8:E8"/>
    <mergeCell ref="F5:H5"/>
    <mergeCell ref="F6:H6"/>
    <mergeCell ref="F8:H8"/>
    <mergeCell ref="C7:E7"/>
    <mergeCell ref="F7:H7"/>
    <mergeCell ref="C21:D21"/>
    <mergeCell ref="C22:D22"/>
    <mergeCell ref="C14:D14"/>
    <mergeCell ref="C20:D20"/>
    <mergeCell ref="F14:G14"/>
    <mergeCell ref="F15:G15"/>
    <mergeCell ref="F16:G16"/>
  </mergeCells>
  <conditionalFormatting sqref="C32:C33">
    <cfRule type="expression" dxfId="78" priority="8">
      <formula>C32&lt;&gt;""</formula>
    </cfRule>
  </conditionalFormatting>
  <conditionalFormatting sqref="C16:D19">
    <cfRule type="expression" dxfId="77" priority="18">
      <formula>C16&lt;&gt;""</formula>
    </cfRule>
  </conditionalFormatting>
  <conditionalFormatting sqref="C21:D22">
    <cfRule type="expression" dxfId="76" priority="16">
      <formula>C21&lt;&gt;""</formula>
    </cfRule>
  </conditionalFormatting>
  <conditionalFormatting sqref="D34">
    <cfRule type="expression" dxfId="75" priority="54">
      <formula>D34&lt;&gt;""</formula>
    </cfRule>
  </conditionalFormatting>
  <conditionalFormatting sqref="D36">
    <cfRule type="expression" dxfId="74" priority="53">
      <formula>D36&lt;&gt;""</formula>
    </cfRule>
  </conditionalFormatting>
  <conditionalFormatting sqref="D38:D39">
    <cfRule type="expression" dxfId="73" priority="51">
      <formula>D38&lt;&gt;""</formula>
    </cfRule>
  </conditionalFormatting>
  <conditionalFormatting sqref="D46:D50">
    <cfRule type="expression" dxfId="72" priority="34">
      <formula>D46&lt;&gt;""</formula>
    </cfRule>
  </conditionalFormatting>
  <conditionalFormatting sqref="E20">
    <cfRule type="expression" dxfId="71" priority="23">
      <formula>E20&lt;&gt;""</formula>
    </cfRule>
  </conditionalFormatting>
  <conditionalFormatting sqref="E29:E30">
    <cfRule type="expression" dxfId="70" priority="57">
      <formula>E29&lt;&gt;""</formula>
    </cfRule>
  </conditionalFormatting>
  <conditionalFormatting sqref="E31">
    <cfRule type="expression" dxfId="69" priority="66">
      <formula>E31&lt;&gt;""</formula>
    </cfRule>
  </conditionalFormatting>
  <conditionalFormatting sqref="E35">
    <cfRule type="expression" dxfId="68" priority="64">
      <formula>E35&lt;&gt;""</formula>
    </cfRule>
  </conditionalFormatting>
  <conditionalFormatting sqref="E37">
    <cfRule type="expression" dxfId="67" priority="62">
      <formula>E37&lt;&gt;""</formula>
    </cfRule>
  </conditionalFormatting>
  <conditionalFormatting sqref="E40">
    <cfRule type="expression" dxfId="66" priority="60">
      <formula>E40&lt;&gt;""</formula>
    </cfRule>
  </conditionalFormatting>
  <conditionalFormatting sqref="F34">
    <cfRule type="expression" dxfId="65" priority="42">
      <formula>F34&lt;&gt;""</formula>
    </cfRule>
  </conditionalFormatting>
  <conditionalFormatting sqref="F36">
    <cfRule type="expression" dxfId="64" priority="41">
      <formula>F36&lt;&gt;""</formula>
    </cfRule>
  </conditionalFormatting>
  <conditionalFormatting sqref="F38:F39">
    <cfRule type="expression" dxfId="63" priority="39">
      <formula>F38&lt;&gt;""</formula>
    </cfRule>
  </conditionalFormatting>
  <conditionalFormatting sqref="F46:F50">
    <cfRule type="expression" dxfId="62" priority="2">
      <formula>F46&lt;&gt;""</formula>
    </cfRule>
  </conditionalFormatting>
  <conditionalFormatting sqref="F51">
    <cfRule type="expression" dxfId="61" priority="1">
      <formula>F51&lt;&gt;""</formula>
    </cfRule>
  </conditionalFormatting>
  <conditionalFormatting sqref="F16:G19">
    <cfRule type="expression" dxfId="60" priority="12">
      <formula>F16&lt;&gt;""</formula>
    </cfRule>
  </conditionalFormatting>
  <conditionalFormatting sqref="F21:G22">
    <cfRule type="expression" dxfId="59" priority="7">
      <formula>F21&lt;&gt;""</formula>
    </cfRule>
  </conditionalFormatting>
  <conditionalFormatting sqref="G29:G30">
    <cfRule type="expression" dxfId="58" priority="45">
      <formula>G29&lt;&gt;""</formula>
    </cfRule>
  </conditionalFormatting>
  <conditionalFormatting sqref="G31">
    <cfRule type="expression" dxfId="57" priority="50">
      <formula>G31&lt;&gt;""</formula>
    </cfRule>
  </conditionalFormatting>
  <conditionalFormatting sqref="G35">
    <cfRule type="expression" dxfId="56" priority="49">
      <formula>G35&lt;&gt;""</formula>
    </cfRule>
  </conditionalFormatting>
  <conditionalFormatting sqref="G37">
    <cfRule type="expression" dxfId="55" priority="48">
      <formula>G37&lt;&gt;""</formula>
    </cfRule>
  </conditionalFormatting>
  <conditionalFormatting sqref="G40">
    <cfRule type="expression" dxfId="54" priority="47">
      <formula>G40&lt;&gt;""</formula>
    </cfRule>
  </conditionalFormatting>
  <conditionalFormatting sqref="H20">
    <cfRule type="expression" dxfId="53" priority="22">
      <formula>H20&lt;&gt;""</formula>
    </cfRule>
  </conditionalFormatting>
  <pageMargins left="0.7" right="0.7" top="0.75" bottom="0.75" header="0.3" footer="0.3"/>
  <pageSetup paperSize="9" orientation="portrait" r:id="rId1"/>
  <ignoredErrors>
    <ignoredError sqref="E34:G39"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249977111117893"/>
  </sheetPr>
  <dimension ref="B3:I37"/>
  <sheetViews>
    <sheetView zoomScale="70" zoomScaleNormal="70" workbookViewId="0">
      <selection activeCell="L31" sqref="L31"/>
    </sheetView>
  </sheetViews>
  <sheetFormatPr defaultRowHeight="14.25" x14ac:dyDescent="0.45"/>
  <cols>
    <col min="2" max="2" width="30.59765625" customWidth="1"/>
    <col min="3" max="3" width="16.59765625" customWidth="1"/>
    <col min="4" max="4" width="8.59765625" customWidth="1"/>
    <col min="5" max="5" width="16.59765625" customWidth="1"/>
    <col min="6" max="6" width="8.59765625" customWidth="1"/>
    <col min="7" max="8" width="16.59765625" customWidth="1"/>
    <col min="9" max="11" width="8.73046875" customWidth="1"/>
  </cols>
  <sheetData>
    <row r="3" spans="2:9" ht="18" x14ac:dyDescent="0.55000000000000004">
      <c r="B3" s="46" t="s">
        <v>773</v>
      </c>
    </row>
    <row r="4" spans="2:9" ht="14.65" thickBot="1" x14ac:dyDescent="0.5"/>
    <row r="5" spans="2:9" ht="25.05" customHeight="1" x14ac:dyDescent="0.45">
      <c r="B5" s="253" t="s">
        <v>901</v>
      </c>
      <c r="C5" s="835" t="s">
        <v>902</v>
      </c>
      <c r="D5" s="836"/>
      <c r="E5" s="836"/>
      <c r="F5" s="835" t="s">
        <v>903</v>
      </c>
      <c r="G5" s="836"/>
      <c r="H5" s="841"/>
    </row>
    <row r="6" spans="2:9" ht="25.05" customHeight="1" x14ac:dyDescent="0.45">
      <c r="B6" s="254" t="s">
        <v>946</v>
      </c>
      <c r="C6" s="837">
        <f>IF(SUM(E17:E19)=0,"",SUM(E17:E19))</f>
        <v>19.912602739726029</v>
      </c>
      <c r="D6" s="838"/>
      <c r="E6" s="838"/>
      <c r="F6" s="837">
        <f>IF(SUM(H17:H19)=0,"",SUM(H17:H19))</f>
        <v>65.614791666666676</v>
      </c>
      <c r="G6" s="838"/>
      <c r="H6" s="842"/>
    </row>
    <row r="7" spans="2:9" ht="25.05" customHeight="1" x14ac:dyDescent="0.45">
      <c r="B7" s="255" t="s">
        <v>731</v>
      </c>
      <c r="C7" s="844">
        <f>IF(SUM(E21:E22)=0,"",SUM(E21:E22))</f>
        <v>11.414058956129704</v>
      </c>
      <c r="D7" s="845"/>
      <c r="E7" s="845"/>
      <c r="F7" s="844">
        <f>IF(SUM(H21:H22)=0,"",SUM(H21:H22))</f>
        <v>29.784536591145354</v>
      </c>
      <c r="G7" s="845"/>
      <c r="H7" s="846"/>
    </row>
    <row r="8" spans="2:9" ht="25.05" customHeight="1" thickBot="1" x14ac:dyDescent="0.6">
      <c r="B8" s="252" t="s">
        <v>941</v>
      </c>
      <c r="C8" s="839">
        <f>IF(E23="","",E23)</f>
        <v>54.35266169585573</v>
      </c>
      <c r="D8" s="840"/>
      <c r="E8" s="840"/>
      <c r="F8" s="839">
        <f>IF(H23="","",H23)</f>
        <v>118.8119324244787</v>
      </c>
      <c r="G8" s="840"/>
      <c r="H8" s="843"/>
    </row>
    <row r="9" spans="2:9" ht="25.05" customHeight="1" x14ac:dyDescent="0.45">
      <c r="C9" s="882" t="str">
        <f>HYPERLINK("#'2t. Toelichting output'!B25", "Geef toelichting(en)")</f>
        <v>Geef toelichting(en)</v>
      </c>
      <c r="D9" s="883"/>
      <c r="E9" s="884"/>
    </row>
    <row r="11" spans="2:9" ht="18" x14ac:dyDescent="0.55000000000000004">
      <c r="B11" s="46" t="s">
        <v>61</v>
      </c>
    </row>
    <row r="12" spans="2:9" ht="14.65" thickBot="1" x14ac:dyDescent="0.5">
      <c r="E12" s="217"/>
      <c r="F12" s="217"/>
      <c r="H12" s="217"/>
      <c r="I12" s="217"/>
    </row>
    <row r="13" spans="2:9" ht="25.05" customHeight="1" x14ac:dyDescent="0.45">
      <c r="B13" s="205" t="s">
        <v>901</v>
      </c>
      <c r="C13" s="853" t="s">
        <v>940</v>
      </c>
      <c r="D13" s="854"/>
      <c r="E13" s="229" t="s">
        <v>902</v>
      </c>
      <c r="F13" s="853" t="s">
        <v>957</v>
      </c>
      <c r="G13" s="854"/>
      <c r="H13" s="231" t="s">
        <v>903</v>
      </c>
    </row>
    <row r="14" spans="2:9" x14ac:dyDescent="0.45">
      <c r="B14" s="17" t="s">
        <v>937</v>
      </c>
      <c r="C14" s="849"/>
      <c r="D14" s="850"/>
      <c r="E14" s="235">
        <v>365</v>
      </c>
      <c r="F14" s="849"/>
      <c r="G14" s="850"/>
      <c r="H14" s="236">
        <v>72</v>
      </c>
    </row>
    <row r="15" spans="2:9" x14ac:dyDescent="0.45">
      <c r="B15" s="2" t="s">
        <v>936</v>
      </c>
      <c r="C15" s="867" t="str">
        <f>IF(E15="","",HYPERLINK("#B26", "Zie berekening"))</f>
        <v>Zie berekening</v>
      </c>
      <c r="D15" s="868"/>
      <c r="E15" s="198">
        <f>IF(F34="","",F34)</f>
        <v>21.580000000000002</v>
      </c>
      <c r="F15" s="851">
        <f>IF(H15="","",1)</f>
        <v>1</v>
      </c>
      <c r="G15" s="852"/>
      <c r="H15" s="232">
        <f>IF(E15="","",E15)</f>
        <v>21.580000000000002</v>
      </c>
    </row>
    <row r="16" spans="2:9" ht="14.55" customHeight="1" x14ac:dyDescent="0.45">
      <c r="B16" s="2" t="s">
        <v>898</v>
      </c>
      <c r="C16" s="847" t="str">
        <f>IF(E16="","", "4.82 x " &amp; TEXT('4. Pleegzorg producten'!F7, "0.0%"))</f>
        <v>4.82 x 30.0%</v>
      </c>
      <c r="D16" s="848"/>
      <c r="E16" s="198">
        <f>IF('4. Pleegzorg producten'!F7="","",4.82*'4. Pleegzorg producten'!F7)</f>
        <v>1.446</v>
      </c>
      <c r="F16" s="847" t="str">
        <f>IF(H16="","",
TEXT('4. Pleegzorg producten'!H7, "0.0%") &amp; " x " &amp;E14&amp;" / "&amp;H14&amp;" = "&amp;TEXT('4. Pleegzorg producten'!H7*E14/H14,"0.00")
)</f>
        <v>25.0% x 365 / 72 = 1.27</v>
      </c>
      <c r="G16" s="848"/>
      <c r="H16" s="232">
        <f>IF(OR('4. Pleegzorg producten'!H7="",E16="",E14="",H14="",H14=0),"",E16*'4. Pleegzorg producten'!H7*(E14/H14))</f>
        <v>1.8326041666666666</v>
      </c>
    </row>
    <row r="17" spans="2:9" ht="14.55" customHeight="1" x14ac:dyDescent="0.45">
      <c r="B17" s="2" t="s">
        <v>908</v>
      </c>
      <c r="C17" s="847" t="str">
        <f>IF(E17="","",
     TEXT('4. Pleegzorg producten'!F25,"€ #,##0.00") &amp; " x " &amp; '4. Pleegzorg producten'!F9 &amp; " / " &amp; E14
)</f>
        <v>€ 51.57 x 61 / 365</v>
      </c>
      <c r="D17" s="848"/>
      <c r="E17" s="198">
        <f>IF(OR('4. Pleegzorg producten'!F25="",E14="",'4. Pleegzorg producten'!F9=""),"",
     '4. Pleegzorg producten'!F25*'4. Pleegzorg producten'!F9/E14
)</f>
        <v>8.6185479452054796</v>
      </c>
      <c r="F17" s="847" t="str">
        <f>IF(H17="","",
TEXT('4. Pleegzorg producten'!H9, "0.0%") &amp; " x " &amp;E14&amp;" / "&amp;H14&amp;" = "&amp;TEXT('4. Pleegzorg producten'!H9*E14/H14,"0.00")
)</f>
        <v>65.0% x 365 / 72 = 3.30</v>
      </c>
      <c r="G17" s="848"/>
      <c r="H17" s="232">
        <f>IF(OR('4. Pleegzorg producten'!H9="",E17="",E14="",H14="",H14=0),"",E17*'4. Pleegzorg producten'!H9*(E14/H14))</f>
        <v>28.399312500000004</v>
      </c>
    </row>
    <row r="18" spans="2:9" ht="14.55" customHeight="1" x14ac:dyDescent="0.45">
      <c r="B18" s="2" t="s">
        <v>909</v>
      </c>
      <c r="C18" s="847" t="str">
        <f>IF(E18="","",
     TEXT('4. Pleegzorg producten'!F25,"€ #,##0.00") &amp; " x " &amp; '4. Pleegzorg producten'!F10 &amp; " / " &amp; E14
)</f>
        <v>€ 51.57 x 39 / 365</v>
      </c>
      <c r="D18" s="848"/>
      <c r="E18" s="198">
        <f>IF(OR('4. Pleegzorg producten'!F25="",E14="",'4. Pleegzorg producten'!F10=""),"",
     '4. Pleegzorg producten'!F25*'4. Pleegzorg producten'!F10/E14
)</f>
        <v>5.5102191780821919</v>
      </c>
      <c r="F18" s="847" t="str">
        <f>IF(H18="","",
TEXT('4. Pleegzorg producten'!H10, "0.0%") &amp; " x " &amp;E14&amp;" / "&amp;H14&amp;" = "&amp;TEXT('4. Pleegzorg producten'!H10*E14/H14,"0.00")
)</f>
        <v>65.0% x 365 / 72 = 3.30</v>
      </c>
      <c r="G18" s="848"/>
      <c r="H18" s="232">
        <f>IF(OR('4. Pleegzorg producten'!H10="",E18="",E14="",H14="",H14=0),"",E18*'4. Pleegzorg producten'!H10*(E14/H14))</f>
        <v>18.156937500000002</v>
      </c>
    </row>
    <row r="19" spans="2:9" ht="14.55" customHeight="1" x14ac:dyDescent="0.45">
      <c r="B19" s="2" t="s">
        <v>910</v>
      </c>
      <c r="C19" s="847" t="str">
        <f>IF(E19="","",
     TEXT('4. Pleegzorg producten'!G25,"€ #,##0.00") &amp; " x " &amp; '4. Pleegzorg producten'!F11 &amp; " / " &amp; E14
)</f>
        <v>€ 70.37 x 30 / 365</v>
      </c>
      <c r="D19" s="848"/>
      <c r="E19" s="198">
        <f>IF(OR('4. Pleegzorg producten'!G25="",E14="",'4. Pleegzorg producten'!F11=""),"",
     '4. Pleegzorg producten'!G25*'4. Pleegzorg producten'!F11/E14
)</f>
        <v>5.7838356164383571</v>
      </c>
      <c r="F19" s="847" t="str">
        <f>IF(H19="","",
TEXT('4. Pleegzorg producten'!H11, "0.0%") &amp; " x " &amp;E14&amp;" / "&amp;H14&amp;" = "&amp;TEXT('4. Pleegzorg producten'!H11*E14/H14,"0.00")
)</f>
        <v>65.0% x 365 / 72 = 3.30</v>
      </c>
      <c r="G19" s="848"/>
      <c r="H19" s="232">
        <f>IF(OR('4. Pleegzorg producten'!H11="",E19="",E14="",H14="",H14=0),"",E19*'4. Pleegzorg producten'!H11*(E14/H14))</f>
        <v>19.05854166666667</v>
      </c>
    </row>
    <row r="20" spans="2:9" ht="14.55" customHeight="1" x14ac:dyDescent="0.45">
      <c r="B20" s="193" t="s">
        <v>938</v>
      </c>
      <c r="C20" s="847"/>
      <c r="D20" s="848"/>
      <c r="E20" s="230">
        <f>IF(SUM(E15:E19)=0,"",SUM(E15:E19))</f>
        <v>42.938602739726029</v>
      </c>
      <c r="F20" s="847"/>
      <c r="G20" s="848"/>
      <c r="H20" s="234">
        <f>IF(SUM(H15:H19)=0,"",SUM(H15:H19))</f>
        <v>89.027395833333344</v>
      </c>
    </row>
    <row r="21" spans="2:9" ht="14.55" customHeight="1" x14ac:dyDescent="0.45">
      <c r="B21" s="2" t="s">
        <v>899</v>
      </c>
      <c r="C21" s="847" t="str">
        <f>IF(E21="","",TEXT(E20,"€ #,##0.00") &amp; " / " &amp; TEXT(1-('4. Pleegzorg producten'!F21+'4. Pleegzorg producten'!F23), "0.0%") &amp; " x " &amp; TEXT('4. Pleegzorg producten'!F21, "0.0%"))</f>
        <v>€ 42.94 / 79.0% x 8.0%</v>
      </c>
      <c r="D21" s="848"/>
      <c r="E21" s="198">
        <f>IF(OR('4. Pleegzorg producten'!F21="",E20=""),"",E20/(1-('4. Pleegzorg producten'!F21+'4. Pleegzorg producten'!F23))*('4. Pleegzorg producten'!F21))</f>
        <v>4.3482129356684585</v>
      </c>
      <c r="F21" s="847" t="str">
        <f>IF(H21="","",
E14&amp;" / "&amp;H14&amp;" = "&amp;TEXT(E14/H14,"0.00")
)</f>
        <v>365 / 72 = 5.07</v>
      </c>
      <c r="G21" s="848"/>
      <c r="H21" s="232">
        <f>IF(OR(E14="",H14="",H14=0,E21=""),"", E21*E14/H14)</f>
        <v>22.043023909985934</v>
      </c>
    </row>
    <row r="22" spans="2:9" ht="14.55" customHeight="1" x14ac:dyDescent="0.45">
      <c r="B22" s="2" t="s">
        <v>900</v>
      </c>
      <c r="C22" s="847" t="str">
        <f>IF(E22="","",TEXT(E20,"€ #,##0.00") &amp; " / " &amp; TEXT(1-('4. Pleegzorg producten'!F21+'4. Pleegzorg producten'!F23), "0.0%") &amp; " x " &amp; TEXT('4. Pleegzorg producten'!F23, "0.0%"))</f>
        <v>€ 42.94 / 79.0% x 13.0%</v>
      </c>
      <c r="D22" s="848"/>
      <c r="E22" s="198">
        <f>IF(OR('4. Pleegzorg producten'!F23="",E20=""),"",E20/(1-('4. Pleegzorg producten'!F21+'4. Pleegzorg producten'!F23))*('4. Pleegzorg producten'!F23))</f>
        <v>7.0658460204612448</v>
      </c>
      <c r="F22" s="847" t="str">
        <f>IF(H22="","",
    TEXT(H20,"€ #,##0.00") &amp; " / " &amp;
    TEXT(1-'4. Pleegzorg producten'!G23, "0.0%") &amp; " x " &amp;
    TEXT('4. Pleegzorg producten'!G23, "0.0%") &amp; "**"
)</f>
        <v>€ 89.03 / 92.0% x 8.0%**</v>
      </c>
      <c r="G22" s="848"/>
      <c r="H22" s="233">
        <f>IF(OR(H20="",'4. Pleegzorg producten'!G23=""),"",H20/(1-'4. Pleegzorg producten'!G23)*'4. Pleegzorg producten'!G23)</f>
        <v>7.7415126811594215</v>
      </c>
    </row>
    <row r="23" spans="2:9" ht="25.05" customHeight="1" thickBot="1" x14ac:dyDescent="0.55000000000000004">
      <c r="B23" s="251" t="s">
        <v>941</v>
      </c>
      <c r="C23" s="833"/>
      <c r="D23" s="834"/>
      <c r="E23" s="248">
        <f>IF(SUM(E20:E22)=0,"",SUM(E20:E22))</f>
        <v>54.35266169585573</v>
      </c>
      <c r="F23" s="833"/>
      <c r="G23" s="877"/>
      <c r="H23" s="249">
        <f>IF(SUM(H20:H22)=0,"",SUM(H20:H22))</f>
        <v>118.8119324244787</v>
      </c>
    </row>
    <row r="24" spans="2:9" ht="14.55" customHeight="1" x14ac:dyDescent="0.45">
      <c r="E24" s="216"/>
      <c r="I24" s="265" t="s">
        <v>958</v>
      </c>
    </row>
    <row r="25" spans="2:9" ht="14.55" customHeight="1" x14ac:dyDescent="0.45">
      <c r="I25" s="95" t="s">
        <v>959</v>
      </c>
    </row>
    <row r="26" spans="2:9" ht="14.55" customHeight="1" x14ac:dyDescent="0.55000000000000004">
      <c r="B26" s="46" t="s">
        <v>918</v>
      </c>
    </row>
    <row r="27" spans="2:9" ht="14.55" customHeight="1" thickBot="1" x14ac:dyDescent="0.5"/>
    <row r="28" spans="2:9" ht="25.05" customHeight="1" x14ac:dyDescent="0.45">
      <c r="B28" s="878" t="s">
        <v>931</v>
      </c>
      <c r="C28" s="879"/>
      <c r="D28" s="865" t="s">
        <v>933</v>
      </c>
      <c r="E28" s="866"/>
      <c r="F28" s="875" t="s">
        <v>934</v>
      </c>
      <c r="G28" s="876"/>
    </row>
    <row r="29" spans="2:9" x14ac:dyDescent="0.45">
      <c r="B29" s="880" t="s">
        <v>930</v>
      </c>
      <c r="C29" s="881"/>
      <c r="D29" s="855">
        <f>IF('4. Pleegzorg producten'!F13="","",'4. Pleegzorg producten'!F13)</f>
        <v>0.2</v>
      </c>
      <c r="E29" s="856"/>
      <c r="F29" s="871">
        <f>IF(D29="","",24.18)</f>
        <v>24.18</v>
      </c>
      <c r="G29" s="872"/>
    </row>
    <row r="30" spans="2:9" x14ac:dyDescent="0.45">
      <c r="B30" s="859" t="s">
        <v>927</v>
      </c>
      <c r="C30" s="860"/>
      <c r="D30" s="857">
        <f>IF('4. Pleegzorg producten'!F14="","",'4. Pleegzorg producten'!F14)</f>
        <v>0.2</v>
      </c>
      <c r="E30" s="858"/>
      <c r="F30" s="873">
        <f>IF(D30="","",24.5)</f>
        <v>24.5</v>
      </c>
      <c r="G30" s="874"/>
    </row>
    <row r="31" spans="2:9" x14ac:dyDescent="0.45">
      <c r="B31" s="859" t="s">
        <v>928</v>
      </c>
      <c r="C31" s="860"/>
      <c r="D31" s="857" t="str">
        <f>IF('4. Pleegzorg producten'!F15="","",'4. Pleegzorg producten'!F15)</f>
        <v/>
      </c>
      <c r="E31" s="858"/>
      <c r="F31" s="873" t="str">
        <f>IF(D31="","",26.68)</f>
        <v/>
      </c>
      <c r="G31" s="874"/>
    </row>
    <row r="32" spans="2:9" x14ac:dyDescent="0.45">
      <c r="B32" s="859" t="s">
        <v>929</v>
      </c>
      <c r="C32" s="860"/>
      <c r="D32" s="857">
        <f>IF('4. Pleegzorg producten'!F16="","",'4. Pleegzorg producten'!F16)</f>
        <v>0.2</v>
      </c>
      <c r="E32" s="858"/>
      <c r="F32" s="873">
        <f>IF(D32="","",29.46)</f>
        <v>29.46</v>
      </c>
      <c r="G32" s="874"/>
    </row>
    <row r="33" spans="2:7" x14ac:dyDescent="0.45">
      <c r="B33" s="859" t="s">
        <v>897</v>
      </c>
      <c r="C33" s="860"/>
      <c r="D33" s="857">
        <f>IF('4. Pleegzorg producten'!F17="","",'4. Pleegzorg producten'!F17)</f>
        <v>0.2</v>
      </c>
      <c r="E33" s="858"/>
      <c r="F33" s="873">
        <f>IF(D33="","",29.76)</f>
        <v>29.76</v>
      </c>
      <c r="G33" s="874"/>
    </row>
    <row r="34" spans="2:7" ht="14.65" thickBot="1" x14ac:dyDescent="0.5">
      <c r="B34" s="861" t="s">
        <v>935</v>
      </c>
      <c r="C34" s="862"/>
      <c r="D34" s="862"/>
      <c r="E34" s="863"/>
      <c r="F34" s="869">
        <f>IF(SUM(D29:E33)=0,"",SUMPRODUCT(D29:D33,F29:F33))</f>
        <v>21.580000000000002</v>
      </c>
      <c r="G34" s="870"/>
    </row>
    <row r="37" spans="2:7" ht="14.55" customHeight="1" x14ac:dyDescent="0.45"/>
  </sheetData>
  <mergeCells count="51">
    <mergeCell ref="C5:E5"/>
    <mergeCell ref="F5:H5"/>
    <mergeCell ref="C6:E6"/>
    <mergeCell ref="F6:H6"/>
    <mergeCell ref="C7:E7"/>
    <mergeCell ref="F7:H7"/>
    <mergeCell ref="C8:E8"/>
    <mergeCell ref="F8:H8"/>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D28:E28"/>
    <mergeCell ref="F28:G28"/>
    <mergeCell ref="B29:C29"/>
    <mergeCell ref="D29:E29"/>
    <mergeCell ref="F29:G29"/>
    <mergeCell ref="B34:E34"/>
    <mergeCell ref="F34:G34"/>
    <mergeCell ref="C9:E9"/>
    <mergeCell ref="B32:C32"/>
    <mergeCell ref="D32:E32"/>
    <mergeCell ref="F32:G32"/>
    <mergeCell ref="B33:C33"/>
    <mergeCell ref="D33:E33"/>
    <mergeCell ref="F33:G33"/>
    <mergeCell ref="B30:C30"/>
    <mergeCell ref="D30:E30"/>
    <mergeCell ref="F30:G30"/>
    <mergeCell ref="B31:C31"/>
    <mergeCell ref="D31:E31"/>
    <mergeCell ref="F31:G31"/>
    <mergeCell ref="B28:C28"/>
  </mergeCells>
  <conditionalFormatting sqref="C16:D19">
    <cfRule type="expression" dxfId="52" priority="17">
      <formula>C16&lt;&gt;""</formula>
    </cfRule>
  </conditionalFormatting>
  <conditionalFormatting sqref="C21:D22">
    <cfRule type="expression" dxfId="51" priority="15">
      <formula>C21&lt;&gt;""</formula>
    </cfRule>
  </conditionalFormatting>
  <conditionalFormatting sqref="D29:D33">
    <cfRule type="expression" dxfId="50" priority="23">
      <formula>D29&lt;&gt;""</formula>
    </cfRule>
  </conditionalFormatting>
  <conditionalFormatting sqref="E20">
    <cfRule type="expression" dxfId="49" priority="22">
      <formula>E20&lt;&gt;""</formula>
    </cfRule>
  </conditionalFormatting>
  <conditionalFormatting sqref="F29:F33">
    <cfRule type="expression" dxfId="48" priority="2">
      <formula>F29&lt;&gt;""</formula>
    </cfRule>
  </conditionalFormatting>
  <conditionalFormatting sqref="F34">
    <cfRule type="expression" dxfId="47" priority="1">
      <formula>F34&lt;&gt;""</formula>
    </cfRule>
  </conditionalFormatting>
  <conditionalFormatting sqref="F16:G19">
    <cfRule type="expression" dxfId="46" priority="11">
      <formula>F16&lt;&gt;""</formula>
    </cfRule>
  </conditionalFormatting>
  <conditionalFormatting sqref="F21:G22">
    <cfRule type="expression" dxfId="45" priority="7">
      <formula>F21&lt;&gt;""</formula>
    </cfRule>
  </conditionalFormatting>
  <conditionalFormatting sqref="H20">
    <cfRule type="expression" dxfId="44" priority="21">
      <formula>H20&lt;&gt;""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autoPageBreaks="0"/>
  </sheetPr>
  <dimension ref="A1:AZ200"/>
  <sheetViews>
    <sheetView topLeftCell="B1" zoomScale="69" zoomScaleNormal="69" workbookViewId="0">
      <selection activeCell="F15" sqref="F15"/>
    </sheetView>
  </sheetViews>
  <sheetFormatPr defaultRowHeight="14.25" x14ac:dyDescent="0.45"/>
  <cols>
    <col min="1" max="1" width="15.59765625" customWidth="1"/>
    <col min="2" max="2" width="30.59765625" customWidth="1"/>
    <col min="3" max="3" width="24.59765625" customWidth="1"/>
    <col min="4" max="4" width="15.59765625" customWidth="1"/>
    <col min="5" max="5" width="38.59765625" customWidth="1"/>
    <col min="6" max="7" width="26.59765625" customWidth="1"/>
    <col min="8" max="8" width="10.59765625" customWidth="1"/>
    <col min="9" max="9" width="25.59765625" customWidth="1"/>
    <col min="10" max="10" width="36.59765625" customWidth="1"/>
    <col min="11" max="11" width="16.59765625" customWidth="1"/>
    <col min="12" max="12" width="8.59765625" customWidth="1"/>
    <col min="13" max="13" width="16.59765625" customWidth="1"/>
    <col min="15" max="16" width="16.59765625" customWidth="1"/>
  </cols>
  <sheetData>
    <row r="1" spans="1:52" x14ac:dyDescent="0.45">
      <c r="A1" s="289"/>
      <c r="B1" s="289"/>
      <c r="C1" s="289"/>
      <c r="D1" s="289"/>
      <c r="E1" s="289"/>
      <c r="F1" s="746" t="s">
        <v>780</v>
      </c>
      <c r="G1" s="770" t="s">
        <v>1079</v>
      </c>
      <c r="H1" s="293"/>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14.55" customHeight="1" x14ac:dyDescent="0.45">
      <c r="A2" s="289"/>
      <c r="B2" s="289"/>
      <c r="C2" s="289"/>
      <c r="D2" s="289"/>
      <c r="E2" s="289"/>
      <c r="F2" s="746"/>
      <c r="G2" s="770"/>
      <c r="H2" s="293"/>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14.55" customHeight="1" x14ac:dyDescent="0.55000000000000004">
      <c r="A3" s="289"/>
      <c r="B3" s="289"/>
      <c r="C3" s="289"/>
      <c r="D3" s="289"/>
      <c r="E3" s="289"/>
      <c r="F3" s="746"/>
      <c r="G3" s="770"/>
      <c r="H3" s="293"/>
      <c r="I3" s="336" t="s">
        <v>990</v>
      </c>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14.55" customHeight="1" x14ac:dyDescent="0.45">
      <c r="A4" s="289"/>
      <c r="B4" s="749" t="s">
        <v>967</v>
      </c>
      <c r="C4" s="749"/>
      <c r="D4" s="289"/>
      <c r="E4" s="749" t="s">
        <v>968</v>
      </c>
      <c r="F4" s="749"/>
      <c r="G4" s="749"/>
      <c r="H4" s="749"/>
      <c r="I4" s="289"/>
      <c r="J4" s="907" t="s">
        <v>969</v>
      </c>
      <c r="K4" s="907"/>
      <c r="L4" s="907"/>
      <c r="M4" s="907"/>
      <c r="N4" s="907"/>
      <c r="O4" s="907"/>
      <c r="P4" s="907"/>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14.55" customHeight="1" thickBot="1" x14ac:dyDescent="0.5">
      <c r="A5" s="289"/>
      <c r="B5" s="750"/>
      <c r="C5" s="750"/>
      <c r="D5" s="289"/>
      <c r="E5" s="749"/>
      <c r="F5" s="749"/>
      <c r="G5" s="749"/>
      <c r="H5" s="749"/>
      <c r="I5" s="289"/>
      <c r="J5" s="908"/>
      <c r="K5" s="908"/>
      <c r="L5" s="908"/>
      <c r="M5" s="908"/>
      <c r="N5" s="908"/>
      <c r="O5" s="908"/>
      <c r="P5" s="908"/>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14.55" customHeight="1" thickBot="1" x14ac:dyDescent="0.5">
      <c r="A6" s="289"/>
      <c r="B6" s="14" t="s">
        <v>14</v>
      </c>
      <c r="C6" s="178"/>
      <c r="D6" s="289"/>
      <c r="E6" s="542" t="s">
        <v>898</v>
      </c>
      <c r="F6" s="505"/>
      <c r="G6" s="294"/>
      <c r="H6" s="403" t="s">
        <v>912</v>
      </c>
      <c r="I6" s="289"/>
      <c r="J6" s="205" t="s">
        <v>901</v>
      </c>
      <c r="K6" s="835" t="s">
        <v>902</v>
      </c>
      <c r="L6" s="836"/>
      <c r="M6" s="836"/>
      <c r="N6" s="835" t="s">
        <v>903</v>
      </c>
      <c r="O6" s="836"/>
      <c r="P6" s="841"/>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ht="14.55" customHeight="1" thickBot="1" x14ac:dyDescent="0.55000000000000004">
      <c r="A7" s="289"/>
      <c r="B7" s="22" t="s">
        <v>11</v>
      </c>
      <c r="C7" s="599" t="s">
        <v>1888</v>
      </c>
      <c r="D7" s="289"/>
      <c r="E7" s="541" t="s">
        <v>911</v>
      </c>
      <c r="F7" s="643">
        <v>0.3</v>
      </c>
      <c r="G7" s="294"/>
      <c r="H7" s="644">
        <v>0.25</v>
      </c>
      <c r="I7" s="290" t="s">
        <v>780</v>
      </c>
      <c r="J7" s="389" t="s">
        <v>946</v>
      </c>
      <c r="K7" s="895" t="str">
        <f>IF(SUM(M20:M22)=0,"",SUM(M20:M22))</f>
        <v/>
      </c>
      <c r="L7" s="896"/>
      <c r="M7" s="896"/>
      <c r="N7" s="895" t="str">
        <f>IF(SUM(P20:P22)=0,"",SUM(P20:P22))</f>
        <v/>
      </c>
      <c r="O7" s="896"/>
      <c r="P7" s="897"/>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14.55" customHeight="1" thickBot="1" x14ac:dyDescent="0.5">
      <c r="A8" s="289"/>
      <c r="B8" s="23" t="s">
        <v>12</v>
      </c>
      <c r="C8" s="600" t="s">
        <v>2</v>
      </c>
      <c r="D8" s="339"/>
      <c r="E8" s="542" t="s">
        <v>913</v>
      </c>
      <c r="F8" s="519"/>
      <c r="G8" s="885" t="s">
        <v>944</v>
      </c>
      <c r="H8" s="520"/>
      <c r="I8" s="289"/>
      <c r="J8" s="384" t="s">
        <v>731</v>
      </c>
      <c r="K8" s="898" t="str">
        <f>IF(SUM(M24:M25)=0,"",SUM(M24:M25))</f>
        <v/>
      </c>
      <c r="L8" s="899"/>
      <c r="M8" s="899"/>
      <c r="N8" s="898" t="str">
        <f>IF(SUM(P24:P25)=0,"",SUM(P24:P25))</f>
        <v/>
      </c>
      <c r="O8" s="899"/>
      <c r="P8" s="900"/>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ht="14.55" customHeight="1" thickBot="1" x14ac:dyDescent="0.55000000000000004">
      <c r="A9" s="289"/>
      <c r="B9" s="23" t="s">
        <v>13</v>
      </c>
      <c r="C9" s="408">
        <f>Initialisatie!C5</f>
        <v>2026</v>
      </c>
      <c r="D9" s="289"/>
      <c r="E9" s="539" t="s">
        <v>908</v>
      </c>
      <c r="F9" s="601">
        <v>61</v>
      </c>
      <c r="G9" s="885"/>
      <c r="H9" s="645">
        <v>0.65</v>
      </c>
      <c r="I9" s="290" t="s">
        <v>780</v>
      </c>
      <c r="J9" s="206" t="s">
        <v>973</v>
      </c>
      <c r="K9" s="886" t="str">
        <f>IF(M26="","",M26)</f>
        <v/>
      </c>
      <c r="L9" s="887"/>
      <c r="M9" s="887"/>
      <c r="N9" s="886" t="str">
        <f>IF(P26="","",P26)</f>
        <v/>
      </c>
      <c r="O9" s="887"/>
      <c r="P9" s="894"/>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t="14.55" customHeight="1" thickBot="1" x14ac:dyDescent="0.55000000000000004">
      <c r="A10" s="289"/>
      <c r="B10" s="14" t="s">
        <v>759</v>
      </c>
      <c r="C10" s="178"/>
      <c r="D10" s="289"/>
      <c r="E10" s="540" t="s">
        <v>909</v>
      </c>
      <c r="F10" s="602">
        <v>39</v>
      </c>
      <c r="G10" s="885"/>
      <c r="H10" s="646">
        <v>0.65</v>
      </c>
      <c r="I10" s="290" t="s">
        <v>780</v>
      </c>
      <c r="J10" s="289"/>
      <c r="K10" s="311"/>
      <c r="L10" s="311"/>
      <c r="M10" s="311"/>
      <c r="N10" s="322"/>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14.55" customHeight="1" thickBot="1" x14ac:dyDescent="0.55000000000000004">
      <c r="A11" s="289"/>
      <c r="B11" s="1" t="s">
        <v>23</v>
      </c>
      <c r="C11" s="601"/>
      <c r="D11" s="289"/>
      <c r="E11" s="541" t="s">
        <v>910</v>
      </c>
      <c r="F11" s="604">
        <v>30</v>
      </c>
      <c r="G11" s="418"/>
      <c r="H11" s="647">
        <v>0.65</v>
      </c>
      <c r="I11" s="290" t="s">
        <v>780</v>
      </c>
      <c r="J11" s="289"/>
      <c r="K11" s="313"/>
      <c r="L11" s="313"/>
      <c r="M11" s="313"/>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ht="14.55" customHeight="1" thickBot="1" x14ac:dyDescent="0.5">
      <c r="A12" s="289"/>
      <c r="B12" s="2" t="s">
        <v>760</v>
      </c>
      <c r="C12" s="602"/>
      <c r="D12" s="289"/>
      <c r="E12" s="542" t="s">
        <v>932</v>
      </c>
      <c r="F12" s="505"/>
      <c r="G12" s="294"/>
      <c r="H12" s="294"/>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ht="14.55" customHeight="1" x14ac:dyDescent="0.45">
      <c r="A13" s="289"/>
      <c r="B13" s="2" t="s">
        <v>761</v>
      </c>
      <c r="C13" s="603"/>
      <c r="D13" s="289"/>
      <c r="E13" s="540" t="s">
        <v>930</v>
      </c>
      <c r="F13" s="648">
        <v>0.2</v>
      </c>
      <c r="G13" s="517" t="s">
        <v>780</v>
      </c>
      <c r="H13" s="294"/>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14.55" customHeight="1" thickBot="1" x14ac:dyDescent="0.5">
      <c r="A14" s="289"/>
      <c r="B14" s="3" t="s">
        <v>762</v>
      </c>
      <c r="C14" s="604"/>
      <c r="D14" s="289"/>
      <c r="E14" s="540" t="s">
        <v>927</v>
      </c>
      <c r="F14" s="649">
        <v>0.2</v>
      </c>
      <c r="G14" s="517" t="s">
        <v>780</v>
      </c>
      <c r="H14" s="294"/>
      <c r="I14" s="289"/>
      <c r="J14" s="907" t="s">
        <v>1893</v>
      </c>
      <c r="K14" s="907"/>
      <c r="L14" s="907"/>
      <c r="M14" s="907"/>
      <c r="N14" s="907"/>
      <c r="O14" s="907"/>
      <c r="P14" s="907"/>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ht="14.55" customHeight="1" thickBot="1" x14ac:dyDescent="0.5">
      <c r="A15" s="289"/>
      <c r="B15" s="289"/>
      <c r="C15" s="289"/>
      <c r="D15" s="289"/>
      <c r="E15" s="540" t="s">
        <v>928</v>
      </c>
      <c r="F15" s="649"/>
      <c r="G15" s="517" t="s">
        <v>780</v>
      </c>
      <c r="H15" s="294"/>
      <c r="I15" s="289"/>
      <c r="J15" s="908"/>
      <c r="K15" s="908"/>
      <c r="L15" s="908"/>
      <c r="M15" s="908"/>
      <c r="N15" s="908"/>
      <c r="O15" s="908"/>
      <c r="P15" s="908"/>
      <c r="Q15" s="343"/>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ht="14.55" customHeight="1" x14ac:dyDescent="0.45">
      <c r="A16" s="289"/>
      <c r="B16" s="289"/>
      <c r="C16" s="289"/>
      <c r="D16" s="289"/>
      <c r="E16" s="540" t="s">
        <v>929</v>
      </c>
      <c r="F16" s="649">
        <v>0.2</v>
      </c>
      <c r="G16" s="517" t="s">
        <v>780</v>
      </c>
      <c r="H16" s="294"/>
      <c r="I16" s="289"/>
      <c r="J16" s="205" t="s">
        <v>901</v>
      </c>
      <c r="K16" s="888" t="s">
        <v>940</v>
      </c>
      <c r="L16" s="889"/>
      <c r="M16" s="229" t="s">
        <v>902</v>
      </c>
      <c r="N16" s="888" t="s">
        <v>957</v>
      </c>
      <c r="O16" s="889"/>
      <c r="P16" s="231" t="s">
        <v>903</v>
      </c>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ht="14.55" customHeight="1" thickBot="1" x14ac:dyDescent="0.5">
      <c r="A17" s="289"/>
      <c r="B17" s="289"/>
      <c r="C17" s="289"/>
      <c r="D17" s="289"/>
      <c r="E17" s="541" t="s">
        <v>897</v>
      </c>
      <c r="F17" s="643">
        <v>0.2</v>
      </c>
      <c r="G17" s="517" t="s">
        <v>780</v>
      </c>
      <c r="H17" s="294"/>
      <c r="I17" s="289"/>
      <c r="J17" s="521" t="s">
        <v>937</v>
      </c>
      <c r="K17" s="901"/>
      <c r="L17" s="902"/>
      <c r="M17" s="526">
        <v>365</v>
      </c>
      <c r="N17" s="901"/>
      <c r="O17" s="902"/>
      <c r="P17" s="527">
        <f>IF(F19="","",F19)</f>
        <v>72</v>
      </c>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ht="14.55" customHeight="1" thickBot="1" x14ac:dyDescent="0.5">
      <c r="A18" s="289"/>
      <c r="B18" s="289"/>
      <c r="C18" s="289"/>
      <c r="D18" s="289"/>
      <c r="E18" s="542" t="s">
        <v>1082</v>
      </c>
      <c r="F18" s="505"/>
      <c r="G18" s="294"/>
      <c r="H18" s="294"/>
      <c r="I18" s="289"/>
      <c r="J18" s="384" t="s">
        <v>936</v>
      </c>
      <c r="K18" s="903" t="s">
        <v>991</v>
      </c>
      <c r="L18" s="904"/>
      <c r="M18" s="523" t="str">
        <f>IF(OR(F100&lt;&gt;TRUE,N38=""),"",N38)</f>
        <v/>
      </c>
      <c r="N18" s="905" t="str">
        <f>IF(P18="","",1)</f>
        <v/>
      </c>
      <c r="O18" s="906"/>
      <c r="P18" s="528" t="str">
        <f>IF(M18="","",M18)</f>
        <v/>
      </c>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t="14.55" customHeight="1" thickBot="1" x14ac:dyDescent="0.5">
      <c r="A19" s="289"/>
      <c r="B19" s="289"/>
      <c r="C19" s="289"/>
      <c r="D19" s="289"/>
      <c r="E19" s="551" t="s">
        <v>1083</v>
      </c>
      <c r="F19" s="650">
        <v>72</v>
      </c>
      <c r="G19" s="517" t="s">
        <v>780</v>
      </c>
      <c r="H19" s="294"/>
      <c r="I19" s="289"/>
      <c r="J19" s="384" t="s">
        <v>898</v>
      </c>
      <c r="K19" s="890" t="str">
        <f>IF(M19="","", "4.82 x " &amp; TEXT(F7, "0.0%"))</f>
        <v/>
      </c>
      <c r="L19" s="891"/>
      <c r="M19" s="523" t="str">
        <f>IF(OR(F100&lt;&gt;TRUE,F7=""),"",4.82*F7)</f>
        <v/>
      </c>
      <c r="N19" s="890" t="str">
        <f>IF(P19="","",
TEXT(H7, "0.0%") &amp; " x " &amp;M17&amp;" / "&amp;P17&amp;" = "&amp;TEXT(H7*M17/P17,"0.00")
)</f>
        <v/>
      </c>
      <c r="O19" s="891"/>
      <c r="P19" s="528" t="str">
        <f>IF(OR(H7="",M19="",M17="",P17="",P17=0),"",M19*H7*(M17/P17))</f>
        <v/>
      </c>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ht="14.55" customHeight="1" thickBot="1" x14ac:dyDescent="0.5">
      <c r="A20" s="289"/>
      <c r="B20" s="289"/>
      <c r="C20" s="289"/>
      <c r="D20" s="289"/>
      <c r="E20" s="542" t="s">
        <v>906</v>
      </c>
      <c r="F20" s="505"/>
      <c r="G20" s="294"/>
      <c r="H20" s="294"/>
      <c r="I20" s="289"/>
      <c r="J20" s="384" t="s">
        <v>908</v>
      </c>
      <c r="K20" s="890" t="str">
        <f>IF(M20="","",
     TEXT(F25,"€ #,##0.00") &amp; " x " &amp; F9 &amp; " / " &amp; M17
)</f>
        <v/>
      </c>
      <c r="L20" s="891"/>
      <c r="M20" s="523" t="str">
        <f>IF(OR(F100&lt;&gt;TRUE,F25="",M17="",F9=""),"",
     F25*F9/M17
)</f>
        <v/>
      </c>
      <c r="N20" s="890" t="str">
        <f>IF(P20="","",
TEXT(H9, "0.0%") &amp; " x " &amp;M17&amp;" / "&amp;P17&amp;" = "&amp;TEXT(H9*M17/P17,"0.00")
)</f>
        <v/>
      </c>
      <c r="O20" s="891"/>
      <c r="P20" s="528" t="str">
        <f>IF(OR(H9="",M20="",M17="",P17="",P17=0),"",M20*H9*(M17/P17))</f>
        <v/>
      </c>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ht="14.55" customHeight="1" thickBot="1" x14ac:dyDescent="0.5">
      <c r="A21" s="289"/>
      <c r="B21" s="289"/>
      <c r="C21" s="289"/>
      <c r="D21" s="289"/>
      <c r="E21" s="541" t="s">
        <v>899</v>
      </c>
      <c r="F21" s="651">
        <v>0.08</v>
      </c>
      <c r="G21" s="517" t="s">
        <v>780</v>
      </c>
      <c r="H21" s="294"/>
      <c r="I21" s="289"/>
      <c r="J21" s="384" t="s">
        <v>909</v>
      </c>
      <c r="K21" s="890" t="str">
        <f>IF(M21="","",
     TEXT(F25,"€ #,##0.00") &amp; " x " &amp; F10 &amp; " / " &amp; M17
)</f>
        <v/>
      </c>
      <c r="L21" s="891"/>
      <c r="M21" s="523" t="str">
        <f>IF(OR(F100&lt;&gt;TRUE,F25="",M17="",F10=""),"",
    F25*F10/M17
)</f>
        <v/>
      </c>
      <c r="N21" s="890" t="str">
        <f>IF(P21="","",
TEXT(H10, "0.0%") &amp; " x " &amp;M17&amp;" / "&amp;P17&amp;" = "&amp;TEXT(H10*M17/P17,"0.00")
)</f>
        <v/>
      </c>
      <c r="O21" s="891"/>
      <c r="P21" s="528" t="str">
        <f>IF(OR(H10="",M21="",M17="",P17="",P17=0),"",M21*H10*(M17/P17))</f>
        <v/>
      </c>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ht="14.55" customHeight="1" thickBot="1" x14ac:dyDescent="0.5">
      <c r="A22" s="289"/>
      <c r="B22" s="289"/>
      <c r="C22" s="289"/>
      <c r="D22" s="289"/>
      <c r="E22" s="542"/>
      <c r="F22" s="518" t="s">
        <v>902</v>
      </c>
      <c r="G22" s="516" t="s">
        <v>903</v>
      </c>
      <c r="H22" s="294"/>
      <c r="I22" s="289"/>
      <c r="J22" s="384" t="s">
        <v>910</v>
      </c>
      <c r="K22" s="890" t="str">
        <f>IF(M22="","",
     TEXT(G25,"€ #,##0.00") &amp; " x " &amp; F11 &amp; " / " &amp; M17
)</f>
        <v/>
      </c>
      <c r="L22" s="891"/>
      <c r="M22" s="523" t="str">
        <f>IF(OR(F100&lt;&gt;TRUE,G25="",M17="",F11=""),"",
     G25*F11/M17
)</f>
        <v/>
      </c>
      <c r="N22" s="890" t="str">
        <f>IF(P22="","",
TEXT(H11, "0.0%") &amp; " x " &amp;M17&amp;" / "&amp;P17&amp;" = "&amp;TEXT(H11*M17/P17,"0.00")
)</f>
        <v/>
      </c>
      <c r="O22" s="891"/>
      <c r="P22" s="528" t="str">
        <f>IF(OR(H11="",M22="",M17="",P17="",P17=0),"",M22*H11*(M17/P17))</f>
        <v/>
      </c>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ht="14.55" customHeight="1" thickBot="1" x14ac:dyDescent="0.5">
      <c r="A23" s="289"/>
      <c r="B23" s="289"/>
      <c r="C23" s="289"/>
      <c r="D23" s="289"/>
      <c r="E23" s="541" t="s">
        <v>900</v>
      </c>
      <c r="F23" s="652">
        <v>0.13</v>
      </c>
      <c r="G23" s="643">
        <v>0.08</v>
      </c>
      <c r="H23" s="517" t="s">
        <v>780</v>
      </c>
      <c r="I23" s="289"/>
      <c r="J23" s="522" t="s">
        <v>938</v>
      </c>
      <c r="K23" s="890"/>
      <c r="L23" s="891"/>
      <c r="M23" s="524" t="str">
        <f>IF(SUM(M18:M22)=0,"",SUM(M18:M22))</f>
        <v/>
      </c>
      <c r="N23" s="890"/>
      <c r="O23" s="891"/>
      <c r="P23" s="529" t="str">
        <f>IF(SUM(P18:P22)=0,"",SUM(P18:P22))</f>
        <v/>
      </c>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ht="14.55" customHeight="1" thickBot="1" x14ac:dyDescent="0.5">
      <c r="A24" s="289"/>
      <c r="B24" s="289"/>
      <c r="C24" s="289"/>
      <c r="D24" s="289"/>
      <c r="E24" s="542" t="s">
        <v>949</v>
      </c>
      <c r="F24" s="518" t="s">
        <v>896</v>
      </c>
      <c r="G24" s="516" t="s">
        <v>915</v>
      </c>
      <c r="H24" s="294"/>
      <c r="I24" s="289"/>
      <c r="J24" s="384" t="s">
        <v>899</v>
      </c>
      <c r="K24" s="890" t="str">
        <f>IF(M24="","",TEXT(M23,"€ #,##0.00") &amp; " x " &amp; TEXT(F21, "0.0%"))</f>
        <v/>
      </c>
      <c r="L24" s="891"/>
      <c r="M24" s="523" t="str">
        <f>IF(OR(F21="",M23=""),"",M23*F21)</f>
        <v/>
      </c>
      <c r="N24" s="890" t="str">
        <f>IF(P24="","",
M17&amp;" / "&amp;P17&amp;" = "&amp;TEXT(M17/P17,"0.00")
)</f>
        <v/>
      </c>
      <c r="O24" s="891"/>
      <c r="P24" s="528" t="str">
        <f>IF(OR(M17="",P17="",P17=0,M24=""),"", M24*(M17/P17))</f>
        <v/>
      </c>
      <c r="Q24" s="289"/>
      <c r="R24" s="345"/>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14.55" customHeight="1" thickBot="1" x14ac:dyDescent="0.5">
      <c r="A25" s="289"/>
      <c r="B25" s="289"/>
      <c r="C25" s="289"/>
      <c r="D25" s="289"/>
      <c r="E25" s="552" t="s">
        <v>950</v>
      </c>
      <c r="F25" s="653">
        <v>51.57</v>
      </c>
      <c r="G25" s="654">
        <v>70.37</v>
      </c>
      <c r="H25" s="517" t="s">
        <v>780</v>
      </c>
      <c r="I25" s="289"/>
      <c r="J25" s="384" t="s">
        <v>900</v>
      </c>
      <c r="K25" s="892" t="str">
        <f>IF(M25="","",TEXT(M23,"€ #,##0.00")  &amp; " x " &amp; TEXT(F23, "0.0%"))</f>
        <v/>
      </c>
      <c r="L25" s="893"/>
      <c r="M25" s="523" t="str">
        <f>IF(OR(F23="",M23=""),"",M23*F23)</f>
        <v/>
      </c>
      <c r="N25" s="892" t="str">
        <f>IF(P25="","",
    TEXT(P23,"€ #,##0.00") &amp; " x " &amp;
    TEXT(G23, "0.0%") &amp; "**"
)</f>
        <v/>
      </c>
      <c r="O25" s="893"/>
      <c r="P25" s="530" t="str">
        <f>IF(OR(P23="",G23=""),"",P23*G23)</f>
        <v/>
      </c>
      <c r="Q25" s="294" t="s">
        <v>1909</v>
      </c>
      <c r="R25" s="304"/>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ht="14.55" customHeight="1" thickBot="1" x14ac:dyDescent="0.5">
      <c r="A26" s="289"/>
      <c r="B26" s="289"/>
      <c r="C26" s="289"/>
      <c r="D26" s="289"/>
      <c r="E26" s="289"/>
      <c r="F26" s="289"/>
      <c r="G26" s="289"/>
      <c r="H26" s="289"/>
      <c r="I26" s="289"/>
      <c r="J26" s="206" t="s">
        <v>973</v>
      </c>
      <c r="K26" s="932"/>
      <c r="L26" s="929"/>
      <c r="M26" s="525" t="str">
        <f>IF(SUM(M23:M25)=0,"",SUM(M23:M25))</f>
        <v/>
      </c>
      <c r="N26" s="932"/>
      <c r="O26" s="929"/>
      <c r="P26" s="531" t="str">
        <f>IF(SUM(P23:P25)=0,"",SUM(P23:P25))</f>
        <v/>
      </c>
      <c r="Q26" s="289" t="s">
        <v>1910</v>
      </c>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ht="14.55" customHeight="1" x14ac:dyDescent="0.45">
      <c r="A27" s="289"/>
      <c r="B27" s="289"/>
      <c r="C27" s="289"/>
      <c r="D27" s="289"/>
      <c r="E27" s="289"/>
      <c r="F27" s="289"/>
      <c r="G27" s="289"/>
      <c r="H27" s="289"/>
      <c r="I27" s="289"/>
      <c r="J27" s="289"/>
      <c r="K27" s="289"/>
      <c r="L27" s="289"/>
      <c r="M27" s="344"/>
      <c r="N27" s="289"/>
      <c r="O27" s="289"/>
      <c r="P27" s="289"/>
      <c r="Q27" s="345"/>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ht="14.55" customHeight="1" x14ac:dyDescent="0.45">
      <c r="A28" s="289"/>
      <c r="B28" s="289"/>
      <c r="C28" s="289"/>
      <c r="D28" s="289"/>
      <c r="E28" s="289"/>
      <c r="F28" s="289"/>
      <c r="G28" s="289"/>
      <c r="H28" s="289"/>
      <c r="I28" s="289"/>
      <c r="J28" s="289"/>
      <c r="K28" s="289"/>
      <c r="L28" s="289"/>
      <c r="M28" s="289"/>
      <c r="N28" s="289"/>
      <c r="O28" s="289"/>
      <c r="P28" s="289"/>
      <c r="Q28" s="304"/>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ht="14.55" customHeight="1" x14ac:dyDescent="0.45">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ht="14.55" customHeight="1" x14ac:dyDescent="0.45">
      <c r="A30" s="289"/>
      <c r="B30" s="289"/>
      <c r="C30" s="289"/>
      <c r="D30" s="289"/>
      <c r="E30" s="289"/>
      <c r="F30" s="289"/>
      <c r="G30" s="289"/>
      <c r="H30" s="289"/>
      <c r="I30" s="289"/>
      <c r="J30" s="907" t="s">
        <v>970</v>
      </c>
      <c r="K30" s="907"/>
      <c r="L30" s="907"/>
      <c r="M30" s="907"/>
      <c r="N30" s="907"/>
      <c r="O30" s="907"/>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ht="14.55" customHeight="1" thickBot="1" x14ac:dyDescent="0.5">
      <c r="A31" s="289"/>
      <c r="B31" s="289"/>
      <c r="C31" s="289"/>
      <c r="D31" s="289"/>
      <c r="E31" s="289"/>
      <c r="F31" s="289"/>
      <c r="G31" s="289"/>
      <c r="H31" s="289"/>
      <c r="I31" s="289"/>
      <c r="J31" s="908"/>
      <c r="K31" s="908"/>
      <c r="L31" s="908"/>
      <c r="M31" s="908"/>
      <c r="N31" s="908"/>
      <c r="O31" s="908"/>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ht="25.05" customHeight="1" x14ac:dyDescent="0.45">
      <c r="A32" s="289"/>
      <c r="B32" s="289"/>
      <c r="C32" s="289"/>
      <c r="D32" s="289"/>
      <c r="E32" s="289"/>
      <c r="F32" s="289"/>
      <c r="G32" s="289"/>
      <c r="H32" s="289"/>
      <c r="I32" s="289"/>
      <c r="J32" s="933" t="s">
        <v>931</v>
      </c>
      <c r="K32" s="934"/>
      <c r="L32" s="935" t="s">
        <v>933</v>
      </c>
      <c r="M32" s="936"/>
      <c r="N32" s="935" t="s">
        <v>934</v>
      </c>
      <c r="O32" s="937"/>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45">
      <c r="A33" s="289"/>
      <c r="B33" s="289"/>
      <c r="C33" s="289"/>
      <c r="D33" s="289"/>
      <c r="E33" s="289"/>
      <c r="F33" s="289"/>
      <c r="G33" s="289"/>
      <c r="H33" s="289"/>
      <c r="I33" s="289"/>
      <c r="J33" s="921" t="s">
        <v>930</v>
      </c>
      <c r="K33" s="922"/>
      <c r="L33" s="923" t="str">
        <f>IF(OR(F100&lt;&gt;TRUE,F13=""),"",F13)</f>
        <v/>
      </c>
      <c r="M33" s="924"/>
      <c r="N33" s="925" t="str">
        <f>IF(L33="","",24.18)</f>
        <v/>
      </c>
      <c r="O33" s="926"/>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x14ac:dyDescent="0.45">
      <c r="A34" s="289"/>
      <c r="B34" s="289"/>
      <c r="C34" s="289"/>
      <c r="D34" s="289"/>
      <c r="E34" s="289"/>
      <c r="F34" s="289"/>
      <c r="G34" s="289"/>
      <c r="H34" s="289"/>
      <c r="I34" s="289"/>
      <c r="J34" s="915" t="s">
        <v>927</v>
      </c>
      <c r="K34" s="916"/>
      <c r="L34" s="913" t="str">
        <f>IF(OR(F100&lt;&gt;TRUE,F14=""),"",F14)</f>
        <v/>
      </c>
      <c r="M34" s="914"/>
      <c r="N34" s="909" t="str">
        <f>IF(L34="","",24.5)</f>
        <v/>
      </c>
      <c r="O34" s="910"/>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x14ac:dyDescent="0.45">
      <c r="A35" s="289"/>
      <c r="B35" s="289"/>
      <c r="C35" s="289"/>
      <c r="D35" s="289"/>
      <c r="E35" s="289"/>
      <c r="F35" s="289"/>
      <c r="G35" s="289"/>
      <c r="H35" s="289"/>
      <c r="I35" s="289"/>
      <c r="J35" s="915" t="s">
        <v>928</v>
      </c>
      <c r="K35" s="916"/>
      <c r="L35" s="913" t="str">
        <f>IF(OR(F100&lt;&gt;TRUE,F15=""),"",F15)</f>
        <v/>
      </c>
      <c r="M35" s="914"/>
      <c r="N35" s="909" t="str">
        <f>IF(L35="","",26.68)</f>
        <v/>
      </c>
      <c r="O35" s="910"/>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x14ac:dyDescent="0.45">
      <c r="A36" s="289"/>
      <c r="B36" s="289"/>
      <c r="C36" s="289"/>
      <c r="D36" s="289"/>
      <c r="E36" s="289"/>
      <c r="F36" s="289"/>
      <c r="G36" s="289"/>
      <c r="H36" s="289"/>
      <c r="I36" s="289"/>
      <c r="J36" s="915" t="s">
        <v>929</v>
      </c>
      <c r="K36" s="916"/>
      <c r="L36" s="913" t="str">
        <f>IF(OR(F100&lt;&gt;TRUE,F16=""),"",F16)</f>
        <v/>
      </c>
      <c r="M36" s="914"/>
      <c r="N36" s="909" t="str">
        <f>IF(L36="","",29.46)</f>
        <v/>
      </c>
      <c r="O36" s="910"/>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x14ac:dyDescent="0.45">
      <c r="A37" s="289"/>
      <c r="B37" s="289"/>
      <c r="C37" s="289"/>
      <c r="D37" s="289"/>
      <c r="E37" s="289"/>
      <c r="F37" s="289"/>
      <c r="G37" s="289"/>
      <c r="H37" s="289"/>
      <c r="I37" s="289"/>
      <c r="J37" s="917" t="s">
        <v>897</v>
      </c>
      <c r="K37" s="918"/>
      <c r="L37" s="919" t="str">
        <f>IF(OR(F100&lt;&gt;TRUE,F17=""),"",F17)</f>
        <v/>
      </c>
      <c r="M37" s="920"/>
      <c r="N37" s="911" t="str">
        <f>IF(L37="","",29.76)</f>
        <v/>
      </c>
      <c r="O37" s="912"/>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ht="14.65" thickBot="1" x14ac:dyDescent="0.5">
      <c r="A38" s="289"/>
      <c r="B38" s="289"/>
      <c r="C38" s="289"/>
      <c r="D38" s="289"/>
      <c r="E38" s="289"/>
      <c r="F38" s="289"/>
      <c r="G38" s="289"/>
      <c r="H38" s="289"/>
      <c r="I38" s="289"/>
      <c r="J38" s="927" t="s">
        <v>935</v>
      </c>
      <c r="K38" s="928"/>
      <c r="L38" s="928"/>
      <c r="M38" s="929"/>
      <c r="N38" s="930" t="str">
        <f>IF(SUM(L33:M37)=0,"",SUMPRODUCT(L33:L37,N33:N37))</f>
        <v/>
      </c>
      <c r="O38" s="931"/>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45">
      <c r="A39" s="289"/>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x14ac:dyDescent="0.45">
      <c r="A40" s="289"/>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x14ac:dyDescent="0.45">
      <c r="A41" s="289"/>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45">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x14ac:dyDescent="0.45">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x14ac:dyDescent="0.45">
      <c r="A44" s="289"/>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x14ac:dyDescent="0.45">
      <c r="A45" s="289"/>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x14ac:dyDescent="0.45">
      <c r="A46" s="289"/>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45">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x14ac:dyDescent="0.45">
      <c r="A48" s="289"/>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x14ac:dyDescent="0.45">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45">
      <c r="A50" s="289"/>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45">
      <c r="A51" s="289"/>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45">
      <c r="A52" s="289"/>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x14ac:dyDescent="0.45">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x14ac:dyDescent="0.45">
      <c r="A54" s="289"/>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x14ac:dyDescent="0.45">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x14ac:dyDescent="0.45">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45">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45">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x14ac:dyDescent="0.45">
      <c r="A59" s="289"/>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x14ac:dyDescent="0.45">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x14ac:dyDescent="0.45">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x14ac:dyDescent="0.45">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45">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45">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45">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x14ac:dyDescent="0.45">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x14ac:dyDescent="0.45">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45">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45">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45">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x14ac:dyDescent="0.45">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x14ac:dyDescent="0.45">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45">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45">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x14ac:dyDescent="0.45">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x14ac:dyDescent="0.45">
      <c r="A76" s="289"/>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x14ac:dyDescent="0.45">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x14ac:dyDescent="0.45">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x14ac:dyDescent="0.45">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x14ac:dyDescent="0.45">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x14ac:dyDescent="0.45">
      <c r="A81" s="289"/>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x14ac:dyDescent="0.45">
      <c r="A82" s="289"/>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x14ac:dyDescent="0.45">
      <c r="A83" s="289"/>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x14ac:dyDescent="0.45">
      <c r="A84" s="289"/>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x14ac:dyDescent="0.45">
      <c r="A85" s="289"/>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x14ac:dyDescent="0.45">
      <c r="A86" s="289"/>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x14ac:dyDescent="0.45">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x14ac:dyDescent="0.45">
      <c r="A88" s="289"/>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x14ac:dyDescent="0.45">
      <c r="A89" s="289"/>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45">
      <c r="A90" s="289"/>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45">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4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x14ac:dyDescent="0.45">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x14ac:dyDescent="0.45">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x14ac:dyDescent="0.4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x14ac:dyDescent="0.45">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2" x14ac:dyDescent="0.45">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2" x14ac:dyDescent="0.45">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2" x14ac:dyDescent="0.45">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row>
    <row r="100" spans="1:52" hidden="1" x14ac:dyDescent="0.45">
      <c r="A100" s="289"/>
      <c r="B100" s="289"/>
      <c r="C100" s="289"/>
      <c r="D100" s="289"/>
      <c r="E100" s="289" t="s">
        <v>1084</v>
      </c>
      <c r="F100" s="289" t="b">
        <f>COUNTBLANK(F7)+COUNTBLANK(F9:F11)+COUNTBLANK(F13:F17)+
COUNTBLANK(F19)+COUNTBLANK(F21)+COUNTBLANK(F23:G23)+
COUNTBLANK(F25:G25)+COUNTBLANK(H7)+COUNTBLANK(H9:H11)=0</f>
        <v>0</v>
      </c>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row r="101" spans="1:52" x14ac:dyDescent="0.45">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row>
    <row r="102" spans="1:52" x14ac:dyDescent="0.4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row>
    <row r="103" spans="1:52" x14ac:dyDescent="0.4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row>
    <row r="104" spans="1:52" x14ac:dyDescent="0.4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row>
    <row r="105" spans="1:52" x14ac:dyDescent="0.4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row>
    <row r="106" spans="1:52" x14ac:dyDescent="0.4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row>
    <row r="107" spans="1:52" x14ac:dyDescent="0.4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row>
    <row r="108" spans="1:52" x14ac:dyDescent="0.4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row>
    <row r="109" spans="1:52" x14ac:dyDescent="0.4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row>
    <row r="110" spans="1:52" x14ac:dyDescent="0.4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row>
    <row r="111" spans="1:52" x14ac:dyDescent="0.4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row>
    <row r="112" spans="1:52" x14ac:dyDescent="0.4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row>
    <row r="113" spans="1:52" x14ac:dyDescent="0.4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row>
    <row r="114" spans="1:52" x14ac:dyDescent="0.4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row>
    <row r="115" spans="1:52" x14ac:dyDescent="0.4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row>
    <row r="116" spans="1:52" x14ac:dyDescent="0.4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row>
    <row r="117" spans="1:52" x14ac:dyDescent="0.4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row>
    <row r="118" spans="1:52" x14ac:dyDescent="0.4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row>
    <row r="119" spans="1:52" x14ac:dyDescent="0.4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row>
    <row r="120" spans="1:52" x14ac:dyDescent="0.4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row>
    <row r="121" spans="1:52" x14ac:dyDescent="0.4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row>
    <row r="122" spans="1:52" x14ac:dyDescent="0.4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row>
    <row r="123" spans="1:52" x14ac:dyDescent="0.4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row>
    <row r="124" spans="1:52" x14ac:dyDescent="0.4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row>
    <row r="125" spans="1:52" x14ac:dyDescent="0.4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row>
    <row r="126" spans="1:52" x14ac:dyDescent="0.4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row>
    <row r="127" spans="1:52" x14ac:dyDescent="0.4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row>
    <row r="128" spans="1:52" x14ac:dyDescent="0.4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row>
    <row r="129" spans="1:52" x14ac:dyDescent="0.4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row>
    <row r="130" spans="1:52" x14ac:dyDescent="0.4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row>
    <row r="131" spans="1:52" x14ac:dyDescent="0.4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row>
    <row r="132" spans="1:52" x14ac:dyDescent="0.4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row>
    <row r="133" spans="1:52" x14ac:dyDescent="0.4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row>
    <row r="134" spans="1:52" x14ac:dyDescent="0.4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row>
    <row r="135" spans="1:52" x14ac:dyDescent="0.4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row>
    <row r="136" spans="1:52" x14ac:dyDescent="0.4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row>
    <row r="137" spans="1:52" x14ac:dyDescent="0.4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row>
    <row r="138" spans="1:52" x14ac:dyDescent="0.4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row>
    <row r="139" spans="1:52" x14ac:dyDescent="0.4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row>
    <row r="140" spans="1:52" x14ac:dyDescent="0.4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row>
    <row r="141" spans="1:52" x14ac:dyDescent="0.4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row>
    <row r="142" spans="1:52" x14ac:dyDescent="0.4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row>
    <row r="143" spans="1:52" x14ac:dyDescent="0.4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c r="AH143" s="289"/>
      <c r="AI143" s="289"/>
      <c r="AJ143" s="289"/>
      <c r="AK143" s="289"/>
      <c r="AL143" s="289"/>
      <c r="AM143" s="289"/>
      <c r="AN143" s="289"/>
      <c r="AO143" s="289"/>
      <c r="AP143" s="289"/>
      <c r="AQ143" s="289"/>
      <c r="AR143" s="289"/>
      <c r="AS143" s="289"/>
      <c r="AT143" s="289"/>
      <c r="AU143" s="289"/>
      <c r="AV143" s="289"/>
      <c r="AW143" s="289"/>
      <c r="AX143" s="289"/>
      <c r="AY143" s="289"/>
      <c r="AZ143" s="289"/>
    </row>
    <row r="144" spans="1:52" x14ac:dyDescent="0.4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row>
    <row r="145" spans="1:52" x14ac:dyDescent="0.4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row>
    <row r="146" spans="1:52" x14ac:dyDescent="0.4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row>
    <row r="147" spans="1:52" x14ac:dyDescent="0.4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row>
    <row r="148" spans="1:52" x14ac:dyDescent="0.4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row>
    <row r="149" spans="1:52" x14ac:dyDescent="0.4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row>
    <row r="150" spans="1:52" x14ac:dyDescent="0.4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row>
    <row r="151" spans="1:52" x14ac:dyDescent="0.45">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row>
    <row r="152" spans="1:52" x14ac:dyDescent="0.45">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row>
    <row r="153" spans="1:52" x14ac:dyDescent="0.45">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row>
    <row r="154" spans="1:52" x14ac:dyDescent="0.45">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row>
    <row r="155" spans="1:52" x14ac:dyDescent="0.4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row>
    <row r="156" spans="1:52" x14ac:dyDescent="0.45">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row>
    <row r="157" spans="1:52" x14ac:dyDescent="0.45">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row>
    <row r="158" spans="1:52" x14ac:dyDescent="0.45">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row>
    <row r="159" spans="1:52" x14ac:dyDescent="0.45">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row>
    <row r="160" spans="1:52" x14ac:dyDescent="0.45">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row>
    <row r="161" spans="1:52" x14ac:dyDescent="0.45">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row>
    <row r="162" spans="1:52" x14ac:dyDescent="0.45">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row>
    <row r="163" spans="1:52" x14ac:dyDescent="0.45">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row>
    <row r="164" spans="1:52" x14ac:dyDescent="0.45">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row>
    <row r="165" spans="1:52" x14ac:dyDescent="0.4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row>
    <row r="166" spans="1:52" x14ac:dyDescent="0.45">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row>
    <row r="167" spans="1:52" x14ac:dyDescent="0.45">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row>
    <row r="168" spans="1:52" x14ac:dyDescent="0.45">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row>
    <row r="169" spans="1:52" x14ac:dyDescent="0.45">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row>
    <row r="170" spans="1:52" x14ac:dyDescent="0.45">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row>
    <row r="171" spans="1:52" x14ac:dyDescent="0.45">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c r="AQ171" s="289"/>
      <c r="AR171" s="289"/>
      <c r="AS171" s="289"/>
      <c r="AT171" s="289"/>
      <c r="AU171" s="289"/>
      <c r="AV171" s="289"/>
      <c r="AW171" s="289"/>
      <c r="AX171" s="289"/>
      <c r="AY171" s="289"/>
      <c r="AZ171" s="289"/>
    </row>
    <row r="172" spans="1:52" x14ac:dyDescent="0.45">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row>
    <row r="173" spans="1:52" x14ac:dyDescent="0.45">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row>
    <row r="174" spans="1:52" x14ac:dyDescent="0.45">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row>
    <row r="175" spans="1:52" x14ac:dyDescent="0.4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row>
    <row r="176" spans="1:52" x14ac:dyDescent="0.45">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row>
    <row r="177" spans="1:52" x14ac:dyDescent="0.45">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row>
    <row r="178" spans="1:52" x14ac:dyDescent="0.45">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row>
    <row r="179" spans="1:52" x14ac:dyDescent="0.45">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row>
    <row r="180" spans="1:52" x14ac:dyDescent="0.45">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row>
    <row r="181" spans="1:52" x14ac:dyDescent="0.45">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row>
    <row r="182" spans="1:52" x14ac:dyDescent="0.45">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row>
    <row r="183" spans="1:52" x14ac:dyDescent="0.45">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row>
    <row r="184" spans="1:52" x14ac:dyDescent="0.45">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row>
    <row r="185" spans="1:52" x14ac:dyDescent="0.4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89"/>
      <c r="AF185" s="289"/>
      <c r="AG185" s="289"/>
      <c r="AH185" s="289"/>
      <c r="AI185" s="289"/>
      <c r="AJ185" s="289"/>
      <c r="AK185" s="289"/>
      <c r="AL185" s="289"/>
      <c r="AM185" s="289"/>
      <c r="AN185" s="289"/>
      <c r="AO185" s="289"/>
      <c r="AP185" s="289"/>
      <c r="AQ185" s="289"/>
      <c r="AR185" s="289"/>
      <c r="AS185" s="289"/>
      <c r="AT185" s="289"/>
      <c r="AU185" s="289"/>
      <c r="AV185" s="289"/>
      <c r="AW185" s="289"/>
      <c r="AX185" s="289"/>
      <c r="AY185" s="289"/>
      <c r="AZ185" s="289"/>
    </row>
    <row r="186" spans="1:52" x14ac:dyDescent="0.45">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row>
    <row r="187" spans="1:52" x14ac:dyDescent="0.45">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row>
    <row r="188" spans="1:52" x14ac:dyDescent="0.45">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row>
    <row r="189" spans="1:52" x14ac:dyDescent="0.45">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row>
    <row r="190" spans="1:52" x14ac:dyDescent="0.45">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row>
    <row r="191" spans="1:52" x14ac:dyDescent="0.45">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row>
    <row r="192" spans="1:52" x14ac:dyDescent="0.45">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row>
    <row r="193" spans="1:52" x14ac:dyDescent="0.45">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row>
    <row r="194" spans="1:52" x14ac:dyDescent="0.45">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row>
    <row r="195" spans="1:52" x14ac:dyDescent="0.4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row>
    <row r="196" spans="1:52" x14ac:dyDescent="0.45">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row>
    <row r="197" spans="1:52" x14ac:dyDescent="0.45">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row>
    <row r="198" spans="1:52" x14ac:dyDescent="0.45">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row>
    <row r="199" spans="1:52" x14ac:dyDescent="0.45">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row>
    <row r="200" spans="1:52" x14ac:dyDescent="0.45">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row>
  </sheetData>
  <mergeCells count="58">
    <mergeCell ref="J38:M38"/>
    <mergeCell ref="N38:O38"/>
    <mergeCell ref="J30:O31"/>
    <mergeCell ref="J14:P15"/>
    <mergeCell ref="K26:L26"/>
    <mergeCell ref="N26:O26"/>
    <mergeCell ref="N25:O25"/>
    <mergeCell ref="N34:O34"/>
    <mergeCell ref="J32:K32"/>
    <mergeCell ref="L32:M32"/>
    <mergeCell ref="N32:O32"/>
    <mergeCell ref="N22:O22"/>
    <mergeCell ref="K23:L23"/>
    <mergeCell ref="N23:O23"/>
    <mergeCell ref="K24:L24"/>
    <mergeCell ref="N24:O24"/>
    <mergeCell ref="N21:O21"/>
    <mergeCell ref="J4:P5"/>
    <mergeCell ref="N35:O35"/>
    <mergeCell ref="N37:O37"/>
    <mergeCell ref="L35:M35"/>
    <mergeCell ref="L36:M36"/>
    <mergeCell ref="N36:O36"/>
    <mergeCell ref="J35:K35"/>
    <mergeCell ref="J36:K36"/>
    <mergeCell ref="J37:K37"/>
    <mergeCell ref="L37:M37"/>
    <mergeCell ref="J33:K33"/>
    <mergeCell ref="L33:M33"/>
    <mergeCell ref="N33:O33"/>
    <mergeCell ref="J34:K34"/>
    <mergeCell ref="L34:M34"/>
    <mergeCell ref="K25:L25"/>
    <mergeCell ref="N9:P9"/>
    <mergeCell ref="N6:P6"/>
    <mergeCell ref="K7:M7"/>
    <mergeCell ref="N7:P7"/>
    <mergeCell ref="K8:M8"/>
    <mergeCell ref="N8:P8"/>
    <mergeCell ref="N16:O16"/>
    <mergeCell ref="K17:L17"/>
    <mergeCell ref="N17:O17"/>
    <mergeCell ref="K18:L18"/>
    <mergeCell ref="N18:O18"/>
    <mergeCell ref="N19:O19"/>
    <mergeCell ref="K20:L20"/>
    <mergeCell ref="N20:O20"/>
    <mergeCell ref="K21:L21"/>
    <mergeCell ref="K6:M6"/>
    <mergeCell ref="K9:M9"/>
    <mergeCell ref="K16:L16"/>
    <mergeCell ref="K19:L19"/>
    <mergeCell ref="K22:L22"/>
    <mergeCell ref="G1:G3"/>
    <mergeCell ref="F1:F3"/>
    <mergeCell ref="B4:C5"/>
    <mergeCell ref="E4:H5"/>
    <mergeCell ref="G8:G10"/>
  </mergeCells>
  <conditionalFormatting sqref="F1:F3">
    <cfRule type="expression" dxfId="43" priority="2">
      <formula>AND(     NOT(OR(F7="",H7="")),     NOT(OR(F9="",H9="")),     NOT(OR(F10="",H10="")),     NOT(OR(F11="",H11="")),          NOT(F19=""),     NOT(F21=""),     NOT(F17=""),     NOT(F16=""),     NOT(F15=""),     NOT(F14=""),     NOT(F13=""),          NOT(OR(F25="",G25="")),     NOT(OR(F23="",G23="")) )</formula>
    </cfRule>
  </conditionalFormatting>
  <conditionalFormatting sqref="G1:G3">
    <cfRule type="expression" dxfId="42" priority="1">
      <formula>AND(     NOT(OR(F7="",H7="")),     NOT(OR(F9="",H9="")),     NOT(OR(F10="",H10="")),     NOT(OR(F11="",H11="")),          NOT(F19=""),     NOT(F21=""),     NOT(F17=""),     NOT(F16=""),     NOT(F15=""),     NOT(F14=""),     NOT(F13=""),          NOT(OR(F25="",G25="")),     NOT(OR(F23="",G23="")) )</formula>
    </cfRule>
  </conditionalFormatting>
  <conditionalFormatting sqref="G13:G17">
    <cfRule type="expression" dxfId="41" priority="38">
      <formula>NOT(F13="")</formula>
    </cfRule>
  </conditionalFormatting>
  <conditionalFormatting sqref="G19">
    <cfRule type="expression" dxfId="40" priority="3">
      <formula>NOT(F19="")</formula>
    </cfRule>
  </conditionalFormatting>
  <conditionalFormatting sqref="G21">
    <cfRule type="expression" dxfId="39" priority="37">
      <formula>NOT(F21="")</formula>
    </cfRule>
  </conditionalFormatting>
  <conditionalFormatting sqref="H23">
    <cfRule type="expression" dxfId="38" priority="36">
      <formula>NOT(OR(F23="",G23=""))</formula>
    </cfRule>
  </conditionalFormatting>
  <conditionalFormatting sqref="H25">
    <cfRule type="expression" dxfId="37" priority="35">
      <formula>NOT(OR(F25="",G25=""))</formula>
    </cfRule>
  </conditionalFormatting>
  <conditionalFormatting sqref="I7">
    <cfRule type="expression" dxfId="36" priority="46">
      <formula>NOT(OR(F7="",H7=""))</formula>
    </cfRule>
  </conditionalFormatting>
  <conditionalFormatting sqref="I9:I11">
    <cfRule type="expression" dxfId="35" priority="43">
      <formula>NOT(OR(F9="",H9=""))</formula>
    </cfRule>
  </conditionalFormatting>
  <dataValidations count="1">
    <dataValidation type="list" allowBlank="1" showInputMessage="1" showErrorMessage="1" sqref="C8" xr:uid="{00000000-0002-0000-1100-000000000000}">
      <formula1>"GGZ, GHZ, Jeugdzorg, Sociaal Werk, VVT"</formula1>
    </dataValidation>
  </dataValidations>
  <hyperlinks>
    <hyperlink ref="I7" r:id="rId1" display="!@" xr:uid="{00000000-0004-0000-1100-000000000000}"/>
    <hyperlink ref="I9" r:id="rId2" display="!@" xr:uid="{00000000-0004-0000-1100-000001000000}"/>
    <hyperlink ref="I10" r:id="rId3" display="!@" xr:uid="{00000000-0004-0000-1100-000002000000}"/>
    <hyperlink ref="I11" r:id="rId4" display="!@" xr:uid="{00000000-0004-0000-1100-000003000000}"/>
    <hyperlink ref="H25" r:id="rId5" display="!@" xr:uid="{00000000-0004-0000-1100-000004000000}"/>
    <hyperlink ref="H23" r:id="rId6" display="!@" xr:uid="{00000000-0004-0000-1100-000005000000}"/>
    <hyperlink ref="G21" r:id="rId7" display="!@" xr:uid="{00000000-0004-0000-1100-000006000000}"/>
    <hyperlink ref="G17" r:id="rId8" display="!@" xr:uid="{00000000-0004-0000-1100-000007000000}"/>
    <hyperlink ref="G16" r:id="rId9" display="!@" xr:uid="{00000000-0004-0000-1100-000008000000}"/>
    <hyperlink ref="G15" r:id="rId10" display="!@" xr:uid="{00000000-0004-0000-1100-000009000000}"/>
    <hyperlink ref="G14" r:id="rId11" display="!@" xr:uid="{00000000-0004-0000-1100-00000A000000}"/>
    <hyperlink ref="G13" r:id="rId12" display="!@" xr:uid="{00000000-0004-0000-1100-00000B000000}"/>
    <hyperlink ref="G19" r:id="rId13" display="!@" xr:uid="{00000000-0004-0000-1100-00000C000000}"/>
  </hyperlinks>
  <pageMargins left="0.7" right="0.7" top="0.75" bottom="0.75" header="0.3" footer="0.3"/>
  <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39997558519241921"/>
  </sheetPr>
  <dimension ref="A2:O127"/>
  <sheetViews>
    <sheetView topLeftCell="A20" zoomScale="70" zoomScaleNormal="70" workbookViewId="0">
      <selection activeCell="B54" sqref="B54"/>
    </sheetView>
  </sheetViews>
  <sheetFormatPr defaultRowHeight="14.25" outlineLevelRow="1" x14ac:dyDescent="0.45"/>
  <cols>
    <col min="2" max="15" width="20.59765625" customWidth="1"/>
  </cols>
  <sheetData>
    <row r="2" spans="1:9" ht="15.75" x14ac:dyDescent="0.5">
      <c r="B2" s="12" t="s">
        <v>893</v>
      </c>
    </row>
    <row r="4" spans="1:9" x14ac:dyDescent="0.45">
      <c r="B4" s="5" t="s">
        <v>894</v>
      </c>
    </row>
    <row r="5" spans="1:9" x14ac:dyDescent="0.45">
      <c r="B5" s="5"/>
    </row>
    <row r="6" spans="1:9" outlineLevel="1" x14ac:dyDescent="0.45"/>
    <row r="7" spans="1:9" ht="21" outlineLevel="1" x14ac:dyDescent="0.65">
      <c r="B7" s="112" t="str">
        <f>HYPERLINK("#'1a. Input organisatieniveau'!A1", "1a. Input organisatieniveau")</f>
        <v>1a. Input organisatieniveau</v>
      </c>
      <c r="C7" s="121"/>
    </row>
    <row r="8" spans="1:9" outlineLevel="1" x14ac:dyDescent="0.45"/>
    <row r="9" spans="1:9" ht="15.5" customHeight="1" outlineLevel="1" x14ac:dyDescent="0.45">
      <c r="B9" s="791" t="s">
        <v>3</v>
      </c>
      <c r="C9" s="791"/>
      <c r="E9" s="791" t="s">
        <v>58</v>
      </c>
      <c r="F9" s="791"/>
      <c r="G9" s="791"/>
      <c r="H9" s="791"/>
    </row>
    <row r="10" spans="1:9" ht="16.149999999999999" outlineLevel="1" thickBot="1" x14ac:dyDescent="0.55000000000000004">
      <c r="A10" s="95"/>
      <c r="B10" s="792"/>
      <c r="C10" s="792"/>
      <c r="E10" s="792"/>
      <c r="F10" s="792"/>
      <c r="G10" s="792"/>
      <c r="H10" s="792"/>
      <c r="I10" s="88"/>
    </row>
    <row r="11" spans="1:9" ht="16.149999999999999" outlineLevel="1" thickBot="1" x14ac:dyDescent="0.55000000000000004">
      <c r="A11" s="95"/>
      <c r="B11" s="97" t="s">
        <v>751</v>
      </c>
      <c r="C11" s="99"/>
      <c r="E11" s="266" t="s">
        <v>24</v>
      </c>
      <c r="F11" s="267" t="str">
        <f>'1a. Input organisatieniveau'!L6</f>
        <v>Ambulant</v>
      </c>
      <c r="G11" s="267" t="str">
        <f>'1a. Input organisatieniveau'!M6</f>
        <v>Daghulp</v>
      </c>
      <c r="H11" s="268" t="str">
        <f>'1a. Input organisatieniveau'!N6</f>
        <v>Verblijf</v>
      </c>
      <c r="I11" s="88"/>
    </row>
    <row r="12" spans="1:9" ht="15.75" outlineLevel="1" x14ac:dyDescent="0.5">
      <c r="A12" s="95"/>
      <c r="B12" s="34" t="s">
        <v>75</v>
      </c>
      <c r="C12" s="103"/>
      <c r="D12" t="s">
        <v>779</v>
      </c>
      <c r="E12" s="22" t="s">
        <v>25</v>
      </c>
      <c r="F12" s="269" t="s">
        <v>779</v>
      </c>
      <c r="G12" s="269" t="s">
        <v>779</v>
      </c>
      <c r="H12" s="270" t="s">
        <v>779</v>
      </c>
      <c r="I12" s="88"/>
    </row>
    <row r="13" spans="1:9" ht="16.149999999999999" outlineLevel="1" thickBot="1" x14ac:dyDescent="0.55000000000000004">
      <c r="A13" s="95"/>
      <c r="B13" s="34" t="s">
        <v>74</v>
      </c>
      <c r="C13" s="103"/>
      <c r="D13" t="s">
        <v>779</v>
      </c>
      <c r="E13" s="23" t="s">
        <v>26</v>
      </c>
      <c r="F13" s="273" t="s">
        <v>779</v>
      </c>
      <c r="G13" s="273" t="s">
        <v>779</v>
      </c>
      <c r="H13" s="111" t="s">
        <v>779</v>
      </c>
      <c r="I13" s="88"/>
    </row>
    <row r="14" spans="1:9" ht="16.149999999999999" outlineLevel="1" thickBot="1" x14ac:dyDescent="0.55000000000000004">
      <c r="A14" s="95"/>
      <c r="B14" s="97" t="s">
        <v>16</v>
      </c>
      <c r="C14" s="98"/>
      <c r="E14" s="23" t="s">
        <v>726</v>
      </c>
      <c r="F14" s="109" t="s">
        <v>779</v>
      </c>
      <c r="G14" s="109" t="s">
        <v>779</v>
      </c>
      <c r="H14" s="110" t="s">
        <v>779</v>
      </c>
      <c r="I14" s="88"/>
    </row>
    <row r="15" spans="1:9" ht="15.75" outlineLevel="1" x14ac:dyDescent="0.5">
      <c r="A15" s="96"/>
      <c r="B15" s="23" t="s">
        <v>722</v>
      </c>
      <c r="C15" s="104"/>
      <c r="D15" t="s">
        <v>779</v>
      </c>
      <c r="E15" s="162" t="s">
        <v>17</v>
      </c>
      <c r="F15" s="274" t="s">
        <v>779</v>
      </c>
      <c r="G15" s="274" t="s">
        <v>779</v>
      </c>
      <c r="H15" s="275" t="s">
        <v>779</v>
      </c>
      <c r="I15" s="88"/>
    </row>
    <row r="16" spans="1:9" ht="16.149999999999999" outlineLevel="1" thickBot="1" x14ac:dyDescent="0.55000000000000004">
      <c r="A16" s="95"/>
      <c r="B16" s="23" t="s">
        <v>17</v>
      </c>
      <c r="C16" s="105"/>
      <c r="D16" t="s">
        <v>779</v>
      </c>
      <c r="E16" s="23" t="s">
        <v>54</v>
      </c>
      <c r="F16" s="107" t="s">
        <v>779</v>
      </c>
      <c r="G16" s="107" t="s">
        <v>779</v>
      </c>
      <c r="H16" s="108" t="s">
        <v>779</v>
      </c>
      <c r="I16" s="88"/>
    </row>
    <row r="17" spans="1:9" ht="16.149999999999999" outlineLevel="1" thickBot="1" x14ac:dyDescent="0.55000000000000004">
      <c r="A17" s="95"/>
      <c r="B17" s="97" t="s">
        <v>8</v>
      </c>
      <c r="C17" s="98"/>
      <c r="E17" s="23" t="s">
        <v>55</v>
      </c>
      <c r="F17" s="107" t="s">
        <v>779</v>
      </c>
      <c r="G17" s="107" t="s">
        <v>779</v>
      </c>
      <c r="H17" s="108" t="s">
        <v>779</v>
      </c>
      <c r="I17" s="88"/>
    </row>
    <row r="18" spans="1:9" ht="15.75" outlineLevel="1" x14ac:dyDescent="0.5">
      <c r="A18" s="95"/>
      <c r="B18" s="23" t="s">
        <v>18</v>
      </c>
      <c r="C18" s="105"/>
      <c r="D18" t="s">
        <v>779</v>
      </c>
      <c r="E18" s="23" t="s">
        <v>56</v>
      </c>
      <c r="F18" s="107" t="s">
        <v>779</v>
      </c>
      <c r="G18" s="107" t="s">
        <v>779</v>
      </c>
      <c r="H18" s="108" t="s">
        <v>779</v>
      </c>
      <c r="I18" s="88"/>
    </row>
    <row r="19" spans="1:9" ht="15.75" outlineLevel="1" x14ac:dyDescent="0.5">
      <c r="A19" s="95"/>
      <c r="B19" s="23" t="s">
        <v>20</v>
      </c>
      <c r="C19" s="105"/>
      <c r="D19" t="s">
        <v>779</v>
      </c>
      <c r="E19" s="23" t="s">
        <v>714</v>
      </c>
      <c r="F19" s="107" t="s">
        <v>779</v>
      </c>
      <c r="G19" s="107" t="s">
        <v>779</v>
      </c>
      <c r="H19" s="108" t="s">
        <v>779</v>
      </c>
      <c r="I19" s="88"/>
    </row>
    <row r="20" spans="1:9" ht="16.149999999999999" outlineLevel="1" thickBot="1" x14ac:dyDescent="0.55000000000000004">
      <c r="A20" s="95"/>
      <c r="B20" s="23" t="s">
        <v>21</v>
      </c>
      <c r="C20" s="105"/>
      <c r="D20" t="s">
        <v>779</v>
      </c>
      <c r="E20" s="24" t="s">
        <v>715</v>
      </c>
      <c r="F20" s="271" t="s">
        <v>779</v>
      </c>
      <c r="G20" s="271" t="s">
        <v>779</v>
      </c>
      <c r="H20" s="272" t="s">
        <v>779</v>
      </c>
      <c r="I20" s="88"/>
    </row>
    <row r="21" spans="1:9" ht="16.149999999999999" outlineLevel="1" thickBot="1" x14ac:dyDescent="0.55000000000000004">
      <c r="A21" s="95"/>
      <c r="B21" s="23" t="s">
        <v>22</v>
      </c>
      <c r="C21" s="105"/>
      <c r="D21" t="s">
        <v>779</v>
      </c>
      <c r="I21" s="88"/>
    </row>
    <row r="22" spans="1:9" ht="16.149999999999999" outlineLevel="1" thickBot="1" x14ac:dyDescent="0.55000000000000004">
      <c r="A22" s="95"/>
      <c r="B22" s="97" t="s">
        <v>70</v>
      </c>
      <c r="C22" s="98"/>
      <c r="I22" s="88"/>
    </row>
    <row r="23" spans="1:9" ht="15.75" outlineLevel="1" x14ac:dyDescent="0.5">
      <c r="A23" s="96"/>
      <c r="B23" s="23" t="s">
        <v>76</v>
      </c>
      <c r="C23" s="105"/>
      <c r="D23" t="s">
        <v>779</v>
      </c>
      <c r="I23" s="88"/>
    </row>
    <row r="24" spans="1:9" ht="15.75" outlineLevel="1" x14ac:dyDescent="0.5">
      <c r="A24" s="95"/>
      <c r="B24" s="100" t="s">
        <v>77</v>
      </c>
      <c r="C24" s="105"/>
      <c r="D24" t="s">
        <v>779</v>
      </c>
      <c r="I24" s="88"/>
    </row>
    <row r="25" spans="1:9" ht="16.149999999999999" outlineLevel="1" thickBot="1" x14ac:dyDescent="0.55000000000000004">
      <c r="A25" s="95"/>
      <c r="B25" s="23" t="s">
        <v>78</v>
      </c>
      <c r="C25" s="105"/>
      <c r="D25" t="s">
        <v>779</v>
      </c>
      <c r="I25" s="88"/>
    </row>
    <row r="26" spans="1:9" ht="16.149999999999999" outlineLevel="1" thickBot="1" x14ac:dyDescent="0.55000000000000004">
      <c r="A26" s="95"/>
      <c r="B26" s="102" t="s">
        <v>778</v>
      </c>
      <c r="C26" s="98"/>
      <c r="I26" s="88"/>
    </row>
    <row r="27" spans="1:9" ht="15.75" outlineLevel="1" x14ac:dyDescent="0.5">
      <c r="A27" s="96"/>
      <c r="B27" s="23" t="s">
        <v>714</v>
      </c>
      <c r="C27" s="105"/>
      <c r="D27" t="s">
        <v>779</v>
      </c>
      <c r="I27" s="88"/>
    </row>
    <row r="28" spans="1:9" ht="15.75" outlineLevel="1" x14ac:dyDescent="0.5">
      <c r="A28" s="95"/>
      <c r="B28" s="23" t="s">
        <v>715</v>
      </c>
      <c r="C28" s="105"/>
      <c r="D28" t="s">
        <v>779</v>
      </c>
      <c r="I28" s="88"/>
    </row>
    <row r="29" spans="1:9" ht="15.75" outlineLevel="1" x14ac:dyDescent="0.5">
      <c r="A29" s="95"/>
      <c r="B29" s="40" t="s">
        <v>15</v>
      </c>
      <c r="C29" s="105"/>
      <c r="D29" t="s">
        <v>779</v>
      </c>
      <c r="I29" s="88"/>
    </row>
    <row r="30" spans="1:9" ht="16.149999999999999" outlineLevel="1" thickBot="1" x14ac:dyDescent="0.55000000000000004">
      <c r="A30" s="95"/>
      <c r="B30" s="24" t="s">
        <v>68</v>
      </c>
      <c r="C30" s="106"/>
      <c r="D30" t="s">
        <v>779</v>
      </c>
      <c r="I30" s="88"/>
    </row>
    <row r="31" spans="1:9" ht="15.75" outlineLevel="1" x14ac:dyDescent="0.5">
      <c r="A31" s="95"/>
      <c r="I31" s="88"/>
    </row>
    <row r="32" spans="1:9" ht="15.75" outlineLevel="1" x14ac:dyDescent="0.5">
      <c r="A32" s="95"/>
      <c r="I32" s="88"/>
    </row>
    <row r="33" spans="2:15" ht="15.75" outlineLevel="1" x14ac:dyDescent="0.5">
      <c r="I33" s="88"/>
    </row>
    <row r="34" spans="2:15" ht="21" outlineLevel="1" x14ac:dyDescent="0.65">
      <c r="B34" s="112" t="str">
        <f>HYPERLINK("#'1b. Input productniveau'!A1", "1b. Input productniveau")</f>
        <v>1b. Input productniveau</v>
      </c>
      <c r="C34" s="121"/>
      <c r="I34" s="88"/>
    </row>
    <row r="35" spans="2:15" outlineLevel="1" x14ac:dyDescent="0.45"/>
    <row r="36" spans="2:15" ht="18" outlineLevel="1" x14ac:dyDescent="0.55000000000000004">
      <c r="B36" s="46" t="s">
        <v>788</v>
      </c>
      <c r="D36" s="120" t="str">
        <f ca="1">INDEX('2. Output kostprijs'!$D$15:$Z$15, COLUMN(A1)*2-1)</f>
        <v/>
      </c>
      <c r="E36" s="120" t="str">
        <f ca="1">INDEX('2. Output kostprijs'!$D$15:$Z$15, COLUMN(B1)*2-1)</f>
        <v/>
      </c>
      <c r="F36" s="120" t="str">
        <f ca="1">INDEX('2. Output kostprijs'!$D$15:$Z$15, COLUMN(C1)*2-1)</f>
        <v/>
      </c>
      <c r="G36" s="120" t="str">
        <f ca="1">INDEX('2. Output kostprijs'!$D$15:$Z$15, COLUMN(D1)*2-1)</f>
        <v/>
      </c>
      <c r="H36" s="120" t="str">
        <f ca="1">INDEX('2. Output kostprijs'!$D$15:$Z$15, COLUMN(E1)*2-1)</f>
        <v/>
      </c>
      <c r="I36" s="120" t="str">
        <f ca="1">INDEX('2. Output kostprijs'!$D$15:$Z$15, COLUMN(F1)*2-1)</f>
        <v/>
      </c>
      <c r="J36" s="120" t="str">
        <f ca="1">INDEX('2. Output kostprijs'!$D$15:$Z$15, COLUMN(G1)*2-1)</f>
        <v/>
      </c>
      <c r="K36" s="120" t="str">
        <f ca="1">INDEX('2. Output kostprijs'!$D$15:$Z$15, COLUMN(H1)*2-1)</f>
        <v/>
      </c>
      <c r="L36" s="120" t="str">
        <f ca="1">INDEX('2. Output kostprijs'!$D$15:$Z$15, COLUMN(I1)*2-1)</f>
        <v/>
      </c>
      <c r="M36" s="120" t="str">
        <f ca="1">INDEX('2. Output kostprijs'!$D$15:$Z$15, COLUMN(J1)*2-1)</f>
        <v/>
      </c>
      <c r="N36" s="120" t="str">
        <f ca="1">INDEX('2. Output kostprijs'!$D$15:$Z$15, COLUMN(K1)*2-1)</f>
        <v/>
      </c>
      <c r="O36" s="120" t="str">
        <f ca="1">INDEX('2. Output kostprijs'!$D$15:$Z$15, COLUMN(L1)*2-1)</f>
        <v/>
      </c>
    </row>
    <row r="37" spans="2:15" ht="14.65" outlineLevel="1" thickBot="1" x14ac:dyDescent="0.5">
      <c r="D37" s="122" t="str">
        <f ca="1">INDEX('2. Output kostprijs'!$D$16:$Z$16, COLUMN(A1)*2-1)</f>
        <v/>
      </c>
      <c r="E37" s="122" t="str">
        <f ca="1">INDEX('2. Output kostprijs'!$D$16:$Z$16, COLUMN(B1)*2-1)</f>
        <v/>
      </c>
      <c r="F37" s="122" t="str">
        <f ca="1">INDEX('2. Output kostprijs'!$D$16:$Z$16, COLUMN(C1)*2-1)</f>
        <v/>
      </c>
      <c r="G37" s="122" t="str">
        <f ca="1">INDEX('2. Output kostprijs'!$D$16:$Z$16, COLUMN(D1)*2-1)</f>
        <v/>
      </c>
      <c r="H37" s="122" t="str">
        <f ca="1">INDEX('2. Output kostprijs'!$D$16:$Z$16, COLUMN(E1)*2-1)</f>
        <v/>
      </c>
      <c r="I37" s="122" t="str">
        <f ca="1">INDEX('2. Output kostprijs'!$D$16:$Z$16, COLUMN(F1)*2-1)</f>
        <v/>
      </c>
      <c r="J37" s="122" t="str">
        <f ca="1">INDEX('2. Output kostprijs'!$D$16:$Z$16, COLUMN(G1)*2-1)</f>
        <v/>
      </c>
      <c r="K37" s="122" t="str">
        <f ca="1">INDEX('2. Output kostprijs'!$D$16:$Z$16, COLUMN(H1)*2-1)</f>
        <v/>
      </c>
      <c r="L37" s="122" t="str">
        <f ca="1">INDEX('2. Output kostprijs'!$D$16:$Z$16, COLUMN(I1)*2-1)</f>
        <v/>
      </c>
      <c r="M37" s="122" t="str">
        <f ca="1">INDEX('2. Output kostprijs'!$D$16:$Z$16, COLUMN(J1)*2-1)</f>
        <v/>
      </c>
      <c r="N37" s="122" t="str">
        <f ca="1">INDEX('2. Output kostprijs'!$D$16:$Z$16, COLUMN(K1)*2-1)</f>
        <v/>
      </c>
      <c r="O37" s="122" t="str">
        <f ca="1">INDEX('2. Output kostprijs'!$D$16:$Z$16, COLUMN(L1)*2-1)</f>
        <v/>
      </c>
    </row>
    <row r="38" spans="2:15" outlineLevel="1" x14ac:dyDescent="0.45">
      <c r="B38" s="938" t="s">
        <v>45</v>
      </c>
      <c r="C38" s="939"/>
      <c r="D38" s="113" t="s">
        <v>779</v>
      </c>
      <c r="E38" s="113" t="s">
        <v>779</v>
      </c>
      <c r="F38" s="113" t="s">
        <v>779</v>
      </c>
      <c r="G38" s="113" t="s">
        <v>779</v>
      </c>
      <c r="H38" s="113" t="s">
        <v>779</v>
      </c>
      <c r="I38" s="113" t="s">
        <v>779</v>
      </c>
      <c r="J38" s="113" t="s">
        <v>779</v>
      </c>
      <c r="K38" s="113" t="s">
        <v>779</v>
      </c>
      <c r="L38" s="113" t="s">
        <v>779</v>
      </c>
      <c r="M38" s="113" t="s">
        <v>779</v>
      </c>
      <c r="N38" s="113" t="s">
        <v>779</v>
      </c>
      <c r="O38" s="114" t="s">
        <v>779</v>
      </c>
    </row>
    <row r="39" spans="2:15" outlineLevel="1" x14ac:dyDescent="0.45">
      <c r="B39" s="859" t="s">
        <v>46</v>
      </c>
      <c r="C39" s="860"/>
      <c r="D39" s="115" t="s">
        <v>779</v>
      </c>
      <c r="E39" s="115" t="s">
        <v>779</v>
      </c>
      <c r="F39" s="115" t="s">
        <v>779</v>
      </c>
      <c r="G39" s="115" t="s">
        <v>779</v>
      </c>
      <c r="H39" s="115" t="s">
        <v>779</v>
      </c>
      <c r="I39" s="115" t="s">
        <v>779</v>
      </c>
      <c r="J39" s="115" t="s">
        <v>779</v>
      </c>
      <c r="K39" s="115" t="s">
        <v>779</v>
      </c>
      <c r="L39" s="115" t="s">
        <v>779</v>
      </c>
      <c r="M39" s="115" t="s">
        <v>779</v>
      </c>
      <c r="N39" s="115" t="s">
        <v>779</v>
      </c>
      <c r="O39" s="116" t="s">
        <v>779</v>
      </c>
    </row>
    <row r="40" spans="2:15" outlineLevel="1" x14ac:dyDescent="0.45">
      <c r="B40" s="859" t="s">
        <v>47</v>
      </c>
      <c r="C40" s="860"/>
      <c r="D40" s="115" t="s">
        <v>779</v>
      </c>
      <c r="E40" s="115" t="s">
        <v>779</v>
      </c>
      <c r="F40" s="115" t="s">
        <v>779</v>
      </c>
      <c r="G40" s="115" t="s">
        <v>779</v>
      </c>
      <c r="H40" s="115" t="s">
        <v>779</v>
      </c>
      <c r="I40" s="115" t="s">
        <v>779</v>
      </c>
      <c r="J40" s="115" t="s">
        <v>779</v>
      </c>
      <c r="K40" s="115" t="s">
        <v>779</v>
      </c>
      <c r="L40" s="115" t="s">
        <v>779</v>
      </c>
      <c r="M40" s="115" t="s">
        <v>779</v>
      </c>
      <c r="N40" s="115" t="s">
        <v>779</v>
      </c>
      <c r="O40" s="116" t="s">
        <v>779</v>
      </c>
    </row>
    <row r="41" spans="2:15" outlineLevel="1" x14ac:dyDescent="0.45">
      <c r="B41" s="859" t="s">
        <v>48</v>
      </c>
      <c r="C41" s="860"/>
      <c r="D41" s="115" t="s">
        <v>779</v>
      </c>
      <c r="E41" s="115" t="s">
        <v>779</v>
      </c>
      <c r="F41" s="115" t="s">
        <v>779</v>
      </c>
      <c r="G41" s="115" t="s">
        <v>779</v>
      </c>
      <c r="H41" s="115" t="s">
        <v>779</v>
      </c>
      <c r="I41" s="115" t="s">
        <v>779</v>
      </c>
      <c r="J41" s="115" t="s">
        <v>779</v>
      </c>
      <c r="K41" s="115" t="s">
        <v>779</v>
      </c>
      <c r="L41" s="115" t="s">
        <v>779</v>
      </c>
      <c r="M41" s="115" t="s">
        <v>779</v>
      </c>
      <c r="N41" s="115" t="s">
        <v>779</v>
      </c>
      <c r="O41" s="116" t="s">
        <v>779</v>
      </c>
    </row>
    <row r="42" spans="2:15" ht="14.65" outlineLevel="1" thickBot="1" x14ac:dyDescent="0.5">
      <c r="B42" s="940" t="s">
        <v>49</v>
      </c>
      <c r="C42" s="941"/>
      <c r="D42" s="117" t="s">
        <v>779</v>
      </c>
      <c r="E42" s="117" t="s">
        <v>779</v>
      </c>
      <c r="F42" s="117" t="s">
        <v>779</v>
      </c>
      <c r="G42" s="117" t="s">
        <v>779</v>
      </c>
      <c r="H42" s="117" t="s">
        <v>779</v>
      </c>
      <c r="I42" s="117" t="s">
        <v>779</v>
      </c>
      <c r="J42" s="117" t="s">
        <v>779</v>
      </c>
      <c r="K42" s="117" t="s">
        <v>779</v>
      </c>
      <c r="L42" s="117" t="s">
        <v>779</v>
      </c>
      <c r="M42" s="117" t="s">
        <v>779</v>
      </c>
      <c r="N42" s="117" t="s">
        <v>779</v>
      </c>
      <c r="O42" s="118" t="s">
        <v>779</v>
      </c>
    </row>
    <row r="43" spans="2:15" outlineLevel="1" x14ac:dyDescent="0.45"/>
    <row r="44" spans="2:15" ht="18" outlineLevel="1" x14ac:dyDescent="0.55000000000000004">
      <c r="B44" s="46" t="s">
        <v>789</v>
      </c>
    </row>
    <row r="45" spans="2:15" ht="14.65" outlineLevel="1" thickBot="1" x14ac:dyDescent="0.5">
      <c r="D45" s="122" t="str">
        <f ca="1">INDEX('2. Output kostprijs'!$D$16:$Z$16, COLUMN(A9)*2-1)</f>
        <v/>
      </c>
      <c r="E45" s="122" t="str">
        <f ca="1">INDEX('2. Output kostprijs'!$D$16:$Z$16, COLUMN(B9)*2-1)</f>
        <v/>
      </c>
      <c r="F45" s="122" t="str">
        <f ca="1">INDEX('2. Output kostprijs'!$D$16:$Z$16, COLUMN(C9)*2-1)</f>
        <v/>
      </c>
      <c r="G45" s="122" t="str">
        <f ca="1">INDEX('2. Output kostprijs'!$D$16:$Z$16, COLUMN(D9)*2-1)</f>
        <v/>
      </c>
      <c r="H45" s="122" t="str">
        <f ca="1">INDEX('2. Output kostprijs'!$D$16:$Z$16, COLUMN(E9)*2-1)</f>
        <v/>
      </c>
      <c r="I45" s="122" t="str">
        <f ca="1">INDEX('2. Output kostprijs'!$D$16:$Z$16, COLUMN(F9)*2-1)</f>
        <v/>
      </c>
      <c r="J45" s="122" t="str">
        <f ca="1">INDEX('2. Output kostprijs'!$D$16:$Z$16, COLUMN(G9)*2-1)</f>
        <v/>
      </c>
      <c r="K45" s="122" t="str">
        <f ca="1">INDEX('2. Output kostprijs'!$D$16:$Z$16, COLUMN(H9)*2-1)</f>
        <v/>
      </c>
      <c r="L45" s="122" t="str">
        <f ca="1">INDEX('2. Output kostprijs'!$D$16:$Z$16, COLUMN(I9)*2-1)</f>
        <v/>
      </c>
      <c r="M45" s="122" t="str">
        <f ca="1">INDEX('2. Output kostprijs'!$D$16:$Z$16, COLUMN(J9)*2-1)</f>
        <v/>
      </c>
      <c r="N45" s="122" t="str">
        <f ca="1">INDEX('2. Output kostprijs'!$D$16:$Z$16, COLUMN(K9)*2-1)</f>
        <v/>
      </c>
      <c r="O45" s="122" t="str">
        <f ca="1">INDEX('2. Output kostprijs'!$D$16:$Z$16, COLUMN(L9)*2-1)</f>
        <v/>
      </c>
    </row>
    <row r="46" spans="2:15" outlineLevel="1" x14ac:dyDescent="0.45">
      <c r="B46" s="938" t="s">
        <v>34</v>
      </c>
      <c r="C46" s="939"/>
      <c r="D46" s="113" t="s">
        <v>779</v>
      </c>
      <c r="E46" s="113" t="s">
        <v>779</v>
      </c>
      <c r="F46" s="113" t="s">
        <v>779</v>
      </c>
      <c r="G46" s="113" t="s">
        <v>779</v>
      </c>
      <c r="H46" s="113" t="s">
        <v>779</v>
      </c>
      <c r="I46" s="113" t="s">
        <v>779</v>
      </c>
      <c r="J46" s="113" t="s">
        <v>779</v>
      </c>
      <c r="K46" s="113" t="s">
        <v>779</v>
      </c>
      <c r="L46" s="113" t="s">
        <v>779</v>
      </c>
      <c r="M46" s="113" t="s">
        <v>779</v>
      </c>
      <c r="N46" s="113" t="s">
        <v>779</v>
      </c>
      <c r="O46" s="114" t="s">
        <v>779</v>
      </c>
    </row>
    <row r="47" spans="2:15" outlineLevel="1" x14ac:dyDescent="0.45">
      <c r="B47" s="859" t="s">
        <v>782</v>
      </c>
      <c r="C47" s="860"/>
      <c r="D47" s="115" t="s">
        <v>779</v>
      </c>
      <c r="E47" s="115" t="s">
        <v>779</v>
      </c>
      <c r="F47" s="115" t="s">
        <v>779</v>
      </c>
      <c r="G47" s="115" t="s">
        <v>779</v>
      </c>
      <c r="H47" s="115" t="s">
        <v>779</v>
      </c>
      <c r="I47" s="115" t="s">
        <v>779</v>
      </c>
      <c r="J47" s="115" t="s">
        <v>779</v>
      </c>
      <c r="K47" s="115" t="s">
        <v>779</v>
      </c>
      <c r="L47" s="115" t="s">
        <v>779</v>
      </c>
      <c r="M47" s="115" t="s">
        <v>779</v>
      </c>
      <c r="N47" s="115" t="s">
        <v>779</v>
      </c>
      <c r="O47" s="116" t="s">
        <v>779</v>
      </c>
    </row>
    <row r="48" spans="2:15" outlineLevel="1" x14ac:dyDescent="0.45">
      <c r="B48" s="859" t="s">
        <v>790</v>
      </c>
      <c r="C48" s="860"/>
      <c r="D48" s="115" t="s">
        <v>779</v>
      </c>
      <c r="E48" s="115" t="s">
        <v>779</v>
      </c>
      <c r="F48" s="115" t="s">
        <v>779</v>
      </c>
      <c r="G48" s="115" t="s">
        <v>779</v>
      </c>
      <c r="H48" s="115" t="s">
        <v>779</v>
      </c>
      <c r="I48" s="115" t="s">
        <v>779</v>
      </c>
      <c r="J48" s="115" t="s">
        <v>779</v>
      </c>
      <c r="K48" s="115" t="s">
        <v>779</v>
      </c>
      <c r="L48" s="115" t="s">
        <v>779</v>
      </c>
      <c r="M48" s="115" t="s">
        <v>779</v>
      </c>
      <c r="N48" s="115" t="s">
        <v>779</v>
      </c>
      <c r="O48" s="116" t="s">
        <v>779</v>
      </c>
    </row>
    <row r="49" spans="2:15" outlineLevel="1" x14ac:dyDescent="0.45">
      <c r="B49" s="859" t="s">
        <v>781</v>
      </c>
      <c r="C49" s="860"/>
      <c r="D49" s="115" t="s">
        <v>779</v>
      </c>
      <c r="E49" s="115" t="s">
        <v>779</v>
      </c>
      <c r="F49" s="115" t="s">
        <v>779</v>
      </c>
      <c r="G49" s="115" t="s">
        <v>779</v>
      </c>
      <c r="H49" s="115" t="s">
        <v>779</v>
      </c>
      <c r="I49" s="115" t="s">
        <v>779</v>
      </c>
      <c r="J49" s="115" t="s">
        <v>779</v>
      </c>
      <c r="K49" s="115" t="s">
        <v>779</v>
      </c>
      <c r="L49" s="115" t="s">
        <v>779</v>
      </c>
      <c r="M49" s="115" t="s">
        <v>779</v>
      </c>
      <c r="N49" s="115" t="s">
        <v>779</v>
      </c>
      <c r="O49" s="116" t="s">
        <v>779</v>
      </c>
    </row>
    <row r="50" spans="2:15" outlineLevel="1" x14ac:dyDescent="0.45">
      <c r="B50" s="946" t="s">
        <v>791</v>
      </c>
      <c r="C50" s="947"/>
      <c r="D50" s="115" t="s">
        <v>779</v>
      </c>
      <c r="E50" s="115" t="s">
        <v>779</v>
      </c>
      <c r="F50" s="115" t="s">
        <v>779</v>
      </c>
      <c r="G50" s="115" t="s">
        <v>779</v>
      </c>
      <c r="H50" s="115" t="s">
        <v>779</v>
      </c>
      <c r="I50" s="115" t="s">
        <v>779</v>
      </c>
      <c r="J50" s="115" t="s">
        <v>779</v>
      </c>
      <c r="K50" s="115" t="s">
        <v>779</v>
      </c>
      <c r="L50" s="115" t="s">
        <v>779</v>
      </c>
      <c r="M50" s="115" t="s">
        <v>779</v>
      </c>
      <c r="N50" s="115" t="s">
        <v>779</v>
      </c>
      <c r="O50" s="116" t="s">
        <v>779</v>
      </c>
    </row>
    <row r="51" spans="2:15" ht="14.65" outlineLevel="1" thickBot="1" x14ac:dyDescent="0.5">
      <c r="B51" s="944" t="s">
        <v>792</v>
      </c>
      <c r="C51" s="945"/>
      <c r="D51" s="119" t="s">
        <v>779</v>
      </c>
      <c r="E51" s="119" t="s">
        <v>779</v>
      </c>
      <c r="F51" s="119" t="s">
        <v>779</v>
      </c>
      <c r="G51" s="119" t="s">
        <v>779</v>
      </c>
      <c r="H51" s="119" t="s">
        <v>779</v>
      </c>
      <c r="I51" s="119" t="s">
        <v>779</v>
      </c>
      <c r="J51" s="119" t="s">
        <v>779</v>
      </c>
      <c r="K51" s="119" t="s">
        <v>779</v>
      </c>
      <c r="L51" s="119" t="s">
        <v>779</v>
      </c>
      <c r="M51" s="119" t="s">
        <v>779</v>
      </c>
      <c r="N51" s="119" t="s">
        <v>779</v>
      </c>
      <c r="O51" s="118" t="s">
        <v>779</v>
      </c>
    </row>
    <row r="52" spans="2:15" outlineLevel="1" x14ac:dyDescent="0.45"/>
    <row r="53" spans="2:15" outlineLevel="1" x14ac:dyDescent="0.45"/>
    <row r="54" spans="2:15" ht="21" outlineLevel="1" x14ac:dyDescent="0.65">
      <c r="B54" s="112" t="str">
        <f>HYPERLINK("#'1c. Input functiemix'!A1", "1c. Input functiemix")</f>
        <v>1c. Input functiemix</v>
      </c>
      <c r="C54" s="121"/>
    </row>
    <row r="55" spans="2:15" outlineLevel="1" x14ac:dyDescent="0.45"/>
    <row r="56" spans="2:15" ht="18" outlineLevel="1" x14ac:dyDescent="0.55000000000000004">
      <c r="B56" s="46" t="s">
        <v>775</v>
      </c>
    </row>
    <row r="57" spans="2:15" ht="14.65" outlineLevel="1" thickBot="1" x14ac:dyDescent="0.5">
      <c r="D57" s="122" t="str">
        <f ca="1">INDEX('2. Output kostprijs'!$D$16:$Z$16, COLUMN(A21)*2-1)</f>
        <v/>
      </c>
      <c r="E57" s="122" t="str">
        <f ca="1">INDEX('2. Output kostprijs'!$D$16:$Z$16, COLUMN(B21)*2-1)</f>
        <v/>
      </c>
      <c r="F57" s="122" t="str">
        <f ca="1">INDEX('2. Output kostprijs'!$D$16:$Z$16, COLUMN(C21)*2-1)</f>
        <v/>
      </c>
      <c r="G57" s="122" t="str">
        <f ca="1">INDEX('2. Output kostprijs'!$D$16:$Z$16, COLUMN(D21)*2-1)</f>
        <v/>
      </c>
      <c r="H57" s="122" t="str">
        <f ca="1">INDEX('2. Output kostprijs'!$D$16:$Z$16, COLUMN(E21)*2-1)</f>
        <v/>
      </c>
      <c r="I57" s="122" t="str">
        <f ca="1">INDEX('2. Output kostprijs'!$D$16:$Z$16, COLUMN(F21)*2-1)</f>
        <v/>
      </c>
      <c r="J57" s="122" t="str">
        <f ca="1">INDEX('2. Output kostprijs'!$D$16:$Z$16, COLUMN(G21)*2-1)</f>
        <v/>
      </c>
      <c r="K57" s="122" t="str">
        <f ca="1">INDEX('2. Output kostprijs'!$D$16:$Z$16, COLUMN(H21)*2-1)</f>
        <v/>
      </c>
      <c r="L57" s="122" t="str">
        <f ca="1">INDEX('2. Output kostprijs'!$D$16:$Z$16, COLUMN(I21)*2-1)</f>
        <v/>
      </c>
      <c r="M57" s="122" t="str">
        <f ca="1">INDEX('2. Output kostprijs'!$D$16:$Z$16, COLUMN(J21)*2-1)</f>
        <v/>
      </c>
      <c r="N57" s="122" t="str">
        <f ca="1">INDEX('2. Output kostprijs'!$D$16:$Z$16, COLUMN(K21)*2-1)</f>
        <v/>
      </c>
      <c r="O57" s="122" t="str">
        <f ca="1">INDEX('2. Output kostprijs'!$D$16:$Z$16, COLUMN(L21)*2-1)</f>
        <v/>
      </c>
    </row>
    <row r="58" spans="2:15" outlineLevel="1" x14ac:dyDescent="0.45">
      <c r="B58" s="938" t="s">
        <v>770</v>
      </c>
      <c r="C58" s="939"/>
      <c r="D58" s="113" t="s">
        <v>779</v>
      </c>
      <c r="E58" s="113" t="s">
        <v>779</v>
      </c>
      <c r="F58" s="113" t="s">
        <v>779</v>
      </c>
      <c r="G58" s="113" t="s">
        <v>779</v>
      </c>
      <c r="H58" s="113" t="s">
        <v>779</v>
      </c>
      <c r="I58" s="113" t="s">
        <v>779</v>
      </c>
      <c r="J58" s="113" t="s">
        <v>779</v>
      </c>
      <c r="K58" s="113" t="s">
        <v>779</v>
      </c>
      <c r="L58" s="113" t="s">
        <v>779</v>
      </c>
      <c r="M58" s="113" t="s">
        <v>779</v>
      </c>
      <c r="N58" s="113" t="s">
        <v>779</v>
      </c>
      <c r="O58" s="114" t="s">
        <v>779</v>
      </c>
    </row>
    <row r="59" spans="2:15" outlineLevel="1" x14ac:dyDescent="0.45">
      <c r="B59" s="859" t="s">
        <v>793</v>
      </c>
      <c r="C59" s="860"/>
      <c r="D59" s="115" t="s">
        <v>779</v>
      </c>
      <c r="E59" s="115" t="s">
        <v>779</v>
      </c>
      <c r="F59" s="115" t="s">
        <v>779</v>
      </c>
      <c r="G59" s="115" t="s">
        <v>779</v>
      </c>
      <c r="H59" s="115" t="s">
        <v>779</v>
      </c>
      <c r="I59" s="115" t="s">
        <v>779</v>
      </c>
      <c r="J59" s="115" t="s">
        <v>779</v>
      </c>
      <c r="K59" s="115" t="s">
        <v>779</v>
      </c>
      <c r="L59" s="115" t="s">
        <v>779</v>
      </c>
      <c r="M59" s="115" t="s">
        <v>779</v>
      </c>
      <c r="N59" s="115" t="s">
        <v>779</v>
      </c>
      <c r="O59" s="116" t="s">
        <v>779</v>
      </c>
    </row>
    <row r="60" spans="2:15" ht="14.65" outlineLevel="1" thickBot="1" x14ac:dyDescent="0.5">
      <c r="B60" s="940" t="s">
        <v>794</v>
      </c>
      <c r="C60" s="941"/>
      <c r="D60" s="119" t="s">
        <v>779</v>
      </c>
      <c r="E60" s="119" t="s">
        <v>779</v>
      </c>
      <c r="F60" s="119" t="s">
        <v>779</v>
      </c>
      <c r="G60" s="119" t="s">
        <v>779</v>
      </c>
      <c r="H60" s="119" t="s">
        <v>779</v>
      </c>
      <c r="I60" s="119" t="s">
        <v>779</v>
      </c>
      <c r="J60" s="119" t="s">
        <v>779</v>
      </c>
      <c r="K60" s="119" t="s">
        <v>779</v>
      </c>
      <c r="L60" s="119" t="s">
        <v>779</v>
      </c>
      <c r="M60" s="119" t="s">
        <v>779</v>
      </c>
      <c r="N60" s="119" t="s">
        <v>779</v>
      </c>
      <c r="O60" s="118" t="s">
        <v>779</v>
      </c>
    </row>
    <row r="61" spans="2:15" outlineLevel="1" x14ac:dyDescent="0.45"/>
    <row r="62" spans="2:15" ht="15.75" x14ac:dyDescent="0.5">
      <c r="B62" s="215"/>
    </row>
    <row r="63" spans="2:15" ht="21" outlineLevel="1" x14ac:dyDescent="0.65">
      <c r="B63" s="112" t="str">
        <f>HYPERLINK("#'3. Gezinshuis producten'!A1", "1g. Input gezinshuis")</f>
        <v>1g. Input gezinshuis</v>
      </c>
    </row>
    <row r="64" spans="2:15" outlineLevel="1" x14ac:dyDescent="0.45"/>
    <row r="65" spans="2:6" ht="14.55" customHeight="1" outlineLevel="1" x14ac:dyDescent="0.45">
      <c r="B65" s="791" t="s">
        <v>801</v>
      </c>
      <c r="C65" s="791"/>
      <c r="D65" s="791"/>
      <c r="E65" s="791"/>
      <c r="F65" s="791"/>
    </row>
    <row r="66" spans="2:6" ht="15" customHeight="1" outlineLevel="1" thickBot="1" x14ac:dyDescent="0.5">
      <c r="B66" s="792"/>
      <c r="C66" s="792"/>
      <c r="D66" s="792"/>
      <c r="E66" s="792"/>
      <c r="F66" s="792"/>
    </row>
    <row r="67" spans="2:6" ht="14.65" outlineLevel="1" thickBot="1" x14ac:dyDescent="0.5">
      <c r="B67" s="942" t="s">
        <v>822</v>
      </c>
      <c r="C67" s="943"/>
      <c r="D67" s="180" t="str">
        <f>'3. Gezinshuis producten'!I6</f>
        <v>Gezinshuis, licht</v>
      </c>
      <c r="E67" s="180" t="str">
        <f>'3. Gezinshuis producten'!J6</f>
        <v>Gezinshuis, midden</v>
      </c>
      <c r="F67" s="181" t="str">
        <f>'3. Gezinshuis producten'!K6</f>
        <v>Gezinshuis, zwaar</v>
      </c>
    </row>
    <row r="68" spans="2:6" ht="14.65" outlineLevel="1" thickBot="1" x14ac:dyDescent="0.5">
      <c r="B68" s="97" t="s">
        <v>749</v>
      </c>
      <c r="C68" s="184"/>
      <c r="D68" s="179"/>
      <c r="E68" s="179"/>
      <c r="F68" s="98"/>
    </row>
    <row r="69" spans="2:6" outlineLevel="1" x14ac:dyDescent="0.45">
      <c r="B69" s="938" t="s">
        <v>805</v>
      </c>
      <c r="C69" s="939"/>
      <c r="D69" s="185" t="s">
        <v>779</v>
      </c>
      <c r="E69" s="185" t="s">
        <v>779</v>
      </c>
      <c r="F69" s="195" t="s">
        <v>779</v>
      </c>
    </row>
    <row r="70" spans="2:6" ht="14.65" outlineLevel="1" thickBot="1" x14ac:dyDescent="0.5">
      <c r="B70" s="940" t="s">
        <v>823</v>
      </c>
      <c r="C70" s="941"/>
      <c r="D70" s="115" t="s">
        <v>779</v>
      </c>
      <c r="E70" s="115" t="s">
        <v>779</v>
      </c>
      <c r="F70" s="116" t="s">
        <v>779</v>
      </c>
    </row>
    <row r="71" spans="2:6" ht="14.65" outlineLevel="1" thickBot="1" x14ac:dyDescent="0.5">
      <c r="B71" s="97" t="s">
        <v>808</v>
      </c>
      <c r="C71" s="184"/>
      <c r="D71" s="179"/>
      <c r="E71" s="179"/>
      <c r="F71" s="98"/>
    </row>
    <row r="72" spans="2:6" outlineLevel="1" x14ac:dyDescent="0.45">
      <c r="B72" s="938" t="s">
        <v>824</v>
      </c>
      <c r="C72" s="939"/>
      <c r="D72" s="113" t="s">
        <v>779</v>
      </c>
      <c r="E72" s="113" t="s">
        <v>779</v>
      </c>
      <c r="F72" s="114" t="s">
        <v>779</v>
      </c>
    </row>
    <row r="73" spans="2:6" ht="14.65" outlineLevel="1" thickBot="1" x14ac:dyDescent="0.5">
      <c r="B73" s="940" t="s">
        <v>809</v>
      </c>
      <c r="C73" s="941"/>
      <c r="D73" s="187" t="s">
        <v>779</v>
      </c>
      <c r="E73" s="117" t="s">
        <v>779</v>
      </c>
      <c r="F73" s="118" t="s">
        <v>779</v>
      </c>
    </row>
    <row r="74" spans="2:6" ht="14.65" outlineLevel="1" thickBot="1" x14ac:dyDescent="0.5">
      <c r="B74" s="97" t="s">
        <v>807</v>
      </c>
      <c r="C74" s="184"/>
      <c r="D74" s="179"/>
      <c r="E74" s="179"/>
      <c r="F74" s="98"/>
    </row>
    <row r="75" spans="2:6" outlineLevel="1" x14ac:dyDescent="0.45">
      <c r="B75" s="938" t="s">
        <v>826</v>
      </c>
      <c r="C75" s="939"/>
      <c r="D75" s="113" t="s">
        <v>779</v>
      </c>
      <c r="E75" s="113" t="s">
        <v>779</v>
      </c>
      <c r="F75" s="114" t="s">
        <v>779</v>
      </c>
    </row>
    <row r="76" spans="2:6" outlineLevel="1" x14ac:dyDescent="0.45">
      <c r="B76" s="859" t="s">
        <v>811</v>
      </c>
      <c r="C76" s="860"/>
      <c r="D76" s="186" t="s">
        <v>779</v>
      </c>
      <c r="E76" s="186" t="s">
        <v>779</v>
      </c>
      <c r="F76" s="116" t="s">
        <v>779</v>
      </c>
    </row>
    <row r="77" spans="2:6" ht="14.65" outlineLevel="1" thickBot="1" x14ac:dyDescent="0.5">
      <c r="B77" s="940" t="s">
        <v>810</v>
      </c>
      <c r="C77" s="941"/>
      <c r="D77" s="115" t="s">
        <v>779</v>
      </c>
      <c r="E77" s="115" t="s">
        <v>779</v>
      </c>
      <c r="F77" s="116" t="s">
        <v>779</v>
      </c>
    </row>
    <row r="78" spans="2:6" ht="14.65" outlineLevel="1" thickBot="1" x14ac:dyDescent="0.5">
      <c r="B78" s="97" t="s">
        <v>806</v>
      </c>
      <c r="C78" s="184"/>
      <c r="D78" s="179"/>
      <c r="E78" s="179"/>
      <c r="F78" s="98"/>
    </row>
    <row r="79" spans="2:6" outlineLevel="1" x14ac:dyDescent="0.45">
      <c r="B79" s="938" t="s">
        <v>826</v>
      </c>
      <c r="C79" s="939"/>
      <c r="D79" s="113" t="s">
        <v>779</v>
      </c>
      <c r="E79" s="113" t="s">
        <v>779</v>
      </c>
      <c r="F79" s="114" t="s">
        <v>779</v>
      </c>
    </row>
    <row r="80" spans="2:6" outlineLevel="1" x14ac:dyDescent="0.45">
      <c r="B80" s="859" t="s">
        <v>811</v>
      </c>
      <c r="C80" s="860"/>
      <c r="D80" s="115" t="s">
        <v>779</v>
      </c>
      <c r="E80" s="115" t="s">
        <v>779</v>
      </c>
      <c r="F80" s="116" t="s">
        <v>779</v>
      </c>
    </row>
    <row r="81" spans="2:6" ht="14.65" outlineLevel="1" thickBot="1" x14ac:dyDescent="0.5">
      <c r="B81" s="940" t="s">
        <v>810</v>
      </c>
      <c r="C81" s="941"/>
      <c r="D81" s="115" t="s">
        <v>779</v>
      </c>
      <c r="E81" s="115" t="s">
        <v>779</v>
      </c>
      <c r="F81" s="116" t="s">
        <v>779</v>
      </c>
    </row>
    <row r="82" spans="2:6" ht="14.65" outlineLevel="1" thickBot="1" x14ac:dyDescent="0.5">
      <c r="B82" s="97" t="s">
        <v>812</v>
      </c>
      <c r="C82" s="97"/>
      <c r="D82" s="179"/>
      <c r="E82" s="179"/>
      <c r="F82" s="98"/>
    </row>
    <row r="83" spans="2:6" outlineLevel="1" x14ac:dyDescent="0.45">
      <c r="B83" s="938" t="s">
        <v>816</v>
      </c>
      <c r="C83" s="939"/>
      <c r="D83" s="113" t="s">
        <v>779</v>
      </c>
      <c r="E83" s="113" t="s">
        <v>779</v>
      </c>
      <c r="F83" s="114" t="s">
        <v>779</v>
      </c>
    </row>
    <row r="84" spans="2:6" outlineLevel="1" x14ac:dyDescent="0.45">
      <c r="B84" s="859" t="s">
        <v>813</v>
      </c>
      <c r="C84" s="860"/>
      <c r="D84" s="115" t="s">
        <v>779</v>
      </c>
      <c r="E84" s="115" t="s">
        <v>779</v>
      </c>
      <c r="F84" s="116" t="s">
        <v>779</v>
      </c>
    </row>
    <row r="85" spans="2:6" outlineLevel="1" x14ac:dyDescent="0.45">
      <c r="B85" s="859" t="s">
        <v>814</v>
      </c>
      <c r="C85" s="860"/>
      <c r="D85" s="115" t="s">
        <v>779</v>
      </c>
      <c r="E85" s="115" t="s">
        <v>779</v>
      </c>
      <c r="F85" s="116" t="s">
        <v>779</v>
      </c>
    </row>
    <row r="86" spans="2:6" ht="14.65" outlineLevel="1" thickBot="1" x14ac:dyDescent="0.5">
      <c r="B86" s="940" t="s">
        <v>815</v>
      </c>
      <c r="C86" s="941"/>
      <c r="D86" s="117" t="s">
        <v>779</v>
      </c>
      <c r="E86" s="117" t="s">
        <v>779</v>
      </c>
      <c r="F86" s="118" t="s">
        <v>779</v>
      </c>
    </row>
    <row r="87" spans="2:6" ht="14.65" outlineLevel="1" thickBot="1" x14ac:dyDescent="0.5">
      <c r="B87" s="97" t="s">
        <v>825</v>
      </c>
      <c r="C87" s="184"/>
      <c r="D87" s="179"/>
      <c r="E87" s="179"/>
      <c r="F87" s="98"/>
    </row>
    <row r="88" spans="2:6" outlineLevel="1" x14ac:dyDescent="0.45">
      <c r="B88" s="938" t="s">
        <v>817</v>
      </c>
      <c r="C88" s="939"/>
      <c r="D88" s="113" t="s">
        <v>779</v>
      </c>
      <c r="E88" s="113" t="s">
        <v>779</v>
      </c>
      <c r="F88" s="114" t="s">
        <v>779</v>
      </c>
    </row>
    <row r="89" spans="2:6" ht="14.65" outlineLevel="1" thickBot="1" x14ac:dyDescent="0.5">
      <c r="B89" s="940" t="s">
        <v>818</v>
      </c>
      <c r="C89" s="941"/>
      <c r="D89" s="115" t="s">
        <v>779</v>
      </c>
      <c r="E89" s="115" t="s">
        <v>779</v>
      </c>
      <c r="F89" s="116" t="s">
        <v>779</v>
      </c>
    </row>
    <row r="90" spans="2:6" ht="14.65" outlineLevel="1" thickBot="1" x14ac:dyDescent="0.5">
      <c r="B90" s="97" t="s">
        <v>70</v>
      </c>
      <c r="C90" s="184"/>
      <c r="D90" s="179"/>
      <c r="E90" s="179"/>
      <c r="F90" s="98"/>
    </row>
    <row r="91" spans="2:6" outlineLevel="1" x14ac:dyDescent="0.45">
      <c r="B91" s="938" t="s">
        <v>819</v>
      </c>
      <c r="C91" s="939"/>
      <c r="D91" s="188" t="s">
        <v>779</v>
      </c>
      <c r="E91" s="188" t="s">
        <v>779</v>
      </c>
      <c r="F91" s="196" t="s">
        <v>779</v>
      </c>
    </row>
    <row r="92" spans="2:6" outlineLevel="1" x14ac:dyDescent="0.45">
      <c r="B92" s="859" t="s">
        <v>820</v>
      </c>
      <c r="C92" s="860"/>
      <c r="D92" s="189" t="s">
        <v>779</v>
      </c>
      <c r="E92" s="189" t="s">
        <v>779</v>
      </c>
      <c r="F92" s="197" t="s">
        <v>779</v>
      </c>
    </row>
    <row r="93" spans="2:6" ht="14.65" outlineLevel="1" thickBot="1" x14ac:dyDescent="0.5">
      <c r="B93" s="940" t="s">
        <v>821</v>
      </c>
      <c r="C93" s="941"/>
      <c r="D93" s="117" t="s">
        <v>779</v>
      </c>
      <c r="E93" s="117" t="s">
        <v>779</v>
      </c>
      <c r="F93" s="118" t="s">
        <v>779</v>
      </c>
    </row>
    <row r="94" spans="2:6" outlineLevel="1" x14ac:dyDescent="0.45"/>
    <row r="95" spans="2:6" outlineLevel="1" x14ac:dyDescent="0.45"/>
    <row r="97" spans="2:5" ht="21" outlineLevel="1" x14ac:dyDescent="0.65">
      <c r="B97" s="112" t="str">
        <f>HYPERLINK("#'4. Pleegzorg producten'!A1", "1p. Input pleegzorg")</f>
        <v>1p. Input pleegzorg</v>
      </c>
    </row>
    <row r="98" spans="2:5" outlineLevel="1" x14ac:dyDescent="0.45"/>
    <row r="99" spans="2:5" outlineLevel="1" x14ac:dyDescent="0.45">
      <c r="B99" s="791" t="s">
        <v>916</v>
      </c>
      <c r="C99" s="791"/>
      <c r="D99" s="791"/>
      <c r="E99" s="791"/>
    </row>
    <row r="100" spans="2:5" ht="14.65" outlineLevel="1" thickBot="1" x14ac:dyDescent="0.5">
      <c r="B100" s="791"/>
      <c r="C100" s="791"/>
      <c r="D100" s="791"/>
      <c r="E100" s="791"/>
    </row>
    <row r="101" spans="2:5" ht="14.65" outlineLevel="1" thickBot="1" x14ac:dyDescent="0.5">
      <c r="B101" s="97" t="s">
        <v>898</v>
      </c>
      <c r="C101" s="98"/>
      <c r="E101" s="25" t="s">
        <v>912</v>
      </c>
    </row>
    <row r="102" spans="2:5" ht="14.65" outlineLevel="1" thickBot="1" x14ac:dyDescent="0.5">
      <c r="B102" s="3" t="s">
        <v>911</v>
      </c>
      <c r="C102" s="238" t="s">
        <v>779</v>
      </c>
      <c r="E102" s="247" t="s">
        <v>779</v>
      </c>
    </row>
    <row r="103" spans="2:5" ht="14.65" outlineLevel="1" thickBot="1" x14ac:dyDescent="0.5">
      <c r="B103" s="97" t="s">
        <v>913</v>
      </c>
      <c r="C103" s="200"/>
      <c r="D103" s="790" t="s">
        <v>926</v>
      </c>
      <c r="E103" s="204"/>
    </row>
    <row r="104" spans="2:5" outlineLevel="1" x14ac:dyDescent="0.45">
      <c r="B104" s="1" t="s">
        <v>908</v>
      </c>
      <c r="C104" s="114" t="s">
        <v>779</v>
      </c>
      <c r="D104" s="790"/>
      <c r="E104" s="244" t="s">
        <v>779</v>
      </c>
    </row>
    <row r="105" spans="2:5" outlineLevel="1" x14ac:dyDescent="0.45">
      <c r="B105" s="2" t="s">
        <v>909</v>
      </c>
      <c r="C105" s="116" t="s">
        <v>779</v>
      </c>
      <c r="D105" s="790"/>
      <c r="E105" s="245" t="s">
        <v>779</v>
      </c>
    </row>
    <row r="106" spans="2:5" ht="14.65" outlineLevel="1" thickBot="1" x14ac:dyDescent="0.5">
      <c r="B106" s="3" t="s">
        <v>910</v>
      </c>
      <c r="C106" s="118" t="s">
        <v>779</v>
      </c>
      <c r="D106" s="201"/>
      <c r="E106" s="246" t="s">
        <v>779</v>
      </c>
    </row>
    <row r="107" spans="2:5" ht="14.65" outlineLevel="1" thickBot="1" x14ac:dyDescent="0.5">
      <c r="B107" s="97" t="s">
        <v>932</v>
      </c>
      <c r="C107" s="98"/>
    </row>
    <row r="108" spans="2:5" outlineLevel="1" x14ac:dyDescent="0.45">
      <c r="B108" s="2" t="s">
        <v>930</v>
      </c>
      <c r="C108" s="239" t="s">
        <v>779</v>
      </c>
    </row>
    <row r="109" spans="2:5" outlineLevel="1" x14ac:dyDescent="0.45">
      <c r="B109" s="2" t="s">
        <v>927</v>
      </c>
      <c r="C109" s="240" t="s">
        <v>779</v>
      </c>
    </row>
    <row r="110" spans="2:5" outlineLevel="1" x14ac:dyDescent="0.45">
      <c r="B110" s="2" t="s">
        <v>928</v>
      </c>
      <c r="C110" s="240" t="s">
        <v>779</v>
      </c>
    </row>
    <row r="111" spans="2:5" outlineLevel="1" x14ac:dyDescent="0.45">
      <c r="B111" s="2" t="s">
        <v>929</v>
      </c>
      <c r="C111" s="240" t="s">
        <v>779</v>
      </c>
    </row>
    <row r="112" spans="2:5" ht="14.65" outlineLevel="1" thickBot="1" x14ac:dyDescent="0.5">
      <c r="B112" s="3" t="s">
        <v>897</v>
      </c>
      <c r="C112" s="241" t="s">
        <v>779</v>
      </c>
    </row>
    <row r="113" spans="2:4" ht="14.65" outlineLevel="1" thickBot="1" x14ac:dyDescent="0.5">
      <c r="B113" s="97" t="s">
        <v>906</v>
      </c>
      <c r="C113" s="98"/>
    </row>
    <row r="114" spans="2:4" ht="14.65" outlineLevel="1" thickBot="1" x14ac:dyDescent="0.5">
      <c r="B114" s="3" t="s">
        <v>899</v>
      </c>
      <c r="C114" s="242" t="s">
        <v>779</v>
      </c>
    </row>
    <row r="115" spans="2:4" ht="14.65" outlineLevel="1" thickBot="1" x14ac:dyDescent="0.5">
      <c r="B115" s="97"/>
      <c r="C115" s="199" t="s">
        <v>902</v>
      </c>
      <c r="D115" s="200" t="s">
        <v>903</v>
      </c>
    </row>
    <row r="116" spans="2:4" ht="14.65" outlineLevel="1" thickBot="1" x14ac:dyDescent="0.5">
      <c r="B116" s="3" t="s">
        <v>900</v>
      </c>
      <c r="C116" s="243" t="s">
        <v>779</v>
      </c>
      <c r="D116" s="238" t="s">
        <v>779</v>
      </c>
    </row>
    <row r="117" spans="2:4" ht="14.65" outlineLevel="1" thickBot="1" x14ac:dyDescent="0.5">
      <c r="B117" s="97" t="s">
        <v>904</v>
      </c>
      <c r="C117" s="199" t="s">
        <v>896</v>
      </c>
      <c r="D117" s="200" t="s">
        <v>915</v>
      </c>
    </row>
    <row r="118" spans="2:4" ht="14.65" outlineLevel="1" thickBot="1" x14ac:dyDescent="0.5">
      <c r="B118" s="262" t="s">
        <v>950</v>
      </c>
      <c r="C118" s="263" t="s">
        <v>779</v>
      </c>
      <c r="D118" s="264" t="s">
        <v>779</v>
      </c>
    </row>
    <row r="119" spans="2:4" outlineLevel="1" x14ac:dyDescent="0.45"/>
    <row r="120" spans="2:4" outlineLevel="1" x14ac:dyDescent="0.45"/>
    <row r="121" spans="2:4" outlineLevel="1" x14ac:dyDescent="0.45"/>
    <row r="122" spans="2:4" outlineLevel="1" x14ac:dyDescent="0.45"/>
    <row r="123" spans="2:4" outlineLevel="1" x14ac:dyDescent="0.45"/>
    <row r="124" spans="2:4" outlineLevel="1" x14ac:dyDescent="0.45"/>
    <row r="125" spans="2:4" outlineLevel="1" x14ac:dyDescent="0.45"/>
    <row r="126" spans="2:4" outlineLevel="1" x14ac:dyDescent="0.45"/>
    <row r="127" spans="2:4" outlineLevel="1" x14ac:dyDescent="0.45"/>
  </sheetData>
  <mergeCells count="39">
    <mergeCell ref="B46:C46"/>
    <mergeCell ref="B9:C10"/>
    <mergeCell ref="E9:H10"/>
    <mergeCell ref="B69:C69"/>
    <mergeCell ref="B65:F66"/>
    <mergeCell ref="B38:C38"/>
    <mergeCell ref="B39:C39"/>
    <mergeCell ref="B40:C40"/>
    <mergeCell ref="B41:C41"/>
    <mergeCell ref="B42:C42"/>
    <mergeCell ref="B59:C59"/>
    <mergeCell ref="B60:C60"/>
    <mergeCell ref="B47:C47"/>
    <mergeCell ref="B48:C48"/>
    <mergeCell ref="B49:C49"/>
    <mergeCell ref="B50:C50"/>
    <mergeCell ref="B67:C67"/>
    <mergeCell ref="B51:C51"/>
    <mergeCell ref="B58:C58"/>
    <mergeCell ref="B89:C89"/>
    <mergeCell ref="B77:C77"/>
    <mergeCell ref="B79:C79"/>
    <mergeCell ref="B80:C80"/>
    <mergeCell ref="B81:C81"/>
    <mergeCell ref="B83:C83"/>
    <mergeCell ref="B84:C84"/>
    <mergeCell ref="B85:C85"/>
    <mergeCell ref="B86:C86"/>
    <mergeCell ref="B88:C88"/>
    <mergeCell ref="B70:C70"/>
    <mergeCell ref="B72:C72"/>
    <mergeCell ref="B73:C73"/>
    <mergeCell ref="B75:C75"/>
    <mergeCell ref="B76:C76"/>
    <mergeCell ref="B99:E100"/>
    <mergeCell ref="D103:D105"/>
    <mergeCell ref="B91:C91"/>
    <mergeCell ref="B92:C92"/>
    <mergeCell ref="B93:C93"/>
  </mergeCells>
  <conditionalFormatting sqref="D38:O42">
    <cfRule type="expression" dxfId="27" priority="83">
      <formula>D$37=""</formula>
    </cfRule>
  </conditionalFormatting>
  <conditionalFormatting sqref="D46:O47">
    <cfRule type="expression" dxfId="26" priority="59">
      <formula>D$37=""</formula>
    </cfRule>
  </conditionalFormatting>
  <conditionalFormatting sqref="D48:O51">
    <cfRule type="expression" dxfId="25" priority="60">
      <formula>OR(NOT(OR(D$36="Verblijf",D$36="Daghulp")),D$37="")</formula>
    </cfRule>
  </conditionalFormatting>
  <conditionalFormatting sqref="D60:O60">
    <cfRule type="expression" dxfId="22" priority="25">
      <formula>D$37=""</formula>
    </cfRule>
  </conditionalFormatting>
  <conditionalFormatting sqref="F12:H12">
    <cfRule type="expression" dxfId="19" priority="124">
      <formula>F$11=""</formula>
    </cfRule>
  </conditionalFormatting>
  <conditionalFormatting sqref="F13:H13">
    <cfRule type="expression" dxfId="18" priority="137">
      <formula>F$11&lt;&gt;"Ambulant"</formula>
    </cfRule>
  </conditionalFormatting>
  <conditionalFormatting sqref="F14:H14">
    <cfRule type="expression" dxfId="17" priority="128">
      <formula>F11&lt;&gt;"Verblijf"</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36" id="{A4D9B1CA-32C9-4EF8-8F82-439B39431662}">
            <xm:f>'Hulp (control forms)'!$C$6=TRUE</xm:f>
            <x14:dxf>
              <font>
                <color theme="6" tint="0.59996337778862885"/>
              </font>
              <fill>
                <patternFill>
                  <bgColor theme="6" tint="0.59996337778862885"/>
                </patternFill>
              </fill>
            </x14:dxf>
          </x14:cfRule>
          <xm:sqref>C16</xm:sqref>
        </x14:conditionalFormatting>
        <x14:conditionalFormatting xmlns:xm="http://schemas.microsoft.com/office/excel/2006/main">
          <x14:cfRule type="expression" priority="135" id="{CD333E4F-4F97-4610-9C09-7CAACF7AB1FB}">
            <xm:f>'Hulp (control forms)'!$C$7=TRUE</xm:f>
            <x14:dxf>
              <font>
                <color theme="6" tint="0.59996337778862885"/>
              </font>
              <fill>
                <patternFill>
                  <bgColor theme="6" tint="0.59996337778862885"/>
                </patternFill>
              </fill>
            </x14:dxf>
          </x14:cfRule>
          <xm:sqref>C23</xm:sqref>
        </x14:conditionalFormatting>
        <x14:conditionalFormatting xmlns:xm="http://schemas.microsoft.com/office/excel/2006/main">
          <x14:cfRule type="expression" priority="134" id="{0EA47C71-BDCD-4BAE-8D27-025D873663CB}">
            <xm:f>'Hulp (control forms)'!$C$8=TRUE</xm:f>
            <x14:dxf>
              <font>
                <color theme="6" tint="0.59996337778862885"/>
              </font>
              <fill>
                <patternFill>
                  <bgColor theme="6" tint="0.59996337778862885"/>
                </patternFill>
              </fill>
            </x14:dxf>
          </x14:cfRule>
          <xm:sqref>C24</xm:sqref>
        </x14:conditionalFormatting>
        <x14:conditionalFormatting xmlns:xm="http://schemas.microsoft.com/office/excel/2006/main">
          <x14:cfRule type="expression" priority="133" id="{A21FD870-CB99-4A63-BAAD-BD9C2A42F2E5}">
            <xm:f>'Hulp (control forms)'!$C$9=TRUE</xm:f>
            <x14:dxf>
              <font>
                <color theme="6" tint="0.59996337778862885"/>
              </font>
              <fill>
                <patternFill>
                  <bgColor theme="6" tint="0.59996337778862885"/>
                </patternFill>
              </fill>
            </x14:dxf>
          </x14:cfRule>
          <xm:sqref>C25</xm:sqref>
        </x14:conditionalFormatting>
        <x14:conditionalFormatting xmlns:xm="http://schemas.microsoft.com/office/excel/2006/main">
          <x14:cfRule type="expression" priority="132" id="{68B7AE20-EC1D-442E-A866-D0A09F7F8FBF}">
            <xm:f>'Hulp (control forms)'!$C$10=TRUE</xm:f>
            <x14:dxf>
              <font>
                <color theme="6" tint="0.59996337778862885"/>
              </font>
              <fill>
                <patternFill>
                  <bgColor theme="6" tint="0.59996337778862885"/>
                </patternFill>
              </fill>
            </x14:dxf>
          </x14:cfRule>
          <xm:sqref>C27</xm:sqref>
        </x14:conditionalFormatting>
        <x14:conditionalFormatting xmlns:xm="http://schemas.microsoft.com/office/excel/2006/main">
          <x14:cfRule type="expression" priority="131" id="{C3494E06-E2A5-4D7D-BB15-9E8494FE7CAC}">
            <xm:f>'Hulp (control forms)'!$C$11=TRUE</xm:f>
            <x14:dxf>
              <font>
                <color theme="6" tint="0.59996337778862885"/>
              </font>
              <fill>
                <patternFill>
                  <bgColor theme="6" tint="0.59996337778862885"/>
                </patternFill>
              </fill>
            </x14:dxf>
          </x14:cfRule>
          <xm:sqref>C28</xm:sqref>
        </x14:conditionalFormatting>
        <x14:conditionalFormatting xmlns:xm="http://schemas.microsoft.com/office/excel/2006/main">
          <x14:cfRule type="expression" priority="22" id="{964DA63B-22D5-4AC3-9281-C49283905476}">
            <xm:f>'Hulp (control forms)'!$F$6&lt;&gt;TRUE</xm:f>
            <x14:dxf>
              <font>
                <color theme="6" tint="0.59996337778862885"/>
              </font>
              <fill>
                <patternFill>
                  <bgColor theme="6" tint="0.59996337778862885"/>
                </patternFill>
              </fill>
            </x14:dxf>
          </x14:cfRule>
          <xm:sqref>D69:D70 D72:D73 D75:D77 D79:D81 D83:D86 D88:D89 D91:D93</xm:sqref>
        </x14:conditionalFormatting>
        <x14:conditionalFormatting xmlns:xm="http://schemas.microsoft.com/office/excel/2006/main">
          <x14:cfRule type="expression" priority="57" id="{145E2FE3-2525-492F-A730-1359BDD5DF6D}">
            <xm:f>OR(     D$37="",     INDEX('1c. Input functiemix'!$D:$D, 6 + (COLUMN()-COLUMN($D$58))*7) &lt;&gt; "Gebruik % van maximum trede" )</xm:f>
            <x14:dxf>
              <font>
                <color theme="6" tint="0.59996337778862885"/>
              </font>
              <fill>
                <patternFill>
                  <bgColor theme="6" tint="0.59996337778862885"/>
                </patternFill>
              </fill>
            </x14:dxf>
          </x14:cfRule>
          <xm:sqref>D58:O58</xm:sqref>
        </x14:conditionalFormatting>
        <x14:conditionalFormatting xmlns:xm="http://schemas.microsoft.com/office/excel/2006/main">
          <x14:cfRule type="expression" priority="56" id="{E378D825-53B6-48AB-BD85-DB665615DAB6}">
            <xm:f>OR(     D$37="",     INDEX('1c. Input functiemix'!$D:$D, 6 + (COLUMN()-COLUMN($D$59))*7) &lt;&gt; "Gebruik trede (gemiddeld)" )</xm:f>
            <x14:dxf>
              <font>
                <color theme="6" tint="0.59996337778862885"/>
              </font>
              <fill>
                <patternFill>
                  <bgColor theme="6" tint="0.59996337778862885"/>
                </patternFill>
              </fill>
            </x14:dxf>
          </x14:cfRule>
          <xm:sqref>D59:O59</xm:sqref>
        </x14:conditionalFormatting>
        <x14:conditionalFormatting xmlns:xm="http://schemas.microsoft.com/office/excel/2006/main">
          <x14:cfRule type="expression" priority="21" id="{4158DCD8-E4AA-4D7B-B2E0-CBA794C4E311}">
            <xm:f>'Hulp (control forms)'!$F$7&lt;&gt;TRUE</xm:f>
            <x14:dxf>
              <font>
                <color theme="6" tint="0.59996337778862885"/>
              </font>
              <fill>
                <patternFill>
                  <bgColor theme="6" tint="0.59996337778862885"/>
                </patternFill>
              </fill>
            </x14:dxf>
          </x14:cfRule>
          <xm:sqref>E69:E70 E72:E73 E75:E77 E79:E81 E83:E86 E88:E89 E91:E93</xm:sqref>
        </x14:conditionalFormatting>
        <x14:conditionalFormatting xmlns:xm="http://schemas.microsoft.com/office/excel/2006/main">
          <x14:cfRule type="expression" priority="20" id="{C0BC871E-8BFA-4B17-B971-77C417491E4F}">
            <xm:f>'Hulp (control forms)'!$F$8&lt;&gt;TRUE</xm:f>
            <x14:dxf>
              <font>
                <color theme="6" tint="0.59996337778862885"/>
              </font>
              <fill>
                <patternFill>
                  <bgColor theme="6" tint="0.59996337778862885"/>
                </patternFill>
              </fill>
            </x14:dxf>
          </x14:cfRule>
          <xm:sqref>F69:F70 F72:F73 F75:F77 F79:F81 F83:F86 F88:F89 F91:F93</xm:sqref>
        </x14:conditionalFormatting>
        <x14:conditionalFormatting xmlns:xm="http://schemas.microsoft.com/office/excel/2006/main">
          <x14:cfRule type="expression" priority="138" id="{5A11957C-A32D-475C-BFE9-F1B501B0233A}">
            <xm:f>'Hulp (control forms)'!$C6&lt;&gt;TRUE</xm:f>
            <x14:dxf>
              <font>
                <color theme="6" tint="0.59996337778862885"/>
              </font>
              <fill>
                <patternFill>
                  <bgColor theme="6" tint="0.59996337778862885"/>
                </patternFill>
              </fill>
            </x14:dxf>
          </x14:cfRule>
          <xm:sqref>F15:H18</xm:sqref>
        </x14:conditionalFormatting>
        <x14:conditionalFormatting xmlns:xm="http://schemas.microsoft.com/office/excel/2006/main">
          <x14:cfRule type="expression" priority="139" id="{63F34488-FEEB-47BB-800A-5D11838D5F22}">
            <xm:f>'Hulp (control forms)'!$C$10&lt;&gt;TRUE</xm:f>
            <x14:dxf>
              <font>
                <color theme="6" tint="0.59996337778862885"/>
              </font>
              <fill>
                <patternFill>
                  <bgColor theme="6" tint="0.59996337778862885"/>
                </patternFill>
              </fill>
            </x14:dxf>
          </x14:cfRule>
          <xm:sqref>F19:H19</xm:sqref>
        </x14:conditionalFormatting>
        <x14:conditionalFormatting xmlns:xm="http://schemas.microsoft.com/office/excel/2006/main">
          <x14:cfRule type="expression" priority="140" id="{2136C0E3-7506-4487-B236-5F750E564414}">
            <xm:f>'Hulp (control forms)'!$C$11&lt;&gt;TRUE</xm:f>
            <x14:dxf>
              <font>
                <color theme="6" tint="0.59996337778862885"/>
              </font>
              <fill>
                <patternFill>
                  <bgColor theme="6" tint="0.59996337778862885"/>
                </patternFill>
              </fill>
            </x14:dxf>
          </x14:cfRule>
          <xm:sqref>F20:H20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B2:AA35"/>
  <sheetViews>
    <sheetView zoomScale="55" zoomScaleNormal="55" workbookViewId="0">
      <selection activeCell="B17" sqref="B17"/>
    </sheetView>
  </sheetViews>
  <sheetFormatPr defaultRowHeight="14.25" outlineLevelRow="1" x14ac:dyDescent="0.45"/>
  <cols>
    <col min="2" max="27" width="15.59765625" customWidth="1"/>
  </cols>
  <sheetData>
    <row r="2" spans="2:27" ht="15.75" x14ac:dyDescent="0.5">
      <c r="B2" s="12" t="s">
        <v>895</v>
      </c>
    </row>
    <row r="4" spans="2:27" x14ac:dyDescent="0.45">
      <c r="B4" s="5" t="s">
        <v>894</v>
      </c>
    </row>
    <row r="5" spans="2:27" x14ac:dyDescent="0.45">
      <c r="B5" s="5"/>
    </row>
    <row r="6" spans="2:27" ht="15.75" outlineLevel="1" x14ac:dyDescent="0.5">
      <c r="H6" s="88"/>
    </row>
    <row r="7" spans="2:27" ht="21" outlineLevel="1" x14ac:dyDescent="0.65">
      <c r="B7" s="112" t="str">
        <f>HYPERLINK("#'2. Output tarieven'!A1", "2. Output tarieven")</f>
        <v>2. Output tarieven</v>
      </c>
      <c r="H7" s="88"/>
    </row>
    <row r="8" spans="2:27" ht="14.65" outlineLevel="1" thickBot="1" x14ac:dyDescent="0.5"/>
    <row r="9" spans="2:27" ht="15.75" outlineLevel="1" x14ac:dyDescent="0.45">
      <c r="B9" s="966" t="s">
        <v>5</v>
      </c>
      <c r="C9" s="967"/>
      <c r="D9" s="819" t="str">
        <f ca="1">'2. Output kostprijs'!D5:E5</f>
        <v/>
      </c>
      <c r="E9" s="820"/>
      <c r="F9" s="819" t="str">
        <f ca="1">'2. Output kostprijs'!F5:G5</f>
        <v/>
      </c>
      <c r="G9" s="820"/>
      <c r="H9" s="819" t="str">
        <f ca="1">'2. Output kostprijs'!H5:I5</f>
        <v/>
      </c>
      <c r="I9" s="820"/>
      <c r="J9" s="819" t="str">
        <f ca="1">'2. Output kostprijs'!J5:K5</f>
        <v/>
      </c>
      <c r="K9" s="820"/>
      <c r="L9" s="819" t="str">
        <f ca="1">'2. Output kostprijs'!L5:M5</f>
        <v/>
      </c>
      <c r="M9" s="820"/>
      <c r="N9" s="819" t="str">
        <f ca="1">'2. Output kostprijs'!N5:O5</f>
        <v/>
      </c>
      <c r="O9" s="820"/>
      <c r="P9" s="819" t="str">
        <f ca="1">'2. Output kostprijs'!P5:Q5</f>
        <v/>
      </c>
      <c r="Q9" s="820"/>
      <c r="R9" s="819" t="str">
        <f ca="1">'2. Output kostprijs'!R5:S5</f>
        <v/>
      </c>
      <c r="S9" s="820"/>
      <c r="T9" s="819" t="str">
        <f ca="1">'2. Output kostprijs'!T5:U5</f>
        <v/>
      </c>
      <c r="U9" s="820"/>
      <c r="V9" s="819" t="str">
        <f ca="1">'2. Output kostprijs'!V5:W5</f>
        <v/>
      </c>
      <c r="W9" s="820"/>
      <c r="X9" s="819" t="str">
        <f ca="1">'2. Output kostprijs'!X5:Y5</f>
        <v/>
      </c>
      <c r="Y9" s="820"/>
      <c r="Z9" s="819" t="str">
        <f ca="1">'2. Output kostprijs'!Z5:AA5</f>
        <v/>
      </c>
      <c r="AA9" s="829"/>
    </row>
    <row r="10" spans="2:27" ht="14.55" customHeight="1" outlineLevel="1" x14ac:dyDescent="0.45">
      <c r="B10" s="968" t="s">
        <v>30</v>
      </c>
      <c r="C10" s="969"/>
      <c r="D10" s="951" t="s">
        <v>840</v>
      </c>
      <c r="E10" s="952"/>
      <c r="F10" s="951" t="s">
        <v>779</v>
      </c>
      <c r="G10" s="952"/>
      <c r="H10" s="951" t="s">
        <v>779</v>
      </c>
      <c r="I10" s="952"/>
      <c r="J10" s="951" t="s">
        <v>779</v>
      </c>
      <c r="K10" s="952"/>
      <c r="L10" s="951" t="s">
        <v>779</v>
      </c>
      <c r="M10" s="952"/>
      <c r="N10" s="951" t="s">
        <v>779</v>
      </c>
      <c r="O10" s="952"/>
      <c r="P10" s="951" t="s">
        <v>779</v>
      </c>
      <c r="Q10" s="952"/>
      <c r="R10" s="951" t="s">
        <v>779</v>
      </c>
      <c r="S10" s="952"/>
      <c r="T10" s="951" t="s">
        <v>779</v>
      </c>
      <c r="U10" s="952"/>
      <c r="V10" s="951" t="s">
        <v>779</v>
      </c>
      <c r="W10" s="952"/>
      <c r="X10" s="951" t="s">
        <v>779</v>
      </c>
      <c r="Y10" s="952"/>
      <c r="Z10" s="951" t="s">
        <v>779</v>
      </c>
      <c r="AA10" s="957"/>
    </row>
    <row r="11" spans="2:27" ht="14.55" customHeight="1" outlineLevel="1" x14ac:dyDescent="0.45">
      <c r="B11" s="960" t="s">
        <v>16</v>
      </c>
      <c r="C11" s="961"/>
      <c r="D11" s="975" t="s">
        <v>779</v>
      </c>
      <c r="E11" s="976"/>
      <c r="F11" s="975" t="s">
        <v>779</v>
      </c>
      <c r="G11" s="976"/>
      <c r="H11" s="975" t="s">
        <v>779</v>
      </c>
      <c r="I11" s="976"/>
      <c r="J11" s="975" t="s">
        <v>779</v>
      </c>
      <c r="K11" s="976"/>
      <c r="L11" s="975" t="s">
        <v>779</v>
      </c>
      <c r="M11" s="976"/>
      <c r="N11" s="975" t="s">
        <v>779</v>
      </c>
      <c r="O11" s="976"/>
      <c r="P11" s="975" t="s">
        <v>779</v>
      </c>
      <c r="Q11" s="976"/>
      <c r="R11" s="975" t="s">
        <v>779</v>
      </c>
      <c r="S11" s="976"/>
      <c r="T11" s="975" t="s">
        <v>779</v>
      </c>
      <c r="U11" s="976"/>
      <c r="V11" s="975" t="s">
        <v>779</v>
      </c>
      <c r="W11" s="976"/>
      <c r="X11" s="975" t="s">
        <v>779</v>
      </c>
      <c r="Y11" s="976"/>
      <c r="Z11" s="975" t="s">
        <v>779</v>
      </c>
      <c r="AA11" s="977"/>
    </row>
    <row r="12" spans="2:27" ht="14.55" customHeight="1" outlineLevel="1" x14ac:dyDescent="0.45">
      <c r="B12" s="960" t="s">
        <v>731</v>
      </c>
      <c r="C12" s="961"/>
      <c r="D12" s="975" t="s">
        <v>779</v>
      </c>
      <c r="E12" s="976"/>
      <c r="F12" s="975" t="s">
        <v>779</v>
      </c>
      <c r="G12" s="976"/>
      <c r="H12" s="975" t="s">
        <v>779</v>
      </c>
      <c r="I12" s="976"/>
      <c r="J12" s="975" t="s">
        <v>779</v>
      </c>
      <c r="K12" s="976"/>
      <c r="L12" s="975" t="s">
        <v>779</v>
      </c>
      <c r="M12" s="976"/>
      <c r="N12" s="975" t="s">
        <v>779</v>
      </c>
      <c r="O12" s="976"/>
      <c r="P12" s="975" t="s">
        <v>779</v>
      </c>
      <c r="Q12" s="976"/>
      <c r="R12" s="975" t="s">
        <v>779</v>
      </c>
      <c r="S12" s="976"/>
      <c r="T12" s="975" t="s">
        <v>779</v>
      </c>
      <c r="U12" s="976"/>
      <c r="V12" s="975" t="s">
        <v>779</v>
      </c>
      <c r="W12" s="976"/>
      <c r="X12" s="975" t="s">
        <v>779</v>
      </c>
      <c r="Y12" s="976"/>
      <c r="Z12" s="975" t="s">
        <v>779</v>
      </c>
      <c r="AA12" s="977"/>
    </row>
    <row r="13" spans="2:27" ht="14.55" customHeight="1" outlineLevel="1" x14ac:dyDescent="0.45">
      <c r="B13" s="962" t="s">
        <v>750</v>
      </c>
      <c r="C13" s="963"/>
      <c r="D13" s="978" t="s">
        <v>779</v>
      </c>
      <c r="E13" s="982"/>
      <c r="F13" s="978" t="s">
        <v>779</v>
      </c>
      <c r="G13" s="982"/>
      <c r="H13" s="978" t="s">
        <v>779</v>
      </c>
      <c r="I13" s="982"/>
      <c r="J13" s="978" t="s">
        <v>779</v>
      </c>
      <c r="K13" s="982"/>
      <c r="L13" s="978" t="s">
        <v>779</v>
      </c>
      <c r="M13" s="982"/>
      <c r="N13" s="978" t="s">
        <v>779</v>
      </c>
      <c r="O13" s="982"/>
      <c r="P13" s="978" t="s">
        <v>779</v>
      </c>
      <c r="Q13" s="982"/>
      <c r="R13" s="978" t="s">
        <v>779</v>
      </c>
      <c r="S13" s="982"/>
      <c r="T13" s="978" t="s">
        <v>779</v>
      </c>
      <c r="U13" s="982"/>
      <c r="V13" s="978" t="s">
        <v>779</v>
      </c>
      <c r="W13" s="982"/>
      <c r="X13" s="978" t="s">
        <v>779</v>
      </c>
      <c r="Y13" s="982"/>
      <c r="Z13" s="978" t="s">
        <v>779</v>
      </c>
      <c r="AA13" s="979"/>
    </row>
    <row r="14" spans="2:27" ht="14.55" customHeight="1" outlineLevel="1" thickBot="1" x14ac:dyDescent="0.5">
      <c r="B14" s="964" t="s">
        <v>783</v>
      </c>
      <c r="C14" s="965"/>
      <c r="D14" s="980" t="s">
        <v>779</v>
      </c>
      <c r="E14" s="981"/>
      <c r="F14" s="980" t="s">
        <v>779</v>
      </c>
      <c r="G14" s="981"/>
      <c r="H14" s="980" t="s">
        <v>779</v>
      </c>
      <c r="I14" s="981"/>
      <c r="J14" s="980" t="s">
        <v>779</v>
      </c>
      <c r="K14" s="981"/>
      <c r="L14" s="980" t="s">
        <v>779</v>
      </c>
      <c r="M14" s="981"/>
      <c r="N14" s="980" t="s">
        <v>779</v>
      </c>
      <c r="O14" s="981"/>
      <c r="P14" s="980" t="s">
        <v>779</v>
      </c>
      <c r="Q14" s="981"/>
      <c r="R14" s="980" t="s">
        <v>779</v>
      </c>
      <c r="S14" s="981"/>
      <c r="T14" s="980" t="s">
        <v>779</v>
      </c>
      <c r="U14" s="981"/>
      <c r="V14" s="980" t="s">
        <v>779</v>
      </c>
      <c r="W14" s="981"/>
      <c r="X14" s="980" t="s">
        <v>779</v>
      </c>
      <c r="Y14" s="981"/>
      <c r="Z14" s="980" t="s">
        <v>779</v>
      </c>
      <c r="AA14" s="983"/>
    </row>
    <row r="15" spans="2:27" ht="14.55" customHeight="1" outlineLevel="1" x14ac:dyDescent="0.45"/>
    <row r="16" spans="2:27" ht="14.55" customHeight="1" x14ac:dyDescent="0.45"/>
    <row r="17" spans="2:9" ht="21" outlineLevel="1" x14ac:dyDescent="0.65">
      <c r="B17" s="112" t="str">
        <f>HYPERLINK("#'2g. Output gezinshuis'!A1", "2g. Output gezinshuis")</f>
        <v>2g. Output gezinshuis</v>
      </c>
    </row>
    <row r="18" spans="2:9" ht="14.55" customHeight="1" outlineLevel="1" thickBot="1" x14ac:dyDescent="0.5"/>
    <row r="19" spans="2:9" ht="15.5" customHeight="1" outlineLevel="1" x14ac:dyDescent="0.45">
      <c r="B19" s="878" t="s">
        <v>822</v>
      </c>
      <c r="C19" s="970"/>
      <c r="D19" s="816" t="str">
        <f>'2g. Output gezinshuis'!C5</f>
        <v/>
      </c>
      <c r="E19" s="817"/>
      <c r="F19" s="816" t="str">
        <f>'2g. Output gezinshuis'!E5</f>
        <v/>
      </c>
      <c r="G19" s="817"/>
      <c r="H19" s="816" t="str">
        <f>'2g. Output gezinshuis'!G5</f>
        <v/>
      </c>
      <c r="I19" s="822"/>
    </row>
    <row r="20" spans="2:9" ht="14.55" customHeight="1" outlineLevel="1" x14ac:dyDescent="0.45">
      <c r="B20" s="971" t="s">
        <v>731</v>
      </c>
      <c r="C20" s="972"/>
      <c r="D20" s="951" t="s">
        <v>779</v>
      </c>
      <c r="E20" s="952"/>
      <c r="F20" s="951" t="s">
        <v>779</v>
      </c>
      <c r="G20" s="952"/>
      <c r="H20" s="951" t="s">
        <v>779</v>
      </c>
      <c r="I20" s="957"/>
    </row>
    <row r="21" spans="2:9" ht="14.55" customHeight="1" outlineLevel="1" x14ac:dyDescent="0.5">
      <c r="B21" s="973" t="s">
        <v>750</v>
      </c>
      <c r="C21" s="974"/>
      <c r="D21" s="953" t="s">
        <v>779</v>
      </c>
      <c r="E21" s="954"/>
      <c r="F21" s="953" t="s">
        <v>779</v>
      </c>
      <c r="G21" s="954"/>
      <c r="H21" s="953" t="s">
        <v>779</v>
      </c>
      <c r="I21" s="958"/>
    </row>
    <row r="22" spans="2:9" ht="14.55" customHeight="1" outlineLevel="1" thickBot="1" x14ac:dyDescent="0.6">
      <c r="B22" s="927" t="s">
        <v>783</v>
      </c>
      <c r="C22" s="929"/>
      <c r="D22" s="955" t="s">
        <v>779</v>
      </c>
      <c r="E22" s="956"/>
      <c r="F22" s="955" t="s">
        <v>779</v>
      </c>
      <c r="G22" s="956"/>
      <c r="H22" s="955" t="s">
        <v>779</v>
      </c>
      <c r="I22" s="959"/>
    </row>
    <row r="23" spans="2:9" ht="14.55" customHeight="1" outlineLevel="1" x14ac:dyDescent="0.45"/>
    <row r="24" spans="2:9" ht="14.55" customHeight="1" x14ac:dyDescent="0.45"/>
    <row r="25" spans="2:9" ht="14.55" customHeight="1" outlineLevel="1" x14ac:dyDescent="0.65">
      <c r="B25" s="112" t="str">
        <f>HYPERLINK("#'2p. Output pleegzorg'!A1", "2p. Output pleegzorg")</f>
        <v>2p. Output pleegzorg</v>
      </c>
    </row>
    <row r="26" spans="2:9" ht="14.55" customHeight="1" outlineLevel="1" thickBot="1" x14ac:dyDescent="0.5"/>
    <row r="27" spans="2:9" ht="14.55" customHeight="1" outlineLevel="1" x14ac:dyDescent="0.45">
      <c r="B27" s="933" t="s">
        <v>901</v>
      </c>
      <c r="C27" s="948"/>
      <c r="D27" s="816" t="s">
        <v>902</v>
      </c>
      <c r="E27" s="817"/>
      <c r="F27" s="816" t="s">
        <v>903</v>
      </c>
      <c r="G27" s="822"/>
    </row>
    <row r="28" spans="2:9" ht="14.55" customHeight="1" outlineLevel="1" x14ac:dyDescent="0.45">
      <c r="B28" s="921" t="s">
        <v>946</v>
      </c>
      <c r="C28" s="949"/>
      <c r="D28" s="951" t="s">
        <v>779</v>
      </c>
      <c r="E28" s="952"/>
      <c r="F28" s="951" t="s">
        <v>779</v>
      </c>
      <c r="G28" s="957"/>
    </row>
    <row r="29" spans="2:9" ht="14.55" customHeight="1" outlineLevel="1" x14ac:dyDescent="0.5">
      <c r="B29" s="917" t="s">
        <v>731</v>
      </c>
      <c r="C29" s="950"/>
      <c r="D29" s="953" t="s">
        <v>779</v>
      </c>
      <c r="E29" s="954"/>
      <c r="F29" s="953" t="s">
        <v>779</v>
      </c>
      <c r="G29" s="958"/>
    </row>
    <row r="30" spans="2:9" ht="14.55" customHeight="1" outlineLevel="1" thickBot="1" x14ac:dyDescent="0.6">
      <c r="B30" s="861" t="s">
        <v>941</v>
      </c>
      <c r="C30" s="862"/>
      <c r="D30" s="955" t="s">
        <v>947</v>
      </c>
      <c r="E30" s="956"/>
      <c r="F30" s="955" t="s">
        <v>779</v>
      </c>
      <c r="G30" s="959"/>
    </row>
    <row r="31" spans="2:9" ht="14.55" customHeight="1" outlineLevel="1" x14ac:dyDescent="0.45"/>
    <row r="32" spans="2:9" ht="14.55" customHeight="1" x14ac:dyDescent="0.45"/>
    <row r="33" ht="14.55" customHeight="1" x14ac:dyDescent="0.45"/>
    <row r="34" ht="14.55" customHeight="1" x14ac:dyDescent="0.45"/>
    <row r="35" ht="14.55" customHeight="1" x14ac:dyDescent="0.45"/>
  </sheetData>
  <mergeCells count="106">
    <mergeCell ref="H20:I20"/>
    <mergeCell ref="H21:I21"/>
    <mergeCell ref="H22:I22"/>
    <mergeCell ref="D19:E19"/>
    <mergeCell ref="D20:E20"/>
    <mergeCell ref="D21:E21"/>
    <mergeCell ref="D22:E22"/>
    <mergeCell ref="F19:G19"/>
    <mergeCell ref="F20:G20"/>
    <mergeCell ref="F21:G21"/>
    <mergeCell ref="F22:G22"/>
    <mergeCell ref="H19:I19"/>
    <mergeCell ref="Z13:AA13"/>
    <mergeCell ref="D14:E14"/>
    <mergeCell ref="F14:G14"/>
    <mergeCell ref="H14:I14"/>
    <mergeCell ref="J14:K14"/>
    <mergeCell ref="L14:M14"/>
    <mergeCell ref="N14:O14"/>
    <mergeCell ref="P14:Q14"/>
    <mergeCell ref="R14:S14"/>
    <mergeCell ref="T14:U14"/>
    <mergeCell ref="N13:O13"/>
    <mergeCell ref="P13:Q13"/>
    <mergeCell ref="R13:S13"/>
    <mergeCell ref="T13:U13"/>
    <mergeCell ref="V13:W13"/>
    <mergeCell ref="X13:Y13"/>
    <mergeCell ref="D13:E13"/>
    <mergeCell ref="F13:G13"/>
    <mergeCell ref="H13:I13"/>
    <mergeCell ref="J13:K13"/>
    <mergeCell ref="L13:M13"/>
    <mergeCell ref="V14:W14"/>
    <mergeCell ref="X14:Y14"/>
    <mergeCell ref="Z14:AA14"/>
    <mergeCell ref="D12:E12"/>
    <mergeCell ref="F12:G12"/>
    <mergeCell ref="H12:I12"/>
    <mergeCell ref="J12:K12"/>
    <mergeCell ref="L12:M12"/>
    <mergeCell ref="N12:O12"/>
    <mergeCell ref="P12:Q12"/>
    <mergeCell ref="Z12:AA12"/>
    <mergeCell ref="J11:K11"/>
    <mergeCell ref="L11:M11"/>
    <mergeCell ref="N11:O11"/>
    <mergeCell ref="P11:Q11"/>
    <mergeCell ref="R11:S11"/>
    <mergeCell ref="T11:U11"/>
    <mergeCell ref="D11:E11"/>
    <mergeCell ref="F11:G11"/>
    <mergeCell ref="H11:I11"/>
    <mergeCell ref="R12:S12"/>
    <mergeCell ref="T12:U12"/>
    <mergeCell ref="V12:W12"/>
    <mergeCell ref="X12:Y12"/>
    <mergeCell ref="V11:W11"/>
    <mergeCell ref="X11:Y11"/>
    <mergeCell ref="Z11:AA11"/>
    <mergeCell ref="Z9:AA9"/>
    <mergeCell ref="N9:O9"/>
    <mergeCell ref="P9:Q9"/>
    <mergeCell ref="R9:S9"/>
    <mergeCell ref="T9:U9"/>
    <mergeCell ref="V9:W9"/>
    <mergeCell ref="X9:Y9"/>
    <mergeCell ref="D10:E10"/>
    <mergeCell ref="F10:G10"/>
    <mergeCell ref="H10:I10"/>
    <mergeCell ref="J10:K10"/>
    <mergeCell ref="L10:M10"/>
    <mergeCell ref="Z10:AA10"/>
    <mergeCell ref="N10:O10"/>
    <mergeCell ref="P10:Q10"/>
    <mergeCell ref="R10:S10"/>
    <mergeCell ref="T10:U10"/>
    <mergeCell ref="D9:E9"/>
    <mergeCell ref="F9:G9"/>
    <mergeCell ref="H9:I9"/>
    <mergeCell ref="J9:K9"/>
    <mergeCell ref="L9:M9"/>
    <mergeCell ref="V10:W10"/>
    <mergeCell ref="X10:Y10"/>
    <mergeCell ref="B22:C22"/>
    <mergeCell ref="B11:C11"/>
    <mergeCell ref="B12:C12"/>
    <mergeCell ref="B13:C13"/>
    <mergeCell ref="B14:C14"/>
    <mergeCell ref="B9:C9"/>
    <mergeCell ref="B10:C10"/>
    <mergeCell ref="B19:C19"/>
    <mergeCell ref="B20:C20"/>
    <mergeCell ref="B21:C21"/>
    <mergeCell ref="B27:C27"/>
    <mergeCell ref="B28:C28"/>
    <mergeCell ref="B29:C29"/>
    <mergeCell ref="B30:C30"/>
    <mergeCell ref="D27:E27"/>
    <mergeCell ref="D28:E28"/>
    <mergeCell ref="D29:E29"/>
    <mergeCell ref="D30:E30"/>
    <mergeCell ref="F27:G27"/>
    <mergeCell ref="F28:G28"/>
    <mergeCell ref="F29:G29"/>
    <mergeCell ref="F30:G30"/>
  </mergeCells>
  <conditionalFormatting sqref="D28:G30">
    <cfRule type="expression" dxfId="13" priority="1">
      <formula>D$27&lt;&gt;""</formula>
    </cfRule>
  </conditionalFormatting>
  <conditionalFormatting sqref="D20:I22">
    <cfRule type="expression" dxfId="12" priority="3">
      <formula>D$19&lt;&gt;""</formula>
    </cfRule>
  </conditionalFormatting>
  <conditionalFormatting sqref="D10:AA14">
    <cfRule type="expression" dxfId="11" priority="12">
      <formula>D$9&lt;&gt;""</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pageSetUpPr autoPageBreaks="0"/>
  </sheetPr>
  <dimension ref="A1:AZ200"/>
  <sheetViews>
    <sheetView zoomScaleNormal="100" workbookViewId="0"/>
  </sheetViews>
  <sheetFormatPr defaultRowHeight="14.25" x14ac:dyDescent="0.45"/>
  <cols>
    <col min="2" max="2" width="15.59765625" customWidth="1"/>
    <col min="3" max="3" width="100.59765625" customWidth="1"/>
    <col min="4" max="4" width="10.59765625" customWidth="1"/>
    <col min="5" max="27" width="15.59765625" customWidth="1"/>
  </cols>
  <sheetData>
    <row r="1" spans="1:52" ht="29" customHeight="1" x14ac:dyDescent="0.45">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14.55" customHeight="1" x14ac:dyDescent="0.5">
      <c r="A2" s="289"/>
      <c r="B2" s="555" t="s">
        <v>2225</v>
      </c>
      <c r="C2" s="556"/>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74.55" customHeight="1" x14ac:dyDescent="0.45">
      <c r="A3" s="289"/>
      <c r="B3" s="984" t="s">
        <v>2224</v>
      </c>
      <c r="C3" s="985"/>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14.55" customHeight="1" thickBot="1" x14ac:dyDescent="0.5">
      <c r="A4" s="289"/>
      <c r="B4" s="714"/>
      <c r="C4" s="713"/>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25.05" customHeight="1" x14ac:dyDescent="0.5">
      <c r="A5" s="289"/>
      <c r="B5" s="278" t="s">
        <v>975</v>
      </c>
      <c r="C5" s="385" t="s">
        <v>976</v>
      </c>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50" customHeight="1" x14ac:dyDescent="0.45">
      <c r="A6" s="289"/>
      <c r="B6" s="400" t="s">
        <v>974</v>
      </c>
      <c r="C6" s="735"/>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ht="50" customHeight="1" x14ac:dyDescent="0.45">
      <c r="A7" s="289"/>
      <c r="B7" s="400" t="s">
        <v>70</v>
      </c>
      <c r="C7" s="735"/>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50" customHeight="1" x14ac:dyDescent="0.45">
      <c r="A8" s="289"/>
      <c r="B8" s="400" t="s">
        <v>16</v>
      </c>
      <c r="C8" s="735"/>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ht="50" customHeight="1" x14ac:dyDescent="0.45">
      <c r="A9" s="289"/>
      <c r="B9" s="400" t="s">
        <v>750</v>
      </c>
      <c r="C9" s="735"/>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t="50" customHeight="1" x14ac:dyDescent="0.45">
      <c r="A10" s="289"/>
      <c r="B10" s="400" t="s">
        <v>731</v>
      </c>
      <c r="C10" s="735"/>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50" customHeight="1" thickBot="1" x14ac:dyDescent="0.5">
      <c r="A11" s="289"/>
      <c r="B11" s="394" t="s">
        <v>783</v>
      </c>
      <c r="C11" s="736"/>
      <c r="D11" s="289"/>
      <c r="E11" s="289"/>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ht="50" customHeight="1" x14ac:dyDescent="0.45">
      <c r="A12" s="289"/>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ht="14.55" customHeight="1" x14ac:dyDescent="0.45">
      <c r="A13" s="289"/>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14.55" customHeight="1" x14ac:dyDescent="0.45">
      <c r="A14" s="289"/>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ht="14.55" customHeight="1" x14ac:dyDescent="0.45">
      <c r="A15" s="289"/>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ht="14.55" customHeight="1" x14ac:dyDescent="0.45">
      <c r="A16" s="289"/>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ht="14.55" customHeight="1" x14ac:dyDescent="0.45">
      <c r="A17" s="289"/>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ht="14.55" customHeight="1" x14ac:dyDescent="0.45">
      <c r="A18" s="289"/>
      <c r="B18" s="289"/>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t="14.55" customHeight="1" x14ac:dyDescent="0.45">
      <c r="A19" s="289"/>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ht="14.55" customHeight="1" x14ac:dyDescent="0.45">
      <c r="A20" s="289"/>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ht="14.55" customHeight="1" x14ac:dyDescent="0.45">
      <c r="A21" s="289"/>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ht="14.55" customHeight="1" x14ac:dyDescent="0.45">
      <c r="A22" s="289"/>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ht="14.55" customHeight="1" x14ac:dyDescent="0.45">
      <c r="A23" s="289"/>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ht="14.55" customHeight="1" x14ac:dyDescent="0.45">
      <c r="A24" s="289"/>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14.55" customHeight="1" x14ac:dyDescent="0.45">
      <c r="A25" s="289"/>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ht="14.55" customHeight="1" x14ac:dyDescent="0.45">
      <c r="A26" s="289"/>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ht="14.55" customHeight="1" x14ac:dyDescent="0.45">
      <c r="A27" s="289"/>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ht="14.55" customHeight="1" x14ac:dyDescent="0.45">
      <c r="A28" s="289"/>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x14ac:dyDescent="0.45">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x14ac:dyDescent="0.45">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x14ac:dyDescent="0.45">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x14ac:dyDescent="0.45">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45">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x14ac:dyDescent="0.45">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x14ac:dyDescent="0.45">
      <c r="A35" s="289"/>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x14ac:dyDescent="0.45">
      <c r="A36" s="289"/>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x14ac:dyDescent="0.45">
      <c r="A37" s="289"/>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x14ac:dyDescent="0.45">
      <c r="A38" s="289"/>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45">
      <c r="A39" s="289"/>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x14ac:dyDescent="0.45">
      <c r="A40" s="289"/>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x14ac:dyDescent="0.45">
      <c r="A41" s="289"/>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45">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x14ac:dyDescent="0.45">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x14ac:dyDescent="0.45">
      <c r="A44" s="289"/>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x14ac:dyDescent="0.45">
      <c r="A45" s="289"/>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x14ac:dyDescent="0.45">
      <c r="A46" s="289"/>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45">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x14ac:dyDescent="0.45">
      <c r="A48" s="289"/>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x14ac:dyDescent="0.45">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45">
      <c r="A50" s="289"/>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45">
      <c r="A51" s="289"/>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45">
      <c r="A52" s="289"/>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x14ac:dyDescent="0.45">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x14ac:dyDescent="0.45">
      <c r="A54" s="289"/>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x14ac:dyDescent="0.45">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x14ac:dyDescent="0.45">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45">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45">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x14ac:dyDescent="0.45">
      <c r="A59" s="289"/>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x14ac:dyDescent="0.45">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x14ac:dyDescent="0.45">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x14ac:dyDescent="0.45">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45">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45">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45">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x14ac:dyDescent="0.45">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x14ac:dyDescent="0.45">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45">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45">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45">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x14ac:dyDescent="0.45">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x14ac:dyDescent="0.45">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45">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45">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x14ac:dyDescent="0.45">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x14ac:dyDescent="0.45">
      <c r="A76" s="289"/>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x14ac:dyDescent="0.45">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x14ac:dyDescent="0.45">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x14ac:dyDescent="0.45">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x14ac:dyDescent="0.45">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x14ac:dyDescent="0.45">
      <c r="A81" s="289"/>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x14ac:dyDescent="0.45">
      <c r="A82" s="289"/>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x14ac:dyDescent="0.45">
      <c r="A83" s="289"/>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x14ac:dyDescent="0.45">
      <c r="A84" s="289"/>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x14ac:dyDescent="0.45">
      <c r="A85" s="289"/>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x14ac:dyDescent="0.45">
      <c r="A86" s="289"/>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x14ac:dyDescent="0.45">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x14ac:dyDescent="0.45">
      <c r="A88" s="289"/>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x14ac:dyDescent="0.45">
      <c r="A89" s="289"/>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45">
      <c r="A90" s="289"/>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45">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4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x14ac:dyDescent="0.45">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x14ac:dyDescent="0.45">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x14ac:dyDescent="0.4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x14ac:dyDescent="0.45">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2" x14ac:dyDescent="0.45">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2" x14ac:dyDescent="0.45">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2" x14ac:dyDescent="0.45">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row>
    <row r="100" spans="1:52" x14ac:dyDescent="0.45">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row r="101" spans="1:52" x14ac:dyDescent="0.45">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row>
    <row r="102" spans="1:52" x14ac:dyDescent="0.4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row>
    <row r="103" spans="1:52" x14ac:dyDescent="0.4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row>
    <row r="104" spans="1:52" x14ac:dyDescent="0.4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row>
    <row r="105" spans="1:52" x14ac:dyDescent="0.4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row>
    <row r="106" spans="1:52" x14ac:dyDescent="0.4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row>
    <row r="107" spans="1:52" x14ac:dyDescent="0.4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row>
    <row r="108" spans="1:52" x14ac:dyDescent="0.4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row>
    <row r="109" spans="1:52" x14ac:dyDescent="0.4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row>
    <row r="110" spans="1:52" x14ac:dyDescent="0.4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row>
    <row r="111" spans="1:52" x14ac:dyDescent="0.4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row>
    <row r="112" spans="1:52" x14ac:dyDescent="0.4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row>
    <row r="113" spans="1:52" x14ac:dyDescent="0.4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row>
    <row r="114" spans="1:52" x14ac:dyDescent="0.4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row>
    <row r="115" spans="1:52" x14ac:dyDescent="0.4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row>
    <row r="116" spans="1:52" x14ac:dyDescent="0.4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row>
    <row r="117" spans="1:52" x14ac:dyDescent="0.4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row>
    <row r="118" spans="1:52" x14ac:dyDescent="0.4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row>
    <row r="119" spans="1:52" x14ac:dyDescent="0.4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row>
    <row r="120" spans="1:52" x14ac:dyDescent="0.4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row>
    <row r="121" spans="1:52" x14ac:dyDescent="0.4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row>
    <row r="122" spans="1:52" x14ac:dyDescent="0.4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row>
    <row r="123" spans="1:52" x14ac:dyDescent="0.4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row>
    <row r="124" spans="1:52" x14ac:dyDescent="0.4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row>
    <row r="125" spans="1:52" x14ac:dyDescent="0.4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row>
    <row r="126" spans="1:52" x14ac:dyDescent="0.4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row>
    <row r="127" spans="1:52" x14ac:dyDescent="0.4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row>
    <row r="128" spans="1:52" x14ac:dyDescent="0.4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row>
    <row r="129" spans="1:52" x14ac:dyDescent="0.4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row>
    <row r="130" spans="1:52" x14ac:dyDescent="0.4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row>
    <row r="131" spans="1:52" x14ac:dyDescent="0.4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row>
    <row r="132" spans="1:52" x14ac:dyDescent="0.4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row>
    <row r="133" spans="1:52" x14ac:dyDescent="0.4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row>
    <row r="134" spans="1:52" x14ac:dyDescent="0.4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row>
    <row r="135" spans="1:52" x14ac:dyDescent="0.4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row>
    <row r="136" spans="1:52" x14ac:dyDescent="0.4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row>
    <row r="137" spans="1:52" x14ac:dyDescent="0.4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row>
    <row r="138" spans="1:52" x14ac:dyDescent="0.4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row>
    <row r="139" spans="1:52" x14ac:dyDescent="0.4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row>
    <row r="140" spans="1:52" x14ac:dyDescent="0.4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row>
    <row r="141" spans="1:52" x14ac:dyDescent="0.4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row>
    <row r="142" spans="1:52" x14ac:dyDescent="0.4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row>
    <row r="143" spans="1:52" x14ac:dyDescent="0.4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c r="AH143" s="289"/>
      <c r="AI143" s="289"/>
      <c r="AJ143" s="289"/>
      <c r="AK143" s="289"/>
      <c r="AL143" s="289"/>
      <c r="AM143" s="289"/>
      <c r="AN143" s="289"/>
      <c r="AO143" s="289"/>
      <c r="AP143" s="289"/>
      <c r="AQ143" s="289"/>
      <c r="AR143" s="289"/>
      <c r="AS143" s="289"/>
      <c r="AT143" s="289"/>
      <c r="AU143" s="289"/>
      <c r="AV143" s="289"/>
      <c r="AW143" s="289"/>
      <c r="AX143" s="289"/>
      <c r="AY143" s="289"/>
      <c r="AZ143" s="289"/>
    </row>
    <row r="144" spans="1:52" x14ac:dyDescent="0.4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row>
    <row r="145" spans="1:52" x14ac:dyDescent="0.4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row>
    <row r="146" spans="1:52" x14ac:dyDescent="0.4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row>
    <row r="147" spans="1:52" x14ac:dyDescent="0.4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row>
    <row r="148" spans="1:52" x14ac:dyDescent="0.4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row>
    <row r="149" spans="1:52" x14ac:dyDescent="0.4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row>
    <row r="150" spans="1:52" x14ac:dyDescent="0.4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row>
    <row r="151" spans="1:52" x14ac:dyDescent="0.45">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row>
    <row r="152" spans="1:52" x14ac:dyDescent="0.45">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row>
    <row r="153" spans="1:52" x14ac:dyDescent="0.45">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row>
    <row r="154" spans="1:52" x14ac:dyDescent="0.45">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row>
    <row r="155" spans="1:52" x14ac:dyDescent="0.4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row>
    <row r="156" spans="1:52" x14ac:dyDescent="0.45">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row>
    <row r="157" spans="1:52" x14ac:dyDescent="0.45">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row>
    <row r="158" spans="1:52" x14ac:dyDescent="0.45">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row>
    <row r="159" spans="1:52" x14ac:dyDescent="0.45">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row>
    <row r="160" spans="1:52" x14ac:dyDescent="0.45">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row>
    <row r="161" spans="1:52" x14ac:dyDescent="0.45">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row>
    <row r="162" spans="1:52" x14ac:dyDescent="0.45">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row>
    <row r="163" spans="1:52" x14ac:dyDescent="0.45">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row>
    <row r="164" spans="1:52" x14ac:dyDescent="0.45">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row>
    <row r="165" spans="1:52" x14ac:dyDescent="0.4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row>
    <row r="166" spans="1:52" x14ac:dyDescent="0.45">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row>
    <row r="167" spans="1:52" x14ac:dyDescent="0.45">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row>
    <row r="168" spans="1:52" x14ac:dyDescent="0.45">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row>
    <row r="169" spans="1:52" x14ac:dyDescent="0.45">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row>
    <row r="170" spans="1:52" x14ac:dyDescent="0.45">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row>
    <row r="171" spans="1:52" x14ac:dyDescent="0.45">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c r="AQ171" s="289"/>
      <c r="AR171" s="289"/>
      <c r="AS171" s="289"/>
      <c r="AT171" s="289"/>
      <c r="AU171" s="289"/>
      <c r="AV171" s="289"/>
      <c r="AW171" s="289"/>
      <c r="AX171" s="289"/>
      <c r="AY171" s="289"/>
      <c r="AZ171" s="289"/>
    </row>
    <row r="172" spans="1:52" x14ac:dyDescent="0.45">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row>
    <row r="173" spans="1:52" x14ac:dyDescent="0.45">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row>
    <row r="174" spans="1:52" x14ac:dyDescent="0.45">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row>
    <row r="175" spans="1:52" x14ac:dyDescent="0.4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row>
    <row r="176" spans="1:52" x14ac:dyDescent="0.45">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row>
    <row r="177" spans="1:52" x14ac:dyDescent="0.45">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row>
    <row r="178" spans="1:52" x14ac:dyDescent="0.45">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row>
    <row r="179" spans="1:52" x14ac:dyDescent="0.45">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row>
    <row r="180" spans="1:52" x14ac:dyDescent="0.45">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row>
    <row r="181" spans="1:52" x14ac:dyDescent="0.45">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row>
    <row r="182" spans="1:52" x14ac:dyDescent="0.45">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row>
    <row r="183" spans="1:52" x14ac:dyDescent="0.45">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row>
    <row r="184" spans="1:52" x14ac:dyDescent="0.45">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row>
    <row r="185" spans="1:52" x14ac:dyDescent="0.4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89"/>
      <c r="AF185" s="289"/>
      <c r="AG185" s="289"/>
      <c r="AH185" s="289"/>
      <c r="AI185" s="289"/>
      <c r="AJ185" s="289"/>
      <c r="AK185" s="289"/>
      <c r="AL185" s="289"/>
      <c r="AM185" s="289"/>
      <c r="AN185" s="289"/>
      <c r="AO185" s="289"/>
      <c r="AP185" s="289"/>
      <c r="AQ185" s="289"/>
      <c r="AR185" s="289"/>
      <c r="AS185" s="289"/>
      <c r="AT185" s="289"/>
      <c r="AU185" s="289"/>
      <c r="AV185" s="289"/>
      <c r="AW185" s="289"/>
      <c r="AX185" s="289"/>
      <c r="AY185" s="289"/>
      <c r="AZ185" s="289"/>
    </row>
    <row r="186" spans="1:52" x14ac:dyDescent="0.45">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row>
    <row r="187" spans="1:52" x14ac:dyDescent="0.45">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row>
    <row r="188" spans="1:52" x14ac:dyDescent="0.45">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row>
    <row r="189" spans="1:52" x14ac:dyDescent="0.45">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row>
    <row r="190" spans="1:52" x14ac:dyDescent="0.45">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row>
    <row r="191" spans="1:52" x14ac:dyDescent="0.45">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row>
    <row r="192" spans="1:52" x14ac:dyDescent="0.45">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row>
    <row r="193" spans="1:52" x14ac:dyDescent="0.45">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row>
    <row r="194" spans="1:52" x14ac:dyDescent="0.45">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row>
    <row r="195" spans="1:52" x14ac:dyDescent="0.4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row>
    <row r="196" spans="1:52" x14ac:dyDescent="0.45">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row>
    <row r="197" spans="1:52" x14ac:dyDescent="0.45">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row>
    <row r="198" spans="1:52" x14ac:dyDescent="0.45">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row>
    <row r="199" spans="1:52" x14ac:dyDescent="0.45">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row>
    <row r="200" spans="1:52" x14ac:dyDescent="0.45">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row>
  </sheetData>
  <sheetProtection algorithmName="SHA-512" hashValue="Cg6i8eJxRHPEtkHpJG9WB2bWjkiJJ8QPtwzHCZO7j1jyDAbYX87twSqY1851NWa2PccOOqGj/PSstwEBcPNMJA==" saltValue="NqnByOkS7LNRCrtdPiequQ==" spinCount="100000" sheet="1" objects="1" scenarios="1"/>
  <mergeCells count="1">
    <mergeCell ref="B3:C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pageSetUpPr autoPageBreaks="0"/>
  </sheetPr>
  <dimension ref="A1:AZ100"/>
  <sheetViews>
    <sheetView zoomScaleNormal="100" workbookViewId="0"/>
  </sheetViews>
  <sheetFormatPr defaultColWidth="8.796875" defaultRowHeight="15.75" x14ac:dyDescent="0.5"/>
  <cols>
    <col min="1" max="1" width="15.59765625" style="59" customWidth="1"/>
    <col min="2" max="2" width="30.59765625" customWidth="1"/>
    <col min="3" max="3" width="24.59765625" customWidth="1"/>
    <col min="4" max="4" width="15.59765625" customWidth="1"/>
    <col min="5" max="5" width="32.59765625" style="95" customWidth="1"/>
    <col min="6" max="6" width="18.59765625" customWidth="1"/>
    <col min="7" max="7" width="15.59765625" customWidth="1"/>
    <col min="8" max="8" width="28.59765625" customWidth="1"/>
    <col min="9" max="9" width="10.59765625" customWidth="1"/>
    <col min="10" max="10" width="15.59765625" style="88" customWidth="1"/>
    <col min="11" max="11" width="32.59765625" customWidth="1"/>
    <col min="12" max="14" width="8.796875" customWidth="1"/>
    <col min="15" max="15" width="15.59765625" style="88" customWidth="1"/>
    <col min="16" max="16" width="8.796875" customWidth="1"/>
    <col min="17" max="17" width="20.59765625" style="288" customWidth="1"/>
    <col min="19" max="21" width="8.796875" customWidth="1"/>
    <col min="27" max="32" width="8.796875" hidden="1" customWidth="1"/>
  </cols>
  <sheetData>
    <row r="1" spans="1:52" x14ac:dyDescent="0.5">
      <c r="A1" s="303"/>
      <c r="B1" s="289"/>
      <c r="C1" s="289"/>
      <c r="D1" s="289"/>
      <c r="E1" s="304"/>
      <c r="F1" s="289"/>
      <c r="G1" s="289"/>
      <c r="H1" s="289"/>
      <c r="I1" s="289"/>
      <c r="J1" s="305"/>
      <c r="K1" s="289"/>
      <c r="L1" s="289"/>
      <c r="M1" s="289"/>
      <c r="N1" s="289"/>
      <c r="O1" s="305"/>
      <c r="P1" s="746" t="s">
        <v>780</v>
      </c>
      <c r="Q1" s="747" t="s">
        <v>1079</v>
      </c>
      <c r="R1" s="747"/>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x14ac:dyDescent="0.5">
      <c r="A2" s="303"/>
      <c r="B2" s="289"/>
      <c r="C2" s="289"/>
      <c r="D2" s="306"/>
      <c r="E2" s="748" t="s">
        <v>992</v>
      </c>
      <c r="F2" s="748"/>
      <c r="G2" s="307"/>
      <c r="H2" s="308"/>
      <c r="I2" s="289"/>
      <c r="J2" s="305"/>
      <c r="K2" s="289"/>
      <c r="L2" s="289"/>
      <c r="M2" s="289"/>
      <c r="N2" s="289"/>
      <c r="O2" s="305"/>
      <c r="P2" s="746"/>
      <c r="Q2" s="747"/>
      <c r="R2" s="747"/>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x14ac:dyDescent="0.5">
      <c r="A3" s="303"/>
      <c r="B3" s="289"/>
      <c r="C3" s="289"/>
      <c r="D3" s="289"/>
      <c r="E3" s="748"/>
      <c r="F3" s="748"/>
      <c r="G3" s="289"/>
      <c r="H3" s="307"/>
      <c r="I3" s="289"/>
      <c r="J3" s="305"/>
      <c r="K3" s="289"/>
      <c r="L3" s="289"/>
      <c r="M3" s="289"/>
      <c r="N3" s="289"/>
      <c r="O3" s="305"/>
      <c r="P3" s="746"/>
      <c r="Q3" s="747"/>
      <c r="R3" s="747"/>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x14ac:dyDescent="0.5">
      <c r="A4" s="303"/>
      <c r="B4" s="749" t="s">
        <v>960</v>
      </c>
      <c r="C4" s="749"/>
      <c r="D4" s="289"/>
      <c r="E4" s="749" t="s">
        <v>961</v>
      </c>
      <c r="F4" s="749"/>
      <c r="G4" s="289"/>
      <c r="H4" s="751" t="s">
        <v>993</v>
      </c>
      <c r="I4" s="751"/>
      <c r="J4" s="305"/>
      <c r="K4" s="749" t="s">
        <v>962</v>
      </c>
      <c r="L4" s="749"/>
      <c r="M4" s="749"/>
      <c r="N4" s="749"/>
      <c r="O4" s="305"/>
      <c r="P4" s="289"/>
      <c r="Q4" s="295"/>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15" customHeight="1" thickBot="1" x14ac:dyDescent="0.55000000000000004">
      <c r="A5" s="303"/>
      <c r="B5" s="750"/>
      <c r="C5" s="750"/>
      <c r="D5" s="309"/>
      <c r="E5" s="750"/>
      <c r="F5" s="750"/>
      <c r="G5" s="304"/>
      <c r="H5" s="752"/>
      <c r="I5" s="752"/>
      <c r="J5" s="305"/>
      <c r="K5" s="750"/>
      <c r="L5" s="750"/>
      <c r="M5" s="750"/>
      <c r="N5" s="750"/>
      <c r="O5" s="305"/>
      <c r="P5" s="289"/>
      <c r="Q5" s="295"/>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16.149999999999999" thickBot="1" x14ac:dyDescent="0.55000000000000004">
      <c r="A6" s="303"/>
      <c r="B6" s="532" t="s">
        <v>14</v>
      </c>
      <c r="C6" s="533"/>
      <c r="D6" s="303"/>
      <c r="E6" s="535" t="s">
        <v>786</v>
      </c>
      <c r="F6" s="536" t="s">
        <v>725</v>
      </c>
      <c r="G6" s="304"/>
      <c r="H6" s="542" t="s">
        <v>1247</v>
      </c>
      <c r="I6" s="505"/>
      <c r="J6" s="305"/>
      <c r="K6" s="542"/>
      <c r="L6" s="518" t="s">
        <v>885</v>
      </c>
      <c r="M6" s="518" t="s">
        <v>886</v>
      </c>
      <c r="N6" s="516" t="s">
        <v>887</v>
      </c>
      <c r="O6" s="305"/>
      <c r="P6" s="289"/>
      <c r="Q6" s="295"/>
      <c r="R6" s="289"/>
      <c r="S6" s="289"/>
      <c r="T6" s="289"/>
      <c r="U6" s="289"/>
      <c r="V6" s="289"/>
      <c r="W6" s="289"/>
      <c r="X6" s="289"/>
      <c r="Y6" s="289"/>
      <c r="Z6" s="289"/>
      <c r="AA6" s="289" t="s">
        <v>786</v>
      </c>
      <c r="AB6" s="289" t="s">
        <v>725</v>
      </c>
      <c r="AC6" s="289" t="s">
        <v>24</v>
      </c>
      <c r="AD6" s="289" t="s">
        <v>2205</v>
      </c>
      <c r="AE6" s="289" t="s">
        <v>1084</v>
      </c>
      <c r="AF6" s="289" t="s">
        <v>2209</v>
      </c>
      <c r="AG6" s="289"/>
      <c r="AH6" s="289"/>
      <c r="AI6" s="289"/>
      <c r="AJ6" s="289"/>
      <c r="AK6" s="289"/>
      <c r="AL6" s="289"/>
      <c r="AM6" s="289"/>
      <c r="AN6" s="289"/>
      <c r="AO6" s="289"/>
      <c r="AP6" s="289"/>
      <c r="AQ6" s="289"/>
      <c r="AR6" s="289"/>
      <c r="AS6" s="289"/>
      <c r="AT6" s="289"/>
      <c r="AU6" s="289"/>
      <c r="AV6" s="289"/>
      <c r="AW6" s="289"/>
      <c r="AX6" s="289"/>
      <c r="AY6" s="289"/>
      <c r="AZ6" s="289"/>
    </row>
    <row r="7" spans="1:52" ht="16.149999999999999" thickBot="1" x14ac:dyDescent="0.55000000000000004">
      <c r="A7" s="303"/>
      <c r="B7" s="534" t="str">
        <f>HYPERLINK(
  "#'6. Definities'!" &amp;
  INDEX('Hulp (definities)'!E:E,
        MATCH("Organisatienaam",'Hulp (definities)'!A:A,0)
  ),
  "Organisatienaam"
)</f>
        <v>Organisatienaam</v>
      </c>
      <c r="C7" s="728"/>
      <c r="D7" s="303"/>
      <c r="E7" s="578" t="str">
        <f>IF(Initialisatie!B10="","",Initialisatie!B10)</f>
        <v>Vul product in</v>
      </c>
      <c r="F7" s="493" t="str">
        <f>IF(Initialisatie!C10="","",Initialisatie!C10)</f>
        <v/>
      </c>
      <c r="G7" s="304"/>
      <c r="H7" s="543" t="str">
        <f>HYPERLINK(
  "#'6. Definities'!" &amp;
  INDEX('Hulp (definities)'!E:E,
        MATCH("- waarvan vaste inzet",'Hulp (definities)'!A:A,0)
  ),
  "- waarvan vaste inzet"
)</f>
        <v>- waarvan vaste inzet</v>
      </c>
      <c r="I7" s="729"/>
      <c r="J7" s="305" t="s">
        <v>780</v>
      </c>
      <c r="K7" s="546" t="str">
        <f>HYPERLINK(
  "#'6. Definities'!" &amp;
  INDEX('Hulp (definities)'!E:E,
        MATCH("Reiskosten werk-werk per werkuur",'Hulp (definities)'!A:A,0)
  ),
  "Reiskosten werk-werk per werkuur (€)"
)</f>
        <v>Reiskosten werk-werk per werkuur (€)</v>
      </c>
      <c r="L7" s="658"/>
      <c r="M7" s="707"/>
      <c r="N7" s="708"/>
      <c r="O7" s="305" t="s">
        <v>780</v>
      </c>
      <c r="P7" s="289"/>
      <c r="Q7" s="295"/>
      <c r="R7" s="289"/>
      <c r="S7" s="289"/>
      <c r="T7" s="289"/>
      <c r="U7" s="289"/>
      <c r="V7" s="289"/>
      <c r="W7" s="289"/>
      <c r="X7" s="289"/>
      <c r="Y7" s="289"/>
      <c r="Z7" s="289"/>
      <c r="AA7" s="719" t="str">
        <f t="array" ref="AA7">IFERROR(
    IF(
        INDEX(Initialisatie!B$10:B$49,
            SMALL(
                IF('Hulp (control forms)'!$G$13:$G$52=TRUE,
                    ROW(Initialisatie!B$10:B$49)-ROW(Initialisatie!B$10)+1),
                ROW(B1)
            )
        )="",
        "",
        INDEX(Initialisatie!B$10:B$49,
            SMALL(
                IF('Hulp (control forms)'!$G$13:$G$52=TRUE,
                    ROW(Initialisatie!B$10:B$49)-ROW(Initialisatie!B$10)+1),
                ROW(B1)
            )
        )
    ),
"")</f>
        <v/>
      </c>
      <c r="AB7" s="719" t="str">
        <f t="array" ref="AB7">IFERROR(
    IF(
        INDEX(Initialisatie!C$10:C$49,
            SMALL(
                IF('Hulp (control forms)'!$G$13:$G$52=TRUE,
                    ROW(Initialisatie!C$10:C$49)-ROW(Initialisatie!C$10)+1),
                ROW(C1)
            )
        )="",
        "",
        INDEX(Initialisatie!C$10:C$49,
            SMALL(
                IF('Hulp (control forms)'!$G$13:$G$52=TRUE,
                    ROW(Initialisatie!C$10:C$49)-ROW(Initialisatie!C$10)+1),
                ROW(C1)
            )
        )
    ),
"")</f>
        <v/>
      </c>
      <c r="AC7" s="719" t="str">
        <f>IF(AB7="Per minuut","Ambulant",
IF(AB7="Per dagdeel","Daghulp",
IF(AB7="Per etmaal","Verblijf","")))</f>
        <v/>
      </c>
      <c r="AD7" s="719" t="str">
        <f t="array" ref="AD7">IFERROR(
    IF(
        AND(
            INDEX(Initialisatie!D$10:D$49,
                SMALL(
                    IF('Hulp (control forms)'!$G$13:$G$52=TRUE,
                        ROW(Initialisatie!D$10:D$49)-ROW(Initialisatie!D$10)+1),
                    ROW(C1)
                )
            )="Ja",
            $C$8="VVT",
            Initialisatie!$C$7="Ja"
        ),
        TRUE,
        FALSE
    ),
"")</f>
        <v/>
      </c>
      <c r="AE7" s="721" t="b">
        <f>AND(
    C8&lt;&gt;"", I7&lt;&gt;"", I8&lt;&gt;"", I10&lt;&gt;"", I13&lt;&gt;"", I16&lt;&gt;"", I17&lt;&gt;"", I25&lt;&gt;"",
    OR('Hulp (control forms)'!$C$12&lt;&gt;FALSE, I28&lt;&gt;""),
    OR('Hulp (control forms)'!$C$12&lt;&gt;FALSE, I27&lt;&gt;""),
    OR('Hulp (control forms)'!$C$11&lt;&gt;FALSE, I24&lt;&gt;""),
    OR('Hulp (control forms)'!$C$10&lt;&gt;FALSE, I23&lt;&gt;""),
    OR('Hulp (control forms)'!$C$9&lt;&gt;FALSE,  I21&lt;&gt;""),
    OR('Hulp (control forms)'!$C$8&lt;&gt;FALSE,  I20&lt;&gt;""),
    OR('Hulp (control forms)'!$C$7&lt;&gt;FALSE,  I19&lt;&gt;""),
    OR('Hulp (control forms)'!$C$6&lt;&gt;FALSE,  I11&lt;&gt;""),
    OR('Hulp (control forms)'!$C$12&lt;&gt;TRUE,
        NOT(OR(
            AND(COUNTIF($AC$7:$AC$46,"Ambulant")&gt;0,L19=""),
            AND(COUNTIF($AC$7:$AC$46,"Daghulp") &gt;0,M19=""),
            AND(COUNTIF($AC$7:$AC$46,"Verblijf")&gt;0,N19="")
        ))
    ),
    OR('Hulp (control forms)'!$C$12&lt;&gt;TRUE,
        NOT(OR(
            AND(COUNTIF($AC$7:$AC$46,"Ambulant")&gt;0,L18=""),
            AND(COUNTIF($AC$7:$AC$46,"Daghulp") &gt;0,M18=""),
            AND(COUNTIF($AC$7:$AC$46,"Verblijf")&gt;0,N18="")
        ))
    ),
    OR('Hulp (control forms)'!$C$11&lt;&gt;TRUE,
        NOT(OR(
            AND(COUNTIF($AC$7:$AC$46,"Ambulant")&gt;0,L16=""),
            AND(COUNTIF($AC$7:$AC$46,"Daghulp") &gt;0,M16=""),
            AND(COUNTIF($AC$7:$AC$46,"Verblijf")&gt;0,N16="")
        ))
    ),
    OR('Hulp (control forms)'!$C$10&lt;&gt;TRUE,
        NOT(OR(
            AND(COUNTIF($AC$7:$AC$46,"Ambulant")&gt;0,L15=""),
            AND(COUNTIF($AC$7:$AC$46,"Daghulp") &gt;0,M15=""),
            AND(COUNTIF($AC$7:$AC$46,"Verblijf")&gt;0,N15="")
        ))
    ),
    OR('Hulp (control forms)'!$C$9&lt;&gt;TRUE,
        NOT(OR(
            AND(COUNTIF($AC$7:$AC$46,"Ambulant")&gt;0,L13=""),
            AND(COUNTIF($AC$7:$AC$46,"Daghulp") &gt;0,M13=""),
            AND(COUNTIF($AC$7:$AC$46,"Verblijf")&gt;0,N13="")
        ))
    ),
    OR('Hulp (control forms)'!$C$8&lt;&gt;TRUE,
        NOT(OR(
            AND(COUNTIF($AC$7:$AC$46,"Ambulant")&gt;0,L12=""),
            AND(COUNTIF($AC$7:$AC$46,"Daghulp") &gt;0,M12=""),
            AND(COUNTIF($AC$7:$AC$46,"Verblijf")&gt;0,N12="")
        ))
    ),
    OR('Hulp (control forms)'!$C$7&lt;&gt;TRUE,
        NOT(OR(
            AND(COUNTIF($AC$7:$AC$46,"Ambulant")&gt;0,L11=""),
            AND(COUNTIF($AC$7:$AC$46,"Daghulp") &gt;0,M11=""),
            AND(COUNTIF($AC$7:$AC$46,"Verblijf")&gt;0,N11="")
        ))
    ),
    NOT(AND(COUNTIF($AC$7:$AC$46,"Ambulant")&gt;0,L7="")),
    OR('Hulp (control forms)'!$C$6&lt;&gt;TRUE,
        NOT(OR(
            AND(COUNTIF($AC$7:$AC$46,"Ambulant")&gt;0,L9=""),
            AND(COUNTIF($AC$7:$AC$46,"Daghulp") &gt;0,M9=""),
            AND(COUNTIF($AC$7:$AC$46,"Verblijf")&gt;0,N9="")
        ))
    )
)</f>
        <v>0</v>
      </c>
      <c r="AF7" s="719" t="s">
        <v>2192</v>
      </c>
      <c r="AG7" s="289"/>
      <c r="AH7" s="289"/>
      <c r="AI7" s="289"/>
      <c r="AJ7" s="289"/>
      <c r="AK7" s="289"/>
      <c r="AL7" s="289"/>
      <c r="AM7" s="289"/>
      <c r="AN7" s="289"/>
      <c r="AO7" s="289"/>
      <c r="AP7" s="289"/>
      <c r="AQ7" s="289"/>
      <c r="AR7" s="289"/>
      <c r="AS7" s="289"/>
      <c r="AT7" s="289"/>
      <c r="AU7" s="289"/>
      <c r="AV7" s="289"/>
      <c r="AW7" s="289"/>
      <c r="AX7" s="289"/>
      <c r="AY7" s="289"/>
      <c r="AZ7" s="289"/>
    </row>
    <row r="8" spans="1:52" ht="16.149999999999999" thickBot="1" x14ac:dyDescent="0.55000000000000004">
      <c r="A8" s="303"/>
      <c r="B8" s="537" t="str">
        <f>HYPERLINK(
  "#'6. Definities'!" &amp;
  INDEX('Hulp (definities)'!E:E,
        MATCH("cao",'Hulp (definities)'!A:A,0)
  ),
  "cao"
)</f>
        <v>cao</v>
      </c>
      <c r="C8" s="600" t="s">
        <v>2</v>
      </c>
      <c r="D8" s="305" t="s">
        <v>780</v>
      </c>
      <c r="E8" s="579" t="str">
        <f>IF(Initialisatie!B11="","",Initialisatie!B11)</f>
        <v/>
      </c>
      <c r="F8" s="494" t="str">
        <f>IF(Initialisatie!C11="","",Initialisatie!C11)</f>
        <v/>
      </c>
      <c r="G8" s="304"/>
      <c r="H8" s="543" t="str">
        <f>HYPERLINK(
  "#'6. Definities'!" &amp;
  INDEX('Hulp (definities)'!E:E,
        MATCH("- waarvan flexibele inzet",'Hulp (definities)'!A:A,0)
  ),
  "- waarvan flexibele inzet"
)</f>
        <v>- waarvan flexibele inzet</v>
      </c>
      <c r="I8" s="729"/>
      <c r="J8" s="305" t="s">
        <v>780</v>
      </c>
      <c r="K8" s="542" t="s">
        <v>16</v>
      </c>
      <c r="L8" s="503"/>
      <c r="M8" s="503"/>
      <c r="N8" s="504"/>
      <c r="P8" s="289"/>
      <c r="Q8" s="295"/>
      <c r="R8" s="289"/>
      <c r="S8" s="289"/>
      <c r="T8" s="289"/>
      <c r="U8" s="289"/>
      <c r="V8" s="289"/>
      <c r="W8" s="289"/>
      <c r="X8" s="289"/>
      <c r="Y8" s="289"/>
      <c r="Z8" s="289"/>
      <c r="AA8" s="722" t="str">
        <f t="array" ref="AA8">IFERROR(
    IF(
        INDEX(Initialisatie!B$10:B$49,
            SMALL(
                IF('Hulp (control forms)'!$G$13:$G$52=TRUE,
                    ROW(Initialisatie!B$10:B$49)-ROW(Initialisatie!B$10)+1),
                ROW(B2)
            )
        )="",
        "",
        INDEX(Initialisatie!B$10:B$49,
            SMALL(
                IF('Hulp (control forms)'!$G$13:$G$52=TRUE,
                    ROW(Initialisatie!B$10:B$49)-ROW(Initialisatie!B$10)+1),
                ROW(B2)
            )
        )
    ),
"")</f>
        <v/>
      </c>
      <c r="AB8" s="722" t="str">
        <f t="array" ref="AB8">IFERROR(
    IF(
        INDEX(Initialisatie!C$10:C$49,
            SMALL(
                IF('Hulp (control forms)'!$G$13:$G$52=TRUE,
                    ROW(Initialisatie!C$10:C$49)-ROW(Initialisatie!C$10)+1),
                ROW(C2)
            )
        )="",
        "",
        INDEX(Initialisatie!C$10:C$49,
            SMALL(
                IF('Hulp (control forms)'!$G$13:$G$52=TRUE,
                    ROW(Initialisatie!C$10:C$49)-ROW(Initialisatie!C$10)+1),
                ROW(C2)
            )
        )
    ),
"")</f>
        <v/>
      </c>
      <c r="AC8" s="722" t="str">
        <f t="shared" ref="AC8:AC46" si="0">IF(AB8="Per minuut","Ambulant",
IF(AB8="Per dagdeel","Daghulp",
IF(AB8="Per etmaal","Verblijf","")))</f>
        <v/>
      </c>
      <c r="AD8" s="722" t="str">
        <f t="array" ref="AD8">IFERROR(
    IF(
        AND(
            INDEX(Initialisatie!D$10:D$49,
                SMALL(
                    IF('Hulp (control forms)'!$G$13:$G$52=TRUE,
                        ROW(Initialisatie!D$10:D$49)-ROW(Initialisatie!D$10)+1),
                    ROW(C2)
                )
            )="Ja",
            $C$8="VVT",
            Initialisatie!$C$7="Ja"
        ),
        TRUE,
        FALSE
    ),
"")</f>
        <v/>
      </c>
      <c r="AE8" s="289"/>
      <c r="AF8" s="722" t="s">
        <v>1218</v>
      </c>
      <c r="AG8" s="289"/>
      <c r="AH8" s="289"/>
      <c r="AI8" s="289"/>
      <c r="AJ8" s="289"/>
      <c r="AK8" s="289"/>
      <c r="AL8" s="289"/>
      <c r="AM8" s="289"/>
      <c r="AN8" s="289"/>
      <c r="AO8" s="289"/>
      <c r="AP8" s="289"/>
      <c r="AQ8" s="289"/>
      <c r="AR8" s="289"/>
      <c r="AS8" s="289"/>
      <c r="AT8" s="289"/>
      <c r="AU8" s="289"/>
      <c r="AV8" s="289"/>
      <c r="AW8" s="289"/>
      <c r="AX8" s="289"/>
      <c r="AY8" s="289"/>
      <c r="AZ8" s="289"/>
    </row>
    <row r="9" spans="1:52" ht="16.149999999999999" thickBot="1" x14ac:dyDescent="0.55000000000000004">
      <c r="A9" s="303"/>
      <c r="B9" s="537" t="str">
        <f>HYPERLINK(
  "#'6. Definities'!" &amp;
  INDEX('Hulp (definities)'!E:E,
        MATCH("Referentiejaar",'Hulp (definities)'!A:A,0)
  ),
  "Referentiejaar"
)</f>
        <v>Referentiejaar</v>
      </c>
      <c r="C9" s="408">
        <f>Initialisatie!C5</f>
        <v>2026</v>
      </c>
      <c r="D9" s="303"/>
      <c r="E9" s="579" t="str">
        <f>IF(Initialisatie!B12="","",Initialisatie!B12)</f>
        <v/>
      </c>
      <c r="F9" s="494" t="str">
        <f>IF(Initialisatie!C12="","",Initialisatie!C12)</f>
        <v/>
      </c>
      <c r="G9" s="304"/>
      <c r="H9" s="542" t="s">
        <v>16</v>
      </c>
      <c r="I9" s="504"/>
      <c r="J9" s="314"/>
      <c r="K9" s="537" t="str">
        <f>HYPERLINK(
  "#'6. Definities'!" &amp;
  INDEX('Hulp (definities)'!E:E,
        MATCH("Ziekteverzuim",'Hulp (definities)'!A:A,0)
  ),
  "Ziekteverzuim (%)"
)</f>
        <v>Ziekteverzuim (%)</v>
      </c>
      <c r="L9" s="608"/>
      <c r="M9" s="608"/>
      <c r="N9" s="609"/>
      <c r="O9" s="305" t="s">
        <v>780</v>
      </c>
      <c r="P9" s="289"/>
      <c r="Q9" s="295"/>
      <c r="R9" s="289"/>
      <c r="S9" s="289"/>
      <c r="T9" s="289"/>
      <c r="U9" s="289"/>
      <c r="V9" s="289"/>
      <c r="W9" s="289"/>
      <c r="X9" s="289"/>
      <c r="Y9" s="289"/>
      <c r="Z9" s="289"/>
      <c r="AA9" s="722" t="str">
        <f t="array" ref="AA9">IFERROR(
    IF(
        INDEX(Initialisatie!B$10:B$49,
            SMALL(
                IF('Hulp (control forms)'!$G$13:$G$52=TRUE,
                    ROW(Initialisatie!B$10:B$49)-ROW(Initialisatie!B$10)+1),
                ROW(B3)
            )
        )="",
        "",
        INDEX(Initialisatie!B$10:B$49,
            SMALL(
                IF('Hulp (control forms)'!$G$13:$G$52=TRUE,
                    ROW(Initialisatie!B$10:B$49)-ROW(Initialisatie!B$10)+1),
                ROW(B3)
            )
        )
    ),
"")</f>
        <v/>
      </c>
      <c r="AB9" s="722" t="str">
        <f t="array" ref="AB9">IFERROR(
    IF(
        INDEX(Initialisatie!C$10:C$49,
            SMALL(
                IF('Hulp (control forms)'!$G$13:$G$52=TRUE,
                    ROW(Initialisatie!C$10:C$49)-ROW(Initialisatie!C$10)+1),
                ROW(C3)
            )
        )="",
        "",
        INDEX(Initialisatie!C$10:C$49,
            SMALL(
                IF('Hulp (control forms)'!$G$13:$G$52=TRUE,
                    ROW(Initialisatie!C$10:C$49)-ROW(Initialisatie!C$10)+1),
                ROW(C3)
            )
        )
    ),
"")</f>
        <v/>
      </c>
      <c r="AC9" s="722" t="str">
        <f t="shared" si="0"/>
        <v/>
      </c>
      <c r="AD9" s="722" t="str">
        <f t="array" ref="AD9">IFERROR(
    IF(
        AND(
            INDEX(Initialisatie!D$10:D$49,
                SMALL(
                    IF('Hulp (control forms)'!$G$13:$G$52=TRUE,
                        ROW(Initialisatie!D$10:D$49)-ROW(Initialisatie!D$10)+1),
                    ROW(C3)
                )
            )="Ja",
            $C$8="VVT",
            Initialisatie!$C$7="Ja"
        ),
        TRUE,
        FALSE
    ),
"")</f>
        <v/>
      </c>
      <c r="AE9" s="289"/>
      <c r="AF9" s="722" t="s">
        <v>2</v>
      </c>
      <c r="AG9" s="289"/>
      <c r="AH9" s="289"/>
      <c r="AI9" s="289"/>
      <c r="AJ9" s="289"/>
      <c r="AK9" s="289"/>
      <c r="AL9" s="289"/>
      <c r="AM9" s="289"/>
      <c r="AN9" s="289"/>
      <c r="AO9" s="289"/>
      <c r="AP9" s="289"/>
      <c r="AQ9" s="289"/>
      <c r="AR9" s="289"/>
      <c r="AS9" s="289"/>
      <c r="AT9" s="289"/>
      <c r="AU9" s="289"/>
      <c r="AV9" s="289"/>
      <c r="AW9" s="289"/>
      <c r="AX9" s="289"/>
      <c r="AY9" s="289"/>
      <c r="AZ9" s="289"/>
    </row>
    <row r="10" spans="1:52" ht="16.149999999999999" thickBot="1" x14ac:dyDescent="0.55000000000000004">
      <c r="A10" s="303"/>
      <c r="B10" s="532" t="s">
        <v>759</v>
      </c>
      <c r="C10" s="533"/>
      <c r="D10" s="303"/>
      <c r="E10" s="579" t="str">
        <f>IF(Initialisatie!B13="","",Initialisatie!B13)</f>
        <v/>
      </c>
      <c r="F10" s="494" t="str">
        <f>IF(Initialisatie!C13="","",Initialisatie!C13)</f>
        <v/>
      </c>
      <c r="G10" s="303"/>
      <c r="H10" s="537" t="str">
        <f>HYPERLINK(
  "#'6. Definities'!" &amp;
  INDEX('Hulp (definities)'!E:E,
        MATCH("Verlofuren (per fte)",'Hulp (definities)'!A:A,0)
  ),
  "Verlofuren (per fte)"
)</f>
        <v>Verlofuren (per fte)</v>
      </c>
      <c r="I10" s="730"/>
      <c r="J10" s="305" t="s">
        <v>780</v>
      </c>
      <c r="K10" s="542" t="s">
        <v>70</v>
      </c>
      <c r="L10" s="503"/>
      <c r="M10" s="503"/>
      <c r="N10" s="504"/>
      <c r="P10" s="289"/>
      <c r="Q10" s="295"/>
      <c r="R10" s="289"/>
      <c r="S10" s="289"/>
      <c r="T10" s="289"/>
      <c r="U10" s="289"/>
      <c r="V10" s="289"/>
      <c r="W10" s="289"/>
      <c r="X10" s="289"/>
      <c r="Y10" s="289"/>
      <c r="Z10" s="289"/>
      <c r="AA10" s="722" t="str">
        <f t="array" ref="AA10">IFERROR(
    IF(
        INDEX(Initialisatie!B$10:B$49,
            SMALL(
                IF('Hulp (control forms)'!$G$13:$G$52=TRUE,
                    ROW(Initialisatie!B$10:B$49)-ROW(Initialisatie!B$10)+1),
                ROW(B4)
            )
        )="",
        "",
        INDEX(Initialisatie!B$10:B$49,
            SMALL(
                IF('Hulp (control forms)'!$G$13:$G$52=TRUE,
                    ROW(Initialisatie!B$10:B$49)-ROW(Initialisatie!B$10)+1),
                ROW(B4)
            )
        )
    ),
"")</f>
        <v/>
      </c>
      <c r="AB10" s="722" t="str">
        <f t="array" ref="AB10">IFERROR(
    IF(
        INDEX(Initialisatie!C$10:C$49,
            SMALL(
                IF('Hulp (control forms)'!$G$13:$G$52=TRUE,
                    ROW(Initialisatie!C$10:C$49)-ROW(Initialisatie!C$10)+1),
                ROW(C4)
            )
        )="",
        "",
        INDEX(Initialisatie!C$10:C$49,
            SMALL(
                IF('Hulp (control forms)'!$G$13:$G$52=TRUE,
                    ROW(Initialisatie!C$10:C$49)-ROW(Initialisatie!C$10)+1),
                ROW(C4)
            )
        )
    ),
"")</f>
        <v/>
      </c>
      <c r="AC10" s="722" t="str">
        <f t="shared" si="0"/>
        <v/>
      </c>
      <c r="AD10" s="722" t="str">
        <f t="array" ref="AD10">IFERROR(
    IF(
        AND(
            INDEX(Initialisatie!D$10:D$49,
                SMALL(
                    IF('Hulp (control forms)'!$G$13:$G$52=TRUE,
                        ROW(Initialisatie!D$10:D$49)-ROW(Initialisatie!D$10)+1),
                    ROW(C4)
                )
            )="Ja",
            $C$8="VVT",
            Initialisatie!$C$7="Ja"
        ),
        TRUE,
        FALSE
    ),
"")</f>
        <v/>
      </c>
      <c r="AE10" s="289"/>
      <c r="AF10" s="722" t="s">
        <v>706</v>
      </c>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16.149999999999999" thickBot="1" x14ac:dyDescent="0.55000000000000004">
      <c r="A11" s="303"/>
      <c r="B11" s="539" t="str">
        <f>HYPERLINK(
  "#'6. Definities'!" &amp;
  INDEX('Hulp (definities)'!E:E,
        MATCH("Naam",'Hulp (definities)'!A:A,0)
  ),
  "Naam"
)</f>
        <v>Naam</v>
      </c>
      <c r="C11" s="724"/>
      <c r="D11" s="303"/>
      <c r="E11" s="579" t="str">
        <f>IF(Initialisatie!B14="","",Initialisatie!B14)</f>
        <v/>
      </c>
      <c r="F11" s="494" t="str">
        <f>IF(Initialisatie!C14="","",Initialisatie!C14)</f>
        <v/>
      </c>
      <c r="G11" s="304"/>
      <c r="H11" s="537" t="str">
        <f>HYPERLINK(
  "#'6. Definities'!" &amp;
  INDEX('Hulp (definities)'!E:E,
        MATCH("Ziekteverzuim",'Hulp (definities)'!A:A,0)
  ),
  "Ziekteverzuim (%)"
)</f>
        <v>Ziekteverzuim (%)</v>
      </c>
      <c r="I11" s="605"/>
      <c r="J11" s="305" t="s">
        <v>780</v>
      </c>
      <c r="K11" s="537" t="str">
        <f>HYPERLINK(
  "#'6. Definities'!" &amp;
  INDEX('Hulp (definities)'!E:E,
        MATCH("Opslag risico",'Hulp (definities)'!A:A,0)
  ),
  "Risico (%)"
)</f>
        <v>Risico (%)</v>
      </c>
      <c r="L11" s="608"/>
      <c r="M11" s="608"/>
      <c r="N11" s="609"/>
      <c r="O11" s="305" t="s">
        <v>780</v>
      </c>
      <c r="P11" s="289"/>
      <c r="Q11" s="295"/>
      <c r="R11" s="289"/>
      <c r="S11" s="289"/>
      <c r="T11" s="289"/>
      <c r="U11" s="289"/>
      <c r="V11" s="289"/>
      <c r="W11" s="289"/>
      <c r="X11" s="289"/>
      <c r="Y11" s="289"/>
      <c r="Z11" s="289"/>
      <c r="AA11" s="722" t="str">
        <f t="array" ref="AA11">IFERROR(
    IF(
        INDEX(Initialisatie!B$10:B$49,
            SMALL(
                IF('Hulp (control forms)'!$G$13:$G$52=TRUE,
                    ROW(Initialisatie!B$10:B$49)-ROW(Initialisatie!B$10)+1),
                ROW(B5)
            )
        )="",
        "",
        INDEX(Initialisatie!B$10:B$49,
            SMALL(
                IF('Hulp (control forms)'!$G$13:$G$52=TRUE,
                    ROW(Initialisatie!B$10:B$49)-ROW(Initialisatie!B$10)+1),
                ROW(B5)
            )
        )
    ),
"")</f>
        <v/>
      </c>
      <c r="AB11" s="722" t="str">
        <f t="array" ref="AB11">IFERROR(
    IF(
        INDEX(Initialisatie!C$10:C$49,
            SMALL(
                IF('Hulp (control forms)'!$G$13:$G$52=TRUE,
                    ROW(Initialisatie!C$10:C$49)-ROW(Initialisatie!C$10)+1),
                ROW(C5)
            )
        )="",
        "",
        INDEX(Initialisatie!C$10:C$49,
            SMALL(
                IF('Hulp (control forms)'!$G$13:$G$52=TRUE,
                    ROW(Initialisatie!C$10:C$49)-ROW(Initialisatie!C$10)+1),
                ROW(C5)
            )
        )
    ),
"")</f>
        <v/>
      </c>
      <c r="AC11" s="722" t="str">
        <f t="shared" si="0"/>
        <v/>
      </c>
      <c r="AD11" s="722" t="str">
        <f t="array" ref="AD11">IFERROR(
    IF(
        AND(
            INDEX(Initialisatie!D$10:D$49,
                SMALL(
                    IF('Hulp (control forms)'!$G$13:$G$52=TRUE,
                        ROW(Initialisatie!D$10:D$49)-ROW(Initialisatie!D$10)+1),
                    ROW(C5)
                )
            )="Ja",
            $C$8="VVT",
            Initialisatie!$C$7="Ja"
        ),
        TRUE,
        FALSE
    ),
"")</f>
        <v/>
      </c>
      <c r="AE11" s="289"/>
      <c r="AF11" s="720" t="s">
        <v>705</v>
      </c>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ht="16.149999999999999" thickBot="1" x14ac:dyDescent="0.55000000000000004">
      <c r="A12" s="303"/>
      <c r="B12" s="540" t="str">
        <f>HYPERLINK(
  "#'6. Definities'!" &amp;
  INDEX('Hulp (definities)'!E:E,
        MATCH("Functie",'Hulp (definities)'!A:A,0)
  ),
  "Functie"
)</f>
        <v>Functie</v>
      </c>
      <c r="C12" s="725"/>
      <c r="D12" s="303"/>
      <c r="E12" s="580" t="str">
        <f>IF(Initialisatie!B15="","",Initialisatie!B15)</f>
        <v/>
      </c>
      <c r="F12" s="494" t="str">
        <f>IF(Initialisatie!C15="","",Initialisatie!C15)</f>
        <v/>
      </c>
      <c r="G12" s="304"/>
      <c r="H12" s="542" t="s">
        <v>8</v>
      </c>
      <c r="I12" s="504"/>
      <c r="J12" s="305"/>
      <c r="K12" s="537" t="str">
        <f>HYPERLINK(
  "#'6. Definities'!" &amp;
  INDEX('Hulp (definities)'!E:E,
        MATCH("Opslag marge",'Hulp (definities)'!A:A,0)
  ),
  "Marge (%)"
)</f>
        <v>Marge (%)</v>
      </c>
      <c r="L12" s="608"/>
      <c r="M12" s="608"/>
      <c r="N12" s="609"/>
      <c r="O12" s="305" t="s">
        <v>780</v>
      </c>
      <c r="P12" s="289"/>
      <c r="Q12" s="295"/>
      <c r="R12" s="289"/>
      <c r="S12" s="289"/>
      <c r="T12" s="289"/>
      <c r="U12" s="289"/>
      <c r="V12" s="289"/>
      <c r="W12" s="289"/>
      <c r="X12" s="289"/>
      <c r="Y12" s="289"/>
      <c r="Z12" s="289"/>
      <c r="AA12" s="722" t="str">
        <f t="array" ref="AA12">IFERROR(
    IF(
        INDEX(Initialisatie!B$10:B$49,
            SMALL(
                IF('Hulp (control forms)'!$G$13:$G$52=TRUE,
                    ROW(Initialisatie!B$10:B$49)-ROW(Initialisatie!B$10)+1),
                ROW(B6)
            )
        )="",
        "",
        INDEX(Initialisatie!B$10:B$49,
            SMALL(
                IF('Hulp (control forms)'!$G$13:$G$52=TRUE,
                    ROW(Initialisatie!B$10:B$49)-ROW(Initialisatie!B$10)+1),
                ROW(B6)
            )
        )
    ),
"")</f>
        <v/>
      </c>
      <c r="AB12" s="722" t="str">
        <f t="array" ref="AB12">IFERROR(
    IF(
        INDEX(Initialisatie!C$10:C$49,
            SMALL(
                IF('Hulp (control forms)'!$G$13:$G$52=TRUE,
                    ROW(Initialisatie!C$10:C$49)-ROW(Initialisatie!C$10)+1),
                ROW(C6)
            )
        )="",
        "",
        INDEX(Initialisatie!C$10:C$49,
            SMALL(
                IF('Hulp (control forms)'!$G$13:$G$52=TRUE,
                    ROW(Initialisatie!C$10:C$49)-ROW(Initialisatie!C$10)+1),
                ROW(C6)
            )
        )
    ),
"")</f>
        <v/>
      </c>
      <c r="AC12" s="722" t="str">
        <f t="shared" si="0"/>
        <v/>
      </c>
      <c r="AD12" s="722" t="str">
        <f t="array" ref="AD12">IFERROR(
    IF(
        AND(
            INDEX(Initialisatie!D$10:D$49,
                SMALL(
                    IF('Hulp (control forms)'!$G$13:$G$52=TRUE,
                        ROW(Initialisatie!D$10:D$49)-ROW(Initialisatie!D$10)+1),
                    ROW(C6)
                )
            )="Ja",
            $C$8="VVT",
            Initialisatie!$C$7="Ja"
        ),
        TRUE,
        FALSE
    ),
"")</f>
        <v/>
      </c>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ht="16.149999999999999" thickBot="1" x14ac:dyDescent="0.55000000000000004">
      <c r="A13" s="303"/>
      <c r="B13" s="540" t="str">
        <f>HYPERLINK(
  "#'6. Definities'!" &amp;
  INDEX('Hulp (definities)'!E:E,
        MATCH("E-mailadres",'Hulp (definities)'!A:A,0)
  ),
  "E-mailadres"
)</f>
        <v>E-mailadres</v>
      </c>
      <c r="C13" s="726"/>
      <c r="D13" s="303"/>
      <c r="E13" s="580" t="str">
        <f>IF(Initialisatie!B16="","",Initialisatie!B16)</f>
        <v/>
      </c>
      <c r="F13" s="494" t="str">
        <f>IF(Initialisatie!C16="","",Initialisatie!C16)</f>
        <v/>
      </c>
      <c r="G13" s="304"/>
      <c r="H13" s="537" t="str">
        <f>HYPERLINK(
  "#'6. Definities'!" &amp;
  INDEX('Hulp (definities)'!E:E,
        MATCH("WAO-WIA premie",'Hulp (definities)'!A:A,0)
  ),
  "WAO-WIA premie (%)"
)</f>
        <v>WAO-WIA premie (%)</v>
      </c>
      <c r="I13" s="605"/>
      <c r="J13" s="305" t="s">
        <v>780</v>
      </c>
      <c r="K13" s="537" t="str">
        <f>HYPERLINK(
  "#'6. Definities'!" &amp;
  INDEX('Hulp (definities)'!E:E,
        MATCH("Opslag innovatie",'Hulp (definities)'!A:A,0)
  ),
  "Innovatie (%)"
)</f>
        <v>Innovatie (%)</v>
      </c>
      <c r="L13" s="608"/>
      <c r="M13" s="608"/>
      <c r="N13" s="609"/>
      <c r="O13" s="305" t="s">
        <v>780</v>
      </c>
      <c r="P13" s="289"/>
      <c r="Q13" s="295"/>
      <c r="R13" s="289"/>
      <c r="S13" s="289"/>
      <c r="T13" s="289"/>
      <c r="U13" s="289"/>
      <c r="V13" s="289"/>
      <c r="W13" s="289"/>
      <c r="X13" s="289"/>
      <c r="Y13" s="289"/>
      <c r="Z13" s="289"/>
      <c r="AA13" s="722" t="str">
        <f t="array" ref="AA13">IFERROR(
    IF(
        INDEX(Initialisatie!B$10:B$49,
            SMALL(
                IF('Hulp (control forms)'!$G$13:$G$52=TRUE,
                    ROW(Initialisatie!B$10:B$49)-ROW(Initialisatie!B$10)+1),
                ROW(B7)
            )
        )="",
        "",
        INDEX(Initialisatie!B$10:B$49,
            SMALL(
                IF('Hulp (control forms)'!$G$13:$G$52=TRUE,
                    ROW(Initialisatie!B$10:B$49)-ROW(Initialisatie!B$10)+1),
                ROW(B7)
            )
        )
    ),
"")</f>
        <v/>
      </c>
      <c r="AB13" s="722" t="str">
        <f t="array" ref="AB13">IFERROR(
    IF(
        INDEX(Initialisatie!C$10:C$49,
            SMALL(
                IF('Hulp (control forms)'!$G$13:$G$52=TRUE,
                    ROW(Initialisatie!C$10:C$49)-ROW(Initialisatie!C$10)+1),
                ROW(C7)
            )
        )="",
        "",
        INDEX(Initialisatie!C$10:C$49,
            SMALL(
                IF('Hulp (control forms)'!$G$13:$G$52=TRUE,
                    ROW(Initialisatie!C$10:C$49)-ROW(Initialisatie!C$10)+1),
                ROW(C7)
            )
        )
    ),
"")</f>
        <v/>
      </c>
      <c r="AC13" s="722" t="str">
        <f t="shared" si="0"/>
        <v/>
      </c>
      <c r="AD13" s="722" t="str">
        <f t="array" ref="AD13">IFERROR(
    IF(
        AND(
            INDEX(Initialisatie!D$10:D$49,
                SMALL(
                    IF('Hulp (control forms)'!$G$13:$G$52=TRUE,
                        ROW(Initialisatie!D$10:D$49)-ROW(Initialisatie!D$10)+1),
                    ROW(C7)
                )
            )="Ja",
            $C$8="VVT",
            Initialisatie!$C$7="Ja"
        ),
        TRUE,
        FALSE
    ),
"")</f>
        <v/>
      </c>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16.149999999999999" thickBot="1" x14ac:dyDescent="0.55000000000000004">
      <c r="A14" s="303"/>
      <c r="B14" s="541" t="str">
        <f>HYPERLINK(
  "#'6. Definities'!" &amp;
  INDEX('Hulp (definities)'!E:E,
        MATCH("Telefoonnummer",'Hulp (definities)'!A:A,0)
  ),
  "Telefoonnummer"
)</f>
        <v>Telefoonnummer</v>
      </c>
      <c r="C14" s="727"/>
      <c r="D14" s="303"/>
      <c r="E14" s="580" t="str">
        <f>IF(Initialisatie!B17="","",Initialisatie!B17)</f>
        <v/>
      </c>
      <c r="F14" s="494" t="str">
        <f>IF(Initialisatie!C17="","",Initialisatie!C17)</f>
        <v/>
      </c>
      <c r="G14" s="304"/>
      <c r="H14" s="537" t="str">
        <f>HYPERLINK(
  "#'6. Definities'!" &amp;
  INDEX('Hulp (definities)'!E:E,
        MATCH("WW premie",'Hulp (definities)'!A:A,0)
  ),
  "WW premie (%)"
)</f>
        <v>WW premie (%)</v>
      </c>
      <c r="I14" s="409" t="str">
        <f>IFERROR((I7/(I7+I8))*0.0274 + (I8/(I7+I8))*0.0774, "")</f>
        <v/>
      </c>
      <c r="J14" s="305"/>
      <c r="K14" s="538" t="s">
        <v>1266</v>
      </c>
      <c r="L14" s="503"/>
      <c r="M14" s="503"/>
      <c r="N14" s="504"/>
      <c r="P14" s="289"/>
      <c r="Q14" s="295"/>
      <c r="R14" s="289"/>
      <c r="S14" s="289"/>
      <c r="T14" s="289"/>
      <c r="U14" s="289"/>
      <c r="V14" s="289"/>
      <c r="W14" s="289"/>
      <c r="X14" s="289"/>
      <c r="Y14" s="289"/>
      <c r="Z14" s="289"/>
      <c r="AA14" s="722" t="str">
        <f t="array" ref="AA14">IFERROR(
    IF(
        INDEX(Initialisatie!B$10:B$49,
            SMALL(
                IF('Hulp (control forms)'!$G$13:$G$52=TRUE,
                    ROW(Initialisatie!B$10:B$49)-ROW(Initialisatie!B$10)+1),
                ROW(B8)
            )
        )="",
        "",
        INDEX(Initialisatie!B$10:B$49,
            SMALL(
                IF('Hulp (control forms)'!$G$13:$G$52=TRUE,
                    ROW(Initialisatie!B$10:B$49)-ROW(Initialisatie!B$10)+1),
                ROW(B8)
            )
        )
    ),
"")</f>
        <v/>
      </c>
      <c r="AB14" s="722" t="str">
        <f t="array" ref="AB14">IFERROR(
    IF(
        INDEX(Initialisatie!C$10:C$49,
            SMALL(
                IF('Hulp (control forms)'!$G$13:$G$52=TRUE,
                    ROW(Initialisatie!C$10:C$49)-ROW(Initialisatie!C$10)+1),
                ROW(C8)
            )
        )="",
        "",
        INDEX(Initialisatie!C$10:C$49,
            SMALL(
                IF('Hulp (control forms)'!$G$13:$G$52=TRUE,
                    ROW(Initialisatie!C$10:C$49)-ROW(Initialisatie!C$10)+1),
                ROW(C8)
            )
        )
    ),
"")</f>
        <v/>
      </c>
      <c r="AC14" s="722" t="str">
        <f t="shared" si="0"/>
        <v/>
      </c>
      <c r="AD14" s="722" t="str">
        <f t="array" ref="AD14">IFERROR(
    IF(
        AND(
            INDEX(Initialisatie!D$10:D$49,
                SMALL(
                    IF('Hulp (control forms)'!$G$13:$G$52=TRUE,
                        ROW(Initialisatie!D$10:D$49)-ROW(Initialisatie!D$10)+1),
                    ROW(C8)
                )
            )="Ja",
            $C$8="VVT",
            Initialisatie!$C$7="Ja"
        ),
        TRUE,
        FALSE
    ),
"")</f>
        <v/>
      </c>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x14ac:dyDescent="0.5">
      <c r="A15" s="303"/>
      <c r="B15" s="289"/>
      <c r="C15" s="289"/>
      <c r="D15" s="303"/>
      <c r="E15" s="580" t="str">
        <f>IF(Initialisatie!B18="","",Initialisatie!B18)</f>
        <v/>
      </c>
      <c r="F15" s="494" t="str">
        <f>IF(Initialisatie!C18="","",Initialisatie!C18)</f>
        <v/>
      </c>
      <c r="G15" s="304"/>
      <c r="H15" s="537" t="str">
        <f>HYPERLINK(
  "#'6. Definities'!" &amp;
  INDEX('Hulp (definities)'!E:E,
        MATCH("ZVW premie",'Hulp (definities)'!A:A,0)
  ),
  "ZVW premie (%)"
)</f>
        <v>ZVW premie (%)</v>
      </c>
      <c r="I15" s="409">
        <f>'Hulp (overig)'!C7</f>
        <v>6.0999999999999999E-2</v>
      </c>
      <c r="J15" s="305"/>
      <c r="K15" s="537" t="str">
        <f>HYPERLINK(
  "#'6. Definities'!" &amp;
  INDEX('Hulp (definities)'!E:E,
        MATCH("Overhead personeel",'Hulp (definities)'!A:A,0)
  ),
  "Overhead personeel (%)"
)</f>
        <v>Overhead personeel (%)</v>
      </c>
      <c r="L15" s="608"/>
      <c r="M15" s="608"/>
      <c r="N15" s="609"/>
      <c r="O15" s="305" t="s">
        <v>780</v>
      </c>
      <c r="P15" s="289"/>
      <c r="Q15" s="295"/>
      <c r="R15" s="289"/>
      <c r="S15" s="289"/>
      <c r="T15" s="289"/>
      <c r="U15" s="289"/>
      <c r="V15" s="289"/>
      <c r="W15" s="289"/>
      <c r="X15" s="289"/>
      <c r="Y15" s="289"/>
      <c r="Z15" s="289"/>
      <c r="AA15" s="722" t="str">
        <f t="array" ref="AA15">IFERROR(
    IF(
        INDEX(Initialisatie!B$10:B$49,
            SMALL(
                IF('Hulp (control forms)'!$G$13:$G$52=TRUE,
                    ROW(Initialisatie!B$10:B$49)-ROW(Initialisatie!B$10)+1),
                ROW(B9)
            )
        )="",
        "",
        INDEX(Initialisatie!B$10:B$49,
            SMALL(
                IF('Hulp (control forms)'!$G$13:$G$52=TRUE,
                    ROW(Initialisatie!B$10:B$49)-ROW(Initialisatie!B$10)+1),
                ROW(B9)
            )
        )
    ),
"")</f>
        <v/>
      </c>
      <c r="AB15" s="722" t="str">
        <f t="array" ref="AB15">IFERROR(
    IF(
        INDEX(Initialisatie!C$10:C$49,
            SMALL(
                IF('Hulp (control forms)'!$G$13:$G$52=TRUE,
                    ROW(Initialisatie!C$10:C$49)-ROW(Initialisatie!C$10)+1),
                ROW(C9)
            )
        )="",
        "",
        INDEX(Initialisatie!C$10:C$49,
            SMALL(
                IF('Hulp (control forms)'!$G$13:$G$52=TRUE,
                    ROW(Initialisatie!C$10:C$49)-ROW(Initialisatie!C$10)+1),
                ROW(C9)
            )
        )
    ),
"")</f>
        <v/>
      </c>
      <c r="AC15" s="722" t="str">
        <f t="shared" si="0"/>
        <v/>
      </c>
      <c r="AD15" s="722" t="str">
        <f t="array" ref="AD15">IFERROR(
    IF(
        AND(
            INDEX(Initialisatie!D$10:D$49,
                SMALL(
                    IF('Hulp (control forms)'!$G$13:$G$52=TRUE,
                        ROW(Initialisatie!D$10:D$49)-ROW(Initialisatie!D$10)+1),
                    ROW(C9)
                )
            )="Ja",
            $C$8="VVT",
            Initialisatie!$C$7="Ja"
        ),
        TRUE,
        FALSE
    ),
"")</f>
        <v/>
      </c>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ht="16.149999999999999" thickBot="1" x14ac:dyDescent="0.55000000000000004">
      <c r="A16" s="303"/>
      <c r="B16" s="289"/>
      <c r="C16" s="289"/>
      <c r="D16" s="303"/>
      <c r="E16" s="580" t="str">
        <f>IF(Initialisatie!B19="","",Initialisatie!B19)</f>
        <v/>
      </c>
      <c r="F16" s="494" t="str">
        <f>IF(Initialisatie!C19="","",Initialisatie!C19)</f>
        <v/>
      </c>
      <c r="G16" s="304"/>
      <c r="H16" s="537" t="str">
        <f>HYPERLINK(
  "#'6. Definities'!" &amp;
  INDEX('Hulp (definities)'!E:E,
        MATCH("WHK premie",'Hulp (definities)'!A:A,0)
  ),
  "WHK premie (%)"
)</f>
        <v>WHK premie (%)</v>
      </c>
      <c r="I16" s="605"/>
      <c r="J16" s="305" t="s">
        <v>780</v>
      </c>
      <c r="K16" s="537" t="str">
        <f>HYPERLINK(
  "#'6. Definities'!" &amp;
  INDEX('Hulp (definities)'!E:E,
        MATCH("Materiële overhead",'Hulp (definities)'!A:A,0)
  ),
  "Materiële overhead (%)"
)</f>
        <v>Materiële overhead (%)</v>
      </c>
      <c r="L16" s="608"/>
      <c r="M16" s="608"/>
      <c r="N16" s="609"/>
      <c r="O16" s="305" t="s">
        <v>780</v>
      </c>
      <c r="P16" s="289"/>
      <c r="Q16" s="295"/>
      <c r="R16" s="289"/>
      <c r="S16" s="289"/>
      <c r="T16" s="289"/>
      <c r="U16" s="289"/>
      <c r="V16" s="289"/>
      <c r="W16" s="289"/>
      <c r="X16" s="289"/>
      <c r="Y16" s="289"/>
      <c r="Z16" s="289"/>
      <c r="AA16" s="722" t="str">
        <f t="array" ref="AA16">IFERROR(
    IF(
        INDEX(Initialisatie!B$10:B$49,
            SMALL(
                IF('Hulp (control forms)'!$G$13:$G$52=TRUE,
                    ROW(Initialisatie!B$10:B$49)-ROW(Initialisatie!B$10)+1),
                ROW(B10)
            )
        )="",
        "",
        INDEX(Initialisatie!B$10:B$49,
            SMALL(
                IF('Hulp (control forms)'!$G$13:$G$52=TRUE,
                    ROW(Initialisatie!B$10:B$49)-ROW(Initialisatie!B$10)+1),
                ROW(B10)
            )
        )
    ),
"")</f>
        <v/>
      </c>
      <c r="AB16" s="722" t="str">
        <f t="array" ref="AB16">IFERROR(
    IF(
        INDEX(Initialisatie!C$10:C$49,
            SMALL(
                IF('Hulp (control forms)'!$G$13:$G$52=TRUE,
                    ROW(Initialisatie!C$10:C$49)-ROW(Initialisatie!C$10)+1),
                ROW(C10)
            )
        )="",
        "",
        INDEX(Initialisatie!C$10:C$49,
            SMALL(
                IF('Hulp (control forms)'!$G$13:$G$52=TRUE,
                    ROW(Initialisatie!C$10:C$49)-ROW(Initialisatie!C$10)+1),
                ROW(C10)
            )
        )
    ),
"")</f>
        <v/>
      </c>
      <c r="AC16" s="722" t="str">
        <f t="shared" si="0"/>
        <v/>
      </c>
      <c r="AD16" s="722" t="str">
        <f t="array" ref="AD16">IFERROR(
    IF(
        AND(
            INDEX(Initialisatie!D$10:D$49,
                SMALL(
                    IF('Hulp (control forms)'!$G$13:$G$52=TRUE,
                        ROW(Initialisatie!D$10:D$49)-ROW(Initialisatie!D$10)+1),
                    ROW(C10)
                )
            )="Ja",
            $C$8="VVT",
            Initialisatie!$C$7="Ja"
        ),
        TRUE,
        FALSE
    ),
"")</f>
        <v/>
      </c>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ht="16.149999999999999" thickBot="1" x14ac:dyDescent="0.55000000000000004">
      <c r="A17" s="303"/>
      <c r="B17" s="289"/>
      <c r="C17" s="310"/>
      <c r="D17" s="303"/>
      <c r="E17" s="580" t="str">
        <f>IF(Initialisatie!B20="","",Initialisatie!B20)</f>
        <v/>
      </c>
      <c r="F17" s="494" t="str">
        <f>IF(Initialisatie!C20="","",Initialisatie!C20)</f>
        <v/>
      </c>
      <c r="G17" s="304"/>
      <c r="H17" s="537" t="str">
        <f>HYPERLINK(
  "#'6. Definities'!" &amp;
  INDEX('Hulp (definities)'!E:E,
        MATCH("WGA premie",'Hulp (definities)'!A:A,0)
  ),
  "WGA premie (%)"
)</f>
        <v>WGA premie (%)</v>
      </c>
      <c r="I17" s="605"/>
      <c r="J17" s="305" t="s">
        <v>780</v>
      </c>
      <c r="K17" s="542" t="s">
        <v>68</v>
      </c>
      <c r="L17" s="369"/>
      <c r="M17" s="369"/>
      <c r="N17" s="370"/>
      <c r="O17" s="305"/>
      <c r="P17" s="289"/>
      <c r="Q17" s="295"/>
      <c r="R17" s="289"/>
      <c r="S17" s="289"/>
      <c r="T17" s="289"/>
      <c r="U17" s="289"/>
      <c r="V17" s="289"/>
      <c r="W17" s="289"/>
      <c r="X17" s="289"/>
      <c r="Y17" s="289"/>
      <c r="Z17" s="289"/>
      <c r="AA17" s="722" t="str">
        <f t="array" ref="AA17">IFERROR(
    IF(
        INDEX(Initialisatie!B$10:B$49,
            SMALL(
                IF('Hulp (control forms)'!$G$13:$G$52=TRUE,
                    ROW(Initialisatie!B$10:B$49)-ROW(Initialisatie!B$10)+1),
                ROW(B11)
            )
        )="",
        "",
        INDEX(Initialisatie!B$10:B$49,
            SMALL(
                IF('Hulp (control forms)'!$G$13:$G$52=TRUE,
                    ROW(Initialisatie!B$10:B$49)-ROW(Initialisatie!B$10)+1),
                ROW(B11)
            )
        )
    ),
"")</f>
        <v/>
      </c>
      <c r="AB17" s="722" t="str">
        <f t="array" ref="AB17">IFERROR(
    IF(
        INDEX(Initialisatie!C$10:C$49,
            SMALL(
                IF('Hulp (control forms)'!$G$13:$G$52=TRUE,
                    ROW(Initialisatie!C$10:C$49)-ROW(Initialisatie!C$10)+1),
                ROW(C11)
            )
        )="",
        "",
        INDEX(Initialisatie!C$10:C$49,
            SMALL(
                IF('Hulp (control forms)'!$G$13:$G$52=TRUE,
                    ROW(Initialisatie!C$10:C$49)-ROW(Initialisatie!C$10)+1),
                ROW(C11)
            )
        )
    ),
"")</f>
        <v/>
      </c>
      <c r="AC17" s="722" t="str">
        <f t="shared" si="0"/>
        <v/>
      </c>
      <c r="AD17" s="722" t="str">
        <f t="array" ref="AD17">IFERROR(
    IF(
        AND(
            INDEX(Initialisatie!D$10:D$49,
                SMALL(
                    IF('Hulp (control forms)'!$G$13:$G$52=TRUE,
                        ROW(Initialisatie!D$10:D$49)-ROW(Initialisatie!D$10)+1),
                    ROW(C11)
                )
            )="Ja",
            $C$8="VVT",
            Initialisatie!$C$7="Ja"
        ),
        TRUE,
        FALSE
    ),
"")</f>
        <v/>
      </c>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ht="16.149999999999999" thickBot="1" x14ac:dyDescent="0.55000000000000004">
      <c r="A18" s="303"/>
      <c r="B18" s="289"/>
      <c r="C18" s="310"/>
      <c r="D18" s="303"/>
      <c r="E18" s="580" t="str">
        <f>IF(Initialisatie!B21="","",Initialisatie!B21)</f>
        <v/>
      </c>
      <c r="F18" s="494" t="str">
        <f>IF(Initialisatie!C21="","",Initialisatie!C21)</f>
        <v/>
      </c>
      <c r="G18" s="309"/>
      <c r="H18" s="542" t="s">
        <v>70</v>
      </c>
      <c r="I18" s="504"/>
      <c r="J18" s="305"/>
      <c r="K18" s="544" t="str">
        <f>HYPERLINK(
  "#'6. Definities'!" &amp;
  INDEX('Hulp (definities)'!E:E,
        MATCH("Aandeel PNIL (%)",'Hulp (definities)'!A:A,0)
  ),
  "Aandeel PNIL (%)"
)</f>
        <v>Aandeel PNIL (%)</v>
      </c>
      <c r="L18" s="655"/>
      <c r="M18" s="655"/>
      <c r="N18" s="656"/>
      <c r="O18" s="305" t="s">
        <v>780</v>
      </c>
      <c r="P18" s="289"/>
      <c r="Q18" s="295"/>
      <c r="R18" s="289"/>
      <c r="S18" s="289"/>
      <c r="T18" s="289"/>
      <c r="U18" s="289"/>
      <c r="V18" s="289"/>
      <c r="W18" s="289"/>
      <c r="X18" s="289"/>
      <c r="Y18" s="289"/>
      <c r="Z18" s="289"/>
      <c r="AA18" s="722" t="str">
        <f t="array" ref="AA18">IFERROR(
    IF(
        INDEX(Initialisatie!B$10:B$49,
            SMALL(
                IF('Hulp (control forms)'!$G$13:$G$52=TRUE,
                    ROW(Initialisatie!B$10:B$49)-ROW(Initialisatie!B$10)+1),
                ROW(B12)
            )
        )="",
        "",
        INDEX(Initialisatie!B$10:B$49,
            SMALL(
                IF('Hulp (control forms)'!$G$13:$G$52=TRUE,
                    ROW(Initialisatie!B$10:B$49)-ROW(Initialisatie!B$10)+1),
                ROW(B12)
            )
        )
    ),
"")</f>
        <v/>
      </c>
      <c r="AB18" s="722" t="str">
        <f t="array" ref="AB18">IFERROR(
    IF(
        INDEX(Initialisatie!C$10:C$49,
            SMALL(
                IF('Hulp (control forms)'!$G$13:$G$52=TRUE,
                    ROW(Initialisatie!C$10:C$49)-ROW(Initialisatie!C$10)+1),
                ROW(C12)
            )
        )="",
        "",
        INDEX(Initialisatie!C$10:C$49,
            SMALL(
                IF('Hulp (control forms)'!$G$13:$G$52=TRUE,
                    ROW(Initialisatie!C$10:C$49)-ROW(Initialisatie!C$10)+1),
                ROW(C12)
            )
        )
    ),
"")</f>
        <v/>
      </c>
      <c r="AC18" s="722" t="str">
        <f t="shared" si="0"/>
        <v/>
      </c>
      <c r="AD18" s="722" t="str">
        <f t="array" ref="AD18">IFERROR(
    IF(
        AND(
            INDEX(Initialisatie!D$10:D$49,
                SMALL(
                    IF('Hulp (control forms)'!$G$13:$G$52=TRUE,
                        ROW(Initialisatie!D$10:D$49)-ROW(Initialisatie!D$10)+1),
                    ROW(C12)
                )
            )="Ja",
            $C$8="VVT",
            Initialisatie!$C$7="Ja"
        ),
        TRUE,
        FALSE
    ),
"")</f>
        <v/>
      </c>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t="16.05" customHeight="1" x14ac:dyDescent="0.5">
      <c r="A19" s="303"/>
      <c r="B19" s="289"/>
      <c r="C19" s="310"/>
      <c r="D19" s="289"/>
      <c r="E19" s="580" t="str">
        <f>IF(Initialisatie!B22="","",Initialisatie!B22)</f>
        <v/>
      </c>
      <c r="F19" s="494" t="str">
        <f>IF(Initialisatie!C22="","",Initialisatie!C22)</f>
        <v/>
      </c>
      <c r="G19" s="304"/>
      <c r="H19" s="537" t="str">
        <f>HYPERLINK(
  "#'6. Definities'!" &amp;
  INDEX('Hulp (definities)'!E:E,
        MATCH("Opslag risico",'Hulp (definities)'!A:A,0)
  ),
  "Risico (%)"
)</f>
        <v>Risico (%)</v>
      </c>
      <c r="I19" s="605"/>
      <c r="J19" s="305" t="s">
        <v>780</v>
      </c>
      <c r="K19" s="545" t="str">
        <f>HYPERLINK(
  "#'6. Definities'!" &amp;
  INDEX('Hulp (definities)'!E:E,
        MATCH("Meerkosten PNIL (%)",'Hulp (definities)'!A:A,0)
  ),
  "Meerkosten PNIL (%)"
)</f>
        <v>Meerkosten PNIL (%)</v>
      </c>
      <c r="L19" s="657"/>
      <c r="M19" s="657"/>
      <c r="N19" s="609"/>
      <c r="O19" s="305" t="s">
        <v>780</v>
      </c>
      <c r="P19" s="289"/>
      <c r="Q19" s="295"/>
      <c r="R19" s="289"/>
      <c r="S19" s="289"/>
      <c r="T19" s="289"/>
      <c r="U19" s="289"/>
      <c r="V19" s="289"/>
      <c r="W19" s="289"/>
      <c r="X19" s="289"/>
      <c r="Y19" s="289"/>
      <c r="Z19" s="289"/>
      <c r="AA19" s="722" t="str">
        <f t="array" ref="AA19">IFERROR(
    IF(
        INDEX(Initialisatie!B$10:B$49,
            SMALL(
                IF('Hulp (control forms)'!$G$13:$G$52=TRUE,
                    ROW(Initialisatie!B$10:B$49)-ROW(Initialisatie!B$10)+1),
                ROW(B13)
            )
        )="",
        "",
        INDEX(Initialisatie!B$10:B$49,
            SMALL(
                IF('Hulp (control forms)'!$G$13:$G$52=TRUE,
                    ROW(Initialisatie!B$10:B$49)-ROW(Initialisatie!B$10)+1),
                ROW(B13)
            )
        )
    ),
"")</f>
        <v/>
      </c>
      <c r="AB19" s="722" t="str">
        <f t="array" ref="AB19">IFERROR(
    IF(
        INDEX(Initialisatie!C$10:C$49,
            SMALL(
                IF('Hulp (control forms)'!$G$13:$G$52=TRUE,
                    ROW(Initialisatie!C$10:C$49)-ROW(Initialisatie!C$10)+1),
                ROW(C13)
            )
        )="",
        "",
        INDEX(Initialisatie!C$10:C$49,
            SMALL(
                IF('Hulp (control forms)'!$G$13:$G$52=TRUE,
                    ROW(Initialisatie!C$10:C$49)-ROW(Initialisatie!C$10)+1),
                ROW(C13)
            )
        )
    ),
"")</f>
        <v/>
      </c>
      <c r="AC19" s="722" t="str">
        <f t="shared" si="0"/>
        <v/>
      </c>
      <c r="AD19" s="722" t="str">
        <f t="array" ref="AD19">IFERROR(
    IF(
        AND(
            INDEX(Initialisatie!D$10:D$49,
                SMALL(
                    IF('Hulp (control forms)'!$G$13:$G$52=TRUE,
                        ROW(Initialisatie!D$10:D$49)-ROW(Initialisatie!D$10)+1),
                    ROW(C13)
                )
            )="Ja",
            $C$8="VVT",
            Initialisatie!$C$7="Ja"
        ),
        TRUE,
        FALSE
    ),
"")</f>
        <v/>
      </c>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ht="16.149999999999999" thickBot="1" x14ac:dyDescent="0.55000000000000004">
      <c r="A20" s="303"/>
      <c r="B20" s="289"/>
      <c r="C20" s="289"/>
      <c r="D20" s="289"/>
      <c r="E20" s="580" t="str">
        <f>IF(Initialisatie!B23="","",Initialisatie!B23)</f>
        <v/>
      </c>
      <c r="F20" s="494" t="str">
        <f>IF(Initialisatie!C23="","",Initialisatie!C23)</f>
        <v/>
      </c>
      <c r="G20" s="304"/>
      <c r="H20" s="537" t="str">
        <f>HYPERLINK(
  "#'6. Definities'!" &amp;
  INDEX('Hulp (definities)'!E:E,
        MATCH("Opslag marge",'Hulp (definities)'!A:A,0)
  ),
  "Marge (%)"
)</f>
        <v>Marge (%)</v>
      </c>
      <c r="I20" s="605"/>
      <c r="J20" s="305" t="s">
        <v>780</v>
      </c>
      <c r="K20" s="390" t="str">
        <f>HYPERLINK(
  "#'6. Definities'!" &amp;
  INDEX('Hulp (definities)'!E:E,
        MATCH("Rekenfactor PNIL (%)",'Hulp (definities)'!A:A,0)
  ),
  "Rekenfactor PNIL (%)"
)</f>
        <v>Rekenfactor PNIL (%)</v>
      </c>
      <c r="L20" s="411" t="str">
        <f>IF(OR(L18="",L19=""),"",L18*L19)</f>
        <v/>
      </c>
      <c r="M20" s="411" t="str">
        <f>IF(OR(M18="",M19=""),"",M18*M19)</f>
        <v/>
      </c>
      <c r="N20" s="412" t="str">
        <f>IF(OR(N18="",N19=""),"",N18*N19)</f>
        <v/>
      </c>
      <c r="O20"/>
      <c r="P20" s="289"/>
      <c r="Q20" s="295"/>
      <c r="R20" s="289"/>
      <c r="S20" s="289"/>
      <c r="T20" s="289"/>
      <c r="U20" s="289"/>
      <c r="V20" s="289"/>
      <c r="W20" s="289"/>
      <c r="X20" s="289"/>
      <c r="Y20" s="289"/>
      <c r="Z20" s="289"/>
      <c r="AA20" s="722" t="str">
        <f t="array" ref="AA20">IFERROR(
    IF(
        INDEX(Initialisatie!B$10:B$49,
            SMALL(
                IF('Hulp (control forms)'!$G$13:$G$52=TRUE,
                    ROW(Initialisatie!B$10:B$49)-ROW(Initialisatie!B$10)+1),
                ROW(B14)
            )
        )="",
        "",
        INDEX(Initialisatie!B$10:B$49,
            SMALL(
                IF('Hulp (control forms)'!$G$13:$G$52=TRUE,
                    ROW(Initialisatie!B$10:B$49)-ROW(Initialisatie!B$10)+1),
                ROW(B14)
            )
        )
    ),
"")</f>
        <v/>
      </c>
      <c r="AB20" s="722" t="str">
        <f t="array" ref="AB20">IFERROR(
    IF(
        INDEX(Initialisatie!C$10:C$49,
            SMALL(
                IF('Hulp (control forms)'!$G$13:$G$52=TRUE,
                    ROW(Initialisatie!C$10:C$49)-ROW(Initialisatie!C$10)+1),
                ROW(C14)
            )
        )="",
        "",
        INDEX(Initialisatie!C$10:C$49,
            SMALL(
                IF('Hulp (control forms)'!$G$13:$G$52=TRUE,
                    ROW(Initialisatie!C$10:C$49)-ROW(Initialisatie!C$10)+1),
                ROW(C14)
            )
        )
    ),
"")</f>
        <v/>
      </c>
      <c r="AC20" s="722" t="str">
        <f t="shared" si="0"/>
        <v/>
      </c>
      <c r="AD20" s="722" t="str">
        <f t="array" ref="AD20">IFERROR(
    IF(
        AND(
            INDEX(Initialisatie!D$10:D$49,
                SMALL(
                    IF('Hulp (control forms)'!$G$13:$G$52=TRUE,
                        ROW(Initialisatie!D$10:D$49)-ROW(Initialisatie!D$10)+1),
                    ROW(C14)
                )
            )="Ja",
            $C$8="VVT",
            Initialisatie!$C$7="Ja"
        ),
        TRUE,
        FALSE
    ),
"")</f>
        <v/>
      </c>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ht="16.149999999999999" thickBot="1" x14ac:dyDescent="0.55000000000000004">
      <c r="A21" s="303"/>
      <c r="B21" s="289"/>
      <c r="C21" s="289"/>
      <c r="D21" s="316"/>
      <c r="E21" s="580" t="str">
        <f>IF(Initialisatie!B24="","",Initialisatie!B24)</f>
        <v/>
      </c>
      <c r="F21" s="494" t="str">
        <f>IF(Initialisatie!C24="","",Initialisatie!C24)</f>
        <v/>
      </c>
      <c r="G21" s="304"/>
      <c r="H21" s="537" t="str">
        <f>HYPERLINK(
  "#'6. Definities'!" &amp;
  INDEX('Hulp (definities)'!E:E,
        MATCH("Opslag Innovatie",'Hulp (definities)'!A:A,0)
  ),
  "Innovatie (%)"
)</f>
        <v>Innovatie (%)</v>
      </c>
      <c r="I21" s="605"/>
      <c r="J21" s="305" t="s">
        <v>780</v>
      </c>
      <c r="K21" s="289"/>
      <c r="L21" s="289"/>
      <c r="M21" s="289"/>
      <c r="N21" s="289"/>
      <c r="O21" s="305"/>
      <c r="P21" s="289"/>
      <c r="Q21" s="295"/>
      <c r="R21" s="289"/>
      <c r="S21" s="289"/>
      <c r="T21" s="289"/>
      <c r="U21" s="289"/>
      <c r="V21" s="289"/>
      <c r="W21" s="289"/>
      <c r="X21" s="289"/>
      <c r="Y21" s="289"/>
      <c r="Z21" s="289"/>
      <c r="AA21" s="722" t="str">
        <f t="array" ref="AA21">IFERROR(
    IF(
        INDEX(Initialisatie!B$10:B$49,
            SMALL(
                IF('Hulp (control forms)'!$G$13:$G$52=TRUE,
                    ROW(Initialisatie!B$10:B$49)-ROW(Initialisatie!B$10)+1),
                ROW(B15)
            )
        )="",
        "",
        INDEX(Initialisatie!B$10:B$49,
            SMALL(
                IF('Hulp (control forms)'!$G$13:$G$52=TRUE,
                    ROW(Initialisatie!B$10:B$49)-ROW(Initialisatie!B$10)+1),
                ROW(B15)
            )
        )
    ),
"")</f>
        <v/>
      </c>
      <c r="AB21" s="722" t="str">
        <f t="array" ref="AB21">IFERROR(
    IF(
        INDEX(Initialisatie!C$10:C$49,
            SMALL(
                IF('Hulp (control forms)'!$G$13:$G$52=TRUE,
                    ROW(Initialisatie!C$10:C$49)-ROW(Initialisatie!C$10)+1),
                ROW(C15)
            )
        )="",
        "",
        INDEX(Initialisatie!C$10:C$49,
            SMALL(
                IF('Hulp (control forms)'!$G$13:$G$52=TRUE,
                    ROW(Initialisatie!C$10:C$49)-ROW(Initialisatie!C$10)+1),
                ROW(C15)
            )
        )
    ),
"")</f>
        <v/>
      </c>
      <c r="AC21" s="722" t="str">
        <f t="shared" si="0"/>
        <v/>
      </c>
      <c r="AD21" s="722" t="str">
        <f t="array" ref="AD21">IFERROR(
    IF(
        AND(
            INDEX(Initialisatie!D$10:D$49,
                SMALL(
                    IF('Hulp (control forms)'!$G$13:$G$52=TRUE,
                        ROW(Initialisatie!D$10:D$49)-ROW(Initialisatie!D$10)+1),
                    ROW(C15)
                )
            )="Ja",
            $C$8="VVT",
            Initialisatie!$C$7="Ja"
        ),
        TRUE,
        FALSE
    ),
"")</f>
        <v/>
      </c>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ht="16.149999999999999" thickBot="1" x14ac:dyDescent="0.55000000000000004">
      <c r="A22" s="303"/>
      <c r="B22" s="289"/>
      <c r="C22" s="289"/>
      <c r="D22" s="310"/>
      <c r="E22" s="580" t="str">
        <f>IF(Initialisatie!B25="","",Initialisatie!B25)</f>
        <v/>
      </c>
      <c r="F22" s="494" t="str">
        <f>IF(Initialisatie!C25="","",Initialisatie!C25)</f>
        <v/>
      </c>
      <c r="G22" s="309"/>
      <c r="H22" s="538" t="s">
        <v>1266</v>
      </c>
      <c r="I22" s="504"/>
      <c r="J22" s="305"/>
      <c r="K22" s="289"/>
      <c r="L22" s="289"/>
      <c r="M22" s="289"/>
      <c r="N22" s="289"/>
      <c r="O22" s="305"/>
      <c r="P22" s="289"/>
      <c r="Q22" s="295"/>
      <c r="R22" s="289"/>
      <c r="S22" s="289"/>
      <c r="T22" s="289"/>
      <c r="U22" s="289"/>
      <c r="V22" s="289"/>
      <c r="W22" s="289"/>
      <c r="X22" s="289"/>
      <c r="Y22" s="289"/>
      <c r="Z22" s="289"/>
      <c r="AA22" s="722" t="str">
        <f t="array" ref="AA22">IFERROR(
    IF(
        INDEX(Initialisatie!B$10:B$49,
            SMALL(
                IF('Hulp (control forms)'!$G$13:$G$52=TRUE,
                    ROW(Initialisatie!B$10:B$49)-ROW(Initialisatie!B$10)+1),
                ROW(B16)
            )
        )="",
        "",
        INDEX(Initialisatie!B$10:B$49,
            SMALL(
                IF('Hulp (control forms)'!$G$13:$G$52=TRUE,
                    ROW(Initialisatie!B$10:B$49)-ROW(Initialisatie!B$10)+1),
                ROW(B16)
            )
        )
    ),
"")</f>
        <v/>
      </c>
      <c r="AB22" s="722" t="str">
        <f t="array" ref="AB22">IFERROR(
    IF(
        INDEX(Initialisatie!C$10:C$49,
            SMALL(
                IF('Hulp (control forms)'!$G$13:$G$52=TRUE,
                    ROW(Initialisatie!C$10:C$49)-ROW(Initialisatie!C$10)+1),
                ROW(C16)
            )
        )="",
        "",
        INDEX(Initialisatie!C$10:C$49,
            SMALL(
                IF('Hulp (control forms)'!$G$13:$G$52=TRUE,
                    ROW(Initialisatie!C$10:C$49)-ROW(Initialisatie!C$10)+1),
                ROW(C16)
            )
        )
    ),
"")</f>
        <v/>
      </c>
      <c r="AC22" s="722" t="str">
        <f t="shared" si="0"/>
        <v/>
      </c>
      <c r="AD22" s="722" t="str">
        <f t="array" ref="AD22">IFERROR(
    IF(
        AND(
            INDEX(Initialisatie!D$10:D$49,
                SMALL(
                    IF('Hulp (control forms)'!$G$13:$G$52=TRUE,
                        ROW(Initialisatie!D$10:D$49)-ROW(Initialisatie!D$10)+1),
                    ROW(C16)
                )
            )="Ja",
            $C$8="VVT",
            Initialisatie!$C$7="Ja"
        ),
        TRUE,
        FALSE
    ),
"")</f>
        <v/>
      </c>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x14ac:dyDescent="0.5">
      <c r="A23" s="303"/>
      <c r="B23" s="289"/>
      <c r="C23" s="289"/>
      <c r="D23" s="289"/>
      <c r="E23" s="580" t="str">
        <f>IF(Initialisatie!B26="","",Initialisatie!B26)</f>
        <v/>
      </c>
      <c r="F23" s="494" t="str">
        <f>IF(Initialisatie!C26="","",Initialisatie!C26)</f>
        <v/>
      </c>
      <c r="G23" s="304"/>
      <c r="H23" s="534" t="str">
        <f>HYPERLINK(
  "#'6. Definities'!" &amp;
  INDEX('Hulp (definities)'!E:E,
        MATCH("Overhead personeel",'Hulp (definities)'!A:A,0)
  ),
  "Overhead personeel (%)"
)</f>
        <v>Overhead personeel (%)</v>
      </c>
      <c r="I23" s="606"/>
      <c r="J23" s="305" t="s">
        <v>780</v>
      </c>
      <c r="K23" s="289"/>
      <c r="L23" s="289"/>
      <c r="M23" s="289"/>
      <c r="N23" s="289"/>
      <c r="O23" s="305"/>
      <c r="P23" s="289"/>
      <c r="Q23" s="295"/>
      <c r="R23" s="289"/>
      <c r="S23" s="289"/>
      <c r="T23" s="289"/>
      <c r="U23" s="289"/>
      <c r="V23" s="289"/>
      <c r="W23" s="289"/>
      <c r="X23" s="289"/>
      <c r="Y23" s="289"/>
      <c r="Z23" s="289"/>
      <c r="AA23" s="722" t="str">
        <f t="array" ref="AA23">IFERROR(
    IF(
        INDEX(Initialisatie!B$10:B$49,
            SMALL(
                IF('Hulp (control forms)'!$G$13:$G$52=TRUE,
                    ROW(Initialisatie!B$10:B$49)-ROW(Initialisatie!B$10)+1),
                ROW(B17)
            )
        )="",
        "",
        INDEX(Initialisatie!B$10:B$49,
            SMALL(
                IF('Hulp (control forms)'!$G$13:$G$52=TRUE,
                    ROW(Initialisatie!B$10:B$49)-ROW(Initialisatie!B$10)+1),
                ROW(B17)
            )
        )
    ),
"")</f>
        <v/>
      </c>
      <c r="AB23" s="722" t="str">
        <f t="array" ref="AB23">IFERROR(
    IF(
        INDEX(Initialisatie!C$10:C$49,
            SMALL(
                IF('Hulp (control forms)'!$G$13:$G$52=TRUE,
                    ROW(Initialisatie!C$10:C$49)-ROW(Initialisatie!C$10)+1),
                ROW(C17)
            )
        )="",
        "",
        INDEX(Initialisatie!C$10:C$49,
            SMALL(
                IF('Hulp (control forms)'!$G$13:$G$52=TRUE,
                    ROW(Initialisatie!C$10:C$49)-ROW(Initialisatie!C$10)+1),
                ROW(C17)
            )
        )
    ),
"")</f>
        <v/>
      </c>
      <c r="AC23" s="722" t="str">
        <f t="shared" si="0"/>
        <v/>
      </c>
      <c r="AD23" s="722" t="str">
        <f t="array" ref="AD23">IFERROR(
    IF(
        AND(
            INDEX(Initialisatie!D$10:D$49,
                SMALL(
                    IF('Hulp (control forms)'!$G$13:$G$52=TRUE,
                        ROW(Initialisatie!D$10:D$49)-ROW(Initialisatie!D$10)+1),
                    ROW(C17)
                )
            )="Ja",
            $C$8="VVT",
            Initialisatie!$C$7="Ja"
        ),
        TRUE,
        FALSE
    ),
"")</f>
        <v/>
      </c>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x14ac:dyDescent="0.5">
      <c r="A24" s="303"/>
      <c r="B24" s="289"/>
      <c r="C24" s="289"/>
      <c r="D24" s="289"/>
      <c r="E24" s="580" t="str">
        <f>IF(Initialisatie!B27="","",Initialisatie!B27)</f>
        <v/>
      </c>
      <c r="F24" s="494" t="str">
        <f>IF(Initialisatie!C27="","",Initialisatie!C27)</f>
        <v/>
      </c>
      <c r="G24" s="304"/>
      <c r="H24" s="537" t="str">
        <f>HYPERLINK(
  "#'6. Definities'!" &amp;
  INDEX('Hulp (definities)'!E:E,
        MATCH("Materiële overhead",'Hulp (definities)'!A:A,0)
  ),
  "Materiële overhead (%)"
)</f>
        <v>Materiële overhead (%)</v>
      </c>
      <c r="I24" s="605"/>
      <c r="J24" s="305" t="s">
        <v>780</v>
      </c>
      <c r="K24" s="289"/>
      <c r="L24" s="289"/>
      <c r="M24" s="289"/>
      <c r="N24" s="289"/>
      <c r="O24" s="305"/>
      <c r="P24" s="289"/>
      <c r="Q24" s="295"/>
      <c r="R24" s="289"/>
      <c r="S24" s="289"/>
      <c r="T24" s="289"/>
      <c r="U24" s="289"/>
      <c r="V24" s="289"/>
      <c r="W24" s="289"/>
      <c r="X24" s="289"/>
      <c r="Y24" s="289"/>
      <c r="Z24" s="289"/>
      <c r="AA24" s="722" t="str">
        <f t="array" ref="AA24">IFERROR(
    IF(
        INDEX(Initialisatie!B$10:B$49,
            SMALL(
                IF('Hulp (control forms)'!$G$13:$G$52=TRUE,
                    ROW(Initialisatie!B$10:B$49)-ROW(Initialisatie!B$10)+1),
                ROW(B18)
            )
        )="",
        "",
        INDEX(Initialisatie!B$10:B$49,
            SMALL(
                IF('Hulp (control forms)'!$G$13:$G$52=TRUE,
                    ROW(Initialisatie!B$10:B$49)-ROW(Initialisatie!B$10)+1),
                ROW(B18)
            )
        )
    ),
"")</f>
        <v/>
      </c>
      <c r="AB24" s="722" t="str">
        <f t="array" ref="AB24">IFERROR(
    IF(
        INDEX(Initialisatie!C$10:C$49,
            SMALL(
                IF('Hulp (control forms)'!$G$13:$G$52=TRUE,
                    ROW(Initialisatie!C$10:C$49)-ROW(Initialisatie!C$10)+1),
                ROW(C18)
            )
        )="",
        "",
        INDEX(Initialisatie!C$10:C$49,
            SMALL(
                IF('Hulp (control forms)'!$G$13:$G$52=TRUE,
                    ROW(Initialisatie!C$10:C$49)-ROW(Initialisatie!C$10)+1),
                ROW(C18)
            )
        )
    ),
"")</f>
        <v/>
      </c>
      <c r="AC24" s="722" t="str">
        <f t="shared" si="0"/>
        <v/>
      </c>
      <c r="AD24" s="722" t="str">
        <f t="array" ref="AD24">IFERROR(
    IF(
        AND(
            INDEX(Initialisatie!D$10:D$49,
                SMALL(
                    IF('Hulp (control forms)'!$G$13:$G$52=TRUE,
                        ROW(Initialisatie!D$10:D$49)-ROW(Initialisatie!D$10)+1),
                    ROW(C18)
                )
            )="Ja",
            $C$8="VVT",
            Initialisatie!$C$7="Ja"
        ),
        TRUE,
        FALSE
    ),
"")</f>
        <v/>
      </c>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16.149999999999999" thickBot="1" x14ac:dyDescent="0.55000000000000004">
      <c r="A25" s="303"/>
      <c r="B25" s="289"/>
      <c r="C25" s="289"/>
      <c r="D25" s="289"/>
      <c r="E25" s="580" t="str">
        <f>IF(Initialisatie!B28="","",Initialisatie!B28)</f>
        <v/>
      </c>
      <c r="F25" s="494" t="str">
        <f>IF(Initialisatie!C28="","",Initialisatie!C28)</f>
        <v/>
      </c>
      <c r="G25" s="304"/>
      <c r="H25" s="537" t="str">
        <f>HYPERLINK(
  "#'6. Definities'!" &amp;
  INDEX('Hulp (definities)'!E:E,
        MATCH("Overige personeelskosten",'Hulp (definities)'!A:A,0)
  ),
  "Overige personeelskosten (%)"
)</f>
        <v>Overige personeelskosten (%)</v>
      </c>
      <c r="I25" s="605"/>
      <c r="J25" s="305" t="s">
        <v>780</v>
      </c>
      <c r="K25" s="289"/>
      <c r="L25" s="289"/>
      <c r="M25" s="289"/>
      <c r="N25" s="289"/>
      <c r="O25" s="305"/>
      <c r="P25" s="289"/>
      <c r="Q25" s="295"/>
      <c r="R25" s="289"/>
      <c r="S25" s="289"/>
      <c r="T25" s="289"/>
      <c r="U25" s="289"/>
      <c r="V25" s="289"/>
      <c r="W25" s="289"/>
      <c r="X25" s="289"/>
      <c r="Y25" s="289"/>
      <c r="Z25" s="289"/>
      <c r="AA25" s="722" t="str">
        <f t="array" ref="AA25">IFERROR(
    IF(
        INDEX(Initialisatie!B$10:B$49,
            SMALL(
                IF('Hulp (control forms)'!$G$13:$G$52=TRUE,
                    ROW(Initialisatie!B$10:B$49)-ROW(Initialisatie!B$10)+1),
                ROW(B19)
            )
        )="",
        "",
        INDEX(Initialisatie!B$10:B$49,
            SMALL(
                IF('Hulp (control forms)'!$G$13:$G$52=TRUE,
                    ROW(Initialisatie!B$10:B$49)-ROW(Initialisatie!B$10)+1),
                ROW(B19)
            )
        )
    ),
"")</f>
        <v/>
      </c>
      <c r="AB25" s="722" t="str">
        <f t="array" ref="AB25">IFERROR(
    IF(
        INDEX(Initialisatie!C$10:C$49,
            SMALL(
                IF('Hulp (control forms)'!$G$13:$G$52=TRUE,
                    ROW(Initialisatie!C$10:C$49)-ROW(Initialisatie!C$10)+1),
                ROW(C19)
            )
        )="",
        "",
        INDEX(Initialisatie!C$10:C$49,
            SMALL(
                IF('Hulp (control forms)'!$G$13:$G$52=TRUE,
                    ROW(Initialisatie!C$10:C$49)-ROW(Initialisatie!C$10)+1),
                ROW(C19)
            )
        )
    ),
"")</f>
        <v/>
      </c>
      <c r="AC25" s="722" t="str">
        <f t="shared" si="0"/>
        <v/>
      </c>
      <c r="AD25" s="722" t="str">
        <f t="array" ref="AD25">IFERROR(
    IF(
        AND(
            INDEX(Initialisatie!D$10:D$49,
                SMALL(
                    IF('Hulp (control forms)'!$G$13:$G$52=TRUE,
                        ROW(Initialisatie!D$10:D$49)-ROW(Initialisatie!D$10)+1),
                    ROW(C19)
                )
            )="Ja",
            $C$8="VVT",
            Initialisatie!$C$7="Ja"
        ),
        TRUE,
        FALSE
    ),
"")</f>
        <v/>
      </c>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ht="16.149999999999999" thickBot="1" x14ac:dyDescent="0.55000000000000004">
      <c r="A26" s="303"/>
      <c r="B26" s="289"/>
      <c r="C26" s="289"/>
      <c r="D26" s="289"/>
      <c r="E26" s="580" t="str">
        <f>IF(Initialisatie!B29="","",Initialisatie!B29)</f>
        <v/>
      </c>
      <c r="F26" s="494" t="str">
        <f>IF(Initialisatie!C29="","",Initialisatie!C29)</f>
        <v/>
      </c>
      <c r="G26" s="304"/>
      <c r="H26" s="542" t="s">
        <v>68</v>
      </c>
      <c r="I26" s="504"/>
      <c r="K26" s="289"/>
      <c r="L26" s="289"/>
      <c r="M26" s="289"/>
      <c r="N26" s="289"/>
      <c r="O26" s="305"/>
      <c r="P26" s="289"/>
      <c r="Q26" s="295"/>
      <c r="R26" s="289"/>
      <c r="S26" s="289"/>
      <c r="T26" s="289"/>
      <c r="U26" s="289"/>
      <c r="V26" s="289"/>
      <c r="W26" s="289"/>
      <c r="X26" s="289"/>
      <c r="Y26" s="289"/>
      <c r="Z26" s="289"/>
      <c r="AA26" s="722" t="str">
        <f t="array" ref="AA26">IFERROR(
    IF(
        INDEX(Initialisatie!B$10:B$49,
            SMALL(
                IF('Hulp (control forms)'!$G$13:$G$52=TRUE,
                    ROW(Initialisatie!B$10:B$49)-ROW(Initialisatie!B$10)+1),
                ROW(B20)
            )
        )="",
        "",
        INDEX(Initialisatie!B$10:B$49,
            SMALL(
                IF('Hulp (control forms)'!$G$13:$G$52=TRUE,
                    ROW(Initialisatie!B$10:B$49)-ROW(Initialisatie!B$10)+1),
                ROW(B20)
            )
        )
    ),
"")</f>
        <v/>
      </c>
      <c r="AB26" s="722" t="str">
        <f t="array" ref="AB26">IFERROR(
    IF(
        INDEX(Initialisatie!C$10:C$49,
            SMALL(
                IF('Hulp (control forms)'!$G$13:$G$52=TRUE,
                    ROW(Initialisatie!C$10:C$49)-ROW(Initialisatie!C$10)+1),
                ROW(C20)
            )
        )="",
        "",
        INDEX(Initialisatie!C$10:C$49,
            SMALL(
                IF('Hulp (control forms)'!$G$13:$G$52=TRUE,
                    ROW(Initialisatie!C$10:C$49)-ROW(Initialisatie!C$10)+1),
                ROW(C20)
            )
        )
    ),
"")</f>
        <v/>
      </c>
      <c r="AC26" s="722" t="str">
        <f t="shared" si="0"/>
        <v/>
      </c>
      <c r="AD26" s="722" t="str">
        <f t="array" ref="AD26">IFERROR(
    IF(
        AND(
            INDEX(Initialisatie!D$10:D$49,
                SMALL(
                    IF('Hulp (control forms)'!$G$13:$G$52=TRUE,
                        ROW(Initialisatie!D$10:D$49)-ROW(Initialisatie!D$10)+1),
                    ROW(C20)
                )
            )="Ja",
            $C$8="VVT",
            Initialisatie!$C$7="Ja"
        ),
        TRUE,
        FALSE
    ),
"")</f>
        <v/>
      </c>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x14ac:dyDescent="0.5">
      <c r="A27" s="303"/>
      <c r="B27" s="289"/>
      <c r="C27" s="289"/>
      <c r="D27" s="289"/>
      <c r="E27" s="580" t="str">
        <f>IF(Initialisatie!B30="","",Initialisatie!B30)</f>
        <v/>
      </c>
      <c r="F27" s="494" t="str">
        <f>IF(Initialisatie!C30="","",Initialisatie!C30)</f>
        <v/>
      </c>
      <c r="G27" s="289"/>
      <c r="H27" s="544" t="str">
        <f>HYPERLINK(
  "#'6. Definities'!" &amp;
  INDEX('Hulp (definities)'!E:E,
        MATCH("Aandeel PNIL (%)",'Hulp (definities)'!A:A,0)
  ),
  "Aandeel PNIL (%)"
)</f>
        <v>Aandeel PNIL (%)</v>
      </c>
      <c r="I27" s="606"/>
      <c r="J27" s="305" t="s">
        <v>780</v>
      </c>
      <c r="K27" s="289"/>
      <c r="L27" s="289"/>
      <c r="M27" s="289"/>
      <c r="N27" s="289"/>
      <c r="O27" s="305"/>
      <c r="P27" s="289"/>
      <c r="Q27" s="295"/>
      <c r="R27" s="289"/>
      <c r="S27" s="289"/>
      <c r="T27" s="289"/>
      <c r="U27" s="289"/>
      <c r="V27" s="289"/>
      <c r="W27" s="289"/>
      <c r="X27" s="289"/>
      <c r="Y27" s="289"/>
      <c r="Z27" s="289"/>
      <c r="AA27" s="722" t="str">
        <f t="array" ref="AA27">IFERROR(
    IF(
        INDEX(Initialisatie!B$10:B$49,
            SMALL(
                IF('Hulp (control forms)'!$G$13:$G$52=TRUE,
                    ROW(Initialisatie!B$10:B$49)-ROW(Initialisatie!B$10)+1),
                ROW(B21)
            )
        )="",
        "",
        INDEX(Initialisatie!B$10:B$49,
            SMALL(
                IF('Hulp (control forms)'!$G$13:$G$52=TRUE,
                    ROW(Initialisatie!B$10:B$49)-ROW(Initialisatie!B$10)+1),
                ROW(B21)
            )
        )
    ),
"")</f>
        <v/>
      </c>
      <c r="AB27" s="722" t="str">
        <f t="array" ref="AB27">IFERROR(
    IF(
        INDEX(Initialisatie!C$10:C$49,
            SMALL(
                IF('Hulp (control forms)'!$G$13:$G$52=TRUE,
                    ROW(Initialisatie!C$10:C$49)-ROW(Initialisatie!C$10)+1),
                ROW(C21)
            )
        )="",
        "",
        INDEX(Initialisatie!C$10:C$49,
            SMALL(
                IF('Hulp (control forms)'!$G$13:$G$52=TRUE,
                    ROW(Initialisatie!C$10:C$49)-ROW(Initialisatie!C$10)+1),
                ROW(C21)
            )
        )
    ),
"")</f>
        <v/>
      </c>
      <c r="AC27" s="722" t="str">
        <f t="shared" si="0"/>
        <v/>
      </c>
      <c r="AD27" s="722" t="str">
        <f t="array" ref="AD27">IFERROR(
    IF(
        AND(
            INDEX(Initialisatie!D$10:D$49,
                SMALL(
                    IF('Hulp (control forms)'!$G$13:$G$52=TRUE,
                        ROW(Initialisatie!D$10:D$49)-ROW(Initialisatie!D$10)+1),
                    ROW(C21)
                )
            )="Ja",
            $C$8="VVT",
            Initialisatie!$C$7="Ja"
        ),
        TRUE,
        FALSE
    ),
"")</f>
        <v/>
      </c>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x14ac:dyDescent="0.5">
      <c r="A28" s="303"/>
      <c r="B28" s="289"/>
      <c r="C28" s="289"/>
      <c r="D28" s="289"/>
      <c r="E28" s="580" t="str">
        <f>IF(Initialisatie!B31="","",Initialisatie!B31)</f>
        <v/>
      </c>
      <c r="F28" s="494" t="str">
        <f>IF(Initialisatie!C31="","",Initialisatie!C31)</f>
        <v/>
      </c>
      <c r="G28" s="289"/>
      <c r="H28" s="545" t="str">
        <f>HYPERLINK(
  "#'6. Definities'!" &amp;
  INDEX('Hulp (definities)'!E:E,
        MATCH("Meerkosten PNIL (%)",'Hulp (definities)'!A:A,0)
  ),
  "Meerkosten PNIL (%)"
)</f>
        <v>Meerkosten PNIL (%)</v>
      </c>
      <c r="I28" s="607"/>
      <c r="J28" s="305" t="s">
        <v>780</v>
      </c>
      <c r="K28" s="289"/>
      <c r="L28" s="289"/>
      <c r="M28" s="289"/>
      <c r="N28" s="289"/>
      <c r="O28" s="305"/>
      <c r="P28" s="289"/>
      <c r="Q28" s="295"/>
      <c r="R28" s="289"/>
      <c r="S28" s="289"/>
      <c r="T28" s="289"/>
      <c r="U28" s="289"/>
      <c r="V28" s="289"/>
      <c r="W28" s="289"/>
      <c r="X28" s="289"/>
      <c r="Y28" s="289"/>
      <c r="Z28" s="289"/>
      <c r="AA28" s="722" t="str">
        <f t="array" ref="AA28">IFERROR(
    IF(
        INDEX(Initialisatie!B$10:B$49,
            SMALL(
                IF('Hulp (control forms)'!$G$13:$G$52=TRUE,
                    ROW(Initialisatie!B$10:B$49)-ROW(Initialisatie!B$10)+1),
                ROW(B22)
            )
        )="",
        "",
        INDEX(Initialisatie!B$10:B$49,
            SMALL(
                IF('Hulp (control forms)'!$G$13:$G$52=TRUE,
                    ROW(Initialisatie!B$10:B$49)-ROW(Initialisatie!B$10)+1),
                ROW(B22)
            )
        )
    ),
"")</f>
        <v/>
      </c>
      <c r="AB28" s="722" t="str">
        <f t="array" ref="AB28">IFERROR(
    IF(
        INDEX(Initialisatie!C$10:C$49,
            SMALL(
                IF('Hulp (control forms)'!$G$13:$G$52=TRUE,
                    ROW(Initialisatie!C$10:C$49)-ROW(Initialisatie!C$10)+1),
                ROW(C22)
            )
        )="",
        "",
        INDEX(Initialisatie!C$10:C$49,
            SMALL(
                IF('Hulp (control forms)'!$G$13:$G$52=TRUE,
                    ROW(Initialisatie!C$10:C$49)-ROW(Initialisatie!C$10)+1),
                ROW(C22)
            )
        )
    ),
"")</f>
        <v/>
      </c>
      <c r="AC28" s="722" t="str">
        <f t="shared" si="0"/>
        <v/>
      </c>
      <c r="AD28" s="722" t="str">
        <f t="array" ref="AD28">IFERROR(
    IF(
        AND(
            INDEX(Initialisatie!D$10:D$49,
                SMALL(
                    IF('Hulp (control forms)'!$G$13:$G$52=TRUE,
                        ROW(Initialisatie!D$10:D$49)-ROW(Initialisatie!D$10)+1),
                    ROW(C22)
                )
            )="Ja",
            $C$8="VVT",
            Initialisatie!$C$7="Ja"
        ),
        TRUE,
        FALSE
    ),
"")</f>
        <v/>
      </c>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ht="16.149999999999999" thickBot="1" x14ac:dyDescent="0.55000000000000004">
      <c r="A29" s="303"/>
      <c r="B29" s="289"/>
      <c r="C29" s="289"/>
      <c r="D29" s="289"/>
      <c r="E29" s="580" t="str">
        <f>IF(Initialisatie!B32="","",Initialisatie!B32)</f>
        <v/>
      </c>
      <c r="F29" s="494" t="str">
        <f>IF(Initialisatie!C32="","",Initialisatie!C32)</f>
        <v/>
      </c>
      <c r="G29" s="317"/>
      <c r="H29" s="390" t="str">
        <f>HYPERLINK(
  "#'6. Definities'!" &amp;
  INDEX('Hulp (definities)'!E:E,
        MATCH("Rekenfactor PNIL (%)",'Hulp (definities)'!A:A,0)
  ),
  "Rekenfactor PNIL (%)"
)</f>
        <v>Rekenfactor PNIL (%)</v>
      </c>
      <c r="I29" s="410" t="str">
        <f>IF(OR(I27="",I28=""),"",I27*I28)</f>
        <v/>
      </c>
      <c r="J29" s="305"/>
      <c r="K29" s="289"/>
      <c r="L29" s="289"/>
      <c r="M29" s="289"/>
      <c r="N29" s="289"/>
      <c r="O29" s="305"/>
      <c r="P29" s="289"/>
      <c r="Q29" s="295"/>
      <c r="R29" s="289"/>
      <c r="S29" s="289"/>
      <c r="T29" s="289"/>
      <c r="U29" s="289"/>
      <c r="V29" s="289"/>
      <c r="W29" s="289"/>
      <c r="X29" s="289"/>
      <c r="Y29" s="289"/>
      <c r="Z29" s="289"/>
      <c r="AA29" s="722" t="str">
        <f t="array" ref="AA29">IFERROR(
    IF(
        INDEX(Initialisatie!B$10:B$49,
            SMALL(
                IF('Hulp (control forms)'!$G$13:$G$52=TRUE,
                    ROW(Initialisatie!B$10:B$49)-ROW(Initialisatie!B$10)+1),
                ROW(B23)
            )
        )="",
        "",
        INDEX(Initialisatie!B$10:B$49,
            SMALL(
                IF('Hulp (control forms)'!$G$13:$G$52=TRUE,
                    ROW(Initialisatie!B$10:B$49)-ROW(Initialisatie!B$10)+1),
                ROW(B23)
            )
        )
    ),
"")</f>
        <v/>
      </c>
      <c r="AB29" s="722" t="str">
        <f t="array" ref="AB29">IFERROR(
    IF(
        INDEX(Initialisatie!C$10:C$49,
            SMALL(
                IF('Hulp (control forms)'!$G$13:$G$52=TRUE,
                    ROW(Initialisatie!C$10:C$49)-ROW(Initialisatie!C$10)+1),
                ROW(C23)
            )
        )="",
        "",
        INDEX(Initialisatie!C$10:C$49,
            SMALL(
                IF('Hulp (control forms)'!$G$13:$G$52=TRUE,
                    ROW(Initialisatie!C$10:C$49)-ROW(Initialisatie!C$10)+1),
                ROW(C23)
            )
        )
    ),
"")</f>
        <v/>
      </c>
      <c r="AC29" s="722" t="str">
        <f t="shared" si="0"/>
        <v/>
      </c>
      <c r="AD29" s="722" t="str">
        <f t="array" ref="AD29">IFERROR(
    IF(
        AND(
            INDEX(Initialisatie!D$10:D$49,
                SMALL(
                    IF('Hulp (control forms)'!$G$13:$G$52=TRUE,
                        ROW(Initialisatie!D$10:D$49)-ROW(Initialisatie!D$10)+1),
                    ROW(C23)
                )
            )="Ja",
            $C$8="VVT",
            Initialisatie!$C$7="Ja"
        ),
        TRUE,
        FALSE
    ),
"")</f>
        <v/>
      </c>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x14ac:dyDescent="0.5">
      <c r="A30" s="303"/>
      <c r="B30" s="289"/>
      <c r="C30" s="289"/>
      <c r="D30" s="289"/>
      <c r="E30" s="580" t="str">
        <f>IF(Initialisatie!B33="","",Initialisatie!B33)</f>
        <v/>
      </c>
      <c r="F30" s="494" t="str">
        <f>IF(Initialisatie!C33="","",Initialisatie!C33)</f>
        <v/>
      </c>
      <c r="G30" s="318"/>
      <c r="H30" s="289"/>
      <c r="I30" s="289"/>
      <c r="J30" s="305"/>
      <c r="K30" s="289"/>
      <c r="L30" s="289"/>
      <c r="M30" s="289"/>
      <c r="N30" s="289"/>
      <c r="O30" s="305"/>
      <c r="P30" s="289"/>
      <c r="Q30" s="295"/>
      <c r="R30" s="289"/>
      <c r="S30" s="289"/>
      <c r="T30" s="289"/>
      <c r="U30" s="289"/>
      <c r="V30" s="289"/>
      <c r="W30" s="289"/>
      <c r="X30" s="289"/>
      <c r="Y30" s="289"/>
      <c r="Z30" s="289"/>
      <c r="AA30" s="722" t="str">
        <f t="array" ref="AA30">IFERROR(
    IF(
        INDEX(Initialisatie!B$10:B$49,
            SMALL(
                IF('Hulp (control forms)'!$G$13:$G$52=TRUE,
                    ROW(Initialisatie!B$10:B$49)-ROW(Initialisatie!B$10)+1),
                ROW(B24)
            )
        )="",
        "",
        INDEX(Initialisatie!B$10:B$49,
            SMALL(
                IF('Hulp (control forms)'!$G$13:$G$52=TRUE,
                    ROW(Initialisatie!B$10:B$49)-ROW(Initialisatie!B$10)+1),
                ROW(B24)
            )
        )
    ),
"")</f>
        <v/>
      </c>
      <c r="AB30" s="722" t="str">
        <f t="array" ref="AB30">IFERROR(
    IF(
        INDEX(Initialisatie!C$10:C$49,
            SMALL(
                IF('Hulp (control forms)'!$G$13:$G$52=TRUE,
                    ROW(Initialisatie!C$10:C$49)-ROW(Initialisatie!C$10)+1),
                ROW(C24)
            )
        )="",
        "",
        INDEX(Initialisatie!C$10:C$49,
            SMALL(
                IF('Hulp (control forms)'!$G$13:$G$52=TRUE,
                    ROW(Initialisatie!C$10:C$49)-ROW(Initialisatie!C$10)+1),
                ROW(C24)
            )
        )
    ),
"")</f>
        <v/>
      </c>
      <c r="AC30" s="722" t="str">
        <f t="shared" si="0"/>
        <v/>
      </c>
      <c r="AD30" s="722" t="str">
        <f t="array" ref="AD30">IFERROR(
    IF(
        AND(
            INDEX(Initialisatie!D$10:D$49,
                SMALL(
                    IF('Hulp (control forms)'!$G$13:$G$52=TRUE,
                        ROW(Initialisatie!D$10:D$49)-ROW(Initialisatie!D$10)+1),
                    ROW(C24)
                )
            )="Ja",
            $C$8="VVT",
            Initialisatie!$C$7="Ja"
        ),
        TRUE,
        FALSE
    ),
"")</f>
        <v/>
      </c>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x14ac:dyDescent="0.5">
      <c r="A31" s="303"/>
      <c r="B31" s="289"/>
      <c r="C31" s="289"/>
      <c r="D31" s="289"/>
      <c r="E31" s="580" t="str">
        <f>IF(Initialisatie!B34="","",Initialisatie!B34)</f>
        <v/>
      </c>
      <c r="F31" s="494" t="str">
        <f>IF(Initialisatie!C34="","",Initialisatie!C34)</f>
        <v/>
      </c>
      <c r="G31" s="289"/>
      <c r="H31" s="391" t="s">
        <v>1264</v>
      </c>
      <c r="I31" s="289"/>
      <c r="J31" s="305"/>
      <c r="K31" s="289"/>
      <c r="L31" s="289"/>
      <c r="M31" s="289"/>
      <c r="N31" s="289"/>
      <c r="O31" s="305"/>
      <c r="P31" s="289"/>
      <c r="Q31" s="295"/>
      <c r="R31" s="289"/>
      <c r="S31" s="289"/>
      <c r="T31" s="289"/>
      <c r="U31" s="289"/>
      <c r="V31" s="289"/>
      <c r="W31" s="289"/>
      <c r="X31" s="289"/>
      <c r="Y31" s="289"/>
      <c r="Z31" s="289"/>
      <c r="AA31" s="722" t="str">
        <f t="array" ref="AA31">IFERROR(
    IF(
        INDEX(Initialisatie!B$10:B$49,
            SMALL(
                IF('Hulp (control forms)'!$G$13:$G$52=TRUE,
                    ROW(Initialisatie!B$10:B$49)-ROW(Initialisatie!B$10)+1),
                ROW(B25)
            )
        )="",
        "",
        INDEX(Initialisatie!B$10:B$49,
            SMALL(
                IF('Hulp (control forms)'!$G$13:$G$52=TRUE,
                    ROW(Initialisatie!B$10:B$49)-ROW(Initialisatie!B$10)+1),
                ROW(B25)
            )
        )
    ),
"")</f>
        <v/>
      </c>
      <c r="AB31" s="722" t="str">
        <f t="array" ref="AB31">IFERROR(
    IF(
        INDEX(Initialisatie!C$10:C$49,
            SMALL(
                IF('Hulp (control forms)'!$G$13:$G$52=TRUE,
                    ROW(Initialisatie!C$10:C$49)-ROW(Initialisatie!C$10)+1),
                ROW(C25)
            )
        )="",
        "",
        INDEX(Initialisatie!C$10:C$49,
            SMALL(
                IF('Hulp (control forms)'!$G$13:$G$52=TRUE,
                    ROW(Initialisatie!C$10:C$49)-ROW(Initialisatie!C$10)+1),
                ROW(C25)
            )
        )
    ),
"")</f>
        <v/>
      </c>
      <c r="AC31" s="722" t="str">
        <f t="shared" si="0"/>
        <v/>
      </c>
      <c r="AD31" s="722" t="str">
        <f t="array" ref="AD31">IFERROR(
    IF(
        AND(
            INDEX(Initialisatie!D$10:D$49,
                SMALL(
                    IF('Hulp (control forms)'!$G$13:$G$52=TRUE,
                        ROW(Initialisatie!D$10:D$49)-ROW(Initialisatie!D$10)+1),
                    ROW(C25)
                )
            )="Ja",
            $C$8="VVT",
            Initialisatie!$C$7="Ja"
        ),
        TRUE,
        FALSE
    ),
"")</f>
        <v/>
      </c>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x14ac:dyDescent="0.5">
      <c r="A32" s="303"/>
      <c r="B32" s="289"/>
      <c r="C32" s="289"/>
      <c r="D32" s="289"/>
      <c r="E32" s="580" t="str">
        <f>IF(Initialisatie!B35="","",Initialisatie!B35)</f>
        <v/>
      </c>
      <c r="F32" s="494" t="str">
        <f>IF(Initialisatie!C35="","",Initialisatie!C35)</f>
        <v/>
      </c>
      <c r="G32" s="289"/>
      <c r="H32" s="368"/>
      <c r="I32" s="289"/>
      <c r="J32" s="305"/>
      <c r="K32" s="289"/>
      <c r="L32" s="289"/>
      <c r="M32" s="289"/>
      <c r="N32" s="289"/>
      <c r="O32" s="305"/>
      <c r="P32" s="289"/>
      <c r="Q32" s="295"/>
      <c r="R32" s="289"/>
      <c r="S32" s="289"/>
      <c r="T32" s="289"/>
      <c r="U32" s="289"/>
      <c r="V32" s="289"/>
      <c r="W32" s="289"/>
      <c r="X32" s="289"/>
      <c r="Y32" s="289"/>
      <c r="Z32" s="289"/>
      <c r="AA32" s="722" t="str">
        <f t="array" ref="AA32">IFERROR(
    IF(
        INDEX(Initialisatie!B$10:B$49,
            SMALL(
                IF('Hulp (control forms)'!$G$13:$G$52=TRUE,
                    ROW(Initialisatie!B$10:B$49)-ROW(Initialisatie!B$10)+1),
                ROW(B26)
            )
        )="",
        "",
        INDEX(Initialisatie!B$10:B$49,
            SMALL(
                IF('Hulp (control forms)'!$G$13:$G$52=TRUE,
                    ROW(Initialisatie!B$10:B$49)-ROW(Initialisatie!B$10)+1),
                ROW(B26)
            )
        )
    ),
"")</f>
        <v/>
      </c>
      <c r="AB32" s="722" t="str">
        <f t="array" ref="AB32">IFERROR(
    IF(
        INDEX(Initialisatie!C$10:C$49,
            SMALL(
                IF('Hulp (control forms)'!$G$13:$G$52=TRUE,
                    ROW(Initialisatie!C$10:C$49)-ROW(Initialisatie!C$10)+1),
                ROW(C26)
            )
        )="",
        "",
        INDEX(Initialisatie!C$10:C$49,
            SMALL(
                IF('Hulp (control forms)'!$G$13:$G$52=TRUE,
                    ROW(Initialisatie!C$10:C$49)-ROW(Initialisatie!C$10)+1),
                ROW(C26)
            )
        )
    ),
"")</f>
        <v/>
      </c>
      <c r="AC32" s="722" t="str">
        <f t="shared" si="0"/>
        <v/>
      </c>
      <c r="AD32" s="722" t="str">
        <f t="array" ref="AD32">IFERROR(
    IF(
        AND(
            INDEX(Initialisatie!D$10:D$49,
                SMALL(
                    IF('Hulp (control forms)'!$G$13:$G$52=TRUE,
                        ROW(Initialisatie!D$10:D$49)-ROW(Initialisatie!D$10)+1),
                    ROW(C26)
                )
            )="Ja",
            $C$8="VVT",
            Initialisatie!$C$7="Ja"
        ),
        TRUE,
        FALSE
    ),
"")</f>
        <v/>
      </c>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5">
      <c r="A33" s="289"/>
      <c r="B33" s="289"/>
      <c r="C33" s="289"/>
      <c r="D33" s="289"/>
      <c r="E33" s="580" t="str">
        <f>IF(Initialisatie!B36="","",Initialisatie!B36)</f>
        <v/>
      </c>
      <c r="F33" s="494" t="str">
        <f>IF(Initialisatie!C36="","",Initialisatie!C36)</f>
        <v/>
      </c>
      <c r="G33" s="289"/>
      <c r="H33" s="289"/>
      <c r="I33" s="289"/>
      <c r="J33" s="305"/>
      <c r="K33" s="289"/>
      <c r="L33" s="289"/>
      <c r="M33" s="289"/>
      <c r="N33" s="289"/>
      <c r="O33" s="305"/>
      <c r="P33" s="289"/>
      <c r="Q33" s="295"/>
      <c r="R33" s="289"/>
      <c r="S33" s="289"/>
      <c r="T33" s="289"/>
      <c r="U33" s="289"/>
      <c r="V33" s="289"/>
      <c r="W33" s="289"/>
      <c r="X33" s="289"/>
      <c r="Y33" s="289"/>
      <c r="Z33" s="289"/>
      <c r="AA33" s="722" t="str">
        <f t="array" ref="AA33">IFERROR(
    IF(
        INDEX(Initialisatie!B$10:B$49,
            SMALL(
                IF('Hulp (control forms)'!$G$13:$G$52=TRUE,
                    ROW(Initialisatie!B$10:B$49)-ROW(Initialisatie!B$10)+1),
                ROW(B27)
            )
        )="",
        "",
        INDEX(Initialisatie!B$10:B$49,
            SMALL(
                IF('Hulp (control forms)'!$G$13:$G$52=TRUE,
                    ROW(Initialisatie!B$10:B$49)-ROW(Initialisatie!B$10)+1),
                ROW(B27)
            )
        )
    ),
"")</f>
        <v/>
      </c>
      <c r="AB33" s="722" t="str">
        <f t="array" ref="AB33">IFERROR(
    IF(
        INDEX(Initialisatie!C$10:C$49,
            SMALL(
                IF('Hulp (control forms)'!$G$13:$G$52=TRUE,
                    ROW(Initialisatie!C$10:C$49)-ROW(Initialisatie!C$10)+1),
                ROW(C27)
            )
        )="",
        "",
        INDEX(Initialisatie!C$10:C$49,
            SMALL(
                IF('Hulp (control forms)'!$G$13:$G$52=TRUE,
                    ROW(Initialisatie!C$10:C$49)-ROW(Initialisatie!C$10)+1),
                ROW(C27)
            )
        )
    ),
"")</f>
        <v/>
      </c>
      <c r="AC33" s="722" t="str">
        <f t="shared" si="0"/>
        <v/>
      </c>
      <c r="AD33" s="722" t="str">
        <f t="array" ref="AD33">IFERROR(
    IF(
        AND(
            INDEX(Initialisatie!D$10:D$49,
                SMALL(
                    IF('Hulp (control forms)'!$G$13:$G$52=TRUE,
                        ROW(Initialisatie!D$10:D$49)-ROW(Initialisatie!D$10)+1),
                    ROW(C27)
                )
            )="Ja",
            $C$8="VVT",
            Initialisatie!$C$7="Ja"
        ),
        TRUE,
        FALSE
    ),
"")</f>
        <v/>
      </c>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x14ac:dyDescent="0.5">
      <c r="A34" s="303"/>
      <c r="B34" s="289"/>
      <c r="C34" s="289"/>
      <c r="D34" s="289"/>
      <c r="E34" s="580" t="str">
        <f>IF(Initialisatie!B37="","",Initialisatie!B37)</f>
        <v/>
      </c>
      <c r="F34" s="494" t="str">
        <f>IF(Initialisatie!C37="","",Initialisatie!C37)</f>
        <v/>
      </c>
      <c r="G34" s="289"/>
      <c r="H34" s="289"/>
      <c r="I34" s="289"/>
      <c r="J34" s="305"/>
      <c r="K34" s="289"/>
      <c r="L34" s="289"/>
      <c r="M34" s="289"/>
      <c r="N34" s="289"/>
      <c r="O34" s="305"/>
      <c r="P34" s="289"/>
      <c r="Q34" s="295"/>
      <c r="R34" s="289"/>
      <c r="S34" s="289"/>
      <c r="T34" s="289"/>
      <c r="U34" s="289"/>
      <c r="V34" s="289"/>
      <c r="W34" s="289"/>
      <c r="X34" s="289"/>
      <c r="Y34" s="289"/>
      <c r="Z34" s="289"/>
      <c r="AA34" s="722" t="str">
        <f t="array" ref="AA34">IFERROR(
    IF(
        INDEX(Initialisatie!B$10:B$49,
            SMALL(
                IF('Hulp (control forms)'!$G$13:$G$52=TRUE,
                    ROW(Initialisatie!B$10:B$49)-ROW(Initialisatie!B$10)+1),
                ROW(B28)
            )
        )="",
        "",
        INDEX(Initialisatie!B$10:B$49,
            SMALL(
                IF('Hulp (control forms)'!$G$13:$G$52=TRUE,
                    ROW(Initialisatie!B$10:B$49)-ROW(Initialisatie!B$10)+1),
                ROW(B28)
            )
        )
    ),
"")</f>
        <v/>
      </c>
      <c r="AB34" s="722" t="str">
        <f t="array" ref="AB34">IFERROR(
    IF(
        INDEX(Initialisatie!C$10:C$49,
            SMALL(
                IF('Hulp (control forms)'!$G$13:$G$52=TRUE,
                    ROW(Initialisatie!C$10:C$49)-ROW(Initialisatie!C$10)+1),
                ROW(C28)
            )
        )="",
        "",
        INDEX(Initialisatie!C$10:C$49,
            SMALL(
                IF('Hulp (control forms)'!$G$13:$G$52=TRUE,
                    ROW(Initialisatie!C$10:C$49)-ROW(Initialisatie!C$10)+1),
                ROW(C28)
            )
        )
    ),
"")</f>
        <v/>
      </c>
      <c r="AC34" s="722" t="str">
        <f t="shared" si="0"/>
        <v/>
      </c>
      <c r="AD34" s="722" t="str">
        <f t="array" ref="AD34">IFERROR(
    IF(
        AND(
            INDEX(Initialisatie!D$10:D$49,
                SMALL(
                    IF('Hulp (control forms)'!$G$13:$G$52=TRUE,
                        ROW(Initialisatie!D$10:D$49)-ROW(Initialisatie!D$10)+1),
                    ROW(C28)
                )
            )="Ja",
            $C$8="VVT",
            Initialisatie!$C$7="Ja"
        ),
        TRUE,
        FALSE
    ),
"")</f>
        <v/>
      </c>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x14ac:dyDescent="0.5">
      <c r="A35" s="303"/>
      <c r="B35" s="289"/>
      <c r="C35" s="289"/>
      <c r="D35" s="289"/>
      <c r="E35" s="580" t="str">
        <f>IF(Initialisatie!B38="","",Initialisatie!B38)</f>
        <v/>
      </c>
      <c r="F35" s="494" t="str">
        <f>IF(Initialisatie!C38="","",Initialisatie!C38)</f>
        <v/>
      </c>
      <c r="G35" s="289"/>
      <c r="H35" s="289"/>
      <c r="I35" s="289"/>
      <c r="J35" s="305"/>
      <c r="K35" s="289"/>
      <c r="L35" s="289"/>
      <c r="M35" s="289"/>
      <c r="N35" s="289"/>
      <c r="O35" s="305"/>
      <c r="P35" s="289"/>
      <c r="Q35" s="295"/>
      <c r="R35" s="289"/>
      <c r="S35" s="289"/>
      <c r="T35" s="289"/>
      <c r="U35" s="289"/>
      <c r="V35" s="289"/>
      <c r="W35" s="289"/>
      <c r="X35" s="289"/>
      <c r="Y35" s="289"/>
      <c r="Z35" s="289"/>
      <c r="AA35" s="722" t="str">
        <f t="array" ref="AA35">IFERROR(
    IF(
        INDEX(Initialisatie!B$10:B$49,
            SMALL(
                IF('Hulp (control forms)'!$G$13:$G$52=TRUE,
                    ROW(Initialisatie!B$10:B$49)-ROW(Initialisatie!B$10)+1),
                ROW(B29)
            )
        )="",
        "",
        INDEX(Initialisatie!B$10:B$49,
            SMALL(
                IF('Hulp (control forms)'!$G$13:$G$52=TRUE,
                    ROW(Initialisatie!B$10:B$49)-ROW(Initialisatie!B$10)+1),
                ROW(B29)
            )
        )
    ),
"")</f>
        <v/>
      </c>
      <c r="AB35" s="722" t="str">
        <f t="array" ref="AB35">IFERROR(
    IF(
        INDEX(Initialisatie!C$10:C$49,
            SMALL(
                IF('Hulp (control forms)'!$G$13:$G$52=TRUE,
                    ROW(Initialisatie!C$10:C$49)-ROW(Initialisatie!C$10)+1),
                ROW(C29)
            )
        )="",
        "",
        INDEX(Initialisatie!C$10:C$49,
            SMALL(
                IF('Hulp (control forms)'!$G$13:$G$52=TRUE,
                    ROW(Initialisatie!C$10:C$49)-ROW(Initialisatie!C$10)+1),
                ROW(C29)
            )
        )
    ),
"")</f>
        <v/>
      </c>
      <c r="AC35" s="722" t="str">
        <f t="shared" si="0"/>
        <v/>
      </c>
      <c r="AD35" s="722" t="str">
        <f t="array" ref="AD35">IFERROR(
    IF(
        AND(
            INDEX(Initialisatie!D$10:D$49,
                SMALL(
                    IF('Hulp (control forms)'!$G$13:$G$52=TRUE,
                        ROW(Initialisatie!D$10:D$49)-ROW(Initialisatie!D$10)+1),
                    ROW(C29)
                )
            )="Ja",
            $C$8="VVT",
            Initialisatie!$C$7="Ja"
        ),
        TRUE,
        FALSE
    ),
"")</f>
        <v/>
      </c>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x14ac:dyDescent="0.5">
      <c r="A36" s="303"/>
      <c r="B36" s="289"/>
      <c r="C36" s="289"/>
      <c r="D36" s="289"/>
      <c r="E36" s="580" t="str">
        <f>IF(Initialisatie!B39="","",Initialisatie!B39)</f>
        <v/>
      </c>
      <c r="F36" s="494" t="str">
        <f>IF(Initialisatie!C39="","",Initialisatie!C39)</f>
        <v/>
      </c>
      <c r="G36" s="289"/>
      <c r="H36" s="395"/>
      <c r="I36" s="289"/>
      <c r="J36" s="305"/>
      <c r="K36" s="289"/>
      <c r="L36" s="289"/>
      <c r="M36" s="289"/>
      <c r="N36" s="289"/>
      <c r="O36" s="305"/>
      <c r="P36" s="289"/>
      <c r="Q36" s="295"/>
      <c r="R36" s="289"/>
      <c r="S36" s="289"/>
      <c r="T36" s="289"/>
      <c r="U36" s="289"/>
      <c r="V36" s="289"/>
      <c r="W36" s="289"/>
      <c r="X36" s="289"/>
      <c r="Y36" s="289"/>
      <c r="Z36" s="289"/>
      <c r="AA36" s="722" t="str">
        <f t="array" ref="AA36">IFERROR(
    IF(
        INDEX(Initialisatie!B$10:B$49,
            SMALL(
                IF('Hulp (control forms)'!$G$13:$G$52=TRUE,
                    ROW(Initialisatie!B$10:B$49)-ROW(Initialisatie!B$10)+1),
                ROW(B30)
            )
        )="",
        "",
        INDEX(Initialisatie!B$10:B$49,
            SMALL(
                IF('Hulp (control forms)'!$G$13:$G$52=TRUE,
                    ROW(Initialisatie!B$10:B$49)-ROW(Initialisatie!B$10)+1),
                ROW(B30)
            )
        )
    ),
"")</f>
        <v/>
      </c>
      <c r="AB36" s="722" t="str">
        <f t="array" ref="AB36">IFERROR(
    IF(
        INDEX(Initialisatie!C$10:C$49,
            SMALL(
                IF('Hulp (control forms)'!$G$13:$G$52=TRUE,
                    ROW(Initialisatie!C$10:C$49)-ROW(Initialisatie!C$10)+1),
                ROW(C30)
            )
        )="",
        "",
        INDEX(Initialisatie!C$10:C$49,
            SMALL(
                IF('Hulp (control forms)'!$G$13:$G$52=TRUE,
                    ROW(Initialisatie!C$10:C$49)-ROW(Initialisatie!C$10)+1),
                ROW(C30)
            )
        )
    ),
"")</f>
        <v/>
      </c>
      <c r="AC36" s="722" t="str">
        <f t="shared" si="0"/>
        <v/>
      </c>
      <c r="AD36" s="722" t="str">
        <f t="array" ref="AD36">IFERROR(
    IF(
        AND(
            INDEX(Initialisatie!D$10:D$49,
                SMALL(
                    IF('Hulp (control forms)'!$G$13:$G$52=TRUE,
                        ROW(Initialisatie!D$10:D$49)-ROW(Initialisatie!D$10)+1),
                    ROW(C30)
                )
            )="Ja",
            $C$8="VVT",
            Initialisatie!$C$7="Ja"
        ),
        TRUE,
        FALSE
    ),
"")</f>
        <v/>
      </c>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x14ac:dyDescent="0.5">
      <c r="A37" s="303"/>
      <c r="B37" s="289"/>
      <c r="C37" s="289"/>
      <c r="D37" s="289"/>
      <c r="E37" s="580" t="str">
        <f>IF(Initialisatie!B40="","",Initialisatie!B40)</f>
        <v/>
      </c>
      <c r="F37" s="494" t="str">
        <f>IF(Initialisatie!C40="","",Initialisatie!C40)</f>
        <v/>
      </c>
      <c r="G37" s="289"/>
      <c r="H37" s="289"/>
      <c r="I37" s="289"/>
      <c r="J37" s="305"/>
      <c r="K37" s="289"/>
      <c r="L37" s="289"/>
      <c r="M37" s="289"/>
      <c r="N37" s="289"/>
      <c r="O37" s="305"/>
      <c r="P37" s="289"/>
      <c r="Q37" s="295"/>
      <c r="R37" s="289"/>
      <c r="S37" s="289"/>
      <c r="T37" s="289"/>
      <c r="U37" s="289"/>
      <c r="V37" s="289"/>
      <c r="W37" s="289"/>
      <c r="X37" s="289"/>
      <c r="Y37" s="289"/>
      <c r="Z37" s="289"/>
      <c r="AA37" s="722" t="str">
        <f t="array" ref="AA37">IFERROR(
    IF(
        INDEX(Initialisatie!B$10:B$49,
            SMALL(
                IF('Hulp (control forms)'!$G$13:$G$52=TRUE,
                    ROW(Initialisatie!B$10:B$49)-ROW(Initialisatie!B$10)+1),
                ROW(B31)
            )
        )="",
        "",
        INDEX(Initialisatie!B$10:B$49,
            SMALL(
                IF('Hulp (control forms)'!$G$13:$G$52=TRUE,
                    ROW(Initialisatie!B$10:B$49)-ROW(Initialisatie!B$10)+1),
                ROW(B31)
            )
        )
    ),
"")</f>
        <v/>
      </c>
      <c r="AB37" s="722" t="str">
        <f t="array" ref="AB37">IFERROR(
    IF(
        INDEX(Initialisatie!C$10:C$49,
            SMALL(
                IF('Hulp (control forms)'!$G$13:$G$52=TRUE,
                    ROW(Initialisatie!C$10:C$49)-ROW(Initialisatie!C$10)+1),
                ROW(C31)
            )
        )="",
        "",
        INDEX(Initialisatie!C$10:C$49,
            SMALL(
                IF('Hulp (control forms)'!$G$13:$G$52=TRUE,
                    ROW(Initialisatie!C$10:C$49)-ROW(Initialisatie!C$10)+1),
                ROW(C31)
            )
        )
    ),
"")</f>
        <v/>
      </c>
      <c r="AC37" s="722" t="str">
        <f t="shared" si="0"/>
        <v/>
      </c>
      <c r="AD37" s="722" t="str">
        <f t="array" ref="AD37">IFERROR(
    IF(
        AND(
            INDEX(Initialisatie!D$10:D$49,
                SMALL(
                    IF('Hulp (control forms)'!$G$13:$G$52=TRUE,
                        ROW(Initialisatie!D$10:D$49)-ROW(Initialisatie!D$10)+1),
                    ROW(C31)
                )
            )="Ja",
            $C$8="VVT",
            Initialisatie!$C$7="Ja"
        ),
        TRUE,
        FALSE
    ),
"")</f>
        <v/>
      </c>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x14ac:dyDescent="0.5">
      <c r="A38" s="303"/>
      <c r="B38" s="289"/>
      <c r="C38" s="289"/>
      <c r="D38" s="289"/>
      <c r="E38" s="580" t="str">
        <f>IF(Initialisatie!B41="","",Initialisatie!B41)</f>
        <v/>
      </c>
      <c r="F38" s="494" t="str">
        <f>IF(Initialisatie!C41="","",Initialisatie!C41)</f>
        <v/>
      </c>
      <c r="G38" s="289"/>
      <c r="H38" s="289"/>
      <c r="I38" s="289"/>
      <c r="J38" s="305"/>
      <c r="K38" s="289"/>
      <c r="L38" s="289"/>
      <c r="M38" s="289"/>
      <c r="N38" s="289"/>
      <c r="O38" s="305"/>
      <c r="P38" s="289"/>
      <c r="Q38" s="295"/>
      <c r="R38" s="289"/>
      <c r="S38" s="289"/>
      <c r="T38" s="289"/>
      <c r="U38" s="289"/>
      <c r="V38" s="289"/>
      <c r="W38" s="289"/>
      <c r="X38" s="289"/>
      <c r="Y38" s="289"/>
      <c r="Z38" s="289"/>
      <c r="AA38" s="722" t="str">
        <f t="array" ref="AA38">IFERROR(
    IF(
        INDEX(Initialisatie!B$10:B$49,
            SMALL(
                IF('Hulp (control forms)'!$G$13:$G$52=TRUE,
                    ROW(Initialisatie!B$10:B$49)-ROW(Initialisatie!B$10)+1),
                ROW(B32)
            )
        )="",
        "",
        INDEX(Initialisatie!B$10:B$49,
            SMALL(
                IF('Hulp (control forms)'!$G$13:$G$52=TRUE,
                    ROW(Initialisatie!B$10:B$49)-ROW(Initialisatie!B$10)+1),
                ROW(B32)
            )
        )
    ),
"")</f>
        <v/>
      </c>
      <c r="AB38" s="722" t="str">
        <f t="array" ref="AB38">IFERROR(
    IF(
        INDEX(Initialisatie!C$10:C$49,
            SMALL(
                IF('Hulp (control forms)'!$G$13:$G$52=TRUE,
                    ROW(Initialisatie!C$10:C$49)-ROW(Initialisatie!C$10)+1),
                ROW(C32)
            )
        )="",
        "",
        INDEX(Initialisatie!C$10:C$49,
            SMALL(
                IF('Hulp (control forms)'!$G$13:$G$52=TRUE,
                    ROW(Initialisatie!C$10:C$49)-ROW(Initialisatie!C$10)+1),
                ROW(C32)
            )
        )
    ),
"")</f>
        <v/>
      </c>
      <c r="AC38" s="722" t="str">
        <f t="shared" si="0"/>
        <v/>
      </c>
      <c r="AD38" s="722" t="str">
        <f t="array" ref="AD38">IFERROR(
    IF(
        AND(
            INDEX(Initialisatie!D$10:D$49,
                SMALL(
                    IF('Hulp (control forms)'!$G$13:$G$52=TRUE,
                        ROW(Initialisatie!D$10:D$49)-ROW(Initialisatie!D$10)+1),
                    ROW(C32)
                )
            )="Ja",
            $C$8="VVT",
            Initialisatie!$C$7="Ja"
        ),
        TRUE,
        FALSE
    ),
"")</f>
        <v/>
      </c>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5">
      <c r="A39" s="303"/>
      <c r="B39" s="289"/>
      <c r="C39" s="289"/>
      <c r="D39" s="289"/>
      <c r="E39" s="580" t="str">
        <f>IF(Initialisatie!B42="","",Initialisatie!B42)</f>
        <v/>
      </c>
      <c r="F39" s="494" t="str">
        <f>IF(Initialisatie!C42="","",Initialisatie!C42)</f>
        <v/>
      </c>
      <c r="G39" s="289"/>
      <c r="H39" s="289"/>
      <c r="I39" s="289"/>
      <c r="J39" s="305"/>
      <c r="K39" s="289"/>
      <c r="L39" s="289"/>
      <c r="M39" s="289"/>
      <c r="N39" s="289"/>
      <c r="O39" s="305"/>
      <c r="P39" s="289"/>
      <c r="Q39" s="295"/>
      <c r="R39" s="289"/>
      <c r="S39" s="289"/>
      <c r="T39" s="289"/>
      <c r="U39" s="289"/>
      <c r="V39" s="289"/>
      <c r="W39" s="289"/>
      <c r="X39" s="289"/>
      <c r="Y39" s="289"/>
      <c r="Z39" s="289"/>
      <c r="AA39" s="722" t="str">
        <f t="array" ref="AA39">IFERROR(
    IF(
        INDEX(Initialisatie!B$10:B$49,
            SMALL(
                IF('Hulp (control forms)'!$G$13:$G$52=TRUE,
                    ROW(Initialisatie!B$10:B$49)-ROW(Initialisatie!B$10)+1),
                ROW(B33)
            )
        )="",
        "",
        INDEX(Initialisatie!B$10:B$49,
            SMALL(
                IF('Hulp (control forms)'!$G$13:$G$52=TRUE,
                    ROW(Initialisatie!B$10:B$49)-ROW(Initialisatie!B$10)+1),
                ROW(B33)
            )
        )
    ),
"")</f>
        <v/>
      </c>
      <c r="AB39" s="722" t="str">
        <f t="array" ref="AB39">IFERROR(
    IF(
        INDEX(Initialisatie!C$10:C$49,
            SMALL(
                IF('Hulp (control forms)'!$G$13:$G$52=TRUE,
                    ROW(Initialisatie!C$10:C$49)-ROW(Initialisatie!C$10)+1),
                ROW(C33)
            )
        )="",
        "",
        INDEX(Initialisatie!C$10:C$49,
            SMALL(
                IF('Hulp (control forms)'!$G$13:$G$52=TRUE,
                    ROW(Initialisatie!C$10:C$49)-ROW(Initialisatie!C$10)+1),
                ROW(C33)
            )
        )
    ),
"")</f>
        <v/>
      </c>
      <c r="AC39" s="722" t="str">
        <f t="shared" si="0"/>
        <v/>
      </c>
      <c r="AD39" s="722" t="str">
        <f t="array" ref="AD39">IFERROR(
    IF(
        AND(
            INDEX(Initialisatie!D$10:D$49,
                SMALL(
                    IF('Hulp (control forms)'!$G$13:$G$52=TRUE,
                        ROW(Initialisatie!D$10:D$49)-ROW(Initialisatie!D$10)+1),
                    ROW(C33)
                )
            )="Ja",
            $C$8="VVT",
            Initialisatie!$C$7="Ja"
        ),
        TRUE,
        FALSE
    ),
"")</f>
        <v/>
      </c>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x14ac:dyDescent="0.5">
      <c r="A40" s="303"/>
      <c r="B40" s="289"/>
      <c r="C40" s="289"/>
      <c r="D40" s="289"/>
      <c r="E40" s="580" t="str">
        <f>IF(Initialisatie!B43="","",Initialisatie!B43)</f>
        <v/>
      </c>
      <c r="F40" s="494" t="str">
        <f>IF(Initialisatie!C43="","",Initialisatie!C43)</f>
        <v/>
      </c>
      <c r="G40" s="289"/>
      <c r="H40" s="289"/>
      <c r="I40" s="289"/>
      <c r="J40" s="305"/>
      <c r="K40" s="289"/>
      <c r="L40" s="289"/>
      <c r="M40" s="289"/>
      <c r="N40" s="289"/>
      <c r="O40" s="305"/>
      <c r="P40" s="289"/>
      <c r="Q40" s="295"/>
      <c r="R40" s="289"/>
      <c r="S40" s="289"/>
      <c r="T40" s="289"/>
      <c r="U40" s="289"/>
      <c r="V40" s="289"/>
      <c r="W40" s="289"/>
      <c r="X40" s="289"/>
      <c r="Y40" s="289"/>
      <c r="Z40" s="289"/>
      <c r="AA40" s="722" t="str">
        <f t="array" ref="AA40">IFERROR(
    IF(
        INDEX(Initialisatie!B$10:B$49,
            SMALL(
                IF('Hulp (control forms)'!$G$13:$G$52=TRUE,
                    ROW(Initialisatie!B$10:B$49)-ROW(Initialisatie!B$10)+1),
                ROW(B34)
            )
        )="",
        "",
        INDEX(Initialisatie!B$10:B$49,
            SMALL(
                IF('Hulp (control forms)'!$G$13:$G$52=TRUE,
                    ROW(Initialisatie!B$10:B$49)-ROW(Initialisatie!B$10)+1),
                ROW(B34)
            )
        )
    ),
"")</f>
        <v/>
      </c>
      <c r="AB40" s="722" t="str">
        <f t="array" ref="AB40">IFERROR(
    IF(
        INDEX(Initialisatie!C$10:C$49,
            SMALL(
                IF('Hulp (control forms)'!$G$13:$G$52=TRUE,
                    ROW(Initialisatie!C$10:C$49)-ROW(Initialisatie!C$10)+1),
                ROW(C34)
            )
        )="",
        "",
        INDEX(Initialisatie!C$10:C$49,
            SMALL(
                IF('Hulp (control forms)'!$G$13:$G$52=TRUE,
                    ROW(Initialisatie!C$10:C$49)-ROW(Initialisatie!C$10)+1),
                ROW(C34)
            )
        )
    ),
"")</f>
        <v/>
      </c>
      <c r="AC40" s="722" t="str">
        <f t="shared" si="0"/>
        <v/>
      </c>
      <c r="AD40" s="722" t="str">
        <f t="array" ref="AD40">IFERROR(
    IF(
        AND(
            INDEX(Initialisatie!D$10:D$49,
                SMALL(
                    IF('Hulp (control forms)'!$G$13:$G$52=TRUE,
                        ROW(Initialisatie!D$10:D$49)-ROW(Initialisatie!D$10)+1),
                    ROW(C34)
                )
            )="Ja",
            $C$8="VVT",
            Initialisatie!$C$7="Ja"
        ),
        TRUE,
        FALSE
    ),
"")</f>
        <v/>
      </c>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x14ac:dyDescent="0.5">
      <c r="A41" s="303"/>
      <c r="B41" s="289"/>
      <c r="C41" s="289"/>
      <c r="D41" s="289"/>
      <c r="E41" s="580" t="str">
        <f>IF(Initialisatie!B44="","",Initialisatie!B44)</f>
        <v/>
      </c>
      <c r="F41" s="494" t="str">
        <f>IF(Initialisatie!C44="","",Initialisatie!C44)</f>
        <v/>
      </c>
      <c r="G41" s="289"/>
      <c r="H41" s="289"/>
      <c r="I41" s="289"/>
      <c r="J41" s="305"/>
      <c r="K41" s="289"/>
      <c r="L41" s="289"/>
      <c r="M41" s="289"/>
      <c r="N41" s="289"/>
      <c r="O41" s="305"/>
      <c r="P41" s="289"/>
      <c r="Q41" s="295"/>
      <c r="R41" s="289"/>
      <c r="S41" s="289"/>
      <c r="T41" s="289"/>
      <c r="U41" s="289"/>
      <c r="V41" s="289"/>
      <c r="W41" s="289"/>
      <c r="X41" s="289"/>
      <c r="Y41" s="289"/>
      <c r="Z41" s="289"/>
      <c r="AA41" s="722" t="str">
        <f t="array" ref="AA41">IFERROR(
    IF(
        INDEX(Initialisatie!B$10:B$49,
            SMALL(
                IF('Hulp (control forms)'!$G$13:$G$52=TRUE,
                    ROW(Initialisatie!B$10:B$49)-ROW(Initialisatie!B$10)+1),
                ROW(B35)
            )
        )="",
        "",
        INDEX(Initialisatie!B$10:B$49,
            SMALL(
                IF('Hulp (control forms)'!$G$13:$G$52=TRUE,
                    ROW(Initialisatie!B$10:B$49)-ROW(Initialisatie!B$10)+1),
                ROW(B35)
            )
        )
    ),
"")</f>
        <v/>
      </c>
      <c r="AB41" s="722" t="str">
        <f t="array" ref="AB41">IFERROR(
    IF(
        INDEX(Initialisatie!C$10:C$49,
            SMALL(
                IF('Hulp (control forms)'!$G$13:$G$52=TRUE,
                    ROW(Initialisatie!C$10:C$49)-ROW(Initialisatie!C$10)+1),
                ROW(C35)
            )
        )="",
        "",
        INDEX(Initialisatie!C$10:C$49,
            SMALL(
                IF('Hulp (control forms)'!$G$13:$G$52=TRUE,
                    ROW(Initialisatie!C$10:C$49)-ROW(Initialisatie!C$10)+1),
                ROW(C35)
            )
        )
    ),
"")</f>
        <v/>
      </c>
      <c r="AC41" s="722" t="str">
        <f t="shared" si="0"/>
        <v/>
      </c>
      <c r="AD41" s="722" t="str">
        <f t="array" ref="AD41">IFERROR(
    IF(
        AND(
            INDEX(Initialisatie!D$10:D$49,
                SMALL(
                    IF('Hulp (control forms)'!$G$13:$G$52=TRUE,
                        ROW(Initialisatie!D$10:D$49)-ROW(Initialisatie!D$10)+1),
                    ROW(C35)
                )
            )="Ja",
            $C$8="VVT",
            Initialisatie!$C$7="Ja"
        ),
        TRUE,
        FALSE
    ),
"")</f>
        <v/>
      </c>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5">
      <c r="A42" s="303"/>
      <c r="B42" s="289"/>
      <c r="C42" s="289"/>
      <c r="D42" s="289"/>
      <c r="E42" s="580" t="str">
        <f>IF(Initialisatie!B45="","",Initialisatie!B45)</f>
        <v/>
      </c>
      <c r="F42" s="494" t="str">
        <f>IF(Initialisatie!C45="","",Initialisatie!C45)</f>
        <v/>
      </c>
      <c r="G42" s="289"/>
      <c r="H42" s="289"/>
      <c r="I42" s="289"/>
      <c r="J42" s="305"/>
      <c r="K42" s="289"/>
      <c r="L42" s="289"/>
      <c r="M42" s="289"/>
      <c r="N42" s="289"/>
      <c r="O42" s="305"/>
      <c r="P42" s="289"/>
      <c r="Q42" s="295"/>
      <c r="R42" s="289"/>
      <c r="S42" s="289"/>
      <c r="T42" s="289"/>
      <c r="U42" s="289"/>
      <c r="V42" s="289"/>
      <c r="W42" s="289"/>
      <c r="X42" s="289"/>
      <c r="Y42" s="289"/>
      <c r="Z42" s="289"/>
      <c r="AA42" s="722" t="str">
        <f t="array" ref="AA42">IFERROR(
    IF(
        INDEX(Initialisatie!B$10:B$49,
            SMALL(
                IF('Hulp (control forms)'!$G$13:$G$52=TRUE,
                    ROW(Initialisatie!B$10:B$49)-ROW(Initialisatie!B$10)+1),
                ROW(B36)
            )
        )="",
        "",
        INDEX(Initialisatie!B$10:B$49,
            SMALL(
                IF('Hulp (control forms)'!$G$13:$G$52=TRUE,
                    ROW(Initialisatie!B$10:B$49)-ROW(Initialisatie!B$10)+1),
                ROW(B36)
            )
        )
    ),
"")</f>
        <v/>
      </c>
      <c r="AB42" s="722" t="str">
        <f t="array" ref="AB42">IFERROR(
    IF(
        INDEX(Initialisatie!C$10:C$49,
            SMALL(
                IF('Hulp (control forms)'!$G$13:$G$52=TRUE,
                    ROW(Initialisatie!C$10:C$49)-ROW(Initialisatie!C$10)+1),
                ROW(C36)
            )
        )="",
        "",
        INDEX(Initialisatie!C$10:C$49,
            SMALL(
                IF('Hulp (control forms)'!$G$13:$G$52=TRUE,
                    ROW(Initialisatie!C$10:C$49)-ROW(Initialisatie!C$10)+1),
                ROW(C36)
            )
        )
    ),
"")</f>
        <v/>
      </c>
      <c r="AC42" s="722" t="str">
        <f t="shared" si="0"/>
        <v/>
      </c>
      <c r="AD42" s="722" t="str">
        <f t="array" ref="AD42">IFERROR(
    IF(
        AND(
            INDEX(Initialisatie!D$10:D$49,
                SMALL(
                    IF('Hulp (control forms)'!$G$13:$G$52=TRUE,
                        ROW(Initialisatie!D$10:D$49)-ROW(Initialisatie!D$10)+1),
                    ROW(C36)
                )
            )="Ja",
            $C$8="VVT",
            Initialisatie!$C$7="Ja"
        ),
        TRUE,
        FALSE
    ),
"")</f>
        <v/>
      </c>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x14ac:dyDescent="0.5">
      <c r="A43" s="303"/>
      <c r="B43" s="289"/>
      <c r="C43" s="289"/>
      <c r="D43" s="289"/>
      <c r="E43" s="580" t="str">
        <f>IF(Initialisatie!B46="","",Initialisatie!B46)</f>
        <v/>
      </c>
      <c r="F43" s="494" t="str">
        <f>IF(Initialisatie!C46="","",Initialisatie!C46)</f>
        <v/>
      </c>
      <c r="G43" s="289"/>
      <c r="H43" s="289"/>
      <c r="I43" s="289"/>
      <c r="J43" s="305"/>
      <c r="K43" s="289"/>
      <c r="L43" s="289"/>
      <c r="M43" s="289"/>
      <c r="N43" s="289"/>
      <c r="O43" s="305"/>
      <c r="P43" s="289"/>
      <c r="Q43" s="295"/>
      <c r="R43" s="289"/>
      <c r="S43" s="289"/>
      <c r="T43" s="289"/>
      <c r="U43" s="289"/>
      <c r="V43" s="289"/>
      <c r="W43" s="289"/>
      <c r="X43" s="289"/>
      <c r="Y43" s="289"/>
      <c r="Z43" s="289"/>
      <c r="AA43" s="722" t="str">
        <f t="array" ref="AA43">IFERROR(
    IF(
        INDEX(Initialisatie!B$10:B$49,
            SMALL(
                IF('Hulp (control forms)'!$G$13:$G$52=TRUE,
                    ROW(Initialisatie!B$10:B$49)-ROW(Initialisatie!B$10)+1),
                ROW(B37)
            )
        )="",
        "",
        INDEX(Initialisatie!B$10:B$49,
            SMALL(
                IF('Hulp (control forms)'!$G$13:$G$52=TRUE,
                    ROW(Initialisatie!B$10:B$49)-ROW(Initialisatie!B$10)+1),
                ROW(B37)
            )
        )
    ),
"")</f>
        <v/>
      </c>
      <c r="AB43" s="722" t="str">
        <f t="array" ref="AB43">IFERROR(
    IF(
        INDEX(Initialisatie!C$10:C$49,
            SMALL(
                IF('Hulp (control forms)'!$G$13:$G$52=TRUE,
                    ROW(Initialisatie!C$10:C$49)-ROW(Initialisatie!C$10)+1),
                ROW(C37)
            )
        )="",
        "",
        INDEX(Initialisatie!C$10:C$49,
            SMALL(
                IF('Hulp (control forms)'!$G$13:$G$52=TRUE,
                    ROW(Initialisatie!C$10:C$49)-ROW(Initialisatie!C$10)+1),
                ROW(C37)
            )
        )
    ),
"")</f>
        <v/>
      </c>
      <c r="AC43" s="722" t="str">
        <f t="shared" si="0"/>
        <v/>
      </c>
      <c r="AD43" s="722" t="str">
        <f t="array" ref="AD43">IFERROR(
    IF(
        AND(
            INDEX(Initialisatie!D$10:D$49,
                SMALL(
                    IF('Hulp (control forms)'!$G$13:$G$52=TRUE,
                        ROW(Initialisatie!D$10:D$49)-ROW(Initialisatie!D$10)+1),
                    ROW(C37)
                )
            )="Ja",
            $C$8="VVT",
            Initialisatie!$C$7="Ja"
        ),
        TRUE,
        FALSE
    ),
"")</f>
        <v/>
      </c>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x14ac:dyDescent="0.5">
      <c r="A44" s="303"/>
      <c r="B44" s="289"/>
      <c r="C44" s="289"/>
      <c r="D44" s="289"/>
      <c r="E44" s="580" t="str">
        <f>IF(Initialisatie!B47="","",Initialisatie!B47)</f>
        <v/>
      </c>
      <c r="F44" s="494" t="str">
        <f>IF(Initialisatie!C47="","",Initialisatie!C47)</f>
        <v/>
      </c>
      <c r="G44" s="312"/>
      <c r="H44" s="312"/>
      <c r="I44" s="289"/>
      <c r="J44" s="305"/>
      <c r="K44" s="289"/>
      <c r="L44" s="289"/>
      <c r="M44" s="289"/>
      <c r="N44" s="289"/>
      <c r="O44" s="305"/>
      <c r="P44" s="289"/>
      <c r="Q44" s="295"/>
      <c r="R44" s="289"/>
      <c r="S44" s="289"/>
      <c r="T44" s="289"/>
      <c r="U44" s="289"/>
      <c r="V44" s="289"/>
      <c r="W44" s="289"/>
      <c r="X44" s="289"/>
      <c r="Y44" s="289"/>
      <c r="Z44" s="289"/>
      <c r="AA44" s="722" t="str">
        <f t="array" ref="AA44">IFERROR(
    IF(
        INDEX(Initialisatie!B$10:B$49,
            SMALL(
                IF('Hulp (control forms)'!$G$13:$G$52=TRUE,
                    ROW(Initialisatie!B$10:B$49)-ROW(Initialisatie!B$10)+1),
                ROW(B38)
            )
        )="",
        "",
        INDEX(Initialisatie!B$10:B$49,
            SMALL(
                IF('Hulp (control forms)'!$G$13:$G$52=TRUE,
                    ROW(Initialisatie!B$10:B$49)-ROW(Initialisatie!B$10)+1),
                ROW(B38)
            )
        )
    ),
"")</f>
        <v/>
      </c>
      <c r="AB44" s="722" t="str">
        <f t="array" ref="AB44">IFERROR(
    IF(
        INDEX(Initialisatie!C$10:C$49,
            SMALL(
                IF('Hulp (control forms)'!$G$13:$G$52=TRUE,
                    ROW(Initialisatie!C$10:C$49)-ROW(Initialisatie!C$10)+1),
                ROW(C38)
            )
        )="",
        "",
        INDEX(Initialisatie!C$10:C$49,
            SMALL(
                IF('Hulp (control forms)'!$G$13:$G$52=TRUE,
                    ROW(Initialisatie!C$10:C$49)-ROW(Initialisatie!C$10)+1),
                ROW(C38)
            )
        )
    ),
"")</f>
        <v/>
      </c>
      <c r="AC44" s="722" t="str">
        <f t="shared" si="0"/>
        <v/>
      </c>
      <c r="AD44" s="722" t="str">
        <f t="array" ref="AD44">IFERROR(
    IF(
        AND(
            INDEX(Initialisatie!D$10:D$49,
                SMALL(
                    IF('Hulp (control forms)'!$G$13:$G$52=TRUE,
                        ROW(Initialisatie!D$10:D$49)-ROW(Initialisatie!D$10)+1),
                    ROW(C38)
                )
            )="Ja",
            $C$8="VVT",
            Initialisatie!$C$7="Ja"
        ),
        TRUE,
        FALSE
    ),
"")</f>
        <v/>
      </c>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x14ac:dyDescent="0.5">
      <c r="A45" s="303"/>
      <c r="B45" s="289"/>
      <c r="C45" s="289"/>
      <c r="D45" s="289"/>
      <c r="E45" s="580" t="str">
        <f>IF(Initialisatie!B48="","",Initialisatie!B48)</f>
        <v/>
      </c>
      <c r="F45" s="494" t="str">
        <f>IF(Initialisatie!C48="","",Initialisatie!C48)</f>
        <v/>
      </c>
      <c r="G45" s="289"/>
      <c r="H45" s="289"/>
      <c r="I45" s="289"/>
      <c r="J45" s="305"/>
      <c r="K45" s="289"/>
      <c r="L45" s="289"/>
      <c r="M45" s="289"/>
      <c r="N45" s="289"/>
      <c r="O45" s="305"/>
      <c r="P45" s="289"/>
      <c r="Q45" s="295"/>
      <c r="R45" s="289"/>
      <c r="S45" s="289"/>
      <c r="T45" s="289"/>
      <c r="U45" s="289"/>
      <c r="V45" s="289"/>
      <c r="W45" s="289"/>
      <c r="X45" s="289"/>
      <c r="Y45" s="289"/>
      <c r="Z45" s="289"/>
      <c r="AA45" s="722" t="str">
        <f t="array" ref="AA45">IFERROR(
    IF(
        INDEX(Initialisatie!B$10:B$49,
            SMALL(
                IF('Hulp (control forms)'!$G$13:$G$52=TRUE,
                    ROW(Initialisatie!B$10:B$49)-ROW(Initialisatie!B$10)+1),
                ROW(B39)
            )
        )="",
        "",
        INDEX(Initialisatie!B$10:B$49,
            SMALL(
                IF('Hulp (control forms)'!$G$13:$G$52=TRUE,
                    ROW(Initialisatie!B$10:B$49)-ROW(Initialisatie!B$10)+1),
                ROW(B39)
            )
        )
    ),
"")</f>
        <v/>
      </c>
      <c r="AB45" s="722" t="str">
        <f t="array" ref="AB45">IFERROR(
    IF(
        INDEX(Initialisatie!C$10:C$49,
            SMALL(
                IF('Hulp (control forms)'!$G$13:$G$52=TRUE,
                    ROW(Initialisatie!C$10:C$49)-ROW(Initialisatie!C$10)+1),
                ROW(C39)
            )
        )="",
        "",
        INDEX(Initialisatie!C$10:C$49,
            SMALL(
                IF('Hulp (control forms)'!$G$13:$G$52=TRUE,
                    ROW(Initialisatie!C$10:C$49)-ROW(Initialisatie!C$10)+1),
                ROW(C39)
            )
        )
    ),
"")</f>
        <v/>
      </c>
      <c r="AC45" s="722" t="str">
        <f t="shared" si="0"/>
        <v/>
      </c>
      <c r="AD45" s="722" t="str">
        <f t="array" ref="AD45">IFERROR(
    IF(
        AND(
            INDEX(Initialisatie!D$10:D$49,
                SMALL(
                    IF('Hulp (control forms)'!$G$13:$G$52=TRUE,
                        ROW(Initialisatie!D$10:D$49)-ROW(Initialisatie!D$10)+1),
                    ROW(C39)
                )
            )="Ja",
            $C$8="VVT",
            Initialisatie!$C$7="Ja"
        ),
        TRUE,
        FALSE
    ),
"")</f>
        <v/>
      </c>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ht="16.149999999999999" thickBot="1" x14ac:dyDescent="0.55000000000000004">
      <c r="A46" s="303"/>
      <c r="B46" s="289"/>
      <c r="C46" s="289"/>
      <c r="D46" s="289"/>
      <c r="E46" s="581" t="str">
        <f>IF(Initialisatie!B49="","",Initialisatie!B49)</f>
        <v/>
      </c>
      <c r="F46" s="495" t="str">
        <f>IF(Initialisatie!C49="","",Initialisatie!C49)</f>
        <v/>
      </c>
      <c r="G46" s="289"/>
      <c r="H46" s="289"/>
      <c r="I46" s="289"/>
      <c r="J46" s="305"/>
      <c r="K46" s="289"/>
      <c r="L46" s="289"/>
      <c r="M46" s="289"/>
      <c r="N46" s="289"/>
      <c r="O46" s="305"/>
      <c r="P46" s="289"/>
      <c r="Q46" s="295"/>
      <c r="R46" s="289"/>
      <c r="S46" s="289"/>
      <c r="T46" s="289"/>
      <c r="U46" s="289"/>
      <c r="V46" s="289"/>
      <c r="W46" s="289"/>
      <c r="X46" s="289"/>
      <c r="Y46" s="289"/>
      <c r="Z46" s="289"/>
      <c r="AA46" s="720" t="str">
        <f t="array" ref="AA46">IFERROR(
    IF(
        INDEX(Initialisatie!B$10:B$49,
            SMALL(
                IF('Hulp (control forms)'!$G$13:$G$52=TRUE,
                    ROW(Initialisatie!B$10:B$49)-ROW(Initialisatie!B$10)+1),
                ROW(B40)
            )
        )="",
        "",
        INDEX(Initialisatie!B$10:B$49,
            SMALL(
                IF('Hulp (control forms)'!$G$13:$G$52=TRUE,
                    ROW(Initialisatie!B$10:B$49)-ROW(Initialisatie!B$10)+1),
                ROW(B40)
            )
        )
    ),
"")</f>
        <v/>
      </c>
      <c r="AB46" s="720" t="str">
        <f t="array" ref="AB46">IFERROR(
    IF(
        INDEX(Initialisatie!C$10:C$49,
            SMALL(
                IF('Hulp (control forms)'!$G$13:$G$52=TRUE,
                    ROW(Initialisatie!C$10:C$49)-ROW(Initialisatie!C$10)+1),
                ROW(C40)
            )
        )="",
        "",
        INDEX(Initialisatie!C$10:C$49,
            SMALL(
                IF('Hulp (control forms)'!$G$13:$G$52=TRUE,
                    ROW(Initialisatie!C$10:C$49)-ROW(Initialisatie!C$10)+1),
                ROW(C40)
            )
        )
    ),
"")</f>
        <v/>
      </c>
      <c r="AC46" s="720" t="str">
        <f t="shared" si="0"/>
        <v/>
      </c>
      <c r="AD46" s="720" t="str">
        <f t="array" ref="AD46">IFERROR(
    IF(
        AND(
            INDEX(Initialisatie!D$10:D$49,
                SMALL(
                    IF('Hulp (control forms)'!$G$13:$G$52=TRUE,
                        ROW(Initialisatie!D$10:D$49)-ROW(Initialisatie!D$10)+1),
                    ROW(C40)
                )
            )="Ja",
            $C$8="VVT",
            Initialisatie!$C$7="Ja"
        ),
        TRUE,
        FALSE
    ),
"")</f>
        <v/>
      </c>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5">
      <c r="A47" s="303"/>
      <c r="B47" s="289"/>
      <c r="C47" s="289"/>
      <c r="D47" s="289"/>
      <c r="E47" s="315"/>
      <c r="F47" s="315"/>
      <c r="G47" s="289"/>
      <c r="H47" s="289"/>
      <c r="I47" s="289"/>
      <c r="J47" s="305"/>
      <c r="K47" s="289"/>
      <c r="L47" s="289"/>
      <c r="M47" s="289"/>
      <c r="N47" s="289"/>
      <c r="O47" s="305"/>
      <c r="P47" s="289"/>
      <c r="Q47" s="295"/>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x14ac:dyDescent="0.5">
      <c r="A48" s="303"/>
      <c r="B48" s="289"/>
      <c r="C48" s="289"/>
      <c r="D48" s="289"/>
      <c r="E48" s="315"/>
      <c r="F48" s="315"/>
      <c r="G48" s="289"/>
      <c r="H48" s="289"/>
      <c r="I48" s="289"/>
      <c r="J48" s="305"/>
      <c r="K48" s="289"/>
      <c r="L48" s="289"/>
      <c r="M48" s="289"/>
      <c r="N48" s="289"/>
      <c r="O48" s="305"/>
      <c r="P48" s="289"/>
      <c r="Q48" s="295"/>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x14ac:dyDescent="0.5">
      <c r="A49" s="303"/>
      <c r="B49" s="289"/>
      <c r="C49" s="289"/>
      <c r="D49" s="289"/>
      <c r="E49" s="289"/>
      <c r="F49" s="289"/>
      <c r="G49" s="289"/>
      <c r="H49" s="289"/>
      <c r="I49" s="289"/>
      <c r="J49" s="305"/>
      <c r="K49" s="289"/>
      <c r="L49" s="289"/>
      <c r="M49" s="289"/>
      <c r="N49" s="289"/>
      <c r="O49" s="305"/>
      <c r="P49" s="289"/>
      <c r="Q49" s="295"/>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5">
      <c r="A50" s="303"/>
      <c r="B50" s="289"/>
      <c r="C50" s="289"/>
      <c r="D50" s="289"/>
      <c r="E50" s="289"/>
      <c r="F50" s="289"/>
      <c r="G50" s="289"/>
      <c r="H50" s="289"/>
      <c r="I50" s="289"/>
      <c r="J50" s="305"/>
      <c r="K50" s="289"/>
      <c r="L50" s="289"/>
      <c r="M50" s="289"/>
      <c r="N50" s="289"/>
      <c r="O50" s="305"/>
      <c r="P50" s="289"/>
      <c r="Q50" s="295"/>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5">
      <c r="A51" s="303"/>
      <c r="B51" s="289"/>
      <c r="C51" s="289"/>
      <c r="D51" s="289"/>
      <c r="E51" s="289"/>
      <c r="F51" s="289"/>
      <c r="G51" s="289"/>
      <c r="H51" s="289"/>
      <c r="I51" s="289"/>
      <c r="J51" s="305"/>
      <c r="K51" s="289"/>
      <c r="L51" s="289"/>
      <c r="M51" s="289"/>
      <c r="N51" s="289"/>
      <c r="O51" s="305"/>
      <c r="P51" s="289"/>
      <c r="Q51" s="295"/>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5">
      <c r="A52" s="303"/>
      <c r="B52" s="289"/>
      <c r="C52" s="289"/>
      <c r="D52" s="289"/>
      <c r="E52" s="289"/>
      <c r="F52" s="289"/>
      <c r="G52" s="289"/>
      <c r="H52" s="289"/>
      <c r="I52" s="289"/>
      <c r="J52" s="305"/>
      <c r="K52" s="289"/>
      <c r="L52" s="289"/>
      <c r="M52" s="289"/>
      <c r="N52" s="289"/>
      <c r="O52" s="305"/>
      <c r="P52" s="289"/>
      <c r="Q52" s="295"/>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x14ac:dyDescent="0.5">
      <c r="A53" s="303"/>
      <c r="B53" s="289"/>
      <c r="C53" s="289"/>
      <c r="D53" s="289"/>
      <c r="E53" s="289"/>
      <c r="F53" s="289"/>
      <c r="G53" s="289"/>
      <c r="H53" s="289"/>
      <c r="I53" s="289"/>
      <c r="J53" s="305"/>
      <c r="K53" s="289"/>
      <c r="L53" s="289"/>
      <c r="M53" s="289"/>
      <c r="N53" s="289"/>
      <c r="O53" s="305"/>
      <c r="P53" s="289"/>
      <c r="Q53" s="295"/>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x14ac:dyDescent="0.5">
      <c r="A54" s="303"/>
      <c r="B54" s="289"/>
      <c r="C54" s="289"/>
      <c r="D54" s="289"/>
      <c r="E54" s="289"/>
      <c r="F54" s="289"/>
      <c r="G54" s="289"/>
      <c r="H54" s="289"/>
      <c r="I54" s="289"/>
      <c r="J54" s="305"/>
      <c r="K54" s="289"/>
      <c r="L54" s="289"/>
      <c r="M54" s="289"/>
      <c r="N54" s="289"/>
      <c r="O54" s="305"/>
      <c r="P54" s="289"/>
      <c r="Q54" s="295"/>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x14ac:dyDescent="0.5">
      <c r="A55" s="303"/>
      <c r="B55" s="289"/>
      <c r="C55" s="289"/>
      <c r="D55" s="289"/>
      <c r="E55" s="289"/>
      <c r="F55" s="289"/>
      <c r="G55" s="289"/>
      <c r="H55" s="289"/>
      <c r="I55" s="289"/>
      <c r="J55" s="305"/>
      <c r="K55" s="289"/>
      <c r="L55" s="289"/>
      <c r="M55" s="289"/>
      <c r="N55" s="289"/>
      <c r="O55" s="305"/>
      <c r="P55" s="289"/>
      <c r="Q55" s="295"/>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x14ac:dyDescent="0.5">
      <c r="A56" s="303"/>
      <c r="B56" s="289"/>
      <c r="C56" s="289"/>
      <c r="D56" s="289"/>
      <c r="E56" s="304"/>
      <c r="F56" s="289"/>
      <c r="G56" s="289"/>
      <c r="H56" s="289"/>
      <c r="I56" s="289"/>
      <c r="J56" s="305"/>
      <c r="K56" s="289"/>
      <c r="L56" s="289"/>
      <c r="M56" s="289"/>
      <c r="N56" s="289"/>
      <c r="O56" s="305"/>
      <c r="P56" s="289"/>
      <c r="Q56" s="295"/>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5">
      <c r="A57" s="303"/>
      <c r="B57" s="289"/>
      <c r="C57" s="289"/>
      <c r="D57" s="289"/>
      <c r="E57" s="304"/>
      <c r="F57" s="289"/>
      <c r="G57" s="289"/>
      <c r="H57" s="289"/>
      <c r="I57" s="289"/>
      <c r="J57" s="305"/>
      <c r="K57" s="289"/>
      <c r="L57" s="289"/>
      <c r="M57" s="289"/>
      <c r="N57" s="289"/>
      <c r="O57" s="305"/>
      <c r="P57" s="289"/>
      <c r="Q57" s="295"/>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5">
      <c r="A58" s="303"/>
      <c r="B58" s="289"/>
      <c r="C58" s="289"/>
      <c r="D58" s="289"/>
      <c r="E58" s="304"/>
      <c r="F58" s="289"/>
      <c r="G58" s="289"/>
      <c r="H58" s="289"/>
      <c r="I58" s="289"/>
      <c r="J58" s="305"/>
      <c r="K58" s="289"/>
      <c r="L58" s="289"/>
      <c r="M58" s="289"/>
      <c r="N58" s="289"/>
      <c r="O58" s="305"/>
      <c r="P58" s="289"/>
      <c r="Q58" s="295"/>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s="5" customFormat="1" x14ac:dyDescent="0.5">
      <c r="A59" s="303"/>
      <c r="B59" s="298"/>
      <c r="C59" s="298"/>
      <c r="D59" s="298"/>
      <c r="E59" s="298"/>
      <c r="F59" s="298"/>
      <c r="G59" s="298"/>
      <c r="H59" s="298"/>
      <c r="I59" s="289"/>
      <c r="J59" s="305"/>
      <c r="K59" s="298"/>
      <c r="L59" s="298"/>
      <c r="M59" s="298"/>
      <c r="N59" s="298"/>
      <c r="O59" s="305"/>
      <c r="P59" s="289"/>
      <c r="Q59" s="346"/>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row>
    <row r="60" spans="1:52" x14ac:dyDescent="0.5">
      <c r="A60" s="303"/>
      <c r="B60" s="289"/>
      <c r="C60" s="289"/>
      <c r="D60" s="289"/>
      <c r="E60" s="304"/>
      <c r="F60" s="289"/>
      <c r="G60" s="289"/>
      <c r="H60" s="289"/>
      <c r="I60" s="289"/>
      <c r="J60" s="305"/>
      <c r="K60" s="289"/>
      <c r="L60" s="289"/>
      <c r="M60" s="289"/>
      <c r="N60" s="289"/>
      <c r="O60" s="305"/>
      <c r="P60" s="289"/>
      <c r="Q60" s="295"/>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x14ac:dyDescent="0.5">
      <c r="A61" s="303"/>
      <c r="B61" s="289"/>
      <c r="C61" s="289"/>
      <c r="D61" s="289"/>
      <c r="E61" s="304"/>
      <c r="F61" s="289"/>
      <c r="G61" s="289"/>
      <c r="H61" s="289"/>
      <c r="I61" s="289"/>
      <c r="J61" s="305"/>
      <c r="K61" s="289"/>
      <c r="L61" s="289"/>
      <c r="M61" s="289"/>
      <c r="N61" s="289"/>
      <c r="O61" s="305"/>
      <c r="P61" s="289"/>
      <c r="Q61" s="295"/>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x14ac:dyDescent="0.5">
      <c r="A62" s="303"/>
      <c r="B62" s="289"/>
      <c r="C62" s="289"/>
      <c r="D62" s="289"/>
      <c r="E62" s="304"/>
      <c r="F62" s="289"/>
      <c r="G62" s="289"/>
      <c r="H62" s="289"/>
      <c r="I62" s="289"/>
      <c r="J62" s="305"/>
      <c r="K62" s="289"/>
      <c r="L62" s="289"/>
      <c r="M62" s="289"/>
      <c r="N62" s="289"/>
      <c r="O62" s="305"/>
      <c r="P62" s="289"/>
      <c r="Q62" s="295"/>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5">
      <c r="A63" s="303"/>
      <c r="B63" s="289"/>
      <c r="C63" s="289"/>
      <c r="D63" s="289"/>
      <c r="E63" s="304"/>
      <c r="F63" s="289"/>
      <c r="G63" s="289"/>
      <c r="H63" s="289"/>
      <c r="I63" s="289"/>
      <c r="J63" s="305"/>
      <c r="K63" s="289"/>
      <c r="L63" s="289"/>
      <c r="M63" s="289"/>
      <c r="N63" s="289"/>
      <c r="O63" s="305"/>
      <c r="P63" s="289"/>
      <c r="Q63" s="295"/>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5">
      <c r="A64" s="303"/>
      <c r="B64" s="289"/>
      <c r="C64" s="289"/>
      <c r="D64" s="289"/>
      <c r="E64" s="304"/>
      <c r="F64" s="289"/>
      <c r="G64" s="289"/>
      <c r="H64" s="289"/>
      <c r="I64" s="289"/>
      <c r="J64" s="305"/>
      <c r="K64" s="289"/>
      <c r="L64" s="289"/>
      <c r="M64" s="289"/>
      <c r="N64" s="289"/>
      <c r="O64" s="305"/>
      <c r="P64" s="289"/>
      <c r="Q64" s="295"/>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5">
      <c r="A65" s="303"/>
      <c r="B65" s="289"/>
      <c r="C65" s="289"/>
      <c r="D65" s="289"/>
      <c r="E65" s="304"/>
      <c r="F65" s="289"/>
      <c r="G65" s="289"/>
      <c r="H65" s="289"/>
      <c r="I65" s="289"/>
      <c r="J65" s="305"/>
      <c r="K65" s="289"/>
      <c r="L65" s="289"/>
      <c r="M65" s="289"/>
      <c r="N65" s="289"/>
      <c r="O65" s="305"/>
      <c r="P65" s="289"/>
      <c r="Q65" s="295"/>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x14ac:dyDescent="0.5">
      <c r="A66" s="303"/>
      <c r="B66" s="289"/>
      <c r="C66" s="289"/>
      <c r="D66" s="289"/>
      <c r="E66" s="304"/>
      <c r="F66" s="289"/>
      <c r="G66" s="289"/>
      <c r="H66" s="289"/>
      <c r="I66" s="289"/>
      <c r="J66" s="305"/>
      <c r="K66" s="289"/>
      <c r="L66" s="289"/>
      <c r="M66" s="289"/>
      <c r="N66" s="289"/>
      <c r="O66" s="305"/>
      <c r="P66" s="289"/>
      <c r="Q66" s="295"/>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x14ac:dyDescent="0.5">
      <c r="A67" s="303"/>
      <c r="B67" s="289"/>
      <c r="C67" s="289"/>
      <c r="D67" s="289"/>
      <c r="E67" s="304"/>
      <c r="F67" s="289"/>
      <c r="G67" s="289"/>
      <c r="H67" s="289"/>
      <c r="I67" s="289"/>
      <c r="J67" s="305"/>
      <c r="K67" s="289"/>
      <c r="L67" s="289"/>
      <c r="M67" s="289"/>
      <c r="N67" s="289"/>
      <c r="O67" s="305"/>
      <c r="P67" s="289"/>
      <c r="Q67" s="295"/>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5">
      <c r="A68" s="303"/>
      <c r="B68" s="289"/>
      <c r="C68" s="289"/>
      <c r="D68" s="289"/>
      <c r="E68" s="304"/>
      <c r="F68" s="289"/>
      <c r="G68" s="289"/>
      <c r="H68" s="289"/>
      <c r="I68" s="289"/>
      <c r="J68" s="305"/>
      <c r="K68" s="289"/>
      <c r="L68" s="289"/>
      <c r="M68" s="289"/>
      <c r="N68" s="289"/>
      <c r="O68" s="305"/>
      <c r="P68" s="289"/>
      <c r="Q68" s="295"/>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5">
      <c r="A69" s="303"/>
      <c r="B69" s="289"/>
      <c r="C69" s="289"/>
      <c r="D69" s="289"/>
      <c r="E69" s="304"/>
      <c r="F69" s="289"/>
      <c r="G69" s="289"/>
      <c r="H69" s="289"/>
      <c r="I69" s="289"/>
      <c r="J69" s="305"/>
      <c r="K69" s="289"/>
      <c r="L69" s="289"/>
      <c r="M69" s="289"/>
      <c r="N69" s="289"/>
      <c r="O69" s="305"/>
      <c r="P69" s="289"/>
      <c r="Q69" s="295"/>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5">
      <c r="A70" s="303"/>
      <c r="B70" s="289"/>
      <c r="C70" s="289"/>
      <c r="D70" s="289"/>
      <c r="E70" s="304"/>
      <c r="F70" s="289"/>
      <c r="G70" s="289"/>
      <c r="H70" s="289"/>
      <c r="I70" s="289"/>
      <c r="J70" s="305"/>
      <c r="K70" s="289"/>
      <c r="L70" s="289"/>
      <c r="M70" s="289"/>
      <c r="N70" s="289"/>
      <c r="O70" s="305"/>
      <c r="P70" s="289"/>
      <c r="Q70" s="295"/>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x14ac:dyDescent="0.5">
      <c r="A71" s="303"/>
      <c r="B71" s="289"/>
      <c r="C71" s="289"/>
      <c r="D71" s="289"/>
      <c r="E71" s="304"/>
      <c r="F71" s="289"/>
      <c r="G71" s="289"/>
      <c r="H71" s="289"/>
      <c r="I71" s="289"/>
      <c r="J71" s="305"/>
      <c r="K71" s="289"/>
      <c r="L71" s="289"/>
      <c r="M71" s="289"/>
      <c r="N71" s="289"/>
      <c r="O71" s="305"/>
      <c r="P71" s="289"/>
      <c r="Q71" s="295"/>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x14ac:dyDescent="0.5">
      <c r="A72" s="303"/>
      <c r="B72" s="289"/>
      <c r="C72" s="289"/>
      <c r="D72" s="289"/>
      <c r="E72" s="304"/>
      <c r="F72" s="289"/>
      <c r="G72" s="289"/>
      <c r="H72" s="289"/>
      <c r="I72" s="289"/>
      <c r="J72" s="305"/>
      <c r="K72" s="289"/>
      <c r="L72" s="289"/>
      <c r="M72" s="289"/>
      <c r="N72" s="289"/>
      <c r="O72" s="305"/>
      <c r="P72" s="289"/>
      <c r="Q72" s="295"/>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5">
      <c r="A73" s="303"/>
      <c r="B73" s="289"/>
      <c r="C73" s="289"/>
      <c r="D73" s="289"/>
      <c r="E73" s="304"/>
      <c r="F73" s="289"/>
      <c r="G73" s="289"/>
      <c r="H73" s="289"/>
      <c r="I73" s="289"/>
      <c r="J73" s="305"/>
      <c r="K73" s="289"/>
      <c r="L73" s="289"/>
      <c r="M73" s="289"/>
      <c r="N73" s="289"/>
      <c r="O73" s="305"/>
      <c r="P73" s="289"/>
      <c r="Q73" s="295"/>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5">
      <c r="A74" s="303"/>
      <c r="B74" s="289"/>
      <c r="C74" s="289"/>
      <c r="D74" s="289"/>
      <c r="E74" s="304"/>
      <c r="F74" s="289"/>
      <c r="G74" s="289"/>
      <c r="H74" s="289"/>
      <c r="I74" s="289"/>
      <c r="J74" s="305"/>
      <c r="K74" s="289"/>
      <c r="L74" s="289"/>
      <c r="M74" s="289"/>
      <c r="N74" s="289"/>
      <c r="O74" s="305"/>
      <c r="P74" s="289"/>
      <c r="Q74" s="295"/>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x14ac:dyDescent="0.5">
      <c r="A75" s="303"/>
      <c r="B75" s="289"/>
      <c r="C75" s="289"/>
      <c r="D75" s="289"/>
      <c r="E75" s="304"/>
      <c r="F75" s="289"/>
      <c r="G75" s="289"/>
      <c r="H75" s="289"/>
      <c r="I75" s="289"/>
      <c r="J75" s="305"/>
      <c r="K75" s="289"/>
      <c r="L75" s="289"/>
      <c r="M75" s="289"/>
      <c r="N75" s="289"/>
      <c r="O75" s="305"/>
      <c r="P75" s="289"/>
      <c r="Q75" s="295"/>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x14ac:dyDescent="0.5">
      <c r="A76" s="303"/>
      <c r="B76" s="289"/>
      <c r="C76" s="289"/>
      <c r="D76" s="289"/>
      <c r="E76" s="304"/>
      <c r="F76" s="289"/>
      <c r="G76" s="289"/>
      <c r="H76" s="289"/>
      <c r="I76" s="289"/>
      <c r="J76" s="305"/>
      <c r="K76" s="289"/>
      <c r="L76" s="289"/>
      <c r="M76" s="289"/>
      <c r="N76" s="289"/>
      <c r="O76" s="305"/>
      <c r="P76" s="289"/>
      <c r="Q76" s="295"/>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x14ac:dyDescent="0.5">
      <c r="A77" s="303"/>
      <c r="B77" s="289"/>
      <c r="C77" s="289"/>
      <c r="D77" s="289"/>
      <c r="E77" s="304"/>
      <c r="F77" s="289"/>
      <c r="G77" s="289"/>
      <c r="H77" s="289"/>
      <c r="I77" s="289"/>
      <c r="J77" s="305"/>
      <c r="K77" s="289"/>
      <c r="L77" s="289"/>
      <c r="M77" s="289"/>
      <c r="N77" s="289"/>
      <c r="O77" s="305"/>
      <c r="P77" s="289"/>
      <c r="Q77" s="295"/>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x14ac:dyDescent="0.5">
      <c r="A78" s="303"/>
      <c r="B78" s="289"/>
      <c r="C78" s="289"/>
      <c r="D78" s="289"/>
      <c r="E78" s="304"/>
      <c r="F78" s="289"/>
      <c r="G78" s="289"/>
      <c r="H78" s="289"/>
      <c r="I78" s="289"/>
      <c r="J78" s="305"/>
      <c r="K78" s="289"/>
      <c r="L78" s="289"/>
      <c r="M78" s="289"/>
      <c r="N78" s="289"/>
      <c r="O78" s="305"/>
      <c r="P78" s="289"/>
      <c r="Q78" s="295"/>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x14ac:dyDescent="0.5">
      <c r="A79" s="303"/>
      <c r="B79" s="289"/>
      <c r="C79" s="289"/>
      <c r="D79" s="289"/>
      <c r="E79" s="304"/>
      <c r="F79" s="289"/>
      <c r="G79" s="289"/>
      <c r="H79" s="289"/>
      <c r="I79" s="289"/>
      <c r="J79" s="305"/>
      <c r="K79" s="289"/>
      <c r="L79" s="289"/>
      <c r="M79" s="289"/>
      <c r="N79" s="289"/>
      <c r="O79" s="305"/>
      <c r="P79" s="289"/>
      <c r="Q79" s="295"/>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x14ac:dyDescent="0.5">
      <c r="A80" s="303"/>
      <c r="B80" s="289"/>
      <c r="C80" s="289"/>
      <c r="D80" s="289"/>
      <c r="E80" s="304"/>
      <c r="F80" s="289"/>
      <c r="G80" s="289"/>
      <c r="H80" s="289"/>
      <c r="I80" s="289"/>
      <c r="J80" s="305"/>
      <c r="K80" s="289"/>
      <c r="L80" s="289"/>
      <c r="M80" s="289"/>
      <c r="N80" s="289"/>
      <c r="O80" s="305"/>
      <c r="P80" s="289"/>
      <c r="Q80" s="295"/>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x14ac:dyDescent="0.5">
      <c r="A81" s="303"/>
      <c r="B81" s="289"/>
      <c r="C81" s="289"/>
      <c r="D81" s="289"/>
      <c r="E81" s="304"/>
      <c r="F81" s="289"/>
      <c r="G81" s="289"/>
      <c r="H81" s="289"/>
      <c r="I81" s="289"/>
      <c r="J81" s="305"/>
      <c r="K81" s="289"/>
      <c r="L81" s="289"/>
      <c r="M81" s="289"/>
      <c r="N81" s="289"/>
      <c r="O81" s="305"/>
      <c r="P81" s="289"/>
      <c r="Q81" s="295"/>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x14ac:dyDescent="0.5">
      <c r="A82" s="303"/>
      <c r="B82" s="289"/>
      <c r="C82" s="289"/>
      <c r="D82" s="289"/>
      <c r="E82" s="304"/>
      <c r="F82" s="289"/>
      <c r="G82" s="289"/>
      <c r="H82" s="289"/>
      <c r="I82" s="289"/>
      <c r="J82" s="305"/>
      <c r="K82" s="289"/>
      <c r="L82" s="289"/>
      <c r="M82" s="289"/>
      <c r="N82" s="289"/>
      <c r="O82" s="305"/>
      <c r="P82" s="289"/>
      <c r="Q82" s="295"/>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x14ac:dyDescent="0.5">
      <c r="A83" s="303"/>
      <c r="B83" s="289"/>
      <c r="C83" s="289"/>
      <c r="D83" s="289"/>
      <c r="E83" s="304"/>
      <c r="F83" s="289"/>
      <c r="G83" s="289"/>
      <c r="H83" s="289"/>
      <c r="I83" s="289"/>
      <c r="J83" s="305"/>
      <c r="K83" s="289"/>
      <c r="L83" s="289"/>
      <c r="M83" s="289"/>
      <c r="N83" s="289"/>
      <c r="O83" s="305"/>
      <c r="P83" s="289"/>
      <c r="Q83" s="295"/>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x14ac:dyDescent="0.5">
      <c r="A84" s="303"/>
      <c r="B84" s="289"/>
      <c r="C84" s="289"/>
      <c r="D84" s="289"/>
      <c r="E84" s="304"/>
      <c r="F84" s="289"/>
      <c r="G84" s="289"/>
      <c r="H84" s="289"/>
      <c r="I84" s="289"/>
      <c r="J84" s="305"/>
      <c r="K84" s="289"/>
      <c r="L84" s="289"/>
      <c r="M84" s="289"/>
      <c r="N84" s="289"/>
      <c r="O84" s="305"/>
      <c r="P84" s="289"/>
      <c r="Q84" s="295"/>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x14ac:dyDescent="0.5">
      <c r="A85" s="303"/>
      <c r="B85" s="289"/>
      <c r="C85" s="289"/>
      <c r="D85" s="289"/>
      <c r="E85" s="304"/>
      <c r="F85" s="289"/>
      <c r="G85" s="289"/>
      <c r="H85" s="289"/>
      <c r="I85" s="289"/>
      <c r="J85" s="305"/>
      <c r="K85" s="289"/>
      <c r="L85" s="289"/>
      <c r="M85" s="289"/>
      <c r="N85" s="289"/>
      <c r="O85" s="305"/>
      <c r="P85" s="289"/>
      <c r="Q85" s="295"/>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x14ac:dyDescent="0.5">
      <c r="A86" s="303"/>
      <c r="B86" s="289"/>
      <c r="C86" s="289"/>
      <c r="D86" s="289"/>
      <c r="E86" s="304"/>
      <c r="F86" s="289"/>
      <c r="G86" s="289"/>
      <c r="H86" s="289"/>
      <c r="I86" s="289"/>
      <c r="J86" s="305"/>
      <c r="K86" s="289"/>
      <c r="L86" s="289"/>
      <c r="M86" s="289"/>
      <c r="N86" s="289"/>
      <c r="O86" s="305"/>
      <c r="P86" s="289"/>
      <c r="Q86" s="295"/>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x14ac:dyDescent="0.5">
      <c r="A87" s="303"/>
      <c r="B87" s="289"/>
      <c r="C87" s="289"/>
      <c r="D87" s="289"/>
      <c r="E87" s="304"/>
      <c r="F87" s="289"/>
      <c r="G87" s="289"/>
      <c r="H87" s="289"/>
      <c r="I87" s="289"/>
      <c r="J87" s="305"/>
      <c r="K87" s="289"/>
      <c r="L87" s="289"/>
      <c r="M87" s="289"/>
      <c r="N87" s="289"/>
      <c r="O87" s="305"/>
      <c r="P87" s="289"/>
      <c r="Q87" s="295"/>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x14ac:dyDescent="0.5">
      <c r="A88" s="303"/>
      <c r="B88" s="289"/>
      <c r="C88" s="289"/>
      <c r="D88" s="289"/>
      <c r="E88" s="304"/>
      <c r="F88" s="289"/>
      <c r="G88" s="289"/>
      <c r="H88" s="289"/>
      <c r="I88" s="289"/>
      <c r="J88" s="305"/>
      <c r="K88" s="289"/>
      <c r="L88" s="289"/>
      <c r="M88" s="289"/>
      <c r="N88" s="289"/>
      <c r="O88" s="305"/>
      <c r="P88" s="289"/>
      <c r="Q88" s="295"/>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x14ac:dyDescent="0.5">
      <c r="A89" s="303"/>
      <c r="B89" s="289"/>
      <c r="C89" s="289"/>
      <c r="D89" s="289"/>
      <c r="E89" s="304"/>
      <c r="F89" s="289"/>
      <c r="G89" s="289"/>
      <c r="H89" s="289"/>
      <c r="I89" s="289"/>
      <c r="J89" s="305"/>
      <c r="K89" s="289"/>
      <c r="L89" s="289"/>
      <c r="M89" s="289"/>
      <c r="N89" s="289"/>
      <c r="O89" s="305"/>
      <c r="P89" s="289"/>
      <c r="Q89" s="295"/>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5">
      <c r="A90" s="303"/>
      <c r="B90" s="289"/>
      <c r="C90" s="289"/>
      <c r="D90" s="289"/>
      <c r="E90" s="304"/>
      <c r="F90" s="289"/>
      <c r="G90" s="289"/>
      <c r="H90" s="289"/>
      <c r="I90" s="289"/>
      <c r="J90" s="305"/>
      <c r="K90" s="289"/>
      <c r="L90" s="289"/>
      <c r="M90" s="289"/>
      <c r="N90" s="289"/>
      <c r="O90" s="305"/>
      <c r="P90" s="289"/>
      <c r="Q90" s="295"/>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5">
      <c r="A91" s="303"/>
      <c r="B91" s="289"/>
      <c r="C91" s="289"/>
      <c r="D91" s="289"/>
      <c r="E91" s="304"/>
      <c r="F91" s="289"/>
      <c r="G91" s="289"/>
      <c r="H91" s="289"/>
      <c r="I91" s="289"/>
      <c r="J91" s="305"/>
      <c r="K91" s="289"/>
      <c r="L91" s="289"/>
      <c r="M91" s="289"/>
      <c r="N91" s="289"/>
      <c r="O91" s="305"/>
      <c r="P91" s="289"/>
      <c r="Q91" s="295"/>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5">
      <c r="A92" s="303"/>
      <c r="B92" s="289"/>
      <c r="C92" s="289"/>
      <c r="D92" s="289"/>
      <c r="E92" s="304"/>
      <c r="F92" s="289"/>
      <c r="G92" s="289"/>
      <c r="H92" s="289"/>
      <c r="I92" s="289"/>
      <c r="J92" s="305"/>
      <c r="K92" s="289"/>
      <c r="L92" s="289"/>
      <c r="M92" s="289"/>
      <c r="N92" s="289"/>
      <c r="O92" s="305"/>
      <c r="P92" s="289"/>
      <c r="Q92" s="295"/>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x14ac:dyDescent="0.5">
      <c r="A93" s="303"/>
      <c r="B93" s="289"/>
      <c r="C93" s="289"/>
      <c r="D93" s="289"/>
      <c r="E93" s="304"/>
      <c r="F93" s="289"/>
      <c r="G93" s="289"/>
      <c r="H93" s="289"/>
      <c r="I93" s="289"/>
      <c r="J93" s="305"/>
      <c r="K93" s="289"/>
      <c r="L93" s="289"/>
      <c r="M93" s="289"/>
      <c r="N93" s="289"/>
      <c r="O93" s="305"/>
      <c r="P93" s="289"/>
      <c r="Q93" s="295"/>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x14ac:dyDescent="0.5">
      <c r="A94" s="303"/>
      <c r="B94" s="289"/>
      <c r="C94" s="289"/>
      <c r="D94" s="289"/>
      <c r="E94" s="304"/>
      <c r="F94" s="289"/>
      <c r="G94" s="289"/>
      <c r="H94" s="289"/>
      <c r="I94" s="289"/>
      <c r="J94" s="305"/>
      <c r="K94" s="289"/>
      <c r="L94" s="289"/>
      <c r="M94" s="289"/>
      <c r="N94" s="289"/>
      <c r="O94" s="305"/>
      <c r="P94" s="289"/>
      <c r="Q94" s="295"/>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x14ac:dyDescent="0.5">
      <c r="A95" s="303"/>
      <c r="B95" s="289"/>
      <c r="C95" s="289"/>
      <c r="D95" s="289"/>
      <c r="E95" s="304"/>
      <c r="F95" s="289"/>
      <c r="G95" s="289"/>
      <c r="H95" s="289"/>
      <c r="I95" s="289"/>
      <c r="J95" s="305"/>
      <c r="K95" s="289"/>
      <c r="L95" s="289"/>
      <c r="M95" s="289"/>
      <c r="N95" s="289"/>
      <c r="O95" s="305"/>
      <c r="P95" s="289"/>
      <c r="Q95" s="295"/>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x14ac:dyDescent="0.5">
      <c r="A96" s="303"/>
      <c r="B96" s="289"/>
      <c r="C96" s="289"/>
      <c r="D96" s="289"/>
      <c r="E96" s="304"/>
      <c r="F96" s="289"/>
      <c r="G96" s="289"/>
      <c r="H96" s="289"/>
      <c r="I96" s="289"/>
      <c r="J96" s="305"/>
      <c r="K96" s="289"/>
      <c r="L96" s="289"/>
      <c r="M96" s="289"/>
      <c r="N96" s="289"/>
      <c r="O96" s="305"/>
      <c r="P96" s="289"/>
      <c r="Q96" s="295"/>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2" x14ac:dyDescent="0.5">
      <c r="A97" s="303"/>
      <c r="B97" s="289"/>
      <c r="C97" s="289"/>
      <c r="D97" s="289"/>
      <c r="E97" s="304"/>
      <c r="F97" s="289"/>
      <c r="G97" s="289"/>
      <c r="H97" s="289"/>
      <c r="I97" s="289"/>
      <c r="J97" s="305"/>
      <c r="K97" s="289"/>
      <c r="L97" s="289"/>
      <c r="M97" s="289"/>
      <c r="N97" s="289"/>
      <c r="O97" s="305"/>
      <c r="P97" s="289"/>
      <c r="Q97" s="295"/>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2" x14ac:dyDescent="0.5">
      <c r="A98" s="303"/>
      <c r="B98" s="289"/>
      <c r="C98" s="289"/>
      <c r="D98" s="289"/>
      <c r="E98" s="304"/>
      <c r="F98" s="289"/>
      <c r="G98" s="289"/>
      <c r="H98" s="289"/>
      <c r="I98" s="289"/>
      <c r="J98" s="305"/>
      <c r="K98" s="289"/>
      <c r="L98" s="289"/>
      <c r="M98" s="289"/>
      <c r="N98" s="289"/>
      <c r="O98" s="305"/>
      <c r="P98" s="289"/>
      <c r="Q98" s="295"/>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2" x14ac:dyDescent="0.5">
      <c r="A99" s="303"/>
      <c r="B99" s="289"/>
      <c r="C99" s="289"/>
      <c r="D99" s="289"/>
      <c r="E99" s="304"/>
      <c r="F99" s="289"/>
      <c r="G99" s="289"/>
      <c r="H99" s="289"/>
      <c r="I99" s="289"/>
      <c r="J99" s="305"/>
      <c r="K99" s="289"/>
      <c r="L99" s="289"/>
      <c r="M99" s="289"/>
      <c r="N99" s="289"/>
      <c r="O99" s="305"/>
      <c r="P99" s="289"/>
      <c r="Q99" s="295"/>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row>
    <row r="100" spans="1:52" x14ac:dyDescent="0.5">
      <c r="A100" s="303"/>
      <c r="B100" s="289"/>
      <c r="C100" s="289"/>
      <c r="D100" s="289"/>
      <c r="E100" s="304"/>
      <c r="F100" s="289"/>
      <c r="G100" s="289"/>
      <c r="H100" s="289"/>
      <c r="I100" s="289"/>
      <c r="J100" s="305"/>
      <c r="K100" s="289"/>
      <c r="L100" s="289"/>
      <c r="M100" s="289"/>
      <c r="N100" s="289"/>
      <c r="O100" s="305"/>
      <c r="P100" s="289"/>
      <c r="Q100" s="295"/>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sheetData>
  <sheetProtection algorithmName="SHA-512" hashValue="GiQTg9MPZPVNplWlqAcCU4QbSeh40uHu+U0PWTOPoe5jfGC4a9a2SoE0X2G7UNvlY6lDA5bqi8Cwyyg4EoXunA==" saltValue="32CosjD1OcG/oL19Cs1ygQ==" spinCount="100000" sheet="1" objects="1" scenarios="1"/>
  <mergeCells count="7">
    <mergeCell ref="P1:P3"/>
    <mergeCell ref="Q1:R3"/>
    <mergeCell ref="E2:F3"/>
    <mergeCell ref="B4:C5"/>
    <mergeCell ref="E4:F5"/>
    <mergeCell ref="H4:I5"/>
    <mergeCell ref="K4:N5"/>
  </mergeCells>
  <conditionalFormatting sqref="D6:D7 D9:D18">
    <cfRule type="expression" dxfId="3618" priority="1055">
      <formula>$E6=""</formula>
    </cfRule>
  </conditionalFormatting>
  <conditionalFormatting sqref="D8">
    <cfRule type="expression" dxfId="3617" priority="21">
      <formula>C8&lt;&gt;""</formula>
    </cfRule>
  </conditionalFormatting>
  <conditionalFormatting sqref="E7:F46">
    <cfRule type="expression" dxfId="3616" priority="1056">
      <formula>$E7=""</formula>
    </cfRule>
  </conditionalFormatting>
  <conditionalFormatting sqref="J7:J8">
    <cfRule type="expression" dxfId="3608" priority="57">
      <formula>I7&lt;&gt;""</formula>
    </cfRule>
  </conditionalFormatting>
  <conditionalFormatting sqref="J10">
    <cfRule type="expression" dxfId="3607" priority="56">
      <formula>I10&lt;&gt;""</formula>
    </cfRule>
  </conditionalFormatting>
  <conditionalFormatting sqref="J13">
    <cfRule type="expression" dxfId="3605" priority="20">
      <formula>I13&lt;&gt;""</formula>
    </cfRule>
  </conditionalFormatting>
  <conditionalFormatting sqref="J16:J17">
    <cfRule type="expression" dxfId="3604" priority="52">
      <formula>I16&lt;&gt;""</formula>
    </cfRule>
  </conditionalFormatting>
  <conditionalFormatting sqref="J25">
    <cfRule type="expression" dxfId="3598" priority="51">
      <formula>I25&lt;&gt;""</formula>
    </cfRule>
  </conditionalFormatting>
  <conditionalFormatting sqref="L7">
    <cfRule type="expression" dxfId="3596" priority="48">
      <formula>COUNTIF($AC$7:$AC$46,"Ambulant")=0</formula>
    </cfRule>
  </conditionalFormatting>
  <conditionalFormatting sqref="O7">
    <cfRule type="expression" dxfId="3574" priority="66">
      <formula>NOT(     OR(         AND(COUNTIF($AC$7:$AC$46,"Ambulant")&gt;0, L7=""),                ) )</formula>
    </cfRule>
  </conditionalFormatting>
  <conditionalFormatting sqref="P1 Q1:R3">
    <cfRule type="expression" dxfId="3566" priority="21436">
      <formula>$AE$7=TRUE</formula>
    </cfRule>
  </conditionalFormatting>
  <dataValidations count="1">
    <dataValidation type="decimal" allowBlank="1" showInputMessage="1" showErrorMessage="1" sqref="I23" xr:uid="{00000000-0002-0000-0300-000001000000}">
      <formula1>0</formula1>
      <formula2>1</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6</xdr:col>
                    <xdr:colOff>876300</xdr:colOff>
                    <xdr:row>10</xdr:row>
                    <xdr:rowOff>14288</xdr:rowOff>
                  </from>
                  <to>
                    <xdr:col>6</xdr:col>
                    <xdr:colOff>1062038</xdr:colOff>
                    <xdr:row>11</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6</xdr:col>
                    <xdr:colOff>881063</xdr:colOff>
                    <xdr:row>18</xdr:row>
                    <xdr:rowOff>14288</xdr:rowOff>
                  </from>
                  <to>
                    <xdr:col>6</xdr:col>
                    <xdr:colOff>1062038</xdr:colOff>
                    <xdr:row>18</xdr:row>
                    <xdr:rowOff>195263</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6</xdr:col>
                    <xdr:colOff>881063</xdr:colOff>
                    <xdr:row>19</xdr:row>
                    <xdr:rowOff>14288</xdr:rowOff>
                  </from>
                  <to>
                    <xdr:col>6</xdr:col>
                    <xdr:colOff>1062038</xdr:colOff>
                    <xdr:row>19</xdr:row>
                    <xdr:rowOff>190500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6</xdr:col>
                    <xdr:colOff>881063</xdr:colOff>
                    <xdr:row>20</xdr:row>
                    <xdr:rowOff>19050</xdr:rowOff>
                  </from>
                  <to>
                    <xdr:col>6</xdr:col>
                    <xdr:colOff>1066800</xdr:colOff>
                    <xdr:row>21</xdr:row>
                    <xdr:rowOff>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6</xdr:col>
                    <xdr:colOff>876300</xdr:colOff>
                    <xdr:row>22</xdr:row>
                    <xdr:rowOff>4763</xdr:rowOff>
                  </from>
                  <to>
                    <xdr:col>6</xdr:col>
                    <xdr:colOff>1052513</xdr:colOff>
                    <xdr:row>22</xdr:row>
                    <xdr:rowOff>190500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6</xdr:col>
                    <xdr:colOff>876300</xdr:colOff>
                    <xdr:row>23</xdr:row>
                    <xdr:rowOff>4763</xdr:rowOff>
                  </from>
                  <to>
                    <xdr:col>6</xdr:col>
                    <xdr:colOff>1052513</xdr:colOff>
                    <xdr:row>23</xdr:row>
                    <xdr:rowOff>190500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3</xdr:col>
                    <xdr:colOff>857250</xdr:colOff>
                    <xdr:row>17</xdr:row>
                    <xdr:rowOff>19050</xdr:rowOff>
                  </from>
                  <to>
                    <xdr:col>3</xdr:col>
                    <xdr:colOff>1047750</xdr:colOff>
                    <xdr:row>18</xdr:row>
                    <xdr:rowOff>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3</xdr:col>
                    <xdr:colOff>857250</xdr:colOff>
                    <xdr:row>16</xdr:row>
                    <xdr:rowOff>23813</xdr:rowOff>
                  </from>
                  <to>
                    <xdr:col>3</xdr:col>
                    <xdr:colOff>1042988</xdr:colOff>
                    <xdr:row>17</xdr:row>
                    <xdr:rowOff>4763</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3</xdr:col>
                    <xdr:colOff>857250</xdr:colOff>
                    <xdr:row>15</xdr:row>
                    <xdr:rowOff>19050</xdr:rowOff>
                  </from>
                  <to>
                    <xdr:col>3</xdr:col>
                    <xdr:colOff>1042988</xdr:colOff>
                    <xdr:row>16</xdr:row>
                    <xdr:rowOff>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3</xdr:col>
                    <xdr:colOff>857250</xdr:colOff>
                    <xdr:row>14</xdr:row>
                    <xdr:rowOff>19050</xdr:rowOff>
                  </from>
                  <to>
                    <xdr:col>3</xdr:col>
                    <xdr:colOff>1052513</xdr:colOff>
                    <xdr:row>15</xdr:row>
                    <xdr:rowOff>4763</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3</xdr:col>
                    <xdr:colOff>857250</xdr:colOff>
                    <xdr:row>13</xdr:row>
                    <xdr:rowOff>19050</xdr:rowOff>
                  </from>
                  <to>
                    <xdr:col>3</xdr:col>
                    <xdr:colOff>1052513</xdr:colOff>
                    <xdr:row>14</xdr:row>
                    <xdr:rowOff>4763</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3</xdr:col>
                    <xdr:colOff>857250</xdr:colOff>
                    <xdr:row>11</xdr:row>
                    <xdr:rowOff>195263</xdr:rowOff>
                  </from>
                  <to>
                    <xdr:col>3</xdr:col>
                    <xdr:colOff>1052513</xdr:colOff>
                    <xdr:row>12</xdr:row>
                    <xdr:rowOff>185738</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3</xdr:col>
                    <xdr:colOff>857250</xdr:colOff>
                    <xdr:row>11</xdr:row>
                    <xdr:rowOff>0</xdr:rowOff>
                  </from>
                  <to>
                    <xdr:col>3</xdr:col>
                    <xdr:colOff>1052513</xdr:colOff>
                    <xdr:row>11</xdr:row>
                    <xdr:rowOff>185738</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3</xdr:col>
                    <xdr:colOff>857250</xdr:colOff>
                    <xdr:row>9</xdr:row>
                    <xdr:rowOff>195263</xdr:rowOff>
                  </from>
                  <to>
                    <xdr:col>3</xdr:col>
                    <xdr:colOff>1047750</xdr:colOff>
                    <xdr:row>10</xdr:row>
                    <xdr:rowOff>185738</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3</xdr:col>
                    <xdr:colOff>857250</xdr:colOff>
                    <xdr:row>9</xdr:row>
                    <xdr:rowOff>14288</xdr:rowOff>
                  </from>
                  <to>
                    <xdr:col>3</xdr:col>
                    <xdr:colOff>1047750</xdr:colOff>
                    <xdr:row>10</xdr:row>
                    <xdr:rowOff>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3</xdr:col>
                    <xdr:colOff>857250</xdr:colOff>
                    <xdr:row>8</xdr:row>
                    <xdr:rowOff>4763</xdr:rowOff>
                  </from>
                  <to>
                    <xdr:col>3</xdr:col>
                    <xdr:colOff>1052513</xdr:colOff>
                    <xdr:row>8</xdr:row>
                    <xdr:rowOff>185738</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3</xdr:col>
                    <xdr:colOff>857250</xdr:colOff>
                    <xdr:row>7</xdr:row>
                    <xdr:rowOff>4763</xdr:rowOff>
                  </from>
                  <to>
                    <xdr:col>3</xdr:col>
                    <xdr:colOff>1047750</xdr:colOff>
                    <xdr:row>8</xdr:row>
                    <xdr:rowOff>0</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3</xdr:col>
                    <xdr:colOff>857250</xdr:colOff>
                    <xdr:row>6</xdr:row>
                    <xdr:rowOff>0</xdr:rowOff>
                  </from>
                  <to>
                    <xdr:col>3</xdr:col>
                    <xdr:colOff>1047750</xdr:colOff>
                    <xdr:row>7</xdr:row>
                    <xdr:rowOff>0</xdr:rowOff>
                  </to>
                </anchor>
              </controlPr>
            </control>
          </mc:Choice>
        </mc:AlternateContent>
        <mc:AlternateContent xmlns:mc="http://schemas.openxmlformats.org/markup-compatibility/2006">
          <mc:Choice Requires="x14">
            <control shapeId="85025" r:id="rId22" name="Check Box 33">
              <controlPr defaultSize="0" autoFill="0" autoLine="0" autoPict="0">
                <anchor moveWithCells="1">
                  <from>
                    <xdr:col>3</xdr:col>
                    <xdr:colOff>857250</xdr:colOff>
                    <xdr:row>29</xdr:row>
                    <xdr:rowOff>14288</xdr:rowOff>
                  </from>
                  <to>
                    <xdr:col>3</xdr:col>
                    <xdr:colOff>1042988</xdr:colOff>
                    <xdr:row>30</xdr:row>
                    <xdr:rowOff>0</xdr:rowOff>
                  </to>
                </anchor>
              </controlPr>
            </control>
          </mc:Choice>
        </mc:AlternateContent>
        <mc:AlternateContent xmlns:mc="http://schemas.openxmlformats.org/markup-compatibility/2006">
          <mc:Choice Requires="x14">
            <control shapeId="85026" r:id="rId23" name="Check Box 34">
              <controlPr defaultSize="0" autoFill="0" autoLine="0" autoPict="0">
                <anchor moveWithCells="1">
                  <from>
                    <xdr:col>3</xdr:col>
                    <xdr:colOff>857250</xdr:colOff>
                    <xdr:row>28</xdr:row>
                    <xdr:rowOff>14288</xdr:rowOff>
                  </from>
                  <to>
                    <xdr:col>3</xdr:col>
                    <xdr:colOff>1042988</xdr:colOff>
                    <xdr:row>28</xdr:row>
                    <xdr:rowOff>195263</xdr:rowOff>
                  </to>
                </anchor>
              </controlPr>
            </control>
          </mc:Choice>
        </mc:AlternateContent>
        <mc:AlternateContent xmlns:mc="http://schemas.openxmlformats.org/markup-compatibility/2006">
          <mc:Choice Requires="x14">
            <control shapeId="85027" r:id="rId24" name="Check Box 35">
              <controlPr defaultSize="0" autoFill="0" autoLine="0" autoPict="0">
                <anchor moveWithCells="1">
                  <from>
                    <xdr:col>3</xdr:col>
                    <xdr:colOff>857250</xdr:colOff>
                    <xdr:row>27</xdr:row>
                    <xdr:rowOff>4763</xdr:rowOff>
                  </from>
                  <to>
                    <xdr:col>3</xdr:col>
                    <xdr:colOff>1047750</xdr:colOff>
                    <xdr:row>28</xdr:row>
                    <xdr:rowOff>14288</xdr:rowOff>
                  </to>
                </anchor>
              </controlPr>
            </control>
          </mc:Choice>
        </mc:AlternateContent>
        <mc:AlternateContent xmlns:mc="http://schemas.openxmlformats.org/markup-compatibility/2006">
          <mc:Choice Requires="x14">
            <control shapeId="85028" r:id="rId25" name="Check Box 36">
              <controlPr defaultSize="0" autoFill="0" autoLine="0" autoPict="0">
                <anchor moveWithCells="1">
                  <from>
                    <xdr:col>3</xdr:col>
                    <xdr:colOff>857250</xdr:colOff>
                    <xdr:row>26</xdr:row>
                    <xdr:rowOff>4763</xdr:rowOff>
                  </from>
                  <to>
                    <xdr:col>3</xdr:col>
                    <xdr:colOff>1047750</xdr:colOff>
                    <xdr:row>27</xdr:row>
                    <xdr:rowOff>0</xdr:rowOff>
                  </to>
                </anchor>
              </controlPr>
            </control>
          </mc:Choice>
        </mc:AlternateContent>
        <mc:AlternateContent xmlns:mc="http://schemas.openxmlformats.org/markup-compatibility/2006">
          <mc:Choice Requires="x14">
            <control shapeId="85029" r:id="rId26" name="Check Box 37">
              <controlPr defaultSize="0" autoFill="0" autoLine="0" autoPict="0">
                <anchor moveWithCells="1">
                  <from>
                    <xdr:col>3</xdr:col>
                    <xdr:colOff>857250</xdr:colOff>
                    <xdr:row>25</xdr:row>
                    <xdr:rowOff>4763</xdr:rowOff>
                  </from>
                  <to>
                    <xdr:col>3</xdr:col>
                    <xdr:colOff>1042988</xdr:colOff>
                    <xdr:row>25</xdr:row>
                    <xdr:rowOff>190500</xdr:rowOff>
                  </to>
                </anchor>
              </controlPr>
            </control>
          </mc:Choice>
        </mc:AlternateContent>
        <mc:AlternateContent xmlns:mc="http://schemas.openxmlformats.org/markup-compatibility/2006">
          <mc:Choice Requires="x14">
            <control shapeId="85030" r:id="rId27" name="Check Box 38">
              <controlPr defaultSize="0" autoFill="0" autoLine="0" autoPict="0">
                <anchor moveWithCells="1">
                  <from>
                    <xdr:col>3</xdr:col>
                    <xdr:colOff>857250</xdr:colOff>
                    <xdr:row>24</xdr:row>
                    <xdr:rowOff>4763</xdr:rowOff>
                  </from>
                  <to>
                    <xdr:col>3</xdr:col>
                    <xdr:colOff>1047750</xdr:colOff>
                    <xdr:row>24</xdr:row>
                    <xdr:rowOff>195263</xdr:rowOff>
                  </to>
                </anchor>
              </controlPr>
            </control>
          </mc:Choice>
        </mc:AlternateContent>
        <mc:AlternateContent xmlns:mc="http://schemas.openxmlformats.org/markup-compatibility/2006">
          <mc:Choice Requires="x14">
            <control shapeId="85031" r:id="rId28" name="Check Box 39">
              <controlPr defaultSize="0" autoFill="0" autoLine="0" autoPict="0">
                <anchor moveWithCells="1">
                  <from>
                    <xdr:col>3</xdr:col>
                    <xdr:colOff>857250</xdr:colOff>
                    <xdr:row>23</xdr:row>
                    <xdr:rowOff>4763</xdr:rowOff>
                  </from>
                  <to>
                    <xdr:col>3</xdr:col>
                    <xdr:colOff>1042988</xdr:colOff>
                    <xdr:row>23</xdr:row>
                    <xdr:rowOff>190500</xdr:rowOff>
                  </to>
                </anchor>
              </controlPr>
            </control>
          </mc:Choice>
        </mc:AlternateContent>
        <mc:AlternateContent xmlns:mc="http://schemas.openxmlformats.org/markup-compatibility/2006">
          <mc:Choice Requires="x14">
            <control shapeId="85032" r:id="rId29" name="Check Box 40">
              <controlPr defaultSize="0" autoFill="0" autoLine="0" autoPict="0">
                <anchor moveWithCells="1">
                  <from>
                    <xdr:col>3</xdr:col>
                    <xdr:colOff>857250</xdr:colOff>
                    <xdr:row>22</xdr:row>
                    <xdr:rowOff>4763</xdr:rowOff>
                  </from>
                  <to>
                    <xdr:col>3</xdr:col>
                    <xdr:colOff>1042988</xdr:colOff>
                    <xdr:row>22</xdr:row>
                    <xdr:rowOff>190500</xdr:rowOff>
                  </to>
                </anchor>
              </controlPr>
            </control>
          </mc:Choice>
        </mc:AlternateContent>
        <mc:AlternateContent xmlns:mc="http://schemas.openxmlformats.org/markup-compatibility/2006">
          <mc:Choice Requires="x14">
            <control shapeId="85033" r:id="rId30" name="Check Box 41">
              <controlPr defaultSize="0" autoFill="0" autoLine="0" autoPict="0">
                <anchor moveWithCells="1">
                  <from>
                    <xdr:col>3</xdr:col>
                    <xdr:colOff>857250</xdr:colOff>
                    <xdr:row>21</xdr:row>
                    <xdr:rowOff>4763</xdr:rowOff>
                  </from>
                  <to>
                    <xdr:col>3</xdr:col>
                    <xdr:colOff>1042988</xdr:colOff>
                    <xdr:row>21</xdr:row>
                    <xdr:rowOff>190500</xdr:rowOff>
                  </to>
                </anchor>
              </controlPr>
            </control>
          </mc:Choice>
        </mc:AlternateContent>
        <mc:AlternateContent xmlns:mc="http://schemas.openxmlformats.org/markup-compatibility/2006">
          <mc:Choice Requires="x14">
            <control shapeId="85034" r:id="rId31" name="Check Box 42">
              <controlPr defaultSize="0" autoFill="0" autoLine="0" autoPict="0">
                <anchor moveWithCells="1">
                  <from>
                    <xdr:col>3</xdr:col>
                    <xdr:colOff>857250</xdr:colOff>
                    <xdr:row>20</xdr:row>
                    <xdr:rowOff>19050</xdr:rowOff>
                  </from>
                  <to>
                    <xdr:col>3</xdr:col>
                    <xdr:colOff>1042988</xdr:colOff>
                    <xdr:row>21</xdr:row>
                    <xdr:rowOff>0</xdr:rowOff>
                  </to>
                </anchor>
              </controlPr>
            </control>
          </mc:Choice>
        </mc:AlternateContent>
        <mc:AlternateContent xmlns:mc="http://schemas.openxmlformats.org/markup-compatibility/2006">
          <mc:Choice Requires="x14">
            <control shapeId="85035" r:id="rId32" name="Check Box 43">
              <controlPr defaultSize="0" autoFill="0" autoLine="0" autoPict="0">
                <anchor moveWithCells="1">
                  <from>
                    <xdr:col>3</xdr:col>
                    <xdr:colOff>857250</xdr:colOff>
                    <xdr:row>19</xdr:row>
                    <xdr:rowOff>14288</xdr:rowOff>
                  </from>
                  <to>
                    <xdr:col>3</xdr:col>
                    <xdr:colOff>1042988</xdr:colOff>
                    <xdr:row>20</xdr:row>
                    <xdr:rowOff>0</xdr:rowOff>
                  </to>
                </anchor>
              </controlPr>
            </control>
          </mc:Choice>
        </mc:AlternateContent>
        <mc:AlternateContent xmlns:mc="http://schemas.openxmlformats.org/markup-compatibility/2006">
          <mc:Choice Requires="x14">
            <control shapeId="85036" r:id="rId33" name="Check Box 44">
              <controlPr defaultSize="0" autoFill="0" autoLine="0" autoPict="0">
                <anchor moveWithCells="1">
                  <from>
                    <xdr:col>3</xdr:col>
                    <xdr:colOff>857250</xdr:colOff>
                    <xdr:row>18</xdr:row>
                    <xdr:rowOff>14288</xdr:rowOff>
                  </from>
                  <to>
                    <xdr:col>3</xdr:col>
                    <xdr:colOff>1047750</xdr:colOff>
                    <xdr:row>19</xdr:row>
                    <xdr:rowOff>0</xdr:rowOff>
                  </to>
                </anchor>
              </controlPr>
            </control>
          </mc:Choice>
        </mc:AlternateContent>
        <mc:AlternateContent xmlns:mc="http://schemas.openxmlformats.org/markup-compatibility/2006">
          <mc:Choice Requires="x14">
            <control shapeId="85037" r:id="rId34" name="Check Box 45">
              <controlPr defaultSize="0" autoFill="0" autoLine="0" autoPict="0">
                <anchor moveWithCells="1">
                  <from>
                    <xdr:col>3</xdr:col>
                    <xdr:colOff>857250</xdr:colOff>
                    <xdr:row>41</xdr:row>
                    <xdr:rowOff>14288</xdr:rowOff>
                  </from>
                  <to>
                    <xdr:col>3</xdr:col>
                    <xdr:colOff>1042988</xdr:colOff>
                    <xdr:row>42</xdr:row>
                    <xdr:rowOff>0</xdr:rowOff>
                  </to>
                </anchor>
              </controlPr>
            </control>
          </mc:Choice>
        </mc:AlternateContent>
        <mc:AlternateContent xmlns:mc="http://schemas.openxmlformats.org/markup-compatibility/2006">
          <mc:Choice Requires="x14">
            <control shapeId="85038" r:id="rId35" name="Check Box 46">
              <controlPr defaultSize="0" autoFill="0" autoLine="0" autoPict="0">
                <anchor moveWithCells="1">
                  <from>
                    <xdr:col>3</xdr:col>
                    <xdr:colOff>857250</xdr:colOff>
                    <xdr:row>40</xdr:row>
                    <xdr:rowOff>14288</xdr:rowOff>
                  </from>
                  <to>
                    <xdr:col>3</xdr:col>
                    <xdr:colOff>1042988</xdr:colOff>
                    <xdr:row>41</xdr:row>
                    <xdr:rowOff>0</xdr:rowOff>
                  </to>
                </anchor>
              </controlPr>
            </control>
          </mc:Choice>
        </mc:AlternateContent>
        <mc:AlternateContent xmlns:mc="http://schemas.openxmlformats.org/markup-compatibility/2006">
          <mc:Choice Requires="x14">
            <control shapeId="85039" r:id="rId36" name="Check Box 47">
              <controlPr defaultSize="0" autoFill="0" autoLine="0" autoPict="0">
                <anchor moveWithCells="1">
                  <from>
                    <xdr:col>3</xdr:col>
                    <xdr:colOff>857250</xdr:colOff>
                    <xdr:row>39</xdr:row>
                    <xdr:rowOff>0</xdr:rowOff>
                  </from>
                  <to>
                    <xdr:col>3</xdr:col>
                    <xdr:colOff>1042988</xdr:colOff>
                    <xdr:row>40</xdr:row>
                    <xdr:rowOff>0</xdr:rowOff>
                  </to>
                </anchor>
              </controlPr>
            </control>
          </mc:Choice>
        </mc:AlternateContent>
        <mc:AlternateContent xmlns:mc="http://schemas.openxmlformats.org/markup-compatibility/2006">
          <mc:Choice Requires="x14">
            <control shapeId="85040" r:id="rId37" name="Check Box 48">
              <controlPr defaultSize="0" autoFill="0" autoLine="0" autoPict="0">
                <anchor moveWithCells="1">
                  <from>
                    <xdr:col>3</xdr:col>
                    <xdr:colOff>857250</xdr:colOff>
                    <xdr:row>37</xdr:row>
                    <xdr:rowOff>195263</xdr:rowOff>
                  </from>
                  <to>
                    <xdr:col>3</xdr:col>
                    <xdr:colOff>1042988</xdr:colOff>
                    <xdr:row>38</xdr:row>
                    <xdr:rowOff>190500</xdr:rowOff>
                  </to>
                </anchor>
              </controlPr>
            </control>
          </mc:Choice>
        </mc:AlternateContent>
        <mc:AlternateContent xmlns:mc="http://schemas.openxmlformats.org/markup-compatibility/2006">
          <mc:Choice Requires="x14">
            <control shapeId="85041" r:id="rId38" name="Check Box 49">
              <controlPr defaultSize="0" autoFill="0" autoLine="0" autoPict="0">
                <anchor moveWithCells="1">
                  <from>
                    <xdr:col>3</xdr:col>
                    <xdr:colOff>857250</xdr:colOff>
                    <xdr:row>36</xdr:row>
                    <xdr:rowOff>190500</xdr:rowOff>
                  </from>
                  <to>
                    <xdr:col>3</xdr:col>
                    <xdr:colOff>1042988</xdr:colOff>
                    <xdr:row>37</xdr:row>
                    <xdr:rowOff>176213</xdr:rowOff>
                  </to>
                </anchor>
              </controlPr>
            </control>
          </mc:Choice>
        </mc:AlternateContent>
        <mc:AlternateContent xmlns:mc="http://schemas.openxmlformats.org/markup-compatibility/2006">
          <mc:Choice Requires="x14">
            <control shapeId="85042" r:id="rId39" name="Check Box 50">
              <controlPr defaultSize="0" autoFill="0" autoLine="0" autoPict="0">
                <anchor moveWithCells="1">
                  <from>
                    <xdr:col>3</xdr:col>
                    <xdr:colOff>857250</xdr:colOff>
                    <xdr:row>35</xdr:row>
                    <xdr:rowOff>195263</xdr:rowOff>
                  </from>
                  <to>
                    <xdr:col>3</xdr:col>
                    <xdr:colOff>1042988</xdr:colOff>
                    <xdr:row>36</xdr:row>
                    <xdr:rowOff>185738</xdr:rowOff>
                  </to>
                </anchor>
              </controlPr>
            </control>
          </mc:Choice>
        </mc:AlternateContent>
        <mc:AlternateContent xmlns:mc="http://schemas.openxmlformats.org/markup-compatibility/2006">
          <mc:Choice Requires="x14">
            <control shapeId="85043" r:id="rId40" name="Check Box 51">
              <controlPr defaultSize="0" autoFill="0" autoLine="0" autoPict="0">
                <anchor moveWithCells="1">
                  <from>
                    <xdr:col>3</xdr:col>
                    <xdr:colOff>857250</xdr:colOff>
                    <xdr:row>35</xdr:row>
                    <xdr:rowOff>4763</xdr:rowOff>
                  </from>
                  <to>
                    <xdr:col>3</xdr:col>
                    <xdr:colOff>1042988</xdr:colOff>
                    <xdr:row>35</xdr:row>
                    <xdr:rowOff>190500</xdr:rowOff>
                  </to>
                </anchor>
              </controlPr>
            </control>
          </mc:Choice>
        </mc:AlternateContent>
        <mc:AlternateContent xmlns:mc="http://schemas.openxmlformats.org/markup-compatibility/2006">
          <mc:Choice Requires="x14">
            <control shapeId="85044" r:id="rId41" name="Check Box 52">
              <controlPr defaultSize="0" autoFill="0" autoLine="0" autoPict="0">
                <anchor moveWithCells="1">
                  <from>
                    <xdr:col>3</xdr:col>
                    <xdr:colOff>857250</xdr:colOff>
                    <xdr:row>34</xdr:row>
                    <xdr:rowOff>19050</xdr:rowOff>
                  </from>
                  <to>
                    <xdr:col>3</xdr:col>
                    <xdr:colOff>1042988</xdr:colOff>
                    <xdr:row>35</xdr:row>
                    <xdr:rowOff>14288</xdr:rowOff>
                  </to>
                </anchor>
              </controlPr>
            </control>
          </mc:Choice>
        </mc:AlternateContent>
        <mc:AlternateContent xmlns:mc="http://schemas.openxmlformats.org/markup-compatibility/2006">
          <mc:Choice Requires="x14">
            <control shapeId="85045" r:id="rId42" name="Check Box 53">
              <controlPr defaultSize="0" autoFill="0" autoLine="0" autoPict="0">
                <anchor moveWithCells="1">
                  <from>
                    <xdr:col>3</xdr:col>
                    <xdr:colOff>857250</xdr:colOff>
                    <xdr:row>33</xdr:row>
                    <xdr:rowOff>19050</xdr:rowOff>
                  </from>
                  <to>
                    <xdr:col>3</xdr:col>
                    <xdr:colOff>1042988</xdr:colOff>
                    <xdr:row>34</xdr:row>
                    <xdr:rowOff>4763</xdr:rowOff>
                  </to>
                </anchor>
              </controlPr>
            </control>
          </mc:Choice>
        </mc:AlternateContent>
        <mc:AlternateContent xmlns:mc="http://schemas.openxmlformats.org/markup-compatibility/2006">
          <mc:Choice Requires="x14">
            <control shapeId="85046" r:id="rId43" name="Check Box 54">
              <controlPr defaultSize="0" autoFill="0" autoLine="0" autoPict="0">
                <anchor moveWithCells="1">
                  <from>
                    <xdr:col>3</xdr:col>
                    <xdr:colOff>857250</xdr:colOff>
                    <xdr:row>32</xdr:row>
                    <xdr:rowOff>23813</xdr:rowOff>
                  </from>
                  <to>
                    <xdr:col>3</xdr:col>
                    <xdr:colOff>1042988</xdr:colOff>
                    <xdr:row>33</xdr:row>
                    <xdr:rowOff>4763</xdr:rowOff>
                  </to>
                </anchor>
              </controlPr>
            </control>
          </mc:Choice>
        </mc:AlternateContent>
        <mc:AlternateContent xmlns:mc="http://schemas.openxmlformats.org/markup-compatibility/2006">
          <mc:Choice Requires="x14">
            <control shapeId="85047" r:id="rId44" name="Check Box 55">
              <controlPr defaultSize="0" autoFill="0" autoLine="0" autoPict="0">
                <anchor moveWithCells="1">
                  <from>
                    <xdr:col>3</xdr:col>
                    <xdr:colOff>857250</xdr:colOff>
                    <xdr:row>31</xdr:row>
                    <xdr:rowOff>19050</xdr:rowOff>
                  </from>
                  <to>
                    <xdr:col>3</xdr:col>
                    <xdr:colOff>1042988</xdr:colOff>
                    <xdr:row>32</xdr:row>
                    <xdr:rowOff>14288</xdr:rowOff>
                  </to>
                </anchor>
              </controlPr>
            </control>
          </mc:Choice>
        </mc:AlternateContent>
        <mc:AlternateContent xmlns:mc="http://schemas.openxmlformats.org/markup-compatibility/2006">
          <mc:Choice Requires="x14">
            <control shapeId="85048" r:id="rId45" name="Check Box 56">
              <controlPr defaultSize="0" autoFill="0" autoLine="0" autoPict="0">
                <anchor moveWithCells="1">
                  <from>
                    <xdr:col>3</xdr:col>
                    <xdr:colOff>857250</xdr:colOff>
                    <xdr:row>30</xdr:row>
                    <xdr:rowOff>14288</xdr:rowOff>
                  </from>
                  <to>
                    <xdr:col>3</xdr:col>
                    <xdr:colOff>1042988</xdr:colOff>
                    <xdr:row>31</xdr:row>
                    <xdr:rowOff>4763</xdr:rowOff>
                  </to>
                </anchor>
              </controlPr>
            </control>
          </mc:Choice>
        </mc:AlternateContent>
        <mc:AlternateContent xmlns:mc="http://schemas.openxmlformats.org/markup-compatibility/2006">
          <mc:Choice Requires="x14">
            <control shapeId="85049" r:id="rId46" name="Check Box 57">
              <controlPr defaultSize="0" autoFill="0" autoLine="0" autoPict="0">
                <anchor moveWithCells="1">
                  <from>
                    <xdr:col>3</xdr:col>
                    <xdr:colOff>857250</xdr:colOff>
                    <xdr:row>45</xdr:row>
                    <xdr:rowOff>19050</xdr:rowOff>
                  </from>
                  <to>
                    <xdr:col>3</xdr:col>
                    <xdr:colOff>1042988</xdr:colOff>
                    <xdr:row>46</xdr:row>
                    <xdr:rowOff>0</xdr:rowOff>
                  </to>
                </anchor>
              </controlPr>
            </control>
          </mc:Choice>
        </mc:AlternateContent>
        <mc:AlternateContent xmlns:mc="http://schemas.openxmlformats.org/markup-compatibility/2006">
          <mc:Choice Requires="x14">
            <control shapeId="85050" r:id="rId47" name="Check Box 58">
              <controlPr defaultSize="0" autoFill="0" autoLine="0" autoPict="0">
                <anchor moveWithCells="1">
                  <from>
                    <xdr:col>3</xdr:col>
                    <xdr:colOff>857250</xdr:colOff>
                    <xdr:row>44</xdr:row>
                    <xdr:rowOff>23813</xdr:rowOff>
                  </from>
                  <to>
                    <xdr:col>3</xdr:col>
                    <xdr:colOff>1042988</xdr:colOff>
                    <xdr:row>45</xdr:row>
                    <xdr:rowOff>14288</xdr:rowOff>
                  </to>
                </anchor>
              </controlPr>
            </control>
          </mc:Choice>
        </mc:AlternateContent>
        <mc:AlternateContent xmlns:mc="http://schemas.openxmlformats.org/markup-compatibility/2006">
          <mc:Choice Requires="x14">
            <control shapeId="85051" r:id="rId48" name="Check Box 59">
              <controlPr defaultSize="0" autoFill="0" autoLine="0" autoPict="0">
                <anchor moveWithCells="1">
                  <from>
                    <xdr:col>3</xdr:col>
                    <xdr:colOff>857250</xdr:colOff>
                    <xdr:row>43</xdr:row>
                    <xdr:rowOff>19050</xdr:rowOff>
                  </from>
                  <to>
                    <xdr:col>3</xdr:col>
                    <xdr:colOff>1042988</xdr:colOff>
                    <xdr:row>44</xdr:row>
                    <xdr:rowOff>14288</xdr:rowOff>
                  </to>
                </anchor>
              </controlPr>
            </control>
          </mc:Choice>
        </mc:AlternateContent>
        <mc:AlternateContent xmlns:mc="http://schemas.openxmlformats.org/markup-compatibility/2006">
          <mc:Choice Requires="x14">
            <control shapeId="85052" r:id="rId49" name="Check Box 60">
              <controlPr defaultSize="0" autoFill="0" autoLine="0" autoPict="0">
                <anchor moveWithCells="1">
                  <from>
                    <xdr:col>3</xdr:col>
                    <xdr:colOff>857250</xdr:colOff>
                    <xdr:row>42</xdr:row>
                    <xdr:rowOff>14288</xdr:rowOff>
                  </from>
                  <to>
                    <xdr:col>3</xdr:col>
                    <xdr:colOff>1042988</xdr:colOff>
                    <xdr:row>43</xdr:row>
                    <xdr:rowOff>0</xdr:rowOff>
                  </to>
                </anchor>
              </controlPr>
            </control>
          </mc:Choice>
        </mc:AlternateContent>
        <mc:AlternateContent xmlns:mc="http://schemas.openxmlformats.org/markup-compatibility/2006">
          <mc:Choice Requires="x14">
            <control shapeId="85094" r:id="rId50" name="Check Box 102">
              <controlPr defaultSize="0" autoFill="0" autoLine="0" autoPict="0">
                <anchor moveWithCells="1">
                  <from>
                    <xdr:col>6</xdr:col>
                    <xdr:colOff>876300</xdr:colOff>
                    <xdr:row>25</xdr:row>
                    <xdr:rowOff>19050</xdr:rowOff>
                  </from>
                  <to>
                    <xdr:col>6</xdr:col>
                    <xdr:colOff>1052513</xdr:colOff>
                    <xdr:row>26</xdr:row>
                    <xdr:rowOff>14288</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6" id="{D1A27AD8-E5E0-475B-AA3B-FDE92A332617}">
            <xm:f>'Hulp (control forms)'!$C$6=TRUE</xm:f>
            <x14:dxf>
              <font>
                <color theme="6" tint="0.59996337778862885"/>
              </font>
              <fill>
                <patternFill>
                  <bgColor theme="6" tint="0.59996337778862885"/>
                </patternFill>
              </fill>
            </x14:dxf>
          </x14:cfRule>
          <xm:sqref>I11</xm:sqref>
        </x14:conditionalFormatting>
        <x14:conditionalFormatting xmlns:xm="http://schemas.microsoft.com/office/excel/2006/main">
          <x14:cfRule type="expression" priority="95" id="{11427844-68E9-45A3-B91D-51149212FE64}">
            <xm:f>'Hulp (control forms)'!$C$7=TRUE</xm:f>
            <x14:dxf>
              <font>
                <color theme="6" tint="0.59996337778862885"/>
              </font>
              <fill>
                <patternFill>
                  <bgColor theme="6" tint="0.59996337778862885"/>
                </patternFill>
              </fill>
            </x14:dxf>
          </x14:cfRule>
          <xm:sqref>I19</xm:sqref>
        </x14:conditionalFormatting>
        <x14:conditionalFormatting xmlns:xm="http://schemas.microsoft.com/office/excel/2006/main">
          <x14:cfRule type="expression" priority="94" id="{D2C9E603-994D-4B22-94A5-3C1DEBCD1DD0}">
            <xm:f>'Hulp (control forms)'!$C$8=TRUE</xm:f>
            <x14:dxf>
              <font>
                <color theme="6" tint="0.59996337778862885"/>
              </font>
              <fill>
                <patternFill>
                  <bgColor theme="6" tint="0.59996337778862885"/>
                </patternFill>
              </fill>
            </x14:dxf>
          </x14:cfRule>
          <xm:sqref>I20</xm:sqref>
        </x14:conditionalFormatting>
        <x14:conditionalFormatting xmlns:xm="http://schemas.microsoft.com/office/excel/2006/main">
          <x14:cfRule type="expression" priority="93" id="{E2E2768E-D908-459F-996C-2D2BB903792E}">
            <xm:f>'Hulp (control forms)'!$C$9=TRUE</xm:f>
            <x14:dxf>
              <font>
                <color theme="6" tint="0.59996337778862885"/>
              </font>
              <fill>
                <patternFill>
                  <bgColor theme="6" tint="0.59996337778862885"/>
                </patternFill>
              </fill>
            </x14:dxf>
          </x14:cfRule>
          <xm:sqref>I21</xm:sqref>
        </x14:conditionalFormatting>
        <x14:conditionalFormatting xmlns:xm="http://schemas.microsoft.com/office/excel/2006/main">
          <x14:cfRule type="expression" priority="92" id="{C75F65EB-4791-4135-9EED-A525D3A33001}">
            <xm:f>'Hulp (control forms)'!$C$10=TRUE</xm:f>
            <x14:dxf>
              <font>
                <color theme="6" tint="0.59996337778862885"/>
              </font>
              <fill>
                <patternFill>
                  <bgColor theme="6" tint="0.59996337778862885"/>
                </patternFill>
              </fill>
            </x14:dxf>
          </x14:cfRule>
          <xm:sqref>I23</xm:sqref>
        </x14:conditionalFormatting>
        <x14:conditionalFormatting xmlns:xm="http://schemas.microsoft.com/office/excel/2006/main">
          <x14:cfRule type="expression" priority="91" id="{894B51F1-91C1-47A6-87B9-9387B998F07E}">
            <xm:f>'Hulp (control forms)'!$C$11=TRUE</xm:f>
            <x14:dxf>
              <font>
                <color theme="6" tint="0.59996337778862885"/>
              </font>
              <fill>
                <patternFill>
                  <bgColor theme="6" tint="0.59996337778862885"/>
                </patternFill>
              </fill>
            </x14:dxf>
          </x14:cfRule>
          <xm:sqref>I24</xm:sqref>
        </x14:conditionalFormatting>
        <x14:conditionalFormatting xmlns:xm="http://schemas.microsoft.com/office/excel/2006/main">
          <x14:cfRule type="expression" priority="1" id="{D664577B-0045-49FA-8EBF-70AB0CC9CDFB}">
            <xm:f>'Hulp (control forms)'!$C$12=TRUE</xm:f>
            <x14:dxf>
              <font>
                <color theme="6" tint="0.59996337778862885"/>
              </font>
              <fill>
                <patternFill>
                  <bgColor theme="6" tint="0.59996337778862885"/>
                </patternFill>
              </fill>
            </x14:dxf>
          </x14:cfRule>
          <xm:sqref>I27:I29</xm:sqref>
        </x14:conditionalFormatting>
        <x14:conditionalFormatting xmlns:xm="http://schemas.microsoft.com/office/excel/2006/main">
          <x14:cfRule type="expression" priority="64" id="{7D402AD7-6BD5-4563-8123-C88D8E4748B9}">
            <xm:f>OR( 'Hulp (control forms)'!$C$6&lt;&gt;FALSE, I11&lt;&gt;"" )</xm:f>
            <x14:dxf>
              <font>
                <color theme="0"/>
              </font>
            </x14:dxf>
          </x14:cfRule>
          <xm:sqref>J11</xm:sqref>
        </x14:conditionalFormatting>
        <x14:conditionalFormatting xmlns:xm="http://schemas.microsoft.com/office/excel/2006/main">
          <x14:cfRule type="expression" priority="63" id="{2C9DF459-EACA-4F4C-BD1A-6CF255CB9B8A}">
            <xm:f>OR( 'Hulp (control forms)'!$C$7&lt;&gt;FALSE, I19&lt;&gt;"" )</xm:f>
            <x14:dxf>
              <font>
                <color theme="0"/>
              </font>
            </x14:dxf>
          </x14:cfRule>
          <xm:sqref>J19</xm:sqref>
        </x14:conditionalFormatting>
        <x14:conditionalFormatting xmlns:xm="http://schemas.microsoft.com/office/excel/2006/main">
          <x14:cfRule type="expression" priority="62" id="{532843D3-887D-4230-8C4D-F009D74A005C}">
            <xm:f>OR( 'Hulp (control forms)'!$C$8&lt;&gt;FALSE, I20&lt;&gt;"" )</xm:f>
            <x14:dxf>
              <font>
                <color theme="0"/>
              </font>
            </x14:dxf>
          </x14:cfRule>
          <xm:sqref>J20</xm:sqref>
        </x14:conditionalFormatting>
        <x14:conditionalFormatting xmlns:xm="http://schemas.microsoft.com/office/excel/2006/main">
          <x14:cfRule type="expression" priority="61" id="{E11FD8B9-F686-454A-B985-D9407B3493AB}">
            <xm:f>OR( 'Hulp (control forms)'!$C$9&lt;&gt;FALSE, I21&lt;&gt;"" )</xm:f>
            <x14:dxf>
              <font>
                <color theme="0"/>
              </font>
            </x14:dxf>
          </x14:cfRule>
          <xm:sqref>J21</xm:sqref>
        </x14:conditionalFormatting>
        <x14:conditionalFormatting xmlns:xm="http://schemas.microsoft.com/office/excel/2006/main">
          <x14:cfRule type="expression" priority="60" id="{BFB34EDC-85E3-4A74-BE01-E5DBFA1F3FF2}">
            <xm:f>OR( 'Hulp (control forms)'!$C$10&lt;&gt;FALSE, I23&lt;&gt;"" )</xm:f>
            <x14:dxf>
              <font>
                <color theme="0"/>
              </font>
            </x14:dxf>
          </x14:cfRule>
          <xm:sqref>J23</xm:sqref>
        </x14:conditionalFormatting>
        <x14:conditionalFormatting xmlns:xm="http://schemas.microsoft.com/office/excel/2006/main">
          <x14:cfRule type="expression" priority="59" id="{973CFEEE-01B2-4A9E-AA8B-0F18DD24B130}">
            <xm:f>OR( 'Hulp (control forms)'!$C$11&lt;&gt;FALSE, I24&lt;&gt;"" )</xm:f>
            <x14:dxf>
              <font>
                <color theme="0"/>
              </font>
            </x14:dxf>
          </x14:cfRule>
          <xm:sqref>J24</xm:sqref>
        </x14:conditionalFormatting>
        <x14:conditionalFormatting xmlns:xm="http://schemas.microsoft.com/office/excel/2006/main">
          <x14:cfRule type="expression" priority="11" id="{8CF9CEF7-3300-4F9B-961F-5DD85B5BDA90}">
            <xm:f>OR( 'Hulp (control forms)'!$C$12&lt;&gt;FALSE, I27&lt;&gt;"" )</xm:f>
            <x14:dxf>
              <font>
                <color theme="0"/>
              </font>
            </x14:dxf>
          </x14:cfRule>
          <xm:sqref>J27:J28</xm:sqref>
        </x14:conditionalFormatting>
        <x14:conditionalFormatting xmlns:xm="http://schemas.microsoft.com/office/excel/2006/main">
          <x14:cfRule type="expression" priority="44" id="{E5B78E4B-9731-4AE3-ADBE-3951BA3D09DE}">
            <xm:f>OR(COUNTIF($AC$7:$AC$46,"Ambulant")=0,'Hulp (control forms)'!$C$6&lt;&gt;TRUE)</xm:f>
            <x14:dxf>
              <font>
                <color theme="6" tint="0.59996337778862885"/>
              </font>
              <fill>
                <patternFill>
                  <bgColor theme="6" tint="0.59996337778862885"/>
                </patternFill>
              </fill>
            </x14:dxf>
          </x14:cfRule>
          <xm:sqref>L9</xm:sqref>
        </x14:conditionalFormatting>
        <x14:conditionalFormatting xmlns:xm="http://schemas.microsoft.com/office/excel/2006/main">
          <x14:cfRule type="expression" priority="41" id="{693EFE87-60D2-4FBA-9240-ABECF8624F5B}">
            <xm:f>OR(COUNTIF($AC$7:$AC$46,"Ambulant")=0,'Hulp (control forms)'!$C$7&lt;&gt;TRUE)</xm:f>
            <x14:dxf>
              <font>
                <color theme="6" tint="0.59996337778862885"/>
              </font>
              <fill>
                <patternFill>
                  <bgColor theme="6" tint="0.59996337778862885"/>
                </patternFill>
              </fill>
            </x14:dxf>
          </x14:cfRule>
          <xm:sqref>L11</xm:sqref>
        </x14:conditionalFormatting>
        <x14:conditionalFormatting xmlns:xm="http://schemas.microsoft.com/office/excel/2006/main">
          <x14:cfRule type="expression" priority="38" id="{7CAE0939-DA7F-4629-BD15-F8E90A1E0BF6}">
            <xm:f>OR(COUNTIF($AC$7:$AC$46,"Ambulant")=0,'Hulp (control forms)'!$C$8&lt;&gt;TRUE)</xm:f>
            <x14:dxf>
              <font>
                <color theme="6" tint="0.59996337778862885"/>
              </font>
              <fill>
                <patternFill>
                  <bgColor theme="6" tint="0.59996337778862885"/>
                </patternFill>
              </fill>
            </x14:dxf>
          </x14:cfRule>
          <xm:sqref>L12</xm:sqref>
        </x14:conditionalFormatting>
        <x14:conditionalFormatting xmlns:xm="http://schemas.microsoft.com/office/excel/2006/main">
          <x14:cfRule type="expression" priority="35" id="{106FFC7E-DB3E-488A-AA0F-A2143C585077}">
            <xm:f>OR(COUNTIF($AC$7:$AC$46,"Ambulant")=0,'Hulp (control forms)'!$C$9&lt;&gt;TRUE)</xm:f>
            <x14:dxf>
              <font>
                <color theme="6" tint="0.59996337778862885"/>
              </font>
              <fill>
                <patternFill>
                  <bgColor theme="6" tint="0.59996337778862885"/>
                </patternFill>
              </fill>
            </x14:dxf>
          </x14:cfRule>
          <xm:sqref>L13</xm:sqref>
        </x14:conditionalFormatting>
        <x14:conditionalFormatting xmlns:xm="http://schemas.microsoft.com/office/excel/2006/main">
          <x14:cfRule type="expression" priority="32" id="{F4618794-76CD-4BFE-B7B6-9412710B3F1F}">
            <xm:f>OR(COUNTIF($AC$7:$AC$46,"Ambulant")=0,'Hulp (control forms)'!$C$10&lt;&gt;TRUE)</xm:f>
            <x14:dxf>
              <font>
                <color theme="6" tint="0.59996337778862885"/>
              </font>
              <fill>
                <patternFill>
                  <bgColor theme="6" tint="0.59996337778862885"/>
                </patternFill>
              </fill>
            </x14:dxf>
          </x14:cfRule>
          <xm:sqref>L15</xm:sqref>
        </x14:conditionalFormatting>
        <x14:conditionalFormatting xmlns:xm="http://schemas.microsoft.com/office/excel/2006/main">
          <x14:cfRule type="expression" priority="29" id="{53658C14-CAC9-4666-B8B6-959CC17BEBBF}">
            <xm:f>OR(COUNTIF($AC$7:$AC$46,"Ambulant")=0,'Hulp (control forms)'!$C$11&lt;&gt;TRUE)</xm:f>
            <x14:dxf>
              <font>
                <color theme="6" tint="0.59996337778862885"/>
              </font>
              <fill>
                <patternFill>
                  <bgColor theme="6" tint="0.59996337778862885"/>
                </patternFill>
              </fill>
            </x14:dxf>
          </x14:cfRule>
          <xm:sqref>L16</xm:sqref>
        </x14:conditionalFormatting>
        <x14:conditionalFormatting xmlns:xm="http://schemas.microsoft.com/office/excel/2006/main">
          <x14:cfRule type="expression" priority="5" id="{6436D4BD-112E-450A-86B1-5E048264E2E3}">
            <xm:f>OR(COUNTIF($AC$7:$AC$46,"Ambulant")=0,'Hulp (control forms)'!$C$12&lt;&gt;TRUE)</xm:f>
            <x14:dxf>
              <font>
                <color theme="6" tint="0.59996337778862885"/>
              </font>
              <fill>
                <patternFill>
                  <bgColor theme="6" tint="0.59996337778862885"/>
                </patternFill>
              </fill>
            </x14:dxf>
          </x14:cfRule>
          <xm:sqref>L18:L20</xm:sqref>
        </x14:conditionalFormatting>
        <x14:conditionalFormatting xmlns:xm="http://schemas.microsoft.com/office/excel/2006/main">
          <x14:cfRule type="expression" priority="43" id="{061BD894-E614-484C-B900-0A43C8A1AD38}">
            <xm:f>OR(COUNTIF($AC$7:$AC$46,"Daghulp")=0,'Hulp (control forms)'!$C$6&lt;&gt;TRUE)</xm:f>
            <x14:dxf>
              <font>
                <color theme="6" tint="0.59996337778862885"/>
              </font>
              <fill>
                <patternFill>
                  <bgColor theme="6" tint="0.59996337778862885"/>
                </patternFill>
              </fill>
            </x14:dxf>
          </x14:cfRule>
          <xm:sqref>M9</xm:sqref>
        </x14:conditionalFormatting>
        <x14:conditionalFormatting xmlns:xm="http://schemas.microsoft.com/office/excel/2006/main">
          <x14:cfRule type="expression" priority="40" id="{0F27203B-D6EE-4336-9F9E-BAD62579CB17}">
            <xm:f>OR(COUNTIF($AC$7:$AC$46,"Daghulp")=0,'Hulp (control forms)'!$C$7&lt;&gt;TRUE)</xm:f>
            <x14:dxf>
              <font>
                <color theme="6" tint="0.59996337778862885"/>
              </font>
              <fill>
                <patternFill>
                  <bgColor theme="6" tint="0.59996337778862885"/>
                </patternFill>
              </fill>
            </x14:dxf>
          </x14:cfRule>
          <xm:sqref>M11</xm:sqref>
        </x14:conditionalFormatting>
        <x14:conditionalFormatting xmlns:xm="http://schemas.microsoft.com/office/excel/2006/main">
          <x14:cfRule type="expression" priority="37" id="{5A99EC89-A074-448E-9ADB-22B2DDD9924A}">
            <xm:f>OR(COUNTIF($AC$7:$AC$46,"Daghulp")=0,'Hulp (control forms)'!$C$8&lt;&gt;TRUE)</xm:f>
            <x14:dxf>
              <font>
                <color theme="6" tint="0.59996337778862885"/>
              </font>
              <fill>
                <patternFill>
                  <bgColor theme="6" tint="0.59996337778862885"/>
                </patternFill>
              </fill>
            </x14:dxf>
          </x14:cfRule>
          <xm:sqref>M12</xm:sqref>
        </x14:conditionalFormatting>
        <x14:conditionalFormatting xmlns:xm="http://schemas.microsoft.com/office/excel/2006/main">
          <x14:cfRule type="expression" priority="34" id="{BA1A90B2-2252-4986-AB02-A0B10EA40394}">
            <xm:f>OR(COUNTIF($AC$7:$AC$46,"Daghulp")=0,'Hulp (control forms)'!$C$9&lt;&gt;TRUE)</xm:f>
            <x14:dxf>
              <font>
                <color theme="6" tint="0.59996337778862885"/>
              </font>
              <fill>
                <patternFill>
                  <bgColor theme="6" tint="0.59996337778862885"/>
                </patternFill>
              </fill>
            </x14:dxf>
          </x14:cfRule>
          <xm:sqref>M13</xm:sqref>
        </x14:conditionalFormatting>
        <x14:conditionalFormatting xmlns:xm="http://schemas.microsoft.com/office/excel/2006/main">
          <x14:cfRule type="expression" priority="31" id="{0A30263E-146E-4F2A-89ED-5CC25F85D54A}">
            <xm:f>OR(COUNTIF($AC$7:$AC$46,"Daghulp")=0,'Hulp (control forms)'!$C$10&lt;&gt;TRUE)</xm:f>
            <x14:dxf>
              <font>
                <color theme="6" tint="0.59996337778862885"/>
              </font>
              <fill>
                <patternFill>
                  <bgColor theme="6" tint="0.59996337778862885"/>
                </patternFill>
              </fill>
            </x14:dxf>
          </x14:cfRule>
          <xm:sqref>M15</xm:sqref>
        </x14:conditionalFormatting>
        <x14:conditionalFormatting xmlns:xm="http://schemas.microsoft.com/office/excel/2006/main">
          <x14:cfRule type="expression" priority="28" id="{C22CD90E-67E6-4527-96F1-506DECE1084D}">
            <xm:f>OR(COUNTIF($AC$7:$AC$46,"Daghulp")=0,'Hulp (control forms)'!$C$11&lt;&gt;TRUE)</xm:f>
            <x14:dxf>
              <font>
                <color theme="6" tint="0.59996337778862885"/>
              </font>
              <fill>
                <patternFill>
                  <bgColor theme="6" tint="0.59996337778862885"/>
                </patternFill>
              </fill>
            </x14:dxf>
          </x14:cfRule>
          <xm:sqref>M16</xm:sqref>
        </x14:conditionalFormatting>
        <x14:conditionalFormatting xmlns:xm="http://schemas.microsoft.com/office/excel/2006/main">
          <x14:cfRule type="expression" priority="4" id="{0F0344A1-1B77-45E3-A4AF-8B024228839C}">
            <xm:f>OR(COUNTIF($AC$7:$AC$46,"Daghulp")=0,'Hulp (control forms)'!$C$12&lt;&gt;TRUE)</xm:f>
            <x14:dxf>
              <font>
                <color theme="6" tint="0.59996337778862885"/>
              </font>
              <fill>
                <patternFill>
                  <bgColor theme="6" tint="0.59996337778862885"/>
                </patternFill>
              </fill>
            </x14:dxf>
          </x14:cfRule>
          <xm:sqref>M18:M20</xm:sqref>
        </x14:conditionalFormatting>
        <x14:conditionalFormatting xmlns:xm="http://schemas.microsoft.com/office/excel/2006/main">
          <x14:cfRule type="expression" priority="42" id="{F18955DC-C05E-49DD-B076-D9FE2E81C57D}">
            <xm:f>OR(COUNTIF($AC$7:$AC$46,"Verblijf")=0,'Hulp (control forms)'!$C$6&lt;&gt;TRUE)</xm:f>
            <x14:dxf>
              <font>
                <color theme="6" tint="0.59996337778862885"/>
              </font>
              <fill>
                <patternFill>
                  <bgColor theme="6" tint="0.59996337778862885"/>
                </patternFill>
              </fill>
            </x14:dxf>
          </x14:cfRule>
          <xm:sqref>N9</xm:sqref>
        </x14:conditionalFormatting>
        <x14:conditionalFormatting xmlns:xm="http://schemas.microsoft.com/office/excel/2006/main">
          <x14:cfRule type="expression" priority="39" id="{778AF24F-419A-4F7B-A392-1483C78293E5}">
            <xm:f>OR(COUNTIF($AC$7:$AC$46,"Verblijf")=0,'Hulp (control forms)'!$C$7&lt;&gt;TRUE)</xm:f>
            <x14:dxf>
              <font>
                <color theme="6" tint="0.59996337778862885"/>
              </font>
              <fill>
                <patternFill>
                  <bgColor theme="6" tint="0.59996337778862885"/>
                </patternFill>
              </fill>
            </x14:dxf>
          </x14:cfRule>
          <xm:sqref>N11</xm:sqref>
        </x14:conditionalFormatting>
        <x14:conditionalFormatting xmlns:xm="http://schemas.microsoft.com/office/excel/2006/main">
          <x14:cfRule type="expression" priority="36" id="{E5142B41-9089-496F-A411-42C5FCB3A2FB}">
            <xm:f>OR(COUNTIF($AC$7:$AC$46,"Verblijf")=0,'Hulp (control forms)'!$C$8&lt;&gt;TRUE)</xm:f>
            <x14:dxf>
              <font>
                <color theme="6" tint="0.59996337778862885"/>
              </font>
              <fill>
                <patternFill>
                  <bgColor theme="6" tint="0.59996337778862885"/>
                </patternFill>
              </fill>
            </x14:dxf>
          </x14:cfRule>
          <xm:sqref>N12</xm:sqref>
        </x14:conditionalFormatting>
        <x14:conditionalFormatting xmlns:xm="http://schemas.microsoft.com/office/excel/2006/main">
          <x14:cfRule type="expression" priority="33" id="{E79BF568-068A-403B-80A1-15E0AC6827FE}">
            <xm:f>OR(COUNTIF($AC$7:$AC$46,"Verblijf")=0,'Hulp (control forms)'!$C$9&lt;&gt;TRUE)</xm:f>
            <x14:dxf>
              <font>
                <color theme="6" tint="0.59996337778862885"/>
              </font>
              <fill>
                <patternFill>
                  <bgColor theme="6" tint="0.59996337778862885"/>
                </patternFill>
              </fill>
            </x14:dxf>
          </x14:cfRule>
          <xm:sqref>N13</xm:sqref>
        </x14:conditionalFormatting>
        <x14:conditionalFormatting xmlns:xm="http://schemas.microsoft.com/office/excel/2006/main">
          <x14:cfRule type="expression" priority="30" id="{87502441-ABF0-4779-AAD1-904F3FCE7762}">
            <xm:f>OR(COUNTIF($AC$7:$AC$46,"Verblijf")=0,'Hulp (control forms)'!$C$10&lt;&gt;TRUE)</xm:f>
            <x14:dxf>
              <font>
                <color theme="6" tint="0.59996337778862885"/>
              </font>
              <fill>
                <patternFill>
                  <bgColor theme="6" tint="0.59996337778862885"/>
                </patternFill>
              </fill>
            </x14:dxf>
          </x14:cfRule>
          <xm:sqref>N15</xm:sqref>
        </x14:conditionalFormatting>
        <x14:conditionalFormatting xmlns:xm="http://schemas.microsoft.com/office/excel/2006/main">
          <x14:cfRule type="expression" priority="27" id="{011CBB25-16D6-45CD-86AC-85F4C363AEAA}">
            <xm:f>OR(COUNTIF($AC$7:$AC$46,"Verblijf")=0,'Hulp (control forms)'!$C$11&lt;&gt;TRUE)</xm:f>
            <x14:dxf>
              <font>
                <color theme="6" tint="0.59996337778862885"/>
              </font>
              <fill>
                <patternFill>
                  <bgColor theme="6" tint="0.59996337778862885"/>
                </patternFill>
              </fill>
            </x14:dxf>
          </x14:cfRule>
          <xm:sqref>N16</xm:sqref>
        </x14:conditionalFormatting>
        <x14:conditionalFormatting xmlns:xm="http://schemas.microsoft.com/office/excel/2006/main">
          <x14:cfRule type="expression" priority="3" id="{F97A411C-C332-42C3-9F7F-1966740A6C96}">
            <xm:f>OR(COUNTIF($AC$7:$AC$46,"Verblijf")=0,'Hulp (control forms)'!$C$12&lt;&gt;TRUE)</xm:f>
            <x14:dxf>
              <font>
                <color theme="6" tint="0.59996337778862885"/>
              </font>
              <fill>
                <patternFill>
                  <bgColor theme="6" tint="0.59996337778862885"/>
                </patternFill>
              </fill>
            </x14:dxf>
          </x14:cfRule>
          <xm:sqref>N18:N20</xm:sqref>
        </x14:conditionalFormatting>
        <x14:conditionalFormatting xmlns:xm="http://schemas.microsoft.com/office/excel/2006/main">
          <x14:cfRule type="expression" priority="1048" id="{E6DEC45E-71AD-4D8F-B029-B6057E63F547}">
            <xm:f>OR(   'Hulp (control forms)'!$C$6&lt;&gt;TRUE, NOT(     OR(         AND(COUNTIF($AC$7:$AC$46,"Ambulant")&gt;0, L9=""),         AND(COUNTIF($AC$7:$AC$46,"Daghulp")&gt;0, M9=""),         AND(COUNTIF($AC$7:$AC$46,"Verblijf")&gt;0, N9="")     ) ) )</xm:f>
            <x14:dxf>
              <font>
                <color theme="0"/>
              </font>
            </x14:dxf>
          </x14:cfRule>
          <xm:sqref>O9</xm:sqref>
        </x14:conditionalFormatting>
        <x14:conditionalFormatting xmlns:xm="http://schemas.microsoft.com/office/excel/2006/main">
          <x14:cfRule type="expression" priority="26" id="{F34C9973-BD2E-49C3-94FB-9CB3EBA97A63}">
            <xm:f>OR(   'Hulp (control forms)'!$C$7&lt;&gt;TRUE, NOT(     OR(         AND(COUNTIF($AC$7:$AC$46,"Ambulant")&gt;0, L11=""),         AND(COUNTIF($AC$7:$AC$46,"Daghulp")&gt;0, M11=""),         AND(COUNTIF($AC$7:$AC$46,"Verblijf")&gt;0, N11="")     ) ) )</xm:f>
            <x14:dxf>
              <font>
                <color theme="0"/>
              </font>
            </x14:dxf>
          </x14:cfRule>
          <xm:sqref>O11</xm:sqref>
        </x14:conditionalFormatting>
        <x14:conditionalFormatting xmlns:xm="http://schemas.microsoft.com/office/excel/2006/main">
          <x14:cfRule type="expression" priority="25" id="{999619B7-B2AB-4FE8-AD31-9891999612BB}">
            <xm:f>OR(   'Hulp (control forms)'!$C$8&lt;&gt;TRUE, NOT(     OR(         AND(COUNTIF($AC$7:$AC$46,"Ambulant")&gt;0, L12=""),         AND(COUNTIF($AC$7:$AC$46,"Daghulp")&gt;0, M12=""),         AND(COUNTIF($AC$7:$AC$46,"Verblijf")&gt;0, N12="")     ) ) )</xm:f>
            <x14:dxf>
              <font>
                <color theme="0"/>
              </font>
            </x14:dxf>
          </x14:cfRule>
          <xm:sqref>O12</xm:sqref>
        </x14:conditionalFormatting>
        <x14:conditionalFormatting xmlns:xm="http://schemas.microsoft.com/office/excel/2006/main">
          <x14:cfRule type="expression" priority="24" id="{8BF5611C-E8DB-429C-A4D3-5D8DD7454A65}">
            <xm:f>OR(   'Hulp (control forms)'!$C$9&lt;&gt;TRUE, NOT(     OR(         AND(COUNTIF($AC$7:$AC$46,"Ambulant")&gt;0, L13=""),         AND(COUNTIF($AC$7:$AC$46,"Daghulp")&gt;0, M13=""),         AND(COUNTIF($AC$7:$AC$46,"Verblijf")&gt;0, N13="")     ) ) )</xm:f>
            <x14:dxf>
              <font>
                <color theme="0"/>
              </font>
            </x14:dxf>
          </x14:cfRule>
          <xm:sqref>O13</xm:sqref>
        </x14:conditionalFormatting>
        <x14:conditionalFormatting xmlns:xm="http://schemas.microsoft.com/office/excel/2006/main">
          <x14:cfRule type="expression" priority="23" id="{F4C053B9-D101-4D54-8AA3-934FF78244D8}">
            <xm:f>OR(   'Hulp (control forms)'!$C$10&lt;&gt;TRUE, NOT(     OR(         AND(COUNTIF($AC$7:$AC$46,"Ambulant")&gt;0, L15=""),         AND(COUNTIF($AC$7:$AC$46,"Daghulp")&gt;0, M15=""),         AND(COUNTIF($AC$7:$AC$46,"Verblijf")&gt;0, N15="")     ) ) )</xm:f>
            <x14:dxf>
              <font>
                <color theme="0"/>
              </font>
            </x14:dxf>
          </x14:cfRule>
          <xm:sqref>O15</xm:sqref>
        </x14:conditionalFormatting>
        <x14:conditionalFormatting xmlns:xm="http://schemas.microsoft.com/office/excel/2006/main">
          <x14:cfRule type="expression" priority="22" id="{84172FE8-5736-477C-97F3-B127D682A1A6}">
            <xm:f>OR(   'Hulp (control forms)'!$C$11&lt;&gt;TRUE, NOT(     OR(         AND(COUNTIF($AC$7:$AC$46,"Ambulant")&gt;0, L16=""),         AND(COUNTIF($AC$7:$AC$46,"Daghulp")&gt;0, M16=""),         AND(COUNTIF($AC$7:$AC$46,"Verblijf")&gt;0, N16="")     ) ) )</xm:f>
            <x14:dxf>
              <font>
                <color theme="0"/>
              </font>
            </x14:dxf>
          </x14:cfRule>
          <xm:sqref>O16</xm:sqref>
        </x14:conditionalFormatting>
        <x14:conditionalFormatting xmlns:xm="http://schemas.microsoft.com/office/excel/2006/main">
          <x14:cfRule type="expression" priority="6" id="{69F5DDA7-3906-4A77-AE46-C90589C4F1B7}">
            <xm:f>OR(   'Hulp (control forms)'!$C$12&lt;&gt;TRUE, NOT(     OR(         AND(COUNTIF($AC$7:$AC$46,"Ambulant")&gt;0, L18=""),         AND(COUNTIF($AC$7:$AC$46,"Daghulp")&gt;0, M18=""),         AND(COUNTIF($AC$7:$AC$46,"Verblijf")&gt;0, N18="")     ) ) )</xm:f>
            <x14:dxf>
              <font>
                <color theme="0"/>
              </font>
            </x14:dxf>
          </x14:cfRule>
          <xm:sqref>O18:O19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IF(Initialisatie!$C$7="Ja", $AF$7, $AF$7:$AF11)</xm:f>
          </x14:formula1>
          <xm:sqref>C8</xm:sqref>
        </x14:dataValidation>
        <x14:dataValidation type="list" allowBlank="1" showInputMessage="1" showErrorMessage="1" xr:uid="{00000000-0002-0000-0300-000002000000}">
          <x14:formula1>
            <xm:f>'Hulp (overig)'!$C$10:$C$11</xm:f>
          </x14:formula1>
          <xm:sqref>I13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499984740745262"/>
    <pageSetUpPr autoPageBreaks="0"/>
  </sheetPr>
  <dimension ref="A1:CG48"/>
  <sheetViews>
    <sheetView zoomScaleNormal="100" workbookViewId="0"/>
  </sheetViews>
  <sheetFormatPr defaultRowHeight="14.25" x14ac:dyDescent="0.45"/>
  <cols>
    <col min="5" max="5" width="8.73046875" customWidth="1"/>
    <col min="45" max="45" width="8.73046875" customWidth="1"/>
    <col min="53" max="53" width="8.73046875" customWidth="1"/>
    <col min="68" max="70" width="8.73046875" customWidth="1"/>
    <col min="79" max="87" width="8.73046875" customWidth="1"/>
  </cols>
  <sheetData>
    <row r="1" spans="1:85" x14ac:dyDescent="0.45">
      <c r="A1" s="288" t="str">
        <f ca="1">IF(INDIRECT("'Hulp (data export)'!G" &amp; COLUMN(A1)+1)="","",INDIRECT("'Hulp (data export)'!G" &amp; COLUMN(A1)+1))</f>
        <v>Organisatienaam</v>
      </c>
      <c r="B1" s="288" t="str">
        <f t="shared" ref="B1:BM1" ca="1" si="0">IF(INDIRECT("'Hulp (data export)'!G" &amp; COLUMN(B1)+1)="","",INDIRECT("'Hulp (data export)'!G" &amp; COLUMN(B1)+1))</f>
        <v>Productnaam</v>
      </c>
      <c r="C1" s="288" t="str">
        <f t="shared" ca="1" si="0"/>
        <v>Referentiejaar</v>
      </c>
      <c r="D1" s="288" t="str">
        <f t="shared" ca="1" si="0"/>
        <v>CAO</v>
      </c>
      <c r="E1" s="288" t="str">
        <f t="shared" ca="1" si="0"/>
        <v>Type tarief</v>
      </c>
      <c r="F1" s="288" t="str">
        <f t="shared" ca="1" si="0"/>
        <v>Vaste inzet</v>
      </c>
      <c r="G1" s="288" t="str">
        <f t="shared" ca="1" si="0"/>
        <v>Flexibele inzet</v>
      </c>
      <c r="H1" s="288" t="str">
        <f t="shared" ca="1" si="0"/>
        <v>Risico</v>
      </c>
      <c r="I1" s="288" t="str">
        <f t="shared" ca="1" si="0"/>
        <v>Marge</v>
      </c>
      <c r="J1" s="288" t="str">
        <f t="shared" ca="1" si="0"/>
        <v>Innovatie</v>
      </c>
      <c r="K1" s="288" t="str">
        <f t="shared" ca="1" si="0"/>
        <v>Overhead personeel</v>
      </c>
      <c r="L1" s="288" t="str">
        <f t="shared" ca="1" si="0"/>
        <v>Materiële overhead</v>
      </c>
      <c r="M1" s="288" t="str">
        <f t="shared" ca="1" si="0"/>
        <v>Overige personeelskosten</v>
      </c>
      <c r="N1" s="288" t="str">
        <f t="shared" ca="1" si="0"/>
        <v>Aandeel PNIL (%)</v>
      </c>
      <c r="O1" s="288" t="str">
        <f t="shared" ca="1" si="0"/>
        <v>Meerkosten PNIL (%)</v>
      </c>
      <c r="P1" s="288" t="str">
        <f t="shared" ca="1" si="0"/>
        <v>Rekenfactor PNIL (%)</v>
      </c>
      <c r="Q1" s="288" t="str">
        <f t="shared" ca="1" si="0"/>
        <v>WAO-WIA premie</v>
      </c>
      <c r="R1" s="288" t="str">
        <f t="shared" ca="1" si="0"/>
        <v>WW premie</v>
      </c>
      <c r="S1" s="288" t="str">
        <f t="shared" ca="1" si="0"/>
        <v>ZVW premie</v>
      </c>
      <c r="T1" s="288" t="str">
        <f t="shared" ca="1" si="0"/>
        <v>WHK premie</v>
      </c>
      <c r="U1" s="288" t="str">
        <f t="shared" ca="1" si="0"/>
        <v>WGA premie</v>
      </c>
      <c r="V1" s="288" t="str">
        <f t="shared" ca="1" si="0"/>
        <v>Gemiddelde salaris</v>
      </c>
      <c r="W1" s="288" t="str">
        <f t="shared" ca="1" si="0"/>
        <v>Bruto uurloon</v>
      </c>
      <c r="X1" s="288" t="str">
        <f t="shared" ca="1" si="0"/>
        <v>Personeelsuren per jaar</v>
      </c>
      <c r="Y1" s="288" t="str">
        <f t="shared" ca="1" si="0"/>
        <v>Totaal bruto uurloon</v>
      </c>
      <c r="Z1" s="288" t="str">
        <f t="shared" ca="1" si="0"/>
        <v>Opslag vakantiegeld</v>
      </c>
      <c r="AA1" s="288" t="str">
        <f t="shared" ca="1" si="0"/>
        <v>Opslag eindejaarsuitkering</v>
      </c>
      <c r="AB1" s="288" t="str">
        <f t="shared" ca="1" si="0"/>
        <v>Onregelmatigheidstoeslag</v>
      </c>
      <c r="AC1" s="288" t="str">
        <f t="shared" ca="1" si="0"/>
        <v>Overige vergoedingen</v>
      </c>
      <c r="AD1" s="288" t="str">
        <f t="shared" ca="1" si="0"/>
        <v>Totale directe loonkosten</v>
      </c>
      <c r="AE1" s="288" t="str">
        <f t="shared" ca="1" si="0"/>
        <v>Totale pensioenslasten</v>
      </c>
      <c r="AF1" s="288" t="str">
        <f t="shared" ca="1" si="0"/>
        <v>Werkgeversdeel OP (obv cao)</v>
      </c>
      <c r="AG1" s="288" t="str">
        <f t="shared" ca="1" si="0"/>
        <v>OP premie (werkgevers- en werknemersdeel)</v>
      </c>
      <c r="AH1" s="288" t="str">
        <f t="shared" ca="1" si="0"/>
        <v>AOW franchise</v>
      </c>
      <c r="AI1" s="288" t="str">
        <f t="shared" ca="1" si="0"/>
        <v>OP premie per jaar (incl. correctie maximum)</v>
      </c>
      <c r="AJ1" s="288" t="str">
        <f t="shared" ca="1" si="0"/>
        <v>Werkgeversdeel AP (obv cao)</v>
      </c>
      <c r="AK1" s="288" t="str">
        <f t="shared" ca="1" si="0"/>
        <v xml:space="preserve">AP premie (werkgevers- en werknemersdeel) </v>
      </c>
      <c r="AL1" s="288" t="str">
        <f t="shared" ca="1" si="0"/>
        <v>AP franchise</v>
      </c>
      <c r="AM1" s="288" t="str">
        <f t="shared" ca="1" si="0"/>
        <v>AP premie per jaar</v>
      </c>
      <c r="AN1" s="288" t="str">
        <f t="shared" ca="1" si="0"/>
        <v>Totale sociale lasten</v>
      </c>
      <c r="AO1" s="288" t="str">
        <f t="shared" ca="1" si="0"/>
        <v>Directe kosten per uur v/d hulpverlener</v>
      </c>
      <c r="AP1" s="288" t="str">
        <f t="shared" ca="1" si="0"/>
        <v>Opslag PNIL</v>
      </c>
      <c r="AQ1" s="288" t="str">
        <f t="shared" ca="1" si="0"/>
        <v>Productiviteit (%)</v>
      </c>
      <c r="AR1" s="288" t="str">
        <f t="shared" ca="1" si="0"/>
        <v>Bruto uren</v>
      </c>
      <c r="AS1" s="288" t="str">
        <f t="shared" ca="1" si="0"/>
        <v>Verlof</v>
      </c>
      <c r="AT1" s="288" t="str">
        <f t="shared" ca="1" si="0"/>
        <v>Ziekteverzuim</v>
      </c>
      <c r="AU1" s="288" t="str">
        <f t="shared" ca="1" si="0"/>
        <v>Opleidingstijd</v>
      </c>
      <c r="AV1" s="288" t="str">
        <f t="shared" ca="1" si="0"/>
        <v>Zakelijke reistijd</v>
      </c>
      <c r="AW1" s="288" t="str">
        <f t="shared" ca="1" si="0"/>
        <v>Indirect cliëntgebonden tijd</v>
      </c>
      <c r="AX1" s="288" t="str">
        <f t="shared" ca="1" si="0"/>
        <v>Niet-cliëntgebonden tijd</v>
      </c>
      <c r="AY1" s="288" t="str">
        <f t="shared" ca="1" si="0"/>
        <v>No show</v>
      </c>
      <c r="AZ1" s="288" t="str">
        <f t="shared" ca="1" si="0"/>
        <v>Netto uren</v>
      </c>
      <c r="BA1" s="288" t="str">
        <f t="shared" ca="1" si="0"/>
        <v>Opslag voor werk-werk reiskosten (€/uur)</v>
      </c>
      <c r="BB1" s="288" t="str">
        <f t="shared" ca="1" si="0"/>
        <v>Kosten per uur v/d hulpverlener incl. opslagen</v>
      </c>
      <c r="BC1" s="288" t="str">
        <f t="shared" ca="1" si="0"/>
        <v>Totale opslagen</v>
      </c>
      <c r="BD1" s="288" t="str">
        <f t="shared" ca="1" si="0"/>
        <v>Opslag overhead</v>
      </c>
      <c r="BE1" s="288" t="str">
        <f t="shared" ca="1" si="0"/>
        <v>Opslag risico</v>
      </c>
      <c r="BF1" s="288" t="str">
        <f t="shared" ca="1" si="0"/>
        <v>Opslag marge</v>
      </c>
      <c r="BG1" s="288" t="str">
        <f t="shared" ca="1" si="0"/>
        <v>Opslag innovatie</v>
      </c>
      <c r="BH1" s="288" t="str">
        <f t="shared" ca="1" si="0"/>
        <v>Gecorrigeerde kosten per uur v/d hulpverlener</v>
      </c>
      <c r="BI1" s="288" t="str">
        <f t="shared" ca="1" si="0"/>
        <v>Bezettingsgraad</v>
      </c>
      <c r="BJ1" s="288" t="str">
        <f t="shared" ca="1" si="0"/>
        <v>Personeelsuren per tariefstype</v>
      </c>
      <c r="BK1" s="288" t="str">
        <f t="shared" ca="1" si="0"/>
        <v>Groepsgrootte</v>
      </c>
      <c r="BL1" s="288" t="str">
        <f t="shared" ca="1" si="0"/>
        <v>Effectieve groepsgrootte</v>
      </c>
      <c r="BM1" s="288" t="str">
        <f t="shared" ca="1" si="0"/>
        <v>Huisvestings- en cliëntgebonden kosten</v>
      </c>
      <c r="BN1" s="288" t="str">
        <f t="shared" ref="BN1:BZ1" ca="1" si="1">IF(INDIRECT("'Hulp (data export)'!G" &amp; COLUMN(BN1)+1)="","",INDIRECT("'Hulp (data export)'!G" &amp; COLUMN(BN1)+1))</f>
        <v>Intensiteit</v>
      </c>
      <c r="BO1" s="288" t="str">
        <f t="shared" ca="1" si="1"/>
        <v>Kostprijs per minuut, per cliënt</v>
      </c>
      <c r="BP1" s="288" t="str">
        <f t="shared" ca="1" si="1"/>
        <v>Kostprijs per dagdeel, per cliënt</v>
      </c>
      <c r="BQ1" s="288" t="str">
        <f t="shared" ca="1" si="1"/>
        <v>Kostprijs per etmaal, per cliënt</v>
      </c>
      <c r="BR1" s="288" t="str">
        <f t="shared" ca="1" si="1"/>
        <v>Kostprijs per uur, per cliënt</v>
      </c>
      <c r="BS1" s="288" t="str">
        <f t="shared" ca="1" si="1"/>
        <v>B1. Inkomen gezinshuisouders</v>
      </c>
      <c r="BT1" s="288" t="str">
        <f t="shared" ca="1" si="1"/>
        <v>B2. Gedragswetenschapper</v>
      </c>
      <c r="BU1" s="288" t="str">
        <f t="shared" ca="1" si="1"/>
        <v>B3. Ondersteuning</v>
      </c>
      <c r="BV1" s="288" t="str">
        <f t="shared" ca="1" si="1"/>
        <v>B4. Vervanging/logeren</v>
      </c>
      <c r="BW1" s="288" t="str">
        <f t="shared" ca="1" si="1"/>
        <v>B5. Verzorging</v>
      </c>
      <c r="BX1" s="288" t="str">
        <f t="shared" ca="1" si="1"/>
        <v>B8. Gelieerde zorgaanbieder</v>
      </c>
      <c r="BY1" t="str">
        <f t="shared" ca="1" si="1"/>
        <v>B9. Leegstand</v>
      </c>
      <c r="BZ1" t="str">
        <f t="shared" ca="1" si="1"/>
        <v>B11. Zorgzwaarte</v>
      </c>
    </row>
    <row r="2" spans="1:85" x14ac:dyDescent="0.45">
      <c r="A2" s="288" t="str">
        <f ca="1">IF(INDIRECT("'Hulp (data export)'!H" &amp; COLUMN(A1)+1)="","",INDIRECT("'Hulp (data export)'!H" &amp; COLUMN(A1)+1))</f>
        <v>org</v>
      </c>
      <c r="B2" s="288" t="str">
        <f t="shared" ref="B2:BM2" ca="1" si="2">IF(INDIRECT("'Hulp (data export)'!H" &amp; COLUMN(B1)+1)="","",INDIRECT("'Hulp (data export)'!H" &amp; COLUMN(B1)+1))</f>
        <v>prod</v>
      </c>
      <c r="C2" s="288" t="str">
        <f t="shared" ca="1" si="2"/>
        <v>jaar</v>
      </c>
      <c r="D2" s="288" t="str">
        <f t="shared" ca="1" si="2"/>
        <v>cao</v>
      </c>
      <c r="E2" s="288" t="str">
        <f t="shared" ca="1" si="2"/>
        <v>tarief_type</v>
      </c>
      <c r="F2" s="288" t="str">
        <f t="shared" ca="1" si="2"/>
        <v>inzet_vast</v>
      </c>
      <c r="G2" s="288" t="str">
        <f t="shared" ca="1" si="2"/>
        <v>inzet_flex</v>
      </c>
      <c r="H2" s="288" t="str">
        <f t="shared" ca="1" si="2"/>
        <v>pct_risico</v>
      </c>
      <c r="I2" s="288" t="str">
        <f t="shared" ca="1" si="2"/>
        <v>pct_marge</v>
      </c>
      <c r="J2" s="288" t="str">
        <f t="shared" ca="1" si="2"/>
        <v>pct_innovatie</v>
      </c>
      <c r="K2" s="288" t="str">
        <f t="shared" ca="1" si="2"/>
        <v>pers_overhead</v>
      </c>
      <c r="L2" s="288" t="str">
        <f t="shared" ca="1" si="2"/>
        <v>mat_overhead</v>
      </c>
      <c r="M2" s="288" t="str">
        <f t="shared" ca="1" si="2"/>
        <v>Overig_pers</v>
      </c>
      <c r="N2" s="288" t="str">
        <f t="shared" ca="1" si="2"/>
        <v>pct_pnil_ad</v>
      </c>
      <c r="O2" s="288" t="str">
        <f t="shared" ca="1" si="2"/>
        <v>pct_pnil_mk</v>
      </c>
      <c r="P2" s="288" t="str">
        <f t="shared" ca="1" si="2"/>
        <v>pct_pnil_rf</v>
      </c>
      <c r="Q2" s="288" t="str">
        <f t="shared" ca="1" si="2"/>
        <v>wao_wia</v>
      </c>
      <c r="R2" s="288" t="str">
        <f t="shared" ca="1" si="2"/>
        <v>ww</v>
      </c>
      <c r="S2" s="288" t="str">
        <f t="shared" ca="1" si="2"/>
        <v>zvw</v>
      </c>
      <c r="T2" s="288" t="str">
        <f t="shared" ca="1" si="2"/>
        <v>whk</v>
      </c>
      <c r="U2" s="288" t="str">
        <f t="shared" ca="1" si="2"/>
        <v>wga</v>
      </c>
      <c r="V2" s="288" t="str">
        <f t="shared" ca="1" si="2"/>
        <v>gem_sal</v>
      </c>
      <c r="W2" s="288" t="str">
        <f t="shared" ca="1" si="2"/>
        <v>bruto_loon</v>
      </c>
      <c r="X2" s="288" t="str">
        <f t="shared" ca="1" si="2"/>
        <v>uren_per_jaar</v>
      </c>
      <c r="Y2" s="288" t="str">
        <f t="shared" ca="1" si="2"/>
        <v>tot_bruto_loon</v>
      </c>
      <c r="Z2" s="288" t="str">
        <f t="shared" ca="1" si="2"/>
        <v>vakantie</v>
      </c>
      <c r="AA2" s="288" t="str">
        <f t="shared" ca="1" si="2"/>
        <v>eindjaar</v>
      </c>
      <c r="AB2" s="288" t="str">
        <f t="shared" ca="1" si="2"/>
        <v>ort</v>
      </c>
      <c r="AC2" s="288" t="str">
        <f t="shared" ca="1" si="2"/>
        <v>overig_vergoed</v>
      </c>
      <c r="AD2" s="288" t="str">
        <f t="shared" ca="1" si="2"/>
        <v>tot_dir_loonkost</v>
      </c>
      <c r="AE2" s="288" t="str">
        <f t="shared" ca="1" si="2"/>
        <v>pensioen</v>
      </c>
      <c r="AF2" s="288" t="str">
        <f t="shared" ca="1" si="2"/>
        <v>op_premie</v>
      </c>
      <c r="AG2" s="288" t="str">
        <f t="shared" ca="1" si="2"/>
        <v>aow</v>
      </c>
      <c r="AH2" s="288" t="str">
        <f t="shared" ca="1" si="2"/>
        <v>op_jaar</v>
      </c>
      <c r="AI2" s="288" t="str">
        <f t="shared" ca="1" si="2"/>
        <v>tot_op</v>
      </c>
      <c r="AJ2" s="288" t="str">
        <f t="shared" ca="1" si="2"/>
        <v>ap_premie</v>
      </c>
      <c r="AK2" s="288" t="str">
        <f t="shared" ca="1" si="2"/>
        <v>ap_franchise</v>
      </c>
      <c r="AL2" s="288" t="str">
        <f t="shared" ca="1" si="2"/>
        <v>ap_jaar</v>
      </c>
      <c r="AM2" s="288" t="str">
        <f t="shared" ca="1" si="2"/>
        <v>tot_ap</v>
      </c>
      <c r="AN2" s="288" t="str">
        <f t="shared" ca="1" si="2"/>
        <v>tot_soc_lasten</v>
      </c>
      <c r="AO2" s="288" t="str">
        <f t="shared" ca="1" si="2"/>
        <v>dir_kost_hv</v>
      </c>
      <c r="AP2" s="288" t="str">
        <f t="shared" ca="1" si="2"/>
        <v>opsl_pnil</v>
      </c>
      <c r="AQ2" s="288" t="str">
        <f t="shared" ca="1" si="2"/>
        <v>productiviteit</v>
      </c>
      <c r="AR2" s="288" t="str">
        <f t="shared" ca="1" si="2"/>
        <v>bruto_uren</v>
      </c>
      <c r="AS2" s="288" t="str">
        <f t="shared" ca="1" si="2"/>
        <v>verlof</v>
      </c>
      <c r="AT2" s="288" t="str">
        <f t="shared" ca="1" si="2"/>
        <v>ziekteverzuim</v>
      </c>
      <c r="AU2" s="288" t="str">
        <f t="shared" ca="1" si="2"/>
        <v>opleidingstijd</v>
      </c>
      <c r="AV2" s="288" t="str">
        <f t="shared" ca="1" si="2"/>
        <v>zakelijke_reistijd</v>
      </c>
      <c r="AW2" s="288" t="str">
        <f t="shared" ca="1" si="2"/>
        <v>indirect_clientgebonden</v>
      </c>
      <c r="AX2" s="288" t="str">
        <f t="shared" ca="1" si="2"/>
        <v>niet_clientgebonden</v>
      </c>
      <c r="AY2" s="288" t="str">
        <f t="shared" ca="1" si="2"/>
        <v>no_show</v>
      </c>
      <c r="AZ2" s="288" t="str">
        <f t="shared" ca="1" si="2"/>
        <v>netto_uren</v>
      </c>
      <c r="BA2" s="288" t="str">
        <f t="shared" ca="1" si="2"/>
        <v>wewe_reis</v>
      </c>
      <c r="BB2" s="288" t="str">
        <f t="shared" ca="1" si="2"/>
        <v>kost_incl_opsl</v>
      </c>
      <c r="BC2" s="288" t="str">
        <f t="shared" ca="1" si="2"/>
        <v>tot_opslagen</v>
      </c>
      <c r="BD2" s="288" t="str">
        <f t="shared" ca="1" si="2"/>
        <v>tot_overhead</v>
      </c>
      <c r="BE2" s="288" t="str">
        <f t="shared" ca="1" si="2"/>
        <v>opsl_risico</v>
      </c>
      <c r="BF2" s="288" t="str">
        <f t="shared" ca="1" si="2"/>
        <v>opsl_marge</v>
      </c>
      <c r="BG2" s="288" t="str">
        <f t="shared" ca="1" si="2"/>
        <v>opsl_innovatie</v>
      </c>
      <c r="BH2" s="288" t="str">
        <f t="shared" ca="1" si="2"/>
        <v>gecor_kost</v>
      </c>
      <c r="BI2" s="288" t="str">
        <f t="shared" ca="1" si="2"/>
        <v>bezetting</v>
      </c>
      <c r="BJ2" s="288" t="str">
        <f t="shared" ca="1" si="2"/>
        <v>pers_uren</v>
      </c>
      <c r="BK2" s="288" t="str">
        <f t="shared" ca="1" si="2"/>
        <v>groepsgrootte</v>
      </c>
      <c r="BL2" s="288" t="str">
        <f t="shared" ca="1" si="2"/>
        <v>effec_groepsgrootte</v>
      </c>
      <c r="BM2" s="288" t="str">
        <f t="shared" ca="1" si="2"/>
        <v>huisvest</v>
      </c>
      <c r="BN2" s="288" t="str">
        <f t="shared" ref="BN2:BZ2" ca="1" si="3">IF(INDIRECT("'Hulp (data export)'!H" &amp; COLUMN(BN1)+1)="","",INDIRECT("'Hulp (data export)'!H" &amp; COLUMN(BN1)+1))</f>
        <v>intensiteit</v>
      </c>
      <c r="BO2" s="288" t="str">
        <f t="shared" ca="1" si="3"/>
        <v>kostprijs_p_m</v>
      </c>
      <c r="BP2" s="288" t="str">
        <f t="shared" ca="1" si="3"/>
        <v>kostprijs_p_d</v>
      </c>
      <c r="BQ2" s="288" t="str">
        <f t="shared" ca="1" si="3"/>
        <v>kostprijs_p_e</v>
      </c>
      <c r="BR2" s="288" t="str">
        <f t="shared" ca="1" si="3"/>
        <v>kostprijs_p_u</v>
      </c>
      <c r="BS2" s="288" t="str">
        <f t="shared" ca="1" si="3"/>
        <v>ink_ouder</v>
      </c>
      <c r="BT2" s="288" t="str">
        <f t="shared" ca="1" si="3"/>
        <v>ink_gedragwet</v>
      </c>
      <c r="BU2" s="288" t="str">
        <f t="shared" ca="1" si="3"/>
        <v>ondersteuning</v>
      </c>
      <c r="BV2" s="288" t="str">
        <f t="shared" ca="1" si="3"/>
        <v>vervanging</v>
      </c>
      <c r="BW2" s="288" t="str">
        <f t="shared" ca="1" si="3"/>
        <v>verzorging</v>
      </c>
      <c r="BX2" s="288" t="str">
        <f t="shared" ca="1" si="3"/>
        <v>extern_zorgaanbieder</v>
      </c>
      <c r="BY2" t="str">
        <f t="shared" ca="1" si="3"/>
        <v>leegstand</v>
      </c>
      <c r="BZ2" t="str">
        <f t="shared" ca="1" si="3"/>
        <v>zwaarte</v>
      </c>
    </row>
    <row r="3" spans="1:85" x14ac:dyDescent="0.45">
      <c r="A3" s="288" t="str">
        <f ca="1">IF(INDIRECT("'Hulp (data export)'!L" &amp; COLUMN(A1)+1)="","",INDIRECT("'Hulp (data export)'!L" &amp; COLUMN(A1)+1))</f>
        <v>tekst</v>
      </c>
      <c r="B3" s="288" t="str">
        <f t="shared" ref="B3:BM3" ca="1" si="4">IF(INDIRECT("'Hulp (data export)'!L" &amp; COLUMN(B1)+1)="","",INDIRECT("'Hulp (data export)'!L" &amp; COLUMN(B1)+1))</f>
        <v>tekst</v>
      </c>
      <c r="C3" s="288" t="str">
        <f t="shared" ca="1" si="4"/>
        <v>jaar</v>
      </c>
      <c r="D3" s="288" t="str">
        <f t="shared" ca="1" si="4"/>
        <v>tekst</v>
      </c>
      <c r="E3" s="288" t="str">
        <f t="shared" ca="1" si="4"/>
        <v>tekst</v>
      </c>
      <c r="F3" s="288" t="str">
        <f t="shared" ca="1" si="4"/>
        <v>fte</v>
      </c>
      <c r="G3" s="288" t="str">
        <f t="shared" ca="1" si="4"/>
        <v>fte</v>
      </c>
      <c r="H3" s="288" t="str">
        <f t="shared" ca="1" si="4"/>
        <v>percentage</v>
      </c>
      <c r="I3" s="288" t="str">
        <f t="shared" ca="1" si="4"/>
        <v>percentage</v>
      </c>
      <c r="J3" s="288" t="str">
        <f t="shared" ca="1" si="4"/>
        <v>percentage</v>
      </c>
      <c r="K3" s="288" t="str">
        <f t="shared" ca="1" si="4"/>
        <v>percentage</v>
      </c>
      <c r="L3" s="288" t="str">
        <f t="shared" ca="1" si="4"/>
        <v>percentage</v>
      </c>
      <c r="M3" s="288" t="str">
        <f t="shared" ca="1" si="4"/>
        <v>percentage</v>
      </c>
      <c r="N3" s="288" t="str">
        <f t="shared" ca="1" si="4"/>
        <v>percentage</v>
      </c>
      <c r="O3" s="288" t="str">
        <f t="shared" ca="1" si="4"/>
        <v>percentage</v>
      </c>
      <c r="P3" s="288" t="str">
        <f t="shared" ca="1" si="4"/>
        <v>percentage</v>
      </c>
      <c r="Q3" s="288" t="str">
        <f t="shared" ca="1" si="4"/>
        <v>percentage</v>
      </c>
      <c r="R3" s="288" t="str">
        <f t="shared" ca="1" si="4"/>
        <v>percentage</v>
      </c>
      <c r="S3" s="288" t="str">
        <f t="shared" ca="1" si="4"/>
        <v>percentage</v>
      </c>
      <c r="T3" s="288" t="str">
        <f t="shared" ca="1" si="4"/>
        <v>percentage</v>
      </c>
      <c r="U3" s="288" t="str">
        <f t="shared" ca="1" si="4"/>
        <v>percentage</v>
      </c>
      <c r="V3" s="288" t="str">
        <f t="shared" ca="1" si="4"/>
        <v>euro</v>
      </c>
      <c r="W3" s="288" t="str">
        <f t="shared" ca="1" si="4"/>
        <v>euro</v>
      </c>
      <c r="X3" s="288" t="str">
        <f t="shared" ca="1" si="4"/>
        <v>aantal</v>
      </c>
      <c r="Y3" s="288" t="str">
        <f t="shared" ca="1" si="4"/>
        <v>euro</v>
      </c>
      <c r="Z3" s="288" t="str">
        <f t="shared" ca="1" si="4"/>
        <v>percentage</v>
      </c>
      <c r="AA3" s="288" t="str">
        <f t="shared" ca="1" si="4"/>
        <v>percentage</v>
      </c>
      <c r="AB3" s="288" t="str">
        <f t="shared" ca="1" si="4"/>
        <v>percentage</v>
      </c>
      <c r="AC3" s="288" t="s">
        <v>1063</v>
      </c>
      <c r="AD3" s="288" t="str">
        <f t="shared" ca="1" si="4"/>
        <v>euro</v>
      </c>
      <c r="AE3" s="288" t="str">
        <f t="shared" ca="1" si="4"/>
        <v>percentage</v>
      </c>
      <c r="AF3" s="288" t="str">
        <f t="shared" ca="1" si="4"/>
        <v>percentage</v>
      </c>
      <c r="AG3" s="288" t="str">
        <f t="shared" ca="1" si="4"/>
        <v>percentage</v>
      </c>
      <c r="AH3" s="288" t="str">
        <f t="shared" ca="1" si="4"/>
        <v>euro</v>
      </c>
      <c r="AI3" s="288" t="str">
        <f t="shared" ca="1" si="4"/>
        <v>euro</v>
      </c>
      <c r="AJ3" s="288" t="str">
        <f t="shared" ca="1" si="4"/>
        <v>percentage</v>
      </c>
      <c r="AK3" s="288" t="str">
        <f t="shared" ca="1" si="4"/>
        <v>percentage</v>
      </c>
      <c r="AL3" s="288" t="str">
        <f t="shared" ca="1" si="4"/>
        <v>euro</v>
      </c>
      <c r="AM3" s="288" t="str">
        <f t="shared" ca="1" si="4"/>
        <v>euro</v>
      </c>
      <c r="AN3" s="288" t="str">
        <f t="shared" ca="1" si="4"/>
        <v>percentage</v>
      </c>
      <c r="AO3" s="288" t="str">
        <f t="shared" ca="1" si="4"/>
        <v>euro</v>
      </c>
      <c r="AP3" s="288" t="str">
        <f t="shared" ca="1" si="4"/>
        <v>euro</v>
      </c>
      <c r="AQ3" s="288" t="str">
        <f t="shared" ca="1" si="4"/>
        <v>percentage</v>
      </c>
      <c r="AR3" s="288" t="str">
        <f t="shared" ca="1" si="4"/>
        <v>uren</v>
      </c>
      <c r="AS3" s="288" t="str">
        <f t="shared" ca="1" si="4"/>
        <v>uren</v>
      </c>
      <c r="AT3" s="288" t="str">
        <f t="shared" ca="1" si="4"/>
        <v>uren</v>
      </c>
      <c r="AU3" s="288" t="str">
        <f t="shared" ca="1" si="4"/>
        <v>uren</v>
      </c>
      <c r="AV3" s="288" t="str">
        <f t="shared" ca="1" si="4"/>
        <v>uren</v>
      </c>
      <c r="AW3" s="288" t="str">
        <f t="shared" ca="1" si="4"/>
        <v>uren</v>
      </c>
      <c r="AX3" s="288" t="str">
        <f t="shared" ca="1" si="4"/>
        <v>uren</v>
      </c>
      <c r="AY3" s="288" t="str">
        <f t="shared" ca="1" si="4"/>
        <v>uren</v>
      </c>
      <c r="AZ3" s="288" t="str">
        <f t="shared" ca="1" si="4"/>
        <v>uren</v>
      </c>
      <c r="BA3" s="288" t="str">
        <f t="shared" ca="1" si="4"/>
        <v>euro</v>
      </c>
      <c r="BB3" s="288" t="str">
        <f t="shared" ca="1" si="4"/>
        <v>euro</v>
      </c>
      <c r="BC3" s="288" t="str">
        <f t="shared" ca="1" si="4"/>
        <v>euro</v>
      </c>
      <c r="BD3" s="288" t="str">
        <f t="shared" ca="1" si="4"/>
        <v>euro</v>
      </c>
      <c r="BE3" s="288" t="str">
        <f t="shared" ca="1" si="4"/>
        <v>euro</v>
      </c>
      <c r="BF3" s="288" t="str">
        <f t="shared" ca="1" si="4"/>
        <v>euro</v>
      </c>
      <c r="BG3" s="288" t="str">
        <f t="shared" ca="1" si="4"/>
        <v>euro</v>
      </c>
      <c r="BH3" s="288" t="str">
        <f t="shared" ca="1" si="4"/>
        <v>euro</v>
      </c>
      <c r="BI3" s="288" t="str">
        <f t="shared" ca="1" si="4"/>
        <v>percentage</v>
      </c>
      <c r="BJ3" s="288" t="str">
        <f t="shared" ca="1" si="4"/>
        <v>uren</v>
      </c>
      <c r="BK3" s="288" t="str">
        <f t="shared" ca="1" si="4"/>
        <v>aantal</v>
      </c>
      <c r="BL3" s="288" t="str">
        <f t="shared" ca="1" si="4"/>
        <v>aantal</v>
      </c>
      <c r="BM3" s="288" t="str">
        <f t="shared" ca="1" si="4"/>
        <v>euro</v>
      </c>
      <c r="BN3" s="288" t="str">
        <f t="shared" ref="BN3:BZ3" ca="1" si="5">IF(INDIRECT("'Hulp (data export)'!L" &amp; COLUMN(BN1)+1)="","",INDIRECT("'Hulp (data export)'!L" &amp; COLUMN(BN1)+1))</f>
        <v>fte per jeugdige</v>
      </c>
      <c r="BO3" s="288" t="str">
        <f t="shared" ca="1" si="5"/>
        <v>euro</v>
      </c>
      <c r="BP3" s="288" t="str">
        <f t="shared" ca="1" si="5"/>
        <v>euro</v>
      </c>
      <c r="BQ3" s="288" t="str">
        <f t="shared" ca="1" si="5"/>
        <v>euro</v>
      </c>
      <c r="BR3" s="288" t="str">
        <f t="shared" ca="1" si="5"/>
        <v>euro</v>
      </c>
      <c r="BS3" s="288" t="str">
        <f t="shared" ca="1" si="5"/>
        <v>euro</v>
      </c>
      <c r="BT3" s="288" t="str">
        <f t="shared" ca="1" si="5"/>
        <v>euro</v>
      </c>
      <c r="BU3" s="288" t="str">
        <f t="shared" ca="1" si="5"/>
        <v>euro</v>
      </c>
      <c r="BV3" s="288" t="str">
        <f t="shared" ca="1" si="5"/>
        <v>euro</v>
      </c>
      <c r="BW3" s="288" t="str">
        <f t="shared" ca="1" si="5"/>
        <v>euro</v>
      </c>
      <c r="BX3" s="288" t="str">
        <f t="shared" ca="1" si="5"/>
        <v>euro</v>
      </c>
      <c r="BY3" t="str">
        <f t="shared" ca="1" si="5"/>
        <v>euro</v>
      </c>
      <c r="BZ3" t="str">
        <f t="shared" ca="1" si="5"/>
        <v>euro</v>
      </c>
    </row>
    <row r="4" spans="1:85" x14ac:dyDescent="0.45">
      <c r="A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C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D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E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F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G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H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I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J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K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L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M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N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O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P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Q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R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S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T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U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V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W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X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Y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Z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A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B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C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D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E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F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G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H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I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J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K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L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M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N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O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P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Q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R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S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T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U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V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W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X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Y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AZ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A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B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C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D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E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F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G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H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I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J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K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L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M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N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O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P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Q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R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S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T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U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V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W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X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Y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BZ4" s="288" t="str">
        <f ca="1">IF(
    INDEX('Hulp (data export)'!$T:$T, COLUMN()+1)&lt;&gt;"",
    INDIRECT("'Hulp (overig)'!" &amp; INDEX('Hulp (data export)'!$T:$T, COLUMN()+1) &amp; ROW()+1),
    IF('Hulp (overig)'!$K5="Algemeen",
        IF(INDEX('Hulp (data export)'!$N:$N, COLUMN()+1)&lt;&gt;"",
            OFFSET(
                INDIRECT("'" &amp;
                    INDEX('Hulp (data export)'!$M:$M, COLUMN()+1) &amp;
                    "'!" &amp; INDEX('Hulp (data export)'!$N:$N, COLUMN()+1)
                ),
                ('Hulp (overig)'!$L5 - 1) * 0,
                ('Hulp (overig)'!$L5 - 1) * INDEX('Hulp (data export)'!$Q:$Q, COLUMN()+1)
            ),
            ""
        ),
        IF('Hulp (overig)'!$K5="Gezinshuis",
            IF(INDEX('Hulp (data export)'!$O:$O, COLUMN()+1)&lt;&gt;"",
                OFFSET(
                    INDIRECT("'3. Gezinshuis producten'!" &amp;
                        INDEX('Hulp (data export)'!$O:$O, COLUMN()+1)
                    ),
                    ('Hulp (overig)'!$L5 - 1) * 0,
                    ('Hulp (overig)'!$L5 - 1) * INDEX('Hulp (data export)'!$R:$R, COLUMN()+1)
                ),
                ""
            ),
            IF('Hulp (overig)'!$K5="Pleegzorg",
                IF(INDEX('Hulp (data export)'!$P:$P, COLUMN()+1)&lt;&gt;"",
                    OFFSET(
                        INDIRECT("'4. Pleegzorg producten'!" &amp;
                            INDEX('Hulp (data export)'!$P:$P, COLUMN()+1)
                        ),
                        ('Hulp (overig)'!$L5 - 1) * 0,
                        ('Hulp (overig)'!$L5 - 1) * INDEX('Hulp (data export)'!$S:$S, COLUMN()+1)
                    ),
                    ""
                ),
                ""
            )
        )
    )
)</f>
        <v/>
      </c>
      <c r="CA4" s="288"/>
      <c r="CB4" s="288"/>
      <c r="CC4" s="288"/>
      <c r="CD4" s="288"/>
      <c r="CE4" s="288"/>
      <c r="CF4" s="288"/>
      <c r="CG4" s="288"/>
    </row>
    <row r="5" spans="1:85" x14ac:dyDescent="0.45">
      <c r="A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C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D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E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F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G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H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I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J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K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L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M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N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O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P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Q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R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S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T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U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V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W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X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Y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Z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A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B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C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D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E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F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G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H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I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J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K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L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M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N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O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P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Q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R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S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T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U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V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W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X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Y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AZ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A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B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C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D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E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F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G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H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I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J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K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L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M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N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O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P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Q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R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S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T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U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V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W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X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Y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BZ5" s="288" t="str">
        <f ca="1">IF(
    INDEX('Hulp (data export)'!$T:$T, COLUMN()+1)&lt;&gt;"",
    INDIRECT("'Hulp (overig)'!" &amp; INDEX('Hulp (data export)'!$T:$T, COLUMN()+1) &amp; ROW()+1),
    IF('Hulp (overig)'!$K6="Algemeen",
        IF(INDEX('Hulp (data export)'!$N:$N, COLUMN()+1)&lt;&gt;"",
            OFFSET(
                INDIRECT("'" &amp;
                    INDEX('Hulp (data export)'!$M:$M, COLUMN()+1) &amp;
                    "'!" &amp; INDEX('Hulp (data export)'!$N:$N, COLUMN()+1)
                ),
                ('Hulp (overig)'!$L6 - 1) * 0,
                ('Hulp (overig)'!$L6 - 1) * INDEX('Hulp (data export)'!$Q:$Q, COLUMN()+1)
            ),
            ""
        ),
        IF('Hulp (overig)'!$K6="Gezinshuis",
            IF(INDEX('Hulp (data export)'!$O:$O, COLUMN()+1)&lt;&gt;"",
                OFFSET(
                    INDIRECT("'3. Gezinshuis producten'!" &amp;
                        INDEX('Hulp (data export)'!$O:$O, COLUMN()+1)
                    ),
                    ('Hulp (overig)'!$L6 - 1) * 0,
                    ('Hulp (overig)'!$L6 - 1) * INDEX('Hulp (data export)'!$R:$R, COLUMN()+1)
                ),
                ""
            ),
            IF('Hulp (overig)'!$K6="Pleegzorg",
                IF(INDEX('Hulp (data export)'!$P:$P, COLUMN()+1)&lt;&gt;"",
                    OFFSET(
                        INDIRECT("'4. Pleegzorg producten'!" &amp;
                            INDEX('Hulp (data export)'!$P:$P, COLUMN()+1)
                        ),
                        ('Hulp (overig)'!$L6 - 1) * 0,
                        ('Hulp (overig)'!$L6 - 1) * INDEX('Hulp (data export)'!$S:$S, COLUMN()+1)
                    ),
                    ""
                ),
                ""
            )
        )
    )
)</f>
        <v/>
      </c>
      <c r="CA5" s="288"/>
      <c r="CB5" s="288"/>
      <c r="CC5" s="288"/>
      <c r="CD5" s="288"/>
      <c r="CE5" s="288"/>
      <c r="CF5" s="288"/>
      <c r="CG5" s="288"/>
    </row>
    <row r="6" spans="1:85" x14ac:dyDescent="0.45">
      <c r="A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C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D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E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F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G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H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I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J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K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L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M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N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O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P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Q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R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S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T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U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V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W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X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Y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Z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A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B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C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D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E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F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G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H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I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J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K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L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M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N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O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P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Q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R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S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T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U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V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W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X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Y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AZ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A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B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C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D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E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F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G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H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I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J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K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L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M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N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O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P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Q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R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S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T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U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V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W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X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Y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BZ6" s="288" t="str">
        <f ca="1">IF(
    INDEX('Hulp (data export)'!$T:$T, COLUMN()+1)&lt;&gt;"",
    INDIRECT("'Hulp (overig)'!" &amp; INDEX('Hulp (data export)'!$T:$T, COLUMN()+1) &amp; ROW()+1),
    IF('Hulp (overig)'!$K7="Algemeen",
        IF(INDEX('Hulp (data export)'!$N:$N, COLUMN()+1)&lt;&gt;"",
            OFFSET(
                INDIRECT("'" &amp;
                    INDEX('Hulp (data export)'!$M:$M, COLUMN()+1) &amp;
                    "'!" &amp; INDEX('Hulp (data export)'!$N:$N, COLUMN()+1)
                ),
                ('Hulp (overig)'!$L7 - 1) * 0,
                ('Hulp (overig)'!$L7 - 1) * INDEX('Hulp (data export)'!$Q:$Q, COLUMN()+1)
            ),
            ""
        ),
        IF('Hulp (overig)'!$K7="Gezinshuis",
            IF(INDEX('Hulp (data export)'!$O:$O, COLUMN()+1)&lt;&gt;"",
                OFFSET(
                    INDIRECT("'3. Gezinshuis producten'!" &amp;
                        INDEX('Hulp (data export)'!$O:$O, COLUMN()+1)
                    ),
                    ('Hulp (overig)'!$L7 - 1) * 0,
                    ('Hulp (overig)'!$L7 - 1) * INDEX('Hulp (data export)'!$R:$R, COLUMN()+1)
                ),
                ""
            ),
            IF('Hulp (overig)'!$K7="Pleegzorg",
                IF(INDEX('Hulp (data export)'!$P:$P, COLUMN()+1)&lt;&gt;"",
                    OFFSET(
                        INDIRECT("'4. Pleegzorg producten'!" &amp;
                            INDEX('Hulp (data export)'!$P:$P, COLUMN()+1)
                        ),
                        ('Hulp (overig)'!$L7 - 1) * 0,
                        ('Hulp (overig)'!$L7 - 1) * INDEX('Hulp (data export)'!$S:$S, COLUMN()+1)
                    ),
                    ""
                ),
                ""
            )
        )
    )
)</f>
        <v/>
      </c>
      <c r="CA6" s="288"/>
      <c r="CB6" s="288"/>
      <c r="CC6" s="288"/>
      <c r="CD6" s="288"/>
      <c r="CE6" s="288"/>
      <c r="CF6" s="288"/>
      <c r="CG6" s="288"/>
    </row>
    <row r="7" spans="1:85" x14ac:dyDescent="0.45">
      <c r="A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C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D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E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F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G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H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I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J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K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L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M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N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O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P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Q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R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S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T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U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V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W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X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Y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Z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A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B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C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D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E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F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G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H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I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J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K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L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M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N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O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P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Q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R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S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T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U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V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W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X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Y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AZ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A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B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C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D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E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F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G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H7" s="288" t="str">
        <f t="array" aca="1" ref="BH7"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I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J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K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L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M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N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O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P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Q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R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S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T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U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V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W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X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Y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BZ7" s="288" t="str">
        <f ca="1">IF(
    INDEX('Hulp (data export)'!$T:$T, COLUMN()+1)&lt;&gt;"",
    INDIRECT("'Hulp (overig)'!" &amp; INDEX('Hulp (data export)'!$T:$T, COLUMN()+1) &amp; ROW()+1),
    IF('Hulp (overig)'!$K8="Algemeen",
        IF(INDEX('Hulp (data export)'!$N:$N, COLUMN()+1)&lt;&gt;"",
            OFFSET(
                INDIRECT("'" &amp;
                    INDEX('Hulp (data export)'!$M:$M, COLUMN()+1) &amp;
                    "'!" &amp; INDEX('Hulp (data export)'!$N:$N, COLUMN()+1)
                ),
                ('Hulp (overig)'!$L8 - 1) * 0,
                ('Hulp (overig)'!$L8 - 1) * INDEX('Hulp (data export)'!$Q:$Q, COLUMN()+1)
            ),
            ""
        ),
        IF('Hulp (overig)'!$K8="Gezinshuis",
            IF(INDEX('Hulp (data export)'!$O:$O, COLUMN()+1)&lt;&gt;"",
                OFFSET(
                    INDIRECT("'3. Gezinshuis producten'!" &amp;
                        INDEX('Hulp (data export)'!$O:$O, COLUMN()+1)
                    ),
                    ('Hulp (overig)'!$L8 - 1) * 0,
                    ('Hulp (overig)'!$L8 - 1) * INDEX('Hulp (data export)'!$R:$R, COLUMN()+1)
                ),
                ""
            ),
            IF('Hulp (overig)'!$K8="Pleegzorg",
                IF(INDEX('Hulp (data export)'!$P:$P, COLUMN()+1)&lt;&gt;"",
                    OFFSET(
                        INDIRECT("'4. Pleegzorg producten'!" &amp;
                            INDEX('Hulp (data export)'!$P:$P, COLUMN()+1)
                        ),
                        ('Hulp (overig)'!$L8 - 1) * 0,
                        ('Hulp (overig)'!$L8 - 1) * INDEX('Hulp (data export)'!$S:$S, COLUMN()+1)
                    ),
                    ""
                ),
                ""
            )
        )
    )
)</f>
        <v/>
      </c>
      <c r="CA7" s="288"/>
      <c r="CB7" s="288"/>
      <c r="CC7" s="288"/>
      <c r="CD7" s="288"/>
      <c r="CE7" s="288"/>
      <c r="CF7" s="288"/>
      <c r="CG7" s="288"/>
    </row>
    <row r="8" spans="1:85" x14ac:dyDescent="0.45">
      <c r="A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C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D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E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F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G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H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I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J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K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L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M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N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O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P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Q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R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S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T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U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V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W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X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Y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Z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A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B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C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D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E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F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G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H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I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J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K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L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M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N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O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P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Q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R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S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T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U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V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W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X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Y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AZ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A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B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C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D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E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F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G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H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I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J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K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L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M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N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O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P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Q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R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S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T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U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V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W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X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Y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BZ8" s="288" t="str">
        <f ca="1">IF(
    INDEX('Hulp (data export)'!$T:$T, COLUMN()+1)&lt;&gt;"",
    INDIRECT("'Hulp (overig)'!" &amp; INDEX('Hulp (data export)'!$T:$T, COLUMN()+1) &amp; ROW()+1),
    IF('Hulp (overig)'!$K9="Algemeen",
        IF(INDEX('Hulp (data export)'!$N:$N, COLUMN()+1)&lt;&gt;"",
            OFFSET(
                INDIRECT("'" &amp;
                    INDEX('Hulp (data export)'!$M:$M, COLUMN()+1) &amp;
                    "'!" &amp; INDEX('Hulp (data export)'!$N:$N, COLUMN()+1)
                ),
                ('Hulp (overig)'!$L9 - 1) * 0,
                ('Hulp (overig)'!$L9 - 1) * INDEX('Hulp (data export)'!$Q:$Q, COLUMN()+1)
            ),
            ""
        ),
        IF('Hulp (overig)'!$K9="Gezinshuis",
            IF(INDEX('Hulp (data export)'!$O:$O, COLUMN()+1)&lt;&gt;"",
                OFFSET(
                    INDIRECT("'3. Gezinshuis producten'!" &amp;
                        INDEX('Hulp (data export)'!$O:$O, COLUMN()+1)
                    ),
                    ('Hulp (overig)'!$L9 - 1) * 0,
                    ('Hulp (overig)'!$L9 - 1) * INDEX('Hulp (data export)'!$R:$R, COLUMN()+1)
                ),
                ""
            ),
            IF('Hulp (overig)'!$K9="Pleegzorg",
                IF(INDEX('Hulp (data export)'!$P:$P, COLUMN()+1)&lt;&gt;"",
                    OFFSET(
                        INDIRECT("'4. Pleegzorg producten'!" &amp;
                            INDEX('Hulp (data export)'!$P:$P, COLUMN()+1)
                        ),
                        ('Hulp (overig)'!$L9 - 1) * 0,
                        ('Hulp (overig)'!$L9 - 1) * INDEX('Hulp (data export)'!$S:$S, COLUMN()+1)
                    ),
                    ""
                ),
                ""
            )
        )
    )
)</f>
        <v/>
      </c>
      <c r="CA8" s="288"/>
      <c r="CB8" s="288"/>
      <c r="CC8" s="288"/>
      <c r="CD8" s="288"/>
      <c r="CE8" s="288"/>
      <c r="CF8" s="288"/>
      <c r="CG8" s="288"/>
    </row>
    <row r="9" spans="1:85" x14ac:dyDescent="0.45">
      <c r="A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C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D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E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F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G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H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I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J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K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L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M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N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O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P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Q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R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S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T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U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V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W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X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Y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Z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A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B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C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D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E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F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G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H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I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J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K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L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M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N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O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P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Q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R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S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T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U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V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W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X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Y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AZ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A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B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C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D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E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F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G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H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I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J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K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L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M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N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O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P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Q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R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S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T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U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V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W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X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Y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BZ9" s="288" t="str">
        <f ca="1">IF(
    INDEX('Hulp (data export)'!$T:$T, COLUMN()+1)&lt;&gt;"",
    INDIRECT("'Hulp (overig)'!" &amp; INDEX('Hulp (data export)'!$T:$T, COLUMN()+1) &amp; ROW()+1),
    IF('Hulp (overig)'!$K10="Algemeen",
        IF(INDEX('Hulp (data export)'!$N:$N, COLUMN()+1)&lt;&gt;"",
            OFFSET(
                INDIRECT("'" &amp;
                    INDEX('Hulp (data export)'!$M:$M, COLUMN()+1) &amp;
                    "'!" &amp; INDEX('Hulp (data export)'!$N:$N, COLUMN()+1)
                ),
                ('Hulp (overig)'!$L10 - 1) * 0,
                ('Hulp (overig)'!$L10 - 1) * INDEX('Hulp (data export)'!$Q:$Q, COLUMN()+1)
            ),
            ""
        ),
        IF('Hulp (overig)'!$K10="Gezinshuis",
            IF(INDEX('Hulp (data export)'!$O:$O, COLUMN()+1)&lt;&gt;"",
                OFFSET(
                    INDIRECT("'3. Gezinshuis producten'!" &amp;
                        INDEX('Hulp (data export)'!$O:$O, COLUMN()+1)
                    ),
                    ('Hulp (overig)'!$L10 - 1) * 0,
                    ('Hulp (overig)'!$L10 - 1) * INDEX('Hulp (data export)'!$R:$R, COLUMN()+1)
                ),
                ""
            ),
            IF('Hulp (overig)'!$K10="Pleegzorg",
                IF(INDEX('Hulp (data export)'!$P:$P, COLUMN()+1)&lt;&gt;"",
                    OFFSET(
                        INDIRECT("'4. Pleegzorg producten'!" &amp;
                            INDEX('Hulp (data export)'!$P:$P, COLUMN()+1)
                        ),
                        ('Hulp (overig)'!$L10 - 1) * 0,
                        ('Hulp (overig)'!$L10 - 1) * INDEX('Hulp (data export)'!$S:$S, COLUMN()+1)
                    ),
                    ""
                ),
                ""
            )
        )
    )
)</f>
        <v/>
      </c>
      <c r="CA9" s="288"/>
      <c r="CB9" s="288"/>
      <c r="CC9" s="288"/>
      <c r="CD9" s="288"/>
      <c r="CE9" s="288"/>
      <c r="CF9" s="288"/>
      <c r="CG9" s="288"/>
    </row>
    <row r="10" spans="1:85" x14ac:dyDescent="0.45">
      <c r="A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C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D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E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F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G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H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I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J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K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L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M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N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O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P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Q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R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S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T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U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V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W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X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Y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Z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A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B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C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D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E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F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G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H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I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J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K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L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M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N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O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P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Q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R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S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T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U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V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W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X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Y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AZ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A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B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C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D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E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F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G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H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I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J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K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L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M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N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O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P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Q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R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S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T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U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V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W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X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Y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BZ10" s="288" t="str">
        <f ca="1">IF(
    INDEX('Hulp (data export)'!$T:$T, COLUMN()+1)&lt;&gt;"",
    INDIRECT("'Hulp (overig)'!" &amp; INDEX('Hulp (data export)'!$T:$T, COLUMN()+1) &amp; ROW()+1),
    IF('Hulp (overig)'!$K11="Algemeen",
        IF(INDEX('Hulp (data export)'!$N:$N, COLUMN()+1)&lt;&gt;"",
            OFFSET(
                INDIRECT("'" &amp;
                    INDEX('Hulp (data export)'!$M:$M, COLUMN()+1) &amp;
                    "'!" &amp; INDEX('Hulp (data export)'!$N:$N, COLUMN()+1)
                ),
                ('Hulp (overig)'!$L11 - 1) * 0,
                ('Hulp (overig)'!$L11 - 1) * INDEX('Hulp (data export)'!$Q:$Q, COLUMN()+1)
            ),
            ""
        ),
        IF('Hulp (overig)'!$K11="Gezinshuis",
            IF(INDEX('Hulp (data export)'!$O:$O, COLUMN()+1)&lt;&gt;"",
                OFFSET(
                    INDIRECT("'3. Gezinshuis producten'!" &amp;
                        INDEX('Hulp (data export)'!$O:$O, COLUMN()+1)
                    ),
                    ('Hulp (overig)'!$L11 - 1) * 0,
                    ('Hulp (overig)'!$L11 - 1) * INDEX('Hulp (data export)'!$R:$R, COLUMN()+1)
                ),
                ""
            ),
            IF('Hulp (overig)'!$K11="Pleegzorg",
                IF(INDEX('Hulp (data export)'!$P:$P, COLUMN()+1)&lt;&gt;"",
                    OFFSET(
                        INDIRECT("'4. Pleegzorg producten'!" &amp;
                            INDEX('Hulp (data export)'!$P:$P, COLUMN()+1)
                        ),
                        ('Hulp (overig)'!$L11 - 1) * 0,
                        ('Hulp (overig)'!$L11 - 1) * INDEX('Hulp (data export)'!$S:$S, COLUMN()+1)
                    ),
                    ""
                ),
                ""
            )
        )
    )
)</f>
        <v/>
      </c>
      <c r="CA10" s="288"/>
      <c r="CB10" s="288"/>
      <c r="CC10" s="288"/>
      <c r="CD10" s="288"/>
      <c r="CE10" s="288"/>
      <c r="CF10" s="288"/>
      <c r="CG10" s="288"/>
    </row>
    <row r="11" spans="1:85" x14ac:dyDescent="0.45">
      <c r="A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C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D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E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F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G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H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I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J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K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L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M11" s="288" t="str">
        <f t="array" aca="1" ref="M11"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N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O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P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Q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R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S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T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U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V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W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X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Y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Z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A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B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C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D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E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F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G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H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I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J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K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L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M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N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O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P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Q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R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S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T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U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V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W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X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Y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AZ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A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B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C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D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E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F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G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H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I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J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K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L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M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N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O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P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Q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R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S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T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U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V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W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X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Y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BZ11" s="288" t="str">
        <f ca="1">IF(
    INDEX('Hulp (data export)'!$T:$T, COLUMN()+1)&lt;&gt;"",
    INDIRECT("'Hulp (overig)'!" &amp; INDEX('Hulp (data export)'!$T:$T, COLUMN()+1) &amp; ROW()+1),
    IF('Hulp (overig)'!$K12="Algemeen",
        IF(INDEX('Hulp (data export)'!$N:$N, COLUMN()+1)&lt;&gt;"",
            OFFSET(
                INDIRECT("'" &amp;
                    INDEX('Hulp (data export)'!$M:$M, COLUMN()+1) &amp;
                    "'!" &amp; INDEX('Hulp (data export)'!$N:$N, COLUMN()+1)
                ),
                ('Hulp (overig)'!$L12 - 1) * 0,
                ('Hulp (overig)'!$L12 - 1) * INDEX('Hulp (data export)'!$Q:$Q, COLUMN()+1)
            ),
            ""
        ),
        IF('Hulp (overig)'!$K12="Gezinshuis",
            IF(INDEX('Hulp (data export)'!$O:$O, COLUMN()+1)&lt;&gt;"",
                OFFSET(
                    INDIRECT("'3. Gezinshuis producten'!" &amp;
                        INDEX('Hulp (data export)'!$O:$O, COLUMN()+1)
                    ),
                    ('Hulp (overig)'!$L12 - 1) * 0,
                    ('Hulp (overig)'!$L12 - 1) * INDEX('Hulp (data export)'!$R:$R, COLUMN()+1)
                ),
                ""
            ),
            IF('Hulp (overig)'!$K12="Pleegzorg",
                IF(INDEX('Hulp (data export)'!$P:$P, COLUMN()+1)&lt;&gt;"",
                    OFFSET(
                        INDIRECT("'4. Pleegzorg producten'!" &amp;
                            INDEX('Hulp (data export)'!$P:$P, COLUMN()+1)
                        ),
                        ('Hulp (overig)'!$L12 - 1) * 0,
                        ('Hulp (overig)'!$L12 - 1) * INDEX('Hulp (data export)'!$S:$S, COLUMN()+1)
                    ),
                    ""
                ),
                ""
            )
        )
    )
)</f>
        <v/>
      </c>
      <c r="CA11" s="288"/>
      <c r="CB11" s="288"/>
      <c r="CC11" s="288"/>
      <c r="CD11" s="288"/>
      <c r="CE11" s="288"/>
      <c r="CF11" s="288"/>
      <c r="CG11" s="288"/>
    </row>
    <row r="12" spans="1:85" x14ac:dyDescent="0.45">
      <c r="A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C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D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E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F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G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H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I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J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K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L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M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N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O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P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Q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R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S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T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U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V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W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X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Y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Z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A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B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C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D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E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F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G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H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I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J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K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L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M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N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O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P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Q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R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S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T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U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V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W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X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Y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AZ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A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B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C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D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E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F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G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H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I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J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K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L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M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N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O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P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Q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R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S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T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U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V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W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X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Y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BZ12" s="288" t="str">
        <f ca="1">IF(
    INDEX('Hulp (data export)'!$T:$T, COLUMN()+1)&lt;&gt;"",
    INDIRECT("'Hulp (overig)'!" &amp; INDEX('Hulp (data export)'!$T:$T, COLUMN()+1) &amp; ROW()+1),
    IF('Hulp (overig)'!$K13="Algemeen",
        IF(INDEX('Hulp (data export)'!$N:$N, COLUMN()+1)&lt;&gt;"",
            OFFSET(
                INDIRECT("'" &amp;
                    INDEX('Hulp (data export)'!$M:$M, COLUMN()+1) &amp;
                    "'!" &amp; INDEX('Hulp (data export)'!$N:$N, COLUMN()+1)
                ),
                ('Hulp (overig)'!$L13 - 1) * 0,
                ('Hulp (overig)'!$L13 - 1) * INDEX('Hulp (data export)'!$Q:$Q, COLUMN()+1)
            ),
            ""
        ),
        IF('Hulp (overig)'!$K13="Gezinshuis",
            IF(INDEX('Hulp (data export)'!$O:$O, COLUMN()+1)&lt;&gt;"",
                OFFSET(
                    INDIRECT("'3. Gezinshuis producten'!" &amp;
                        INDEX('Hulp (data export)'!$O:$O, COLUMN()+1)
                    ),
                    ('Hulp (overig)'!$L13 - 1) * 0,
                    ('Hulp (overig)'!$L13 - 1) * INDEX('Hulp (data export)'!$R:$R, COLUMN()+1)
                ),
                ""
            ),
            IF('Hulp (overig)'!$K13="Pleegzorg",
                IF(INDEX('Hulp (data export)'!$P:$P, COLUMN()+1)&lt;&gt;"",
                    OFFSET(
                        INDIRECT("'4. Pleegzorg producten'!" &amp;
                            INDEX('Hulp (data export)'!$P:$P, COLUMN()+1)
                        ),
                        ('Hulp (overig)'!$L13 - 1) * 0,
                        ('Hulp (overig)'!$L13 - 1) * INDEX('Hulp (data export)'!$S:$S, COLUMN()+1)
                    ),
                    ""
                ),
                ""
            )
        )
    )
)</f>
        <v/>
      </c>
      <c r="CA12" s="288"/>
      <c r="CB12" s="288"/>
      <c r="CC12" s="288"/>
      <c r="CD12" s="288"/>
      <c r="CE12" s="288"/>
      <c r="CF12" s="288"/>
      <c r="CG12" s="288"/>
    </row>
    <row r="13" spans="1:85" x14ac:dyDescent="0.45">
      <c r="A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C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D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E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F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G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H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I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J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K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L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M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N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O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P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Q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R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S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T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U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V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W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X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Y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Z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A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B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C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D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E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F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G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H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I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J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K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L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M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N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O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P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Q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R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S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T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U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V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W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X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Y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AZ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A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B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C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D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E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F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G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H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I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J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K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L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M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N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O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P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Q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R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S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T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U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V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W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X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Y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BZ13" s="288" t="str">
        <f ca="1">IF(
    INDEX('Hulp (data export)'!$T:$T, COLUMN()+1)&lt;&gt;"",
    INDIRECT("'Hulp (overig)'!" &amp; INDEX('Hulp (data export)'!$T:$T, COLUMN()+1) &amp; ROW()+1),
    IF('Hulp (overig)'!$K14="Algemeen",
        IF(INDEX('Hulp (data export)'!$N:$N, COLUMN()+1)&lt;&gt;"",
            OFFSET(
                INDIRECT("'" &amp;
                    INDEX('Hulp (data export)'!$M:$M, COLUMN()+1) &amp;
                    "'!" &amp; INDEX('Hulp (data export)'!$N:$N, COLUMN()+1)
                ),
                ('Hulp (overig)'!$L14 - 1) * 0,
                ('Hulp (overig)'!$L14 - 1) * INDEX('Hulp (data export)'!$Q:$Q, COLUMN()+1)
            ),
            ""
        ),
        IF('Hulp (overig)'!$K14="Gezinshuis",
            IF(INDEX('Hulp (data export)'!$O:$O, COLUMN()+1)&lt;&gt;"",
                OFFSET(
                    INDIRECT("'3. Gezinshuis producten'!" &amp;
                        INDEX('Hulp (data export)'!$O:$O, COLUMN()+1)
                    ),
                    ('Hulp (overig)'!$L14 - 1) * 0,
                    ('Hulp (overig)'!$L14 - 1) * INDEX('Hulp (data export)'!$R:$R, COLUMN()+1)
                ),
                ""
            ),
            IF('Hulp (overig)'!$K14="Pleegzorg",
                IF(INDEX('Hulp (data export)'!$P:$P, COLUMN()+1)&lt;&gt;"",
                    OFFSET(
                        INDIRECT("'4. Pleegzorg producten'!" &amp;
                            INDEX('Hulp (data export)'!$P:$P, COLUMN()+1)
                        ),
                        ('Hulp (overig)'!$L14 - 1) * 0,
                        ('Hulp (overig)'!$L14 - 1) * INDEX('Hulp (data export)'!$S:$S, COLUMN()+1)
                    ),
                    ""
                ),
                ""
            )
        )
    )
)</f>
        <v/>
      </c>
      <c r="CA13" s="288"/>
      <c r="CB13" s="288"/>
      <c r="CC13" s="288"/>
      <c r="CD13" s="288"/>
      <c r="CE13" s="288"/>
      <c r="CF13" s="288"/>
      <c r="CG13" s="288"/>
    </row>
    <row r="14" spans="1:85" x14ac:dyDescent="0.45">
      <c r="A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C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D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E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F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G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H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I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J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K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L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M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N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O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P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Q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R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S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T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U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V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W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X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Y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Z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A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B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C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D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E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F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G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H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I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J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K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L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M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N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O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P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Q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R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S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T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U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V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W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X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Y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AZ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A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B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C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D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E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F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G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H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I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J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K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L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M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N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O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P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Q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R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S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T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U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V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W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X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Y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BZ14" s="288" t="str">
        <f ca="1">IF(
    INDEX('Hulp (data export)'!$T:$T, COLUMN()+1)&lt;&gt;"",
    INDIRECT("'Hulp (overig)'!" &amp; INDEX('Hulp (data export)'!$T:$T, COLUMN()+1) &amp; ROW()+1),
    IF('Hulp (overig)'!$K15="Algemeen",
        IF(INDEX('Hulp (data export)'!$N:$N, COLUMN()+1)&lt;&gt;"",
            OFFSET(
                INDIRECT("'" &amp;
                    INDEX('Hulp (data export)'!$M:$M, COLUMN()+1) &amp;
                    "'!" &amp; INDEX('Hulp (data export)'!$N:$N, COLUMN()+1)
                ),
                ('Hulp (overig)'!$L15 - 1) * 0,
                ('Hulp (overig)'!$L15 - 1) * INDEX('Hulp (data export)'!$Q:$Q, COLUMN()+1)
            ),
            ""
        ),
        IF('Hulp (overig)'!$K15="Gezinshuis",
            IF(INDEX('Hulp (data export)'!$O:$O, COLUMN()+1)&lt;&gt;"",
                OFFSET(
                    INDIRECT("'3. Gezinshuis producten'!" &amp;
                        INDEX('Hulp (data export)'!$O:$O, COLUMN()+1)
                    ),
                    ('Hulp (overig)'!$L15 - 1) * 0,
                    ('Hulp (overig)'!$L15 - 1) * INDEX('Hulp (data export)'!$R:$R, COLUMN()+1)
                ),
                ""
            ),
            IF('Hulp (overig)'!$K15="Pleegzorg",
                IF(INDEX('Hulp (data export)'!$P:$P, COLUMN()+1)&lt;&gt;"",
                    OFFSET(
                        INDIRECT("'4. Pleegzorg producten'!" &amp;
                            INDEX('Hulp (data export)'!$P:$P, COLUMN()+1)
                        ),
                        ('Hulp (overig)'!$L15 - 1) * 0,
                        ('Hulp (overig)'!$L15 - 1) * INDEX('Hulp (data export)'!$S:$S, COLUMN()+1)
                    ),
                    ""
                ),
                ""
            )
        )
    )
)</f>
        <v/>
      </c>
      <c r="CA14" s="288"/>
      <c r="CB14" s="288"/>
      <c r="CC14" s="288"/>
      <c r="CD14" s="288"/>
      <c r="CE14" s="288"/>
      <c r="CF14" s="288"/>
      <c r="CG14" s="288"/>
    </row>
    <row r="15" spans="1:85" x14ac:dyDescent="0.45">
      <c r="A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C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D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E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F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G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H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I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J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K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L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M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N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O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P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Q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R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S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T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U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V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W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X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Y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Z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A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B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C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D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E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F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G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H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I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J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K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L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M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N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O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P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Q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R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S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T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U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V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W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X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Y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AZ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A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B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C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D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E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F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G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H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I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J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K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L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M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N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O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P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Q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R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S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T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U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V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W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X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Y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BZ15" s="288" t="str">
        <f ca="1">IF(
    INDEX('Hulp (data export)'!$T:$T, COLUMN()+1)&lt;&gt;"",
    INDIRECT("'Hulp (overig)'!" &amp; INDEX('Hulp (data export)'!$T:$T, COLUMN()+1) &amp; ROW()+1),
    IF('Hulp (overig)'!$K16="Algemeen",
        IF(INDEX('Hulp (data export)'!$N:$N, COLUMN()+1)&lt;&gt;"",
            OFFSET(
                INDIRECT("'" &amp;
                    INDEX('Hulp (data export)'!$M:$M, COLUMN()+1) &amp;
                    "'!" &amp; INDEX('Hulp (data export)'!$N:$N, COLUMN()+1)
                ),
                ('Hulp (overig)'!$L16 - 1) * 0,
                ('Hulp (overig)'!$L16 - 1) * INDEX('Hulp (data export)'!$Q:$Q, COLUMN()+1)
            ),
            ""
        ),
        IF('Hulp (overig)'!$K16="Gezinshuis",
            IF(INDEX('Hulp (data export)'!$O:$O, COLUMN()+1)&lt;&gt;"",
                OFFSET(
                    INDIRECT("'3. Gezinshuis producten'!" &amp;
                        INDEX('Hulp (data export)'!$O:$O, COLUMN()+1)
                    ),
                    ('Hulp (overig)'!$L16 - 1) * 0,
                    ('Hulp (overig)'!$L16 - 1) * INDEX('Hulp (data export)'!$R:$R, COLUMN()+1)
                ),
                ""
            ),
            IF('Hulp (overig)'!$K16="Pleegzorg",
                IF(INDEX('Hulp (data export)'!$P:$P, COLUMN()+1)&lt;&gt;"",
                    OFFSET(
                        INDIRECT("'4. Pleegzorg producten'!" &amp;
                            INDEX('Hulp (data export)'!$P:$P, COLUMN()+1)
                        ),
                        ('Hulp (overig)'!$L16 - 1) * 0,
                        ('Hulp (overig)'!$L16 - 1) * INDEX('Hulp (data export)'!$S:$S, COLUMN()+1)
                    ),
                    ""
                ),
                ""
            )
        )
    )
)</f>
        <v/>
      </c>
      <c r="CA15" s="288"/>
      <c r="CB15" s="288"/>
      <c r="CC15" s="288"/>
      <c r="CD15" s="288"/>
      <c r="CE15" s="288"/>
      <c r="CF15" s="288"/>
      <c r="CG15" s="288"/>
    </row>
    <row r="16" spans="1:85" x14ac:dyDescent="0.45">
      <c r="A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C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D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E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F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G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H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I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J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K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L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M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N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O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P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Q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R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S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T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U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V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W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X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Y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Z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A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B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C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D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E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F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G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H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I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J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K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L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M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N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O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P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Q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R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S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T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U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V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W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X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Y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AZ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A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B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C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D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E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F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G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H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I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J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K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L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M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N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O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P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Q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R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S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T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U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V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W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X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Y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BZ16" s="288" t="str">
        <f ca="1">IF(
    INDEX('Hulp (data export)'!$T:$T, COLUMN()+1)&lt;&gt;"",
    INDIRECT("'Hulp (overig)'!" &amp; INDEX('Hulp (data export)'!$T:$T, COLUMN()+1) &amp; ROW()+1),
    IF('Hulp (overig)'!$K17="Algemeen",
        IF(INDEX('Hulp (data export)'!$N:$N, COLUMN()+1)&lt;&gt;"",
            OFFSET(
                INDIRECT("'" &amp;
                    INDEX('Hulp (data export)'!$M:$M, COLUMN()+1) &amp;
                    "'!" &amp; INDEX('Hulp (data export)'!$N:$N, COLUMN()+1)
                ),
                ('Hulp (overig)'!$L17 - 1) * 0,
                ('Hulp (overig)'!$L17 - 1) * INDEX('Hulp (data export)'!$Q:$Q, COLUMN()+1)
            ),
            ""
        ),
        IF('Hulp (overig)'!$K17="Gezinshuis",
            IF(INDEX('Hulp (data export)'!$O:$O, COLUMN()+1)&lt;&gt;"",
                OFFSET(
                    INDIRECT("'3. Gezinshuis producten'!" &amp;
                        INDEX('Hulp (data export)'!$O:$O, COLUMN()+1)
                    ),
                    ('Hulp (overig)'!$L17 - 1) * 0,
                    ('Hulp (overig)'!$L17 - 1) * INDEX('Hulp (data export)'!$R:$R, COLUMN()+1)
                ),
                ""
            ),
            IF('Hulp (overig)'!$K17="Pleegzorg",
                IF(INDEX('Hulp (data export)'!$P:$P, COLUMN()+1)&lt;&gt;"",
                    OFFSET(
                        INDIRECT("'4. Pleegzorg producten'!" &amp;
                            INDEX('Hulp (data export)'!$P:$P, COLUMN()+1)
                        ),
                        ('Hulp (overig)'!$L17 - 1) * 0,
                        ('Hulp (overig)'!$L17 - 1) * INDEX('Hulp (data export)'!$S:$S, COLUMN()+1)
                    ),
                    ""
                ),
                ""
            )
        )
    )
)</f>
        <v/>
      </c>
      <c r="CA16" s="288"/>
      <c r="CB16" s="288"/>
      <c r="CC16" s="288"/>
      <c r="CD16" s="288"/>
      <c r="CE16" s="288"/>
      <c r="CF16" s="288"/>
      <c r="CG16" s="288"/>
    </row>
    <row r="17" spans="1:85" x14ac:dyDescent="0.45">
      <c r="A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C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D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E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F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G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H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I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J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K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L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M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N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O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P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Q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R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S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T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U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V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W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X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Y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Z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A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B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C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D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E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F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G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H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I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J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K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L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M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N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O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P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Q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R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S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T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U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V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W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X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Y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AZ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A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B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C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D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E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F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G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H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I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J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K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L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M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N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O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P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Q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R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S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T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U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V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W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X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Y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BZ17" s="288" t="str">
        <f ca="1">IF(
    INDEX('Hulp (data export)'!$T:$T, COLUMN()+1)&lt;&gt;"",
    INDIRECT("'Hulp (overig)'!" &amp; INDEX('Hulp (data export)'!$T:$T, COLUMN()+1) &amp; ROW()+1),
    IF('Hulp (overig)'!$K18="Algemeen",
        IF(INDEX('Hulp (data export)'!$N:$N, COLUMN()+1)&lt;&gt;"",
            OFFSET(
                INDIRECT("'" &amp;
                    INDEX('Hulp (data export)'!$M:$M, COLUMN()+1) &amp;
                    "'!" &amp; INDEX('Hulp (data export)'!$N:$N, COLUMN()+1)
                ),
                ('Hulp (overig)'!$L18 - 1) * 0,
                ('Hulp (overig)'!$L18 - 1) * INDEX('Hulp (data export)'!$Q:$Q, COLUMN()+1)
            ),
            ""
        ),
        IF('Hulp (overig)'!$K18="Gezinshuis",
            IF(INDEX('Hulp (data export)'!$O:$O, COLUMN()+1)&lt;&gt;"",
                OFFSET(
                    INDIRECT("'3. Gezinshuis producten'!" &amp;
                        INDEX('Hulp (data export)'!$O:$O, COLUMN()+1)
                    ),
                    ('Hulp (overig)'!$L18 - 1) * 0,
                    ('Hulp (overig)'!$L18 - 1) * INDEX('Hulp (data export)'!$R:$R, COLUMN()+1)
                ),
                ""
            ),
            IF('Hulp (overig)'!$K18="Pleegzorg",
                IF(INDEX('Hulp (data export)'!$P:$P, COLUMN()+1)&lt;&gt;"",
                    OFFSET(
                        INDIRECT("'4. Pleegzorg producten'!" &amp;
                            INDEX('Hulp (data export)'!$P:$P, COLUMN()+1)
                        ),
                        ('Hulp (overig)'!$L18 - 1) * 0,
                        ('Hulp (overig)'!$L18 - 1) * INDEX('Hulp (data export)'!$S:$S, COLUMN()+1)
                    ),
                    ""
                ),
                ""
            )
        )
    )
)</f>
        <v/>
      </c>
      <c r="CA17" s="288"/>
      <c r="CB17" s="288"/>
      <c r="CC17" s="288"/>
      <c r="CD17" s="288"/>
      <c r="CE17" s="288"/>
      <c r="CF17" s="288"/>
      <c r="CG17" s="288"/>
    </row>
    <row r="18" spans="1:85" x14ac:dyDescent="0.45">
      <c r="A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C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D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E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F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G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H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I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J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K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L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M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N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O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P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Q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R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S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T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U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V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W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X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Y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Z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A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B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C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D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E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F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G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H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I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J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K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L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M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N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O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P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Q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R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S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T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U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V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W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X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Y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AZ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A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B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C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D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E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F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G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H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I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J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K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L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M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N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O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P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Q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R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S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T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U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V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W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X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Y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BZ18" s="288" t="str">
        <f ca="1">IF(
    INDEX('Hulp (data export)'!$T:$T, COLUMN()+1)&lt;&gt;"",
    INDIRECT("'Hulp (overig)'!" &amp; INDEX('Hulp (data export)'!$T:$T, COLUMN()+1) &amp; ROW()+1),
    IF('Hulp (overig)'!$K19="Algemeen",
        IF(INDEX('Hulp (data export)'!$N:$N, COLUMN()+1)&lt;&gt;"",
            OFFSET(
                INDIRECT("'" &amp;
                    INDEX('Hulp (data export)'!$M:$M, COLUMN()+1) &amp;
                    "'!" &amp; INDEX('Hulp (data export)'!$N:$N, COLUMN()+1)
                ),
                ('Hulp (overig)'!$L19 - 1) * 0,
                ('Hulp (overig)'!$L19 - 1) * INDEX('Hulp (data export)'!$Q:$Q, COLUMN()+1)
            ),
            ""
        ),
        IF('Hulp (overig)'!$K19="Gezinshuis",
            IF(INDEX('Hulp (data export)'!$O:$O, COLUMN()+1)&lt;&gt;"",
                OFFSET(
                    INDIRECT("'3. Gezinshuis producten'!" &amp;
                        INDEX('Hulp (data export)'!$O:$O, COLUMN()+1)
                    ),
                    ('Hulp (overig)'!$L19 - 1) * 0,
                    ('Hulp (overig)'!$L19 - 1) * INDEX('Hulp (data export)'!$R:$R, COLUMN()+1)
                ),
                ""
            ),
            IF('Hulp (overig)'!$K19="Pleegzorg",
                IF(INDEX('Hulp (data export)'!$P:$P, COLUMN()+1)&lt;&gt;"",
                    OFFSET(
                        INDIRECT("'4. Pleegzorg producten'!" &amp;
                            INDEX('Hulp (data export)'!$P:$P, COLUMN()+1)
                        ),
                        ('Hulp (overig)'!$L19 - 1) * 0,
                        ('Hulp (overig)'!$L19 - 1) * INDEX('Hulp (data export)'!$S:$S, COLUMN()+1)
                    ),
                    ""
                ),
                ""
            )
        )
    )
)</f>
        <v/>
      </c>
      <c r="CA18" s="288"/>
      <c r="CB18" s="288"/>
      <c r="CC18" s="288"/>
      <c r="CD18" s="288"/>
      <c r="CE18" s="288"/>
      <c r="CF18" s="288"/>
      <c r="CG18" s="288"/>
    </row>
    <row r="19" spans="1:85" x14ac:dyDescent="0.45">
      <c r="A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C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D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E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F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G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H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I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J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K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L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M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N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O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P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Q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R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S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T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U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V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W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X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Y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Z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A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B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C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D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E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F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G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H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I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J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K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L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M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N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O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P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Q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R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S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T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U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V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W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X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Y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AZ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A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B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C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D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E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F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G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H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I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J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K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L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M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N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O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P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Q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R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S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T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U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V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W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X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Y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BZ19" s="288" t="str">
        <f ca="1">IF(
    INDEX('Hulp (data export)'!$T:$T, COLUMN()+1)&lt;&gt;"",
    INDIRECT("'Hulp (overig)'!" &amp; INDEX('Hulp (data export)'!$T:$T, COLUMN()+1) &amp; ROW()+1),
    IF('Hulp (overig)'!$K20="Algemeen",
        IF(INDEX('Hulp (data export)'!$N:$N, COLUMN()+1)&lt;&gt;"",
            OFFSET(
                INDIRECT("'" &amp;
                    INDEX('Hulp (data export)'!$M:$M, COLUMN()+1) &amp;
                    "'!" &amp; INDEX('Hulp (data export)'!$N:$N, COLUMN()+1)
                ),
                ('Hulp (overig)'!$L20 - 1) * 0,
                ('Hulp (overig)'!$L20 - 1) * INDEX('Hulp (data export)'!$Q:$Q, COLUMN()+1)
            ),
            ""
        ),
        IF('Hulp (overig)'!$K20="Gezinshuis",
            IF(INDEX('Hulp (data export)'!$O:$O, COLUMN()+1)&lt;&gt;"",
                OFFSET(
                    INDIRECT("'3. Gezinshuis producten'!" &amp;
                        INDEX('Hulp (data export)'!$O:$O, COLUMN()+1)
                    ),
                    ('Hulp (overig)'!$L20 - 1) * 0,
                    ('Hulp (overig)'!$L20 - 1) * INDEX('Hulp (data export)'!$R:$R, COLUMN()+1)
                ),
                ""
            ),
            IF('Hulp (overig)'!$K20="Pleegzorg",
                IF(INDEX('Hulp (data export)'!$P:$P, COLUMN()+1)&lt;&gt;"",
                    OFFSET(
                        INDIRECT("'4. Pleegzorg producten'!" &amp;
                            INDEX('Hulp (data export)'!$P:$P, COLUMN()+1)
                        ),
                        ('Hulp (overig)'!$L20 - 1) * 0,
                        ('Hulp (overig)'!$L20 - 1) * INDEX('Hulp (data export)'!$S:$S, COLUMN()+1)
                    ),
                    ""
                ),
                ""
            )
        )
    )
)</f>
        <v/>
      </c>
      <c r="CA19" s="288"/>
      <c r="CB19" s="288"/>
      <c r="CC19" s="288"/>
      <c r="CD19" s="288"/>
      <c r="CE19" s="288"/>
      <c r="CF19" s="288"/>
      <c r="CG19" s="288"/>
    </row>
    <row r="20" spans="1:85" x14ac:dyDescent="0.45">
      <c r="A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C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D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E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F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G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H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I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J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K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L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M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N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O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P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Q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R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S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T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U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V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W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X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Y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Z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A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B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C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D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E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F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G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H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I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J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K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L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M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N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O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P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Q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R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S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T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U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V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W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X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Y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AZ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A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B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C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D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E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F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G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H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I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J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K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L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M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N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O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P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Q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R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S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T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U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V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W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X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Y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BZ20" s="288" t="str">
        <f ca="1">IF(
    INDEX('Hulp (data export)'!$T:$T, COLUMN()+1)&lt;&gt;"",
    INDIRECT("'Hulp (overig)'!" &amp; INDEX('Hulp (data export)'!$T:$T, COLUMN()+1) &amp; ROW()+1),
    IF('Hulp (overig)'!$K21="Algemeen",
        IF(INDEX('Hulp (data export)'!$N:$N, COLUMN()+1)&lt;&gt;"",
            OFFSET(
                INDIRECT("'" &amp;
                    INDEX('Hulp (data export)'!$M:$M, COLUMN()+1) &amp;
                    "'!" &amp; INDEX('Hulp (data export)'!$N:$N, COLUMN()+1)
                ),
                ('Hulp (overig)'!$L21 - 1) * 0,
                ('Hulp (overig)'!$L21 - 1) * INDEX('Hulp (data export)'!$Q:$Q, COLUMN()+1)
            ),
            ""
        ),
        IF('Hulp (overig)'!$K21="Gezinshuis",
            IF(INDEX('Hulp (data export)'!$O:$O, COLUMN()+1)&lt;&gt;"",
                OFFSET(
                    INDIRECT("'3. Gezinshuis producten'!" &amp;
                        INDEX('Hulp (data export)'!$O:$O, COLUMN()+1)
                    ),
                    ('Hulp (overig)'!$L21 - 1) * 0,
                    ('Hulp (overig)'!$L21 - 1) * INDEX('Hulp (data export)'!$R:$R, COLUMN()+1)
                ),
                ""
            ),
            IF('Hulp (overig)'!$K21="Pleegzorg",
                IF(INDEX('Hulp (data export)'!$P:$P, COLUMN()+1)&lt;&gt;"",
                    OFFSET(
                        INDIRECT("'4. Pleegzorg producten'!" &amp;
                            INDEX('Hulp (data export)'!$P:$P, COLUMN()+1)
                        ),
                        ('Hulp (overig)'!$L21 - 1) * 0,
                        ('Hulp (overig)'!$L21 - 1) * INDEX('Hulp (data export)'!$S:$S, COLUMN()+1)
                    ),
                    ""
                ),
                ""
            )
        )
    )
)</f>
        <v/>
      </c>
      <c r="CA20" s="288"/>
      <c r="CB20" s="288"/>
      <c r="CC20" s="288"/>
      <c r="CD20" s="288"/>
      <c r="CE20" s="288"/>
      <c r="CF20" s="288"/>
      <c r="CG20" s="288"/>
    </row>
    <row r="21" spans="1:85" x14ac:dyDescent="0.45">
      <c r="A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C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D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E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F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G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H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I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J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K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L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M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N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O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P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Q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R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S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T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U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V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W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X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Y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Z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A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B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C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D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E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F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G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H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I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J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K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L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M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N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O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P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Q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R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S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T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U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V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W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X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Y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AZ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A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B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C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D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E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F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G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H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I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J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K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L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M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N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O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P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Q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R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S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T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U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V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W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X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Y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BZ21" s="288" t="str">
        <f ca="1">IF(
    INDEX('Hulp (data export)'!$T:$T, COLUMN()+1)&lt;&gt;"",
    INDIRECT("'Hulp (overig)'!" &amp; INDEX('Hulp (data export)'!$T:$T, COLUMN()+1) &amp; ROW()+1),
    IF('Hulp (overig)'!$K22="Algemeen",
        IF(INDEX('Hulp (data export)'!$N:$N, COLUMN()+1)&lt;&gt;"",
            OFFSET(
                INDIRECT("'" &amp;
                    INDEX('Hulp (data export)'!$M:$M, COLUMN()+1) &amp;
                    "'!" &amp; INDEX('Hulp (data export)'!$N:$N, COLUMN()+1)
                ),
                ('Hulp (overig)'!$L22 - 1) * 0,
                ('Hulp (overig)'!$L22 - 1) * INDEX('Hulp (data export)'!$Q:$Q, COLUMN()+1)
            ),
            ""
        ),
        IF('Hulp (overig)'!$K22="Gezinshuis",
            IF(INDEX('Hulp (data export)'!$O:$O, COLUMN()+1)&lt;&gt;"",
                OFFSET(
                    INDIRECT("'3. Gezinshuis producten'!" &amp;
                        INDEX('Hulp (data export)'!$O:$O, COLUMN()+1)
                    ),
                    ('Hulp (overig)'!$L22 - 1) * 0,
                    ('Hulp (overig)'!$L22 - 1) * INDEX('Hulp (data export)'!$R:$R, COLUMN()+1)
                ),
                ""
            ),
            IF('Hulp (overig)'!$K22="Pleegzorg",
                IF(INDEX('Hulp (data export)'!$P:$P, COLUMN()+1)&lt;&gt;"",
                    OFFSET(
                        INDIRECT("'4. Pleegzorg producten'!" &amp;
                            INDEX('Hulp (data export)'!$P:$P, COLUMN()+1)
                        ),
                        ('Hulp (overig)'!$L22 - 1) * 0,
                        ('Hulp (overig)'!$L22 - 1) * INDEX('Hulp (data export)'!$S:$S, COLUMN()+1)
                    ),
                    ""
                ),
                ""
            )
        )
    )
)</f>
        <v/>
      </c>
      <c r="CA21" s="288"/>
      <c r="CB21" s="288"/>
      <c r="CC21" s="288"/>
      <c r="CD21" s="288"/>
      <c r="CE21" s="288"/>
      <c r="CF21" s="288"/>
      <c r="CG21" s="288"/>
    </row>
    <row r="22" spans="1:85" x14ac:dyDescent="0.45">
      <c r="A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C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D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E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F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G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H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I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J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K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L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M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N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O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P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Q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R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S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T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U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V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W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X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Y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Z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A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B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C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D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E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F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G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H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I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J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K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L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M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N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O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P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Q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R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S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T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U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V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W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X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Y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AZ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A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B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C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D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E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F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G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H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I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J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K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L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M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N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O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P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Q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R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S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T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U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V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W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X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Y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BZ22" s="288" t="str">
        <f ca="1">IF(
    INDEX('Hulp (data export)'!$T:$T, COLUMN()+1)&lt;&gt;"",
    INDIRECT("'Hulp (overig)'!" &amp; INDEX('Hulp (data export)'!$T:$T, COLUMN()+1) &amp; ROW()+1),
    IF('Hulp (overig)'!$K23="Algemeen",
        IF(INDEX('Hulp (data export)'!$N:$N, COLUMN()+1)&lt;&gt;"",
            OFFSET(
                INDIRECT("'" &amp;
                    INDEX('Hulp (data export)'!$M:$M, COLUMN()+1) &amp;
                    "'!" &amp; INDEX('Hulp (data export)'!$N:$N, COLUMN()+1)
                ),
                ('Hulp (overig)'!$L23 - 1) * 0,
                ('Hulp (overig)'!$L23 - 1) * INDEX('Hulp (data export)'!$Q:$Q, COLUMN()+1)
            ),
            ""
        ),
        IF('Hulp (overig)'!$K23="Gezinshuis",
            IF(INDEX('Hulp (data export)'!$O:$O, COLUMN()+1)&lt;&gt;"",
                OFFSET(
                    INDIRECT("'3. Gezinshuis producten'!" &amp;
                        INDEX('Hulp (data export)'!$O:$O, COLUMN()+1)
                    ),
                    ('Hulp (overig)'!$L23 - 1) * 0,
                    ('Hulp (overig)'!$L23 - 1) * INDEX('Hulp (data export)'!$R:$R, COLUMN()+1)
                ),
                ""
            ),
            IF('Hulp (overig)'!$K23="Pleegzorg",
                IF(INDEX('Hulp (data export)'!$P:$P, COLUMN()+1)&lt;&gt;"",
                    OFFSET(
                        INDIRECT("'4. Pleegzorg producten'!" &amp;
                            INDEX('Hulp (data export)'!$P:$P, COLUMN()+1)
                        ),
                        ('Hulp (overig)'!$L23 - 1) * 0,
                        ('Hulp (overig)'!$L23 - 1) * INDEX('Hulp (data export)'!$S:$S, COLUMN()+1)
                    ),
                    ""
                ),
                ""
            )
        )
    )
)</f>
        <v/>
      </c>
      <c r="CA22" s="288"/>
      <c r="CB22" s="288"/>
      <c r="CC22" s="288"/>
      <c r="CD22" s="288"/>
      <c r="CE22" s="288"/>
      <c r="CF22" s="288"/>
      <c r="CG22" s="288"/>
    </row>
    <row r="23" spans="1:85" x14ac:dyDescent="0.45">
      <c r="A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C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D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E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F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G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H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I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J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K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L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M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N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O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P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Q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R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S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T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U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V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W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X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Y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Z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A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B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C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D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E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F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G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H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I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J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K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L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M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N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O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P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Q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R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S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T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U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V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W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X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Y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AZ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A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B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C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D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E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F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G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H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I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J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K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L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M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N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O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P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Q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R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S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T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U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V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W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X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Y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BZ23" s="288" t="str">
        <f ca="1">IF(
    INDEX('Hulp (data export)'!$T:$T, COLUMN()+1)&lt;&gt;"",
    INDIRECT("'Hulp (overig)'!" &amp; INDEX('Hulp (data export)'!$T:$T, COLUMN()+1) &amp; ROW()+1),
    IF('Hulp (overig)'!$K24="Algemeen",
        IF(INDEX('Hulp (data export)'!$N:$N, COLUMN()+1)&lt;&gt;"",
            OFFSET(
                INDIRECT("'" &amp;
                    INDEX('Hulp (data export)'!$M:$M, COLUMN()+1) &amp;
                    "'!" &amp; INDEX('Hulp (data export)'!$N:$N, COLUMN()+1)
                ),
                ('Hulp (overig)'!$L24 - 1) * 0,
                ('Hulp (overig)'!$L24 - 1) * INDEX('Hulp (data export)'!$Q:$Q, COLUMN()+1)
            ),
            ""
        ),
        IF('Hulp (overig)'!$K24="Gezinshuis",
            IF(INDEX('Hulp (data export)'!$O:$O, COLUMN()+1)&lt;&gt;"",
                OFFSET(
                    INDIRECT("'3. Gezinshuis producten'!" &amp;
                        INDEX('Hulp (data export)'!$O:$O, COLUMN()+1)
                    ),
                    ('Hulp (overig)'!$L24 - 1) * 0,
                    ('Hulp (overig)'!$L24 - 1) * INDEX('Hulp (data export)'!$R:$R, COLUMN()+1)
                ),
                ""
            ),
            IF('Hulp (overig)'!$K24="Pleegzorg",
                IF(INDEX('Hulp (data export)'!$P:$P, COLUMN()+1)&lt;&gt;"",
                    OFFSET(
                        INDIRECT("'4. Pleegzorg producten'!" &amp;
                            INDEX('Hulp (data export)'!$P:$P, COLUMN()+1)
                        ),
                        ('Hulp (overig)'!$L24 - 1) * 0,
                        ('Hulp (overig)'!$L24 - 1) * INDEX('Hulp (data export)'!$S:$S, COLUMN()+1)
                    ),
                    ""
                ),
                ""
            )
        )
    )
)</f>
        <v/>
      </c>
      <c r="CA23" s="288"/>
      <c r="CB23" s="288"/>
      <c r="CC23" s="288"/>
      <c r="CD23" s="288"/>
      <c r="CE23" s="288"/>
      <c r="CF23" s="288"/>
      <c r="CG23" s="288"/>
    </row>
    <row r="24" spans="1:85" x14ac:dyDescent="0.45">
      <c r="A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C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D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E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F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G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H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I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J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K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L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M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N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O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P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Q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R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S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T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U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V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W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X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Y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Z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A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B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C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D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E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F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G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H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I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J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K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L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M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N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O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P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Q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R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S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T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U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V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W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X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Y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AZ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A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B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C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D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E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F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G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H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I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J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K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L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M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N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O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P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Q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R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S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T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U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V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W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X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Y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BZ24" s="288" t="str">
        <f ca="1">IF(
    INDEX('Hulp (data export)'!$T:$T, COLUMN()+1)&lt;&gt;"",
    INDIRECT("'Hulp (overig)'!" &amp; INDEX('Hulp (data export)'!$T:$T, COLUMN()+1) &amp; ROW()+1),
    IF('Hulp (overig)'!$K25="Algemeen",
        IF(INDEX('Hulp (data export)'!$N:$N, COLUMN()+1)&lt;&gt;"",
            OFFSET(
                INDIRECT("'" &amp;
                    INDEX('Hulp (data export)'!$M:$M, COLUMN()+1) &amp;
                    "'!" &amp; INDEX('Hulp (data export)'!$N:$N, COLUMN()+1)
                ),
                ('Hulp (overig)'!$L25 - 1) * 0,
                ('Hulp (overig)'!$L25 - 1) * INDEX('Hulp (data export)'!$Q:$Q, COLUMN()+1)
            ),
            ""
        ),
        IF('Hulp (overig)'!$K25="Gezinshuis",
            IF(INDEX('Hulp (data export)'!$O:$O, COLUMN()+1)&lt;&gt;"",
                OFFSET(
                    INDIRECT("'3. Gezinshuis producten'!" &amp;
                        INDEX('Hulp (data export)'!$O:$O, COLUMN()+1)
                    ),
                    ('Hulp (overig)'!$L25 - 1) * 0,
                    ('Hulp (overig)'!$L25 - 1) * INDEX('Hulp (data export)'!$R:$R, COLUMN()+1)
                ),
                ""
            ),
            IF('Hulp (overig)'!$K25="Pleegzorg",
                IF(INDEX('Hulp (data export)'!$P:$P, COLUMN()+1)&lt;&gt;"",
                    OFFSET(
                        INDIRECT("'4. Pleegzorg producten'!" &amp;
                            INDEX('Hulp (data export)'!$P:$P, COLUMN()+1)
                        ),
                        ('Hulp (overig)'!$L25 - 1) * 0,
                        ('Hulp (overig)'!$L25 - 1) * INDEX('Hulp (data export)'!$S:$S, COLUMN()+1)
                    ),
                    ""
                ),
                ""
            )
        )
    )
)</f>
        <v/>
      </c>
      <c r="CA24" s="288"/>
      <c r="CB24" s="288"/>
      <c r="CC24" s="288"/>
      <c r="CD24" s="288"/>
      <c r="CE24" s="288"/>
      <c r="CF24" s="288"/>
      <c r="CG24" s="288"/>
    </row>
    <row r="25" spans="1:85" x14ac:dyDescent="0.45">
      <c r="A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C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D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E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F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G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H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I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J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K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L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M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N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O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P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Q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R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S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T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U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V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W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X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Y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Z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A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B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C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D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E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F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G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H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I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J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K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L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M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N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O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P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Q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R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S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T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U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V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W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X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Y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AZ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A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B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C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D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E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F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G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H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I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J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K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L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M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N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O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P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Q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R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S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T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U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V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W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X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Y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BZ25" s="288" t="str">
        <f ca="1">IF(
    INDEX('Hulp (data export)'!$T:$T, COLUMN()+1)&lt;&gt;"",
    INDIRECT("'Hulp (overig)'!" &amp; INDEX('Hulp (data export)'!$T:$T, COLUMN()+1) &amp; ROW()+1),
    IF('Hulp (overig)'!$K26="Algemeen",
        IF(INDEX('Hulp (data export)'!$N:$N, COLUMN()+1)&lt;&gt;"",
            OFFSET(
                INDIRECT("'" &amp;
                    INDEX('Hulp (data export)'!$M:$M, COLUMN()+1) &amp;
                    "'!" &amp; INDEX('Hulp (data export)'!$N:$N, COLUMN()+1)
                ),
                ('Hulp (overig)'!$L26 - 1) * 0,
                ('Hulp (overig)'!$L26 - 1) * INDEX('Hulp (data export)'!$Q:$Q, COLUMN()+1)
            ),
            ""
        ),
        IF('Hulp (overig)'!$K26="Gezinshuis",
            IF(INDEX('Hulp (data export)'!$O:$O, COLUMN()+1)&lt;&gt;"",
                OFFSET(
                    INDIRECT("'3. Gezinshuis producten'!" &amp;
                        INDEX('Hulp (data export)'!$O:$O, COLUMN()+1)
                    ),
                    ('Hulp (overig)'!$L26 - 1) * 0,
                    ('Hulp (overig)'!$L26 - 1) * INDEX('Hulp (data export)'!$R:$R, COLUMN()+1)
                ),
                ""
            ),
            IF('Hulp (overig)'!$K26="Pleegzorg",
                IF(INDEX('Hulp (data export)'!$P:$P, COLUMN()+1)&lt;&gt;"",
                    OFFSET(
                        INDIRECT("'4. Pleegzorg producten'!" &amp;
                            INDEX('Hulp (data export)'!$P:$P, COLUMN()+1)
                        ),
                        ('Hulp (overig)'!$L26 - 1) * 0,
                        ('Hulp (overig)'!$L26 - 1) * INDEX('Hulp (data export)'!$S:$S, COLUMN()+1)
                    ),
                    ""
                ),
                ""
            )
        )
    )
)</f>
        <v/>
      </c>
      <c r="CA25" s="288"/>
      <c r="CB25" s="288"/>
      <c r="CC25" s="288"/>
      <c r="CD25" s="288"/>
      <c r="CE25" s="288"/>
      <c r="CF25" s="288"/>
      <c r="CG25" s="288"/>
    </row>
    <row r="26" spans="1:85" x14ac:dyDescent="0.45">
      <c r="A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C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D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E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F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G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H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I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J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K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L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M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N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O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P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Q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R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S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T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U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V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W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X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Y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Z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A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B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C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D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E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F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G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H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I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J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K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L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M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N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O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P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Q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R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S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T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U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V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W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X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Y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AZ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A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B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C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D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E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F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G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H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I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J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K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L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M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N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O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P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Q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R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S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T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U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V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W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X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Y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BZ26" s="288" t="str">
        <f ca="1">IF(
    INDEX('Hulp (data export)'!$T:$T, COLUMN()+1)&lt;&gt;"",
    INDIRECT("'Hulp (overig)'!" &amp; INDEX('Hulp (data export)'!$T:$T, COLUMN()+1) &amp; ROW()+1),
    IF('Hulp (overig)'!$K27="Algemeen",
        IF(INDEX('Hulp (data export)'!$N:$N, COLUMN()+1)&lt;&gt;"",
            OFFSET(
                INDIRECT("'" &amp;
                    INDEX('Hulp (data export)'!$M:$M, COLUMN()+1) &amp;
                    "'!" &amp; INDEX('Hulp (data export)'!$N:$N, COLUMN()+1)
                ),
                ('Hulp (overig)'!$L27 - 1) * 0,
                ('Hulp (overig)'!$L27 - 1) * INDEX('Hulp (data export)'!$Q:$Q, COLUMN()+1)
            ),
            ""
        ),
        IF('Hulp (overig)'!$K27="Gezinshuis",
            IF(INDEX('Hulp (data export)'!$O:$O, COLUMN()+1)&lt;&gt;"",
                OFFSET(
                    INDIRECT("'3. Gezinshuis producten'!" &amp;
                        INDEX('Hulp (data export)'!$O:$O, COLUMN()+1)
                    ),
                    ('Hulp (overig)'!$L27 - 1) * 0,
                    ('Hulp (overig)'!$L27 - 1) * INDEX('Hulp (data export)'!$R:$R, COLUMN()+1)
                ),
                ""
            ),
            IF('Hulp (overig)'!$K27="Pleegzorg",
                IF(INDEX('Hulp (data export)'!$P:$P, COLUMN()+1)&lt;&gt;"",
                    OFFSET(
                        INDIRECT("'4. Pleegzorg producten'!" &amp;
                            INDEX('Hulp (data export)'!$P:$P, COLUMN()+1)
                        ),
                        ('Hulp (overig)'!$L27 - 1) * 0,
                        ('Hulp (overig)'!$L27 - 1) * INDEX('Hulp (data export)'!$S:$S, COLUMN()+1)
                    ),
                    ""
                ),
                ""
            )
        )
    )
)</f>
        <v/>
      </c>
      <c r="CA26" s="288"/>
      <c r="CB26" s="288"/>
      <c r="CC26" s="288"/>
      <c r="CD26" s="288"/>
      <c r="CE26" s="288"/>
      <c r="CF26" s="288"/>
      <c r="CG26" s="288"/>
    </row>
    <row r="27" spans="1:85" x14ac:dyDescent="0.45">
      <c r="A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C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D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E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F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G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H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I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J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K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L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M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N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O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P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Q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R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S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T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U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V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W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X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Y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Z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A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B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C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D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E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F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G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H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I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J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K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L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M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N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O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P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Q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R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S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T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U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V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W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X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Y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AZ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A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B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C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D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E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F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G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H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I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J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K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L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M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N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O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P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Q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R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S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T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U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V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W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X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Y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BZ27" s="288" t="str">
        <f ca="1">IF(
    INDEX('Hulp (data export)'!$T:$T, COLUMN()+1)&lt;&gt;"",
    INDIRECT("'Hulp (overig)'!" &amp; INDEX('Hulp (data export)'!$T:$T, COLUMN()+1) &amp; ROW()+1),
    IF('Hulp (overig)'!$K28="Algemeen",
        IF(INDEX('Hulp (data export)'!$N:$N, COLUMN()+1)&lt;&gt;"",
            OFFSET(
                INDIRECT("'" &amp;
                    INDEX('Hulp (data export)'!$M:$M, COLUMN()+1) &amp;
                    "'!" &amp; INDEX('Hulp (data export)'!$N:$N, COLUMN()+1)
                ),
                ('Hulp (overig)'!$L28 - 1) * 0,
                ('Hulp (overig)'!$L28 - 1) * INDEX('Hulp (data export)'!$Q:$Q, COLUMN()+1)
            ),
            ""
        ),
        IF('Hulp (overig)'!$K28="Gezinshuis",
            IF(INDEX('Hulp (data export)'!$O:$O, COLUMN()+1)&lt;&gt;"",
                OFFSET(
                    INDIRECT("'3. Gezinshuis producten'!" &amp;
                        INDEX('Hulp (data export)'!$O:$O, COLUMN()+1)
                    ),
                    ('Hulp (overig)'!$L28 - 1) * 0,
                    ('Hulp (overig)'!$L28 - 1) * INDEX('Hulp (data export)'!$R:$R, COLUMN()+1)
                ),
                ""
            ),
            IF('Hulp (overig)'!$K28="Pleegzorg",
                IF(INDEX('Hulp (data export)'!$P:$P, COLUMN()+1)&lt;&gt;"",
                    OFFSET(
                        INDIRECT("'4. Pleegzorg producten'!" &amp;
                            INDEX('Hulp (data export)'!$P:$P, COLUMN()+1)
                        ),
                        ('Hulp (overig)'!$L28 - 1) * 0,
                        ('Hulp (overig)'!$L28 - 1) * INDEX('Hulp (data export)'!$S:$S, COLUMN()+1)
                    ),
                    ""
                ),
                ""
            )
        )
    )
)</f>
        <v/>
      </c>
      <c r="CA27" s="288"/>
      <c r="CB27" s="288"/>
      <c r="CC27" s="288"/>
      <c r="CD27" s="288"/>
      <c r="CE27" s="288"/>
      <c r="CF27" s="288"/>
      <c r="CG27" s="288"/>
    </row>
    <row r="28" spans="1:85" x14ac:dyDescent="0.45">
      <c r="A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C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D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E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F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G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H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I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J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K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L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M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N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O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P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Q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R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S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T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U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V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W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X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Y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Z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A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B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C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D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E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F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G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H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I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J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K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L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M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N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O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P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Q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R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S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T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U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V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W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X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Y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AZ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A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B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C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D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E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F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G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H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I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J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K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L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M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N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O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P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Q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R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S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T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U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V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W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X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Y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BZ28" s="288" t="str">
        <f ca="1">IF(
    INDEX('Hulp (data export)'!$T:$T, COLUMN()+1)&lt;&gt;"",
    INDIRECT("'Hulp (overig)'!" &amp; INDEX('Hulp (data export)'!$T:$T, COLUMN()+1) &amp; ROW()+1),
    IF('Hulp (overig)'!$K29="Algemeen",
        IF(INDEX('Hulp (data export)'!$N:$N, COLUMN()+1)&lt;&gt;"",
            OFFSET(
                INDIRECT("'" &amp;
                    INDEX('Hulp (data export)'!$M:$M, COLUMN()+1) &amp;
                    "'!" &amp; INDEX('Hulp (data export)'!$N:$N, COLUMN()+1)
                ),
                ('Hulp (overig)'!$L29 - 1) * 0,
                ('Hulp (overig)'!$L29 - 1) * INDEX('Hulp (data export)'!$Q:$Q, COLUMN()+1)
            ),
            ""
        ),
        IF('Hulp (overig)'!$K29="Gezinshuis",
            IF(INDEX('Hulp (data export)'!$O:$O, COLUMN()+1)&lt;&gt;"",
                OFFSET(
                    INDIRECT("'3. Gezinshuis producten'!" &amp;
                        INDEX('Hulp (data export)'!$O:$O, COLUMN()+1)
                    ),
                    ('Hulp (overig)'!$L29 - 1) * 0,
                    ('Hulp (overig)'!$L29 - 1) * INDEX('Hulp (data export)'!$R:$R, COLUMN()+1)
                ),
                ""
            ),
            IF('Hulp (overig)'!$K29="Pleegzorg",
                IF(INDEX('Hulp (data export)'!$P:$P, COLUMN()+1)&lt;&gt;"",
                    OFFSET(
                        INDIRECT("'4. Pleegzorg producten'!" &amp;
                            INDEX('Hulp (data export)'!$P:$P, COLUMN()+1)
                        ),
                        ('Hulp (overig)'!$L29 - 1) * 0,
                        ('Hulp (overig)'!$L29 - 1) * INDEX('Hulp (data export)'!$S:$S, COLUMN()+1)
                    ),
                    ""
                ),
                ""
            )
        )
    )
)</f>
        <v/>
      </c>
      <c r="CA28" s="288"/>
      <c r="CB28" s="288"/>
      <c r="CC28" s="288"/>
      <c r="CD28" s="288"/>
      <c r="CE28" s="288"/>
      <c r="CF28" s="288"/>
      <c r="CG28" s="288"/>
    </row>
    <row r="29" spans="1:85" x14ac:dyDescent="0.45">
      <c r="A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C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D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E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F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G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H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I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J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K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L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M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N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O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P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Q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R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S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T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U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V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W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X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Y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Z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A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B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C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D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E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F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G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H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I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J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K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L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M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N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O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P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Q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R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S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T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U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V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W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X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Y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AZ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A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B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C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D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E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F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G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H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I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J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K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L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M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N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O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P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Q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R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S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T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U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V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W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X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Y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BZ29" s="288" t="str">
        <f ca="1">IF(
    INDEX('Hulp (data export)'!$T:$T, COLUMN()+1)&lt;&gt;"",
    INDIRECT("'Hulp (overig)'!" &amp; INDEX('Hulp (data export)'!$T:$T, COLUMN()+1) &amp; ROW()+1),
    IF('Hulp (overig)'!$K30="Algemeen",
        IF(INDEX('Hulp (data export)'!$N:$N, COLUMN()+1)&lt;&gt;"",
            OFFSET(
                INDIRECT("'" &amp;
                    INDEX('Hulp (data export)'!$M:$M, COLUMN()+1) &amp;
                    "'!" &amp; INDEX('Hulp (data export)'!$N:$N, COLUMN()+1)
                ),
                ('Hulp (overig)'!$L30 - 1) * 0,
                ('Hulp (overig)'!$L30 - 1) * INDEX('Hulp (data export)'!$Q:$Q, COLUMN()+1)
            ),
            ""
        ),
        IF('Hulp (overig)'!$K30="Gezinshuis",
            IF(INDEX('Hulp (data export)'!$O:$O, COLUMN()+1)&lt;&gt;"",
                OFFSET(
                    INDIRECT("'3. Gezinshuis producten'!" &amp;
                        INDEX('Hulp (data export)'!$O:$O, COLUMN()+1)
                    ),
                    ('Hulp (overig)'!$L30 - 1) * 0,
                    ('Hulp (overig)'!$L30 - 1) * INDEX('Hulp (data export)'!$R:$R, COLUMN()+1)
                ),
                ""
            ),
            IF('Hulp (overig)'!$K30="Pleegzorg",
                IF(INDEX('Hulp (data export)'!$P:$P, COLUMN()+1)&lt;&gt;"",
                    OFFSET(
                        INDIRECT("'4. Pleegzorg producten'!" &amp;
                            INDEX('Hulp (data export)'!$P:$P, COLUMN()+1)
                        ),
                        ('Hulp (overig)'!$L30 - 1) * 0,
                        ('Hulp (overig)'!$L30 - 1) * INDEX('Hulp (data export)'!$S:$S, COLUMN()+1)
                    ),
                    ""
                ),
                ""
            )
        )
    )
)</f>
        <v/>
      </c>
      <c r="CA29" s="288"/>
      <c r="CB29" s="288"/>
      <c r="CC29" s="288"/>
      <c r="CD29" s="288"/>
      <c r="CE29" s="288"/>
      <c r="CF29" s="288"/>
      <c r="CG29" s="288"/>
    </row>
    <row r="30" spans="1:85" x14ac:dyDescent="0.45">
      <c r="A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C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D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E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F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G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H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I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J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K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L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M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N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O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P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Q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R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S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T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U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V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W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X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Y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Z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A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B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C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D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E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F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G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H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I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J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K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L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M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N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O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P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Q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R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S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T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U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V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W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X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Y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AZ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A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B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C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D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E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F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G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H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I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J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K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L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M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N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O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P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Q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R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S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T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U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V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W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X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Y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BZ30" s="288" t="str">
        <f ca="1">IF(
    INDEX('Hulp (data export)'!$T:$T, COLUMN()+1)&lt;&gt;"",
    INDIRECT("'Hulp (overig)'!" &amp; INDEX('Hulp (data export)'!$T:$T, COLUMN()+1) &amp; ROW()+1),
    IF('Hulp (overig)'!$K31="Algemeen",
        IF(INDEX('Hulp (data export)'!$N:$N, COLUMN()+1)&lt;&gt;"",
            OFFSET(
                INDIRECT("'" &amp;
                    INDEX('Hulp (data export)'!$M:$M, COLUMN()+1) &amp;
                    "'!" &amp; INDEX('Hulp (data export)'!$N:$N, COLUMN()+1)
                ),
                ('Hulp (overig)'!$L31 - 1) * 0,
                ('Hulp (overig)'!$L31 - 1) * INDEX('Hulp (data export)'!$Q:$Q, COLUMN()+1)
            ),
            ""
        ),
        IF('Hulp (overig)'!$K31="Gezinshuis",
            IF(INDEX('Hulp (data export)'!$O:$O, COLUMN()+1)&lt;&gt;"",
                OFFSET(
                    INDIRECT("'3. Gezinshuis producten'!" &amp;
                        INDEX('Hulp (data export)'!$O:$O, COLUMN()+1)
                    ),
                    ('Hulp (overig)'!$L31 - 1) * 0,
                    ('Hulp (overig)'!$L31 - 1) * INDEX('Hulp (data export)'!$R:$R, COLUMN()+1)
                ),
                ""
            ),
            IF('Hulp (overig)'!$K31="Pleegzorg",
                IF(INDEX('Hulp (data export)'!$P:$P, COLUMN()+1)&lt;&gt;"",
                    OFFSET(
                        INDIRECT("'4. Pleegzorg producten'!" &amp;
                            INDEX('Hulp (data export)'!$P:$P, COLUMN()+1)
                        ),
                        ('Hulp (overig)'!$L31 - 1) * 0,
                        ('Hulp (overig)'!$L31 - 1) * INDEX('Hulp (data export)'!$S:$S, COLUMN()+1)
                    ),
                    ""
                ),
                ""
            )
        )
    )
)</f>
        <v/>
      </c>
      <c r="CA30" s="288"/>
      <c r="CB30" s="288"/>
      <c r="CC30" s="288"/>
      <c r="CD30" s="288"/>
      <c r="CE30" s="288"/>
      <c r="CF30" s="288"/>
      <c r="CG30" s="288"/>
    </row>
    <row r="31" spans="1:85" x14ac:dyDescent="0.45">
      <c r="A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C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D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E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F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G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H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I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J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K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L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M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N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O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P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Q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R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S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T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U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V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W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X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Y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Z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A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B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C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D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E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F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G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H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I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J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K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L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M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N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O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P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Q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R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S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T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U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V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W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X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Y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AZ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A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B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C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D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E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F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G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H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I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J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K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L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M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N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O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P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Q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R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S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T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U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V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W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X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Y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BZ31" s="288" t="str">
        <f ca="1">IF(
    INDEX('Hulp (data export)'!$T:$T, COLUMN()+1)&lt;&gt;"",
    INDIRECT("'Hulp (overig)'!" &amp; INDEX('Hulp (data export)'!$T:$T, COLUMN()+1) &amp; ROW()+1),
    IF('Hulp (overig)'!$K32="Algemeen",
        IF(INDEX('Hulp (data export)'!$N:$N, COLUMN()+1)&lt;&gt;"",
            OFFSET(
                INDIRECT("'" &amp;
                    INDEX('Hulp (data export)'!$M:$M, COLUMN()+1) &amp;
                    "'!" &amp; INDEX('Hulp (data export)'!$N:$N, COLUMN()+1)
                ),
                ('Hulp (overig)'!$L32 - 1) * 0,
                ('Hulp (overig)'!$L32 - 1) * INDEX('Hulp (data export)'!$Q:$Q, COLUMN()+1)
            ),
            ""
        ),
        IF('Hulp (overig)'!$K32="Gezinshuis",
            IF(INDEX('Hulp (data export)'!$O:$O, COLUMN()+1)&lt;&gt;"",
                OFFSET(
                    INDIRECT("'3. Gezinshuis producten'!" &amp;
                        INDEX('Hulp (data export)'!$O:$O, COLUMN()+1)
                    ),
                    ('Hulp (overig)'!$L32 - 1) * 0,
                    ('Hulp (overig)'!$L32 - 1) * INDEX('Hulp (data export)'!$R:$R, COLUMN()+1)
                ),
                ""
            ),
            IF('Hulp (overig)'!$K32="Pleegzorg",
                IF(INDEX('Hulp (data export)'!$P:$P, COLUMN()+1)&lt;&gt;"",
                    OFFSET(
                        INDIRECT("'4. Pleegzorg producten'!" &amp;
                            INDEX('Hulp (data export)'!$P:$P, COLUMN()+1)
                        ),
                        ('Hulp (overig)'!$L32 - 1) * 0,
                        ('Hulp (overig)'!$L32 - 1) * INDEX('Hulp (data export)'!$S:$S, COLUMN()+1)
                    ),
                    ""
                ),
                ""
            )
        )
    )
)</f>
        <v/>
      </c>
      <c r="CA31" s="288"/>
      <c r="CB31" s="288"/>
      <c r="CC31" s="288"/>
      <c r="CD31" s="288"/>
      <c r="CE31" s="288"/>
      <c r="CF31" s="288"/>
      <c r="CG31" s="288"/>
    </row>
    <row r="32" spans="1:85" x14ac:dyDescent="0.45">
      <c r="A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C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D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E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F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G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H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I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J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K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L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M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N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O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P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Q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R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S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T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U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V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W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X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Y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Z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A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B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C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D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E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F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G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H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I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J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K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L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M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N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O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P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Q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R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S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T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U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V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W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X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Y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AZ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A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B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C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D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E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F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G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H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I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J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K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L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M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N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O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P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Q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R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S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T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U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V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W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X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Y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BZ32" s="288" t="str">
        <f ca="1">IF(
    INDEX('Hulp (data export)'!$T:$T, COLUMN()+1)&lt;&gt;"",
    INDIRECT("'Hulp (overig)'!" &amp; INDEX('Hulp (data export)'!$T:$T, COLUMN()+1) &amp; ROW()+1),
    IF('Hulp (overig)'!$K33="Algemeen",
        IF(INDEX('Hulp (data export)'!$N:$N, COLUMN()+1)&lt;&gt;"",
            OFFSET(
                INDIRECT("'" &amp;
                    INDEX('Hulp (data export)'!$M:$M, COLUMN()+1) &amp;
                    "'!" &amp; INDEX('Hulp (data export)'!$N:$N, COLUMN()+1)
                ),
                ('Hulp (overig)'!$L33 - 1) * 0,
                ('Hulp (overig)'!$L33 - 1) * INDEX('Hulp (data export)'!$Q:$Q, COLUMN()+1)
            ),
            ""
        ),
        IF('Hulp (overig)'!$K33="Gezinshuis",
            IF(INDEX('Hulp (data export)'!$O:$O, COLUMN()+1)&lt;&gt;"",
                OFFSET(
                    INDIRECT("'3. Gezinshuis producten'!" &amp;
                        INDEX('Hulp (data export)'!$O:$O, COLUMN()+1)
                    ),
                    ('Hulp (overig)'!$L33 - 1) * 0,
                    ('Hulp (overig)'!$L33 - 1) * INDEX('Hulp (data export)'!$R:$R, COLUMN()+1)
                ),
                ""
            ),
            IF('Hulp (overig)'!$K33="Pleegzorg",
                IF(INDEX('Hulp (data export)'!$P:$P, COLUMN()+1)&lt;&gt;"",
                    OFFSET(
                        INDIRECT("'4. Pleegzorg producten'!" &amp;
                            INDEX('Hulp (data export)'!$P:$P, COLUMN()+1)
                        ),
                        ('Hulp (overig)'!$L33 - 1) * 0,
                        ('Hulp (overig)'!$L33 - 1) * INDEX('Hulp (data export)'!$S:$S, COLUMN()+1)
                    ),
                    ""
                ),
                ""
            )
        )
    )
)</f>
        <v/>
      </c>
      <c r="CA32" s="288"/>
      <c r="CB32" s="288"/>
      <c r="CC32" s="288"/>
      <c r="CD32" s="288"/>
      <c r="CE32" s="288"/>
      <c r="CF32" s="288"/>
      <c r="CG32" s="288"/>
    </row>
    <row r="33" spans="1:85" x14ac:dyDescent="0.45">
      <c r="A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C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D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E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F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G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H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I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J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K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L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M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N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O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P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Q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R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S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T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U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V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W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X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Y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Z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A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B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C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D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E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F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G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H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I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J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K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L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M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N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O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P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Q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R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S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T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U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V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W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X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Y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AZ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A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B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C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D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E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F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G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H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I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J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K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L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M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N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O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P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Q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R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S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T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U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V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W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X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Y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BZ33" s="288" t="str">
        <f ca="1">IF(
    INDEX('Hulp (data export)'!$T:$T, COLUMN()+1)&lt;&gt;"",
    INDIRECT("'Hulp (overig)'!" &amp; INDEX('Hulp (data export)'!$T:$T, COLUMN()+1) &amp; ROW()+1),
    IF('Hulp (overig)'!$K34="Algemeen",
        IF(INDEX('Hulp (data export)'!$N:$N, COLUMN()+1)&lt;&gt;"",
            OFFSET(
                INDIRECT("'" &amp;
                    INDEX('Hulp (data export)'!$M:$M, COLUMN()+1) &amp;
                    "'!" &amp; INDEX('Hulp (data export)'!$N:$N, COLUMN()+1)
                ),
                ('Hulp (overig)'!$L34 - 1) * 0,
                ('Hulp (overig)'!$L34 - 1) * INDEX('Hulp (data export)'!$Q:$Q, COLUMN()+1)
            ),
            ""
        ),
        IF('Hulp (overig)'!$K34="Gezinshuis",
            IF(INDEX('Hulp (data export)'!$O:$O, COLUMN()+1)&lt;&gt;"",
                OFFSET(
                    INDIRECT("'3. Gezinshuis producten'!" &amp;
                        INDEX('Hulp (data export)'!$O:$O, COLUMN()+1)
                    ),
                    ('Hulp (overig)'!$L34 - 1) * 0,
                    ('Hulp (overig)'!$L34 - 1) * INDEX('Hulp (data export)'!$R:$R, COLUMN()+1)
                ),
                ""
            ),
            IF('Hulp (overig)'!$K34="Pleegzorg",
                IF(INDEX('Hulp (data export)'!$P:$P, COLUMN()+1)&lt;&gt;"",
                    OFFSET(
                        INDIRECT("'4. Pleegzorg producten'!" &amp;
                            INDEX('Hulp (data export)'!$P:$P, COLUMN()+1)
                        ),
                        ('Hulp (overig)'!$L34 - 1) * 0,
                        ('Hulp (overig)'!$L34 - 1) * INDEX('Hulp (data export)'!$S:$S, COLUMN()+1)
                    ),
                    ""
                ),
                ""
            )
        )
    )
)</f>
        <v/>
      </c>
      <c r="CA33" s="288"/>
      <c r="CB33" s="288"/>
      <c r="CC33" s="288"/>
      <c r="CD33" s="288"/>
      <c r="CE33" s="288"/>
      <c r="CF33" s="288"/>
      <c r="CG33" s="288"/>
    </row>
    <row r="34" spans="1:85" x14ac:dyDescent="0.45">
      <c r="A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C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D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E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F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G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H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I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J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K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L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M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N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O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P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Q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R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S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T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U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V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W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X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Y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Z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A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B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C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D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E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F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G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H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I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J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K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L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M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N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O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P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Q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R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S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T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U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V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W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X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Y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AZ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A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B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C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D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E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F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G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H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I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J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K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L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M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N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O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P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Q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R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S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T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U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V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W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X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Y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BZ34" s="288" t="str">
        <f ca="1">IF(
    INDEX('Hulp (data export)'!$T:$T, COLUMN()+1)&lt;&gt;"",
    INDIRECT("'Hulp (overig)'!" &amp; INDEX('Hulp (data export)'!$T:$T, COLUMN()+1) &amp; ROW()+1),
    IF('Hulp (overig)'!$K35="Algemeen",
        IF(INDEX('Hulp (data export)'!$N:$N, COLUMN()+1)&lt;&gt;"",
            OFFSET(
                INDIRECT("'" &amp;
                    INDEX('Hulp (data export)'!$M:$M, COLUMN()+1) &amp;
                    "'!" &amp; INDEX('Hulp (data export)'!$N:$N, COLUMN()+1)
                ),
                ('Hulp (overig)'!$L35 - 1) * 0,
                ('Hulp (overig)'!$L35 - 1) * INDEX('Hulp (data export)'!$Q:$Q, COLUMN()+1)
            ),
            ""
        ),
        IF('Hulp (overig)'!$K35="Gezinshuis",
            IF(INDEX('Hulp (data export)'!$O:$O, COLUMN()+1)&lt;&gt;"",
                OFFSET(
                    INDIRECT("'3. Gezinshuis producten'!" &amp;
                        INDEX('Hulp (data export)'!$O:$O, COLUMN()+1)
                    ),
                    ('Hulp (overig)'!$L35 - 1) * 0,
                    ('Hulp (overig)'!$L35 - 1) * INDEX('Hulp (data export)'!$R:$R, COLUMN()+1)
                ),
                ""
            ),
            IF('Hulp (overig)'!$K35="Pleegzorg",
                IF(INDEX('Hulp (data export)'!$P:$P, COLUMN()+1)&lt;&gt;"",
                    OFFSET(
                        INDIRECT("'4. Pleegzorg producten'!" &amp;
                            INDEX('Hulp (data export)'!$P:$P, COLUMN()+1)
                        ),
                        ('Hulp (overig)'!$L35 - 1) * 0,
                        ('Hulp (overig)'!$L35 - 1) * INDEX('Hulp (data export)'!$S:$S, COLUMN()+1)
                    ),
                    ""
                ),
                ""
            )
        )
    )
)</f>
        <v/>
      </c>
      <c r="CA34" s="288"/>
      <c r="CB34" s="288"/>
      <c r="CC34" s="288"/>
      <c r="CD34" s="288"/>
      <c r="CE34" s="288"/>
      <c r="CF34" s="288"/>
      <c r="CG34" s="288"/>
    </row>
    <row r="35" spans="1:85" x14ac:dyDescent="0.45">
      <c r="A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C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D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E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F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G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H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I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J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K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L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M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N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O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P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Q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R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S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T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U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V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W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X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Y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Z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A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B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C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D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E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F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G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H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I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J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K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L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M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N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O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P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Q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R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S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T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U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V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W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X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Y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AZ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A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B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C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D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E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F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G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H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I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J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K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L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M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N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O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P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Q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R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S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T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U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V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W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X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Y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BZ35" s="288" t="str">
        <f ca="1">IF(
    INDEX('Hulp (data export)'!$T:$T, COLUMN()+1)&lt;&gt;"",
    INDIRECT("'Hulp (overig)'!" &amp; INDEX('Hulp (data export)'!$T:$T, COLUMN()+1) &amp; ROW()+1),
    IF('Hulp (overig)'!$K36="Algemeen",
        IF(INDEX('Hulp (data export)'!$N:$N, COLUMN()+1)&lt;&gt;"",
            OFFSET(
                INDIRECT("'" &amp;
                    INDEX('Hulp (data export)'!$M:$M, COLUMN()+1) &amp;
                    "'!" &amp; INDEX('Hulp (data export)'!$N:$N, COLUMN()+1)
                ),
                ('Hulp (overig)'!$L36 - 1) * 0,
                ('Hulp (overig)'!$L36 - 1) * INDEX('Hulp (data export)'!$Q:$Q, COLUMN()+1)
            ),
            ""
        ),
        IF('Hulp (overig)'!$K36="Gezinshuis",
            IF(INDEX('Hulp (data export)'!$O:$O, COLUMN()+1)&lt;&gt;"",
                OFFSET(
                    INDIRECT("'3. Gezinshuis producten'!" &amp;
                        INDEX('Hulp (data export)'!$O:$O, COLUMN()+1)
                    ),
                    ('Hulp (overig)'!$L36 - 1) * 0,
                    ('Hulp (overig)'!$L36 - 1) * INDEX('Hulp (data export)'!$R:$R, COLUMN()+1)
                ),
                ""
            ),
            IF('Hulp (overig)'!$K36="Pleegzorg",
                IF(INDEX('Hulp (data export)'!$P:$P, COLUMN()+1)&lt;&gt;"",
                    OFFSET(
                        INDIRECT("'4. Pleegzorg producten'!" &amp;
                            INDEX('Hulp (data export)'!$P:$P, COLUMN()+1)
                        ),
                        ('Hulp (overig)'!$L36 - 1) * 0,
                        ('Hulp (overig)'!$L36 - 1) * INDEX('Hulp (data export)'!$S:$S, COLUMN()+1)
                    ),
                    ""
                ),
                ""
            )
        )
    )
)</f>
        <v/>
      </c>
      <c r="CA35" s="288"/>
      <c r="CB35" s="288"/>
      <c r="CC35" s="288"/>
      <c r="CD35" s="288"/>
      <c r="CE35" s="288"/>
      <c r="CF35" s="288"/>
      <c r="CG35" s="288"/>
    </row>
    <row r="36" spans="1:85" x14ac:dyDescent="0.45">
      <c r="A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C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D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E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F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G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H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I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J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K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L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M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N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O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P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Q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R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S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T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U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V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W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X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Y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Z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A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B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C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D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E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F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G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H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I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J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K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L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M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N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O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P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Q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R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S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T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U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V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W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X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Y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AZ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A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B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C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D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E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F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G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H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I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J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K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L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M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N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O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P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Q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R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S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T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U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V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W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X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Y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BZ36" s="288" t="str">
        <f ca="1">IF(
    INDEX('Hulp (data export)'!$T:$T, COLUMN()+1)&lt;&gt;"",
    INDIRECT("'Hulp (overig)'!" &amp; INDEX('Hulp (data export)'!$T:$T, COLUMN()+1) &amp; ROW()+1),
    IF('Hulp (overig)'!$K37="Algemeen",
        IF(INDEX('Hulp (data export)'!$N:$N, COLUMN()+1)&lt;&gt;"",
            OFFSET(
                INDIRECT("'" &amp;
                    INDEX('Hulp (data export)'!$M:$M, COLUMN()+1) &amp;
                    "'!" &amp; INDEX('Hulp (data export)'!$N:$N, COLUMN()+1)
                ),
                ('Hulp (overig)'!$L37 - 1) * 0,
                ('Hulp (overig)'!$L37 - 1) * INDEX('Hulp (data export)'!$Q:$Q, COLUMN()+1)
            ),
            ""
        ),
        IF('Hulp (overig)'!$K37="Gezinshuis",
            IF(INDEX('Hulp (data export)'!$O:$O, COLUMN()+1)&lt;&gt;"",
                OFFSET(
                    INDIRECT("'3. Gezinshuis producten'!" &amp;
                        INDEX('Hulp (data export)'!$O:$O, COLUMN()+1)
                    ),
                    ('Hulp (overig)'!$L37 - 1) * 0,
                    ('Hulp (overig)'!$L37 - 1) * INDEX('Hulp (data export)'!$R:$R, COLUMN()+1)
                ),
                ""
            ),
            IF('Hulp (overig)'!$K37="Pleegzorg",
                IF(INDEX('Hulp (data export)'!$P:$P, COLUMN()+1)&lt;&gt;"",
                    OFFSET(
                        INDIRECT("'4. Pleegzorg producten'!" &amp;
                            INDEX('Hulp (data export)'!$P:$P, COLUMN()+1)
                        ),
                        ('Hulp (overig)'!$L37 - 1) * 0,
                        ('Hulp (overig)'!$L37 - 1) * INDEX('Hulp (data export)'!$S:$S, COLUMN()+1)
                    ),
                    ""
                ),
                ""
            )
        )
    )
)</f>
        <v/>
      </c>
      <c r="CA36" s="288"/>
      <c r="CB36" s="288"/>
      <c r="CC36" s="288"/>
      <c r="CD36" s="288"/>
      <c r="CE36" s="288"/>
      <c r="CF36" s="288"/>
      <c r="CG36" s="288"/>
    </row>
    <row r="37" spans="1:85" x14ac:dyDescent="0.45">
      <c r="A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C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D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E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F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G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H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I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J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K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L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M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N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O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P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Q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R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S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T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U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V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W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X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Y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Z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A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B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C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D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E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F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G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H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I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J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K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L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M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N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O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P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Q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R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S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T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U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V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W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X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Y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AZ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A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B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C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D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E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F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G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H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I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J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K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L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M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N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O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P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Q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R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S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T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U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V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W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X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Y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BZ37" s="288" t="str">
        <f ca="1">IF(
    INDEX('Hulp (data export)'!$T:$T, COLUMN()+1)&lt;&gt;"",
    INDIRECT("'Hulp (overig)'!" &amp; INDEX('Hulp (data export)'!$T:$T, COLUMN()+1) &amp; ROW()+1),
    IF('Hulp (overig)'!$K38="Algemeen",
        IF(INDEX('Hulp (data export)'!$N:$N, COLUMN()+1)&lt;&gt;"",
            OFFSET(
                INDIRECT("'" &amp;
                    INDEX('Hulp (data export)'!$M:$M, COLUMN()+1) &amp;
                    "'!" &amp; INDEX('Hulp (data export)'!$N:$N, COLUMN()+1)
                ),
                ('Hulp (overig)'!$L38 - 1) * 0,
                ('Hulp (overig)'!$L38 - 1) * INDEX('Hulp (data export)'!$Q:$Q, COLUMN()+1)
            ),
            ""
        ),
        IF('Hulp (overig)'!$K38="Gezinshuis",
            IF(INDEX('Hulp (data export)'!$O:$O, COLUMN()+1)&lt;&gt;"",
                OFFSET(
                    INDIRECT("'3. Gezinshuis producten'!" &amp;
                        INDEX('Hulp (data export)'!$O:$O, COLUMN()+1)
                    ),
                    ('Hulp (overig)'!$L38 - 1) * 0,
                    ('Hulp (overig)'!$L38 - 1) * INDEX('Hulp (data export)'!$R:$R, COLUMN()+1)
                ),
                ""
            ),
            IF('Hulp (overig)'!$K38="Pleegzorg",
                IF(INDEX('Hulp (data export)'!$P:$P, COLUMN()+1)&lt;&gt;"",
                    OFFSET(
                        INDIRECT("'4. Pleegzorg producten'!" &amp;
                            INDEX('Hulp (data export)'!$P:$P, COLUMN()+1)
                        ),
                        ('Hulp (overig)'!$L38 - 1) * 0,
                        ('Hulp (overig)'!$L38 - 1) * INDEX('Hulp (data export)'!$S:$S, COLUMN()+1)
                    ),
                    ""
                ),
                ""
            )
        )
    )
)</f>
        <v/>
      </c>
      <c r="CA37" s="288"/>
      <c r="CB37" s="288"/>
      <c r="CC37" s="288"/>
      <c r="CD37" s="288"/>
      <c r="CE37" s="288"/>
      <c r="CF37" s="288"/>
      <c r="CG37" s="288"/>
    </row>
    <row r="38" spans="1:85" x14ac:dyDescent="0.45">
      <c r="A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C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D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E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F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G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H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I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J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K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L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M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N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O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P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Q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R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S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T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U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V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W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X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Y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Z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A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B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C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D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E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F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G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H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I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J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K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L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M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N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O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P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Q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R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S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T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U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V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W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X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Y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AZ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A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B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C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D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E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F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G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H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I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J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K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L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M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N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O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P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Q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R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S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T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U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V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W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X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Y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BZ38" s="288" t="str">
        <f ca="1">IF(
    INDEX('Hulp (data export)'!$T:$T, COLUMN()+1)&lt;&gt;"",
    INDIRECT("'Hulp (overig)'!" &amp; INDEX('Hulp (data export)'!$T:$T, COLUMN()+1) &amp; ROW()+1),
    IF('Hulp (overig)'!$K39="Algemeen",
        IF(INDEX('Hulp (data export)'!$N:$N, COLUMN()+1)&lt;&gt;"",
            OFFSET(
                INDIRECT("'" &amp;
                    INDEX('Hulp (data export)'!$M:$M, COLUMN()+1) &amp;
                    "'!" &amp; INDEX('Hulp (data export)'!$N:$N, COLUMN()+1)
                ),
                ('Hulp (overig)'!$L39 - 1) * 0,
                ('Hulp (overig)'!$L39 - 1) * INDEX('Hulp (data export)'!$Q:$Q, COLUMN()+1)
            ),
            ""
        ),
        IF('Hulp (overig)'!$K39="Gezinshuis",
            IF(INDEX('Hulp (data export)'!$O:$O, COLUMN()+1)&lt;&gt;"",
                OFFSET(
                    INDIRECT("'3. Gezinshuis producten'!" &amp;
                        INDEX('Hulp (data export)'!$O:$O, COLUMN()+1)
                    ),
                    ('Hulp (overig)'!$L39 - 1) * 0,
                    ('Hulp (overig)'!$L39 - 1) * INDEX('Hulp (data export)'!$R:$R, COLUMN()+1)
                ),
                ""
            ),
            IF('Hulp (overig)'!$K39="Pleegzorg",
                IF(INDEX('Hulp (data export)'!$P:$P, COLUMN()+1)&lt;&gt;"",
                    OFFSET(
                        INDIRECT("'4. Pleegzorg producten'!" &amp;
                            INDEX('Hulp (data export)'!$P:$P, COLUMN()+1)
                        ),
                        ('Hulp (overig)'!$L39 - 1) * 0,
                        ('Hulp (overig)'!$L39 - 1) * INDEX('Hulp (data export)'!$S:$S, COLUMN()+1)
                    ),
                    ""
                ),
                ""
            )
        )
    )
)</f>
        <v/>
      </c>
      <c r="CA38" s="288"/>
      <c r="CB38" s="288"/>
      <c r="CC38" s="288"/>
      <c r="CD38" s="288"/>
      <c r="CE38" s="288"/>
      <c r="CF38" s="288"/>
      <c r="CG38" s="288"/>
    </row>
    <row r="39" spans="1:85" x14ac:dyDescent="0.45">
      <c r="A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C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D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E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F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G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H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I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J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K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L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M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N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O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P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Q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R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S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T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U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V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W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X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Y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Z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A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B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C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D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E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F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G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H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I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J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K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L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M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N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O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P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Q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R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S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T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U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V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W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X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Y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AZ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A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B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C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D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E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F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G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H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I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J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K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L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M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N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O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P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Q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R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S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T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U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V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W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X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Y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BZ39" s="288" t="str">
        <f ca="1">IF(
    INDEX('Hulp (data export)'!$T:$T, COLUMN()+1)&lt;&gt;"",
    INDIRECT("'Hulp (overig)'!" &amp; INDEX('Hulp (data export)'!$T:$T, COLUMN()+1) &amp; ROW()+1),
    IF('Hulp (overig)'!$K40="Algemeen",
        IF(INDEX('Hulp (data export)'!$N:$N, COLUMN()+1)&lt;&gt;"",
            OFFSET(
                INDIRECT("'" &amp;
                    INDEX('Hulp (data export)'!$M:$M, COLUMN()+1) &amp;
                    "'!" &amp; INDEX('Hulp (data export)'!$N:$N, COLUMN()+1)
                ),
                ('Hulp (overig)'!$L40 - 1) * 0,
                ('Hulp (overig)'!$L40 - 1) * INDEX('Hulp (data export)'!$Q:$Q, COLUMN()+1)
            ),
            ""
        ),
        IF('Hulp (overig)'!$K40="Gezinshuis",
            IF(INDEX('Hulp (data export)'!$O:$O, COLUMN()+1)&lt;&gt;"",
                OFFSET(
                    INDIRECT("'3. Gezinshuis producten'!" &amp;
                        INDEX('Hulp (data export)'!$O:$O, COLUMN()+1)
                    ),
                    ('Hulp (overig)'!$L40 - 1) * 0,
                    ('Hulp (overig)'!$L40 - 1) * INDEX('Hulp (data export)'!$R:$R, COLUMN()+1)
                ),
                ""
            ),
            IF('Hulp (overig)'!$K40="Pleegzorg",
                IF(INDEX('Hulp (data export)'!$P:$P, COLUMN()+1)&lt;&gt;"",
                    OFFSET(
                        INDIRECT("'4. Pleegzorg producten'!" &amp;
                            INDEX('Hulp (data export)'!$P:$P, COLUMN()+1)
                        ),
                        ('Hulp (overig)'!$L40 - 1) * 0,
                        ('Hulp (overig)'!$L40 - 1) * INDEX('Hulp (data export)'!$S:$S, COLUMN()+1)
                    ),
                    ""
                ),
                ""
            )
        )
    )
)</f>
        <v/>
      </c>
      <c r="CA39" s="288"/>
      <c r="CB39" s="288"/>
      <c r="CC39" s="288"/>
      <c r="CD39" s="288"/>
      <c r="CE39" s="288"/>
      <c r="CF39" s="288"/>
      <c r="CG39" s="288"/>
    </row>
    <row r="40" spans="1:85" x14ac:dyDescent="0.45">
      <c r="A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C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D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E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F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G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H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I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J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K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L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M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N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O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P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Q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R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S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T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U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V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W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X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Y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Z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A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B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C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D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E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F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G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H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I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J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K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L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M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N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O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P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Q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R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S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T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U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V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W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X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Y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AZ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A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B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C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D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E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F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G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H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I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J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K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L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M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N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O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P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Q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R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S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T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U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V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W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X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Y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BZ40" s="288" t="str">
        <f ca="1">IF(
    INDEX('Hulp (data export)'!$T:$T, COLUMN()+1)&lt;&gt;"",
    INDIRECT("'Hulp (overig)'!" &amp; INDEX('Hulp (data export)'!$T:$T, COLUMN()+1) &amp; ROW()+1),
    IF('Hulp (overig)'!$K41="Algemeen",
        IF(INDEX('Hulp (data export)'!$N:$N, COLUMN()+1)&lt;&gt;"",
            OFFSET(
                INDIRECT("'" &amp;
                    INDEX('Hulp (data export)'!$M:$M, COLUMN()+1) &amp;
                    "'!" &amp; INDEX('Hulp (data export)'!$N:$N, COLUMN()+1)
                ),
                ('Hulp (overig)'!$L41 - 1) * 0,
                ('Hulp (overig)'!$L41 - 1) * INDEX('Hulp (data export)'!$Q:$Q, COLUMN()+1)
            ),
            ""
        ),
        IF('Hulp (overig)'!$K41="Gezinshuis",
            IF(INDEX('Hulp (data export)'!$O:$O, COLUMN()+1)&lt;&gt;"",
                OFFSET(
                    INDIRECT("'3. Gezinshuis producten'!" &amp;
                        INDEX('Hulp (data export)'!$O:$O, COLUMN()+1)
                    ),
                    ('Hulp (overig)'!$L41 - 1) * 0,
                    ('Hulp (overig)'!$L41 - 1) * INDEX('Hulp (data export)'!$R:$R, COLUMN()+1)
                ),
                ""
            ),
            IF('Hulp (overig)'!$K41="Pleegzorg",
                IF(INDEX('Hulp (data export)'!$P:$P, COLUMN()+1)&lt;&gt;"",
                    OFFSET(
                        INDIRECT("'4. Pleegzorg producten'!" &amp;
                            INDEX('Hulp (data export)'!$P:$P, COLUMN()+1)
                        ),
                        ('Hulp (overig)'!$L41 - 1) * 0,
                        ('Hulp (overig)'!$L41 - 1) * INDEX('Hulp (data export)'!$S:$S, COLUMN()+1)
                    ),
                    ""
                ),
                ""
            )
        )
    )
)</f>
        <v/>
      </c>
      <c r="CA40" s="288"/>
      <c r="CB40" s="288"/>
      <c r="CC40" s="288"/>
      <c r="CD40" s="288"/>
      <c r="CE40" s="288"/>
      <c r="CF40" s="288"/>
      <c r="CG40" s="288"/>
    </row>
    <row r="41" spans="1:85" x14ac:dyDescent="0.45">
      <c r="A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C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D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E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F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G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H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I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J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K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L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M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N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O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P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Q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R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S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T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U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V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W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X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Y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Z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A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B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C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D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E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F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G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H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I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J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K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L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M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N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O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P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Q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R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S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T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U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V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W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X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Y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AZ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A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B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C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D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E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F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G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H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I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J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K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L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M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N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O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P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Q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R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S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T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U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V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W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X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Y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BZ41" s="288" t="str">
        <f ca="1">IF(
    INDEX('Hulp (data export)'!$T:$T, COLUMN()+1)&lt;&gt;"",
    INDIRECT("'Hulp (overig)'!" &amp; INDEX('Hulp (data export)'!$T:$T, COLUMN()+1) &amp; ROW()+1),
    IF('Hulp (overig)'!$K42="Algemeen",
        IF(INDEX('Hulp (data export)'!$N:$N, COLUMN()+1)&lt;&gt;"",
            OFFSET(
                INDIRECT("'" &amp;
                    INDEX('Hulp (data export)'!$M:$M, COLUMN()+1) &amp;
                    "'!" &amp; INDEX('Hulp (data export)'!$N:$N, COLUMN()+1)
                ),
                ('Hulp (overig)'!$L42 - 1) * 0,
                ('Hulp (overig)'!$L42 - 1) * INDEX('Hulp (data export)'!$Q:$Q, COLUMN()+1)
            ),
            ""
        ),
        IF('Hulp (overig)'!$K42="Gezinshuis",
            IF(INDEX('Hulp (data export)'!$O:$O, COLUMN()+1)&lt;&gt;"",
                OFFSET(
                    INDIRECT("'3. Gezinshuis producten'!" &amp;
                        INDEX('Hulp (data export)'!$O:$O, COLUMN()+1)
                    ),
                    ('Hulp (overig)'!$L42 - 1) * 0,
                    ('Hulp (overig)'!$L42 - 1) * INDEX('Hulp (data export)'!$R:$R, COLUMN()+1)
                ),
                ""
            ),
            IF('Hulp (overig)'!$K42="Pleegzorg",
                IF(INDEX('Hulp (data export)'!$P:$P, COLUMN()+1)&lt;&gt;"",
                    OFFSET(
                        INDIRECT("'4. Pleegzorg producten'!" &amp;
                            INDEX('Hulp (data export)'!$P:$P, COLUMN()+1)
                        ),
                        ('Hulp (overig)'!$L42 - 1) * 0,
                        ('Hulp (overig)'!$L42 - 1) * INDEX('Hulp (data export)'!$S:$S, COLUMN()+1)
                    ),
                    ""
                ),
                ""
            )
        )
    )
)</f>
        <v/>
      </c>
      <c r="CA41" s="288"/>
      <c r="CB41" s="288"/>
      <c r="CC41" s="288"/>
      <c r="CD41" s="288"/>
      <c r="CE41" s="288"/>
      <c r="CF41" s="288"/>
      <c r="CG41" s="288"/>
    </row>
    <row r="42" spans="1:85" x14ac:dyDescent="0.45">
      <c r="A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C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D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E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F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G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H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I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J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K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L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M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N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O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P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Q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R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S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T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U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V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W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X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Y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Z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A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B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C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D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E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F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G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H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I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J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K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L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M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N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O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P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Q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R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S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T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U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V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W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X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Y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AZ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A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B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C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D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E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F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G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H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I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J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K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L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M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N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O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P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Q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R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S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T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U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V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W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X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Y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BZ42" s="288" t="str">
        <f ca="1">IF(
    INDEX('Hulp (data export)'!$T:$T, COLUMN()+1)&lt;&gt;"",
    INDIRECT("'Hulp (overig)'!" &amp; INDEX('Hulp (data export)'!$T:$T, COLUMN()+1) &amp; ROW()+1),
    IF('Hulp (overig)'!$K43="Algemeen",
        IF(INDEX('Hulp (data export)'!$N:$N, COLUMN()+1)&lt;&gt;"",
            OFFSET(
                INDIRECT("'" &amp;
                    INDEX('Hulp (data export)'!$M:$M, COLUMN()+1) &amp;
                    "'!" &amp; INDEX('Hulp (data export)'!$N:$N, COLUMN()+1)
                ),
                ('Hulp (overig)'!$L43 - 1) * 0,
                ('Hulp (overig)'!$L43 - 1) * INDEX('Hulp (data export)'!$Q:$Q, COLUMN()+1)
            ),
            ""
        ),
        IF('Hulp (overig)'!$K43="Gezinshuis",
            IF(INDEX('Hulp (data export)'!$O:$O, COLUMN()+1)&lt;&gt;"",
                OFFSET(
                    INDIRECT("'3. Gezinshuis producten'!" &amp;
                        INDEX('Hulp (data export)'!$O:$O, COLUMN()+1)
                    ),
                    ('Hulp (overig)'!$L43 - 1) * 0,
                    ('Hulp (overig)'!$L43 - 1) * INDEX('Hulp (data export)'!$R:$R, COLUMN()+1)
                ),
                ""
            ),
            IF('Hulp (overig)'!$K43="Pleegzorg",
                IF(INDEX('Hulp (data export)'!$P:$P, COLUMN()+1)&lt;&gt;"",
                    OFFSET(
                        INDIRECT("'4. Pleegzorg producten'!" &amp;
                            INDEX('Hulp (data export)'!$P:$P, COLUMN()+1)
                        ),
                        ('Hulp (overig)'!$L43 - 1) * 0,
                        ('Hulp (overig)'!$L43 - 1) * INDEX('Hulp (data export)'!$S:$S, COLUMN()+1)
                    ),
                    ""
                ),
                ""
            )
        )
    )
)</f>
        <v/>
      </c>
      <c r="CA42" s="288"/>
      <c r="CB42" s="288"/>
      <c r="CC42" s="288"/>
      <c r="CD42" s="288"/>
      <c r="CE42" s="288"/>
      <c r="CF42" s="288"/>
      <c r="CG42" s="288"/>
    </row>
    <row r="43" spans="1:85" x14ac:dyDescent="0.45">
      <c r="A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C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D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E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F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G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H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I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J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K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L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M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N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O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P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Q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R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S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T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U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V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W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X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Y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Z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A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B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C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D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E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F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G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H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I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J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K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L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M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N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O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P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Q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R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S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T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U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V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W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X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Y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AZ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A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B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C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D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E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F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G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H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I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J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K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L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M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N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O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P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Q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R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S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T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U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V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W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X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Y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BZ43" s="288" t="str">
        <f ca="1">IF(
    INDEX('Hulp (data export)'!$T:$T, COLUMN()+1)&lt;&gt;"",
    INDIRECT("'Hulp (overig)'!" &amp; INDEX('Hulp (data export)'!$T:$T, COLUMN()+1) &amp; ROW()+1),
    IF('Hulp (overig)'!$K44="Algemeen",
        IF(INDEX('Hulp (data export)'!$N:$N, COLUMN()+1)&lt;&gt;"",
            OFFSET(
                INDIRECT("'" &amp;
                    INDEX('Hulp (data export)'!$M:$M, COLUMN()+1) &amp;
                    "'!" &amp; INDEX('Hulp (data export)'!$N:$N, COLUMN()+1)
                ),
                ('Hulp (overig)'!$L44 - 1) * 0,
                ('Hulp (overig)'!$L44 - 1) * INDEX('Hulp (data export)'!$Q:$Q, COLUMN()+1)
            ),
            ""
        ),
        IF('Hulp (overig)'!$K44="Gezinshuis",
            IF(INDEX('Hulp (data export)'!$O:$O, COLUMN()+1)&lt;&gt;"",
                OFFSET(
                    INDIRECT("'3. Gezinshuis producten'!" &amp;
                        INDEX('Hulp (data export)'!$O:$O, COLUMN()+1)
                    ),
                    ('Hulp (overig)'!$L44 - 1) * 0,
                    ('Hulp (overig)'!$L44 - 1) * INDEX('Hulp (data export)'!$R:$R, COLUMN()+1)
                ),
                ""
            ),
            IF('Hulp (overig)'!$K44="Pleegzorg",
                IF(INDEX('Hulp (data export)'!$P:$P, COLUMN()+1)&lt;&gt;"",
                    OFFSET(
                        INDIRECT("'4. Pleegzorg producten'!" &amp;
                            INDEX('Hulp (data export)'!$P:$P, COLUMN()+1)
                        ),
                        ('Hulp (overig)'!$L44 - 1) * 0,
                        ('Hulp (overig)'!$L44 - 1) * INDEX('Hulp (data export)'!$S:$S, COLUMN()+1)
                    ),
                    ""
                ),
                ""
            )
        )
    )
)</f>
        <v/>
      </c>
      <c r="CA43" s="288"/>
      <c r="CB43" s="288"/>
      <c r="CC43" s="288"/>
      <c r="CD43" s="288"/>
      <c r="CE43" s="288"/>
      <c r="CF43" s="288"/>
      <c r="CG43" s="288"/>
    </row>
    <row r="44" spans="1:85" x14ac:dyDescent="0.45">
      <c r="A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C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D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E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F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G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H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I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J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K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L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M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N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O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P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Q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R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S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T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U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V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W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X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Y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Z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A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B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C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D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E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F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G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H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I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J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K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L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M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N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O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P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Q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R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S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T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U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V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W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X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Y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AZ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A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B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C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D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E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F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G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H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I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J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K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L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M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N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O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P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Q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R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S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T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U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V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W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X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Y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BZ44" s="288" t="str">
        <f ca="1">IF(
    INDEX('Hulp (data export)'!$T:$T, COLUMN()+1)&lt;&gt;"",
    INDIRECT("'Hulp (overig)'!" &amp; INDEX('Hulp (data export)'!$T:$T, COLUMN()+1) &amp; ROW()+1),
    IF('Hulp (overig)'!$K45="Algemeen",
        IF(INDEX('Hulp (data export)'!$N:$N, COLUMN()+1)&lt;&gt;"",
            OFFSET(
                INDIRECT("'" &amp;
                    INDEX('Hulp (data export)'!$M:$M, COLUMN()+1) &amp;
                    "'!" &amp; INDEX('Hulp (data export)'!$N:$N, COLUMN()+1)
                ),
                ('Hulp (overig)'!$L45 - 1) * 0,
                ('Hulp (overig)'!$L45 - 1) * INDEX('Hulp (data export)'!$Q:$Q, COLUMN()+1)
            ),
            ""
        ),
        IF('Hulp (overig)'!$K45="Gezinshuis",
            IF(INDEX('Hulp (data export)'!$O:$O, COLUMN()+1)&lt;&gt;"",
                OFFSET(
                    INDIRECT("'3. Gezinshuis producten'!" &amp;
                        INDEX('Hulp (data export)'!$O:$O, COLUMN()+1)
                    ),
                    ('Hulp (overig)'!$L45 - 1) * 0,
                    ('Hulp (overig)'!$L45 - 1) * INDEX('Hulp (data export)'!$R:$R, COLUMN()+1)
                ),
                ""
            ),
            IF('Hulp (overig)'!$K45="Pleegzorg",
                IF(INDEX('Hulp (data export)'!$P:$P, COLUMN()+1)&lt;&gt;"",
                    OFFSET(
                        INDIRECT("'4. Pleegzorg producten'!" &amp;
                            INDEX('Hulp (data export)'!$P:$P, COLUMN()+1)
                        ),
                        ('Hulp (overig)'!$L45 - 1) * 0,
                        ('Hulp (overig)'!$L45 - 1) * INDEX('Hulp (data export)'!$S:$S, COLUMN()+1)
                    ),
                    ""
                ),
                ""
            )
        )
    )
)</f>
        <v/>
      </c>
      <c r="CA44" s="288"/>
      <c r="CB44" s="288"/>
      <c r="CC44" s="288"/>
      <c r="CD44" s="288"/>
      <c r="CE44" s="288"/>
      <c r="CF44" s="288"/>
      <c r="CG44" s="288"/>
    </row>
    <row r="45" spans="1:85" x14ac:dyDescent="0.45">
      <c r="A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C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D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E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F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G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H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I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J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K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L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M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N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O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P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Q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R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S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T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U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V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W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X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Y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Z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A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B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C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D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E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F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G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H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I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J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K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L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M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N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O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P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Q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R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S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T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U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V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W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X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Y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AZ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A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B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C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D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E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F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G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H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I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J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K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L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M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N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O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P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Q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R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S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T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U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V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W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X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Y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BZ45" s="288" t="str">
        <f ca="1">IF(
    INDEX('Hulp (data export)'!$T:$T, COLUMN()+1)&lt;&gt;"",
    INDIRECT("'Hulp (overig)'!" &amp; INDEX('Hulp (data export)'!$T:$T, COLUMN()+1) &amp; ROW()+1),
    IF('Hulp (overig)'!$K46="Algemeen",
        IF(INDEX('Hulp (data export)'!$N:$N, COLUMN()+1)&lt;&gt;"",
            OFFSET(
                INDIRECT("'" &amp;
                    INDEX('Hulp (data export)'!$M:$M, COLUMN()+1) &amp;
                    "'!" &amp; INDEX('Hulp (data export)'!$N:$N, COLUMN()+1)
                ),
                ('Hulp (overig)'!$L46 - 1) * 0,
                ('Hulp (overig)'!$L46 - 1) * INDEX('Hulp (data export)'!$Q:$Q, COLUMN()+1)
            ),
            ""
        ),
        IF('Hulp (overig)'!$K46="Gezinshuis",
            IF(INDEX('Hulp (data export)'!$O:$O, COLUMN()+1)&lt;&gt;"",
                OFFSET(
                    INDIRECT("'3. Gezinshuis producten'!" &amp;
                        INDEX('Hulp (data export)'!$O:$O, COLUMN()+1)
                    ),
                    ('Hulp (overig)'!$L46 - 1) * 0,
                    ('Hulp (overig)'!$L46 - 1) * INDEX('Hulp (data export)'!$R:$R, COLUMN()+1)
                ),
                ""
            ),
            IF('Hulp (overig)'!$K46="Pleegzorg",
                IF(INDEX('Hulp (data export)'!$P:$P, COLUMN()+1)&lt;&gt;"",
                    OFFSET(
                        INDIRECT("'4. Pleegzorg producten'!" &amp;
                            INDEX('Hulp (data export)'!$P:$P, COLUMN()+1)
                        ),
                        ('Hulp (overig)'!$L46 - 1) * 0,
                        ('Hulp (overig)'!$L46 - 1) * INDEX('Hulp (data export)'!$S:$S, COLUMN()+1)
                    ),
                    ""
                ),
                ""
            )
        )
    )
)</f>
        <v/>
      </c>
      <c r="CA45" s="288"/>
      <c r="CB45" s="288"/>
      <c r="CC45" s="288"/>
      <c r="CD45" s="288"/>
      <c r="CE45" s="288"/>
      <c r="CF45" s="288"/>
      <c r="CG45" s="288"/>
    </row>
    <row r="46" spans="1:85" x14ac:dyDescent="0.45">
      <c r="A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C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D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E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F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G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H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I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J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K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L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M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N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O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P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Q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R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S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T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U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V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W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X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Y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Z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A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B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C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D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E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F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G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H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I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J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K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L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M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N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O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P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Q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R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S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T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U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V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W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X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Y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AZ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A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B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C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D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E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F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G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H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I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J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K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L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M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N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O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P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Q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R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S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T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U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V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W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X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Y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BZ46" s="288" t="str">
        <f ca="1">IF(
    INDEX('Hulp (data export)'!$T:$T, COLUMN()+1)&lt;&gt;"",
    INDIRECT("'Hulp (overig)'!" &amp; INDEX('Hulp (data export)'!$T:$T, COLUMN()+1) &amp; ROW()+1),
    IF('Hulp (overig)'!$K47="Algemeen",
        IF(INDEX('Hulp (data export)'!$N:$N, COLUMN()+1)&lt;&gt;"",
            OFFSET(
                INDIRECT("'" &amp;
                    INDEX('Hulp (data export)'!$M:$M, COLUMN()+1) &amp;
                    "'!" &amp; INDEX('Hulp (data export)'!$N:$N, COLUMN()+1)
                ),
                ('Hulp (overig)'!$L47 - 1) * 0,
                ('Hulp (overig)'!$L47 - 1) * INDEX('Hulp (data export)'!$Q:$Q, COLUMN()+1)
            ),
            ""
        ),
        IF('Hulp (overig)'!$K47="Gezinshuis",
            IF(INDEX('Hulp (data export)'!$O:$O, COLUMN()+1)&lt;&gt;"",
                OFFSET(
                    INDIRECT("'3. Gezinshuis producten'!" &amp;
                        INDEX('Hulp (data export)'!$O:$O, COLUMN()+1)
                    ),
                    ('Hulp (overig)'!$L47 - 1) * 0,
                    ('Hulp (overig)'!$L47 - 1) * INDEX('Hulp (data export)'!$R:$R, COLUMN()+1)
                ),
                ""
            ),
            IF('Hulp (overig)'!$K47="Pleegzorg",
                IF(INDEX('Hulp (data export)'!$P:$P, COLUMN()+1)&lt;&gt;"",
                    OFFSET(
                        INDIRECT("'4. Pleegzorg producten'!" &amp;
                            INDEX('Hulp (data export)'!$P:$P, COLUMN()+1)
                        ),
                        ('Hulp (overig)'!$L47 - 1) * 0,
                        ('Hulp (overig)'!$L47 - 1) * INDEX('Hulp (data export)'!$S:$S, COLUMN()+1)
                    ),
                    ""
                ),
                ""
            )
        )
    )
)</f>
        <v/>
      </c>
      <c r="CA46" s="288"/>
      <c r="CB46" s="288"/>
      <c r="CC46" s="288"/>
      <c r="CD46" s="288"/>
      <c r="CE46" s="288"/>
      <c r="CF46" s="288"/>
      <c r="CG46" s="288"/>
    </row>
    <row r="47" spans="1:85" x14ac:dyDescent="0.45">
      <c r="A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C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D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E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F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G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H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I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J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K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L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M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N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O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P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Q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R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S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T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U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V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W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X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Y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Z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A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B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C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D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E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F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G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H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I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J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K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L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M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N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O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P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Q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R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S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T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U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V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W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X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Y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AZ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A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B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C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D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E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F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G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H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I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J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K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L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M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N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O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P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Q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R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S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T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U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V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W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X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Y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BZ47" s="288" t="str">
        <f ca="1">IF(
    INDEX('Hulp (data export)'!$T:$T, COLUMN()+1)&lt;&gt;"",
    INDIRECT("'Hulp (overig)'!" &amp; INDEX('Hulp (data export)'!$T:$T, COLUMN()+1) &amp; ROW()+1),
    IF('Hulp (overig)'!$K48="Algemeen",
        IF(INDEX('Hulp (data export)'!$N:$N, COLUMN()+1)&lt;&gt;"",
            OFFSET(
                INDIRECT("'" &amp;
                    INDEX('Hulp (data export)'!$M:$M, COLUMN()+1) &amp;
                    "'!" &amp; INDEX('Hulp (data export)'!$N:$N, COLUMN()+1)
                ),
                ('Hulp (overig)'!$L48 - 1) * 0,
                ('Hulp (overig)'!$L48 - 1) * INDEX('Hulp (data export)'!$Q:$Q, COLUMN()+1)
            ),
            ""
        ),
        IF('Hulp (overig)'!$K48="Gezinshuis",
            IF(INDEX('Hulp (data export)'!$O:$O, COLUMN()+1)&lt;&gt;"",
                OFFSET(
                    INDIRECT("'3. Gezinshuis producten'!" &amp;
                        INDEX('Hulp (data export)'!$O:$O, COLUMN()+1)
                    ),
                    ('Hulp (overig)'!$L48 - 1) * 0,
                    ('Hulp (overig)'!$L48 - 1) * INDEX('Hulp (data export)'!$R:$R, COLUMN()+1)
                ),
                ""
            ),
            IF('Hulp (overig)'!$K48="Pleegzorg",
                IF(INDEX('Hulp (data export)'!$P:$P, COLUMN()+1)&lt;&gt;"",
                    OFFSET(
                        INDIRECT("'4. Pleegzorg producten'!" &amp;
                            INDEX('Hulp (data export)'!$P:$P, COLUMN()+1)
                        ),
                        ('Hulp (overig)'!$L48 - 1) * 0,
                        ('Hulp (overig)'!$L48 - 1) * INDEX('Hulp (data export)'!$S:$S, COLUMN()+1)
                    ),
                    ""
                ),
                ""
            )
        )
    )
)</f>
        <v/>
      </c>
      <c r="CA47" s="288"/>
      <c r="CB47" s="288"/>
      <c r="CC47" s="288"/>
      <c r="CD47" s="288"/>
      <c r="CE47" s="288"/>
      <c r="CF47" s="288"/>
      <c r="CG47" s="288"/>
    </row>
    <row r="48" spans="1:85" x14ac:dyDescent="0.45">
      <c r="A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C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D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E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F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G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H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I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J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K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L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M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N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O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P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Q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R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S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T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U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V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W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X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Y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Z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A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B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C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D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E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F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G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H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I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J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K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L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M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N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O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P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Q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R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S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T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U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V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W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X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Y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AZ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A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B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C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D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E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F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G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H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I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J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K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L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M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N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O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P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Q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R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S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T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U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V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W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X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Y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BZ48" s="288" t="str">
        <f ca="1">IF(
    INDEX('Hulp (data export)'!$T:$T, COLUMN()+1)&lt;&gt;"",
    INDIRECT("'Hulp (overig)'!" &amp; INDEX('Hulp (data export)'!$T:$T, COLUMN()+1) &amp; ROW()+1),
    IF('Hulp (overig)'!$K49="Algemeen",
        IF(INDEX('Hulp (data export)'!$N:$N, COLUMN()+1)&lt;&gt;"",
            OFFSET(
                INDIRECT("'" &amp;
                    INDEX('Hulp (data export)'!$M:$M, COLUMN()+1) &amp;
                    "'!" &amp; INDEX('Hulp (data export)'!$N:$N, COLUMN()+1)
                ),
                ('Hulp (overig)'!$L49 - 1) * 0,
                ('Hulp (overig)'!$L49 - 1) * INDEX('Hulp (data export)'!$Q:$Q, COLUMN()+1)
            ),
            ""
        ),
        IF('Hulp (overig)'!$K49="Gezinshuis",
            IF(INDEX('Hulp (data export)'!$O:$O, COLUMN()+1)&lt;&gt;"",
                OFFSET(
                    INDIRECT("'3. Gezinshuis producten'!" &amp;
                        INDEX('Hulp (data export)'!$O:$O, COLUMN()+1)
                    ),
                    ('Hulp (overig)'!$L49 - 1) * 0,
                    ('Hulp (overig)'!$L49 - 1) * INDEX('Hulp (data export)'!$R:$R, COLUMN()+1)
                ),
                ""
            ),
            IF('Hulp (overig)'!$K49="Pleegzorg",
                IF(INDEX('Hulp (data export)'!$P:$P, COLUMN()+1)&lt;&gt;"",
                    OFFSET(
                        INDIRECT("'4. Pleegzorg producten'!" &amp;
                            INDEX('Hulp (data export)'!$P:$P, COLUMN()+1)
                        ),
                        ('Hulp (overig)'!$L49 - 1) * 0,
                        ('Hulp (overig)'!$L49 - 1) * INDEX('Hulp (data export)'!$S:$S, COLUMN()+1)
                    ),
                    ""
                ),
                ""
            )
        )
    )
)</f>
        <v/>
      </c>
      <c r="CA48" s="288"/>
      <c r="CB48" s="288"/>
      <c r="CC48" s="288"/>
      <c r="CD48" s="288"/>
      <c r="CE48" s="288"/>
      <c r="CF48" s="288"/>
      <c r="CG48" s="288"/>
    </row>
  </sheetData>
  <sheetProtection algorithmName="SHA-512" hashValue="2eRZ79w1gMjS/puFnvgpuiCKVNnuSkZfFoME7opiyQ6urNH1M9bRkrkPrEknkuNsU43AnBUmWL4OLYXmUj5otA==" saltValue="NxLK+rY+jJBV0OOogsrVTQ==" spinCount="100000" sheet="1" objects="1" scenarios="1"/>
  <pageMargins left="0.7" right="0.7" top="0.75" bottom="0.75" header="0.3" footer="0.3"/>
  <ignoredErrors>
    <ignoredError sqref="M11 BH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39997558519241921"/>
  </sheetPr>
  <dimension ref="A1:AZ96"/>
  <sheetViews>
    <sheetView zoomScaleNormal="100" workbookViewId="0"/>
  </sheetViews>
  <sheetFormatPr defaultRowHeight="21" x14ac:dyDescent="0.45"/>
  <cols>
    <col min="1" max="1" width="6.59765625" style="406" customWidth="1"/>
    <col min="2" max="2" width="40.59765625" style="397" customWidth="1"/>
    <col min="3" max="3" width="72.59765625" style="398" customWidth="1"/>
  </cols>
  <sheetData>
    <row r="1" spans="1:52" ht="29" customHeight="1" thickBot="1" x14ac:dyDescent="0.5">
      <c r="A1" s="407"/>
      <c r="B1" s="346" t="s">
        <v>1899</v>
      </c>
      <c r="C1" s="346" t="s">
        <v>1900</v>
      </c>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x14ac:dyDescent="0.45">
      <c r="A2"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 s="571" t="s">
        <v>11</v>
      </c>
      <c r="C2" s="575" t="s">
        <v>2080</v>
      </c>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x14ac:dyDescent="0.45">
      <c r="A3"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 s="572" t="s">
        <v>17</v>
      </c>
      <c r="C3" s="576" t="s">
        <v>2090</v>
      </c>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28.5" x14ac:dyDescent="0.45">
      <c r="A4"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 s="572" t="s">
        <v>54</v>
      </c>
      <c r="C4" s="576" t="s">
        <v>2096</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85.5" x14ac:dyDescent="0.45">
      <c r="A5"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5" s="572" t="s">
        <v>55</v>
      </c>
      <c r="C5" s="576" t="s">
        <v>2097</v>
      </c>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28.5" x14ac:dyDescent="0.45">
      <c r="A6"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6" s="572" t="s">
        <v>56</v>
      </c>
      <c r="C6" s="576" t="s">
        <v>2098</v>
      </c>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ht="114" x14ac:dyDescent="0.45">
      <c r="A7"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7" s="572" t="s">
        <v>714</v>
      </c>
      <c r="C7" s="576" t="s">
        <v>2099</v>
      </c>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142.5" x14ac:dyDescent="0.45">
      <c r="A8"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8" s="572" t="s">
        <v>715</v>
      </c>
      <c r="C8" s="576" t="s">
        <v>2100</v>
      </c>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ht="57" x14ac:dyDescent="0.45">
      <c r="A9"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9" s="572" t="s">
        <v>1267</v>
      </c>
      <c r="C9" s="576" t="s">
        <v>2102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t="42.75" x14ac:dyDescent="0.45">
      <c r="A10"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0" s="572" t="s">
        <v>1268</v>
      </c>
      <c r="C10" s="576" t="s">
        <v>2103</v>
      </c>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28.5" x14ac:dyDescent="0.45">
      <c r="A11"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1" s="572" t="s">
        <v>1269</v>
      </c>
      <c r="C11" s="576" t="s">
        <v>2104</v>
      </c>
      <c r="D11" s="289"/>
      <c r="E11" s="289"/>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x14ac:dyDescent="0.45">
      <c r="A12"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2" s="572" t="s">
        <v>999</v>
      </c>
      <c r="C12" s="576" t="s">
        <v>2081</v>
      </c>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x14ac:dyDescent="0.45">
      <c r="A13"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3" s="572" t="s">
        <v>13</v>
      </c>
      <c r="C13" s="576" t="s">
        <v>2082</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28.5" x14ac:dyDescent="0.45">
      <c r="A14"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4" s="572" t="s">
        <v>23</v>
      </c>
      <c r="C14" s="576" t="s">
        <v>2083</v>
      </c>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x14ac:dyDescent="0.45">
      <c r="A15"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5" s="572" t="s">
        <v>760</v>
      </c>
      <c r="C15" s="576" t="s">
        <v>2084</v>
      </c>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x14ac:dyDescent="0.45">
      <c r="A16"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6" s="572" t="s">
        <v>761</v>
      </c>
      <c r="C16" s="576" t="s">
        <v>2085</v>
      </c>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x14ac:dyDescent="0.45">
      <c r="A17"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7" s="572" t="s">
        <v>762</v>
      </c>
      <c r="C17" s="576" t="s">
        <v>2086</v>
      </c>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ht="28.5" x14ac:dyDescent="0.45">
      <c r="A18"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8" s="572" t="s">
        <v>75</v>
      </c>
      <c r="C18" s="576" t="s">
        <v>2087</v>
      </c>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t="42.75" x14ac:dyDescent="0.45">
      <c r="A19"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19" s="572" t="s">
        <v>74</v>
      </c>
      <c r="C19" s="576" t="s">
        <v>2088</v>
      </c>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ht="42.75" x14ac:dyDescent="0.45">
      <c r="A20"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0" s="572" t="s">
        <v>1232</v>
      </c>
      <c r="C20" s="576" t="s">
        <v>2089</v>
      </c>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ht="57" x14ac:dyDescent="0.45">
      <c r="A21"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1" s="572" t="s">
        <v>18</v>
      </c>
      <c r="C21" s="576" t="s">
        <v>2091</v>
      </c>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ht="42.75" x14ac:dyDescent="0.45">
      <c r="A22"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2" s="572" t="s">
        <v>19</v>
      </c>
      <c r="C22" s="576" t="s">
        <v>2092</v>
      </c>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ht="28.5" x14ac:dyDescent="0.45">
      <c r="A23"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3" s="572" t="s">
        <v>20</v>
      </c>
      <c r="C23" s="576" t="s">
        <v>2093</v>
      </c>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ht="57" x14ac:dyDescent="0.45">
      <c r="A24"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4" s="572" t="s">
        <v>21</v>
      </c>
      <c r="C24" s="576" t="s">
        <v>2094</v>
      </c>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42.75" x14ac:dyDescent="0.45">
      <c r="A25"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5" s="572" t="s">
        <v>22</v>
      </c>
      <c r="C25" s="576" t="s">
        <v>2095</v>
      </c>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ht="42.75" x14ac:dyDescent="0.45">
      <c r="A26"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6" s="572" t="s">
        <v>15</v>
      </c>
      <c r="C26" s="576" t="s">
        <v>2101</v>
      </c>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ht="42.75" x14ac:dyDescent="0.45">
      <c r="A27"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7" s="572" t="s">
        <v>787</v>
      </c>
      <c r="C27" s="576" t="s">
        <v>2105</v>
      </c>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ht="42.75" x14ac:dyDescent="0.45">
      <c r="A28"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8" s="572" t="s">
        <v>72</v>
      </c>
      <c r="C28" s="576" t="s">
        <v>2106</v>
      </c>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ht="28.5" x14ac:dyDescent="0.45">
      <c r="A29"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29" s="572" t="s">
        <v>46</v>
      </c>
      <c r="C29" s="576" t="s">
        <v>2107</v>
      </c>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ht="85.5" x14ac:dyDescent="0.45">
      <c r="A30"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0" s="572" t="s">
        <v>1217</v>
      </c>
      <c r="C30" s="576" t="s">
        <v>2108</v>
      </c>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ht="42.75" x14ac:dyDescent="0.45">
      <c r="A31"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1" s="572" t="s">
        <v>1216</v>
      </c>
      <c r="C31" s="576" t="s">
        <v>2109</v>
      </c>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ht="42.75" x14ac:dyDescent="0.45">
      <c r="A32"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2" s="572" t="s">
        <v>49</v>
      </c>
      <c r="C32" s="576" t="s">
        <v>2110</v>
      </c>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45">
      <c r="A33"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3" s="572" t="s">
        <v>726</v>
      </c>
      <c r="C33" s="576" t="s">
        <v>2111</v>
      </c>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ht="42.75" x14ac:dyDescent="0.45">
      <c r="A34"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4" s="572" t="s">
        <v>34</v>
      </c>
      <c r="C34" s="576" t="s">
        <v>2112</v>
      </c>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ht="99.75" x14ac:dyDescent="0.45">
      <c r="A35"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5" s="572" t="s">
        <v>1235</v>
      </c>
      <c r="C35" s="576" t="s">
        <v>2113</v>
      </c>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ht="57" x14ac:dyDescent="0.45">
      <c r="A36"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6" s="572" t="s">
        <v>2138</v>
      </c>
      <c r="C36" s="576" t="s">
        <v>2114</v>
      </c>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ht="71.25" x14ac:dyDescent="0.45">
      <c r="A37"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7" s="572" t="s">
        <v>1904</v>
      </c>
      <c r="C37" s="576" t="s">
        <v>2115</v>
      </c>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ht="42.75" x14ac:dyDescent="0.45">
      <c r="A38"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8" s="572" t="s">
        <v>1905</v>
      </c>
      <c r="C38" s="576" t="s">
        <v>2116</v>
      </c>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45">
      <c r="A39"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39" s="572" t="s">
        <v>28</v>
      </c>
      <c r="C39" s="576" t="s">
        <v>2117</v>
      </c>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ht="28.5" x14ac:dyDescent="0.45">
      <c r="A40"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0" s="572" t="s">
        <v>2223</v>
      </c>
      <c r="C40" s="576" t="s">
        <v>2118</v>
      </c>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ht="28.5" x14ac:dyDescent="0.45">
      <c r="A41"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1" s="572" t="s">
        <v>29</v>
      </c>
      <c r="C41" s="576" t="s">
        <v>2119</v>
      </c>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45">
      <c r="A42"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2" s="572" t="s">
        <v>721</v>
      </c>
      <c r="C42" s="576" t="s">
        <v>2120</v>
      </c>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ht="28.5" x14ac:dyDescent="0.45">
      <c r="A43"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3" s="572" t="s">
        <v>59</v>
      </c>
      <c r="C43" s="576" t="s">
        <v>2121</v>
      </c>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ht="28.5" x14ac:dyDescent="0.45">
      <c r="A44"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4" s="572" t="s">
        <v>884</v>
      </c>
      <c r="C44" s="576" t="s">
        <v>2122</v>
      </c>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ht="28.5" x14ac:dyDescent="0.45">
      <c r="A45"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5" s="572" t="s">
        <v>750</v>
      </c>
      <c r="C45" s="576" t="s">
        <v>2123</v>
      </c>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ht="28.5" x14ac:dyDescent="0.45">
      <c r="A46"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6" s="572" t="s">
        <v>30</v>
      </c>
      <c r="C46" s="576" t="s">
        <v>2122</v>
      </c>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45">
      <c r="A47"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7" s="572" t="s">
        <v>44</v>
      </c>
      <c r="C47" s="576" t="s">
        <v>2124</v>
      </c>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x14ac:dyDescent="0.45">
      <c r="A48"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8" s="572" t="s">
        <v>33</v>
      </c>
      <c r="C48" s="576" t="s">
        <v>2125</v>
      </c>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ht="28.5" x14ac:dyDescent="0.45">
      <c r="A49"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49" s="572" t="s">
        <v>69</v>
      </c>
      <c r="C49" s="576" t="s">
        <v>2126</v>
      </c>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45">
      <c r="A50"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50" s="572" t="s">
        <v>36</v>
      </c>
      <c r="C50" s="576" t="s">
        <v>2127</v>
      </c>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45">
      <c r="A51"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51" s="572" t="s">
        <v>43</v>
      </c>
      <c r="C51" s="576" t="s">
        <v>2128</v>
      </c>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45">
      <c r="A52"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52" s="572" t="s">
        <v>53</v>
      </c>
      <c r="C52" s="576" t="s">
        <v>2129</v>
      </c>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ht="28.5" x14ac:dyDescent="0.45">
      <c r="A53"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53" s="572" t="s">
        <v>1085</v>
      </c>
      <c r="C53" s="576" t="s">
        <v>2130</v>
      </c>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ht="28.5" x14ac:dyDescent="0.45">
      <c r="A54"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54" s="572" t="s">
        <v>2137</v>
      </c>
      <c r="C54" s="576" t="s">
        <v>2131</v>
      </c>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ht="28.9" thickBot="1" x14ac:dyDescent="0.5">
      <c r="A55" s="404" t="str">
        <f>HYPERLINK(
    "#" &amp;
    IF(
        INDEX('Hulp (definities)'!D:D,
              MATCH("B" &amp; ROW(), 'Hulp (definities)'!E:E, 0)
        )&lt;&gt;"",
        INDEX('Hulp (definities)'!D:D,
              MATCH("B" &amp; ROW(), 'Hulp (definities)'!E:E, 0)
        ),
        "'" &amp; INDEX('Hulp (definities)'!B:B,
              MATCH("B" &amp; ROW(), 'Hulp (definities)'!E:E, 0)
        ) &amp; "'!" &amp;
        INDEX('Hulp (definities)'!C:C,
              MATCH("B" &amp; ROW(), 'Hulp (definities)'!E:E, 0)
        )
    ),
    "↩"
)</f>
        <v>↩</v>
      </c>
      <c r="B55" s="573" t="s">
        <v>1081</v>
      </c>
      <c r="C55" s="577" t="s">
        <v>2132</v>
      </c>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x14ac:dyDescent="0.45">
      <c r="A56" s="405"/>
      <c r="B56" s="574"/>
      <c r="C56" s="402"/>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45">
      <c r="A57" s="405"/>
      <c r="B57" s="574"/>
      <c r="C57" s="402"/>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45">
      <c r="A58" s="405"/>
      <c r="B58" s="574"/>
      <c r="C58" s="402"/>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x14ac:dyDescent="0.45">
      <c r="A59" s="405"/>
      <c r="B59" s="574"/>
      <c r="C59" s="402"/>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x14ac:dyDescent="0.45">
      <c r="A60" s="405"/>
      <c r="B60" s="574"/>
      <c r="C60" s="402"/>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x14ac:dyDescent="0.45">
      <c r="A61" s="405"/>
      <c r="B61" s="574"/>
      <c r="C61" s="402"/>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x14ac:dyDescent="0.45">
      <c r="A62" s="405"/>
      <c r="B62" s="574"/>
      <c r="C62" s="402"/>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45">
      <c r="A63" s="405"/>
      <c r="B63" s="574"/>
      <c r="C63" s="402"/>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45">
      <c r="A64" s="405"/>
      <c r="B64" s="574"/>
      <c r="C64" s="402"/>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45">
      <c r="A65" s="405"/>
      <c r="B65" s="574"/>
      <c r="C65" s="402"/>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x14ac:dyDescent="0.45">
      <c r="A66" s="405"/>
      <c r="B66" s="574"/>
      <c r="C66" s="402"/>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x14ac:dyDescent="0.45">
      <c r="A67" s="405"/>
      <c r="B67" s="574"/>
      <c r="C67" s="402"/>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45">
      <c r="A68" s="405"/>
      <c r="B68" s="574"/>
      <c r="C68" s="402"/>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45">
      <c r="A69" s="405"/>
      <c r="B69" s="574"/>
      <c r="C69" s="402"/>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45">
      <c r="A70" s="405"/>
      <c r="B70" s="574"/>
      <c r="C70" s="402"/>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x14ac:dyDescent="0.45">
      <c r="A71" s="405"/>
      <c r="B71" s="574"/>
      <c r="C71" s="402"/>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x14ac:dyDescent="0.45">
      <c r="A72" s="405"/>
      <c r="B72" s="574"/>
      <c r="C72" s="402"/>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45">
      <c r="A73" s="405"/>
      <c r="B73" s="574"/>
      <c r="C73" s="402"/>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45">
      <c r="A74" s="405"/>
      <c r="B74" s="574"/>
      <c r="C74" s="402"/>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x14ac:dyDescent="0.45">
      <c r="A75" s="405"/>
      <c r="B75" s="574"/>
      <c r="C75" s="402"/>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x14ac:dyDescent="0.45">
      <c r="A76" s="405"/>
      <c r="B76" s="574"/>
      <c r="C76" s="402"/>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x14ac:dyDescent="0.45">
      <c r="A77" s="405"/>
      <c r="B77" s="574"/>
      <c r="C77" s="402"/>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x14ac:dyDescent="0.45">
      <c r="A78" s="405"/>
      <c r="B78" s="574"/>
      <c r="C78" s="402"/>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x14ac:dyDescent="0.45">
      <c r="A79" s="405"/>
      <c r="B79" s="574"/>
      <c r="C79" s="402"/>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x14ac:dyDescent="0.45">
      <c r="A80" s="405"/>
      <c r="B80" s="574"/>
      <c r="C80" s="402"/>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x14ac:dyDescent="0.45">
      <c r="A81" s="405"/>
      <c r="B81" s="574"/>
      <c r="C81" s="402"/>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x14ac:dyDescent="0.45">
      <c r="A82" s="405"/>
      <c r="B82" s="574"/>
      <c r="C82" s="402"/>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x14ac:dyDescent="0.45">
      <c r="A83" s="405"/>
      <c r="B83" s="574"/>
      <c r="C83" s="402"/>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x14ac:dyDescent="0.45">
      <c r="A84" s="405"/>
      <c r="B84" s="574"/>
      <c r="C84" s="402"/>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x14ac:dyDescent="0.45">
      <c r="A85" s="405"/>
      <c r="B85" s="574"/>
      <c r="C85" s="402"/>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x14ac:dyDescent="0.45">
      <c r="A86" s="405"/>
      <c r="B86" s="574"/>
      <c r="C86" s="402"/>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x14ac:dyDescent="0.45">
      <c r="A87" s="405"/>
      <c r="B87" s="574"/>
      <c r="C87" s="402"/>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x14ac:dyDescent="0.45">
      <c r="A88" s="405"/>
      <c r="B88" s="574"/>
      <c r="C88" s="402"/>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x14ac:dyDescent="0.45">
      <c r="A89" s="405"/>
      <c r="B89" s="574"/>
      <c r="C89" s="402"/>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45">
      <c r="A90" s="405"/>
      <c r="B90" s="574"/>
      <c r="C90" s="402"/>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45">
      <c r="A91" s="405"/>
      <c r="B91" s="574"/>
      <c r="C91" s="402"/>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45">
      <c r="A92" s="405"/>
      <c r="B92" s="574"/>
      <c r="C92" s="402"/>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x14ac:dyDescent="0.45">
      <c r="A93" s="405"/>
      <c r="B93" s="574"/>
      <c r="C93" s="402"/>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x14ac:dyDescent="0.45">
      <c r="A94" s="405"/>
      <c r="B94" s="574"/>
      <c r="C94" s="402"/>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x14ac:dyDescent="0.45">
      <c r="A95" s="405"/>
      <c r="B95" s="574"/>
      <c r="C95" s="402"/>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x14ac:dyDescent="0.45">
      <c r="A96" s="405"/>
      <c r="B96" s="574"/>
      <c r="C96" s="402"/>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sheetData>
  <sheetProtection algorithmName="SHA-512" hashValue="N6DPYovprVY8gMYsGcNIh38U3u+spzsvhJuSh4VXUha9rhAQzdpx8kRF5Xq0yyQl2FvJZxAWjQGzVMXAgZSkjQ==" saltValue="0eRRNbvkkpZ1BNI63ldmZ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autoPageBreaks="0"/>
  </sheetPr>
  <dimension ref="A1:AZ92"/>
  <sheetViews>
    <sheetView tabSelected="1" zoomScaleNormal="100" workbookViewId="0"/>
  </sheetViews>
  <sheetFormatPr defaultColWidth="8.9296875" defaultRowHeight="14.25" x14ac:dyDescent="0.45"/>
  <cols>
    <col min="2" max="2" width="17" customWidth="1"/>
    <col min="3" max="3" width="20.59765625" customWidth="1"/>
    <col min="4" max="4" width="66.59765625" customWidth="1"/>
  </cols>
  <sheetData>
    <row r="1" spans="1:52" ht="29" customHeight="1" x14ac:dyDescent="0.45">
      <c r="A1" s="289"/>
      <c r="B1" s="289"/>
      <c r="C1" s="289"/>
      <c r="D1" s="304"/>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15.75" x14ac:dyDescent="0.5">
      <c r="A2" s="709"/>
      <c r="B2" s="555" t="s">
        <v>2233</v>
      </c>
      <c r="C2" s="556"/>
      <c r="D2" s="554"/>
      <c r="E2" s="286"/>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120" customHeight="1" x14ac:dyDescent="0.45">
      <c r="A3" s="709"/>
      <c r="B3" s="741" t="s">
        <v>2236</v>
      </c>
      <c r="C3" s="741"/>
      <c r="D3" s="741"/>
      <c r="E3" s="286"/>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15.75" customHeight="1" x14ac:dyDescent="0.45">
      <c r="A4" s="709"/>
      <c r="B4" s="559"/>
      <c r="C4" s="559"/>
      <c r="D4" s="304"/>
      <c r="E4" s="286"/>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15.75" customHeight="1" x14ac:dyDescent="0.45">
      <c r="A5" s="709"/>
      <c r="B5" s="291" t="s">
        <v>752</v>
      </c>
      <c r="C5" s="292"/>
      <c r="D5" s="292"/>
      <c r="E5" s="286"/>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15.75" customHeight="1" x14ac:dyDescent="0.45">
      <c r="A6" s="709"/>
      <c r="B6" s="293" t="s">
        <v>757</v>
      </c>
      <c r="C6" s="191" t="s">
        <v>795</v>
      </c>
      <c r="D6" s="294" t="s">
        <v>1897</v>
      </c>
      <c r="E6" s="286"/>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ht="15.75" customHeight="1" x14ac:dyDescent="0.45">
      <c r="A7" s="709"/>
      <c r="B7" s="560" t="s">
        <v>979</v>
      </c>
      <c r="C7" s="192" t="s">
        <v>1891</v>
      </c>
      <c r="D7" s="294" t="s">
        <v>1896</v>
      </c>
      <c r="E7" s="286"/>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x14ac:dyDescent="0.45">
      <c r="A8" s="356"/>
      <c r="B8" s="560" t="s">
        <v>980</v>
      </c>
      <c r="C8" s="279" t="s">
        <v>985</v>
      </c>
      <c r="D8" s="294" t="s">
        <v>987</v>
      </c>
      <c r="E8" s="286"/>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x14ac:dyDescent="0.45">
      <c r="A9" s="356"/>
      <c r="B9" s="561" t="s">
        <v>981</v>
      </c>
      <c r="C9" s="367" t="s">
        <v>978</v>
      </c>
      <c r="D9" s="294" t="s">
        <v>1233</v>
      </c>
      <c r="E9" s="286"/>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idden="1" x14ac:dyDescent="0.45">
      <c r="A10" s="356"/>
      <c r="B10" s="561" t="s">
        <v>981</v>
      </c>
      <c r="C10" s="367" t="s">
        <v>978</v>
      </c>
      <c r="D10" s="294" t="s">
        <v>1233</v>
      </c>
      <c r="E10" s="286"/>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x14ac:dyDescent="0.45">
      <c r="A11" s="356"/>
      <c r="B11" s="561" t="s">
        <v>982</v>
      </c>
      <c r="C11" s="280" t="s">
        <v>1068</v>
      </c>
      <c r="D11" s="294" t="s">
        <v>984</v>
      </c>
      <c r="E11" s="286"/>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x14ac:dyDescent="0.45">
      <c r="A12" s="356"/>
      <c r="B12" s="561" t="s">
        <v>983</v>
      </c>
      <c r="C12" s="553" t="s">
        <v>1911</v>
      </c>
      <c r="D12" s="294" t="s">
        <v>2054</v>
      </c>
      <c r="E12" s="286"/>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x14ac:dyDescent="0.45">
      <c r="A13" s="356"/>
      <c r="B13" s="293"/>
      <c r="C13" s="190" t="s">
        <v>843</v>
      </c>
      <c r="D13" s="294" t="s">
        <v>986</v>
      </c>
      <c r="E13" s="286"/>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x14ac:dyDescent="0.45">
      <c r="A14" s="356"/>
      <c r="B14" s="289"/>
      <c r="C14" s="289"/>
      <c r="D14" s="289"/>
      <c r="E14" s="286"/>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ht="18" x14ac:dyDescent="0.55000000000000004">
      <c r="A15" s="356"/>
      <c r="B15" s="300" t="s">
        <v>753</v>
      </c>
      <c r="C15" s="289"/>
      <c r="D15" s="289"/>
      <c r="E15" s="286"/>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x14ac:dyDescent="0.45">
      <c r="A16" s="356"/>
      <c r="B16" s="742" t="str">
        <f>HYPERLINK("#'Initialisatie'!B3", "Stap 1 – Vul het tabblad in ('Initialisatie')")</f>
        <v>Stap 1 – Vul het tabblad in ('Initialisatie')</v>
      </c>
      <c r="C16" s="742"/>
      <c r="D16" s="742"/>
      <c r="E16" s="286"/>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x14ac:dyDescent="0.45">
      <c r="A17" s="356"/>
      <c r="B17" s="289" t="s">
        <v>841</v>
      </c>
      <c r="C17" s="289"/>
      <c r="D17" s="289"/>
      <c r="E17" s="286"/>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x14ac:dyDescent="0.45">
      <c r="A18" s="356"/>
      <c r="B18" s="289" t="s">
        <v>842</v>
      </c>
      <c r="C18" s="289"/>
      <c r="D18" s="289"/>
      <c r="E18" s="286"/>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idden="1" x14ac:dyDescent="0.45">
      <c r="A19" s="356"/>
      <c r="B19" s="289" t="s">
        <v>2213</v>
      </c>
      <c r="C19" s="289"/>
      <c r="D19" s="289"/>
      <c r="E19" s="286"/>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x14ac:dyDescent="0.45">
      <c r="A20" s="356"/>
      <c r="B20" s="289" t="s">
        <v>2226</v>
      </c>
      <c r="C20" s="289"/>
      <c r="D20" s="289"/>
      <c r="E20" s="286"/>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x14ac:dyDescent="0.45">
      <c r="A21" s="356"/>
      <c r="B21" s="295" t="s">
        <v>2180</v>
      </c>
      <c r="C21" s="289"/>
      <c r="D21" s="289"/>
      <c r="E21" s="286"/>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x14ac:dyDescent="0.45">
      <c r="A22" s="356"/>
      <c r="B22" s="289" t="s">
        <v>2227</v>
      </c>
      <c r="C22" s="289"/>
      <c r="D22" s="289"/>
      <c r="E22" s="286"/>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x14ac:dyDescent="0.45">
      <c r="A23" s="356"/>
      <c r="B23" s="289" t="s">
        <v>2228</v>
      </c>
      <c r="C23" s="289"/>
      <c r="D23" s="289"/>
      <c r="E23" s="286"/>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x14ac:dyDescent="0.45">
      <c r="A24" s="356"/>
      <c r="B24" s="289"/>
      <c r="C24" s="289"/>
      <c r="D24" s="289"/>
      <c r="E24" s="286"/>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x14ac:dyDescent="0.45">
      <c r="A25" s="356"/>
      <c r="B25" s="743" t="s">
        <v>2229</v>
      </c>
      <c r="C25" s="743"/>
      <c r="D25" s="743"/>
      <c r="E25" s="286"/>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x14ac:dyDescent="0.45">
      <c r="A26" s="356"/>
      <c r="B26" s="289" t="s">
        <v>2231</v>
      </c>
      <c r="C26" s="289"/>
      <c r="D26" s="289"/>
      <c r="E26" s="286"/>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x14ac:dyDescent="0.45">
      <c r="A27" s="356"/>
      <c r="B27" s="289" t="s">
        <v>2230</v>
      </c>
      <c r="C27" s="289"/>
      <c r="D27" s="289"/>
      <c r="E27" s="286"/>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x14ac:dyDescent="0.45">
      <c r="A28" s="356"/>
      <c r="B28" s="289"/>
      <c r="C28" s="289"/>
      <c r="D28" s="289"/>
      <c r="E28" s="286"/>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x14ac:dyDescent="0.45">
      <c r="A29" s="289"/>
      <c r="B29" s="710" t="s">
        <v>2242</v>
      </c>
      <c r="C29" s="565"/>
      <c r="D29" s="565"/>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x14ac:dyDescent="0.45">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x14ac:dyDescent="0.45">
      <c r="A31" s="289"/>
      <c r="B31" s="568"/>
      <c r="C31" s="558"/>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x14ac:dyDescent="0.45">
      <c r="A32" s="289"/>
      <c r="B32" s="569"/>
      <c r="C32" s="570"/>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45">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x14ac:dyDescent="0.45">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x14ac:dyDescent="0.45">
      <c r="A35" s="289"/>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x14ac:dyDescent="0.45">
      <c r="A36" s="289"/>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x14ac:dyDescent="0.45">
      <c r="A37" s="289"/>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x14ac:dyDescent="0.45">
      <c r="A38" s="289"/>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45">
      <c r="A39" s="289"/>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x14ac:dyDescent="0.45">
      <c r="A40" s="289"/>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x14ac:dyDescent="0.45">
      <c r="A41" s="289"/>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45">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x14ac:dyDescent="0.45">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x14ac:dyDescent="0.45">
      <c r="A44" s="289"/>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x14ac:dyDescent="0.45">
      <c r="A45" s="289"/>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x14ac:dyDescent="0.45">
      <c r="A46" s="289"/>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45">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x14ac:dyDescent="0.45">
      <c r="A48" s="289"/>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x14ac:dyDescent="0.45">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45">
      <c r="A50" s="289"/>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45">
      <c r="A51" s="289"/>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45">
      <c r="A52" s="289"/>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x14ac:dyDescent="0.45">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x14ac:dyDescent="0.45">
      <c r="A54" s="289"/>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x14ac:dyDescent="0.45">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x14ac:dyDescent="0.45">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45">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45">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x14ac:dyDescent="0.45">
      <c r="A59" s="289"/>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x14ac:dyDescent="0.45">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x14ac:dyDescent="0.45">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x14ac:dyDescent="0.45">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45">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45">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45">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x14ac:dyDescent="0.45">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x14ac:dyDescent="0.45">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45">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45">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45">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x14ac:dyDescent="0.45">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x14ac:dyDescent="0.45">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45">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45">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x14ac:dyDescent="0.45">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x14ac:dyDescent="0.45">
      <c r="A76" s="289"/>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x14ac:dyDescent="0.45">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x14ac:dyDescent="0.45">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x14ac:dyDescent="0.45">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x14ac:dyDescent="0.45">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x14ac:dyDescent="0.45">
      <c r="A81" s="289"/>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x14ac:dyDescent="0.45">
      <c r="A82" s="289"/>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x14ac:dyDescent="0.45">
      <c r="A83" s="289"/>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x14ac:dyDescent="0.45">
      <c r="A84" s="289"/>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x14ac:dyDescent="0.45">
      <c r="A85" s="289"/>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x14ac:dyDescent="0.45">
      <c r="A86" s="289"/>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x14ac:dyDescent="0.45">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x14ac:dyDescent="0.45">
      <c r="A88" s="289"/>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x14ac:dyDescent="0.45">
      <c r="A89" s="289"/>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45">
      <c r="A90" s="289"/>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45">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4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sheetData>
  <sheetProtection algorithmName="SHA-512" hashValue="FrXFNQ9QfQuUPVyGWLHTVhrrAf1mylCSKh/J6SGzrgl4lQyBRy7rJFAt3A7e3Qj/UuBYUHmhR1CGvnc8Neq5fw==" saltValue="4cYjLkoHP4Gwy6hol7pDkw==" spinCount="100000" sheet="1" objects="1" scenarios="1"/>
  <mergeCells count="3">
    <mergeCell ref="B3:D3"/>
    <mergeCell ref="B16:D16"/>
    <mergeCell ref="B25:D25"/>
  </mergeCells>
  <pageMargins left="0.7" right="0.7" top="0.75" bottom="0.75" header="0.3" footer="0.3"/>
  <pageSetup paperSize="9" orientation="portrait" r:id="rId1"/>
  <ignoredErrors>
    <ignoredError sqref="B7:B12"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pageSetUpPr autoPageBreaks="0"/>
  </sheetPr>
  <dimension ref="A1:AZ100"/>
  <sheetViews>
    <sheetView zoomScaleNormal="100" workbookViewId="0">
      <selection activeCell="C5" sqref="C5"/>
    </sheetView>
  </sheetViews>
  <sheetFormatPr defaultRowHeight="14.25" x14ac:dyDescent="0.45"/>
  <cols>
    <col min="1" max="1" width="16.59765625" style="58" customWidth="1"/>
    <col min="2" max="2" width="42.59765625" customWidth="1"/>
    <col min="3" max="3" width="15.53125" customWidth="1"/>
    <col min="4" max="4" width="4.59765625" customWidth="1"/>
    <col min="5" max="5" width="8.73046875" customWidth="1"/>
    <col min="7" max="7" width="20.59765625" customWidth="1"/>
    <col min="27" max="29" width="0" hidden="1" customWidth="1"/>
  </cols>
  <sheetData>
    <row r="1" spans="1:52" x14ac:dyDescent="0.45">
      <c r="A1" s="296"/>
      <c r="B1" s="289"/>
      <c r="C1" s="289"/>
      <c r="D1" s="289"/>
      <c r="E1" s="289"/>
      <c r="F1" s="746" t="s">
        <v>780</v>
      </c>
      <c r="G1" s="747" t="s">
        <v>1079</v>
      </c>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x14ac:dyDescent="0.45">
      <c r="A2" s="296"/>
      <c r="B2" s="289"/>
      <c r="C2" s="289"/>
      <c r="D2" s="289"/>
      <c r="E2" s="289"/>
      <c r="F2" s="746"/>
      <c r="G2" s="747"/>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20" customHeight="1" x14ac:dyDescent="0.45">
      <c r="A3" s="296"/>
      <c r="B3" s="986" t="s">
        <v>2234</v>
      </c>
      <c r="C3" s="986"/>
      <c r="D3" s="289"/>
      <c r="E3" s="289"/>
      <c r="F3" s="746"/>
      <c r="G3" s="747"/>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20" customHeight="1" thickBot="1" x14ac:dyDescent="0.5">
      <c r="A4" s="296"/>
      <c r="B4" s="987"/>
      <c r="C4" s="987"/>
      <c r="D4" s="289"/>
      <c r="E4" s="289"/>
      <c r="F4" s="746" t="s">
        <v>780</v>
      </c>
      <c r="G4" s="747" t="s">
        <v>1080</v>
      </c>
      <c r="H4" s="289"/>
      <c r="I4" s="289"/>
      <c r="J4" s="289"/>
      <c r="K4" s="289"/>
      <c r="L4" s="289"/>
      <c r="M4" s="289"/>
      <c r="N4" s="289"/>
      <c r="O4" s="289"/>
      <c r="P4" s="289"/>
      <c r="Q4" s="289"/>
      <c r="R4" s="289"/>
      <c r="S4" s="289"/>
      <c r="T4" s="289"/>
      <c r="U4" s="289"/>
      <c r="V4" s="289"/>
      <c r="W4" s="289"/>
      <c r="X4" s="289"/>
      <c r="Y4" s="289"/>
      <c r="Z4" s="289"/>
      <c r="AA4" s="289" t="s">
        <v>2154</v>
      </c>
      <c r="AB4" s="289" t="s">
        <v>2208</v>
      </c>
      <c r="AC4" s="289" t="s">
        <v>2207</v>
      </c>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x14ac:dyDescent="0.45">
      <c r="A5" s="296"/>
      <c r="B5" s="1" t="s">
        <v>13</v>
      </c>
      <c r="C5" s="593">
        <v>2026</v>
      </c>
      <c r="D5" s="289"/>
      <c r="E5" s="289"/>
      <c r="F5" s="746"/>
      <c r="G5" s="747"/>
      <c r="H5" s="289"/>
      <c r="I5" s="289"/>
      <c r="J5" s="289"/>
      <c r="K5" s="289"/>
      <c r="L5" s="289"/>
      <c r="M5" s="289"/>
      <c r="N5" s="289"/>
      <c r="O5" s="289"/>
      <c r="P5" s="289"/>
      <c r="Q5" s="289"/>
      <c r="R5" s="289"/>
      <c r="S5" s="289"/>
      <c r="T5" s="289"/>
      <c r="U5" s="289"/>
      <c r="V5" s="289"/>
      <c r="W5" s="289"/>
      <c r="X5" s="289"/>
      <c r="Y5" s="289"/>
      <c r="Z5" s="289"/>
      <c r="AA5" s="717" t="b">
        <f>AND(
COUNTBLANK(C5:C7)=0,
COUNTIFS(B10:B49,"&lt;&gt;",C10:C49,"")=0,
IF($C$7="Ja",COUNTIFS(B10:B49,"&lt;&gt;",D10:D49,"")=0,TRUE)
)</f>
        <v>0</v>
      </c>
      <c r="AB5" s="718" t="b" cm="1">
        <f t="array" ref="AB5">NOT(SUMPRODUCT(--( (COUNTIF($B$10:$B$49,$B$10:$B$49)&gt;1) * ($B$10:$B$49&lt;&gt;"") )) &gt; 0)</f>
        <v>1</v>
      </c>
      <c r="AC5" s="719" t="s">
        <v>2206</v>
      </c>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14.65" thickBot="1" x14ac:dyDescent="0.5">
      <c r="A6" s="296"/>
      <c r="B6" s="3" t="s">
        <v>853</v>
      </c>
      <c r="C6" s="594" t="s">
        <v>2139</v>
      </c>
      <c r="D6" s="289"/>
      <c r="E6" s="289"/>
      <c r="F6" s="746"/>
      <c r="G6" s="747"/>
      <c r="H6" s="289"/>
      <c r="I6" s="289"/>
      <c r="J6" s="289"/>
      <c r="K6" s="289"/>
      <c r="L6" s="289"/>
      <c r="M6" s="289"/>
      <c r="N6" s="289"/>
      <c r="O6" s="289"/>
      <c r="P6" s="289"/>
      <c r="Q6" s="289"/>
      <c r="R6" s="289"/>
      <c r="S6" s="289"/>
      <c r="T6" s="289"/>
      <c r="U6" s="289"/>
      <c r="V6" s="289"/>
      <c r="W6" s="289"/>
      <c r="X6" s="289"/>
      <c r="Y6" s="289"/>
      <c r="Z6" s="289"/>
      <c r="AA6" s="289"/>
      <c r="AB6" s="289"/>
      <c r="AC6" s="720" t="s">
        <v>2139</v>
      </c>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ht="14.65" hidden="1" thickBot="1" x14ac:dyDescent="0.5">
      <c r="A7" s="296"/>
      <c r="B7" s="24" t="s">
        <v>2214</v>
      </c>
      <c r="C7" s="594" t="s">
        <v>2139</v>
      </c>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14.65" thickBot="1" x14ac:dyDescent="0.5">
      <c r="B8" s="289"/>
      <c r="C8" s="289"/>
      <c r="D8" s="289"/>
      <c r="E8" s="298"/>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x14ac:dyDescent="0.45">
      <c r="A9" s="296"/>
      <c r="B9" s="704" t="s">
        <v>2235</v>
      </c>
      <c r="C9" s="705" t="s">
        <v>725</v>
      </c>
      <c r="D9" s="703" t="s">
        <v>2215</v>
      </c>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x14ac:dyDescent="0.45">
      <c r="A10" s="297" t="s">
        <v>852</v>
      </c>
      <c r="B10" s="595" t="s">
        <v>2237</v>
      </c>
      <c r="C10" s="596"/>
      <c r="D10" s="715" t="s">
        <v>2139</v>
      </c>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x14ac:dyDescent="0.45">
      <c r="A11" s="297" t="s">
        <v>852</v>
      </c>
      <c r="B11" s="595"/>
      <c r="C11" s="596"/>
      <c r="D11" s="715" t="s">
        <v>2139</v>
      </c>
      <c r="E11" s="289"/>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x14ac:dyDescent="0.45">
      <c r="A12" s="297" t="s">
        <v>852</v>
      </c>
      <c r="B12" s="595"/>
      <c r="C12" s="596"/>
      <c r="D12" s="715" t="s">
        <v>2139</v>
      </c>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x14ac:dyDescent="0.45">
      <c r="A13" s="296" t="s">
        <v>852</v>
      </c>
      <c r="B13" s="595"/>
      <c r="C13" s="596"/>
      <c r="D13" s="715"/>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x14ac:dyDescent="0.45">
      <c r="A14" s="296" t="s">
        <v>852</v>
      </c>
      <c r="B14" s="595"/>
      <c r="C14" s="596"/>
      <c r="D14" s="715"/>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x14ac:dyDescent="0.45">
      <c r="A15" s="296" t="s">
        <v>852</v>
      </c>
      <c r="B15" s="595"/>
      <c r="C15" s="596"/>
      <c r="D15" s="715"/>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x14ac:dyDescent="0.45">
      <c r="A16" s="296" t="s">
        <v>852</v>
      </c>
      <c r="B16" s="595"/>
      <c r="C16" s="596"/>
      <c r="D16" s="715"/>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x14ac:dyDescent="0.45">
      <c r="A17" s="296" t="s">
        <v>852</v>
      </c>
      <c r="B17" s="595"/>
      <c r="C17" s="596"/>
      <c r="D17" s="715"/>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x14ac:dyDescent="0.45">
      <c r="A18" s="296" t="s">
        <v>852</v>
      </c>
      <c r="B18" s="595"/>
      <c r="C18" s="596"/>
      <c r="D18" s="715"/>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x14ac:dyDescent="0.45">
      <c r="A19" s="296" t="s">
        <v>852</v>
      </c>
      <c r="B19" s="595"/>
      <c r="C19" s="596"/>
      <c r="D19" s="715"/>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x14ac:dyDescent="0.45">
      <c r="A20" s="296" t="s">
        <v>852</v>
      </c>
      <c r="B20" s="595"/>
      <c r="C20" s="596"/>
      <c r="D20" s="715"/>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x14ac:dyDescent="0.45">
      <c r="A21" s="296" t="s">
        <v>852</v>
      </c>
      <c r="B21" s="595"/>
      <c r="C21" s="596"/>
      <c r="D21" s="715"/>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x14ac:dyDescent="0.45">
      <c r="A22" s="296" t="s">
        <v>852</v>
      </c>
      <c r="B22" s="595"/>
      <c r="C22" s="596"/>
      <c r="D22" s="715"/>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x14ac:dyDescent="0.45">
      <c r="A23" s="296" t="s">
        <v>852</v>
      </c>
      <c r="B23" s="597"/>
      <c r="C23" s="596"/>
      <c r="D23" s="715"/>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x14ac:dyDescent="0.45">
      <c r="A24" s="296" t="s">
        <v>852</v>
      </c>
      <c r="B24" s="597"/>
      <c r="C24" s="596"/>
      <c r="D24" s="715"/>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x14ac:dyDescent="0.45">
      <c r="A25" s="296" t="s">
        <v>852</v>
      </c>
      <c r="B25" s="597"/>
      <c r="C25" s="596"/>
      <c r="D25" s="715"/>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x14ac:dyDescent="0.45">
      <c r="A26" s="296" t="s">
        <v>852</v>
      </c>
      <c r="B26" s="597"/>
      <c r="C26" s="596"/>
      <c r="D26" s="715"/>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x14ac:dyDescent="0.45">
      <c r="A27" s="296" t="s">
        <v>852</v>
      </c>
      <c r="B27" s="597"/>
      <c r="C27" s="596"/>
      <c r="D27" s="715"/>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x14ac:dyDescent="0.45">
      <c r="A28" s="296" t="s">
        <v>852</v>
      </c>
      <c r="B28" s="597"/>
      <c r="C28" s="596"/>
      <c r="D28" s="715"/>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x14ac:dyDescent="0.45">
      <c r="A29" s="296" t="s">
        <v>852</v>
      </c>
      <c r="B29" s="597"/>
      <c r="C29" s="596"/>
      <c r="D29" s="715"/>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x14ac:dyDescent="0.45">
      <c r="A30" s="296" t="s">
        <v>852</v>
      </c>
      <c r="B30" s="597"/>
      <c r="C30" s="596"/>
      <c r="D30" s="715"/>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x14ac:dyDescent="0.45">
      <c r="A31" s="296" t="s">
        <v>852</v>
      </c>
      <c r="B31" s="597"/>
      <c r="C31" s="596"/>
      <c r="D31" s="715"/>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x14ac:dyDescent="0.45">
      <c r="A32" s="296" t="s">
        <v>852</v>
      </c>
      <c r="B32" s="597"/>
      <c r="C32" s="596"/>
      <c r="D32" s="715"/>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45">
      <c r="A33" s="296" t="s">
        <v>852</v>
      </c>
      <c r="B33" s="597"/>
      <c r="C33" s="596"/>
      <c r="D33" s="715"/>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x14ac:dyDescent="0.45">
      <c r="A34" s="296" t="s">
        <v>852</v>
      </c>
      <c r="B34" s="597"/>
      <c r="C34" s="596"/>
      <c r="D34" s="715"/>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x14ac:dyDescent="0.45">
      <c r="A35" s="296" t="s">
        <v>852</v>
      </c>
      <c r="B35" s="597"/>
      <c r="C35" s="596"/>
      <c r="D35" s="715"/>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x14ac:dyDescent="0.45">
      <c r="A36" s="296" t="s">
        <v>852</v>
      </c>
      <c r="B36" s="597"/>
      <c r="C36" s="596"/>
      <c r="D36" s="715"/>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x14ac:dyDescent="0.45">
      <c r="A37" s="296" t="s">
        <v>852</v>
      </c>
      <c r="B37" s="597"/>
      <c r="C37" s="596"/>
      <c r="D37" s="715"/>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x14ac:dyDescent="0.45">
      <c r="A38" s="296" t="s">
        <v>852</v>
      </c>
      <c r="B38" s="597"/>
      <c r="C38" s="596"/>
      <c r="D38" s="715"/>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45">
      <c r="A39" s="296" t="s">
        <v>852</v>
      </c>
      <c r="B39" s="597"/>
      <c r="C39" s="596"/>
      <c r="D39" s="715"/>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x14ac:dyDescent="0.45">
      <c r="A40" s="296" t="s">
        <v>852</v>
      </c>
      <c r="B40" s="597"/>
      <c r="C40" s="596"/>
      <c r="D40" s="715"/>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x14ac:dyDescent="0.45">
      <c r="A41" s="296" t="s">
        <v>852</v>
      </c>
      <c r="B41" s="597"/>
      <c r="C41" s="596"/>
      <c r="D41" s="715"/>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45">
      <c r="A42" s="296" t="s">
        <v>852</v>
      </c>
      <c r="B42" s="597"/>
      <c r="C42" s="596"/>
      <c r="D42" s="715"/>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x14ac:dyDescent="0.45">
      <c r="A43" s="296" t="s">
        <v>852</v>
      </c>
      <c r="B43" s="597"/>
      <c r="C43" s="596"/>
      <c r="D43" s="715"/>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x14ac:dyDescent="0.45">
      <c r="A44" s="296" t="s">
        <v>852</v>
      </c>
      <c r="B44" s="597"/>
      <c r="C44" s="596"/>
      <c r="D44" s="715"/>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x14ac:dyDescent="0.45">
      <c r="A45" s="296" t="s">
        <v>852</v>
      </c>
      <c r="B45" s="597"/>
      <c r="C45" s="596"/>
      <c r="D45" s="715"/>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x14ac:dyDescent="0.45">
      <c r="A46" s="296" t="s">
        <v>852</v>
      </c>
      <c r="B46" s="597"/>
      <c r="C46" s="596"/>
      <c r="D46" s="715"/>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45">
      <c r="A47" s="296" t="s">
        <v>852</v>
      </c>
      <c r="B47" s="597"/>
      <c r="C47" s="596"/>
      <c r="D47" s="715"/>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x14ac:dyDescent="0.45">
      <c r="A48" s="296" t="s">
        <v>852</v>
      </c>
      <c r="B48" s="597"/>
      <c r="C48" s="596"/>
      <c r="D48" s="715"/>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ht="14.65" thickBot="1" x14ac:dyDescent="0.5">
      <c r="A49" s="296" t="s">
        <v>852</v>
      </c>
      <c r="B49" s="598"/>
      <c r="C49" s="594"/>
      <c r="D49" s="716"/>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45">
      <c r="A50" s="296"/>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45">
      <c r="A51" s="296"/>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45">
      <c r="A52" s="296"/>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x14ac:dyDescent="0.45">
      <c r="A53" s="296"/>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x14ac:dyDescent="0.45">
      <c r="A54" s="296"/>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x14ac:dyDescent="0.45">
      <c r="A55" s="296"/>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x14ac:dyDescent="0.45">
      <c r="A56" s="296"/>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45">
      <c r="A57" s="296"/>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45">
      <c r="A58" s="296"/>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x14ac:dyDescent="0.45">
      <c r="A59" s="296"/>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x14ac:dyDescent="0.45">
      <c r="A60" s="296"/>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x14ac:dyDescent="0.45">
      <c r="A61" s="296"/>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x14ac:dyDescent="0.45">
      <c r="A62" s="296"/>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45">
      <c r="A63" s="296"/>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45">
      <c r="A64" s="296"/>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45">
      <c r="A65" s="296"/>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x14ac:dyDescent="0.45">
      <c r="A66" s="296"/>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x14ac:dyDescent="0.45">
      <c r="A67" s="296"/>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45">
      <c r="A68" s="296"/>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45">
      <c r="A69" s="296"/>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45">
      <c r="A70" s="296"/>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x14ac:dyDescent="0.45">
      <c r="A71" s="296"/>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x14ac:dyDescent="0.45">
      <c r="A72" s="296"/>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45">
      <c r="A73" s="296"/>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45">
      <c r="A74" s="296"/>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x14ac:dyDescent="0.45">
      <c r="A75" s="296"/>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x14ac:dyDescent="0.45">
      <c r="A76" s="296"/>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x14ac:dyDescent="0.45">
      <c r="A77" s="296"/>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x14ac:dyDescent="0.45">
      <c r="A78" s="296"/>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x14ac:dyDescent="0.45">
      <c r="A79" s="296"/>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x14ac:dyDescent="0.45">
      <c r="A80" s="296"/>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x14ac:dyDescent="0.45">
      <c r="A81" s="296"/>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x14ac:dyDescent="0.45">
      <c r="A82" s="296"/>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x14ac:dyDescent="0.45">
      <c r="A83" s="296"/>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x14ac:dyDescent="0.45">
      <c r="A84" s="296"/>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x14ac:dyDescent="0.45">
      <c r="A85" s="296"/>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x14ac:dyDescent="0.45">
      <c r="A86" s="296"/>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x14ac:dyDescent="0.45">
      <c r="A87" s="296"/>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x14ac:dyDescent="0.45">
      <c r="A88" s="296"/>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x14ac:dyDescent="0.45">
      <c r="A89" s="296"/>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45">
      <c r="A90" s="296"/>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45">
      <c r="A91" s="296"/>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45">
      <c r="A92" s="296"/>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x14ac:dyDescent="0.45">
      <c r="A93" s="296"/>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x14ac:dyDescent="0.45">
      <c r="A94" s="296"/>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x14ac:dyDescent="0.45">
      <c r="A95" s="296"/>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x14ac:dyDescent="0.45">
      <c r="A96" s="296"/>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2" x14ac:dyDescent="0.45">
      <c r="A97" s="296"/>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2" x14ac:dyDescent="0.45">
      <c r="A98" s="296"/>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2" x14ac:dyDescent="0.45">
      <c r="A99" s="296"/>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row>
    <row r="100" spans="1:52" x14ac:dyDescent="0.45">
      <c r="A100" s="296"/>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sheetData>
  <sheetProtection algorithmName="SHA-512" hashValue="RDRefRDP05STvjCf9UlH6AMVaUDrXWetMXeDWSmoTh1EhOL5vZrAnG/uy2zQ/r9iZa+Zt8iTlTEZvPzElhbSVg==" saltValue="WNyY2Oeoh8VmoccSwVO7dg==" spinCount="100000" sheet="1" objects="1" scenarios="1" selectLockedCells="1"/>
  <mergeCells count="5">
    <mergeCell ref="B3:C4"/>
    <mergeCell ref="G1:G3"/>
    <mergeCell ref="F1:F3"/>
    <mergeCell ref="F4:F6"/>
    <mergeCell ref="G4:G6"/>
  </mergeCells>
  <conditionalFormatting sqref="A10">
    <cfRule type="expression" dxfId="10" priority="91">
      <formula>NOT(AND(B10="", COUNTA(B9:D9)=COLUMNS(B9:D9)))</formula>
    </cfRule>
  </conditionalFormatting>
  <conditionalFormatting sqref="A11:A50">
    <cfRule type="expression" dxfId="9" priority="1065">
      <formula>NOT(AND(B11="",COUNTA(B10:C10)=2,OR($C$7&lt;&gt;"Ja",D10&lt;&gt;"")))</formula>
    </cfRule>
  </conditionalFormatting>
  <conditionalFormatting sqref="B10">
    <cfRule type="expression" dxfId="8" priority="93">
      <formula>NOT(OR($B10&lt;&gt;"",AND($B9&lt;&gt;"", $C9&lt;&gt;"",IF($C$7="Ja",$D9&lt;&gt;"",TRUE))))</formula>
    </cfRule>
  </conditionalFormatting>
  <conditionalFormatting sqref="B11:B49">
    <cfRule type="expression" dxfId="7" priority="1071">
      <formula>NOT(OR($B11&lt;&gt;"",AND($B10&lt;&gt;"",$C10&lt;&gt;"",IF($C$7="Ja",$D10&lt;&gt;"",TRUE))))</formula>
    </cfRule>
  </conditionalFormatting>
  <conditionalFormatting sqref="C9:C49">
    <cfRule type="expression" dxfId="6" priority="6">
      <formula>$C$7="Ja"</formula>
    </cfRule>
  </conditionalFormatting>
  <conditionalFormatting sqref="C10:D49">
    <cfRule type="expression" dxfId="5" priority="7">
      <formula>$B10=""</formula>
    </cfRule>
  </conditionalFormatting>
  <conditionalFormatting sqref="D8 E9:E49 D50">
    <cfRule type="expression" dxfId="4" priority="3">
      <formula>$C$7&lt;&gt;"Ja"</formula>
    </cfRule>
  </conditionalFormatting>
  <conditionalFormatting sqref="D9">
    <cfRule type="expression" dxfId="3" priority="2">
      <formula>$C$7="Ja"</formula>
    </cfRule>
  </conditionalFormatting>
  <conditionalFormatting sqref="D9:D49">
    <cfRule type="expression" dxfId="2" priority="5">
      <formula>$C$7&lt;&gt;"Ja"</formula>
    </cfRule>
  </conditionalFormatting>
  <conditionalFormatting sqref="F1:G3">
    <cfRule type="expression" dxfId="1" priority="21447">
      <formula>$AA$5</formula>
    </cfRule>
  </conditionalFormatting>
  <conditionalFormatting sqref="F4:G6">
    <cfRule type="expression" dxfId="0" priority="1">
      <formula>$AB$5</formula>
    </cfRule>
  </conditionalFormatting>
  <dataValidations count="4">
    <dataValidation type="list" allowBlank="1" showInputMessage="1" showErrorMessage="1" sqref="C5" xr:uid="{00000000-0002-0000-0100-000000000000}">
      <formula1>"2025, 2026, 2027, 2028"</formula1>
    </dataValidation>
    <dataValidation type="list" allowBlank="1" showInputMessage="1" showErrorMessage="1" sqref="C6:C7" xr:uid="{00000000-0002-0000-0100-000001000000}">
      <formula1>"Ja, Nee"</formula1>
    </dataValidation>
    <dataValidation type="list" allowBlank="1" showInputMessage="1" showErrorMessage="1" sqref="C10:C49" xr:uid="{00000000-0002-0000-0100-000002000000}">
      <formula1>"Per minuut, Per dagdeel, Per etmaal"</formula1>
    </dataValidation>
    <dataValidation type="list" allowBlank="1" showInputMessage="1" showErrorMessage="1" sqref="D10:D49" xr:uid="{CCF793E1-5664-4F32-A175-6FD964017A85}">
      <formula1>IF($C$7="Ja",$AC$5:$AC$6,"")</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sheetPr>
  <dimension ref="A1:E159"/>
  <sheetViews>
    <sheetView topLeftCell="A6" zoomScale="85" zoomScaleNormal="85" workbookViewId="0">
      <selection activeCell="D9" sqref="D9"/>
    </sheetView>
  </sheetViews>
  <sheetFormatPr defaultRowHeight="14.25" x14ac:dyDescent="0.45"/>
  <cols>
    <col min="1" max="2" width="24.59765625" customWidth="1"/>
    <col min="3" max="3" width="16.59765625" customWidth="1"/>
    <col min="4" max="4" width="32.265625" customWidth="1"/>
    <col min="5" max="5" width="22.796875" customWidth="1"/>
  </cols>
  <sheetData>
    <row r="1" spans="1:5" x14ac:dyDescent="0.45">
      <c r="A1" s="5" t="s">
        <v>2134</v>
      </c>
      <c r="B1" s="5" t="s">
        <v>1901</v>
      </c>
      <c r="C1" s="5" t="s">
        <v>1902</v>
      </c>
      <c r="D1" s="5" t="s">
        <v>2046</v>
      </c>
      <c r="E1" s="5" t="s">
        <v>2135</v>
      </c>
    </row>
    <row r="2" spans="1:5" x14ac:dyDescent="0.45">
      <c r="A2" t="s">
        <v>11</v>
      </c>
      <c r="B2" t="s">
        <v>1211</v>
      </c>
      <c r="C2" t="s">
        <v>1912</v>
      </c>
      <c r="E2" t="str">
        <f>ADDRESS(ROW('6. Definities'!B2), COLUMN('6. Definities'!B2), 4)</f>
        <v>B2</v>
      </c>
    </row>
    <row r="3" spans="1:5" x14ac:dyDescent="0.45">
      <c r="A3" t="s">
        <v>999</v>
      </c>
      <c r="B3" t="s">
        <v>1211</v>
      </c>
      <c r="C3" t="s">
        <v>1913</v>
      </c>
      <c r="E3" t="str">
        <f>ADDRESS(ROW('6. Definities'!B12), COLUMN('6. Definities'!B12), 4)</f>
        <v>B12</v>
      </c>
    </row>
    <row r="4" spans="1:5" x14ac:dyDescent="0.45">
      <c r="A4" t="s">
        <v>13</v>
      </c>
      <c r="B4" t="s">
        <v>1211</v>
      </c>
      <c r="C4" t="s">
        <v>1914</v>
      </c>
      <c r="E4" t="str">
        <f>ADDRESS(ROW('6. Definities'!B13), COLUMN('6. Definities'!B13), 4)</f>
        <v>B13</v>
      </c>
    </row>
    <row r="5" spans="1:5" x14ac:dyDescent="0.45">
      <c r="A5" t="s">
        <v>23</v>
      </c>
      <c r="B5" t="s">
        <v>1211</v>
      </c>
      <c r="C5" t="s">
        <v>1915</v>
      </c>
      <c r="E5" t="str">
        <f>ADDRESS(ROW('6. Definities'!B14), COLUMN('6. Definities'!B14), 4)</f>
        <v>B14</v>
      </c>
    </row>
    <row r="6" spans="1:5" x14ac:dyDescent="0.45">
      <c r="A6" t="s">
        <v>760</v>
      </c>
      <c r="B6" t="s">
        <v>1211</v>
      </c>
      <c r="C6" t="s">
        <v>1916</v>
      </c>
      <c r="E6" t="str">
        <f>ADDRESS(ROW('6. Definities'!B15), COLUMN('6. Definities'!B15), 4)</f>
        <v>B15</v>
      </c>
    </row>
    <row r="7" spans="1:5" x14ac:dyDescent="0.45">
      <c r="A7" t="s">
        <v>761</v>
      </c>
      <c r="B7" t="s">
        <v>1211</v>
      </c>
      <c r="C7" t="s">
        <v>1917</v>
      </c>
      <c r="E7" t="str">
        <f>ADDRESS(ROW('6. Definities'!B16), COLUMN('6. Definities'!B16), 4)</f>
        <v>B16</v>
      </c>
    </row>
    <row r="8" spans="1:5" x14ac:dyDescent="0.45">
      <c r="A8" t="s">
        <v>762</v>
      </c>
      <c r="B8" t="s">
        <v>1211</v>
      </c>
      <c r="C8" t="s">
        <v>1918</v>
      </c>
      <c r="E8" t="str">
        <f>ADDRESS(ROW('6. Definities'!B17), COLUMN('6. Definities'!B17), 4)</f>
        <v>B17</v>
      </c>
    </row>
    <row r="9" spans="1:5" x14ac:dyDescent="0.45">
      <c r="A9" t="s">
        <v>75</v>
      </c>
      <c r="B9" t="s">
        <v>1211</v>
      </c>
      <c r="C9" t="s">
        <v>1919</v>
      </c>
      <c r="E9" t="str">
        <f>ADDRESS(ROW('6. Definities'!B18), COLUMN('6. Definities'!B18), 4)</f>
        <v>B18</v>
      </c>
    </row>
    <row r="10" spans="1:5" x14ac:dyDescent="0.45">
      <c r="A10" t="s">
        <v>74</v>
      </c>
      <c r="B10" t="s">
        <v>1211</v>
      </c>
      <c r="C10" t="s">
        <v>1920</v>
      </c>
      <c r="E10" t="str">
        <f>ADDRESS(ROW('6. Definities'!B19), COLUMN('6. Definities'!B19), 4)</f>
        <v>B19</v>
      </c>
    </row>
    <row r="11" spans="1:5" x14ac:dyDescent="0.45">
      <c r="A11" t="s">
        <v>1232</v>
      </c>
      <c r="B11" t="s">
        <v>1211</v>
      </c>
      <c r="C11" t="s">
        <v>1921</v>
      </c>
      <c r="E11" t="str">
        <f>ADDRESS(ROW('6. Definities'!B20), COLUMN('6. Definities'!B20), 4)</f>
        <v>B20</v>
      </c>
    </row>
    <row r="12" spans="1:5" x14ac:dyDescent="0.45">
      <c r="A12" t="s">
        <v>17</v>
      </c>
      <c r="B12" t="s">
        <v>1211</v>
      </c>
      <c r="C12" t="s">
        <v>1922</v>
      </c>
      <c r="D12" t="str">
        <f>IF('Hulp (control forms)'!$C$6&lt;&gt;TRUE,
    "'1a. Input organisatieniveau'!H11",
    "'1a. Input organisatieniveau'!K9"
)</f>
        <v>'1a. Input organisatieniveau'!H11</v>
      </c>
      <c r="E12" t="str">
        <f>ADDRESS(ROW('6. Definities'!B3), COLUMN('6. Definities'!B3), 4)</f>
        <v>B3</v>
      </c>
    </row>
    <row r="13" spans="1:5" x14ac:dyDescent="0.45">
      <c r="A13" t="s">
        <v>18</v>
      </c>
      <c r="B13" t="s">
        <v>1211</v>
      </c>
      <c r="C13" t="s">
        <v>1923</v>
      </c>
      <c r="E13" t="str">
        <f>ADDRESS(ROW('6. Definities'!B21), COLUMN('6. Definities'!B21), 4)</f>
        <v>B21</v>
      </c>
    </row>
    <row r="14" spans="1:5" x14ac:dyDescent="0.45">
      <c r="A14" t="s">
        <v>19</v>
      </c>
      <c r="B14" t="s">
        <v>1211</v>
      </c>
      <c r="C14" t="s">
        <v>1924</v>
      </c>
      <c r="E14" t="str">
        <f>ADDRESS(ROW('6. Definities'!B22), COLUMN('6. Definities'!B22), 4)</f>
        <v>B22</v>
      </c>
    </row>
    <row r="15" spans="1:5" x14ac:dyDescent="0.45">
      <c r="A15" t="s">
        <v>20</v>
      </c>
      <c r="B15" t="s">
        <v>1211</v>
      </c>
      <c r="C15" t="s">
        <v>1925</v>
      </c>
      <c r="E15" t="str">
        <f>ADDRESS(ROW('6. Definities'!B23), COLUMN('6. Definities'!B23), 4)</f>
        <v>B23</v>
      </c>
    </row>
    <row r="16" spans="1:5" x14ac:dyDescent="0.45">
      <c r="A16" t="s">
        <v>21</v>
      </c>
      <c r="B16" t="s">
        <v>1211</v>
      </c>
      <c r="C16" t="s">
        <v>1926</v>
      </c>
      <c r="E16" t="str">
        <f>ADDRESS(ROW('6. Definities'!B24), COLUMN('6. Definities'!B24), 4)</f>
        <v>B24</v>
      </c>
    </row>
    <row r="17" spans="1:5" x14ac:dyDescent="0.45">
      <c r="A17" t="s">
        <v>22</v>
      </c>
      <c r="B17" t="s">
        <v>1211</v>
      </c>
      <c r="C17" t="s">
        <v>1927</v>
      </c>
      <c r="E17" t="str">
        <f>ADDRESS(ROW('6. Definities'!B25), COLUMN('6. Definities'!B25), 4)</f>
        <v>B25</v>
      </c>
    </row>
    <row r="18" spans="1:5" x14ac:dyDescent="0.45">
      <c r="A18" t="s">
        <v>54</v>
      </c>
      <c r="B18" t="s">
        <v>1211</v>
      </c>
      <c r="C18" t="s">
        <v>1928</v>
      </c>
      <c r="D18" t="str">
        <f>IF('Hulp (control forms)'!$C$7&lt;&gt;TRUE,
    "'1a. Input organisatieniveau'!H19",
    "'1a. Input organisatieniveau'!K11"
)</f>
        <v>'1a. Input organisatieniveau'!H19</v>
      </c>
      <c r="E18" t="str">
        <f>ADDRESS(ROW('6. Definities'!B4), COLUMN('6. Definities'!B4), 4)</f>
        <v>B4</v>
      </c>
    </row>
    <row r="19" spans="1:5" x14ac:dyDescent="0.45">
      <c r="A19" t="s">
        <v>55</v>
      </c>
      <c r="B19" t="s">
        <v>1211</v>
      </c>
      <c r="C19" t="s">
        <v>1929</v>
      </c>
      <c r="D19" t="str">
        <f>IF('Hulp (control forms)'!$C$8&lt;&gt;TRUE,
    "'1a. Input organisatieniveau'!H20",
    "'1a. Input organisatieniveau'!K12"
)</f>
        <v>'1a. Input organisatieniveau'!H20</v>
      </c>
      <c r="E19" t="str">
        <f>ADDRESS(ROW('6. Definities'!B5), COLUMN('6. Definities'!B5), 4)</f>
        <v>B5</v>
      </c>
    </row>
    <row r="20" spans="1:5" x14ac:dyDescent="0.45">
      <c r="A20" t="s">
        <v>2136</v>
      </c>
      <c r="B20" t="s">
        <v>1211</v>
      </c>
      <c r="C20" t="s">
        <v>1930</v>
      </c>
      <c r="D20" t="str">
        <f>IF('Hulp (control forms)'!$C$9&lt;&gt;TRUE,
    "'1a. Input organisatieniveau'!H21",
    "'1a. Input organisatieniveau'!K13"
)</f>
        <v>'1a. Input organisatieniveau'!H21</v>
      </c>
      <c r="E20" t="str">
        <f>ADDRESS(ROW('6. Definities'!B6), COLUMN('6. Definities'!B6), 4)</f>
        <v>B6</v>
      </c>
    </row>
    <row r="21" spans="1:5" x14ac:dyDescent="0.45">
      <c r="A21" t="s">
        <v>714</v>
      </c>
      <c r="B21" t="s">
        <v>1211</v>
      </c>
      <c r="C21" t="s">
        <v>1931</v>
      </c>
      <c r="D21" t="str">
        <f>IF('Hulp (control forms)'!$C$10&lt;&gt;TRUE,
    "'1a. Input organisatieniveau'!H23",
    "'1a. Input organisatieniveau'!K15"
)</f>
        <v>'1a. Input organisatieniveau'!H23</v>
      </c>
      <c r="E21" t="str">
        <f>ADDRESS(ROW('6. Definities'!B7), COLUMN('6. Definities'!B7), 4)</f>
        <v>B7</v>
      </c>
    </row>
    <row r="22" spans="1:5" x14ac:dyDescent="0.45">
      <c r="A22" t="s">
        <v>715</v>
      </c>
      <c r="B22" t="s">
        <v>1211</v>
      </c>
      <c r="C22" t="s">
        <v>1932</v>
      </c>
      <c r="D22" t="str">
        <f>IF('Hulp (control forms)'!$C$11&lt;&gt;TRUE,
    "'1a. Input organisatieniveau'!H24",
    "'1a. Input organisatieniveau'!K16"
)</f>
        <v>'1a. Input organisatieniveau'!H24</v>
      </c>
      <c r="E22" t="str">
        <f>ADDRESS(ROW('6. Definities'!B8), COLUMN('6. Definities'!B8), 4)</f>
        <v>B8</v>
      </c>
    </row>
    <row r="23" spans="1:5" x14ac:dyDescent="0.45">
      <c r="A23" t="s">
        <v>15</v>
      </c>
      <c r="B23" t="s">
        <v>1211</v>
      </c>
      <c r="C23" t="s">
        <v>1933</v>
      </c>
      <c r="E23" t="str">
        <f>ADDRESS(ROW('6. Definities'!B26), COLUMN('6. Definities'!B26), 4)</f>
        <v>B26</v>
      </c>
    </row>
    <row r="24" spans="1:5" x14ac:dyDescent="0.45">
      <c r="A24" t="s">
        <v>1267</v>
      </c>
      <c r="B24" t="s">
        <v>1211</v>
      </c>
      <c r="C24" t="s">
        <v>1934</v>
      </c>
      <c r="D24" t="str">
        <f>IF('Hulp (control forms)'!$C$12&lt;&gt;TRUE,
    "'1a. Input organisatieniveau'!H27",
    "'1a. Input organisatieniveau'!K18"
)</f>
        <v>'1a. Input organisatieniveau'!H27</v>
      </c>
      <c r="E24" t="str">
        <f>ADDRESS(ROW('6. Definities'!B9), COLUMN('6. Definities'!B9), 4)</f>
        <v>B9</v>
      </c>
    </row>
    <row r="25" spans="1:5" x14ac:dyDescent="0.45">
      <c r="A25" t="s">
        <v>1268</v>
      </c>
      <c r="B25" t="s">
        <v>1211</v>
      </c>
      <c r="C25" t="s">
        <v>1935</v>
      </c>
      <c r="D25" t="str">
        <f>IF('Hulp (control forms)'!$C$12&lt;&gt;TRUE,
    "'1a. Input organisatieniveau'!H28",
    "'1a. Input organisatieniveau'!K19"
)</f>
        <v>'1a. Input organisatieniveau'!H28</v>
      </c>
      <c r="E25" t="str">
        <f>ADDRESS(ROW('6. Definities'!B10), COLUMN('6. Definities'!B10), 4)</f>
        <v>B10</v>
      </c>
    </row>
    <row r="26" spans="1:5" x14ac:dyDescent="0.45">
      <c r="A26" t="s">
        <v>1269</v>
      </c>
      <c r="B26" t="s">
        <v>1211</v>
      </c>
      <c r="C26" t="s">
        <v>1936</v>
      </c>
      <c r="D26" t="str">
        <f>IF('Hulp (control forms)'!$C$12&lt;&gt;TRUE,
    "'1a. Input organisatieniveau'!H29",
    "'1a. Input organisatieniveau'!K20"
)</f>
        <v>'1a. Input organisatieniveau'!H29</v>
      </c>
      <c r="E26" t="str">
        <f>ADDRESS(ROW('6. Definities'!B11), COLUMN('6. Definities'!B11), 4)</f>
        <v>B11</v>
      </c>
    </row>
    <row r="27" spans="1:5" x14ac:dyDescent="0.45">
      <c r="A27" t="s">
        <v>787</v>
      </c>
      <c r="B27" t="s">
        <v>1211</v>
      </c>
      <c r="C27" t="s">
        <v>1937</v>
      </c>
      <c r="E27" t="str">
        <f>ADDRESS(ROW('6. Definities'!B27), COLUMN('6. Definities'!B27), 4)</f>
        <v>B27</v>
      </c>
    </row>
    <row r="28" spans="1:5" x14ac:dyDescent="0.45">
      <c r="A28" t="s">
        <v>72</v>
      </c>
      <c r="B28" t="s">
        <v>1903</v>
      </c>
      <c r="C28" t="s">
        <v>2143</v>
      </c>
      <c r="E28" t="str">
        <f>ADDRESS(ROW('6. Definities'!B28), COLUMN('6. Definities'!B28), 4)</f>
        <v>B28</v>
      </c>
    </row>
    <row r="29" spans="1:5" x14ac:dyDescent="0.45">
      <c r="A29" t="s">
        <v>46</v>
      </c>
      <c r="B29" t="s">
        <v>1903</v>
      </c>
      <c r="C29" t="s">
        <v>2144</v>
      </c>
      <c r="E29" t="str">
        <f>ADDRESS(ROW('6. Definities'!B29), COLUMN('6. Definities'!B29), 4)</f>
        <v>B29</v>
      </c>
    </row>
    <row r="30" spans="1:5" x14ac:dyDescent="0.45">
      <c r="A30" t="s">
        <v>1217</v>
      </c>
      <c r="B30" t="s">
        <v>1903</v>
      </c>
      <c r="C30" t="s">
        <v>2145</v>
      </c>
      <c r="E30" t="str">
        <f>ADDRESS(ROW('6. Definities'!B30), COLUMN('6. Definities'!B30), 4)</f>
        <v>B30</v>
      </c>
    </row>
    <row r="31" spans="1:5" x14ac:dyDescent="0.45">
      <c r="A31" t="s">
        <v>1216</v>
      </c>
      <c r="B31" t="s">
        <v>1903</v>
      </c>
      <c r="C31" t="s">
        <v>2146</v>
      </c>
      <c r="E31" t="str">
        <f>ADDRESS(ROW('6. Definities'!B31), COLUMN('6. Definities'!B31), 4)</f>
        <v>B31</v>
      </c>
    </row>
    <row r="32" spans="1:5" x14ac:dyDescent="0.45">
      <c r="A32" t="s">
        <v>49</v>
      </c>
      <c r="B32" t="s">
        <v>1903</v>
      </c>
      <c r="C32" t="s">
        <v>2147</v>
      </c>
      <c r="E32" t="str">
        <f>ADDRESS(ROW('6. Definities'!B32), COLUMN('6. Definities'!B32), 4)</f>
        <v>B32</v>
      </c>
    </row>
    <row r="33" spans="1:5" x14ac:dyDescent="0.45">
      <c r="A33" t="s">
        <v>726</v>
      </c>
      <c r="B33" t="s">
        <v>1903</v>
      </c>
      <c r="C33" t="s">
        <v>2148</v>
      </c>
      <c r="E33" t="str">
        <f>ADDRESS(ROW('6. Definities'!B33), COLUMN('6. Definities'!B33), 4)</f>
        <v>B33</v>
      </c>
    </row>
    <row r="34" spans="1:5" x14ac:dyDescent="0.45">
      <c r="A34" t="s">
        <v>34</v>
      </c>
      <c r="B34" t="s">
        <v>1903</v>
      </c>
      <c r="C34" t="s">
        <v>2149</v>
      </c>
      <c r="E34" t="str">
        <f>ADDRESS(ROW('6. Definities'!B34), COLUMN('6. Definities'!B34), 4)</f>
        <v>B34</v>
      </c>
    </row>
    <row r="35" spans="1:5" x14ac:dyDescent="0.45">
      <c r="A35" t="s">
        <v>1235</v>
      </c>
      <c r="B35" t="s">
        <v>1903</v>
      </c>
      <c r="C35" t="s">
        <v>2150</v>
      </c>
      <c r="E35" t="str">
        <f>ADDRESS(ROW('6. Definities'!B35), COLUMN('6. Definities'!B35), 4)</f>
        <v>B35</v>
      </c>
    </row>
    <row r="36" spans="1:5" x14ac:dyDescent="0.45">
      <c r="A36" t="s">
        <v>2138</v>
      </c>
      <c r="B36" t="s">
        <v>1903</v>
      </c>
      <c r="C36" t="s">
        <v>2151</v>
      </c>
      <c r="E36" t="str">
        <f>ADDRESS(ROW('6. Definities'!B36), COLUMN('6. Definities'!B36), 4)</f>
        <v>B36</v>
      </c>
    </row>
    <row r="37" spans="1:5" x14ac:dyDescent="0.45">
      <c r="A37" t="s">
        <v>1904</v>
      </c>
      <c r="B37" t="s">
        <v>1903</v>
      </c>
      <c r="C37" t="s">
        <v>2152</v>
      </c>
      <c r="E37" t="str">
        <f>ADDRESS(ROW('6. Definities'!B37), COLUMN('6. Definities'!B37), 4)</f>
        <v>B37</v>
      </c>
    </row>
    <row r="38" spans="1:5" x14ac:dyDescent="0.45">
      <c r="A38" t="s">
        <v>1905</v>
      </c>
      <c r="B38" t="s">
        <v>1903</v>
      </c>
      <c r="C38" t="s">
        <v>2153</v>
      </c>
      <c r="E38" t="str">
        <f>ADDRESS(ROW('6. Definities'!B38), COLUMN('6. Definities'!B38), 4)</f>
        <v>B38</v>
      </c>
    </row>
    <row r="39" spans="1:5" x14ac:dyDescent="0.45">
      <c r="A39" t="s">
        <v>28</v>
      </c>
      <c r="B39" t="s">
        <v>1906</v>
      </c>
      <c r="C39" t="s">
        <v>1938</v>
      </c>
      <c r="E39" t="str">
        <f>ADDRESS(ROW('6. Definities'!B39), COLUMN('6. Definities'!B39), 4)</f>
        <v>B39</v>
      </c>
    </row>
    <row r="40" spans="1:5" x14ac:dyDescent="0.45">
      <c r="A40" t="s">
        <v>2223</v>
      </c>
      <c r="B40" t="s">
        <v>1906</v>
      </c>
      <c r="C40" t="s">
        <v>1939</v>
      </c>
      <c r="E40" t="str">
        <f>ADDRESS(ROW('6. Definities'!B40), COLUMN('6. Definities'!B40), 4)</f>
        <v>B40</v>
      </c>
    </row>
    <row r="41" spans="1:5" x14ac:dyDescent="0.45">
      <c r="A41" t="s">
        <v>29</v>
      </c>
      <c r="B41" t="s">
        <v>1906</v>
      </c>
      <c r="C41" t="s">
        <v>1940</v>
      </c>
      <c r="E41" t="str">
        <f>ADDRESS(ROW('6. Definities'!B41), COLUMN('6. Definities'!B41), 4)</f>
        <v>B41</v>
      </c>
    </row>
    <row r="42" spans="1:5" x14ac:dyDescent="0.45">
      <c r="A42" t="s">
        <v>721</v>
      </c>
      <c r="B42" t="s">
        <v>1906</v>
      </c>
      <c r="C42" t="s">
        <v>1941</v>
      </c>
      <c r="E42" t="str">
        <f>ADDRESS(ROW('6. Definities'!B42), COLUMN('6. Definities'!B42), 4)</f>
        <v>B42</v>
      </c>
    </row>
    <row r="43" spans="1:5" x14ac:dyDescent="0.45">
      <c r="A43" t="s">
        <v>59</v>
      </c>
      <c r="B43" t="s">
        <v>1906</v>
      </c>
      <c r="C43" t="s">
        <v>1942</v>
      </c>
      <c r="E43" t="str">
        <f>ADDRESS(ROW('6. Definities'!B43), COLUMN('6. Definities'!B43), 4)</f>
        <v>B43</v>
      </c>
    </row>
    <row r="44" spans="1:5" x14ac:dyDescent="0.45">
      <c r="A44" t="s">
        <v>884</v>
      </c>
      <c r="B44" t="s">
        <v>1906</v>
      </c>
      <c r="C44" t="s">
        <v>1943</v>
      </c>
      <c r="E44" t="str">
        <f>ADDRESS(ROW('6. Definities'!B44), COLUMN('6. Definities'!B44), 4)</f>
        <v>B44</v>
      </c>
    </row>
    <row r="45" spans="1:5" x14ac:dyDescent="0.45">
      <c r="A45" t="s">
        <v>882</v>
      </c>
      <c r="B45" t="s">
        <v>1906</v>
      </c>
      <c r="C45" t="s">
        <v>1944</v>
      </c>
    </row>
    <row r="46" spans="1:5" x14ac:dyDescent="0.45">
      <c r="A46" t="s">
        <v>883</v>
      </c>
      <c r="B46" t="s">
        <v>1906</v>
      </c>
      <c r="C46" t="s">
        <v>1945</v>
      </c>
    </row>
    <row r="47" spans="1:5" x14ac:dyDescent="0.45">
      <c r="A47" t="s">
        <v>750</v>
      </c>
      <c r="B47" t="s">
        <v>1890</v>
      </c>
      <c r="C47" t="s">
        <v>1914</v>
      </c>
      <c r="E47" t="str">
        <f>ADDRESS(ROW('6. Definities'!B45), COLUMN('6. Definities'!B45), 4)</f>
        <v>B45</v>
      </c>
    </row>
    <row r="48" spans="1:5" x14ac:dyDescent="0.45">
      <c r="A48" t="s">
        <v>30</v>
      </c>
      <c r="B48" t="s">
        <v>1890</v>
      </c>
      <c r="C48" t="s">
        <v>1946</v>
      </c>
      <c r="E48" t="str">
        <f>ADDRESS(ROW('6. Definities'!B46), COLUMN('6. Definities'!B46), 4)</f>
        <v>B46</v>
      </c>
    </row>
    <row r="49" spans="1:5" x14ac:dyDescent="0.45">
      <c r="A49" t="s">
        <v>44</v>
      </c>
      <c r="B49" t="s">
        <v>1890</v>
      </c>
      <c r="C49" t="s">
        <v>1947</v>
      </c>
      <c r="E49" t="str">
        <f>ADDRESS(ROW('6. Definities'!B47), COLUMN('6. Definities'!B47), 4)</f>
        <v>B47</v>
      </c>
    </row>
    <row r="50" spans="1:5" x14ac:dyDescent="0.45">
      <c r="A50" t="s">
        <v>33</v>
      </c>
      <c r="B50" t="s">
        <v>1890</v>
      </c>
      <c r="C50" t="s">
        <v>1948</v>
      </c>
      <c r="E50" t="str">
        <f>ADDRESS(ROW('6. Definities'!B48), COLUMN('6. Definities'!B48), 4)</f>
        <v>B48</v>
      </c>
    </row>
    <row r="51" spans="1:5" x14ac:dyDescent="0.45">
      <c r="A51" t="s">
        <v>6</v>
      </c>
      <c r="B51" t="s">
        <v>1890</v>
      </c>
      <c r="C51" t="s">
        <v>1949</v>
      </c>
    </row>
    <row r="52" spans="1:5" x14ac:dyDescent="0.45">
      <c r="A52" t="s">
        <v>7</v>
      </c>
      <c r="B52" t="s">
        <v>1890</v>
      </c>
      <c r="C52" t="s">
        <v>1950</v>
      </c>
    </row>
    <row r="53" spans="1:5" x14ac:dyDescent="0.45">
      <c r="A53" t="s">
        <v>34</v>
      </c>
      <c r="B53" t="s">
        <v>1890</v>
      </c>
      <c r="C53" t="s">
        <v>1951</v>
      </c>
    </row>
    <row r="54" spans="1:5" x14ac:dyDescent="0.45">
      <c r="A54" t="s">
        <v>69</v>
      </c>
      <c r="B54" t="s">
        <v>1890</v>
      </c>
      <c r="C54" t="s">
        <v>1952</v>
      </c>
      <c r="E54" t="str">
        <f>ADDRESS(ROW('6. Definities'!B49), COLUMN('6. Definities'!B49), 4)</f>
        <v>B49</v>
      </c>
    </row>
    <row r="55" spans="1:5" x14ac:dyDescent="0.45">
      <c r="A55" t="s">
        <v>35</v>
      </c>
      <c r="B55" t="s">
        <v>1890</v>
      </c>
      <c r="C55" t="s">
        <v>1953</v>
      </c>
    </row>
    <row r="56" spans="1:5" x14ac:dyDescent="0.45">
      <c r="A56" t="s">
        <v>36</v>
      </c>
      <c r="B56" t="s">
        <v>1890</v>
      </c>
      <c r="C56" t="s">
        <v>1954</v>
      </c>
      <c r="E56" t="str">
        <f>ADDRESS(ROW('6. Definities'!B50), COLUMN('6. Definities'!B50), 4)</f>
        <v>B50</v>
      </c>
    </row>
    <row r="57" spans="1:5" x14ac:dyDescent="0.45">
      <c r="A57" t="s">
        <v>43</v>
      </c>
      <c r="B57" t="s">
        <v>1890</v>
      </c>
      <c r="C57" t="s">
        <v>1955</v>
      </c>
      <c r="E57" t="str">
        <f>ADDRESS(ROW('6. Definities'!B51), COLUMN('6. Definities'!B51), 4)</f>
        <v>B51</v>
      </c>
    </row>
    <row r="58" spans="1:5" x14ac:dyDescent="0.45">
      <c r="A58" t="s">
        <v>9</v>
      </c>
      <c r="B58" t="s">
        <v>1890</v>
      </c>
      <c r="C58" t="s">
        <v>1956</v>
      </c>
    </row>
    <row r="59" spans="1:5" x14ac:dyDescent="0.45">
      <c r="A59" t="s">
        <v>67</v>
      </c>
      <c r="B59" t="s">
        <v>1890</v>
      </c>
      <c r="C59" t="s">
        <v>1957</v>
      </c>
    </row>
    <row r="60" spans="1:5" x14ac:dyDescent="0.45">
      <c r="A60" t="s">
        <v>53</v>
      </c>
      <c r="B60" t="s">
        <v>1890</v>
      </c>
      <c r="C60" t="s">
        <v>1958</v>
      </c>
      <c r="E60" t="str">
        <f>ADDRESS(ROW('6. Definities'!B52), COLUMN('6. Definities'!B52), 4)</f>
        <v>B52</v>
      </c>
    </row>
    <row r="61" spans="1:5" x14ac:dyDescent="0.45">
      <c r="A61" t="s">
        <v>796</v>
      </c>
      <c r="B61" t="s">
        <v>1890</v>
      </c>
      <c r="C61" t="s">
        <v>1959</v>
      </c>
    </row>
    <row r="62" spans="1:5" x14ac:dyDescent="0.45">
      <c r="A62" t="s">
        <v>768</v>
      </c>
      <c r="B62" t="s">
        <v>1890</v>
      </c>
      <c r="C62" t="s">
        <v>1960</v>
      </c>
    </row>
    <row r="63" spans="1:5" x14ac:dyDescent="0.45">
      <c r="A63" t="s">
        <v>10</v>
      </c>
      <c r="B63" t="s">
        <v>1890</v>
      </c>
      <c r="C63" t="s">
        <v>1961</v>
      </c>
    </row>
    <row r="64" spans="1:5" x14ac:dyDescent="0.45">
      <c r="A64" t="s">
        <v>54</v>
      </c>
      <c r="B64" t="s">
        <v>1890</v>
      </c>
      <c r="C64" t="s">
        <v>1962</v>
      </c>
    </row>
    <row r="65" spans="1:5" x14ac:dyDescent="0.45">
      <c r="A65" t="s">
        <v>55</v>
      </c>
      <c r="B65" t="s">
        <v>1890</v>
      </c>
      <c r="C65" t="s">
        <v>1963</v>
      </c>
    </row>
    <row r="66" spans="1:5" x14ac:dyDescent="0.45">
      <c r="A66" t="s">
        <v>56</v>
      </c>
      <c r="B66" t="s">
        <v>1890</v>
      </c>
      <c r="C66" t="s">
        <v>1964</v>
      </c>
    </row>
    <row r="67" spans="1:5" x14ac:dyDescent="0.45">
      <c r="A67" t="s">
        <v>57</v>
      </c>
      <c r="B67" t="s">
        <v>1890</v>
      </c>
      <c r="C67" t="s">
        <v>1965</v>
      </c>
    </row>
    <row r="68" spans="1:5" x14ac:dyDescent="0.45">
      <c r="A68" t="s">
        <v>797</v>
      </c>
      <c r="B68" t="s">
        <v>1890</v>
      </c>
      <c r="C68" t="s">
        <v>1966</v>
      </c>
    </row>
    <row r="69" spans="1:5" x14ac:dyDescent="0.45">
      <c r="A69" t="s">
        <v>1085</v>
      </c>
      <c r="B69" t="s">
        <v>1890</v>
      </c>
      <c r="C69" t="s">
        <v>1967</v>
      </c>
      <c r="E69" t="str">
        <f>ADDRESS(ROW('6. Definities'!B53), COLUMN('6. Definities'!B53), 4)</f>
        <v>B53</v>
      </c>
    </row>
    <row r="70" spans="1:5" x14ac:dyDescent="0.45">
      <c r="A70" t="s">
        <v>769</v>
      </c>
      <c r="B70" t="s">
        <v>1890</v>
      </c>
      <c r="C70" t="s">
        <v>1968</v>
      </c>
    </row>
    <row r="71" spans="1:5" x14ac:dyDescent="0.45">
      <c r="A71" t="s">
        <v>1235</v>
      </c>
      <c r="B71" t="s">
        <v>1890</v>
      </c>
      <c r="C71" t="s">
        <v>1969</v>
      </c>
    </row>
    <row r="72" spans="1:5" x14ac:dyDescent="0.45">
      <c r="A72" t="s">
        <v>2137</v>
      </c>
      <c r="B72" t="s">
        <v>1890</v>
      </c>
      <c r="C72" t="s">
        <v>1970</v>
      </c>
      <c r="E72" t="str">
        <f>ADDRESS(ROW('6. Definities'!B54), COLUMN('6. Definities'!B54), 4)</f>
        <v>B54</v>
      </c>
    </row>
    <row r="73" spans="1:5" x14ac:dyDescent="0.45">
      <c r="A73" t="s">
        <v>1081</v>
      </c>
      <c r="B73" t="s">
        <v>1890</v>
      </c>
      <c r="C73" t="s">
        <v>1971</v>
      </c>
      <c r="E73" t="str">
        <f>ADDRESS(ROW('6. Definities'!B55), COLUMN('6. Definities'!B55), 4)</f>
        <v>B55</v>
      </c>
    </row>
    <row r="74" spans="1:5" x14ac:dyDescent="0.45">
      <c r="A74" t="s">
        <v>73</v>
      </c>
      <c r="B74" t="s">
        <v>1890</v>
      </c>
      <c r="C74" t="s">
        <v>1972</v>
      </c>
    </row>
    <row r="75" spans="1:5" x14ac:dyDescent="0.45">
      <c r="A75" t="s">
        <v>725</v>
      </c>
      <c r="B75" t="s">
        <v>1890</v>
      </c>
      <c r="C75" t="s">
        <v>1973</v>
      </c>
    </row>
    <row r="76" spans="1:5" x14ac:dyDescent="0.45">
      <c r="A76" t="s">
        <v>783</v>
      </c>
      <c r="B76" t="s">
        <v>1890</v>
      </c>
      <c r="C76" t="s">
        <v>1974</v>
      </c>
    </row>
    <row r="77" spans="1:5" x14ac:dyDescent="0.45">
      <c r="A77" t="s">
        <v>1234</v>
      </c>
      <c r="B77" t="s">
        <v>1890</v>
      </c>
      <c r="C77" t="s">
        <v>1975</v>
      </c>
    </row>
    <row r="78" spans="1:5" x14ac:dyDescent="0.45">
      <c r="A78" t="s">
        <v>5</v>
      </c>
      <c r="B78" t="s">
        <v>1890</v>
      </c>
      <c r="C78" t="s">
        <v>1976</v>
      </c>
    </row>
    <row r="79" spans="1:5" x14ac:dyDescent="0.45">
      <c r="A79" t="s">
        <v>1895</v>
      </c>
      <c r="B79" t="s">
        <v>1890</v>
      </c>
      <c r="C79" t="s">
        <v>1977</v>
      </c>
    </row>
    <row r="80" spans="1:5" x14ac:dyDescent="0.45">
      <c r="A80" t="s">
        <v>784</v>
      </c>
      <c r="B80" t="s">
        <v>1890</v>
      </c>
      <c r="C80" t="s">
        <v>1978</v>
      </c>
    </row>
    <row r="81" spans="1:3" x14ac:dyDescent="0.45">
      <c r="A81" t="s">
        <v>1060</v>
      </c>
      <c r="B81" t="s">
        <v>1890</v>
      </c>
      <c r="C81" t="s">
        <v>1979</v>
      </c>
    </row>
    <row r="82" spans="1:3" x14ac:dyDescent="0.45">
      <c r="A82" t="s">
        <v>1889</v>
      </c>
      <c r="B82" t="s">
        <v>1890</v>
      </c>
      <c r="C82" t="s">
        <v>1980</v>
      </c>
    </row>
    <row r="83" spans="1:3" x14ac:dyDescent="0.45">
      <c r="A83" t="s">
        <v>38</v>
      </c>
      <c r="B83" t="s">
        <v>1890</v>
      </c>
      <c r="C83" t="s">
        <v>1981</v>
      </c>
    </row>
    <row r="84" spans="1:3" x14ac:dyDescent="0.45">
      <c r="A84" t="s">
        <v>785</v>
      </c>
      <c r="B84" t="s">
        <v>1890</v>
      </c>
      <c r="C84" t="s">
        <v>1982</v>
      </c>
    </row>
    <row r="85" spans="1:3" x14ac:dyDescent="0.45">
      <c r="A85" t="s">
        <v>1061</v>
      </c>
      <c r="B85" t="s">
        <v>1890</v>
      </c>
      <c r="C85" t="s">
        <v>1983</v>
      </c>
    </row>
    <row r="86" spans="1:3" x14ac:dyDescent="0.45">
      <c r="A86" t="s">
        <v>40</v>
      </c>
      <c r="B86" t="s">
        <v>1890</v>
      </c>
      <c r="C86" t="s">
        <v>1984</v>
      </c>
    </row>
    <row r="87" spans="1:3" x14ac:dyDescent="0.45">
      <c r="A87" t="s">
        <v>41</v>
      </c>
      <c r="B87" t="s">
        <v>1890</v>
      </c>
      <c r="C87" t="s">
        <v>1985</v>
      </c>
    </row>
    <row r="88" spans="1:3" x14ac:dyDescent="0.45">
      <c r="A88" t="s">
        <v>42</v>
      </c>
      <c r="B88" t="s">
        <v>1890</v>
      </c>
      <c r="C88" t="s">
        <v>1986</v>
      </c>
    </row>
    <row r="89" spans="1:3" x14ac:dyDescent="0.45">
      <c r="A89" t="s">
        <v>5</v>
      </c>
      <c r="B89" t="s">
        <v>1890</v>
      </c>
      <c r="C89" t="s">
        <v>1987</v>
      </c>
    </row>
    <row r="90" spans="1:3" x14ac:dyDescent="0.45">
      <c r="A90" t="s">
        <v>50</v>
      </c>
      <c r="B90" t="s">
        <v>1890</v>
      </c>
      <c r="C90" t="s">
        <v>1988</v>
      </c>
    </row>
    <row r="91" spans="1:3" x14ac:dyDescent="0.45">
      <c r="A91" t="s">
        <v>4</v>
      </c>
      <c r="B91" t="s">
        <v>1890</v>
      </c>
      <c r="C91" t="s">
        <v>1989</v>
      </c>
    </row>
    <row r="92" spans="1:3" x14ac:dyDescent="0.45">
      <c r="A92" t="s">
        <v>17</v>
      </c>
      <c r="B92" t="s">
        <v>1890</v>
      </c>
      <c r="C92" t="s">
        <v>1990</v>
      </c>
    </row>
    <row r="93" spans="1:3" x14ac:dyDescent="0.45">
      <c r="A93" t="s">
        <v>45</v>
      </c>
      <c r="B93" t="s">
        <v>1890</v>
      </c>
      <c r="C93" t="s">
        <v>1991</v>
      </c>
    </row>
    <row r="94" spans="1:3" x14ac:dyDescent="0.45">
      <c r="A94" t="s">
        <v>46</v>
      </c>
      <c r="B94" t="s">
        <v>1890</v>
      </c>
      <c r="C94" t="s">
        <v>1992</v>
      </c>
    </row>
    <row r="95" spans="1:3" x14ac:dyDescent="0.45">
      <c r="A95" t="s">
        <v>1217</v>
      </c>
      <c r="B95" t="s">
        <v>1890</v>
      </c>
      <c r="C95" t="s">
        <v>1993</v>
      </c>
    </row>
    <row r="96" spans="1:3" x14ac:dyDescent="0.45">
      <c r="A96" t="s">
        <v>1216</v>
      </c>
      <c r="B96" t="s">
        <v>1890</v>
      </c>
      <c r="C96" t="s">
        <v>1994</v>
      </c>
    </row>
    <row r="97" spans="1:3" x14ac:dyDescent="0.45">
      <c r="A97" t="s">
        <v>49</v>
      </c>
      <c r="B97" t="s">
        <v>1890</v>
      </c>
      <c r="C97" t="s">
        <v>1995</v>
      </c>
    </row>
    <row r="98" spans="1:3" x14ac:dyDescent="0.45">
      <c r="A98" t="s">
        <v>51</v>
      </c>
      <c r="B98" t="s">
        <v>1890</v>
      </c>
      <c r="C98" t="s">
        <v>1996</v>
      </c>
    </row>
    <row r="99" spans="1:3" x14ac:dyDescent="0.45">
      <c r="A99" t="s">
        <v>52</v>
      </c>
      <c r="B99" t="s">
        <v>1890</v>
      </c>
      <c r="C99" t="s">
        <v>1997</v>
      </c>
    </row>
    <row r="100" spans="1:3" x14ac:dyDescent="0.45">
      <c r="A100" t="s">
        <v>805</v>
      </c>
      <c r="B100" t="s">
        <v>1907</v>
      </c>
      <c r="C100" t="s">
        <v>1920</v>
      </c>
    </row>
    <row r="101" spans="1:3" x14ac:dyDescent="0.45">
      <c r="A101" t="s">
        <v>823</v>
      </c>
      <c r="B101" t="s">
        <v>1907</v>
      </c>
      <c r="C101" t="s">
        <v>1998</v>
      </c>
    </row>
    <row r="102" spans="1:3" x14ac:dyDescent="0.45">
      <c r="A102" t="s">
        <v>824</v>
      </c>
      <c r="B102" t="s">
        <v>1907</v>
      </c>
      <c r="C102" t="s">
        <v>1922</v>
      </c>
    </row>
    <row r="103" spans="1:3" x14ac:dyDescent="0.45">
      <c r="A103" t="s">
        <v>809</v>
      </c>
      <c r="B103" t="s">
        <v>1907</v>
      </c>
      <c r="C103" t="s">
        <v>1999</v>
      </c>
    </row>
    <row r="104" spans="1:3" x14ac:dyDescent="0.45">
      <c r="A104" t="s">
        <v>2048</v>
      </c>
      <c r="B104" t="s">
        <v>1907</v>
      </c>
      <c r="C104" t="s">
        <v>1924</v>
      </c>
    </row>
    <row r="105" spans="1:3" x14ac:dyDescent="0.45">
      <c r="A105" t="s">
        <v>2049</v>
      </c>
      <c r="B105" t="s">
        <v>1907</v>
      </c>
      <c r="C105" t="s">
        <v>1925</v>
      </c>
    </row>
    <row r="106" spans="1:3" x14ac:dyDescent="0.45">
      <c r="A106" t="s">
        <v>2050</v>
      </c>
      <c r="B106" t="s">
        <v>1907</v>
      </c>
      <c r="C106" t="s">
        <v>1926</v>
      </c>
    </row>
    <row r="107" spans="1:3" x14ac:dyDescent="0.45">
      <c r="A107" t="s">
        <v>2051</v>
      </c>
      <c r="B107" t="s">
        <v>1907</v>
      </c>
      <c r="C107" t="s">
        <v>2000</v>
      </c>
    </row>
    <row r="108" spans="1:3" x14ac:dyDescent="0.45">
      <c r="A108" t="s">
        <v>2052</v>
      </c>
      <c r="B108" t="s">
        <v>1907</v>
      </c>
      <c r="C108" t="s">
        <v>1928</v>
      </c>
    </row>
    <row r="109" spans="1:3" x14ac:dyDescent="0.45">
      <c r="A109" t="s">
        <v>2053</v>
      </c>
      <c r="B109" t="s">
        <v>1907</v>
      </c>
      <c r="C109" t="s">
        <v>1929</v>
      </c>
    </row>
    <row r="110" spans="1:3" x14ac:dyDescent="0.45">
      <c r="A110" t="s">
        <v>816</v>
      </c>
      <c r="B110" t="s">
        <v>1907</v>
      </c>
      <c r="C110" t="s">
        <v>2001</v>
      </c>
    </row>
    <row r="111" spans="1:3" x14ac:dyDescent="0.45">
      <c r="A111" t="s">
        <v>813</v>
      </c>
      <c r="B111" t="s">
        <v>1907</v>
      </c>
      <c r="C111" t="s">
        <v>1931</v>
      </c>
    </row>
    <row r="112" spans="1:3" x14ac:dyDescent="0.45">
      <c r="A112" t="s">
        <v>814</v>
      </c>
      <c r="B112" t="s">
        <v>1907</v>
      </c>
      <c r="C112" t="s">
        <v>1932</v>
      </c>
    </row>
    <row r="113" spans="1:3" x14ac:dyDescent="0.45">
      <c r="A113" t="s">
        <v>815</v>
      </c>
      <c r="B113" t="s">
        <v>1907</v>
      </c>
      <c r="C113" t="s">
        <v>1933</v>
      </c>
    </row>
    <row r="114" spans="1:3" x14ac:dyDescent="0.45">
      <c r="A114" t="s">
        <v>817</v>
      </c>
      <c r="B114" t="s">
        <v>1907</v>
      </c>
      <c r="C114" t="s">
        <v>1934</v>
      </c>
    </row>
    <row r="115" spans="1:3" x14ac:dyDescent="0.45">
      <c r="A115" t="s">
        <v>818</v>
      </c>
      <c r="B115" t="s">
        <v>1907</v>
      </c>
      <c r="C115" t="s">
        <v>1935</v>
      </c>
    </row>
    <row r="116" spans="1:3" x14ac:dyDescent="0.45">
      <c r="A116" t="s">
        <v>819</v>
      </c>
      <c r="B116" t="s">
        <v>1907</v>
      </c>
      <c r="C116" t="s">
        <v>2002</v>
      </c>
    </row>
    <row r="117" spans="1:3" x14ac:dyDescent="0.45">
      <c r="A117" t="s">
        <v>820</v>
      </c>
      <c r="B117" t="s">
        <v>1907</v>
      </c>
      <c r="C117" t="s">
        <v>2003</v>
      </c>
    </row>
    <row r="118" spans="1:3" x14ac:dyDescent="0.45">
      <c r="A118" t="s">
        <v>821</v>
      </c>
      <c r="B118" t="s">
        <v>1907</v>
      </c>
      <c r="C118" t="s">
        <v>2004</v>
      </c>
    </row>
    <row r="119" spans="1:3" x14ac:dyDescent="0.45">
      <c r="A119" t="s">
        <v>945</v>
      </c>
      <c r="B119" t="s">
        <v>1907</v>
      </c>
      <c r="C119" t="s">
        <v>2005</v>
      </c>
    </row>
    <row r="120" spans="1:3" x14ac:dyDescent="0.45">
      <c r="A120" t="s">
        <v>831</v>
      </c>
      <c r="B120" t="s">
        <v>1907</v>
      </c>
      <c r="C120" t="s">
        <v>2006</v>
      </c>
    </row>
    <row r="121" spans="1:3" x14ac:dyDescent="0.45">
      <c r="A121" t="s">
        <v>830</v>
      </c>
      <c r="B121" t="s">
        <v>1907</v>
      </c>
      <c r="C121" t="s">
        <v>2007</v>
      </c>
    </row>
    <row r="122" spans="1:3" x14ac:dyDescent="0.45">
      <c r="A122" t="s">
        <v>827</v>
      </c>
      <c r="B122" t="s">
        <v>1907</v>
      </c>
      <c r="C122" t="s">
        <v>2008</v>
      </c>
    </row>
    <row r="123" spans="1:3" x14ac:dyDescent="0.45">
      <c r="A123" t="s">
        <v>829</v>
      </c>
      <c r="B123" t="s">
        <v>1907</v>
      </c>
      <c r="C123" t="s">
        <v>2009</v>
      </c>
    </row>
    <row r="124" spans="1:3" x14ac:dyDescent="0.45">
      <c r="A124" t="s">
        <v>828</v>
      </c>
      <c r="B124" t="s">
        <v>1907</v>
      </c>
      <c r="C124" t="s">
        <v>2010</v>
      </c>
    </row>
    <row r="125" spans="1:3" x14ac:dyDescent="0.45">
      <c r="A125" t="s">
        <v>832</v>
      </c>
      <c r="B125" t="s">
        <v>1907</v>
      </c>
      <c r="C125" t="s">
        <v>2011</v>
      </c>
    </row>
    <row r="126" spans="1:3" x14ac:dyDescent="0.45">
      <c r="A126" t="s">
        <v>833</v>
      </c>
      <c r="B126" t="s">
        <v>1907</v>
      </c>
      <c r="C126" t="s">
        <v>2012</v>
      </c>
    </row>
    <row r="127" spans="1:3" x14ac:dyDescent="0.45">
      <c r="A127" t="s">
        <v>834</v>
      </c>
      <c r="B127" t="s">
        <v>1907</v>
      </c>
      <c r="C127" t="s">
        <v>2013</v>
      </c>
    </row>
    <row r="128" spans="1:3" x14ac:dyDescent="0.45">
      <c r="A128" t="s">
        <v>838</v>
      </c>
      <c r="B128" t="s">
        <v>1907</v>
      </c>
      <c r="C128" t="s">
        <v>2014</v>
      </c>
    </row>
    <row r="129" spans="1:3" x14ac:dyDescent="0.45">
      <c r="A129" t="s">
        <v>835</v>
      </c>
      <c r="B129" t="s">
        <v>1907</v>
      </c>
      <c r="C129" t="s">
        <v>2015</v>
      </c>
    </row>
    <row r="130" spans="1:3" x14ac:dyDescent="0.45">
      <c r="A130" t="s">
        <v>836</v>
      </c>
      <c r="B130" t="s">
        <v>1907</v>
      </c>
      <c r="C130" t="s">
        <v>2016</v>
      </c>
    </row>
    <row r="131" spans="1:3" x14ac:dyDescent="0.45">
      <c r="A131" t="s">
        <v>839</v>
      </c>
      <c r="B131" t="s">
        <v>1907</v>
      </c>
      <c r="C131" t="s">
        <v>2017</v>
      </c>
    </row>
    <row r="132" spans="1:3" x14ac:dyDescent="0.45">
      <c r="A132" t="s">
        <v>837</v>
      </c>
      <c r="B132" t="s">
        <v>1907</v>
      </c>
      <c r="C132" t="s">
        <v>2018</v>
      </c>
    </row>
    <row r="133" spans="1:3" x14ac:dyDescent="0.45">
      <c r="A133" t="s">
        <v>973</v>
      </c>
      <c r="B133" t="s">
        <v>1907</v>
      </c>
      <c r="C133" t="s">
        <v>2019</v>
      </c>
    </row>
    <row r="134" spans="1:3" x14ac:dyDescent="0.45">
      <c r="A134" t="s">
        <v>911</v>
      </c>
      <c r="B134" t="s">
        <v>1908</v>
      </c>
      <c r="C134" t="s">
        <v>2020</v>
      </c>
    </row>
    <row r="135" spans="1:3" x14ac:dyDescent="0.45">
      <c r="A135" t="s">
        <v>908</v>
      </c>
      <c r="B135" t="s">
        <v>1908</v>
      </c>
      <c r="C135" t="s">
        <v>2021</v>
      </c>
    </row>
    <row r="136" spans="1:3" x14ac:dyDescent="0.45">
      <c r="A136" t="s">
        <v>909</v>
      </c>
      <c r="B136" t="s">
        <v>1908</v>
      </c>
      <c r="C136" t="s">
        <v>2022</v>
      </c>
    </row>
    <row r="137" spans="1:3" x14ac:dyDescent="0.45">
      <c r="A137" t="s">
        <v>910</v>
      </c>
      <c r="B137" t="s">
        <v>1908</v>
      </c>
      <c r="C137" t="s">
        <v>2023</v>
      </c>
    </row>
    <row r="138" spans="1:3" x14ac:dyDescent="0.45">
      <c r="A138" t="s">
        <v>930</v>
      </c>
      <c r="B138" t="s">
        <v>1908</v>
      </c>
      <c r="C138" t="s">
        <v>2024</v>
      </c>
    </row>
    <row r="139" spans="1:3" x14ac:dyDescent="0.45">
      <c r="A139" t="s">
        <v>927</v>
      </c>
      <c r="B139" t="s">
        <v>1908</v>
      </c>
      <c r="C139" t="s">
        <v>2025</v>
      </c>
    </row>
    <row r="140" spans="1:3" x14ac:dyDescent="0.45">
      <c r="A140" t="s">
        <v>928</v>
      </c>
      <c r="B140" t="s">
        <v>1908</v>
      </c>
      <c r="C140" t="s">
        <v>2026</v>
      </c>
    </row>
    <row r="141" spans="1:3" x14ac:dyDescent="0.45">
      <c r="A141" t="s">
        <v>929</v>
      </c>
      <c r="B141" t="s">
        <v>1908</v>
      </c>
      <c r="C141" t="s">
        <v>2027</v>
      </c>
    </row>
    <row r="142" spans="1:3" x14ac:dyDescent="0.45">
      <c r="A142" t="s">
        <v>897</v>
      </c>
      <c r="B142" t="s">
        <v>1908</v>
      </c>
      <c r="C142" t="s">
        <v>2028</v>
      </c>
    </row>
    <row r="143" spans="1:3" x14ac:dyDescent="0.45">
      <c r="A143" t="s">
        <v>1083</v>
      </c>
      <c r="B143" t="s">
        <v>1908</v>
      </c>
      <c r="C143" t="s">
        <v>2029</v>
      </c>
    </row>
    <row r="144" spans="1:3" x14ac:dyDescent="0.45">
      <c r="A144" t="s">
        <v>899</v>
      </c>
      <c r="B144" t="s">
        <v>1908</v>
      </c>
      <c r="C144" t="s">
        <v>2030</v>
      </c>
    </row>
    <row r="145" spans="1:3" x14ac:dyDescent="0.45">
      <c r="A145" t="s">
        <v>900</v>
      </c>
      <c r="B145" t="s">
        <v>1908</v>
      </c>
      <c r="C145" t="s">
        <v>2031</v>
      </c>
    </row>
    <row r="146" spans="1:3" x14ac:dyDescent="0.45">
      <c r="A146" t="s">
        <v>950</v>
      </c>
      <c r="B146" t="s">
        <v>1908</v>
      </c>
      <c r="C146" t="s">
        <v>2032</v>
      </c>
    </row>
    <row r="147" spans="1:3" x14ac:dyDescent="0.45">
      <c r="A147" t="s">
        <v>946</v>
      </c>
      <c r="B147" t="s">
        <v>1908</v>
      </c>
      <c r="C147" t="s">
        <v>2033</v>
      </c>
    </row>
    <row r="148" spans="1:3" x14ac:dyDescent="0.45">
      <c r="A148" t="s">
        <v>731</v>
      </c>
      <c r="B148" t="s">
        <v>1908</v>
      </c>
      <c r="C148" t="s">
        <v>2034</v>
      </c>
    </row>
    <row r="149" spans="1:3" x14ac:dyDescent="0.45">
      <c r="A149" t="s">
        <v>937</v>
      </c>
      <c r="B149" t="s">
        <v>1908</v>
      </c>
      <c r="C149" t="s">
        <v>2035</v>
      </c>
    </row>
    <row r="150" spans="1:3" x14ac:dyDescent="0.45">
      <c r="A150" t="s">
        <v>936</v>
      </c>
      <c r="B150" t="s">
        <v>1908</v>
      </c>
      <c r="C150" t="s">
        <v>2036</v>
      </c>
    </row>
    <row r="151" spans="1:3" x14ac:dyDescent="0.45">
      <c r="A151" t="s">
        <v>898</v>
      </c>
      <c r="B151" t="s">
        <v>1908</v>
      </c>
      <c r="C151" t="s">
        <v>2037</v>
      </c>
    </row>
    <row r="152" spans="1:3" x14ac:dyDescent="0.45">
      <c r="A152" t="s">
        <v>908</v>
      </c>
      <c r="B152" t="s">
        <v>1908</v>
      </c>
      <c r="C152" t="s">
        <v>2038</v>
      </c>
    </row>
    <row r="153" spans="1:3" x14ac:dyDescent="0.45">
      <c r="A153" t="s">
        <v>909</v>
      </c>
      <c r="B153" t="s">
        <v>1908</v>
      </c>
      <c r="C153" t="s">
        <v>2039</v>
      </c>
    </row>
    <row r="154" spans="1:3" x14ac:dyDescent="0.45">
      <c r="A154" t="s">
        <v>910</v>
      </c>
      <c r="B154" t="s">
        <v>1908</v>
      </c>
      <c r="C154" t="s">
        <v>2040</v>
      </c>
    </row>
    <row r="155" spans="1:3" x14ac:dyDescent="0.45">
      <c r="A155" t="s">
        <v>938</v>
      </c>
      <c r="B155" t="s">
        <v>1908</v>
      </c>
      <c r="C155" t="s">
        <v>2041</v>
      </c>
    </row>
    <row r="156" spans="1:3" x14ac:dyDescent="0.45">
      <c r="A156" t="s">
        <v>899</v>
      </c>
      <c r="B156" t="s">
        <v>1908</v>
      </c>
      <c r="C156" t="s">
        <v>2042</v>
      </c>
    </row>
    <row r="157" spans="1:3" x14ac:dyDescent="0.45">
      <c r="A157" t="s">
        <v>900</v>
      </c>
      <c r="B157" t="s">
        <v>1908</v>
      </c>
      <c r="C157" t="s">
        <v>2043</v>
      </c>
    </row>
    <row r="158" spans="1:3" x14ac:dyDescent="0.45">
      <c r="A158" t="s">
        <v>973</v>
      </c>
      <c r="B158" t="s">
        <v>1908</v>
      </c>
      <c r="C158" t="s">
        <v>2044</v>
      </c>
    </row>
    <row r="159" spans="1:3" x14ac:dyDescent="0.45">
      <c r="A159" t="s">
        <v>935</v>
      </c>
      <c r="B159" t="s">
        <v>1908</v>
      </c>
      <c r="C159" t="s">
        <v>2045</v>
      </c>
    </row>
  </sheetData>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autoPageBreaks="0"/>
  </sheetPr>
  <dimension ref="A1:U88"/>
  <sheetViews>
    <sheetView topLeftCell="A63" zoomScale="70" zoomScaleNormal="70" workbookViewId="0">
      <selection activeCell="P11" sqref="P11"/>
    </sheetView>
  </sheetViews>
  <sheetFormatPr defaultRowHeight="14.25" x14ac:dyDescent="0.45"/>
  <cols>
    <col min="1" max="1" width="3" bestFit="1" customWidth="1"/>
    <col min="2" max="2" width="16.53125" bestFit="1" customWidth="1"/>
    <col min="3" max="3" width="39.06640625" bestFit="1" customWidth="1"/>
    <col min="4" max="4" width="35.9296875" bestFit="1" customWidth="1"/>
    <col min="5" max="5" width="39" bestFit="1" customWidth="1"/>
    <col min="6" max="6" width="38.19921875" bestFit="1" customWidth="1"/>
    <col min="7" max="7" width="39.06640625" bestFit="1" customWidth="1"/>
    <col min="8" max="8" width="20.796875" bestFit="1" customWidth="1"/>
    <col min="9" max="9" width="39.06640625" bestFit="1" customWidth="1"/>
    <col min="10" max="10" width="26" bestFit="1" customWidth="1"/>
    <col min="11" max="11" width="30.06640625" bestFit="1" customWidth="1"/>
    <col min="12" max="12" width="17" customWidth="1"/>
    <col min="13" max="13" width="30.06640625" customWidth="1"/>
    <col min="14" max="14" width="16.73046875" customWidth="1"/>
    <col min="15" max="15" width="17.53125" customWidth="1"/>
    <col min="16" max="16" width="16.33203125" customWidth="1"/>
    <col min="17" max="17" width="18" customWidth="1"/>
    <col min="18" max="18" width="18.33203125" customWidth="1"/>
    <col min="19" max="19" width="17" customWidth="1"/>
    <col min="20" max="20" width="30.06640625" customWidth="1"/>
    <col min="21" max="21" width="119.53125" customWidth="1"/>
  </cols>
  <sheetData>
    <row r="1" spans="1:21" s="5" customFormat="1" x14ac:dyDescent="0.45">
      <c r="A1" s="5" t="s">
        <v>1092</v>
      </c>
      <c r="B1" s="5" t="s">
        <v>1093</v>
      </c>
      <c r="C1" s="5" t="s">
        <v>1094</v>
      </c>
      <c r="D1" s="5" t="s">
        <v>1095</v>
      </c>
      <c r="E1" s="5" t="s">
        <v>1096</v>
      </c>
      <c r="F1" s="5" t="s">
        <v>1097</v>
      </c>
      <c r="G1" s="5" t="s">
        <v>995</v>
      </c>
      <c r="H1" s="5" t="s">
        <v>996</v>
      </c>
      <c r="I1" s="5" t="s">
        <v>1098</v>
      </c>
      <c r="J1" s="5" t="s">
        <v>1099</v>
      </c>
      <c r="K1" s="5" t="s">
        <v>1100</v>
      </c>
      <c r="L1" s="5" t="s">
        <v>1101</v>
      </c>
      <c r="M1" s="5" t="s">
        <v>1102</v>
      </c>
      <c r="N1" s="5" t="s">
        <v>1124</v>
      </c>
      <c r="O1" s="5" t="s">
        <v>1125</v>
      </c>
      <c r="P1" s="5" t="s">
        <v>1126</v>
      </c>
      <c r="Q1" s="5" t="s">
        <v>1131</v>
      </c>
      <c r="R1" s="5" t="s">
        <v>1132</v>
      </c>
      <c r="S1" s="5" t="s">
        <v>1133</v>
      </c>
      <c r="T1" s="5" t="s">
        <v>1123</v>
      </c>
      <c r="U1" s="5" t="s">
        <v>1103</v>
      </c>
    </row>
    <row r="2" spans="1:21" x14ac:dyDescent="0.45">
      <c r="A2">
        <f>ROW(A2)-1</f>
        <v>1</v>
      </c>
      <c r="B2" t="s">
        <v>749</v>
      </c>
      <c r="C2" t="s">
        <v>11</v>
      </c>
      <c r="G2" t="s">
        <v>11</v>
      </c>
      <c r="H2" t="s">
        <v>997</v>
      </c>
      <c r="I2" t="s">
        <v>11</v>
      </c>
      <c r="J2" t="s">
        <v>11</v>
      </c>
      <c r="K2" t="s">
        <v>11</v>
      </c>
      <c r="L2" t="s">
        <v>1063</v>
      </c>
      <c r="M2" t="s">
        <v>1211</v>
      </c>
      <c r="N2" t="s">
        <v>1134</v>
      </c>
      <c r="O2" t="s">
        <v>1134</v>
      </c>
      <c r="P2" t="s">
        <v>1134</v>
      </c>
      <c r="Q2">
        <v>0</v>
      </c>
      <c r="R2">
        <v>0</v>
      </c>
      <c r="S2">
        <v>0</v>
      </c>
    </row>
    <row r="3" spans="1:21" x14ac:dyDescent="0.45">
      <c r="A3">
        <f t="shared" ref="A3:A80" si="0">ROW(A3)-1</f>
        <v>2</v>
      </c>
      <c r="B3" t="s">
        <v>749</v>
      </c>
      <c r="C3" t="s">
        <v>786</v>
      </c>
      <c r="G3" t="s">
        <v>786</v>
      </c>
      <c r="H3" t="s">
        <v>998</v>
      </c>
      <c r="I3" t="s">
        <v>786</v>
      </c>
      <c r="J3" t="s">
        <v>786</v>
      </c>
      <c r="K3" t="s">
        <v>786</v>
      </c>
      <c r="L3" t="s">
        <v>1063</v>
      </c>
      <c r="M3" t="s">
        <v>1890</v>
      </c>
      <c r="N3" t="s">
        <v>1137</v>
      </c>
      <c r="O3" t="s">
        <v>1138</v>
      </c>
      <c r="P3" t="s">
        <v>1206</v>
      </c>
      <c r="Q3">
        <v>2</v>
      </c>
      <c r="R3">
        <v>2</v>
      </c>
      <c r="S3">
        <v>3</v>
      </c>
    </row>
    <row r="4" spans="1:21" x14ac:dyDescent="0.45">
      <c r="A4">
        <f t="shared" si="0"/>
        <v>3</v>
      </c>
      <c r="B4" t="s">
        <v>749</v>
      </c>
      <c r="C4" t="s">
        <v>13</v>
      </c>
      <c r="G4" t="s">
        <v>13</v>
      </c>
      <c r="H4" t="s">
        <v>1062</v>
      </c>
      <c r="I4" t="s">
        <v>13</v>
      </c>
      <c r="J4" t="s">
        <v>13</v>
      </c>
      <c r="K4" t="s">
        <v>13</v>
      </c>
      <c r="L4" t="s">
        <v>1062</v>
      </c>
      <c r="M4" t="s">
        <v>1211</v>
      </c>
      <c r="N4" t="s">
        <v>1136</v>
      </c>
      <c r="O4" t="s">
        <v>1136</v>
      </c>
      <c r="P4" t="s">
        <v>1136</v>
      </c>
      <c r="Q4">
        <v>0</v>
      </c>
      <c r="R4">
        <v>0</v>
      </c>
      <c r="S4">
        <v>0</v>
      </c>
    </row>
    <row r="5" spans="1:21" x14ac:dyDescent="0.45">
      <c r="A5">
        <f t="shared" si="0"/>
        <v>4</v>
      </c>
      <c r="B5" t="s">
        <v>749</v>
      </c>
      <c r="C5" t="s">
        <v>12</v>
      </c>
      <c r="G5" t="s">
        <v>12</v>
      </c>
      <c r="H5" t="s">
        <v>999</v>
      </c>
      <c r="I5" t="s">
        <v>12</v>
      </c>
      <c r="J5" t="s">
        <v>12</v>
      </c>
      <c r="K5" t="s">
        <v>12</v>
      </c>
      <c r="L5" t="s">
        <v>1063</v>
      </c>
      <c r="M5" t="s">
        <v>1211</v>
      </c>
      <c r="N5" t="s">
        <v>1135</v>
      </c>
      <c r="O5" t="s">
        <v>1135</v>
      </c>
      <c r="P5" t="s">
        <v>1135</v>
      </c>
      <c r="Q5">
        <v>0</v>
      </c>
      <c r="R5">
        <v>0</v>
      </c>
      <c r="S5">
        <v>0</v>
      </c>
    </row>
    <row r="6" spans="1:21" x14ac:dyDescent="0.45">
      <c r="A6">
        <f t="shared" si="0"/>
        <v>5</v>
      </c>
      <c r="B6" t="s">
        <v>749</v>
      </c>
      <c r="C6" t="s">
        <v>725</v>
      </c>
      <c r="G6" t="s">
        <v>725</v>
      </c>
      <c r="H6" t="s">
        <v>1000</v>
      </c>
      <c r="I6" t="s">
        <v>725</v>
      </c>
      <c r="J6" t="s">
        <v>725</v>
      </c>
      <c r="K6" t="s">
        <v>725</v>
      </c>
      <c r="L6" t="s">
        <v>1063</v>
      </c>
      <c r="M6" t="s">
        <v>1890</v>
      </c>
      <c r="N6" t="s">
        <v>1127</v>
      </c>
      <c r="O6" t="s">
        <v>1128</v>
      </c>
      <c r="P6" t="s">
        <v>1129</v>
      </c>
      <c r="Q6">
        <v>2</v>
      </c>
      <c r="R6">
        <v>0</v>
      </c>
      <c r="S6">
        <v>0</v>
      </c>
    </row>
    <row r="7" spans="1:21" x14ac:dyDescent="0.45">
      <c r="A7">
        <f t="shared" si="0"/>
        <v>6</v>
      </c>
      <c r="B7" t="s">
        <v>1248</v>
      </c>
      <c r="C7" t="s">
        <v>1247</v>
      </c>
      <c r="D7" t="s">
        <v>1250</v>
      </c>
      <c r="G7" t="s">
        <v>1250</v>
      </c>
      <c r="H7" t="s">
        <v>1251</v>
      </c>
      <c r="I7" t="s">
        <v>1250</v>
      </c>
      <c r="J7" t="s">
        <v>1104</v>
      </c>
      <c r="K7" t="s">
        <v>1104</v>
      </c>
      <c r="L7" t="s">
        <v>1253</v>
      </c>
      <c r="M7" t="s">
        <v>1211</v>
      </c>
      <c r="N7" t="s">
        <v>1262</v>
      </c>
      <c r="Q7">
        <v>0</v>
      </c>
    </row>
    <row r="8" spans="1:21" x14ac:dyDescent="0.45">
      <c r="A8">
        <f t="shared" si="0"/>
        <v>7</v>
      </c>
      <c r="B8" t="s">
        <v>1248</v>
      </c>
      <c r="C8" t="s">
        <v>1247</v>
      </c>
      <c r="D8" t="s">
        <v>1249</v>
      </c>
      <c r="G8" t="s">
        <v>1249</v>
      </c>
      <c r="H8" t="s">
        <v>1252</v>
      </c>
      <c r="I8" t="s">
        <v>1249</v>
      </c>
      <c r="J8" t="s">
        <v>1104</v>
      </c>
      <c r="K8" t="s">
        <v>1104</v>
      </c>
      <c r="L8" t="s">
        <v>1253</v>
      </c>
      <c r="M8" t="s">
        <v>1211</v>
      </c>
      <c r="N8" t="s">
        <v>1254</v>
      </c>
      <c r="Q8">
        <v>0</v>
      </c>
    </row>
    <row r="9" spans="1:21" x14ac:dyDescent="0.45">
      <c r="A9">
        <f t="shared" ref="A9:A17" si="1">ROW(A9)-1</f>
        <v>8</v>
      </c>
      <c r="B9" t="s">
        <v>1248</v>
      </c>
      <c r="C9" t="s">
        <v>70</v>
      </c>
      <c r="D9" t="s">
        <v>76</v>
      </c>
      <c r="G9" t="s">
        <v>76</v>
      </c>
      <c r="H9" t="s">
        <v>1255</v>
      </c>
      <c r="I9" t="s">
        <v>76</v>
      </c>
      <c r="J9" t="s">
        <v>1104</v>
      </c>
      <c r="K9" t="s">
        <v>1104</v>
      </c>
      <c r="L9" t="s">
        <v>1066</v>
      </c>
      <c r="T9" t="s">
        <v>1207</v>
      </c>
      <c r="U9" t="s">
        <v>1213</v>
      </c>
    </row>
    <row r="10" spans="1:21" x14ac:dyDescent="0.45">
      <c r="A10">
        <f t="shared" si="1"/>
        <v>9</v>
      </c>
      <c r="B10" t="s">
        <v>1248</v>
      </c>
      <c r="C10" t="s">
        <v>70</v>
      </c>
      <c r="D10" t="s">
        <v>77</v>
      </c>
      <c r="G10" t="s">
        <v>77</v>
      </c>
      <c r="H10" t="s">
        <v>1256</v>
      </c>
      <c r="I10" t="s">
        <v>77</v>
      </c>
      <c r="J10" t="s">
        <v>820</v>
      </c>
      <c r="K10" t="s">
        <v>1104</v>
      </c>
      <c r="L10" t="s">
        <v>1066</v>
      </c>
      <c r="T10" t="s">
        <v>1208</v>
      </c>
      <c r="U10" t="s">
        <v>1213</v>
      </c>
    </row>
    <row r="11" spans="1:21" x14ac:dyDescent="0.45">
      <c r="A11">
        <f t="shared" si="1"/>
        <v>10</v>
      </c>
      <c r="B11" t="s">
        <v>1248</v>
      </c>
      <c r="C11" t="s">
        <v>70</v>
      </c>
      <c r="D11" t="s">
        <v>78</v>
      </c>
      <c r="G11" t="s">
        <v>78</v>
      </c>
      <c r="H11" t="s">
        <v>1257</v>
      </c>
      <c r="I11" t="s">
        <v>78</v>
      </c>
      <c r="J11" t="s">
        <v>1104</v>
      </c>
      <c r="K11" t="s">
        <v>1104</v>
      </c>
      <c r="L11" t="s">
        <v>1066</v>
      </c>
      <c r="T11" t="s">
        <v>1212</v>
      </c>
      <c r="U11" t="s">
        <v>1213</v>
      </c>
    </row>
    <row r="12" spans="1:21" x14ac:dyDescent="0.45">
      <c r="A12">
        <f t="shared" si="1"/>
        <v>11</v>
      </c>
      <c r="B12" t="s">
        <v>1248</v>
      </c>
      <c r="C12" t="s">
        <v>1266</v>
      </c>
      <c r="D12" t="s">
        <v>714</v>
      </c>
      <c r="G12" t="s">
        <v>714</v>
      </c>
      <c r="H12" t="s">
        <v>1038</v>
      </c>
      <c r="I12" t="s">
        <v>714</v>
      </c>
      <c r="J12" t="s">
        <v>1104</v>
      </c>
      <c r="K12" t="s">
        <v>1104</v>
      </c>
      <c r="L12" t="s">
        <v>1066</v>
      </c>
      <c r="T12" t="s">
        <v>1209</v>
      </c>
      <c r="U12" t="s">
        <v>1213</v>
      </c>
    </row>
    <row r="13" spans="1:21" x14ac:dyDescent="0.45">
      <c r="A13">
        <f t="shared" si="1"/>
        <v>12</v>
      </c>
      <c r="B13" t="s">
        <v>1248</v>
      </c>
      <c r="C13" t="s">
        <v>1266</v>
      </c>
      <c r="D13" t="s">
        <v>715</v>
      </c>
      <c r="G13" t="s">
        <v>715</v>
      </c>
      <c r="H13" t="s">
        <v>1039</v>
      </c>
      <c r="I13" t="s">
        <v>715</v>
      </c>
      <c r="J13" t="s">
        <v>1104</v>
      </c>
      <c r="K13" t="s">
        <v>1104</v>
      </c>
      <c r="L13" t="s">
        <v>1066</v>
      </c>
      <c r="T13" t="s">
        <v>1244</v>
      </c>
      <c r="U13" t="s">
        <v>1213</v>
      </c>
    </row>
    <row r="14" spans="1:21" x14ac:dyDescent="0.45">
      <c r="A14">
        <f t="shared" si="1"/>
        <v>13</v>
      </c>
      <c r="B14" t="s">
        <v>1248</v>
      </c>
      <c r="C14" t="s">
        <v>1266</v>
      </c>
      <c r="D14" t="s">
        <v>15</v>
      </c>
      <c r="G14" t="s">
        <v>15</v>
      </c>
      <c r="H14" t="s">
        <v>1040</v>
      </c>
      <c r="I14" t="s">
        <v>15</v>
      </c>
      <c r="J14" t="s">
        <v>1104</v>
      </c>
      <c r="K14" t="s">
        <v>1104</v>
      </c>
      <c r="L14" t="s">
        <v>1066</v>
      </c>
      <c r="M14" t="s">
        <v>1211</v>
      </c>
      <c r="N14" t="s">
        <v>1176</v>
      </c>
      <c r="Q14">
        <v>0</v>
      </c>
    </row>
    <row r="15" spans="1:21" x14ac:dyDescent="0.45">
      <c r="A15">
        <f t="shared" si="1"/>
        <v>14</v>
      </c>
      <c r="B15" t="s">
        <v>1248</v>
      </c>
      <c r="C15" t="s">
        <v>68</v>
      </c>
      <c r="D15" t="s">
        <v>1267</v>
      </c>
      <c r="G15" t="s">
        <v>1267</v>
      </c>
      <c r="H15" t="s">
        <v>1272</v>
      </c>
      <c r="I15" t="s">
        <v>1267</v>
      </c>
      <c r="J15" t="s">
        <v>1104</v>
      </c>
      <c r="K15" t="s">
        <v>1104</v>
      </c>
      <c r="L15" t="s">
        <v>1066</v>
      </c>
      <c r="T15" t="s">
        <v>1273</v>
      </c>
      <c r="U15" t="s">
        <v>1213</v>
      </c>
    </row>
    <row r="16" spans="1:21" x14ac:dyDescent="0.45">
      <c r="A16">
        <f t="shared" si="1"/>
        <v>15</v>
      </c>
      <c r="B16" t="s">
        <v>1248</v>
      </c>
      <c r="C16" t="s">
        <v>68</v>
      </c>
      <c r="D16" t="s">
        <v>1268</v>
      </c>
      <c r="G16" t="s">
        <v>1268</v>
      </c>
      <c r="H16" t="s">
        <v>1271</v>
      </c>
      <c r="I16" t="s">
        <v>1268</v>
      </c>
      <c r="J16" t="s">
        <v>1104</v>
      </c>
      <c r="K16" t="s">
        <v>1104</v>
      </c>
      <c r="L16" t="s">
        <v>1066</v>
      </c>
      <c r="T16" t="s">
        <v>1274</v>
      </c>
      <c r="U16" t="s">
        <v>1213</v>
      </c>
    </row>
    <row r="17" spans="1:21" x14ac:dyDescent="0.45">
      <c r="A17">
        <f t="shared" si="1"/>
        <v>16</v>
      </c>
      <c r="B17" t="s">
        <v>1248</v>
      </c>
      <c r="C17" t="s">
        <v>68</v>
      </c>
      <c r="D17" t="s">
        <v>1269</v>
      </c>
      <c r="G17" t="s">
        <v>1269</v>
      </c>
      <c r="H17" t="s">
        <v>1270</v>
      </c>
      <c r="I17" t="s">
        <v>1269</v>
      </c>
      <c r="J17" t="s">
        <v>1104</v>
      </c>
      <c r="K17" t="s">
        <v>1104</v>
      </c>
      <c r="L17" t="s">
        <v>1066</v>
      </c>
      <c r="T17" t="s">
        <v>1245</v>
      </c>
      <c r="U17" t="s">
        <v>1213</v>
      </c>
    </row>
    <row r="18" spans="1:21" x14ac:dyDescent="0.45">
      <c r="A18">
        <f t="shared" si="0"/>
        <v>17</v>
      </c>
      <c r="B18" t="s">
        <v>1248</v>
      </c>
      <c r="C18" t="s">
        <v>8</v>
      </c>
      <c r="D18" t="s">
        <v>18</v>
      </c>
      <c r="G18" t="s">
        <v>18</v>
      </c>
      <c r="H18" t="s">
        <v>1020</v>
      </c>
      <c r="I18" t="s">
        <v>18</v>
      </c>
      <c r="J18" t="s">
        <v>1104</v>
      </c>
      <c r="K18" t="s">
        <v>1104</v>
      </c>
      <c r="L18" t="s">
        <v>1066</v>
      </c>
      <c r="M18" t="s">
        <v>1211</v>
      </c>
      <c r="N18" t="s">
        <v>1150</v>
      </c>
      <c r="Q18">
        <v>0</v>
      </c>
    </row>
    <row r="19" spans="1:21" x14ac:dyDescent="0.45">
      <c r="A19">
        <f t="shared" si="0"/>
        <v>18</v>
      </c>
      <c r="B19" t="s">
        <v>1248</v>
      </c>
      <c r="C19" t="s">
        <v>8</v>
      </c>
      <c r="D19" t="s">
        <v>19</v>
      </c>
      <c r="G19" t="s">
        <v>19</v>
      </c>
      <c r="H19" t="s">
        <v>1021</v>
      </c>
      <c r="I19" t="s">
        <v>19</v>
      </c>
      <c r="J19" t="s">
        <v>1104</v>
      </c>
      <c r="K19" t="s">
        <v>1104</v>
      </c>
      <c r="L19" t="s">
        <v>1066</v>
      </c>
      <c r="M19" t="s">
        <v>1211</v>
      </c>
      <c r="N19" t="s">
        <v>1151</v>
      </c>
      <c r="Q19">
        <v>0</v>
      </c>
    </row>
    <row r="20" spans="1:21" x14ac:dyDescent="0.45">
      <c r="A20">
        <f t="shared" si="0"/>
        <v>19</v>
      </c>
      <c r="B20" t="s">
        <v>1248</v>
      </c>
      <c r="C20" t="s">
        <v>8</v>
      </c>
      <c r="D20" t="s">
        <v>20</v>
      </c>
      <c r="G20" t="s">
        <v>20</v>
      </c>
      <c r="H20" t="s">
        <v>1022</v>
      </c>
      <c r="I20" t="s">
        <v>20</v>
      </c>
      <c r="J20" t="s">
        <v>1104</v>
      </c>
      <c r="K20" t="s">
        <v>1104</v>
      </c>
      <c r="L20" t="s">
        <v>1066</v>
      </c>
      <c r="M20" t="s">
        <v>1211</v>
      </c>
      <c r="N20" t="s">
        <v>1152</v>
      </c>
      <c r="Q20">
        <v>0</v>
      </c>
    </row>
    <row r="21" spans="1:21" x14ac:dyDescent="0.45">
      <c r="A21">
        <f t="shared" si="0"/>
        <v>20</v>
      </c>
      <c r="B21" t="s">
        <v>1248</v>
      </c>
      <c r="C21" t="s">
        <v>8</v>
      </c>
      <c r="D21" t="s">
        <v>21</v>
      </c>
      <c r="G21" t="s">
        <v>21</v>
      </c>
      <c r="H21" t="s">
        <v>1023</v>
      </c>
      <c r="I21" t="s">
        <v>21</v>
      </c>
      <c r="J21" t="s">
        <v>1104</v>
      </c>
      <c r="K21" t="s">
        <v>1104</v>
      </c>
      <c r="L21" t="s">
        <v>1066</v>
      </c>
      <c r="M21" t="s">
        <v>1211</v>
      </c>
      <c r="N21" t="s">
        <v>1153</v>
      </c>
      <c r="Q21">
        <v>0</v>
      </c>
    </row>
    <row r="22" spans="1:21" x14ac:dyDescent="0.45">
      <c r="A22">
        <f t="shared" si="0"/>
        <v>21</v>
      </c>
      <c r="B22" t="s">
        <v>1248</v>
      </c>
      <c r="C22" t="s">
        <v>8</v>
      </c>
      <c r="D22" t="s">
        <v>22</v>
      </c>
      <c r="G22" t="s">
        <v>22</v>
      </c>
      <c r="H22" t="s">
        <v>1024</v>
      </c>
      <c r="I22" t="s">
        <v>22</v>
      </c>
      <c r="J22" t="s">
        <v>1104</v>
      </c>
      <c r="K22" t="s">
        <v>1104</v>
      </c>
      <c r="L22" t="s">
        <v>1066</v>
      </c>
      <c r="M22" t="s">
        <v>1211</v>
      </c>
      <c r="N22" t="s">
        <v>1154</v>
      </c>
      <c r="Q22">
        <v>0</v>
      </c>
    </row>
    <row r="23" spans="1:21" x14ac:dyDescent="0.45">
      <c r="A23">
        <f t="shared" si="0"/>
        <v>22</v>
      </c>
      <c r="B23" t="s">
        <v>1105</v>
      </c>
      <c r="C23" t="s">
        <v>988</v>
      </c>
      <c r="G23" t="s">
        <v>988</v>
      </c>
      <c r="H23" t="s">
        <v>1001</v>
      </c>
      <c r="I23" t="s">
        <v>30</v>
      </c>
      <c r="J23" t="s">
        <v>1104</v>
      </c>
      <c r="K23" t="s">
        <v>1104</v>
      </c>
      <c r="L23" t="s">
        <v>1064</v>
      </c>
      <c r="M23" t="s">
        <v>1890</v>
      </c>
      <c r="N23" t="s">
        <v>1130</v>
      </c>
      <c r="Q23">
        <v>2</v>
      </c>
    </row>
    <row r="24" spans="1:21" x14ac:dyDescent="0.45">
      <c r="A24">
        <f t="shared" si="0"/>
        <v>23</v>
      </c>
      <c r="B24" t="s">
        <v>1105</v>
      </c>
      <c r="C24" t="s">
        <v>33</v>
      </c>
      <c r="G24" t="s">
        <v>33</v>
      </c>
      <c r="H24" t="s">
        <v>1002</v>
      </c>
      <c r="I24" t="s">
        <v>33</v>
      </c>
      <c r="J24" t="s">
        <v>1104</v>
      </c>
      <c r="K24" t="s">
        <v>1104</v>
      </c>
      <c r="L24" t="s">
        <v>1064</v>
      </c>
      <c r="M24" t="s">
        <v>1890</v>
      </c>
      <c r="N24" t="s">
        <v>1139</v>
      </c>
      <c r="Q24">
        <v>2</v>
      </c>
      <c r="U24" t="s">
        <v>1106</v>
      </c>
    </row>
    <row r="25" spans="1:21" x14ac:dyDescent="0.45">
      <c r="A25">
        <f t="shared" si="0"/>
        <v>24</v>
      </c>
      <c r="B25" t="s">
        <v>1105</v>
      </c>
      <c r="C25" t="s">
        <v>33</v>
      </c>
      <c r="D25" t="s">
        <v>782</v>
      </c>
      <c r="G25" t="s">
        <v>782</v>
      </c>
      <c r="H25" t="s">
        <v>1003</v>
      </c>
      <c r="I25" t="s">
        <v>782</v>
      </c>
      <c r="J25" t="s">
        <v>1104</v>
      </c>
      <c r="K25" t="s">
        <v>1104</v>
      </c>
      <c r="L25" t="s">
        <v>1065</v>
      </c>
      <c r="M25" t="s">
        <v>1890</v>
      </c>
      <c r="N25" t="s">
        <v>1140</v>
      </c>
      <c r="Q25">
        <v>2</v>
      </c>
      <c r="U25" t="s">
        <v>1107</v>
      </c>
    </row>
    <row r="26" spans="1:21" x14ac:dyDescent="0.45">
      <c r="A26">
        <f t="shared" si="0"/>
        <v>25</v>
      </c>
      <c r="B26" t="s">
        <v>1105</v>
      </c>
      <c r="C26" t="s">
        <v>35</v>
      </c>
      <c r="G26" t="s">
        <v>35</v>
      </c>
      <c r="H26" t="s">
        <v>1004</v>
      </c>
      <c r="I26" t="s">
        <v>35</v>
      </c>
      <c r="J26" t="s">
        <v>1104</v>
      </c>
      <c r="K26" t="s">
        <v>1104</v>
      </c>
      <c r="L26" t="s">
        <v>1064</v>
      </c>
      <c r="M26" t="s">
        <v>1890</v>
      </c>
      <c r="N26" t="s">
        <v>1141</v>
      </c>
      <c r="Q26">
        <v>2</v>
      </c>
      <c r="U26" t="s">
        <v>1108</v>
      </c>
    </row>
    <row r="27" spans="1:21" x14ac:dyDescent="0.45">
      <c r="A27">
        <f t="shared" si="0"/>
        <v>26</v>
      </c>
      <c r="B27" t="s">
        <v>1105</v>
      </c>
      <c r="C27" t="s">
        <v>35</v>
      </c>
      <c r="D27" t="s">
        <v>6</v>
      </c>
      <c r="G27" t="s">
        <v>6</v>
      </c>
      <c r="H27" t="s">
        <v>1005</v>
      </c>
      <c r="I27" t="s">
        <v>6</v>
      </c>
      <c r="J27" t="s">
        <v>1104</v>
      </c>
      <c r="K27" t="s">
        <v>1104</v>
      </c>
      <c r="L27" t="s">
        <v>1066</v>
      </c>
      <c r="M27" t="s">
        <v>1890</v>
      </c>
      <c r="N27" t="s">
        <v>2216</v>
      </c>
      <c r="Q27">
        <v>0</v>
      </c>
      <c r="U27" t="s">
        <v>1109</v>
      </c>
    </row>
    <row r="28" spans="1:21" x14ac:dyDescent="0.45">
      <c r="A28">
        <f t="shared" si="0"/>
        <v>27</v>
      </c>
      <c r="B28" t="s">
        <v>1105</v>
      </c>
      <c r="C28" t="s">
        <v>35</v>
      </c>
      <c r="D28" t="s">
        <v>7</v>
      </c>
      <c r="G28" t="s">
        <v>7</v>
      </c>
      <c r="H28" t="s">
        <v>1006</v>
      </c>
      <c r="I28" t="s">
        <v>7</v>
      </c>
      <c r="J28" t="s">
        <v>1104</v>
      </c>
      <c r="K28" t="s">
        <v>1104</v>
      </c>
      <c r="L28" t="s">
        <v>1066</v>
      </c>
      <c r="M28" t="s">
        <v>1890</v>
      </c>
      <c r="N28" t="s">
        <v>2217</v>
      </c>
      <c r="Q28">
        <v>0</v>
      </c>
      <c r="U28" t="s">
        <v>1109</v>
      </c>
    </row>
    <row r="29" spans="1:21" x14ac:dyDescent="0.45">
      <c r="A29">
        <f t="shared" si="0"/>
        <v>28</v>
      </c>
      <c r="B29" t="s">
        <v>1105</v>
      </c>
      <c r="C29" t="s">
        <v>35</v>
      </c>
      <c r="D29" t="s">
        <v>34</v>
      </c>
      <c r="G29" t="s">
        <v>34</v>
      </c>
      <c r="H29" t="s">
        <v>1007</v>
      </c>
      <c r="I29" t="s">
        <v>34</v>
      </c>
      <c r="J29" t="s">
        <v>1104</v>
      </c>
      <c r="K29" t="s">
        <v>1104</v>
      </c>
      <c r="L29" t="s">
        <v>1066</v>
      </c>
      <c r="M29" t="s">
        <v>1890</v>
      </c>
      <c r="N29" t="s">
        <v>2219</v>
      </c>
      <c r="Q29">
        <v>2</v>
      </c>
      <c r="U29" t="s">
        <v>1110</v>
      </c>
    </row>
    <row r="30" spans="1:21" x14ac:dyDescent="0.45">
      <c r="A30">
        <f t="shared" si="0"/>
        <v>29</v>
      </c>
      <c r="B30" t="s">
        <v>1105</v>
      </c>
      <c r="C30" t="s">
        <v>35</v>
      </c>
      <c r="D30" t="s">
        <v>69</v>
      </c>
      <c r="G30" t="s">
        <v>69</v>
      </c>
      <c r="H30" t="s">
        <v>1008</v>
      </c>
      <c r="I30" t="s">
        <v>69</v>
      </c>
      <c r="J30" t="s">
        <v>1104</v>
      </c>
      <c r="K30" t="s">
        <v>1104</v>
      </c>
      <c r="L30" t="s">
        <v>2220</v>
      </c>
      <c r="M30" t="s">
        <v>1890</v>
      </c>
      <c r="N30" t="s">
        <v>2218</v>
      </c>
      <c r="Q30">
        <v>0</v>
      </c>
      <c r="U30" t="s">
        <v>1111</v>
      </c>
    </row>
    <row r="31" spans="1:21" x14ac:dyDescent="0.45">
      <c r="A31">
        <f t="shared" si="0"/>
        <v>30</v>
      </c>
      <c r="B31" t="s">
        <v>1105</v>
      </c>
      <c r="C31" t="s">
        <v>9</v>
      </c>
      <c r="G31" t="s">
        <v>9</v>
      </c>
      <c r="H31" t="s">
        <v>1009</v>
      </c>
      <c r="I31" t="s">
        <v>9</v>
      </c>
      <c r="J31" t="s">
        <v>1104</v>
      </c>
      <c r="K31" t="s">
        <v>1104</v>
      </c>
      <c r="L31" t="s">
        <v>1064</v>
      </c>
      <c r="M31" t="s">
        <v>1890</v>
      </c>
      <c r="N31" t="s">
        <v>1142</v>
      </c>
      <c r="Q31">
        <v>2</v>
      </c>
    </row>
    <row r="32" spans="1:21" x14ac:dyDescent="0.45">
      <c r="A32">
        <f t="shared" si="0"/>
        <v>31</v>
      </c>
      <c r="B32" t="s">
        <v>1105</v>
      </c>
      <c r="C32" t="s">
        <v>9</v>
      </c>
      <c r="D32" t="s">
        <v>43</v>
      </c>
      <c r="G32" t="s">
        <v>43</v>
      </c>
      <c r="H32" t="s">
        <v>1010</v>
      </c>
      <c r="I32" t="s">
        <v>43</v>
      </c>
      <c r="J32" t="s">
        <v>1104</v>
      </c>
      <c r="K32" t="s">
        <v>1104</v>
      </c>
      <c r="L32" t="s">
        <v>1066</v>
      </c>
      <c r="M32" t="s">
        <v>1890</v>
      </c>
      <c r="N32" t="s">
        <v>2222</v>
      </c>
      <c r="Q32">
        <v>2</v>
      </c>
    </row>
    <row r="33" spans="1:17" x14ac:dyDescent="0.45">
      <c r="A33">
        <f t="shared" si="0"/>
        <v>32</v>
      </c>
      <c r="B33" t="s">
        <v>1105</v>
      </c>
      <c r="C33" t="s">
        <v>9</v>
      </c>
      <c r="D33" t="s">
        <v>43</v>
      </c>
      <c r="E33" t="s">
        <v>38</v>
      </c>
      <c r="G33" t="s">
        <v>38</v>
      </c>
      <c r="H33" t="s">
        <v>1011</v>
      </c>
      <c r="I33" t="s">
        <v>38</v>
      </c>
      <c r="J33" t="s">
        <v>1104</v>
      </c>
      <c r="K33" t="s">
        <v>1104</v>
      </c>
      <c r="L33" t="s">
        <v>1066</v>
      </c>
      <c r="M33" t="s">
        <v>1890</v>
      </c>
      <c r="N33" t="s">
        <v>1147</v>
      </c>
      <c r="Q33">
        <v>2</v>
      </c>
    </row>
    <row r="34" spans="1:17" x14ac:dyDescent="0.45">
      <c r="A34">
        <f t="shared" si="0"/>
        <v>33</v>
      </c>
      <c r="B34" t="s">
        <v>1105</v>
      </c>
      <c r="C34" t="s">
        <v>9</v>
      </c>
      <c r="D34" t="s">
        <v>43</v>
      </c>
      <c r="E34" t="s">
        <v>38</v>
      </c>
      <c r="F34" t="s">
        <v>784</v>
      </c>
      <c r="G34" t="s">
        <v>784</v>
      </c>
      <c r="H34" t="s">
        <v>1012</v>
      </c>
      <c r="I34" t="s">
        <v>784</v>
      </c>
      <c r="J34" t="s">
        <v>1104</v>
      </c>
      <c r="K34" t="s">
        <v>1104</v>
      </c>
      <c r="L34" t="s">
        <v>1066</v>
      </c>
      <c r="M34" t="s">
        <v>1890</v>
      </c>
      <c r="N34" t="s">
        <v>1144</v>
      </c>
      <c r="Q34">
        <v>2</v>
      </c>
    </row>
    <row r="35" spans="1:17" x14ac:dyDescent="0.45">
      <c r="A35">
        <f t="shared" si="0"/>
        <v>34</v>
      </c>
      <c r="B35" t="s">
        <v>1105</v>
      </c>
      <c r="C35" t="s">
        <v>9</v>
      </c>
      <c r="D35" t="s">
        <v>43</v>
      </c>
      <c r="E35" t="s">
        <v>38</v>
      </c>
      <c r="F35" t="s">
        <v>1060</v>
      </c>
      <c r="G35" t="s">
        <v>1060</v>
      </c>
      <c r="H35" t="s">
        <v>1013</v>
      </c>
      <c r="I35" t="s">
        <v>37</v>
      </c>
      <c r="J35" t="s">
        <v>1104</v>
      </c>
      <c r="K35" t="s">
        <v>1104</v>
      </c>
      <c r="L35" t="s">
        <v>1064</v>
      </c>
      <c r="M35" t="s">
        <v>1890</v>
      </c>
      <c r="N35" t="s">
        <v>1143</v>
      </c>
      <c r="Q35">
        <v>2</v>
      </c>
    </row>
    <row r="36" spans="1:17" x14ac:dyDescent="0.45">
      <c r="A36">
        <f t="shared" si="0"/>
        <v>35</v>
      </c>
      <c r="B36" t="s">
        <v>1105</v>
      </c>
      <c r="C36" t="s">
        <v>9</v>
      </c>
      <c r="D36" t="s">
        <v>43</v>
      </c>
      <c r="E36" t="s">
        <v>38</v>
      </c>
      <c r="F36" t="s">
        <v>1889</v>
      </c>
      <c r="G36" t="s">
        <v>1889</v>
      </c>
      <c r="H36" t="s">
        <v>1014</v>
      </c>
      <c r="I36" t="s">
        <v>1889</v>
      </c>
      <c r="J36" t="s">
        <v>1104</v>
      </c>
      <c r="K36" t="s">
        <v>1104</v>
      </c>
      <c r="L36" t="s">
        <v>1064</v>
      </c>
      <c r="M36" t="s">
        <v>1890</v>
      </c>
      <c r="N36" t="s">
        <v>1145</v>
      </c>
      <c r="Q36">
        <v>2</v>
      </c>
    </row>
    <row r="37" spans="1:17" x14ac:dyDescent="0.45">
      <c r="A37">
        <f t="shared" si="0"/>
        <v>36</v>
      </c>
      <c r="B37" t="s">
        <v>1105</v>
      </c>
      <c r="C37" t="s">
        <v>9</v>
      </c>
      <c r="D37" t="s">
        <v>43</v>
      </c>
      <c r="E37" t="s">
        <v>41</v>
      </c>
      <c r="G37" t="s">
        <v>41</v>
      </c>
      <c r="H37" t="s">
        <v>1015</v>
      </c>
      <c r="I37" t="s">
        <v>41</v>
      </c>
      <c r="J37" t="s">
        <v>1104</v>
      </c>
      <c r="K37" t="s">
        <v>1104</v>
      </c>
      <c r="L37" t="s">
        <v>1066</v>
      </c>
      <c r="M37" t="s">
        <v>1890</v>
      </c>
      <c r="N37" t="s">
        <v>1236</v>
      </c>
      <c r="Q37">
        <v>2</v>
      </c>
    </row>
    <row r="38" spans="1:17" x14ac:dyDescent="0.45">
      <c r="A38">
        <f t="shared" si="0"/>
        <v>37</v>
      </c>
      <c r="B38" t="s">
        <v>1105</v>
      </c>
      <c r="C38" t="s">
        <v>9</v>
      </c>
      <c r="D38" t="s">
        <v>43</v>
      </c>
      <c r="E38" t="s">
        <v>41</v>
      </c>
      <c r="F38" t="s">
        <v>785</v>
      </c>
      <c r="G38" t="s">
        <v>785</v>
      </c>
      <c r="H38" t="s">
        <v>1016</v>
      </c>
      <c r="I38" t="s">
        <v>785</v>
      </c>
      <c r="J38" t="s">
        <v>1104</v>
      </c>
      <c r="K38" t="s">
        <v>1104</v>
      </c>
      <c r="L38" t="s">
        <v>1066</v>
      </c>
      <c r="M38" t="s">
        <v>1890</v>
      </c>
      <c r="N38" t="s">
        <v>1148</v>
      </c>
      <c r="Q38">
        <v>2</v>
      </c>
    </row>
    <row r="39" spans="1:17" x14ac:dyDescent="0.45">
      <c r="A39">
        <f t="shared" si="0"/>
        <v>38</v>
      </c>
      <c r="B39" t="s">
        <v>1105</v>
      </c>
      <c r="C39" t="s">
        <v>9</v>
      </c>
      <c r="D39" t="s">
        <v>43</v>
      </c>
      <c r="E39" t="s">
        <v>41</v>
      </c>
      <c r="F39" t="s">
        <v>1061</v>
      </c>
      <c r="G39" t="s">
        <v>1061</v>
      </c>
      <c r="H39" t="s">
        <v>1017</v>
      </c>
      <c r="I39" t="s">
        <v>39</v>
      </c>
      <c r="J39" t="s">
        <v>1104</v>
      </c>
      <c r="K39" t="s">
        <v>1104</v>
      </c>
      <c r="L39" t="s">
        <v>1064</v>
      </c>
      <c r="M39" t="s">
        <v>1890</v>
      </c>
      <c r="N39" t="s">
        <v>1149</v>
      </c>
      <c r="Q39">
        <v>2</v>
      </c>
    </row>
    <row r="40" spans="1:17" x14ac:dyDescent="0.45">
      <c r="A40">
        <f t="shared" si="0"/>
        <v>39</v>
      </c>
      <c r="B40" t="s">
        <v>1105</v>
      </c>
      <c r="C40" t="s">
        <v>9</v>
      </c>
      <c r="D40" t="s">
        <v>43</v>
      </c>
      <c r="E40" t="s">
        <v>41</v>
      </c>
      <c r="F40" t="s">
        <v>40</v>
      </c>
      <c r="G40" t="s">
        <v>40</v>
      </c>
      <c r="H40" t="s">
        <v>1018</v>
      </c>
      <c r="I40" t="s">
        <v>40</v>
      </c>
      <c r="J40" t="s">
        <v>1104</v>
      </c>
      <c r="K40" t="s">
        <v>1104</v>
      </c>
      <c r="L40" t="s">
        <v>1064</v>
      </c>
      <c r="M40" t="s">
        <v>1890</v>
      </c>
      <c r="N40" t="s">
        <v>1146</v>
      </c>
      <c r="Q40">
        <v>2</v>
      </c>
    </row>
    <row r="41" spans="1:17" x14ac:dyDescent="0.45">
      <c r="A41">
        <f t="shared" si="0"/>
        <v>40</v>
      </c>
      <c r="B41" t="s">
        <v>1105</v>
      </c>
      <c r="C41" t="s">
        <v>9</v>
      </c>
      <c r="D41" t="s">
        <v>36</v>
      </c>
      <c r="G41" t="s">
        <v>36</v>
      </c>
      <c r="H41" t="s">
        <v>1019</v>
      </c>
      <c r="I41" t="s">
        <v>36</v>
      </c>
      <c r="J41" t="s">
        <v>1104</v>
      </c>
      <c r="K41" t="s">
        <v>1104</v>
      </c>
      <c r="L41" t="s">
        <v>1066</v>
      </c>
      <c r="M41" t="s">
        <v>1890</v>
      </c>
      <c r="N41" t="s">
        <v>2221</v>
      </c>
      <c r="Q41">
        <v>0</v>
      </c>
    </row>
    <row r="42" spans="1:17" x14ac:dyDescent="0.45">
      <c r="A42">
        <f t="shared" si="0"/>
        <v>41</v>
      </c>
      <c r="B42" t="s">
        <v>1105</v>
      </c>
      <c r="C42" t="s">
        <v>768</v>
      </c>
      <c r="G42" t="s">
        <v>768</v>
      </c>
      <c r="H42" t="s">
        <v>1025</v>
      </c>
      <c r="I42" t="s">
        <v>768</v>
      </c>
      <c r="J42" t="s">
        <v>1104</v>
      </c>
      <c r="K42" t="s">
        <v>1104</v>
      </c>
      <c r="L42" t="s">
        <v>1064</v>
      </c>
      <c r="M42" t="s">
        <v>1890</v>
      </c>
      <c r="N42" t="s">
        <v>1155</v>
      </c>
      <c r="Q42">
        <v>2</v>
      </c>
    </row>
    <row r="43" spans="1:17" x14ac:dyDescent="0.45">
      <c r="A43">
        <f>ROW(A43)-1</f>
        <v>42</v>
      </c>
      <c r="B43" t="s">
        <v>1105</v>
      </c>
      <c r="C43" t="s">
        <v>768</v>
      </c>
      <c r="D43" t="s">
        <v>67</v>
      </c>
      <c r="G43" t="s">
        <v>67</v>
      </c>
      <c r="H43" t="s">
        <v>1258</v>
      </c>
      <c r="I43" t="s">
        <v>67</v>
      </c>
      <c r="J43" t="s">
        <v>1104</v>
      </c>
      <c r="K43" t="s">
        <v>1104</v>
      </c>
      <c r="L43" t="s">
        <v>1064</v>
      </c>
      <c r="M43" t="s">
        <v>1890</v>
      </c>
      <c r="N43" t="s">
        <v>1168</v>
      </c>
      <c r="Q43">
        <v>2</v>
      </c>
    </row>
    <row r="44" spans="1:17" x14ac:dyDescent="0.45">
      <c r="A44">
        <f t="shared" si="0"/>
        <v>43</v>
      </c>
      <c r="B44" t="s">
        <v>1105</v>
      </c>
      <c r="C44" t="s">
        <v>768</v>
      </c>
      <c r="D44" t="s">
        <v>52</v>
      </c>
      <c r="G44" t="s">
        <v>52</v>
      </c>
      <c r="H44" t="s">
        <v>1026</v>
      </c>
      <c r="I44" t="s">
        <v>52</v>
      </c>
      <c r="J44" t="s">
        <v>1104</v>
      </c>
      <c r="K44" t="s">
        <v>1104</v>
      </c>
      <c r="L44" t="s">
        <v>1066</v>
      </c>
      <c r="M44" t="s">
        <v>1890</v>
      </c>
      <c r="N44" t="s">
        <v>1237</v>
      </c>
      <c r="Q44">
        <v>2</v>
      </c>
    </row>
    <row r="45" spans="1:17" x14ac:dyDescent="0.45">
      <c r="A45">
        <f t="shared" si="0"/>
        <v>44</v>
      </c>
      <c r="B45" t="s">
        <v>1105</v>
      </c>
      <c r="C45" t="s">
        <v>768</v>
      </c>
      <c r="D45" t="s">
        <v>52</v>
      </c>
      <c r="E45" t="s">
        <v>50</v>
      </c>
      <c r="G45" t="s">
        <v>50</v>
      </c>
      <c r="H45" t="s">
        <v>1027</v>
      </c>
      <c r="I45" t="s">
        <v>50</v>
      </c>
      <c r="J45" t="s">
        <v>1104</v>
      </c>
      <c r="K45" t="s">
        <v>1104</v>
      </c>
      <c r="L45" t="s">
        <v>1067</v>
      </c>
      <c r="M45" t="s">
        <v>1890</v>
      </c>
      <c r="N45" t="s">
        <v>1157</v>
      </c>
      <c r="Q45">
        <v>2</v>
      </c>
    </row>
    <row r="46" spans="1:17" x14ac:dyDescent="0.45">
      <c r="A46">
        <f t="shared" si="0"/>
        <v>45</v>
      </c>
      <c r="B46" t="s">
        <v>1105</v>
      </c>
      <c r="C46" t="s">
        <v>768</v>
      </c>
      <c r="D46" t="s">
        <v>52</v>
      </c>
      <c r="E46" t="s">
        <v>4</v>
      </c>
      <c r="G46" t="s">
        <v>4</v>
      </c>
      <c r="H46" t="s">
        <v>1028</v>
      </c>
      <c r="I46" t="s">
        <v>4</v>
      </c>
      <c r="J46" t="s">
        <v>1104</v>
      </c>
      <c r="K46" t="s">
        <v>1104</v>
      </c>
      <c r="L46" t="s">
        <v>1067</v>
      </c>
      <c r="M46" t="s">
        <v>1890</v>
      </c>
      <c r="N46" t="s">
        <v>1158</v>
      </c>
      <c r="Q46">
        <v>2</v>
      </c>
    </row>
    <row r="47" spans="1:17" x14ac:dyDescent="0.45">
      <c r="A47">
        <f t="shared" si="0"/>
        <v>46</v>
      </c>
      <c r="B47" t="s">
        <v>1105</v>
      </c>
      <c r="C47" t="s">
        <v>768</v>
      </c>
      <c r="D47" t="s">
        <v>52</v>
      </c>
      <c r="E47" t="s">
        <v>17</v>
      </c>
      <c r="G47" t="s">
        <v>17</v>
      </c>
      <c r="H47" t="s">
        <v>1029</v>
      </c>
      <c r="I47" t="s">
        <v>17</v>
      </c>
      <c r="J47" t="s">
        <v>1104</v>
      </c>
      <c r="K47" t="s">
        <v>1104</v>
      </c>
      <c r="L47" t="s">
        <v>1067</v>
      </c>
      <c r="M47" t="s">
        <v>1890</v>
      </c>
      <c r="N47" t="s">
        <v>1159</v>
      </c>
      <c r="Q47">
        <v>2</v>
      </c>
    </row>
    <row r="48" spans="1:17" x14ac:dyDescent="0.45">
      <c r="A48">
        <f t="shared" si="0"/>
        <v>47</v>
      </c>
      <c r="B48" t="s">
        <v>1105</v>
      </c>
      <c r="C48" t="s">
        <v>768</v>
      </c>
      <c r="D48" t="s">
        <v>52</v>
      </c>
      <c r="E48" t="s">
        <v>45</v>
      </c>
      <c r="G48" t="s">
        <v>45</v>
      </c>
      <c r="H48" t="s">
        <v>1030</v>
      </c>
      <c r="I48" t="s">
        <v>45</v>
      </c>
      <c r="J48" t="s">
        <v>1104</v>
      </c>
      <c r="K48" t="s">
        <v>1104</v>
      </c>
      <c r="L48" t="s">
        <v>1067</v>
      </c>
      <c r="M48" t="s">
        <v>1890</v>
      </c>
      <c r="N48" t="s">
        <v>1160</v>
      </c>
      <c r="Q48">
        <v>2</v>
      </c>
    </row>
    <row r="49" spans="1:21" x14ac:dyDescent="0.45">
      <c r="A49">
        <f t="shared" si="0"/>
        <v>48</v>
      </c>
      <c r="B49" t="s">
        <v>1105</v>
      </c>
      <c r="C49" t="s">
        <v>768</v>
      </c>
      <c r="D49" t="s">
        <v>52</v>
      </c>
      <c r="E49" t="s">
        <v>46</v>
      </c>
      <c r="G49" t="s">
        <v>46</v>
      </c>
      <c r="H49" t="s">
        <v>1031</v>
      </c>
      <c r="I49" t="s">
        <v>46</v>
      </c>
      <c r="J49" t="s">
        <v>1104</v>
      </c>
      <c r="K49" t="s">
        <v>1104</v>
      </c>
      <c r="L49" t="s">
        <v>1067</v>
      </c>
      <c r="M49" t="s">
        <v>1890</v>
      </c>
      <c r="N49" t="s">
        <v>1161</v>
      </c>
      <c r="Q49">
        <v>2</v>
      </c>
    </row>
    <row r="50" spans="1:21" x14ac:dyDescent="0.45">
      <c r="A50">
        <f t="shared" si="0"/>
        <v>49</v>
      </c>
      <c r="B50" t="s">
        <v>1105</v>
      </c>
      <c r="C50" t="s">
        <v>768</v>
      </c>
      <c r="D50" t="s">
        <v>52</v>
      </c>
      <c r="E50" t="s">
        <v>1217</v>
      </c>
      <c r="G50" t="s">
        <v>1217</v>
      </c>
      <c r="H50" t="s">
        <v>1032</v>
      </c>
      <c r="I50" t="s">
        <v>1217</v>
      </c>
      <c r="J50" t="s">
        <v>1104</v>
      </c>
      <c r="K50" t="s">
        <v>909</v>
      </c>
      <c r="L50" t="s">
        <v>1067</v>
      </c>
      <c r="M50" t="s">
        <v>1890</v>
      </c>
      <c r="N50" t="s">
        <v>1162</v>
      </c>
      <c r="P50" t="s">
        <v>1165</v>
      </c>
      <c r="Q50">
        <v>2</v>
      </c>
      <c r="S50">
        <v>0</v>
      </c>
    </row>
    <row r="51" spans="1:21" x14ac:dyDescent="0.45">
      <c r="A51">
        <f t="shared" si="0"/>
        <v>50</v>
      </c>
      <c r="B51" t="s">
        <v>1105</v>
      </c>
      <c r="C51" t="s">
        <v>768</v>
      </c>
      <c r="D51" t="s">
        <v>52</v>
      </c>
      <c r="E51" t="s">
        <v>1216</v>
      </c>
      <c r="G51" t="s">
        <v>1216</v>
      </c>
      <c r="H51" t="s">
        <v>1033</v>
      </c>
      <c r="I51" t="s">
        <v>1216</v>
      </c>
      <c r="J51" t="s">
        <v>1104</v>
      </c>
      <c r="K51" t="s">
        <v>910</v>
      </c>
      <c r="L51" t="s">
        <v>1067</v>
      </c>
      <c r="M51" t="s">
        <v>1890</v>
      </c>
      <c r="N51" t="s">
        <v>1163</v>
      </c>
      <c r="P51" t="s">
        <v>1166</v>
      </c>
      <c r="Q51">
        <v>2</v>
      </c>
      <c r="S51">
        <v>0</v>
      </c>
    </row>
    <row r="52" spans="1:21" x14ac:dyDescent="0.45">
      <c r="A52">
        <f t="shared" si="0"/>
        <v>51</v>
      </c>
      <c r="B52" t="s">
        <v>1105</v>
      </c>
      <c r="C52" t="s">
        <v>768</v>
      </c>
      <c r="D52" t="s">
        <v>52</v>
      </c>
      <c r="E52" t="s">
        <v>49</v>
      </c>
      <c r="G52" t="s">
        <v>49</v>
      </c>
      <c r="H52" t="s">
        <v>1034</v>
      </c>
      <c r="I52" t="s">
        <v>49</v>
      </c>
      <c r="J52" t="s">
        <v>1104</v>
      </c>
      <c r="K52" t="s">
        <v>1104</v>
      </c>
      <c r="L52" t="s">
        <v>1067</v>
      </c>
      <c r="M52" t="s">
        <v>1890</v>
      </c>
      <c r="N52" t="s">
        <v>1164</v>
      </c>
      <c r="Q52">
        <v>2</v>
      </c>
    </row>
    <row r="53" spans="1:21" x14ac:dyDescent="0.45">
      <c r="A53">
        <f t="shared" si="0"/>
        <v>52</v>
      </c>
      <c r="B53" t="s">
        <v>1105</v>
      </c>
      <c r="C53" t="s">
        <v>768</v>
      </c>
      <c r="D53" t="s">
        <v>52</v>
      </c>
      <c r="E53" t="s">
        <v>51</v>
      </c>
      <c r="G53" t="s">
        <v>51</v>
      </c>
      <c r="H53" t="s">
        <v>1035</v>
      </c>
      <c r="I53" t="s">
        <v>51</v>
      </c>
      <c r="J53" t="s">
        <v>1104</v>
      </c>
      <c r="K53" t="s">
        <v>908</v>
      </c>
      <c r="L53" t="s">
        <v>1067</v>
      </c>
      <c r="M53" t="s">
        <v>1890</v>
      </c>
      <c r="N53" t="s">
        <v>1156</v>
      </c>
      <c r="P53" t="s">
        <v>1167</v>
      </c>
      <c r="Q53">
        <v>2</v>
      </c>
      <c r="S53">
        <v>0</v>
      </c>
    </row>
    <row r="54" spans="1:21" x14ac:dyDescent="0.45">
      <c r="A54">
        <f t="shared" si="0"/>
        <v>53</v>
      </c>
      <c r="B54" t="s">
        <v>1105</v>
      </c>
      <c r="C54" t="s">
        <v>768</v>
      </c>
      <c r="D54" t="s">
        <v>796</v>
      </c>
      <c r="G54" t="s">
        <v>796</v>
      </c>
      <c r="H54" t="s">
        <v>1036</v>
      </c>
      <c r="I54" t="s">
        <v>796</v>
      </c>
      <c r="J54" t="s">
        <v>1104</v>
      </c>
      <c r="K54" t="s">
        <v>1104</v>
      </c>
      <c r="L54" t="s">
        <v>1064</v>
      </c>
      <c r="M54" t="s">
        <v>1890</v>
      </c>
      <c r="N54" t="s">
        <v>1170</v>
      </c>
      <c r="Q54">
        <v>2</v>
      </c>
    </row>
    <row r="55" spans="1:21" x14ac:dyDescent="0.45">
      <c r="A55">
        <f t="shared" si="0"/>
        <v>54</v>
      </c>
      <c r="B55" t="s">
        <v>1105</v>
      </c>
      <c r="C55" t="s">
        <v>797</v>
      </c>
      <c r="G55" t="s">
        <v>797</v>
      </c>
      <c r="H55" t="s">
        <v>1171</v>
      </c>
      <c r="I55" t="s">
        <v>797</v>
      </c>
      <c r="J55" t="s">
        <v>1104</v>
      </c>
      <c r="K55" t="s">
        <v>1104</v>
      </c>
      <c r="L55" t="s">
        <v>1064</v>
      </c>
      <c r="M55" t="s">
        <v>1890</v>
      </c>
      <c r="N55" t="s">
        <v>1172</v>
      </c>
      <c r="Q55">
        <v>2</v>
      </c>
    </row>
    <row r="56" spans="1:21" x14ac:dyDescent="0.45">
      <c r="A56">
        <f t="shared" si="0"/>
        <v>55</v>
      </c>
      <c r="B56" t="s">
        <v>1105</v>
      </c>
      <c r="C56" t="s">
        <v>797</v>
      </c>
      <c r="D56" t="s">
        <v>839</v>
      </c>
      <c r="G56" t="s">
        <v>839</v>
      </c>
      <c r="H56" t="s">
        <v>1112</v>
      </c>
      <c r="I56" t="s">
        <v>839</v>
      </c>
      <c r="J56" t="s">
        <v>839</v>
      </c>
      <c r="K56" t="s">
        <v>1104</v>
      </c>
      <c r="L56" t="s">
        <v>1064</v>
      </c>
      <c r="M56" t="s">
        <v>1890</v>
      </c>
      <c r="N56" t="s">
        <v>1174</v>
      </c>
      <c r="O56" t="s">
        <v>1263</v>
      </c>
      <c r="Q56">
        <v>2</v>
      </c>
      <c r="R56">
        <v>2</v>
      </c>
    </row>
    <row r="57" spans="1:21" x14ac:dyDescent="0.45">
      <c r="A57">
        <f t="shared" si="0"/>
        <v>56</v>
      </c>
      <c r="B57" t="s">
        <v>1105</v>
      </c>
      <c r="C57" t="s">
        <v>797</v>
      </c>
      <c r="D57" t="s">
        <v>10</v>
      </c>
      <c r="G57" t="s">
        <v>10</v>
      </c>
      <c r="H57" t="s">
        <v>1037</v>
      </c>
      <c r="I57" t="s">
        <v>10</v>
      </c>
      <c r="J57" t="s">
        <v>833</v>
      </c>
      <c r="K57" t="s">
        <v>900</v>
      </c>
      <c r="L57" t="s">
        <v>1064</v>
      </c>
      <c r="M57" t="s">
        <v>1890</v>
      </c>
      <c r="T57" t="s">
        <v>1259</v>
      </c>
      <c r="U57" t="s">
        <v>1213</v>
      </c>
    </row>
    <row r="58" spans="1:21" x14ac:dyDescent="0.45">
      <c r="A58">
        <f>ROW(A58)-1</f>
        <v>57</v>
      </c>
      <c r="B58" t="s">
        <v>1105</v>
      </c>
      <c r="C58" t="s">
        <v>797</v>
      </c>
      <c r="D58" t="s">
        <v>54</v>
      </c>
      <c r="G58" t="s">
        <v>54</v>
      </c>
      <c r="H58" t="s">
        <v>1185</v>
      </c>
      <c r="I58" t="s">
        <v>54</v>
      </c>
      <c r="J58" t="s">
        <v>1104</v>
      </c>
      <c r="K58" t="s">
        <v>1104</v>
      </c>
      <c r="L58" t="s">
        <v>1064</v>
      </c>
      <c r="M58" t="s">
        <v>1890</v>
      </c>
      <c r="N58" t="s">
        <v>1188</v>
      </c>
      <c r="Q58">
        <v>2</v>
      </c>
    </row>
    <row r="59" spans="1:21" x14ac:dyDescent="0.45">
      <c r="A59">
        <f>ROW(A59)-1</f>
        <v>58</v>
      </c>
      <c r="B59" t="s">
        <v>1105</v>
      </c>
      <c r="C59" t="s">
        <v>797</v>
      </c>
      <c r="D59" t="s">
        <v>55</v>
      </c>
      <c r="G59" t="s">
        <v>55</v>
      </c>
      <c r="H59" t="s">
        <v>1186</v>
      </c>
      <c r="I59" t="s">
        <v>55</v>
      </c>
      <c r="J59" t="s">
        <v>836</v>
      </c>
      <c r="K59" t="s">
        <v>1104</v>
      </c>
      <c r="L59" t="s">
        <v>1064</v>
      </c>
      <c r="M59" t="s">
        <v>1890</v>
      </c>
      <c r="N59" t="s">
        <v>1190</v>
      </c>
      <c r="O59" t="s">
        <v>1192</v>
      </c>
      <c r="Q59">
        <v>2</v>
      </c>
      <c r="R59">
        <v>2</v>
      </c>
    </row>
    <row r="60" spans="1:21" x14ac:dyDescent="0.45">
      <c r="A60">
        <f>ROW(A60)-1</f>
        <v>59</v>
      </c>
      <c r="B60" t="s">
        <v>1105</v>
      </c>
      <c r="C60" t="s">
        <v>797</v>
      </c>
      <c r="D60" t="s">
        <v>56</v>
      </c>
      <c r="G60" t="s">
        <v>56</v>
      </c>
      <c r="H60" t="s">
        <v>1187</v>
      </c>
      <c r="I60" t="s">
        <v>56</v>
      </c>
      <c r="J60" t="s">
        <v>1104</v>
      </c>
      <c r="K60" t="s">
        <v>1104</v>
      </c>
      <c r="L60" t="s">
        <v>1064</v>
      </c>
      <c r="M60" t="s">
        <v>1890</v>
      </c>
      <c r="N60" t="s">
        <v>1191</v>
      </c>
      <c r="Q60">
        <v>2</v>
      </c>
    </row>
    <row r="61" spans="1:21" x14ac:dyDescent="0.45">
      <c r="A61">
        <f t="shared" si="0"/>
        <v>60</v>
      </c>
      <c r="B61" t="s">
        <v>1105</v>
      </c>
      <c r="C61" t="s">
        <v>769</v>
      </c>
      <c r="G61" t="s">
        <v>769</v>
      </c>
      <c r="H61" t="s">
        <v>1113</v>
      </c>
      <c r="I61" t="s">
        <v>769</v>
      </c>
      <c r="J61" t="s">
        <v>1104</v>
      </c>
      <c r="K61" t="s">
        <v>1104</v>
      </c>
      <c r="L61" t="s">
        <v>1064</v>
      </c>
      <c r="M61" t="s">
        <v>1890</v>
      </c>
      <c r="N61" t="s">
        <v>1177</v>
      </c>
      <c r="Q61">
        <v>2</v>
      </c>
    </row>
    <row r="62" spans="1:21" x14ac:dyDescent="0.45">
      <c r="A62">
        <f t="shared" si="0"/>
        <v>61</v>
      </c>
      <c r="B62" t="s">
        <v>1105</v>
      </c>
      <c r="C62" t="s">
        <v>769</v>
      </c>
      <c r="D62" t="s">
        <v>726</v>
      </c>
      <c r="G62" t="s">
        <v>726</v>
      </c>
      <c r="H62" t="s">
        <v>1041</v>
      </c>
      <c r="I62" t="s">
        <v>726</v>
      </c>
      <c r="J62" t="s">
        <v>1104</v>
      </c>
      <c r="K62" t="s">
        <v>1104</v>
      </c>
      <c r="L62" t="s">
        <v>1066</v>
      </c>
      <c r="M62" t="s">
        <v>1890</v>
      </c>
      <c r="N62" t="s">
        <v>1178</v>
      </c>
      <c r="Q62">
        <v>2</v>
      </c>
    </row>
    <row r="63" spans="1:21" x14ac:dyDescent="0.45">
      <c r="A63">
        <f t="shared" si="0"/>
        <v>62</v>
      </c>
      <c r="B63" t="s">
        <v>1105</v>
      </c>
      <c r="C63" t="s">
        <v>1114</v>
      </c>
      <c r="D63" t="s">
        <v>723</v>
      </c>
      <c r="G63" t="s">
        <v>723</v>
      </c>
      <c r="H63" t="s">
        <v>1042</v>
      </c>
      <c r="I63" t="s">
        <v>723</v>
      </c>
      <c r="J63" t="s">
        <v>1104</v>
      </c>
      <c r="K63" t="s">
        <v>1104</v>
      </c>
      <c r="L63" t="s">
        <v>1067</v>
      </c>
      <c r="M63" t="s">
        <v>1890</v>
      </c>
      <c r="N63" t="s">
        <v>1179</v>
      </c>
      <c r="Q63">
        <v>2</v>
      </c>
    </row>
    <row r="64" spans="1:21" x14ac:dyDescent="0.45">
      <c r="A64">
        <f t="shared" si="0"/>
        <v>63</v>
      </c>
      <c r="B64" t="s">
        <v>1105</v>
      </c>
      <c r="C64" t="s">
        <v>1114</v>
      </c>
      <c r="D64" t="s">
        <v>781</v>
      </c>
      <c r="G64" t="s">
        <v>781</v>
      </c>
      <c r="H64" t="s">
        <v>1043</v>
      </c>
      <c r="I64" t="s">
        <v>781</v>
      </c>
      <c r="J64" t="s">
        <v>1104</v>
      </c>
      <c r="K64" t="s">
        <v>1104</v>
      </c>
      <c r="L64" t="s">
        <v>1065</v>
      </c>
      <c r="M64" t="s">
        <v>1890</v>
      </c>
      <c r="N64" t="s">
        <v>1180</v>
      </c>
      <c r="Q64">
        <v>2</v>
      </c>
    </row>
    <row r="65" spans="1:21" x14ac:dyDescent="0.45">
      <c r="A65">
        <f t="shared" si="0"/>
        <v>64</v>
      </c>
      <c r="B65" t="s">
        <v>1105</v>
      </c>
      <c r="C65" t="s">
        <v>1114</v>
      </c>
      <c r="D65" t="s">
        <v>1081</v>
      </c>
      <c r="G65" t="s">
        <v>1081</v>
      </c>
      <c r="H65" t="s">
        <v>1115</v>
      </c>
      <c r="I65" t="s">
        <v>1081</v>
      </c>
      <c r="J65" t="s">
        <v>1104</v>
      </c>
      <c r="K65" t="s">
        <v>1104</v>
      </c>
      <c r="L65" t="s">
        <v>1065</v>
      </c>
      <c r="M65" t="s">
        <v>1890</v>
      </c>
      <c r="N65" t="s">
        <v>1181</v>
      </c>
      <c r="Q65">
        <v>2</v>
      </c>
    </row>
    <row r="66" spans="1:21" x14ac:dyDescent="0.45">
      <c r="A66">
        <f t="shared" si="0"/>
        <v>65</v>
      </c>
      <c r="B66" t="s">
        <v>1105</v>
      </c>
      <c r="C66" t="s">
        <v>1114</v>
      </c>
      <c r="D66" t="s">
        <v>73</v>
      </c>
      <c r="G66" t="s">
        <v>73</v>
      </c>
      <c r="H66" t="s">
        <v>1044</v>
      </c>
      <c r="I66" t="s">
        <v>73</v>
      </c>
      <c r="J66" t="s">
        <v>832</v>
      </c>
      <c r="K66" t="s">
        <v>1104</v>
      </c>
      <c r="L66" t="s">
        <v>1064</v>
      </c>
      <c r="M66" t="s">
        <v>1890</v>
      </c>
      <c r="N66" t="s">
        <v>1182</v>
      </c>
      <c r="O66" t="s">
        <v>1193</v>
      </c>
      <c r="Q66">
        <v>2</v>
      </c>
      <c r="R66">
        <v>2</v>
      </c>
    </row>
    <row r="67" spans="1:21" x14ac:dyDescent="0.45">
      <c r="A67">
        <f t="shared" si="0"/>
        <v>66</v>
      </c>
      <c r="B67" t="s">
        <v>773</v>
      </c>
      <c r="C67" t="s">
        <v>1116</v>
      </c>
      <c r="D67" t="s">
        <v>750</v>
      </c>
      <c r="G67" t="s">
        <v>750</v>
      </c>
      <c r="H67" t="s">
        <v>1077</v>
      </c>
      <c r="I67" t="s">
        <v>750</v>
      </c>
      <c r="J67" t="s">
        <v>945</v>
      </c>
      <c r="K67" t="s">
        <v>1104</v>
      </c>
      <c r="L67" t="s">
        <v>1078</v>
      </c>
      <c r="M67" t="s">
        <v>1890</v>
      </c>
      <c r="N67" t="s">
        <v>1183</v>
      </c>
      <c r="O67" t="s">
        <v>1184</v>
      </c>
      <c r="Q67">
        <v>2</v>
      </c>
      <c r="R67">
        <v>2</v>
      </c>
    </row>
    <row r="68" spans="1:21" x14ac:dyDescent="0.45">
      <c r="A68">
        <f t="shared" si="0"/>
        <v>67</v>
      </c>
      <c r="B68" t="s">
        <v>1105</v>
      </c>
      <c r="C68" t="s">
        <v>783</v>
      </c>
      <c r="D68" t="s">
        <v>1238</v>
      </c>
      <c r="G68" t="s">
        <v>1238</v>
      </c>
      <c r="H68" t="s">
        <v>1240</v>
      </c>
      <c r="I68" t="s">
        <v>1238</v>
      </c>
      <c r="J68" t="s">
        <v>1104</v>
      </c>
      <c r="K68" t="s">
        <v>1104</v>
      </c>
      <c r="L68" t="s">
        <v>1064</v>
      </c>
      <c r="T68" t="s">
        <v>1260</v>
      </c>
      <c r="U68" t="s">
        <v>1213</v>
      </c>
    </row>
    <row r="69" spans="1:21" x14ac:dyDescent="0.45">
      <c r="A69">
        <f t="shared" si="0"/>
        <v>68</v>
      </c>
      <c r="B69" t="s">
        <v>1105</v>
      </c>
      <c r="C69" t="s">
        <v>783</v>
      </c>
      <c r="D69" t="s">
        <v>1239</v>
      </c>
      <c r="G69" t="s">
        <v>1239</v>
      </c>
      <c r="H69" t="s">
        <v>1241</v>
      </c>
      <c r="I69" t="s">
        <v>1239</v>
      </c>
      <c r="J69" t="s">
        <v>1104</v>
      </c>
      <c r="K69" t="s">
        <v>1104</v>
      </c>
      <c r="L69" t="s">
        <v>1064</v>
      </c>
      <c r="T69" t="s">
        <v>1261</v>
      </c>
      <c r="U69" t="s">
        <v>1213</v>
      </c>
    </row>
    <row r="70" spans="1:21" x14ac:dyDescent="0.45">
      <c r="A70">
        <f t="shared" si="0"/>
        <v>69</v>
      </c>
      <c r="B70" t="s">
        <v>1105</v>
      </c>
      <c r="C70" t="s">
        <v>783</v>
      </c>
      <c r="D70" t="s">
        <v>973</v>
      </c>
      <c r="G70" t="s">
        <v>973</v>
      </c>
      <c r="H70" t="s">
        <v>1242</v>
      </c>
      <c r="I70" t="s">
        <v>973</v>
      </c>
      <c r="J70" t="s">
        <v>973</v>
      </c>
      <c r="K70" t="s">
        <v>973</v>
      </c>
      <c r="L70" t="s">
        <v>1064</v>
      </c>
      <c r="T70" t="s">
        <v>1214</v>
      </c>
      <c r="U70" t="s">
        <v>1213</v>
      </c>
    </row>
    <row r="71" spans="1:21" x14ac:dyDescent="0.45">
      <c r="A71">
        <f t="shared" si="0"/>
        <v>70</v>
      </c>
      <c r="B71" t="s">
        <v>1105</v>
      </c>
      <c r="C71" t="s">
        <v>783</v>
      </c>
      <c r="D71" t="s">
        <v>1234</v>
      </c>
      <c r="G71" t="s">
        <v>1234</v>
      </c>
      <c r="H71" t="s">
        <v>1243</v>
      </c>
      <c r="I71" t="s">
        <v>1234</v>
      </c>
      <c r="J71" t="s">
        <v>1104</v>
      </c>
      <c r="K71" t="s">
        <v>1104</v>
      </c>
      <c r="L71" t="s">
        <v>1064</v>
      </c>
      <c r="M71" t="s">
        <v>1890</v>
      </c>
      <c r="N71" t="s">
        <v>1246</v>
      </c>
      <c r="Q71">
        <v>2</v>
      </c>
    </row>
    <row r="72" spans="1:21" x14ac:dyDescent="0.45">
      <c r="A72">
        <f t="shared" si="0"/>
        <v>71</v>
      </c>
      <c r="B72" t="s">
        <v>1117</v>
      </c>
      <c r="C72" t="s">
        <v>831</v>
      </c>
      <c r="G72" t="s">
        <v>831</v>
      </c>
      <c r="H72" t="s">
        <v>1045</v>
      </c>
      <c r="I72" t="s">
        <v>1104</v>
      </c>
      <c r="J72" t="s">
        <v>831</v>
      </c>
      <c r="K72" t="s">
        <v>1104</v>
      </c>
      <c r="L72" t="s">
        <v>1064</v>
      </c>
      <c r="O72" t="s">
        <v>1194</v>
      </c>
      <c r="R72">
        <v>2</v>
      </c>
    </row>
    <row r="73" spans="1:21" x14ac:dyDescent="0.45">
      <c r="A73">
        <f t="shared" si="0"/>
        <v>72</v>
      </c>
      <c r="B73" t="s">
        <v>1117</v>
      </c>
      <c r="C73" t="s">
        <v>830</v>
      </c>
      <c r="G73" t="s">
        <v>830</v>
      </c>
      <c r="H73" t="s">
        <v>1046</v>
      </c>
      <c r="I73" t="s">
        <v>1104</v>
      </c>
      <c r="J73" t="s">
        <v>830</v>
      </c>
      <c r="K73" t="s">
        <v>1104</v>
      </c>
      <c r="L73" t="s">
        <v>1064</v>
      </c>
      <c r="O73" t="s">
        <v>1195</v>
      </c>
      <c r="R73">
        <v>2</v>
      </c>
    </row>
    <row r="74" spans="1:21" x14ac:dyDescent="0.45">
      <c r="A74">
        <f t="shared" si="0"/>
        <v>73</v>
      </c>
      <c r="B74" t="s">
        <v>1117</v>
      </c>
      <c r="C74" t="s">
        <v>827</v>
      </c>
      <c r="G74" t="s">
        <v>827</v>
      </c>
      <c r="H74" t="s">
        <v>1047</v>
      </c>
      <c r="I74" t="s">
        <v>1104</v>
      </c>
      <c r="J74" t="s">
        <v>827</v>
      </c>
      <c r="K74" t="s">
        <v>1104</v>
      </c>
      <c r="L74" t="s">
        <v>1064</v>
      </c>
      <c r="O74" t="s">
        <v>1196</v>
      </c>
      <c r="R74">
        <v>2</v>
      </c>
    </row>
    <row r="75" spans="1:21" x14ac:dyDescent="0.45">
      <c r="A75">
        <f t="shared" si="0"/>
        <v>74</v>
      </c>
      <c r="B75" t="s">
        <v>1117</v>
      </c>
      <c r="C75" t="s">
        <v>829</v>
      </c>
      <c r="G75" t="s">
        <v>829</v>
      </c>
      <c r="H75" t="s">
        <v>1048</v>
      </c>
      <c r="I75" t="s">
        <v>1104</v>
      </c>
      <c r="J75" t="s">
        <v>829</v>
      </c>
      <c r="K75" t="s">
        <v>1104</v>
      </c>
      <c r="L75" t="s">
        <v>1064</v>
      </c>
      <c r="O75" t="s">
        <v>1197</v>
      </c>
      <c r="R75">
        <v>2</v>
      </c>
    </row>
    <row r="76" spans="1:21" x14ac:dyDescent="0.45">
      <c r="A76">
        <f t="shared" si="0"/>
        <v>75</v>
      </c>
      <c r="B76" t="s">
        <v>1117</v>
      </c>
      <c r="C76" t="s">
        <v>828</v>
      </c>
      <c r="G76" t="s">
        <v>828</v>
      </c>
      <c r="H76" t="s">
        <v>1049</v>
      </c>
      <c r="I76" t="s">
        <v>1104</v>
      </c>
      <c r="J76" t="s">
        <v>828</v>
      </c>
      <c r="K76" t="s">
        <v>1104</v>
      </c>
      <c r="L76" t="s">
        <v>1064</v>
      </c>
      <c r="O76" t="s">
        <v>1198</v>
      </c>
      <c r="R76">
        <v>2</v>
      </c>
    </row>
    <row r="77" spans="1:21" x14ac:dyDescent="0.45">
      <c r="A77">
        <f t="shared" si="0"/>
        <v>76</v>
      </c>
      <c r="B77" t="s">
        <v>1117</v>
      </c>
      <c r="C77" t="s">
        <v>834</v>
      </c>
      <c r="G77" t="s">
        <v>834</v>
      </c>
      <c r="H77" t="s">
        <v>1050</v>
      </c>
      <c r="I77" t="s">
        <v>1104</v>
      </c>
      <c r="J77" t="s">
        <v>834</v>
      </c>
      <c r="K77" t="s">
        <v>1104</v>
      </c>
      <c r="L77" t="s">
        <v>1064</v>
      </c>
      <c r="O77" t="s">
        <v>1199</v>
      </c>
      <c r="R77">
        <v>2</v>
      </c>
    </row>
    <row r="78" spans="1:21" x14ac:dyDescent="0.45">
      <c r="A78">
        <f t="shared" si="0"/>
        <v>77</v>
      </c>
      <c r="B78" t="s">
        <v>1117</v>
      </c>
      <c r="C78" t="s">
        <v>835</v>
      </c>
      <c r="G78" t="s">
        <v>835</v>
      </c>
      <c r="H78" t="s">
        <v>1051</v>
      </c>
      <c r="I78" t="s">
        <v>1104</v>
      </c>
      <c r="J78" t="s">
        <v>835</v>
      </c>
      <c r="K78" t="s">
        <v>1104</v>
      </c>
      <c r="L78" t="s">
        <v>1064</v>
      </c>
      <c r="O78" t="s">
        <v>1200</v>
      </c>
      <c r="R78">
        <v>2</v>
      </c>
    </row>
    <row r="79" spans="1:21" x14ac:dyDescent="0.45">
      <c r="A79">
        <f t="shared" si="0"/>
        <v>78</v>
      </c>
      <c r="B79" t="s">
        <v>1117</v>
      </c>
      <c r="C79" t="s">
        <v>837</v>
      </c>
      <c r="G79" t="s">
        <v>837</v>
      </c>
      <c r="H79" t="s">
        <v>1052</v>
      </c>
      <c r="I79" t="s">
        <v>1104</v>
      </c>
      <c r="J79" t="s">
        <v>837</v>
      </c>
      <c r="K79" t="s">
        <v>1104</v>
      </c>
      <c r="L79" t="s">
        <v>1064</v>
      </c>
      <c r="O79" t="s">
        <v>1169</v>
      </c>
      <c r="R79">
        <v>2</v>
      </c>
    </row>
    <row r="80" spans="1:21" x14ac:dyDescent="0.45">
      <c r="A80">
        <f t="shared" si="0"/>
        <v>79</v>
      </c>
      <c r="B80" t="s">
        <v>1118</v>
      </c>
      <c r="C80" t="s">
        <v>936</v>
      </c>
      <c r="G80" t="s">
        <v>936</v>
      </c>
      <c r="H80" t="s">
        <v>1053</v>
      </c>
      <c r="I80" t="s">
        <v>1104</v>
      </c>
      <c r="J80" t="s">
        <v>1104</v>
      </c>
      <c r="K80" t="s">
        <v>936</v>
      </c>
      <c r="L80" t="s">
        <v>1064</v>
      </c>
      <c r="P80" t="s">
        <v>1898</v>
      </c>
      <c r="S80">
        <v>3</v>
      </c>
    </row>
    <row r="81" spans="1:21" x14ac:dyDescent="0.45">
      <c r="A81">
        <f t="shared" ref="A81:A88" si="2">ROW(A81)-1</f>
        <v>80</v>
      </c>
      <c r="B81" t="s">
        <v>1118</v>
      </c>
      <c r="C81" t="s">
        <v>930</v>
      </c>
      <c r="G81" t="s">
        <v>930</v>
      </c>
      <c r="H81" t="s">
        <v>1054</v>
      </c>
      <c r="I81" t="s">
        <v>1104</v>
      </c>
      <c r="J81" t="s">
        <v>1104</v>
      </c>
      <c r="K81" t="s">
        <v>930</v>
      </c>
      <c r="L81" t="s">
        <v>1066</v>
      </c>
      <c r="P81" t="s">
        <v>1189</v>
      </c>
      <c r="S81">
        <v>0</v>
      </c>
    </row>
    <row r="82" spans="1:21" x14ac:dyDescent="0.45">
      <c r="A82">
        <f t="shared" si="2"/>
        <v>81</v>
      </c>
      <c r="B82" t="s">
        <v>1118</v>
      </c>
      <c r="C82" t="s">
        <v>927</v>
      </c>
      <c r="G82" t="s">
        <v>927</v>
      </c>
      <c r="H82" t="s">
        <v>206</v>
      </c>
      <c r="I82" t="s">
        <v>1104</v>
      </c>
      <c r="J82" t="s">
        <v>1104</v>
      </c>
      <c r="K82" t="s">
        <v>927</v>
      </c>
      <c r="L82" t="s">
        <v>1066</v>
      </c>
      <c r="P82" t="s">
        <v>1201</v>
      </c>
      <c r="S82">
        <v>0</v>
      </c>
    </row>
    <row r="83" spans="1:21" x14ac:dyDescent="0.45">
      <c r="A83">
        <f t="shared" si="2"/>
        <v>82</v>
      </c>
      <c r="B83" t="s">
        <v>1118</v>
      </c>
      <c r="C83" t="s">
        <v>928</v>
      </c>
      <c r="G83" t="s">
        <v>928</v>
      </c>
      <c r="H83" t="s">
        <v>1055</v>
      </c>
      <c r="I83" t="s">
        <v>1104</v>
      </c>
      <c r="J83" t="s">
        <v>1104</v>
      </c>
      <c r="K83" t="s">
        <v>928</v>
      </c>
      <c r="L83" t="s">
        <v>1066</v>
      </c>
      <c r="P83" t="s">
        <v>1202</v>
      </c>
      <c r="S83">
        <v>0</v>
      </c>
    </row>
    <row r="84" spans="1:21" x14ac:dyDescent="0.45">
      <c r="A84">
        <f t="shared" si="2"/>
        <v>83</v>
      </c>
      <c r="B84" t="s">
        <v>1118</v>
      </c>
      <c r="C84" t="s">
        <v>929</v>
      </c>
      <c r="G84" t="s">
        <v>929</v>
      </c>
      <c r="H84" t="s">
        <v>1056</v>
      </c>
      <c r="I84" t="s">
        <v>1104</v>
      </c>
      <c r="J84" t="s">
        <v>1104</v>
      </c>
      <c r="K84" t="s">
        <v>929</v>
      </c>
      <c r="L84" t="s">
        <v>1066</v>
      </c>
      <c r="P84" t="s">
        <v>1175</v>
      </c>
      <c r="S84">
        <v>0</v>
      </c>
    </row>
    <row r="85" spans="1:21" x14ac:dyDescent="0.45">
      <c r="A85">
        <f t="shared" si="2"/>
        <v>84</v>
      </c>
      <c r="B85" t="s">
        <v>1118</v>
      </c>
      <c r="C85" t="s">
        <v>897</v>
      </c>
      <c r="G85" t="s">
        <v>897</v>
      </c>
      <c r="H85" t="s">
        <v>1057</v>
      </c>
      <c r="I85" t="s">
        <v>1104</v>
      </c>
      <c r="J85" t="s">
        <v>1104</v>
      </c>
      <c r="K85" t="s">
        <v>897</v>
      </c>
      <c r="L85" t="s">
        <v>1066</v>
      </c>
      <c r="P85" t="s">
        <v>1173</v>
      </c>
      <c r="S85">
        <v>0</v>
      </c>
    </row>
    <row r="86" spans="1:21" x14ac:dyDescent="0.45">
      <c r="A86">
        <f t="shared" si="2"/>
        <v>85</v>
      </c>
      <c r="B86" t="s">
        <v>1118</v>
      </c>
      <c r="C86" t="s">
        <v>898</v>
      </c>
      <c r="G86" t="s">
        <v>898</v>
      </c>
      <c r="H86" t="s">
        <v>1058</v>
      </c>
      <c r="I86" t="s">
        <v>1104</v>
      </c>
      <c r="J86" t="s">
        <v>1104</v>
      </c>
      <c r="K86" t="s">
        <v>898</v>
      </c>
      <c r="L86" t="s">
        <v>1064</v>
      </c>
      <c r="P86" t="s">
        <v>1203</v>
      </c>
      <c r="S86">
        <v>3</v>
      </c>
      <c r="U86" t="s">
        <v>1119</v>
      </c>
    </row>
    <row r="87" spans="1:21" x14ac:dyDescent="0.45">
      <c r="A87">
        <f t="shared" si="2"/>
        <v>86</v>
      </c>
      <c r="B87" t="s">
        <v>1118</v>
      </c>
      <c r="C87" t="s">
        <v>938</v>
      </c>
      <c r="G87" t="s">
        <v>938</v>
      </c>
      <c r="H87" t="s">
        <v>1059</v>
      </c>
      <c r="I87" t="s">
        <v>1104</v>
      </c>
      <c r="J87" t="s">
        <v>1104</v>
      </c>
      <c r="K87" t="s">
        <v>938</v>
      </c>
      <c r="L87" t="s">
        <v>1064</v>
      </c>
      <c r="P87" t="s">
        <v>1204</v>
      </c>
      <c r="S87">
        <v>3</v>
      </c>
    </row>
    <row r="88" spans="1:21" x14ac:dyDescent="0.45">
      <c r="A88">
        <f t="shared" si="2"/>
        <v>87</v>
      </c>
      <c r="B88" t="s">
        <v>1118</v>
      </c>
      <c r="C88" t="s">
        <v>1120</v>
      </c>
      <c r="G88" t="s">
        <v>1120</v>
      </c>
      <c r="H88" t="s">
        <v>1121</v>
      </c>
      <c r="I88" t="s">
        <v>1104</v>
      </c>
      <c r="J88" t="s">
        <v>1104</v>
      </c>
      <c r="K88" t="s">
        <v>1120</v>
      </c>
      <c r="L88" t="s">
        <v>1065</v>
      </c>
      <c r="P88" t="s">
        <v>1205</v>
      </c>
      <c r="S88">
        <v>0</v>
      </c>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pageSetUpPr autoPageBreaks="0"/>
  </sheetPr>
  <dimension ref="B2:X49"/>
  <sheetViews>
    <sheetView topLeftCell="C1" zoomScale="70" zoomScaleNormal="70" workbookViewId="0"/>
  </sheetViews>
  <sheetFormatPr defaultRowHeight="14.25" x14ac:dyDescent="0.45"/>
  <cols>
    <col min="2" max="2" width="34.59765625" customWidth="1"/>
    <col min="3" max="15" width="20.59765625" customWidth="1"/>
    <col min="16" max="16" width="19.06640625" customWidth="1"/>
    <col min="17" max="18" width="17.53125" customWidth="1"/>
    <col min="19" max="19" width="15.46484375" customWidth="1"/>
    <col min="20" max="22" width="26.59765625" customWidth="1"/>
    <col min="23" max="23" width="15.73046875" customWidth="1"/>
    <col min="24" max="24" width="18.796875" customWidth="1"/>
  </cols>
  <sheetData>
    <row r="2" spans="2:24" x14ac:dyDescent="0.45">
      <c r="B2" s="5" t="s">
        <v>1086</v>
      </c>
      <c r="J2" s="5" t="s">
        <v>1265</v>
      </c>
    </row>
    <row r="4" spans="2:24" s="5" customFormat="1" x14ac:dyDescent="0.45">
      <c r="B4" s="5" t="s">
        <v>888</v>
      </c>
      <c r="C4" s="5" t="s">
        <v>892</v>
      </c>
      <c r="D4" s="5">
        <v>2024</v>
      </c>
      <c r="E4" s="5">
        <v>2025</v>
      </c>
      <c r="F4" s="5">
        <v>2026</v>
      </c>
      <c r="G4" s="5">
        <v>2027</v>
      </c>
      <c r="H4" s="5">
        <v>2028</v>
      </c>
      <c r="J4" s="5" t="s">
        <v>786</v>
      </c>
      <c r="K4" s="5" t="s">
        <v>1122</v>
      </c>
      <c r="L4" s="5" t="s">
        <v>994</v>
      </c>
      <c r="M4" s="5" t="s">
        <v>76</v>
      </c>
      <c r="N4" s="5" t="s">
        <v>77</v>
      </c>
      <c r="O4" s="5" t="s">
        <v>78</v>
      </c>
      <c r="P4" s="5" t="s">
        <v>714</v>
      </c>
      <c r="Q4" s="5" t="s">
        <v>715</v>
      </c>
      <c r="R4" s="5" t="s">
        <v>1269</v>
      </c>
      <c r="S4" s="5" t="s">
        <v>10</v>
      </c>
      <c r="T4" s="5" t="s">
        <v>1238</v>
      </c>
      <c r="U4" s="5" t="s">
        <v>1239</v>
      </c>
      <c r="V4" s="5" t="s">
        <v>973</v>
      </c>
      <c r="W4" s="5" t="s">
        <v>1267</v>
      </c>
      <c r="X4" s="5" t="s">
        <v>1268</v>
      </c>
    </row>
    <row r="5" spans="2:24" x14ac:dyDescent="0.45">
      <c r="B5" s="41" t="s">
        <v>889</v>
      </c>
      <c r="C5" s="348">
        <f>IF(
    INDEX(D5:H5, MATCH(Initialisatie!$C$5, D$4:H$4, 0))&lt;&gt;"",
    INDEX(D5:H5, MATCH(Initialisatie!$C$5, D$4:H$4, 0)),
    LOOKUP(2, 1/(D5:H5&lt;&gt;""), D5:H5)
)</f>
        <v>137800</v>
      </c>
      <c r="D5" s="348"/>
      <c r="E5" s="348">
        <v>137800</v>
      </c>
      <c r="F5" s="348">
        <v>137800</v>
      </c>
      <c r="G5" s="348"/>
      <c r="H5" s="348"/>
      <c r="J5" s="363" t="str">
        <f t="array" ref="J5">IFERROR(
  IF(
    ROW(A1) &lt;= SUMPRODUCT(--('Hulp (control forms)'!$G$13:$G$52)),
      IF(
        INDEX(Initialisatie!B$10:B$49,
          SMALL(
            IF('Hulp (control forms)'!$G$13:$G$52=TRUE,
               ROW(Initialisatie!B$10:B$49)-ROW(Initialisatie!B$10)+1),
            ROW(A1)
          )
        )="","",
        INDEX(Initialisatie!B$10:B$49,
          SMALL(
            IF('Hulp (control forms)'!$G$13:$G$52=TRUE,
               ROW(Initialisatie!B$10:B$49)-ROW(Initialisatie!B$10)+1),
            ROW(A1)
          )
        )
      ),
    IFERROR(
      INDEX(
        '3. Gezinshuis producten'!E$7:E$9,
        SMALL(
          IF('Hulp (control forms)'!$F$6:$F$8=TRUE,
             ROW('3. Gezinshuis producten'!E$7:E$9)-ROW('3. Gezinshuis producten'!E$7)+1),
          ROW(A1) - SUMPRODUCT(--('Hulp (control forms)'!$G$13:$G$52))
        )
      ),
      IF(
        ROW(A1)
         - SUMPRODUCT(--('Hulp (control forms)'!$G$13:$G$52))
         - SUMPRODUCT(--('Hulp (control forms)'!$F$6:$F$8)) = 1,
        IF('4. Pleegzorg producten'!$M$26&lt;&gt;"",
           "Voltijd",
           IF('4. Pleegzorg producten'!$P$26&lt;&gt;"","Deeltijd","")
        ),
        IF(
          ROW(A1)
           - SUMPRODUCT(--('Hulp (control forms)'!$G$13:$G$52))
           - SUMPRODUCT(--('Hulp (control forms)'!$F$6:$F$8)) = 2,
          IF( AND('4. Pleegzorg producten'!$M$26&lt;&gt;"", '4. Pleegzorg producten'!$P$26&lt;&gt;"" ),
             "Deeltijd",
             ""
          ),
          ""
        )
      )
    )
  ),
"")</f>
        <v/>
      </c>
      <c r="K5" s="363" t="str">
        <f>IF(
  ROW(A1) &lt;= SUMPRODUCT(--('Hulp (control forms)'!$G$13:$G$52)),
      "Algemeen",
  IF(
    ROW(A1) - SUMPRODUCT(--('Hulp (control forms)'!$G$13:$G$52))
      &lt;= SUMPRODUCT(--('Hulp (control forms)'!$F$6:$F$8)),
        "Gezinshuis",
    IF(
      (ROW(A1)
        - SUMPRODUCT(--('Hulp (control forms)'!$G$13:$G$52))
        - SUMPRODUCT(--('Hulp (control forms)'!$F$6:$F$8)))
        &lt;= SUMPRODUCT(--('4. Pleegzorg producten'!$M$26&lt;&gt;"") + --('4. Pleegzorg producten'!$P$26&lt;&gt;"")),
          "Pleegzorg",
          ""
    )
  )
)</f>
        <v/>
      </c>
      <c r="L5" s="41" t="str">
        <f t="array" ref="L5">IF(
  ROW(A1) &lt;= SUMPRODUCT(--('Hulp (control forms)'!$G$13:$G$52)),
      ROW(A1),
  IF(
    ROW(A1) - SUMPRODUCT(--('Hulp (control forms)'!$G$13:$G$52))
      &lt;= SUMPRODUCT(--('Hulp (control forms)'!$F$6:$F$8)),
        SMALL(
    IF('Hulp (control forms)'!$F$6:$F$8,
       ROW('Hulp (control forms)'!$F$6:$F$8)
    ),
    ROW(A1) - SUMPRODUCT(--('Hulp (control forms)'!$G$13:$G$52))
)-5,
    IF(
      (ROW(A1)
        - SUMPRODUCT(--('Hulp (control forms)'!$G$13:$G$52))
        - SUMPRODUCT(--('Hulp (control forms)'!$F$6:$F$8)))
        &lt;= SUMPRODUCT(--('4. Pleegzorg producten'!$M$26&lt;&gt;"") + --('4. Pleegzorg producten'!$P$26&lt;&gt;"")),
        ROW(A1)
        - SUMPRODUCT(--('Hulp (control forms)'!$G$13:$G$52))
        - SUMPRODUCT(--('Hulp (control forms)'!$F$6:$F$8)),
        ""
    )
  )
)</f>
        <v/>
      </c>
      <c r="M5" s="41" t="str">
        <f t="array" ref="M5">IF(
    INDEX($K$5:$K$50, ROW(A1)) = "Algemeen",
        IFERROR(IF('Hulp (control forms)'!$C$7&lt;&gt;TRUE, '1a. Input organisatieniveau'!$I$19, INDEX(
            '1a. Input organisatieniveau'!$L$11:$N$11,
            MATCH(
                INDEX('2. Output kostprijs'!$A:$ZZ,
                    15,
                    4 + 2 * (INDEX($L$5:$L$50, ROW(A1)) - 1)
                ),
                '1a. Input organisatieniveau'!$L$6:$N$6,
                0
            )
        )),""),
    IF(
        INDEX($K$5:$K$50, ROW(A1)) = "Gezinshuis",
            "",
        IF(
            INDEX($K$5:$K$50, ROW(A1)) = "Pleegzorg",
                 "",
            ""
        )
    )
)</f>
        <v/>
      </c>
      <c r="N5" s="41" t="str">
        <f t="array" ref="N5">IF(
    INDEX($K$5:$K$50, ROW(A1)) = "Algemeen",
        IFERROR(IF('Hulp (control forms)'!$C$8&lt;&gt;TRUE, '1a. Input organisatieniveau'!$I$20, INDEX(
            '1a. Input organisatieniveau'!$L$12:$N$12,
            MATCH(
                INDEX('2. Output kostprijs'!$A:$ZZ,
                    15,
                    4 + 2 * (INDEX($L$5:$L$50, ROW(A1)) - 1)
                ),
                '1a. Input organisatieniveau'!$L$6:$N$6,
                0
            )
        )),""),
    IF(
        INDEX($K$5:$K$50, ROW(A1)) = "Gezinshuis",
            INDEX('3. Gezinshuis producten'!$A:$Y, 31,
            9 + 1 * (INDEX($L$5:$L$50, ROW(A1)) - 1)),
        IF(
            INDEX($K$5:$K$50, ROW(A1)) = "Pleegzorg",
                 "",
            ""
        )
    )
)</f>
        <v/>
      </c>
      <c r="O5" s="41" t="str">
        <f t="array" ref="O5">IF(
    INDEX($K$5:$K$50, ROW(A1)) = "Algemeen",
        IFERROR(IF('Hulp (control forms)'!$C$9&lt;&gt;TRUE, '1a. Input organisatieniveau'!$I$21, INDEX(
            '1a. Input organisatieniveau'!$L$13:$N$13,
            MATCH(
                INDEX('2. Output kostprijs'!$A:$ZZ,
                    15,
                    4 + 2 * (INDEX($L$5:$L$50, ROW(A1)) - 1)
                ),
                '1a. Input organisatieniveau'!$L$6:$N$6,
                0
            )
        )),""),
    IF(
        INDEX($K$5:$K$50, ROW(A1)) = "Gezinshuis",
            "",
        IF(
            INDEX($K$5:$K$50, ROW(A1)) = "Pleegzorg",
                 "",
            ""
        )
    )
)</f>
        <v/>
      </c>
      <c r="P5" s="41" t="str">
        <f>IF(
    INDEX($K$5:$K$50, ROW(A1)) = "Algemeen",
        IFERROR(IF('Hulp (control forms)'!$C$10&lt;&gt;TRUE, '1a. Input organisatieniveau'!$I$23, INDEX(
            '1a. Input organisatieniveau'!$L$15:$N$15,
            MATCH(
                INDEX('2. Output kostprijs'!$A:$ZZ,
                    15,
                    4 + 2 * (INDEX($L$5:$L$50, ROW(A1)) - 1)
                ),
                '1a. Input organisatieniveau'!$L$6:$N$6,
                0
            )
        )),""),
    IF(
        INDEX($K$5:$K$50, ROW(A1)) = "Gezinshuis",
            "",
        IF(
            INDEX($K$5:$K$50, ROW(A1)) = "Pleegzorg",
                 "",
            ""
        )
    )
)</f>
        <v/>
      </c>
      <c r="Q5" s="41" t="str">
        <f>IF(
    INDEX($K$5:$K$50, ROW(A1)) = "Algemeen",
        IFERROR(IF('Hulp (control forms)'!$C$11&lt;&gt;TRUE, '1a. Input organisatieniveau'!$I$24, INDEX(
            '1a. Input organisatieniveau'!$L$16:$N$16,
            MATCH(
                INDEX('2. Output kostprijs'!$A:$ZZ,
                    15,
                    4 + 2 * (INDEX($L$5:$L$50, ROW(A1)) - 1)
                ),
                '1a. Input organisatieniveau'!$L$6:$N$6,
                0
            )
        )),""),
    IF(
        INDEX($K$5:$K$50, ROW(A1)) = "Gezinshuis",
            "",
        IF(
            INDEX($K$5:$K$50, ROW(A1)) = "Pleegzorg",
                 "",
            ""
        )
    )
)</f>
        <v/>
      </c>
      <c r="R5" s="41" t="str">
        <f>IF(
    INDEX($K$5:$K$50, ROW(A1)) = "Algemeen",
        IFERROR(IF('Hulp (control forms)'!$C$12&lt;&gt;TRUE, '1a. Input organisatieniveau'!$I$29, INDEX(
            '1a. Input organisatieniveau'!$L$20:$N$20,
            MATCH(
                INDEX('2. Output kostprijs'!$A:$ZZ,
                    15,
                    4 + 2 * (INDEX($L$5:$L$50, ROW(A1)) - 1)
                ),
                '1a. Input organisatieniveau'!$L$6:$N$6,
                0
            )
        )),""),
    IF(
        INDEX($K$5:$K$50, ROW(A1)) = "Gezinshuis",
            "",
        IF(
            INDEX($K$5:$K$50, ROW(A1)) = "Pleegzorg",
                 "",
            ""
        )
    )
)</f>
        <v/>
      </c>
      <c r="S5" s="41" t="str">
        <f>IF(
    INDEX($K$5:$K$50, ROW(A1)) = "Algemeen",
        INDEX('2. Output kostprijs'!$A:$ZZ, 32,
            5 + 2 * (INDEX('Hulp (overig)'!$L$5:$L$50, ROW(A1)) - 1)
        ),
    IF(
        INDEX($K$5:$K$50, ROW(A1)) = "Gezinshuis",
            INDEX('3. Gezinshuis producten'!$A:$Y, 22,
            15 + 2 * (INDEX($L$5:$L$50, ROW(A1)) - 1)),
        IF(
            INDEX($K$5:$K$50, ROW(A1)) = "Pleegzorg",
                 INDEX('4. Pleegzorg producten'!$A:$Y, 24,
            13 + 3 * (INDEX($L$5:$L$50, ROW(A1)) - 1)) +
                 INDEX('4. Pleegzorg producten'!$A:$Y, 25,
            13 + 3 * (INDEX($L$5:$L$50, ROW(A1)) - 1)),
            ""
        )
    )
)</f>
        <v/>
      </c>
      <c r="T5" s="41" t="str">
        <f t="array" ref="T5">IF(
    INDEX($K$5:$K$50, ROW(A1)) = "Algemeen",
        IF(INDEX('2. Output kostprijs'!$A:$ZZ, 15,
            4 + 2 * (INDEX('Hulp (overig)'!$L$5:$L$50, ROW(A1)) - 1)
        )="Ambulant",
        INDEX('2. Output kostprijs'!$A:$ZZ, 47,
            4 + 2 * (INDEX('Hulp (overig)'!$L$5:$L$50, ROW(A1)) - 1)
        ), ""),
    IF(
        INDEX($K$5:$K$50, ROW(A1)) = "Gezinshuis",
            "",
        IF(
            INDEX($K$5:$K$50, ROW(A1)) = "Pleegzorg",
                 "",
            ""
        )
    )
)</f>
        <v/>
      </c>
      <c r="U5" s="41" t="str">
        <f>IF(
    INDEX($K$5:$K$50, ROW(A1)) = "Algemeen",
        IF(INDEX('2. Output kostprijs'!$A:$ZZ, 15,
            4 + 2 * (INDEX('Hulp (overig)'!$L$5:$L$50, ROW(A1)) - 1)
        )="Daghulp",
        INDEX('2. Output kostprijs'!$A:$ZZ, 47,
            4 + 2 * (INDEX('Hulp (overig)'!$L$5:$L$50, ROW(A1)) - 1)
        ), ""),
    IF(
        INDEX($K$5:$K$50, ROW(A1)) = "Gezinshuis",
            "",
        IF(
            INDEX($K$5:$K$50, ROW(A1)) = "Pleegzorg",
                 "",
            ""
        )
    )
)</f>
        <v/>
      </c>
      <c r="V5" s="41" t="str">
        <f>IF(
    INDEX($K$5:$K$50, ROW(A1)) = "Algemeen",
        IF(INDEX('2. Output kostprijs'!$A:$ZZ, 15,
            4 + 2 * (INDEX('Hulp (overig)'!$L$5:$L$50, ROW(A1)) - 1)
        )="Verblijf",
        INDEX('2. Output kostprijs'!$A:$ZZ, 47,
            4 + 2 * (INDEX('Hulp (overig)'!$L$5:$L$50, ROW(A1)) - 1)
        ), ""),
    IF(
        INDEX($K$5:$K$50, ROW(A1)) = "Gezinshuis",
            INDEX('3. Gezinshuis producten'!$A:$Y, 29,
            14 + 2 * (INDEX($L$5:$L$50, ROW(A1)) - 1)),
        IF(
            INDEX($K$5:$K$50, ROW(A1)) = "Pleegzorg",
                 INDEX('4. Pleegzorg producten'!$A:$Y, 26,
            13 + 3 * (INDEX($L$5:$L$50, ROW(A1)) - 1)),
            ""
        )
    )
)</f>
        <v/>
      </c>
      <c r="W5" s="41" t="str">
        <f>IF(
    INDEX($K$5:$K$50, ROW(A1)) = "Algemeen",
        IFERROR(IF('Hulp (control forms)'!$C$12&lt;&gt;TRUE, '1a. Input organisatieniveau'!$I$27, INDEX(
            '1a. Input organisatieniveau'!$L$18:$N$18,
            MATCH(
                INDEX('2. Output kostprijs'!$A:$ZZ,
                    15,
                    4 + 2 * (INDEX($L$5:$L$50, ROW(A1)) - 1)
                ),
                '1a. Input organisatieniveau'!$L$6:$N$6,
                0
            )
        )),""),
    IF(
        INDEX($K$5:$K$50, ROW(A1)) = "Gezinshuis",
            "",
        IF(
            INDEX($K$5:$K$50, ROW(A1)) = "Pleegzorg",
                 "",
            ""
        )
    )
)</f>
        <v/>
      </c>
      <c r="X5" s="41" t="str">
        <f>IF(
    INDEX($K$5:$K$50, ROW(A1)) = "Algemeen",
        IFERROR(IF('Hulp (control forms)'!$C$12&lt;&gt;TRUE, '1a. Input organisatieniveau'!$I$28, INDEX(
            '1a. Input organisatieniveau'!$L$19:$N$19,
            MATCH(
                INDEX('2. Output kostprijs'!$A:$ZZ,
                    15,
                    4 + 2 * (INDEX($L$5:$L$50, ROW(A1)) - 1)
                ),
                '1a. Input organisatieniveau'!$L$6:$N$6,
                0
            )
        )),""),
    IF(
        INDEX($K$5:$K$50, ROW(A1)) = "Gezinshuis",
            "",
        IF(
            INDEX($K$5:$K$50, ROW(A1)) = "Pleegzorg",
                 "",
            ""
        )
    )
)</f>
        <v/>
      </c>
    </row>
    <row r="6" spans="2:24" x14ac:dyDescent="0.45">
      <c r="B6" s="21" t="s">
        <v>890</v>
      </c>
      <c r="C6" s="349">
        <f>IF(
    INDEX(D6:H6, MATCH(Initialisatie!$C$5, D$4:H$4, 0))&lt;&gt;"",
    INDEX(D6:H6, MATCH(Initialisatie!$C$5, D$4:H$4, 0)),
    LOOKUP(2, 1/(D6:H6&lt;&gt;""), D6:H6)
)</f>
        <v>79409</v>
      </c>
      <c r="D6" s="349"/>
      <c r="E6" s="349">
        <v>75864</v>
      </c>
      <c r="F6" s="349">
        <v>79409</v>
      </c>
      <c r="G6" s="349"/>
      <c r="H6" s="349"/>
      <c r="J6" s="364" t="str">
        <f t="array" ref="J6">IFERROR(
  IF(
    ROW(A2) &lt;= SUMPRODUCT(--('Hulp (control forms)'!$G$13:$G$52)),
      IF(
        INDEX(Initialisatie!B$10:B$49,
          SMALL(
            IF('Hulp (control forms)'!$G$13:$G$52=TRUE,
               ROW(Initialisatie!B$10:B$49)-ROW(Initialisatie!B$10)+1),
            ROW(A2)
          )
        )="","",
        INDEX(Initialisatie!B$10:B$49,
          SMALL(
            IF('Hulp (control forms)'!$G$13:$G$52=TRUE,
               ROW(Initialisatie!B$10:B$49)-ROW(Initialisatie!B$10)+1),
            ROW(A2)
          )
        )
      ),
    IFERROR(
      INDEX(
        '3. Gezinshuis producten'!E$7:E$9,
        SMALL(
          IF('Hulp (control forms)'!$F$6:$F$8=TRUE,
             ROW('3. Gezinshuis producten'!E$7:E$9)-ROW('3. Gezinshuis producten'!E$7)+1),
          ROW(A2) - SUMPRODUCT(--('Hulp (control forms)'!$G$13:$G$52))
        )
      ),
      IF(
        ROW(A2)
         - SUMPRODUCT(--('Hulp (control forms)'!$G$13:$G$52))
         - SUMPRODUCT(--('Hulp (control forms)'!$F$6:$F$8)) = 1,
        IF('4. Pleegzorg producten'!$M$26&lt;&gt;"",
           "Voltijd",
           IF('4. Pleegzorg producten'!$P$26&lt;&gt;"","Deeltijd","")
        ),
        IF(
          ROW(A2)
           - SUMPRODUCT(--('Hulp (control forms)'!$G$13:$G$52))
           - SUMPRODUCT(--('Hulp (control forms)'!$F$6:$F$8)) = 2,
          IF( AND('4. Pleegzorg producten'!$M$26&lt;&gt;"", '4. Pleegzorg producten'!$P$26&lt;&gt;"" ),
             "Deeltijd",
             ""
          ),
          ""
        )
      )
    )
  ),
"")</f>
        <v/>
      </c>
      <c r="K6" s="364" t="str">
        <f>IF(
  ROW(A2) &lt;= SUMPRODUCT(--('Hulp (control forms)'!$G$13:$G$52)),
      "Algemeen",
  IF(
    ROW(A2) - SUMPRODUCT(--('Hulp (control forms)'!$G$13:$G$52))
      &lt;= SUMPRODUCT(--('Hulp (control forms)'!$F$6:$F$8)),
        "Gezinshuis",
    IF(
      (ROW(A2)
        - SUMPRODUCT(--('Hulp (control forms)'!$G$13:$G$52))
        - SUMPRODUCT(--('Hulp (control forms)'!$F$6:$F$8)))
        &lt;= SUMPRODUCT(--('4. Pleegzorg producten'!$M$26&lt;&gt;"") + --('4. Pleegzorg producten'!$P$26&lt;&gt;"")),
          "Pleegzorg",
          ""
    )
  )
)</f>
        <v/>
      </c>
      <c r="L6" s="21" t="str">
        <f t="array" ref="L6">IF(
  ROW(A2) &lt;= SUMPRODUCT(--('Hulp (control forms)'!$G$13:$G$52)),
      ROW(A2),
  IF(
    ROW(A2) - SUMPRODUCT(--('Hulp (control forms)'!$G$13:$G$52))
      &lt;= SUMPRODUCT(--('Hulp (control forms)'!$F$6:$F$8)),
        SMALL(
    IF('Hulp (control forms)'!$F$6:$F$8,
       ROW('Hulp (control forms)'!$F$6:$F$8)
    ),
    ROW(A2) - SUMPRODUCT(--('Hulp (control forms)'!$G$13:$G$52))
)-5,
    IF(
      (ROW(A2)
        - SUMPRODUCT(--('Hulp (control forms)'!$G$13:$G$52))
        - SUMPRODUCT(--('Hulp (control forms)'!$F$6:$F$8)))
        &lt;= SUMPRODUCT(--('4. Pleegzorg producten'!$M$26&lt;&gt;"") + --('4. Pleegzorg producten'!$P$26&lt;&gt;"")),
        ROW(A2)
        - SUMPRODUCT(--('Hulp (control forms)'!$G$13:$G$52))
        - SUMPRODUCT(--('Hulp (control forms)'!$F$6:$F$8)),
        ""
    )
  )
)</f>
        <v/>
      </c>
      <c r="M6" s="21" t="str">
        <f t="array" ref="M6">IF(
    INDEX($K$5:$K$50, ROW(A2)) = "Algemeen",
        IFERROR(IF('Hulp (control forms)'!$C$7&lt;&gt;TRUE, '1a. Input organisatieniveau'!$I$19, INDEX(
            '1a. Input organisatieniveau'!$L$11:$N$11,
            MATCH(
                INDEX('2. Output kostprijs'!$A:$ZZ,
                    15,
                    4 + 2 * (INDEX($L$5:$L$50, ROW(A2)) - 1)
                ),
                '1a. Input organisatieniveau'!$L$6:$N$6,
                0
            )
        )),""),
    IF(
        INDEX($K$5:$K$50, ROW(A2)) = "Gezinshuis",
            "",
        IF(
            INDEX($K$5:$K$50, ROW(A2)) = "Pleegzorg",
                 "",
            ""
        )
    )
)</f>
        <v/>
      </c>
      <c r="N6" s="21" t="str">
        <f t="array" ref="N6">IF(
    INDEX($K$5:$K$50, ROW(A2)) = "Algemeen",
        IFERROR(IF('Hulp (control forms)'!$C$8&lt;&gt;TRUE, '1a. Input organisatieniveau'!$I$20, INDEX(
            '1a. Input organisatieniveau'!$L$12:$N$12,
            MATCH(
                INDEX('2. Output kostprijs'!$A:$ZZ,
                    15,
                    4 + 2 * (INDEX($L$5:$L$50, ROW(A2)) - 1)
                ),
                '1a. Input organisatieniveau'!$L$6:$N$6,
                0
            )
        )),""),
    IF(
        INDEX($K$5:$K$50, ROW(A2)) = "Gezinshuis",
            INDEX('3. Gezinshuis producten'!$A:$Y, 31,
            9 + 1 * (INDEX($L$5:$L$50, ROW(A2)) - 1)),
        IF(
            INDEX($K$5:$K$50, ROW(A2)) = "Pleegzorg",
                 "",
            ""
        )
    )
)</f>
        <v/>
      </c>
      <c r="O6" s="21" t="str">
        <f t="array" ref="O6">IF(
    INDEX($K$5:$K$50, ROW(A2)) = "Algemeen",
        IFERROR(IF('Hulp (control forms)'!$C$9&lt;&gt;TRUE, '1a. Input organisatieniveau'!$I$21, INDEX(
            '1a. Input organisatieniveau'!$L$13:$N$13,
            MATCH(
                INDEX('2. Output kostprijs'!$A:$ZZ,
                    15,
                    4 + 2 * (INDEX($L$5:$L$50, ROW(A2)) - 1)
                ),
                '1a. Input organisatieniveau'!$L$6:$N$6,
                0
            )
        )),""),
    IF(
        INDEX($K$5:$K$50, ROW(A2)) = "Gezinshuis",
            "",
        IF(
            INDEX($K$5:$K$50, ROW(A2)) = "Pleegzorg",
                 "",
            ""
        )
    )
)</f>
        <v/>
      </c>
      <c r="P6" s="21" t="str">
        <f>IF(
    INDEX($K$5:$K$50, ROW(A2)) = "Algemeen",
        IFERROR(IF('Hulp (control forms)'!$C$10&lt;&gt;TRUE, '1a. Input organisatieniveau'!$I$23, INDEX(
            '1a. Input organisatieniveau'!$L$15:$N$15,
            MATCH(
                INDEX('2. Output kostprijs'!$A:$ZZ,
                    15,
                    4 + 2 * (INDEX($L$5:$L$50, ROW(A2)) - 1)
                ),
                '1a. Input organisatieniveau'!$L$6:$N$6,
                0
            )
        )),""),
    IF(
        INDEX($K$5:$K$50, ROW(A2)) = "Gezinshuis",
            "",
        IF(
            INDEX($K$5:$K$50, ROW(A2)) = "Pleegzorg",
                 "",
            ""
        )
    )
)</f>
        <v/>
      </c>
      <c r="Q6" s="21" t="str">
        <f>IF(
    INDEX($K$5:$K$50, ROW(A2)) = "Algemeen",
        IFERROR(IF('Hulp (control forms)'!$C$11&lt;&gt;TRUE, '1a. Input organisatieniveau'!$I$24, INDEX(
            '1a. Input organisatieniveau'!$L$16:$N$16,
            MATCH(
                INDEX('2. Output kostprijs'!$A:$ZZ,
                    15,
                    4 + 2 * (INDEX($L$5:$L$50, ROW(A2)) - 1)
                ),
                '1a. Input organisatieniveau'!$L$6:$N$6,
                0
            )
        )),""),
    IF(
        INDEX($K$5:$K$50, ROW(A2)) = "Gezinshuis",
            "",
        IF(
            INDEX($K$5:$K$50, ROW(A2)) = "Pleegzorg",
                 "",
            ""
        )
    )
)</f>
        <v/>
      </c>
      <c r="R6" s="21" t="str">
        <f>IF(
    INDEX($K$5:$K$50, ROW(A2)) = "Algemeen",
        IFERROR(IF('Hulp (control forms)'!$C$12&lt;&gt;TRUE, '1a. Input organisatieniveau'!$I$29, INDEX(
            '1a. Input organisatieniveau'!$L$20:$N$20,
            MATCH(
                INDEX('2. Output kostprijs'!$A:$ZZ,
                    15,
                    4 + 2 * (INDEX($L$5:$L$50, ROW(A2)) - 1)
                ),
                '1a. Input organisatieniveau'!$L$6:$N$6,
                0
            )
        )),""),
    IF(
        INDEX($K$5:$K$50, ROW(A2)) = "Gezinshuis",
            "",
        IF(
            INDEX($K$5:$K$50, ROW(A2)) = "Pleegzorg",
                 "",
            ""
        )
    )
)</f>
        <v/>
      </c>
      <c r="S6" s="21" t="str">
        <f>IF(
    INDEX($K$5:$K$50, ROW(A2)) = "Algemeen",
        INDEX('2. Output kostprijs'!$A:$ZZ, 32,
            5 + 2 * (INDEX('Hulp (overig)'!$L$5:$L$50, ROW(A2)) - 1)
        ),
    IF(
        INDEX($K$5:$K$50, ROW(A2)) = "Gezinshuis",
            INDEX('3. Gezinshuis producten'!$A:$Y, 22,
            15 + 2 * (INDEX($L$5:$L$50, ROW(A2)) - 1)),
        IF(
            INDEX($K$5:$K$50, ROW(A2)) = "Pleegzorg",
                 INDEX('4. Pleegzorg producten'!$A:$Y, 24,
            13 + 3 * (INDEX($L$5:$L$50, ROW(A2)) - 1)) +
                 INDEX('4. Pleegzorg producten'!$A:$Y, 25,
            13 + 3 * (INDEX($L$5:$L$50, ROW(A2)) - 1)),
            ""
        )
    )
)</f>
        <v/>
      </c>
      <c r="T6" s="21" t="str">
        <f t="array" ref="T6">IF(
    INDEX($K$5:$K$50, ROW(A2)) = "Algemeen",
        IF(INDEX('2. Output kostprijs'!$A:$ZZ, 15,
            4 + 2 * (INDEX('Hulp (overig)'!$L$5:$L$50, ROW(A2)) - 1)
        )="Ambulant",
        INDEX('2. Output kostprijs'!$A:$ZZ, 47,
            4 + 2 * (INDEX('Hulp (overig)'!$L$5:$L$50, ROW(A2)) - 1)
        ), ""),
    IF(
        INDEX($K$5:$K$50, ROW(A2)) = "Gezinshuis",
            "",
        IF(
            INDEX($K$5:$K$50, ROW(A2)) = "Pleegzorg",
                 "",
            ""
        )
    )
)</f>
        <v/>
      </c>
      <c r="U6" s="21" t="str">
        <f>IF(
    INDEX($K$5:$K$50, ROW(A2)) = "Algemeen",
        IF(INDEX('2. Output kostprijs'!$A:$ZZ, 15,
            4 + 2 * (INDEX('Hulp (overig)'!$L$5:$L$50, ROW(A2)) - 1)
        )="Daghulp",
        INDEX('2. Output kostprijs'!$A:$ZZ, 47,
            4 + 2 * (INDEX('Hulp (overig)'!$L$5:$L$50, ROW(A2)) - 1)
        ), ""),
    IF(
        INDEX($K$5:$K$50, ROW(A2)) = "Gezinshuis",
            "",
        IF(
            INDEX($K$5:$K$50, ROW(A2)) = "Pleegzorg",
                 "",
            ""
        )
    )
)</f>
        <v/>
      </c>
      <c r="V6" s="21" t="str">
        <f>IF(
    INDEX($K$5:$K$50, ROW(A2)) = "Algemeen",
        IF(INDEX('2. Output kostprijs'!$A:$ZZ, 15,
            4 + 2 * (INDEX('Hulp (overig)'!$L$5:$L$50, ROW(A2)) - 1)
        )="Verblijf",
        INDEX('2. Output kostprijs'!$A:$ZZ, 47,
            4 + 2 * (INDEX('Hulp (overig)'!$L$5:$L$50, ROW(A2)) - 1)
        ), ""),
    IF(
        INDEX($K$5:$K$50, ROW(A2)) = "Gezinshuis",
            INDEX('3. Gezinshuis producten'!$A:$Y, 29,
            14 + 2 * (INDEX($L$5:$L$50, ROW(A2)) - 1)),
        IF(
            INDEX($K$5:$K$50, ROW(A2)) = "Pleegzorg",
                 INDEX('4. Pleegzorg producten'!$A:$Y, 26,
            13 + 3 * (INDEX($L$5:$L$50, ROW(A2)) - 1)),
            ""
        )
    )
)</f>
        <v/>
      </c>
      <c r="W6" s="21" t="str">
        <f>IF(
    INDEX($K$5:$K$50, ROW(A2)) = "Algemeen",
        IFERROR(IF('Hulp (control forms)'!$C$12&lt;&gt;TRUE, '1a. Input organisatieniveau'!$I$27, INDEX(
            '1a. Input organisatieniveau'!$L$18:$N$18,
            MATCH(
                INDEX('2. Output kostprijs'!$A:$ZZ,
                    15,
                    4 + 2 * (INDEX($L$5:$L$50, ROW(A2)) - 1)
                ),
                '1a. Input organisatieniveau'!$L$6:$N$6,
                0
            )
        )),""),
    IF(
        INDEX($K$5:$K$50, ROW(A2)) = "Gezinshuis",
            "",
        IF(
            INDEX($K$5:$K$50, ROW(A2)) = "Pleegzorg",
                 "",
            ""
        )
    )
)</f>
        <v/>
      </c>
      <c r="X6" s="21" t="str">
        <f>IF(
    INDEX($K$5:$K$50, ROW(A2)) = "Algemeen",
        IFERROR(IF('Hulp (control forms)'!$C$12&lt;&gt;TRUE, '1a. Input organisatieniveau'!$I$28, INDEX(
            '1a. Input organisatieniveau'!$L$19:$N$19,
            MATCH(
                INDEX('2. Output kostprijs'!$A:$ZZ,
                    15,
                    4 + 2 * (INDEX($L$5:$L$50, ROW(A2)) - 1)
                ),
                '1a. Input organisatieniveau'!$L$6:$N$6,
                0
            )
        )),""),
    IF(
        INDEX($K$5:$K$50, ROW(A2)) = "Gezinshuis",
            "",
        IF(
            INDEX($K$5:$K$50, ROW(A2)) = "Pleegzorg",
                 "",
            ""
        )
    )
)</f>
        <v/>
      </c>
    </row>
    <row r="7" spans="2:24" x14ac:dyDescent="0.45">
      <c r="B7" s="21" t="s">
        <v>20</v>
      </c>
      <c r="C7" s="350">
        <f>IF(
    INDEX(D7:H7, MATCH(Initialisatie!$C$5, D$4:H$4, 0))&lt;&gt;"",
    INDEX(D7:H7, MATCH(Initialisatie!$C$5, D$4:H$4, 0)),
    LOOKUP(2, 1/(D7:H7&lt;&gt;""), D7:H7)
)</f>
        <v>6.0999999999999999E-2</v>
      </c>
      <c r="D7" s="350"/>
      <c r="E7" s="350">
        <v>6.5100000000000005E-2</v>
      </c>
      <c r="F7" s="350">
        <v>6.0999999999999999E-2</v>
      </c>
      <c r="G7" s="350"/>
      <c r="H7" s="350"/>
      <c r="J7" s="364" t="str">
        <f t="array" ref="J7">IFERROR(
  IF(
    ROW(A3) &lt;= SUMPRODUCT(--('Hulp (control forms)'!$G$13:$G$52)),
      IF(
        INDEX(Initialisatie!B$10:B$49,
          SMALL(
            IF('Hulp (control forms)'!$G$13:$G$52=TRUE,
               ROW(Initialisatie!B$10:B$49)-ROW(Initialisatie!B$10)+1),
            ROW(A3)
          )
        )="","",
        INDEX(Initialisatie!B$10:B$49,
          SMALL(
            IF('Hulp (control forms)'!$G$13:$G$52=TRUE,
               ROW(Initialisatie!B$10:B$49)-ROW(Initialisatie!B$10)+1),
            ROW(A3)
          )
        )
      ),
    IFERROR(
      INDEX(
        '3. Gezinshuis producten'!E$7:E$9,
        SMALL(
          IF('Hulp (control forms)'!$F$6:$F$8=TRUE,
             ROW('3. Gezinshuis producten'!E$7:E$9)-ROW('3. Gezinshuis producten'!E$7)+1),
          ROW(A3) - SUMPRODUCT(--('Hulp (control forms)'!$G$13:$G$52))
        )
      ),
      IF(
        ROW(A3)
         - SUMPRODUCT(--('Hulp (control forms)'!$G$13:$G$52))
         - SUMPRODUCT(--('Hulp (control forms)'!$F$6:$F$8)) = 1,
        IF('4. Pleegzorg producten'!$M$26&lt;&gt;"",
           "Voltijd",
           IF('4. Pleegzorg producten'!$P$26&lt;&gt;"","Deeltijd","")
        ),
        IF(
          ROW(A3)
           - SUMPRODUCT(--('Hulp (control forms)'!$G$13:$G$52))
           - SUMPRODUCT(--('Hulp (control forms)'!$F$6:$F$8)) = 2,
          IF( AND('4. Pleegzorg producten'!$M$26&lt;&gt;"", '4. Pleegzorg producten'!$P$26&lt;&gt;"" ),
             "Deeltijd",
             ""
          ),
          ""
        )
      )
    )
  ),
"")</f>
        <v/>
      </c>
      <c r="K7" s="364" t="str">
        <f>IF(
  ROW(A3) &lt;= SUMPRODUCT(--('Hulp (control forms)'!$G$13:$G$52)),
      "Algemeen",
  IF(
    ROW(A3) - SUMPRODUCT(--('Hulp (control forms)'!$G$13:$G$52))
      &lt;= SUMPRODUCT(--('Hulp (control forms)'!$F$6:$F$8)),
        "Gezinshuis",
    IF(
      (ROW(A3)
        - SUMPRODUCT(--('Hulp (control forms)'!$G$13:$G$52))
        - SUMPRODUCT(--('Hulp (control forms)'!$F$6:$F$8)))
        &lt;= SUMPRODUCT(--('4. Pleegzorg producten'!$M$26&lt;&gt;"") + --('4. Pleegzorg producten'!$P$26&lt;&gt;"")),
          "Pleegzorg",
          ""
    )
  )
)</f>
        <v/>
      </c>
      <c r="L7" s="21" t="str">
        <f t="array" ref="L7">IF(
  ROW(A3) &lt;= SUMPRODUCT(--('Hulp (control forms)'!$G$13:$G$52)),
      ROW(A3),
  IF(
    ROW(A3) - SUMPRODUCT(--('Hulp (control forms)'!$G$13:$G$52))
      &lt;= SUMPRODUCT(--('Hulp (control forms)'!$F$6:$F$8)),
        SMALL(
    IF('Hulp (control forms)'!$F$6:$F$8,
       ROW('Hulp (control forms)'!$F$6:$F$8)
    ),
    ROW(A3) - SUMPRODUCT(--('Hulp (control forms)'!$G$13:$G$52))
)-5,
    IF(
      (ROW(A3)
        - SUMPRODUCT(--('Hulp (control forms)'!$G$13:$G$52))
        - SUMPRODUCT(--('Hulp (control forms)'!$F$6:$F$8)))
        &lt;= SUMPRODUCT(--('4. Pleegzorg producten'!$M$26&lt;&gt;"") + --('4. Pleegzorg producten'!$P$26&lt;&gt;"")),
        ROW(A3)
        - SUMPRODUCT(--('Hulp (control forms)'!$G$13:$G$52))
        - SUMPRODUCT(--('Hulp (control forms)'!$F$6:$F$8)),
        ""
    )
  )
)</f>
        <v/>
      </c>
      <c r="M7" s="21" t="str">
        <f t="array" ref="M7">IF(
    INDEX($K$5:$K$50, ROW(A3)) = "Algemeen",
        IFERROR(IF('Hulp (control forms)'!$C$7&lt;&gt;TRUE, '1a. Input organisatieniveau'!$I$19, INDEX(
            '1a. Input organisatieniveau'!$L$11:$N$11,
            MATCH(
                INDEX('2. Output kostprijs'!$A:$ZZ,
                    15,
                    4 + 2 * (INDEX($L$5:$L$50, ROW(A3)) - 1)
                ),
                '1a. Input organisatieniveau'!$L$6:$N$6,
                0
            )
        )),""),
    IF(
        INDEX($K$5:$K$50, ROW(A3)) = "Gezinshuis",
            "",
        IF(
            INDEX($K$5:$K$50, ROW(A3)) = "Pleegzorg",
                 "",
            ""
        )
    )
)</f>
        <v/>
      </c>
      <c r="N7" s="21" t="str">
        <f t="array" ref="N7">IF(
    INDEX($K$5:$K$50, ROW(A3)) = "Algemeen",
        IFERROR(IF('Hulp (control forms)'!$C$8&lt;&gt;TRUE, '1a. Input organisatieniveau'!$I$20, INDEX(
            '1a. Input organisatieniveau'!$L$12:$N$12,
            MATCH(
                INDEX('2. Output kostprijs'!$A:$ZZ,
                    15,
                    4 + 2 * (INDEX($L$5:$L$50, ROW(A3)) - 1)
                ),
                '1a. Input organisatieniveau'!$L$6:$N$6,
                0
            )
        )),""),
    IF(
        INDEX($K$5:$K$50, ROW(A3)) = "Gezinshuis",
            INDEX('3. Gezinshuis producten'!$A:$Y, 31,
            9 + 1 * (INDEX($L$5:$L$50, ROW(A3)) - 1)),
        IF(
            INDEX($K$5:$K$50, ROW(A3)) = "Pleegzorg",
                 "",
            ""
        )
    )
)</f>
        <v/>
      </c>
      <c r="O7" s="21" t="str">
        <f t="array" ref="O7">IF(
    INDEX($K$5:$K$50, ROW(A3)) = "Algemeen",
        IFERROR(IF('Hulp (control forms)'!$C$9&lt;&gt;TRUE, '1a. Input organisatieniveau'!$I$21, INDEX(
            '1a. Input organisatieniveau'!$L$13:$N$13,
            MATCH(
                INDEX('2. Output kostprijs'!$A:$ZZ,
                    15,
                    4 + 2 * (INDEX($L$5:$L$50, ROW(A3)) - 1)
                ),
                '1a. Input organisatieniveau'!$L$6:$N$6,
                0
            )
        )),""),
    IF(
        INDEX($K$5:$K$50, ROW(A3)) = "Gezinshuis",
            "",
        IF(
            INDEX($K$5:$K$50, ROW(A3)) = "Pleegzorg",
                 "",
            ""
        )
    )
)</f>
        <v/>
      </c>
      <c r="P7" s="21" t="str">
        <f>IF(
    INDEX($K$5:$K$50, ROW(A3)) = "Algemeen",
        IFERROR(IF('Hulp (control forms)'!$C$10&lt;&gt;TRUE, '1a. Input organisatieniveau'!$I$23, INDEX(
            '1a. Input organisatieniveau'!$L$15:$N$15,
            MATCH(
                INDEX('2. Output kostprijs'!$A:$ZZ,
                    15,
                    4 + 2 * (INDEX($L$5:$L$50, ROW(A3)) - 1)
                ),
                '1a. Input organisatieniveau'!$L$6:$N$6,
                0
            )
        )),""),
    IF(
        INDEX($K$5:$K$50, ROW(A3)) = "Gezinshuis",
            "",
        IF(
            INDEX($K$5:$K$50, ROW(A3)) = "Pleegzorg",
                 "",
            ""
        )
    )
)</f>
        <v/>
      </c>
      <c r="Q7" s="21" t="str">
        <f>IF(
    INDEX($K$5:$K$50, ROW(A3)) = "Algemeen",
        IFERROR(IF('Hulp (control forms)'!$C$11&lt;&gt;TRUE, '1a. Input organisatieniveau'!$I$24, INDEX(
            '1a. Input organisatieniveau'!$L$16:$N$16,
            MATCH(
                INDEX('2. Output kostprijs'!$A:$ZZ,
                    15,
                    4 + 2 * (INDEX($L$5:$L$50, ROW(A3)) - 1)
                ),
                '1a. Input organisatieniveau'!$L$6:$N$6,
                0
            )
        )),""),
    IF(
        INDEX($K$5:$K$50, ROW(A3)) = "Gezinshuis",
            "",
        IF(
            INDEX($K$5:$K$50, ROW(A3)) = "Pleegzorg",
                 "",
            ""
        )
    )
)</f>
        <v/>
      </c>
      <c r="R7" s="21" t="str">
        <f>IF(
    INDEX($K$5:$K$50, ROW(A3)) = "Algemeen",
        IFERROR(IF('Hulp (control forms)'!$C$12&lt;&gt;TRUE, '1a. Input organisatieniveau'!$I$29, INDEX(
            '1a. Input organisatieniveau'!$L$20:$N$20,
            MATCH(
                INDEX('2. Output kostprijs'!$A:$ZZ,
                    15,
                    4 + 2 * (INDEX($L$5:$L$50, ROW(A3)) - 1)
                ),
                '1a. Input organisatieniveau'!$L$6:$N$6,
                0
            )
        )),""),
    IF(
        INDEX($K$5:$K$50, ROW(A3)) = "Gezinshuis",
            "",
        IF(
            INDEX($K$5:$K$50, ROW(A3)) = "Pleegzorg",
                 "",
            ""
        )
    )
)</f>
        <v/>
      </c>
      <c r="S7" s="21" t="str">
        <f>IF(
    INDEX($K$5:$K$50, ROW(A3)) = "Algemeen",
        INDEX('2. Output kostprijs'!$A:$ZZ, 32,
            5 + 2 * (INDEX('Hulp (overig)'!$L$5:$L$50, ROW(A3)) - 1)
        ),
    IF(
        INDEX($K$5:$K$50, ROW(A3)) = "Gezinshuis",
            INDEX('3. Gezinshuis producten'!$A:$Y, 22,
            15 + 2 * (INDEX($L$5:$L$50, ROW(A3)) - 1)),
        IF(
            INDEX($K$5:$K$50, ROW(A3)) = "Pleegzorg",
                 INDEX('4. Pleegzorg producten'!$A:$Y, 24,
            13 + 3 * (INDEX($L$5:$L$50, ROW(A3)) - 1)) +
                 INDEX('4. Pleegzorg producten'!$A:$Y, 25,
            13 + 3 * (INDEX($L$5:$L$50, ROW(A3)) - 1)),
            ""
        )
    )
)</f>
        <v/>
      </c>
      <c r="T7" s="21" t="str">
        <f t="array" ref="T7">IF(
    INDEX($K$5:$K$50, ROW(A3)) = "Algemeen",
        IF(INDEX('2. Output kostprijs'!$A:$ZZ, 15,
            4 + 2 * (INDEX('Hulp (overig)'!$L$5:$L$50, ROW(A3)) - 1)
        )="Ambulant",
        INDEX('2. Output kostprijs'!$A:$ZZ, 47,
            4 + 2 * (INDEX('Hulp (overig)'!$L$5:$L$50, ROW(A3)) - 1)
        ), ""),
    IF(
        INDEX($K$5:$K$50, ROW(A3)) = "Gezinshuis",
            "",
        IF(
            INDEX($K$5:$K$50, ROW(A3)) = "Pleegzorg",
                 "",
            ""
        )
    )
)</f>
        <v/>
      </c>
      <c r="U7" s="21" t="str">
        <f>IF(
    INDEX($K$5:$K$50, ROW(A3)) = "Algemeen",
        IF(INDEX('2. Output kostprijs'!$A:$ZZ, 15,
            4 + 2 * (INDEX('Hulp (overig)'!$L$5:$L$50, ROW(A3)) - 1)
        )="Daghulp",
        INDEX('2. Output kostprijs'!$A:$ZZ, 47,
            4 + 2 * (INDEX('Hulp (overig)'!$L$5:$L$50, ROW(A3)) - 1)
        ), ""),
    IF(
        INDEX($K$5:$K$50, ROW(A3)) = "Gezinshuis",
            "",
        IF(
            INDEX($K$5:$K$50, ROW(A3)) = "Pleegzorg",
                 "",
            ""
        )
    )
)</f>
        <v/>
      </c>
      <c r="V7" s="21" t="str">
        <f>IF(
    INDEX($K$5:$K$50, ROW(A3)) = "Algemeen",
        IF(INDEX('2. Output kostprijs'!$A:$ZZ, 15,
            4 + 2 * (INDEX('Hulp (overig)'!$L$5:$L$50, ROW(A3)) - 1)
        )="Verblijf",
        INDEX('2. Output kostprijs'!$A:$ZZ, 47,
            4 + 2 * (INDEX('Hulp (overig)'!$L$5:$L$50, ROW(A3)) - 1)
        ), ""),
    IF(
        INDEX($K$5:$K$50, ROW(A3)) = "Gezinshuis",
            INDEX('3. Gezinshuis producten'!$A:$Y, 29,
            14 + 2 * (INDEX($L$5:$L$50, ROW(A3)) - 1)),
        IF(
            INDEX($K$5:$K$50, ROW(A3)) = "Pleegzorg",
                 INDEX('4. Pleegzorg producten'!$A:$Y, 26,
            13 + 3 * (INDEX($L$5:$L$50, ROW(A3)) - 1)),
            ""
        )
    )
)</f>
        <v/>
      </c>
      <c r="W7" s="21" t="str">
        <f>IF(
    INDEX($K$5:$K$50, ROW(A3)) = "Algemeen",
        IFERROR(IF('Hulp (control forms)'!$C$12&lt;&gt;TRUE, '1a. Input organisatieniveau'!$I$27, INDEX(
            '1a. Input organisatieniveau'!$L$18:$N$18,
            MATCH(
                INDEX('2. Output kostprijs'!$A:$ZZ,
                    15,
                    4 + 2 * (INDEX($L$5:$L$50, ROW(A3)) - 1)
                ),
                '1a. Input organisatieniveau'!$L$6:$N$6,
                0
            )
        )),""),
    IF(
        INDEX($K$5:$K$50, ROW(A3)) = "Gezinshuis",
            "",
        IF(
            INDEX($K$5:$K$50, ROW(A3)) = "Pleegzorg",
                 "",
            ""
        )
    )
)</f>
        <v/>
      </c>
      <c r="X7" s="21" t="str">
        <f>IF(
    INDEX($K$5:$K$50, ROW(A3)) = "Algemeen",
        IFERROR(IF('Hulp (control forms)'!$C$12&lt;&gt;TRUE, '1a. Input organisatieniveau'!$I$28, INDEX(
            '1a. Input organisatieniveau'!$L$19:$N$19,
            MATCH(
                INDEX('2. Output kostprijs'!$A:$ZZ,
                    15,
                    4 + 2 * (INDEX($L$5:$L$50, ROW(A3)) - 1)
                ),
                '1a. Input organisatieniveau'!$L$6:$N$6,
                0
            )
        )),""),
    IF(
        INDEX($K$5:$K$50, ROW(A3)) = "Gezinshuis",
            "",
        IF(
            INDEX($K$5:$K$50, ROW(A3)) = "Pleegzorg",
                 "",
            ""
        )
    )
)</f>
        <v/>
      </c>
    </row>
    <row r="8" spans="2:24" x14ac:dyDescent="0.45">
      <c r="B8" s="21" t="s">
        <v>955</v>
      </c>
      <c r="C8" s="351">
        <f>IF(
    INDEX(D8:H8, MATCH(Initialisatie!$C$5, D$4:H$4, 0))&lt;&gt;"",
    INDEX(D8:H8, MATCH(Initialisatie!$C$5, D$4:H$4, 0)),
    LOOKUP(2, 1/(D8:H8&lt;&gt;""), D8:H8)
)</f>
        <v>17283</v>
      </c>
      <c r="D8" s="349"/>
      <c r="E8" s="349">
        <v>16655</v>
      </c>
      <c r="F8" s="349">
        <v>17283</v>
      </c>
      <c r="G8" s="349"/>
      <c r="H8" s="349"/>
      <c r="J8" s="364" t="str">
        <f t="array" ref="J8">IFERROR(
  IF(
    ROW(A4) &lt;= SUMPRODUCT(--('Hulp (control forms)'!$G$13:$G$52)),
      IF(
        INDEX(Initialisatie!B$10:B$49,
          SMALL(
            IF('Hulp (control forms)'!$G$13:$G$52=TRUE,
               ROW(Initialisatie!B$10:B$49)-ROW(Initialisatie!B$10)+1),
            ROW(A4)
          )
        )="","",
        INDEX(Initialisatie!B$10:B$49,
          SMALL(
            IF('Hulp (control forms)'!$G$13:$G$52=TRUE,
               ROW(Initialisatie!B$10:B$49)-ROW(Initialisatie!B$10)+1),
            ROW(A4)
          )
        )
      ),
    IFERROR(
      INDEX(
        '3. Gezinshuis producten'!E$7:E$9,
        SMALL(
          IF('Hulp (control forms)'!$F$6:$F$8=TRUE,
             ROW('3. Gezinshuis producten'!E$7:E$9)-ROW('3. Gezinshuis producten'!E$7)+1),
          ROW(A4) - SUMPRODUCT(--('Hulp (control forms)'!$G$13:$G$52))
        )
      ),
      IF(
        ROW(A4)
         - SUMPRODUCT(--('Hulp (control forms)'!$G$13:$G$52))
         - SUMPRODUCT(--('Hulp (control forms)'!$F$6:$F$8)) = 1,
        IF('4. Pleegzorg producten'!$M$26&lt;&gt;"",
           "Voltijd",
           IF('4. Pleegzorg producten'!$P$26&lt;&gt;"","Deeltijd","")
        ),
        IF(
          ROW(A4)
           - SUMPRODUCT(--('Hulp (control forms)'!$G$13:$G$52))
           - SUMPRODUCT(--('Hulp (control forms)'!$F$6:$F$8)) = 2,
          IF( AND('4. Pleegzorg producten'!$M$26&lt;&gt;"", '4. Pleegzorg producten'!$P$26&lt;&gt;"" ),
             "Deeltijd",
             ""
          ),
          ""
        )
      )
    )
  ),
"")</f>
        <v/>
      </c>
      <c r="K8" s="364" t="str">
        <f>IF(
  ROW(A4) &lt;= SUMPRODUCT(--('Hulp (control forms)'!$G$13:$G$52)),
      "Algemeen",
  IF(
    ROW(A4) - SUMPRODUCT(--('Hulp (control forms)'!$G$13:$G$52))
      &lt;= SUMPRODUCT(--('Hulp (control forms)'!$F$6:$F$8)),
        "Gezinshuis",
    IF(
      (ROW(A4)
        - SUMPRODUCT(--('Hulp (control forms)'!$G$13:$G$52))
        - SUMPRODUCT(--('Hulp (control forms)'!$F$6:$F$8)))
        &lt;= SUMPRODUCT(--('4. Pleegzorg producten'!$M$26&lt;&gt;"") + --('4. Pleegzorg producten'!$P$26&lt;&gt;"")),
          "Pleegzorg",
          ""
    )
  )
)</f>
        <v/>
      </c>
      <c r="L8" s="21" t="str">
        <f t="array" ref="L8">IF(
  ROW(A4) &lt;= SUMPRODUCT(--('Hulp (control forms)'!$G$13:$G$52)),
      ROW(A4),
  IF(
    ROW(A4) - SUMPRODUCT(--('Hulp (control forms)'!$G$13:$G$52))
      &lt;= SUMPRODUCT(--('Hulp (control forms)'!$F$6:$F$8)),
        SMALL(
    IF('Hulp (control forms)'!$F$6:$F$8,
       ROW('Hulp (control forms)'!$F$6:$F$8)
    ),
    ROW(A4) - SUMPRODUCT(--('Hulp (control forms)'!$G$13:$G$52))
)-5,
    IF(
      (ROW(A4)
        - SUMPRODUCT(--('Hulp (control forms)'!$G$13:$G$52))
        - SUMPRODUCT(--('Hulp (control forms)'!$F$6:$F$8)))
        &lt;= SUMPRODUCT(--('4. Pleegzorg producten'!$M$26&lt;&gt;"") + --('4. Pleegzorg producten'!$P$26&lt;&gt;"")),
        ROW(A4)
        - SUMPRODUCT(--('Hulp (control forms)'!$G$13:$G$52))
        - SUMPRODUCT(--('Hulp (control forms)'!$F$6:$F$8)),
        ""
    )
  )
)</f>
        <v/>
      </c>
      <c r="M8" s="21" t="str">
        <f t="array" ref="M8">IF(
    INDEX($K$5:$K$50, ROW(A4)) = "Algemeen",
        IFERROR(IF('Hulp (control forms)'!$C$7&lt;&gt;TRUE, '1a. Input organisatieniveau'!$I$19, INDEX(
            '1a. Input organisatieniveau'!$L$11:$N$11,
            MATCH(
                INDEX('2. Output kostprijs'!$A:$ZZ,
                    15,
                    4 + 2 * (INDEX($L$5:$L$50, ROW(A4)) - 1)
                ),
                '1a. Input organisatieniveau'!$L$6:$N$6,
                0
            )
        )),""),
    IF(
        INDEX($K$5:$K$50, ROW(A4)) = "Gezinshuis",
            "",
        IF(
            INDEX($K$5:$K$50, ROW(A4)) = "Pleegzorg",
                 "",
            ""
        )
    )
)</f>
        <v/>
      </c>
      <c r="N8" s="21" t="str">
        <f t="array" ref="N8">IF(
    INDEX($K$5:$K$50, ROW(A4)) = "Algemeen",
        IFERROR(IF('Hulp (control forms)'!$C$8&lt;&gt;TRUE, '1a. Input organisatieniveau'!$I$20, INDEX(
            '1a. Input organisatieniveau'!$L$12:$N$12,
            MATCH(
                INDEX('2. Output kostprijs'!$A:$ZZ,
                    15,
                    4 + 2 * (INDEX($L$5:$L$50, ROW(A4)) - 1)
                ),
                '1a. Input organisatieniveau'!$L$6:$N$6,
                0
            )
        )),""),
    IF(
        INDEX($K$5:$K$50, ROW(A4)) = "Gezinshuis",
            INDEX('3. Gezinshuis producten'!$A:$Y, 31,
            9 + 1 * (INDEX($L$5:$L$50, ROW(A4)) - 1)),
        IF(
            INDEX($K$5:$K$50, ROW(A4)) = "Pleegzorg",
                 "",
            ""
        )
    )
)</f>
        <v/>
      </c>
      <c r="O8" s="21" t="str">
        <f t="array" ref="O8">IF(
    INDEX($K$5:$K$50, ROW(A4)) = "Algemeen",
        IFERROR(IF('Hulp (control forms)'!$C$9&lt;&gt;TRUE, '1a. Input organisatieniveau'!$I$21, INDEX(
            '1a. Input organisatieniveau'!$L$13:$N$13,
            MATCH(
                INDEX('2. Output kostprijs'!$A:$ZZ,
                    15,
                    4 + 2 * (INDEX($L$5:$L$50, ROW(A4)) - 1)
                ),
                '1a. Input organisatieniveau'!$L$6:$N$6,
                0
            )
        )),""),
    IF(
        INDEX($K$5:$K$50, ROW(A4)) = "Gezinshuis",
            "",
        IF(
            INDEX($K$5:$K$50, ROW(A4)) = "Pleegzorg",
                 "",
            ""
        )
    )
)</f>
        <v/>
      </c>
      <c r="P8" s="21" t="str">
        <f>IF(
    INDEX($K$5:$K$50, ROW(A4)) = "Algemeen",
        IFERROR(IF('Hulp (control forms)'!$C$10&lt;&gt;TRUE, '1a. Input organisatieniveau'!$I$23, INDEX(
            '1a. Input organisatieniveau'!$L$15:$N$15,
            MATCH(
                INDEX('2. Output kostprijs'!$A:$ZZ,
                    15,
                    4 + 2 * (INDEX($L$5:$L$50, ROW(A4)) - 1)
                ),
                '1a. Input organisatieniveau'!$L$6:$N$6,
                0
            )
        )),""),
    IF(
        INDEX($K$5:$K$50, ROW(A4)) = "Gezinshuis",
            "",
        IF(
            INDEX($K$5:$K$50, ROW(A4)) = "Pleegzorg",
                 "",
            ""
        )
    )
)</f>
        <v/>
      </c>
      <c r="Q8" s="21" t="str">
        <f>IF(
    INDEX($K$5:$K$50, ROW(A4)) = "Algemeen",
        IFERROR(IF('Hulp (control forms)'!$C$11&lt;&gt;TRUE, '1a. Input organisatieniveau'!$I$24, INDEX(
            '1a. Input organisatieniveau'!$L$16:$N$16,
            MATCH(
                INDEX('2. Output kostprijs'!$A:$ZZ,
                    15,
                    4 + 2 * (INDEX($L$5:$L$50, ROW(A4)) - 1)
                ),
                '1a. Input organisatieniveau'!$L$6:$N$6,
                0
            )
        )),""),
    IF(
        INDEX($K$5:$K$50, ROW(A4)) = "Gezinshuis",
            "",
        IF(
            INDEX($K$5:$K$50, ROW(A4)) = "Pleegzorg",
                 "",
            ""
        )
    )
)</f>
        <v/>
      </c>
      <c r="R8" s="21" t="str">
        <f>IF(
    INDEX($K$5:$K$50, ROW(A4)) = "Algemeen",
        IFERROR(IF('Hulp (control forms)'!$C$12&lt;&gt;TRUE, '1a. Input organisatieniveau'!$I$29, INDEX(
            '1a. Input organisatieniveau'!$L$20:$N$20,
            MATCH(
                INDEX('2. Output kostprijs'!$A:$ZZ,
                    15,
                    4 + 2 * (INDEX($L$5:$L$50, ROW(A4)) - 1)
                ),
                '1a. Input organisatieniveau'!$L$6:$N$6,
                0
            )
        )),""),
    IF(
        INDEX($K$5:$K$50, ROW(A4)) = "Gezinshuis",
            "",
        IF(
            INDEX($K$5:$K$50, ROW(A4)) = "Pleegzorg",
                 "",
            ""
        )
    )
)</f>
        <v/>
      </c>
      <c r="S8" s="21" t="str">
        <f t="array" ref="S8">IF(
    INDEX($K$5:$K$50, ROW(A4)) = "Algemeen",
        INDEX('2. Output kostprijs'!$A:$ZZ, 32,
            5 + 2 * (INDEX('Hulp (overig)'!$L$5:$L$50, ROW(A4)) - 1)
        ),
    IF(
        INDEX($K$5:$K$50, ROW(A4)) = "Gezinshuis",
            INDEX('3. Gezinshuis producten'!$A:$Y, 22,
            15 + 2 * (INDEX($L$5:$L$50, ROW(A4)) - 1)),
        IF(
            INDEX($K$5:$K$50, ROW(A4)) = "Pleegzorg",
                 INDEX('4. Pleegzorg producten'!$A:$Y, 24,
            13 + 3 * (INDEX($L$5:$L$50, ROW(A4)) - 1)) +
                 INDEX('4. Pleegzorg producten'!$A:$Y, 25,
            13 + 3 * (INDEX($L$5:$L$50, ROW(A4)) - 1)),
            ""
        )
    )
)</f>
        <v/>
      </c>
      <c r="T8" s="21" t="str">
        <f t="array" ref="T8">IF(
    INDEX($K$5:$K$50, ROW(A4)) = "Algemeen",
        IF(INDEX('2. Output kostprijs'!$A:$ZZ, 15,
            4 + 2 * (INDEX('Hulp (overig)'!$L$5:$L$50, ROW(A4)) - 1)
        )="Ambulant",
        INDEX('2. Output kostprijs'!$A:$ZZ, 47,
            4 + 2 * (INDEX('Hulp (overig)'!$L$5:$L$50, ROW(A4)) - 1)
        ), ""),
    IF(
        INDEX($K$5:$K$50, ROW(A4)) = "Gezinshuis",
            "",
        IF(
            INDEX($K$5:$K$50, ROW(A4)) = "Pleegzorg",
                 "",
            ""
        )
    )
)</f>
        <v/>
      </c>
      <c r="U8" s="21" t="str">
        <f>IF(
    INDEX($K$5:$K$50, ROW(A4)) = "Algemeen",
        IF(INDEX('2. Output kostprijs'!$A:$ZZ, 15,
            4 + 2 * (INDEX('Hulp (overig)'!$L$5:$L$50, ROW(A4)) - 1)
        )="Daghulp",
        INDEX('2. Output kostprijs'!$A:$ZZ, 47,
            4 + 2 * (INDEX('Hulp (overig)'!$L$5:$L$50, ROW(A4)) - 1)
        ), ""),
    IF(
        INDEX($K$5:$K$50, ROW(A4)) = "Gezinshuis",
            "",
        IF(
            INDEX($K$5:$K$50, ROW(A4)) = "Pleegzorg",
                 "",
            ""
        )
    )
)</f>
        <v/>
      </c>
      <c r="V8" s="21" t="str">
        <f>IF(
    INDEX($K$5:$K$50, ROW(A4)) = "Algemeen",
        IF(INDEX('2. Output kostprijs'!$A:$ZZ, 15,
            4 + 2 * (INDEX('Hulp (overig)'!$L$5:$L$50, ROW(A4)) - 1)
        )="Verblijf",
        INDEX('2. Output kostprijs'!$A:$ZZ, 47,
            4 + 2 * (INDEX('Hulp (overig)'!$L$5:$L$50, ROW(A4)) - 1)
        ), ""),
    IF(
        INDEX($K$5:$K$50, ROW(A4)) = "Gezinshuis",
            INDEX('3. Gezinshuis producten'!$A:$Y, 29,
            14 + 2 * (INDEX($L$5:$L$50, ROW(A4)) - 1)),
        IF(
            INDEX($K$5:$K$50, ROW(A4)) = "Pleegzorg",
                 INDEX('4. Pleegzorg producten'!$A:$Y, 26,
            13 + 3 * (INDEX($L$5:$L$50, ROW(A4)) - 1)),
            ""
        )
    )
)</f>
        <v/>
      </c>
      <c r="W8" s="21" t="str">
        <f>IF(
    INDEX($K$5:$K$50, ROW(A4)) = "Algemeen",
        IFERROR(IF('Hulp (control forms)'!$C$12&lt;&gt;TRUE, '1a. Input organisatieniveau'!$I$27, INDEX(
            '1a. Input organisatieniveau'!$L$18:$N$18,
            MATCH(
                INDEX('2. Output kostprijs'!$A:$ZZ,
                    15,
                    4 + 2 * (INDEX($L$5:$L$50, ROW(A4)) - 1)
                ),
                '1a. Input organisatieniveau'!$L$6:$N$6,
                0
            )
        )),""),
    IF(
        INDEX($K$5:$K$50, ROW(A4)) = "Gezinshuis",
            "",
        IF(
            INDEX($K$5:$K$50, ROW(A4)) = "Pleegzorg",
                 "",
            ""
        )
    )
)</f>
        <v/>
      </c>
      <c r="X8" s="21" t="str">
        <f>IF(
    INDEX($K$5:$K$50, ROW(A4)) = "Algemeen",
        IFERROR(IF('Hulp (control forms)'!$C$12&lt;&gt;TRUE, '1a. Input organisatieniveau'!$I$28, INDEX(
            '1a. Input organisatieniveau'!$L$19:$N$19,
            MATCH(
                INDEX('2. Output kostprijs'!$A:$ZZ,
                    15,
                    4 + 2 * (INDEX($L$5:$L$50, ROW(A4)) - 1)
                ),
                '1a. Input organisatieniveau'!$L$6:$N$6,
                0
            )
        )),""),
    IF(
        INDEX($K$5:$K$50, ROW(A4)) = "Gezinshuis",
            "",
        IF(
            INDEX($K$5:$K$50, ROW(A4)) = "Pleegzorg",
                 "",
            ""
        )
    )
)</f>
        <v/>
      </c>
    </row>
    <row r="9" spans="2:24" x14ac:dyDescent="0.45">
      <c r="B9" s="21" t="s">
        <v>956</v>
      </c>
      <c r="C9" s="351">
        <f>IF(
    INDEX(D9:H9, MATCH(Initialisatie!$C$5, D$4:H$4, 0))&lt;&gt;"",
    INDEX(D9:H9, MATCH(Initialisatie!$C$5, D$4:H$4, 0)),
    LOOKUP(2, 1/(D9:H9&lt;&gt;""), D9:H9)
)</f>
        <v>28405</v>
      </c>
      <c r="D9" s="349"/>
      <c r="E9" s="349">
        <v>28405</v>
      </c>
      <c r="F9" s="349"/>
      <c r="G9" s="349"/>
      <c r="H9" s="349"/>
      <c r="J9" s="364" t="str">
        <f t="array" ref="J9">IFERROR(
  IF(
    ROW(A5) &lt;= SUMPRODUCT(--('Hulp (control forms)'!$G$13:$G$52)),
      IF(
        INDEX(Initialisatie!B$10:B$49,
          SMALL(
            IF('Hulp (control forms)'!$G$13:$G$52=TRUE,
               ROW(Initialisatie!B$10:B$49)-ROW(Initialisatie!B$10)+1),
            ROW(A5)
          )
        )="","",
        INDEX(Initialisatie!B$10:B$49,
          SMALL(
            IF('Hulp (control forms)'!$G$13:$G$52=TRUE,
               ROW(Initialisatie!B$10:B$49)-ROW(Initialisatie!B$10)+1),
            ROW(A5)
          )
        )
      ),
    IFERROR(
      INDEX(
        '3. Gezinshuis producten'!E$7:E$9,
        SMALL(
          IF('Hulp (control forms)'!$F$6:$F$8=TRUE,
             ROW('3. Gezinshuis producten'!E$7:E$9)-ROW('3. Gezinshuis producten'!E$7)+1),
          ROW(A5) - SUMPRODUCT(--('Hulp (control forms)'!$G$13:$G$52))
        )
      ),
      IF(
        ROW(A5)
         - SUMPRODUCT(--('Hulp (control forms)'!$G$13:$G$52))
         - SUMPRODUCT(--('Hulp (control forms)'!$F$6:$F$8)) = 1,
        IF('4. Pleegzorg producten'!$M$26&lt;&gt;"",
           "Voltijd",
           IF('4. Pleegzorg producten'!$P$26&lt;&gt;"","Deeltijd","")
        ),
        IF(
          ROW(A5)
           - SUMPRODUCT(--('Hulp (control forms)'!$G$13:$G$52))
           - SUMPRODUCT(--('Hulp (control forms)'!$F$6:$F$8)) = 2,
          IF( AND('4. Pleegzorg producten'!$M$26&lt;&gt;"", '4. Pleegzorg producten'!$P$26&lt;&gt;"" ),
             "Deeltijd",
             ""
          ),
          ""
        )
      )
    )
  ),
"")</f>
        <v/>
      </c>
      <c r="K9" s="364" t="str">
        <f>IF(
  ROW(A5) &lt;= SUMPRODUCT(--('Hulp (control forms)'!$G$13:$G$52)),
      "Algemeen",
  IF(
    ROW(A5) - SUMPRODUCT(--('Hulp (control forms)'!$G$13:$G$52))
      &lt;= SUMPRODUCT(--('Hulp (control forms)'!$F$6:$F$8)),
        "Gezinshuis",
    IF(
      (ROW(A5)
        - SUMPRODUCT(--('Hulp (control forms)'!$G$13:$G$52))
        - SUMPRODUCT(--('Hulp (control forms)'!$F$6:$F$8)))
        &lt;= SUMPRODUCT(--('4. Pleegzorg producten'!$M$26&lt;&gt;"") + --('4. Pleegzorg producten'!$P$26&lt;&gt;"")),
          "Pleegzorg",
          ""
    )
  )
)</f>
        <v/>
      </c>
      <c r="L9" s="21" t="str">
        <f t="array" ref="L9">IF(
  ROW(A5) &lt;= SUMPRODUCT(--('Hulp (control forms)'!$G$13:$G$52)),
      ROW(A5),
  IF(
    ROW(A5) - SUMPRODUCT(--('Hulp (control forms)'!$G$13:$G$52))
      &lt;= SUMPRODUCT(--('Hulp (control forms)'!$F$6:$F$8)),
        SMALL(
    IF('Hulp (control forms)'!$F$6:$F$8,
       ROW('Hulp (control forms)'!$F$6:$F$8)
    ),
    ROW(A5) - SUMPRODUCT(--('Hulp (control forms)'!$G$13:$G$52))
)-5,
    IF(
      (ROW(A5)
        - SUMPRODUCT(--('Hulp (control forms)'!$G$13:$G$52))
        - SUMPRODUCT(--('Hulp (control forms)'!$F$6:$F$8)))
        &lt;= SUMPRODUCT(--('4. Pleegzorg producten'!$M$26&lt;&gt;"") + --('4. Pleegzorg producten'!$P$26&lt;&gt;"")),
        ROW(A5)
        - SUMPRODUCT(--('Hulp (control forms)'!$G$13:$G$52))
        - SUMPRODUCT(--('Hulp (control forms)'!$F$6:$F$8)),
        ""
    )
  )
)</f>
        <v/>
      </c>
      <c r="M9" s="21" t="str">
        <f t="array" ref="M9">IF(
    INDEX($K$5:$K$50, ROW(A5)) = "Algemeen",
        IFERROR(IF('Hulp (control forms)'!$C$7&lt;&gt;TRUE, '1a. Input organisatieniveau'!$I$19, INDEX(
            '1a. Input organisatieniveau'!$L$11:$N$11,
            MATCH(
                INDEX('2. Output kostprijs'!$A:$ZZ,
                    15,
                    4 + 2 * (INDEX($L$5:$L$50, ROW(A5)) - 1)
                ),
                '1a. Input organisatieniveau'!$L$6:$N$6,
                0
            )
        )),""),
    IF(
        INDEX($K$5:$K$50, ROW(A5)) = "Gezinshuis",
            "",
        IF(
            INDEX($K$5:$K$50, ROW(A5)) = "Pleegzorg",
                 "",
            ""
        )
    )
)</f>
        <v/>
      </c>
      <c r="N9" s="21" t="str">
        <f t="array" ref="N9">IF(
    INDEX($K$5:$K$50, ROW(A5)) = "Algemeen",
        IFERROR(IF('Hulp (control forms)'!$C$8&lt;&gt;TRUE, '1a. Input organisatieniveau'!$I$20, INDEX(
            '1a. Input organisatieniveau'!$L$12:$N$12,
            MATCH(
                INDEX('2. Output kostprijs'!$A:$ZZ,
                    15,
                    4 + 2 * (INDEX($L$5:$L$50, ROW(A5)) - 1)
                ),
                '1a. Input organisatieniveau'!$L$6:$N$6,
                0
            )
        )),""),
    IF(
        INDEX($K$5:$K$50, ROW(A5)) = "Gezinshuis",
            INDEX('3. Gezinshuis producten'!$A:$Y, 31,
            9 + 1 * (INDEX($L$5:$L$50, ROW(A5)) - 1)),
        IF(
            INDEX($K$5:$K$50, ROW(A5)) = "Pleegzorg",
                 "",
            ""
        )
    )
)</f>
        <v/>
      </c>
      <c r="O9" s="21" t="str">
        <f t="array" ref="O9">IF(
    INDEX($K$5:$K$50, ROW(A5)) = "Algemeen",
        IFERROR(IF('Hulp (control forms)'!$C$9&lt;&gt;TRUE, '1a. Input organisatieniveau'!$I$21, INDEX(
            '1a. Input organisatieniveau'!$L$13:$N$13,
            MATCH(
                INDEX('2. Output kostprijs'!$A:$ZZ,
                    15,
                    4 + 2 * (INDEX($L$5:$L$50, ROW(A5)) - 1)
                ),
                '1a. Input organisatieniveau'!$L$6:$N$6,
                0
            )
        )),""),
    IF(
        INDEX($K$5:$K$50, ROW(A5)) = "Gezinshuis",
            "",
        IF(
            INDEX($K$5:$K$50, ROW(A5)) = "Pleegzorg",
                 "",
            ""
        )
    )
)</f>
        <v/>
      </c>
      <c r="P9" s="21" t="str">
        <f>IF(
    INDEX($K$5:$K$50, ROW(A5)) = "Algemeen",
        IFERROR(IF('Hulp (control forms)'!$C$10&lt;&gt;TRUE, '1a. Input organisatieniveau'!$I$23, INDEX(
            '1a. Input organisatieniveau'!$L$15:$N$15,
            MATCH(
                INDEX('2. Output kostprijs'!$A:$ZZ,
                    15,
                    4 + 2 * (INDEX($L$5:$L$50, ROW(A5)) - 1)
                ),
                '1a. Input organisatieniveau'!$L$6:$N$6,
                0
            )
        )),""),
    IF(
        INDEX($K$5:$K$50, ROW(A5)) = "Gezinshuis",
            "",
        IF(
            INDEX($K$5:$K$50, ROW(A5)) = "Pleegzorg",
                 "",
            ""
        )
    )
)</f>
        <v/>
      </c>
      <c r="Q9" s="21" t="str">
        <f>IF(
    INDEX($K$5:$K$50, ROW(A5)) = "Algemeen",
        IFERROR(IF('Hulp (control forms)'!$C$11&lt;&gt;TRUE, '1a. Input organisatieniveau'!$I$24, INDEX(
            '1a. Input organisatieniveau'!$L$16:$N$16,
            MATCH(
                INDEX('2. Output kostprijs'!$A:$ZZ,
                    15,
                    4 + 2 * (INDEX($L$5:$L$50, ROW(A5)) - 1)
                ),
                '1a. Input organisatieniveau'!$L$6:$N$6,
                0
            )
        )),""),
    IF(
        INDEX($K$5:$K$50, ROW(A5)) = "Gezinshuis",
            "",
        IF(
            INDEX($K$5:$K$50, ROW(A5)) = "Pleegzorg",
                 "",
            ""
        )
    )
)</f>
        <v/>
      </c>
      <c r="R9" s="21" t="str">
        <f>IF(
    INDEX($K$5:$K$50, ROW(A5)) = "Algemeen",
        IFERROR(IF('Hulp (control forms)'!$C$12&lt;&gt;TRUE, '1a. Input organisatieniveau'!$I$29, INDEX(
            '1a. Input organisatieniveau'!$L$20:$N$20,
            MATCH(
                INDEX('2. Output kostprijs'!$A:$ZZ,
                    15,
                    4 + 2 * (INDEX($L$5:$L$50, ROW(A5)) - 1)
                ),
                '1a. Input organisatieniveau'!$L$6:$N$6,
                0
            )
        )),""),
    IF(
        INDEX($K$5:$K$50, ROW(A5)) = "Gezinshuis",
            "",
        IF(
            INDEX($K$5:$K$50, ROW(A5)) = "Pleegzorg",
                 "",
            ""
        )
    )
)</f>
        <v/>
      </c>
      <c r="S9" s="21" t="str">
        <f>IF(
    INDEX($K$5:$K$50, ROW(A5)) = "Algemeen",
        INDEX('2. Output kostprijs'!$A:$ZZ, 32,
            5 + 2 * (INDEX('Hulp (overig)'!$L$5:$L$50, ROW(A5)) - 1)
        ),
    IF(
        INDEX($K$5:$K$50, ROW(A5)) = "Gezinshuis",
            INDEX('3. Gezinshuis producten'!$A:$Y, 22,
            15 + 2 * (INDEX($L$5:$L$50, ROW(A5)) - 1)),
        IF(
            INDEX($K$5:$K$50, ROW(A5)) = "Pleegzorg",
                 INDEX('4. Pleegzorg producten'!$A:$Y, 24,
            13 + 3 * (INDEX($L$5:$L$50, ROW(A5)) - 1)) +
                 INDEX('4. Pleegzorg producten'!$A:$Y, 25,
            13 + 3 * (INDEX($L$5:$L$50, ROW(A5)) - 1)),
            ""
        )
    )
)</f>
        <v/>
      </c>
      <c r="T9" s="21" t="str">
        <f t="array" ref="T9">IF(
    INDEX($K$5:$K$50, ROW(A5)) = "Algemeen",
        IF(INDEX('2. Output kostprijs'!$A:$ZZ, 15,
            4 + 2 * (INDEX('Hulp (overig)'!$L$5:$L$50, ROW(A5)) - 1)
        )="Ambulant",
        INDEX('2. Output kostprijs'!$A:$ZZ, 47,
            4 + 2 * (INDEX('Hulp (overig)'!$L$5:$L$50, ROW(A5)) - 1)
        ), ""),
    IF(
        INDEX($K$5:$K$50, ROW(A5)) = "Gezinshuis",
            "",
        IF(
            INDEX($K$5:$K$50, ROW(A5)) = "Pleegzorg",
                 "",
            ""
        )
    )
)</f>
        <v/>
      </c>
      <c r="U9" s="21" t="str">
        <f>IF(
    INDEX($K$5:$K$50, ROW(A5)) = "Algemeen",
        IF(INDEX('2. Output kostprijs'!$A:$ZZ, 15,
            4 + 2 * (INDEX('Hulp (overig)'!$L$5:$L$50, ROW(A5)) - 1)
        )="Daghulp",
        INDEX('2. Output kostprijs'!$A:$ZZ, 47,
            4 + 2 * (INDEX('Hulp (overig)'!$L$5:$L$50, ROW(A5)) - 1)
        ), ""),
    IF(
        INDEX($K$5:$K$50, ROW(A5)) = "Gezinshuis",
            "",
        IF(
            INDEX($K$5:$K$50, ROW(A5)) = "Pleegzorg",
                 "",
            ""
        )
    )
)</f>
        <v/>
      </c>
      <c r="V9" s="21" t="str">
        <f>IF(
    INDEX($K$5:$K$50, ROW(A5)) = "Algemeen",
        IF(INDEX('2. Output kostprijs'!$A:$ZZ, 15,
            4 + 2 * (INDEX('Hulp (overig)'!$L$5:$L$50, ROW(A5)) - 1)
        )="Verblijf",
        INDEX('2. Output kostprijs'!$A:$ZZ, 47,
            4 + 2 * (INDEX('Hulp (overig)'!$L$5:$L$50, ROW(A5)) - 1)
        ), ""),
    IF(
        INDEX($K$5:$K$50, ROW(A5)) = "Gezinshuis",
            INDEX('3. Gezinshuis producten'!$A:$Y, 29,
            14 + 2 * (INDEX($L$5:$L$50, ROW(A5)) - 1)),
        IF(
            INDEX($K$5:$K$50, ROW(A5)) = "Pleegzorg",
                 INDEX('4. Pleegzorg producten'!$A:$Y, 26,
            13 + 3 * (INDEX($L$5:$L$50, ROW(A5)) - 1)),
            ""
        )
    )
)</f>
        <v/>
      </c>
      <c r="W9" s="21" t="str">
        <f>IF(
    INDEX($K$5:$K$50, ROW(A5)) = "Algemeen",
        IFERROR(IF('Hulp (control forms)'!$C$12&lt;&gt;TRUE, '1a. Input organisatieniveau'!$I$27, INDEX(
            '1a. Input organisatieniveau'!$L$18:$N$18,
            MATCH(
                INDEX('2. Output kostprijs'!$A:$ZZ,
                    15,
                    4 + 2 * (INDEX($L$5:$L$50, ROW(A5)) - 1)
                ),
                '1a. Input organisatieniveau'!$L$6:$N$6,
                0
            )
        )),""),
    IF(
        INDEX($K$5:$K$50, ROW(A5)) = "Gezinshuis",
            "",
        IF(
            INDEX($K$5:$K$50, ROW(A5)) = "Pleegzorg",
                 "",
            ""
        )
    )
)</f>
        <v/>
      </c>
      <c r="X9" s="21" t="str">
        <f>IF(
    INDEX($K$5:$K$50, ROW(A5)) = "Algemeen",
        IFERROR(IF('Hulp (control forms)'!$C$12&lt;&gt;TRUE, '1a. Input organisatieniveau'!$I$28, INDEX(
            '1a. Input organisatieniveau'!$L$19:$N$19,
            MATCH(
                INDEX('2. Output kostprijs'!$A:$ZZ,
                    15,
                    4 + 2 * (INDEX($L$5:$L$50, ROW(A5)) - 1)
                ),
                '1a. Input organisatieniveau'!$L$6:$N$6,
                0
            )
        )),""),
    IF(
        INDEX($K$5:$K$50, ROW(A5)) = "Gezinshuis",
            "",
        IF(
            INDEX($K$5:$K$50, ROW(A5)) = "Pleegzorg",
                 "",
            ""
        )
    )
)</f>
        <v/>
      </c>
    </row>
    <row r="10" spans="2:24" x14ac:dyDescent="0.45">
      <c r="B10" s="21" t="s">
        <v>1070</v>
      </c>
      <c r="C10" s="350">
        <f>IF(
    INDEX(D10:H10, MATCH(Initialisatie!$C$5, D$4:H$4, 0))&lt;&gt;"",
    INDEX(D10:H10, MATCH(Initialisatie!$C$5, D$4:H$4, 0))+0.005,
    LOOKUP(2, 1/(D10:H10&lt;&gt;""), D10:H10)+0.005
)</f>
        <v>6.770000000000001E-2</v>
      </c>
      <c r="D10" s="350"/>
      <c r="E10" s="350">
        <v>6.2799999999999995E-2</v>
      </c>
      <c r="F10" s="350">
        <v>6.2700000000000006E-2</v>
      </c>
      <c r="G10" s="350"/>
      <c r="H10" s="350"/>
      <c r="J10" s="364" t="str">
        <f t="array" ref="J10">IFERROR(
  IF(
    ROW(A6) &lt;= SUMPRODUCT(--('Hulp (control forms)'!$G$13:$G$52)),
      IF(
        INDEX(Initialisatie!B$10:B$49,
          SMALL(
            IF('Hulp (control forms)'!$G$13:$G$52=TRUE,
               ROW(Initialisatie!B$10:B$49)-ROW(Initialisatie!B$10)+1),
            ROW(A6)
          )
        )="","",
        INDEX(Initialisatie!B$10:B$49,
          SMALL(
            IF('Hulp (control forms)'!$G$13:$G$52=TRUE,
               ROW(Initialisatie!B$10:B$49)-ROW(Initialisatie!B$10)+1),
            ROW(A6)
          )
        )
      ),
    IFERROR(
      INDEX(
        '3. Gezinshuis producten'!E$7:E$9,
        SMALL(
          IF('Hulp (control forms)'!$F$6:$F$8=TRUE,
             ROW('3. Gezinshuis producten'!E$7:E$9)-ROW('3. Gezinshuis producten'!E$7)+1),
          ROW(A6) - SUMPRODUCT(--('Hulp (control forms)'!$G$13:$G$52))
        )
      ),
      IF(
        ROW(A6)
         - SUMPRODUCT(--('Hulp (control forms)'!$G$13:$G$52))
         - SUMPRODUCT(--('Hulp (control forms)'!$F$6:$F$8)) = 1,
        IF('4. Pleegzorg producten'!$M$26&lt;&gt;"",
           "Voltijd",
           IF('4. Pleegzorg producten'!$P$26&lt;&gt;"","Deeltijd","")
        ),
        IF(
          ROW(A6)
           - SUMPRODUCT(--('Hulp (control forms)'!$G$13:$G$52))
           - SUMPRODUCT(--('Hulp (control forms)'!$F$6:$F$8)) = 2,
          IF( AND('4. Pleegzorg producten'!$M$26&lt;&gt;"", '4. Pleegzorg producten'!$P$26&lt;&gt;"" ),
             "Deeltijd",
             ""
          ),
          ""
        )
      )
    )
  ),
"")</f>
        <v/>
      </c>
      <c r="K10" s="364" t="str">
        <f>IF(
  ROW(A6) &lt;= SUMPRODUCT(--('Hulp (control forms)'!$G$13:$G$52)),
      "Algemeen",
  IF(
    ROW(A6) - SUMPRODUCT(--('Hulp (control forms)'!$G$13:$G$52))
      &lt;= SUMPRODUCT(--('Hulp (control forms)'!$F$6:$F$8)),
        "Gezinshuis",
    IF(
      (ROW(A6)
        - SUMPRODUCT(--('Hulp (control forms)'!$G$13:$G$52))
        - SUMPRODUCT(--('Hulp (control forms)'!$F$6:$F$8)))
        &lt;= SUMPRODUCT(--('4. Pleegzorg producten'!$M$26&lt;&gt;"") + --('4. Pleegzorg producten'!$P$26&lt;&gt;"")),
          "Pleegzorg",
          ""
    )
  )
)</f>
        <v/>
      </c>
      <c r="L10" s="21" t="str">
        <f t="array" ref="L10">IF(
  ROW(A6) &lt;= SUMPRODUCT(--('Hulp (control forms)'!$G$13:$G$52)),
      ROW(A6),
  IF(
    ROW(A6) - SUMPRODUCT(--('Hulp (control forms)'!$G$13:$G$52))
      &lt;= SUMPRODUCT(--('Hulp (control forms)'!$F$6:$F$8)),
        SMALL(
    IF('Hulp (control forms)'!$F$6:$F$8,
       ROW('Hulp (control forms)'!$F$6:$F$8)
    ),
    ROW(A6) - SUMPRODUCT(--('Hulp (control forms)'!$G$13:$G$52))
)-5,
    IF(
      (ROW(A6)
        - SUMPRODUCT(--('Hulp (control forms)'!$G$13:$G$52))
        - SUMPRODUCT(--('Hulp (control forms)'!$F$6:$F$8)))
        &lt;= SUMPRODUCT(--('4. Pleegzorg producten'!$M$26&lt;&gt;"") + --('4. Pleegzorg producten'!$P$26&lt;&gt;"")),
        ROW(A6)
        - SUMPRODUCT(--('Hulp (control forms)'!$G$13:$G$52))
        - SUMPRODUCT(--('Hulp (control forms)'!$F$6:$F$8)),
        ""
    )
  )
)</f>
        <v/>
      </c>
      <c r="M10" s="21" t="str">
        <f t="array" ref="M10">IF(
    INDEX($K$5:$K$50, ROW(A6)) = "Algemeen",
        IFERROR(IF('Hulp (control forms)'!$C$7&lt;&gt;TRUE, '1a. Input organisatieniveau'!$I$19, INDEX(
            '1a. Input organisatieniveau'!$L$11:$N$11,
            MATCH(
                INDEX('2. Output kostprijs'!$A:$ZZ,
                    15,
                    4 + 2 * (INDEX($L$5:$L$50, ROW(A6)) - 1)
                ),
                '1a. Input organisatieniveau'!$L$6:$N$6,
                0
            )
        )),""),
    IF(
        INDEX($K$5:$K$50, ROW(A6)) = "Gezinshuis",
            "",
        IF(
            INDEX($K$5:$K$50, ROW(A6)) = "Pleegzorg",
                 "",
            ""
        )
    )
)</f>
        <v/>
      </c>
      <c r="N10" s="21" t="str">
        <f t="array" ref="N10">IF(
    INDEX($K$5:$K$50, ROW(A6)) = "Algemeen",
        IFERROR(IF('Hulp (control forms)'!$C$8&lt;&gt;TRUE, '1a. Input organisatieniveau'!$I$20, INDEX(
            '1a. Input organisatieniveau'!$L$12:$N$12,
            MATCH(
                INDEX('2. Output kostprijs'!$A:$ZZ,
                    15,
                    4 + 2 * (INDEX($L$5:$L$50, ROW(A6)) - 1)
                ),
                '1a. Input organisatieniveau'!$L$6:$N$6,
                0
            )
        )),""),
    IF(
        INDEX($K$5:$K$50, ROW(A6)) = "Gezinshuis",
            INDEX('3. Gezinshuis producten'!$A:$Y, 31,
            9 + 1 * (INDEX($L$5:$L$50, ROW(A6)) - 1)),
        IF(
            INDEX($K$5:$K$50, ROW(A6)) = "Pleegzorg",
                 "",
            ""
        )
    )
)</f>
        <v/>
      </c>
      <c r="O10" s="21" t="str">
        <f t="array" ref="O10">IF(
    INDEX($K$5:$K$50, ROW(A6)) = "Algemeen",
        IFERROR(IF('Hulp (control forms)'!$C$9&lt;&gt;TRUE, '1a. Input organisatieniveau'!$I$21, INDEX(
            '1a. Input organisatieniveau'!$L$13:$N$13,
            MATCH(
                INDEX('2. Output kostprijs'!$A:$ZZ,
                    15,
                    4 + 2 * (INDEX($L$5:$L$50, ROW(A6)) - 1)
                ),
                '1a. Input organisatieniveau'!$L$6:$N$6,
                0
            )
        )),""),
    IF(
        INDEX($K$5:$K$50, ROW(A6)) = "Gezinshuis",
            "",
        IF(
            INDEX($K$5:$K$50, ROW(A6)) = "Pleegzorg",
                 "",
            ""
        )
    )
)</f>
        <v/>
      </c>
      <c r="P10" s="21" t="str">
        <f>IF(
    INDEX($K$5:$K$50, ROW(A6)) = "Algemeen",
        IFERROR(IF('Hulp (control forms)'!$C$10&lt;&gt;TRUE, '1a. Input organisatieniveau'!$I$23, INDEX(
            '1a. Input organisatieniveau'!$L$15:$N$15,
            MATCH(
                INDEX('2. Output kostprijs'!$A:$ZZ,
                    15,
                    4 + 2 * (INDEX($L$5:$L$50, ROW(A6)) - 1)
                ),
                '1a. Input organisatieniveau'!$L$6:$N$6,
                0
            )
        )),""),
    IF(
        INDEX($K$5:$K$50, ROW(A6)) = "Gezinshuis",
            "",
        IF(
            INDEX($K$5:$K$50, ROW(A6)) = "Pleegzorg",
                 "",
            ""
        )
    )
)</f>
        <v/>
      </c>
      <c r="Q10" s="21" t="str">
        <f>IF(
    INDEX($K$5:$K$50, ROW(A6)) = "Algemeen",
        IFERROR(IF('Hulp (control forms)'!$C$11&lt;&gt;TRUE, '1a. Input organisatieniveau'!$I$24, INDEX(
            '1a. Input organisatieniveau'!$L$16:$N$16,
            MATCH(
                INDEX('2. Output kostprijs'!$A:$ZZ,
                    15,
                    4 + 2 * (INDEX($L$5:$L$50, ROW(A6)) - 1)
                ),
                '1a. Input organisatieniveau'!$L$6:$N$6,
                0
            )
        )),""),
    IF(
        INDEX($K$5:$K$50, ROW(A6)) = "Gezinshuis",
            "",
        IF(
            INDEX($K$5:$K$50, ROW(A6)) = "Pleegzorg",
                 "",
            ""
        )
    )
)</f>
        <v/>
      </c>
      <c r="R10" s="21" t="str">
        <f>IF(
    INDEX($K$5:$K$50, ROW(A6)) = "Algemeen",
        IFERROR(IF('Hulp (control forms)'!$C$12&lt;&gt;TRUE, '1a. Input organisatieniveau'!$I$29, INDEX(
            '1a. Input organisatieniveau'!$L$20:$N$20,
            MATCH(
                INDEX('2. Output kostprijs'!$A:$ZZ,
                    15,
                    4 + 2 * (INDEX($L$5:$L$50, ROW(A6)) - 1)
                ),
                '1a. Input organisatieniveau'!$L$6:$N$6,
                0
            )
        )),""),
    IF(
        INDEX($K$5:$K$50, ROW(A6)) = "Gezinshuis",
            "",
        IF(
            INDEX($K$5:$K$50, ROW(A6)) = "Pleegzorg",
                 "",
            ""
        )
    )
)</f>
        <v/>
      </c>
      <c r="S10" s="21" t="str">
        <f>IF(
    INDEX($K$5:$K$50, ROW(A6)) = "Algemeen",
        INDEX('2. Output kostprijs'!$A:$ZZ, 32,
            5 + 2 * (INDEX('Hulp (overig)'!$L$5:$L$50, ROW(A6)) - 1)
        ),
    IF(
        INDEX($K$5:$K$50, ROW(A6)) = "Gezinshuis",
            INDEX('3. Gezinshuis producten'!$A:$Y, 22,
            15 + 2 * (INDEX($L$5:$L$50, ROW(A6)) - 1)),
        IF(
            INDEX($K$5:$K$50, ROW(A6)) = "Pleegzorg",
                 INDEX('4. Pleegzorg producten'!$A:$Y, 24,
            13 + 3 * (INDEX($L$5:$L$50, ROW(A6)) - 1)) +
                 INDEX('4. Pleegzorg producten'!$A:$Y, 25,
            13 + 3 * (INDEX($L$5:$L$50, ROW(A6)) - 1)),
            ""
        )
    )
)</f>
        <v/>
      </c>
      <c r="T10" s="21" t="str">
        <f t="array" ref="T10">IF(
    INDEX($K$5:$K$50, ROW(A6)) = "Algemeen",
        IF(INDEX('2. Output kostprijs'!$A:$ZZ, 15,
            4 + 2 * (INDEX('Hulp (overig)'!$L$5:$L$50, ROW(A6)) - 1)
        )="Ambulant",
        INDEX('2. Output kostprijs'!$A:$ZZ, 47,
            4 + 2 * (INDEX('Hulp (overig)'!$L$5:$L$50, ROW(A6)) - 1)
        ), ""),
    IF(
        INDEX($K$5:$K$50, ROW(A6)) = "Gezinshuis",
            "",
        IF(
            INDEX($K$5:$K$50, ROW(A6)) = "Pleegzorg",
                 "",
            ""
        )
    )
)</f>
        <v/>
      </c>
      <c r="U10" s="21" t="str">
        <f>IF(
    INDEX($K$5:$K$50, ROW(A6)) = "Algemeen",
        IF(INDEX('2. Output kostprijs'!$A:$ZZ, 15,
            4 + 2 * (INDEX('Hulp (overig)'!$L$5:$L$50, ROW(A6)) - 1)
        )="Daghulp",
        INDEX('2. Output kostprijs'!$A:$ZZ, 47,
            4 + 2 * (INDEX('Hulp (overig)'!$L$5:$L$50, ROW(A6)) - 1)
        ), ""),
    IF(
        INDEX($K$5:$K$50, ROW(A6)) = "Gezinshuis",
            "",
        IF(
            INDEX($K$5:$K$50, ROW(A6)) = "Pleegzorg",
                 "",
            ""
        )
    )
)</f>
        <v/>
      </c>
      <c r="V10" s="21" t="str">
        <f>IF(
    INDEX($K$5:$K$50, ROW(A6)) = "Algemeen",
        IF(INDEX('2. Output kostprijs'!$A:$ZZ, 15,
            4 + 2 * (INDEX('Hulp (overig)'!$L$5:$L$50, ROW(A6)) - 1)
        )="Verblijf",
        INDEX('2. Output kostprijs'!$A:$ZZ, 47,
            4 + 2 * (INDEX('Hulp (overig)'!$L$5:$L$50, ROW(A6)) - 1)
        ), ""),
    IF(
        INDEX($K$5:$K$50, ROW(A6)) = "Gezinshuis",
            INDEX('3. Gezinshuis producten'!$A:$Y, 29,
            14 + 2 * (INDEX($L$5:$L$50, ROW(A6)) - 1)),
        IF(
            INDEX($K$5:$K$50, ROW(A6)) = "Pleegzorg",
                 INDEX('4. Pleegzorg producten'!$A:$Y, 26,
            13 + 3 * (INDEX($L$5:$L$50, ROW(A6)) - 1)),
            ""
        )
    )
)</f>
        <v/>
      </c>
      <c r="W10" s="21" t="str">
        <f>IF(
    INDEX($K$5:$K$50, ROW(A6)) = "Algemeen",
        IFERROR(IF('Hulp (control forms)'!$C$12&lt;&gt;TRUE, '1a. Input organisatieniveau'!$I$27, INDEX(
            '1a. Input organisatieniveau'!$L$18:$N$18,
            MATCH(
                INDEX('2. Output kostprijs'!$A:$ZZ,
                    15,
                    4 + 2 * (INDEX($L$5:$L$50, ROW(A6)) - 1)
                ),
                '1a. Input organisatieniveau'!$L$6:$N$6,
                0
            )
        )),""),
    IF(
        INDEX($K$5:$K$50, ROW(A6)) = "Gezinshuis",
            "",
        IF(
            INDEX($K$5:$K$50, ROW(A6)) = "Pleegzorg",
                 "",
            ""
        )
    )
)</f>
        <v/>
      </c>
      <c r="X10" s="21" t="str">
        <f>IF(
    INDEX($K$5:$K$50, ROW(A6)) = "Algemeen",
        IFERROR(IF('Hulp (control forms)'!$C$12&lt;&gt;TRUE, '1a. Input organisatieniveau'!$I$28, INDEX(
            '1a. Input organisatieniveau'!$L$19:$N$19,
            MATCH(
                INDEX('2. Output kostprijs'!$A:$ZZ,
                    15,
                    4 + 2 * (INDEX($L$5:$L$50, ROW(A6)) - 1)
                ),
                '1a. Input organisatieniveau'!$L$6:$N$6,
                0
            )
        )),""),
    IF(
        INDEX($K$5:$K$50, ROW(A6)) = "Gezinshuis",
            "",
        IF(
            INDEX($K$5:$K$50, ROW(A6)) = "Pleegzorg",
                 "",
            ""
        )
    )
)</f>
        <v/>
      </c>
    </row>
    <row r="11" spans="2:24" x14ac:dyDescent="0.45">
      <c r="B11" s="21" t="s">
        <v>1071</v>
      </c>
      <c r="C11" s="350">
        <f>IF(
    INDEX(D11:H11, MATCH(Initialisatie!$C$5, D$4:H$4, 0))&lt;&gt;"",
    INDEX(D11:H11, MATCH(Initialisatie!$C$5, D$4:H$4, 0))+0.005,
    LOOKUP(2, 1/(D11:H11&lt;&gt;""), D11:H11)+0.005
)</f>
        <v>8.1300000000000011E-2</v>
      </c>
      <c r="D11" s="350"/>
      <c r="E11" s="350">
        <v>7.6399999999999996E-2</v>
      </c>
      <c r="F11" s="350">
        <v>7.6300000000000007E-2</v>
      </c>
      <c r="G11" s="350"/>
      <c r="H11" s="350"/>
      <c r="J11" s="364" t="str">
        <f t="array" ref="J11">IFERROR(
  IF(
    ROW(A7) &lt;= SUMPRODUCT(--('Hulp (control forms)'!$G$13:$G$52)),
      IF(
        INDEX(Initialisatie!B$10:B$49,
          SMALL(
            IF('Hulp (control forms)'!$G$13:$G$52=TRUE,
               ROW(Initialisatie!B$10:B$49)-ROW(Initialisatie!B$10)+1),
            ROW(A7)
          )
        )="","",
        INDEX(Initialisatie!B$10:B$49,
          SMALL(
            IF('Hulp (control forms)'!$G$13:$G$52=TRUE,
               ROW(Initialisatie!B$10:B$49)-ROW(Initialisatie!B$10)+1),
            ROW(A7)
          )
        )
      ),
    IFERROR(
      INDEX(
        '3. Gezinshuis producten'!E$7:E$9,
        SMALL(
          IF('Hulp (control forms)'!$F$6:$F$8=TRUE,
             ROW('3. Gezinshuis producten'!E$7:E$9)-ROW('3. Gezinshuis producten'!E$7)+1),
          ROW(A7) - SUMPRODUCT(--('Hulp (control forms)'!$G$13:$G$52))
        )
      ),
      IF(
        ROW(A7)
         - SUMPRODUCT(--('Hulp (control forms)'!$G$13:$G$52))
         - SUMPRODUCT(--('Hulp (control forms)'!$F$6:$F$8)) = 1,
        IF('4. Pleegzorg producten'!$M$26&lt;&gt;"",
           "Voltijd",
           IF('4. Pleegzorg producten'!$P$26&lt;&gt;"","Deeltijd","")
        ),
        IF(
          ROW(A7)
           - SUMPRODUCT(--('Hulp (control forms)'!$G$13:$G$52))
           - SUMPRODUCT(--('Hulp (control forms)'!$F$6:$F$8)) = 2,
          IF( AND('4. Pleegzorg producten'!$M$26&lt;&gt;"", '4. Pleegzorg producten'!$P$26&lt;&gt;"" ),
             "Deeltijd",
             ""
          ),
          ""
        )
      )
    )
  ),
"")</f>
        <v/>
      </c>
      <c r="K11" s="364" t="str">
        <f>IF(
  ROW(A7) &lt;= SUMPRODUCT(--('Hulp (control forms)'!$G$13:$G$52)),
      "Algemeen",
  IF(
    ROW(A7) - SUMPRODUCT(--('Hulp (control forms)'!$G$13:$G$52))
      &lt;= SUMPRODUCT(--('Hulp (control forms)'!$F$6:$F$8)),
        "Gezinshuis",
    IF(
      (ROW(A7)
        - SUMPRODUCT(--('Hulp (control forms)'!$G$13:$G$52))
        - SUMPRODUCT(--('Hulp (control forms)'!$F$6:$F$8)))
        &lt;= SUMPRODUCT(--('4. Pleegzorg producten'!$M$26&lt;&gt;"") + --('4. Pleegzorg producten'!$P$26&lt;&gt;"")),
          "Pleegzorg",
          ""
    )
  )
)</f>
        <v/>
      </c>
      <c r="L11" s="21" t="str">
        <f t="array" ref="L11">IF(
  ROW(A7) &lt;= SUMPRODUCT(--('Hulp (control forms)'!$G$13:$G$52)),
      ROW(A7),
  IF(
    ROW(A7) - SUMPRODUCT(--('Hulp (control forms)'!$G$13:$G$52))
      &lt;= SUMPRODUCT(--('Hulp (control forms)'!$F$6:$F$8)),
        SMALL(
    IF('Hulp (control forms)'!$F$6:$F$8,
       ROW('Hulp (control forms)'!$F$6:$F$8)
    ),
    ROW(A7) - SUMPRODUCT(--('Hulp (control forms)'!$G$13:$G$52))
)-5,
    IF(
      (ROW(A7)
        - SUMPRODUCT(--('Hulp (control forms)'!$G$13:$G$52))
        - SUMPRODUCT(--('Hulp (control forms)'!$F$6:$F$8)))
        &lt;= SUMPRODUCT(--('4. Pleegzorg producten'!$M$26&lt;&gt;"") + --('4. Pleegzorg producten'!$P$26&lt;&gt;"")),
        ROW(A7)
        - SUMPRODUCT(--('Hulp (control forms)'!$G$13:$G$52))
        - SUMPRODUCT(--('Hulp (control forms)'!$F$6:$F$8)),
        ""
    )
  )
)</f>
        <v/>
      </c>
      <c r="M11" s="21" t="str">
        <f t="array" ref="M11">IF(
    INDEX($K$5:$K$50, ROW(A7)) = "Algemeen",
        IFERROR(IF('Hulp (control forms)'!$C$7&lt;&gt;TRUE, '1a. Input organisatieniveau'!$I$19, INDEX(
            '1a. Input organisatieniveau'!$L$11:$N$11,
            MATCH(
                INDEX('2. Output kostprijs'!$A:$ZZ,
                    15,
                    4 + 2 * (INDEX($L$5:$L$50, ROW(A7)) - 1)
                ),
                '1a. Input organisatieniveau'!$L$6:$N$6,
                0
            )
        )),""),
    IF(
        INDEX($K$5:$K$50, ROW(A7)) = "Gezinshuis",
            "",
        IF(
            INDEX($K$5:$K$50, ROW(A7)) = "Pleegzorg",
                 "",
            ""
        )
    )
)</f>
        <v/>
      </c>
      <c r="N11" s="21" t="str">
        <f t="array" ref="N11">IF(
    INDEX($K$5:$K$50, ROW(A7)) = "Algemeen",
        IFERROR(IF('Hulp (control forms)'!$C$8&lt;&gt;TRUE, '1a. Input organisatieniveau'!$I$20, INDEX(
            '1a. Input organisatieniveau'!$L$12:$N$12,
            MATCH(
                INDEX('2. Output kostprijs'!$A:$ZZ,
                    15,
                    4 + 2 * (INDEX($L$5:$L$50, ROW(A7)) - 1)
                ),
                '1a. Input organisatieniveau'!$L$6:$N$6,
                0
            )
        )),""),
    IF(
        INDEX($K$5:$K$50, ROW(A7)) = "Gezinshuis",
            INDEX('3. Gezinshuis producten'!$A:$Y, 31,
            9 + 1 * (INDEX($L$5:$L$50, ROW(A7)) - 1)),
        IF(
            INDEX($K$5:$K$50, ROW(A7)) = "Pleegzorg",
                 "",
            ""
        )
    )
)</f>
        <v/>
      </c>
      <c r="O11" s="21" t="str">
        <f t="array" ref="O11">IF(
    INDEX($K$5:$K$50, ROW(A7)) = "Algemeen",
        IFERROR(IF('Hulp (control forms)'!$C$9&lt;&gt;TRUE, '1a. Input organisatieniveau'!$I$21, INDEX(
            '1a. Input organisatieniveau'!$L$13:$N$13,
            MATCH(
                INDEX('2. Output kostprijs'!$A:$ZZ,
                    15,
                    4 + 2 * (INDEX($L$5:$L$50, ROW(A7)) - 1)
                ),
                '1a. Input organisatieniveau'!$L$6:$N$6,
                0
            )
        )),""),
    IF(
        INDEX($K$5:$K$50, ROW(A7)) = "Gezinshuis",
            "",
        IF(
            INDEX($K$5:$K$50, ROW(A7)) = "Pleegzorg",
                 "",
            ""
        )
    )
)</f>
        <v/>
      </c>
      <c r="P11" s="21" t="str">
        <f>IF(
    INDEX($K$5:$K$50, ROW(A7)) = "Algemeen",
        IFERROR(IF('Hulp (control forms)'!$C$10&lt;&gt;TRUE, '1a. Input organisatieniveau'!$I$23, INDEX(
            '1a. Input organisatieniveau'!$L$15:$N$15,
            MATCH(
                INDEX('2. Output kostprijs'!$A:$ZZ,
                    15,
                    4 + 2 * (INDEX($L$5:$L$50, ROW(A7)) - 1)
                ),
                '1a. Input organisatieniveau'!$L$6:$N$6,
                0
            )
        )),""),
    IF(
        INDEX($K$5:$K$50, ROW(A7)) = "Gezinshuis",
            "",
        IF(
            INDEX($K$5:$K$50, ROW(A7)) = "Pleegzorg",
                 "",
            ""
        )
    )
)</f>
        <v/>
      </c>
      <c r="Q11" s="21" t="str">
        <f>IF(
    INDEX($K$5:$K$50, ROW(A7)) = "Algemeen",
        IFERROR(IF('Hulp (control forms)'!$C$11&lt;&gt;TRUE, '1a. Input organisatieniveau'!$I$24, INDEX(
            '1a. Input organisatieniveau'!$L$16:$N$16,
            MATCH(
                INDEX('2. Output kostprijs'!$A:$ZZ,
                    15,
                    4 + 2 * (INDEX($L$5:$L$50, ROW(A7)) - 1)
                ),
                '1a. Input organisatieniveau'!$L$6:$N$6,
                0
            )
        )),""),
    IF(
        INDEX($K$5:$K$50, ROW(A7)) = "Gezinshuis",
            "",
        IF(
            INDEX($K$5:$K$50, ROW(A7)) = "Pleegzorg",
                 "",
            ""
        )
    )
)</f>
        <v/>
      </c>
      <c r="R11" s="21" t="str">
        <f>IF(
    INDEX($K$5:$K$50, ROW(A7)) = "Algemeen",
        IFERROR(IF('Hulp (control forms)'!$C$12&lt;&gt;TRUE, '1a. Input organisatieniveau'!$I$29, INDEX(
            '1a. Input organisatieniveau'!$L$20:$N$20,
            MATCH(
                INDEX('2. Output kostprijs'!$A:$ZZ,
                    15,
                    4 + 2 * (INDEX($L$5:$L$50, ROW(A7)) - 1)
                ),
                '1a. Input organisatieniveau'!$L$6:$N$6,
                0
            )
        )),""),
    IF(
        INDEX($K$5:$K$50, ROW(A7)) = "Gezinshuis",
            "",
        IF(
            INDEX($K$5:$K$50, ROW(A7)) = "Pleegzorg",
                 "",
            ""
        )
    )
)</f>
        <v/>
      </c>
      <c r="S11" s="21" t="str">
        <f>IF(
    INDEX($K$5:$K$50, ROW(A7)) = "Algemeen",
        INDEX('2. Output kostprijs'!$A:$ZZ, 32,
            5 + 2 * (INDEX('Hulp (overig)'!$L$5:$L$50, ROW(A7)) - 1)
        ),
    IF(
        INDEX($K$5:$K$50, ROW(A7)) = "Gezinshuis",
            INDEX('3. Gezinshuis producten'!$A:$Y, 22,
            15 + 2 * (INDEX($L$5:$L$50, ROW(A7)) - 1)),
        IF(
            INDEX($K$5:$K$50, ROW(A7)) = "Pleegzorg",
                 INDEX('4. Pleegzorg producten'!$A:$Y, 24,
            13 + 3 * (INDEX($L$5:$L$50, ROW(A7)) - 1)) +
                 INDEX('4. Pleegzorg producten'!$A:$Y, 25,
            13 + 3 * (INDEX($L$5:$L$50, ROW(A7)) - 1)),
            ""
        )
    )
)</f>
        <v/>
      </c>
      <c r="T11" s="21" t="str">
        <f t="array" ref="T11">IF(
    INDEX($K$5:$K$50, ROW(A7)) = "Algemeen",
        IF(INDEX('2. Output kostprijs'!$A:$ZZ, 15,
            4 + 2 * (INDEX('Hulp (overig)'!$L$5:$L$50, ROW(A7)) - 1)
        )="Ambulant",
        INDEX('2. Output kostprijs'!$A:$ZZ, 47,
            4 + 2 * (INDEX('Hulp (overig)'!$L$5:$L$50, ROW(A7)) - 1)
        ), ""),
    IF(
        INDEX($K$5:$K$50, ROW(A7)) = "Gezinshuis",
            "",
        IF(
            INDEX($K$5:$K$50, ROW(A7)) = "Pleegzorg",
                 "",
            ""
        )
    )
)</f>
        <v/>
      </c>
      <c r="U11" s="21" t="str">
        <f>IF(
    INDEX($K$5:$K$50, ROW(A7)) = "Algemeen",
        IF(INDEX('2. Output kostprijs'!$A:$ZZ, 15,
            4 + 2 * (INDEX('Hulp (overig)'!$L$5:$L$50, ROW(A7)) - 1)
        )="Daghulp",
        INDEX('2. Output kostprijs'!$A:$ZZ, 47,
            4 + 2 * (INDEX('Hulp (overig)'!$L$5:$L$50, ROW(A7)) - 1)
        ), ""),
    IF(
        INDEX($K$5:$K$50, ROW(A7)) = "Gezinshuis",
            "",
        IF(
            INDEX($K$5:$K$50, ROW(A7)) = "Pleegzorg",
                 "",
            ""
        )
    )
)</f>
        <v/>
      </c>
      <c r="V11" s="21" t="str">
        <f>IF(
    INDEX($K$5:$K$50, ROW(A7)) = "Algemeen",
        IF(INDEX('2. Output kostprijs'!$A:$ZZ, 15,
            4 + 2 * (INDEX('Hulp (overig)'!$L$5:$L$50, ROW(A7)) - 1)
        )="Verblijf",
        INDEX('2. Output kostprijs'!$A:$ZZ, 47,
            4 + 2 * (INDEX('Hulp (overig)'!$L$5:$L$50, ROW(A7)) - 1)
        ), ""),
    IF(
        INDEX($K$5:$K$50, ROW(A7)) = "Gezinshuis",
            INDEX('3. Gezinshuis producten'!$A:$Y, 29,
            14 + 2 * (INDEX($L$5:$L$50, ROW(A7)) - 1)),
        IF(
            INDEX($K$5:$K$50, ROW(A7)) = "Pleegzorg",
                 INDEX('4. Pleegzorg producten'!$A:$Y, 26,
            13 + 3 * (INDEX($L$5:$L$50, ROW(A7)) - 1)),
            ""
        )
    )
)</f>
        <v/>
      </c>
      <c r="W11" s="21" t="str">
        <f>IF(
    INDEX($K$5:$K$50, ROW(A7)) = "Algemeen",
        IFERROR(IF('Hulp (control forms)'!$C$12&lt;&gt;TRUE, '1a. Input organisatieniveau'!$I$27, INDEX(
            '1a. Input organisatieniveau'!$L$18:$N$18,
            MATCH(
                INDEX('2. Output kostprijs'!$A:$ZZ,
                    15,
                    4 + 2 * (INDEX($L$5:$L$50, ROW(A7)) - 1)
                ),
                '1a. Input organisatieniveau'!$L$6:$N$6,
                0
            )
        )),""),
    IF(
        INDEX($K$5:$K$50, ROW(A7)) = "Gezinshuis",
            "",
        IF(
            INDEX($K$5:$K$50, ROW(A7)) = "Pleegzorg",
                 "",
            ""
        )
    )
)</f>
        <v/>
      </c>
      <c r="X11" s="21" t="str">
        <f>IF(
    INDEX($K$5:$K$50, ROW(A7)) = "Algemeen",
        IFERROR(IF('Hulp (control forms)'!$C$12&lt;&gt;TRUE, '1a. Input organisatieniveau'!$I$28, INDEX(
            '1a. Input organisatieniveau'!$L$19:$N$19,
            MATCH(
                INDEX('2. Output kostprijs'!$A:$ZZ,
                    15,
                    4 + 2 * (INDEX($L$5:$L$50, ROW(A7)) - 1)
                ),
                '1a. Input organisatieniveau'!$L$6:$N$6,
                0
            )
        )),""),
    IF(
        INDEX($K$5:$K$50, ROW(A7)) = "Gezinshuis",
            "",
        IF(
            INDEX($K$5:$K$50, ROW(A7)) = "Pleegzorg",
                 "",
            ""
        )
    )
)</f>
        <v/>
      </c>
    </row>
    <row r="12" spans="2:24" x14ac:dyDescent="0.45">
      <c r="B12" s="21" t="s">
        <v>2201</v>
      </c>
      <c r="C12" s="352" cm="1">
        <f t="array" ref="C12">IF(
    INDEX(D12:H12, MATCH(Initialisatie!$C$5, D$4:H$4, 0))&lt;&gt;"",
    INDEX(D12:H12, MATCH(Initialisatie!$C$5, D$4:H$4, 0)),
    LOOKUP(2, 1/(D12:H12&lt;&gt;""), D12:H12)+0.005
)</f>
        <v>14.71</v>
      </c>
      <c r="D12" s="21"/>
      <c r="E12" s="21">
        <v>14.06</v>
      </c>
      <c r="F12" s="21">
        <v>14.71</v>
      </c>
      <c r="G12" s="21"/>
      <c r="H12" s="21"/>
      <c r="J12" s="364" t="str">
        <f t="array" ref="J12">IFERROR(
  IF(
    ROW(A8) &lt;= SUMPRODUCT(--('Hulp (control forms)'!$G$13:$G$52)),
      IF(
        INDEX(Initialisatie!B$10:B$49,
          SMALL(
            IF('Hulp (control forms)'!$G$13:$G$52=TRUE,
               ROW(Initialisatie!B$10:B$49)-ROW(Initialisatie!B$10)+1),
            ROW(A8)
          )
        )="","",
        INDEX(Initialisatie!B$10:B$49,
          SMALL(
            IF('Hulp (control forms)'!$G$13:$G$52=TRUE,
               ROW(Initialisatie!B$10:B$49)-ROW(Initialisatie!B$10)+1),
            ROW(A8)
          )
        )
      ),
    IFERROR(
      INDEX(
        '3. Gezinshuis producten'!E$7:E$9,
        SMALL(
          IF('Hulp (control forms)'!$F$6:$F$8=TRUE,
             ROW('3. Gezinshuis producten'!E$7:E$9)-ROW('3. Gezinshuis producten'!E$7)+1),
          ROW(A8) - SUMPRODUCT(--('Hulp (control forms)'!$G$13:$G$52))
        )
      ),
      IF(
        ROW(A8)
         - SUMPRODUCT(--('Hulp (control forms)'!$G$13:$G$52))
         - SUMPRODUCT(--('Hulp (control forms)'!$F$6:$F$8)) = 1,
        IF('4. Pleegzorg producten'!$M$26&lt;&gt;"",
           "Voltijd",
           IF('4. Pleegzorg producten'!$P$26&lt;&gt;"","Deeltijd","")
        ),
        IF(
          ROW(A8)
           - SUMPRODUCT(--('Hulp (control forms)'!$G$13:$G$52))
           - SUMPRODUCT(--('Hulp (control forms)'!$F$6:$F$8)) = 2,
          IF( AND('4. Pleegzorg producten'!$M$26&lt;&gt;"", '4. Pleegzorg producten'!$P$26&lt;&gt;"" ),
             "Deeltijd",
             ""
          ),
          ""
        )
      )
    )
  ),
"")</f>
        <v/>
      </c>
      <c r="K12" s="364" t="str">
        <f>IF(
  ROW(A8) &lt;= SUMPRODUCT(--('Hulp (control forms)'!$G$13:$G$52)),
      "Algemeen",
  IF(
    ROW(A8) - SUMPRODUCT(--('Hulp (control forms)'!$G$13:$G$52))
      &lt;= SUMPRODUCT(--('Hulp (control forms)'!$F$6:$F$8)),
        "Gezinshuis",
    IF(
      (ROW(A8)
        - SUMPRODUCT(--('Hulp (control forms)'!$G$13:$G$52))
        - SUMPRODUCT(--('Hulp (control forms)'!$F$6:$F$8)))
        &lt;= SUMPRODUCT(--('4. Pleegzorg producten'!$M$26&lt;&gt;"") + --('4. Pleegzorg producten'!$P$26&lt;&gt;"")),
          "Pleegzorg",
          ""
    )
  )
)</f>
        <v/>
      </c>
      <c r="L12" s="21" t="str">
        <f t="array" ref="L12">IF(
  ROW(A8) &lt;= SUMPRODUCT(--('Hulp (control forms)'!$G$13:$G$52)),
      ROW(A8),
  IF(
    ROW(A8) - SUMPRODUCT(--('Hulp (control forms)'!$G$13:$G$52))
      &lt;= SUMPRODUCT(--('Hulp (control forms)'!$F$6:$F$8)),
        SMALL(
    IF('Hulp (control forms)'!$F$6:$F$8,
       ROW('Hulp (control forms)'!$F$6:$F$8)
    ),
    ROW(A8) - SUMPRODUCT(--('Hulp (control forms)'!$G$13:$G$52))
)-5,
    IF(
      (ROW(A8)
        - SUMPRODUCT(--('Hulp (control forms)'!$G$13:$G$52))
        - SUMPRODUCT(--('Hulp (control forms)'!$F$6:$F$8)))
        &lt;= SUMPRODUCT(--('4. Pleegzorg producten'!$M$26&lt;&gt;"") + --('4. Pleegzorg producten'!$P$26&lt;&gt;"")),
        ROW(A8)
        - SUMPRODUCT(--('Hulp (control forms)'!$G$13:$G$52))
        - SUMPRODUCT(--('Hulp (control forms)'!$F$6:$F$8)),
        ""
    )
  )
)</f>
        <v/>
      </c>
      <c r="M12" s="21" t="str">
        <f t="array" ref="M12">IF(
    INDEX($K$5:$K$50, ROW(A8)) = "Algemeen",
        IFERROR(IF('Hulp (control forms)'!$C$7&lt;&gt;TRUE, '1a. Input organisatieniveau'!$I$19, INDEX(
            '1a. Input organisatieniveau'!$L$11:$N$11,
            MATCH(
                INDEX('2. Output kostprijs'!$A:$ZZ,
                    15,
                    4 + 2 * (INDEX($L$5:$L$50, ROW(A8)) - 1)
                ),
                '1a. Input organisatieniveau'!$L$6:$N$6,
                0
            )
        )),""),
    IF(
        INDEX($K$5:$K$50, ROW(A8)) = "Gezinshuis",
            "",
        IF(
            INDEX($K$5:$K$50, ROW(A8)) = "Pleegzorg",
                 "",
            ""
        )
    )
)</f>
        <v/>
      </c>
      <c r="N12" s="21" t="str">
        <f t="array" ref="N12">IF(
    INDEX($K$5:$K$50, ROW(A8)) = "Algemeen",
        IFERROR(IF('Hulp (control forms)'!$C$8&lt;&gt;TRUE, '1a. Input organisatieniveau'!$I$20, INDEX(
            '1a. Input organisatieniveau'!$L$12:$N$12,
            MATCH(
                INDEX('2. Output kostprijs'!$A:$ZZ,
                    15,
                    4 + 2 * (INDEX($L$5:$L$50, ROW(A8)) - 1)
                ),
                '1a. Input organisatieniveau'!$L$6:$N$6,
                0
            )
        )),""),
    IF(
        INDEX($K$5:$K$50, ROW(A8)) = "Gezinshuis",
            INDEX('3. Gezinshuis producten'!$A:$Y, 31,
            9 + 1 * (INDEX($L$5:$L$50, ROW(A8)) - 1)),
        IF(
            INDEX($K$5:$K$50, ROW(A8)) = "Pleegzorg",
                 "",
            ""
        )
    )
)</f>
        <v/>
      </c>
      <c r="O12" s="21" t="str">
        <f t="array" ref="O12">IF(
    INDEX($K$5:$K$50, ROW(A8)) = "Algemeen",
        IFERROR(IF('Hulp (control forms)'!$C$9&lt;&gt;TRUE, '1a. Input organisatieniveau'!$I$21, INDEX(
            '1a. Input organisatieniveau'!$L$13:$N$13,
            MATCH(
                INDEX('2. Output kostprijs'!$A:$ZZ,
                    15,
                    4 + 2 * (INDEX($L$5:$L$50, ROW(A8)) - 1)
                ),
                '1a. Input organisatieniveau'!$L$6:$N$6,
                0
            )
        )),""),
    IF(
        INDEX($K$5:$K$50, ROW(A8)) = "Gezinshuis",
            "",
        IF(
            INDEX($K$5:$K$50, ROW(A8)) = "Pleegzorg",
                 "",
            ""
        )
    )
)</f>
        <v/>
      </c>
      <c r="P12" s="21" t="str">
        <f>IF(
    INDEX($K$5:$K$50, ROW(A8)) = "Algemeen",
        IFERROR(IF('Hulp (control forms)'!$C$10&lt;&gt;TRUE, '1a. Input organisatieniveau'!$I$23, INDEX(
            '1a. Input organisatieniveau'!$L$15:$N$15,
            MATCH(
                INDEX('2. Output kostprijs'!$A:$ZZ,
                    15,
                    4 + 2 * (INDEX($L$5:$L$50, ROW(A8)) - 1)
                ),
                '1a. Input organisatieniveau'!$L$6:$N$6,
                0
            )
        )),""),
    IF(
        INDEX($K$5:$K$50, ROW(A8)) = "Gezinshuis",
            "",
        IF(
            INDEX($K$5:$K$50, ROW(A8)) = "Pleegzorg",
                 "",
            ""
        )
    )
)</f>
        <v/>
      </c>
      <c r="Q12" s="21" t="str">
        <f>IF(
    INDEX($K$5:$K$50, ROW(A8)) = "Algemeen",
        IFERROR(IF('Hulp (control forms)'!$C$11&lt;&gt;TRUE, '1a. Input organisatieniveau'!$I$24, INDEX(
            '1a. Input organisatieniveau'!$L$16:$N$16,
            MATCH(
                INDEX('2. Output kostprijs'!$A:$ZZ,
                    15,
                    4 + 2 * (INDEX($L$5:$L$50, ROW(A8)) - 1)
                ),
                '1a. Input organisatieniveau'!$L$6:$N$6,
                0
            )
        )),""),
    IF(
        INDEX($K$5:$K$50, ROW(A8)) = "Gezinshuis",
            "",
        IF(
            INDEX($K$5:$K$50, ROW(A8)) = "Pleegzorg",
                 "",
            ""
        )
    )
)</f>
        <v/>
      </c>
      <c r="R12" s="21" t="str">
        <f>IF(
    INDEX($K$5:$K$50, ROW(A8)) = "Algemeen",
        IFERROR(IF('Hulp (control forms)'!$C$12&lt;&gt;TRUE, '1a. Input organisatieniveau'!$I$29, INDEX(
            '1a. Input organisatieniveau'!$L$20:$N$20,
            MATCH(
                INDEX('2. Output kostprijs'!$A:$ZZ,
                    15,
                    4 + 2 * (INDEX($L$5:$L$50, ROW(A8)) - 1)
                ),
                '1a. Input organisatieniveau'!$L$6:$N$6,
                0
            )
        )),""),
    IF(
        INDEX($K$5:$K$50, ROW(A8)) = "Gezinshuis",
            "",
        IF(
            INDEX($K$5:$K$50, ROW(A8)) = "Pleegzorg",
                 "",
            ""
        )
    )
)</f>
        <v/>
      </c>
      <c r="S12" s="21" t="str">
        <f>IF(
    INDEX($K$5:$K$50, ROW(A8)) = "Algemeen",
        INDEX('2. Output kostprijs'!$A:$ZZ, 32,
            5 + 2 * (INDEX('Hulp (overig)'!$L$5:$L$50, ROW(A8)) - 1)
        ),
    IF(
        INDEX($K$5:$K$50, ROW(A8)) = "Gezinshuis",
            INDEX('3. Gezinshuis producten'!$A:$Y, 22,
            15 + 2 * (INDEX($L$5:$L$50, ROW(A8)) - 1)),
        IF(
            INDEX($K$5:$K$50, ROW(A8)) = "Pleegzorg",
                 INDEX('4. Pleegzorg producten'!$A:$Y, 24,
            13 + 3 * (INDEX($L$5:$L$50, ROW(A8)) - 1)) +
                 INDEX('4. Pleegzorg producten'!$A:$Y, 25,
            13 + 3 * (INDEX($L$5:$L$50, ROW(A8)) - 1)),
            ""
        )
    )
)</f>
        <v/>
      </c>
      <c r="T12" s="21" t="str">
        <f t="array" ref="T12">IF(
    INDEX($K$5:$K$50, ROW(A8)) = "Algemeen",
        IF(INDEX('2. Output kostprijs'!$A:$ZZ, 15,
            4 + 2 * (INDEX('Hulp (overig)'!$L$5:$L$50, ROW(A8)) - 1)
        )="Ambulant",
        INDEX('2. Output kostprijs'!$A:$ZZ, 47,
            4 + 2 * (INDEX('Hulp (overig)'!$L$5:$L$50, ROW(A8)) - 1)
        ), ""),
    IF(
        INDEX($K$5:$K$50, ROW(A8)) = "Gezinshuis",
            "",
        IF(
            INDEX($K$5:$K$50, ROW(A8)) = "Pleegzorg",
                 "",
            ""
        )
    )
)</f>
        <v/>
      </c>
      <c r="U12" s="21" t="str">
        <f>IF(
    INDEX($K$5:$K$50, ROW(A8)) = "Algemeen",
        IF(INDEX('2. Output kostprijs'!$A:$ZZ, 15,
            4 + 2 * (INDEX('Hulp (overig)'!$L$5:$L$50, ROW(A8)) - 1)
        )="Daghulp",
        INDEX('2. Output kostprijs'!$A:$ZZ, 47,
            4 + 2 * (INDEX('Hulp (overig)'!$L$5:$L$50, ROW(A8)) - 1)
        ), ""),
    IF(
        INDEX($K$5:$K$50, ROW(A8)) = "Gezinshuis",
            "",
        IF(
            INDEX($K$5:$K$50, ROW(A8)) = "Pleegzorg",
                 "",
            ""
        )
    )
)</f>
        <v/>
      </c>
      <c r="V12" s="21" t="str">
        <f>IF(
    INDEX($K$5:$K$50, ROW(A8)) = "Algemeen",
        IF(INDEX('2. Output kostprijs'!$A:$ZZ, 15,
            4 + 2 * (INDEX('Hulp (overig)'!$L$5:$L$50, ROW(A8)) - 1)
        )="Verblijf",
        INDEX('2. Output kostprijs'!$A:$ZZ, 47,
            4 + 2 * (INDEX('Hulp (overig)'!$L$5:$L$50, ROW(A8)) - 1)
        ), ""),
    IF(
        INDEX($K$5:$K$50, ROW(A8)) = "Gezinshuis",
            INDEX('3. Gezinshuis producten'!$A:$Y, 29,
            14 + 2 * (INDEX($L$5:$L$50, ROW(A8)) - 1)),
        IF(
            INDEX($K$5:$K$50, ROW(A8)) = "Pleegzorg",
                 INDEX('4. Pleegzorg producten'!$A:$Y, 26,
            13 + 3 * (INDEX($L$5:$L$50, ROW(A8)) - 1)),
            ""
        )
    )
)</f>
        <v/>
      </c>
      <c r="W12" s="21" t="str">
        <f>IF(
    INDEX($K$5:$K$50, ROW(A8)) = "Algemeen",
        IFERROR(IF('Hulp (control forms)'!$C$12&lt;&gt;TRUE, '1a. Input organisatieniveau'!$I$27, INDEX(
            '1a. Input organisatieniveau'!$L$18:$N$18,
            MATCH(
                INDEX('2. Output kostprijs'!$A:$ZZ,
                    15,
                    4 + 2 * (INDEX($L$5:$L$50, ROW(A8)) - 1)
                ),
                '1a. Input organisatieniveau'!$L$6:$N$6,
                0
            )
        )),""),
    IF(
        INDEX($K$5:$K$50, ROW(A8)) = "Gezinshuis",
            "",
        IF(
            INDEX($K$5:$K$50, ROW(A8)) = "Pleegzorg",
                 "",
            ""
        )
    )
)</f>
        <v/>
      </c>
      <c r="X12" s="21" t="str">
        <f>IF(
    INDEX($K$5:$K$50, ROW(A8)) = "Algemeen",
        IFERROR(IF('Hulp (control forms)'!$C$12&lt;&gt;TRUE, '1a. Input organisatieniveau'!$I$28, INDEX(
            '1a. Input organisatieniveau'!$L$19:$N$19,
            MATCH(
                INDEX('2. Output kostprijs'!$A:$ZZ,
                    15,
                    4 + 2 * (INDEX($L$5:$L$50, ROW(A8)) - 1)
                ),
                '1a. Input organisatieniveau'!$L$6:$N$6,
                0
            )
        )),""),
    IF(
        INDEX($K$5:$K$50, ROW(A8)) = "Gezinshuis",
            "",
        IF(
            INDEX($K$5:$K$50, ROW(A8)) = "Pleegzorg",
                 "",
            ""
        )
    )
)</f>
        <v/>
      </c>
    </row>
    <row r="13" spans="2:24" x14ac:dyDescent="0.45">
      <c r="B13" s="21" t="s">
        <v>718</v>
      </c>
      <c r="C13" s="350">
        <f>IF(
    INDEX(D13:H13, MATCH(Initialisatie!$C$5, D$4:H$4, 0))&lt;&gt;"",
    INDEX(D13:H13, MATCH(Initialisatie!$C$5, D$4:H$4, 0)),
    LOOKUP(2, 1/(D13:H13&lt;&gt;""), D13:H13)
)</f>
        <v>8.3299999999999999E-2</v>
      </c>
      <c r="D13" s="350"/>
      <c r="E13" s="350">
        <f>IFERROR(
  INDEX('Hulp (CAO''s)'!E3:E7, MATCH(TRUE, 'Hulp (CAO''s)'!D3:D7, 0)),
  ""
)</f>
        <v>8.3299999999999999E-2</v>
      </c>
      <c r="F13" s="350">
        <f>IFERROR(
  INDEX('Hulp (CAO''s)'!AI3:AI7, MATCH(TRUE, 'Hulp (CAO''s)'!D3:D7, 0)),
  ""
)</f>
        <v>8.3299999999999999E-2</v>
      </c>
      <c r="G13" s="350"/>
      <c r="H13" s="350"/>
      <c r="J13" s="364" t="str">
        <f t="array" ref="J13">IFERROR(
  IF(
    ROW(A9) &lt;= SUMPRODUCT(--('Hulp (control forms)'!$G$13:$G$52)),
      IF(
        INDEX(Initialisatie!B$10:B$49,
          SMALL(
            IF('Hulp (control forms)'!$G$13:$G$52=TRUE,
               ROW(Initialisatie!B$10:B$49)-ROW(Initialisatie!B$10)+1),
            ROW(A9)
          )
        )="","",
        INDEX(Initialisatie!B$10:B$49,
          SMALL(
            IF('Hulp (control forms)'!$G$13:$G$52=TRUE,
               ROW(Initialisatie!B$10:B$49)-ROW(Initialisatie!B$10)+1),
            ROW(A9)
          )
        )
      ),
    IFERROR(
      INDEX(
        '3. Gezinshuis producten'!E$7:E$9,
        SMALL(
          IF('Hulp (control forms)'!$F$6:$F$8=TRUE,
             ROW('3. Gezinshuis producten'!E$7:E$9)-ROW('3. Gezinshuis producten'!E$7)+1),
          ROW(A9) - SUMPRODUCT(--('Hulp (control forms)'!$G$13:$G$52))
        )
      ),
      IF(
        ROW(A9)
         - SUMPRODUCT(--('Hulp (control forms)'!$G$13:$G$52))
         - SUMPRODUCT(--('Hulp (control forms)'!$F$6:$F$8)) = 1,
        IF('4. Pleegzorg producten'!$M$26&lt;&gt;"",
           "Voltijd",
           IF('4. Pleegzorg producten'!$P$26&lt;&gt;"","Deeltijd","")
        ),
        IF(
          ROW(A9)
           - SUMPRODUCT(--('Hulp (control forms)'!$G$13:$G$52))
           - SUMPRODUCT(--('Hulp (control forms)'!$F$6:$F$8)) = 2,
          IF( AND('4. Pleegzorg producten'!$M$26&lt;&gt;"", '4. Pleegzorg producten'!$P$26&lt;&gt;"" ),
             "Deeltijd",
             ""
          ),
          ""
        )
      )
    )
  ),
"")</f>
        <v/>
      </c>
      <c r="K13" s="364" t="str">
        <f>IF(
  ROW(A9) &lt;= SUMPRODUCT(--('Hulp (control forms)'!$G$13:$G$52)),
      "Algemeen",
  IF(
    ROW(A9) - SUMPRODUCT(--('Hulp (control forms)'!$G$13:$G$52))
      &lt;= SUMPRODUCT(--('Hulp (control forms)'!$F$6:$F$8)),
        "Gezinshuis",
    IF(
      (ROW(A9)
        - SUMPRODUCT(--('Hulp (control forms)'!$G$13:$G$52))
        - SUMPRODUCT(--('Hulp (control forms)'!$F$6:$F$8)))
        &lt;= SUMPRODUCT(--('4. Pleegzorg producten'!$M$26&lt;&gt;"") + --('4. Pleegzorg producten'!$P$26&lt;&gt;"")),
          "Pleegzorg",
          ""
    )
  )
)</f>
        <v/>
      </c>
      <c r="L13" s="21" t="str">
        <f t="array" ref="L13">IF(
  ROW(A9) &lt;= SUMPRODUCT(--('Hulp (control forms)'!$G$13:$G$52)),
      ROW(A9),
  IF(
    ROW(A9) - SUMPRODUCT(--('Hulp (control forms)'!$G$13:$G$52))
      &lt;= SUMPRODUCT(--('Hulp (control forms)'!$F$6:$F$8)),
        SMALL(
    IF('Hulp (control forms)'!$F$6:$F$8,
       ROW('Hulp (control forms)'!$F$6:$F$8)
    ),
    ROW(A9) - SUMPRODUCT(--('Hulp (control forms)'!$G$13:$G$52))
)-5,
    IF(
      (ROW(A9)
        - SUMPRODUCT(--('Hulp (control forms)'!$G$13:$G$52))
        - SUMPRODUCT(--('Hulp (control forms)'!$F$6:$F$8)))
        &lt;= SUMPRODUCT(--('4. Pleegzorg producten'!$M$26&lt;&gt;"") + --('4. Pleegzorg producten'!$P$26&lt;&gt;"")),
        ROW(A9)
        - SUMPRODUCT(--('Hulp (control forms)'!$G$13:$G$52))
        - SUMPRODUCT(--('Hulp (control forms)'!$F$6:$F$8)),
        ""
    )
  )
)</f>
        <v/>
      </c>
      <c r="M13" s="21" t="str">
        <f t="array" ref="M13">IF(
    INDEX($K$5:$K$50, ROW(A9)) = "Algemeen",
        IFERROR(IF('Hulp (control forms)'!$C$7&lt;&gt;TRUE, '1a. Input organisatieniveau'!$I$19, INDEX(
            '1a. Input organisatieniveau'!$L$11:$N$11,
            MATCH(
                INDEX('2. Output kostprijs'!$A:$ZZ,
                    15,
                    4 + 2 * (INDEX($L$5:$L$50, ROW(A9)) - 1)
                ),
                '1a. Input organisatieniveau'!$L$6:$N$6,
                0
            )
        )),""),
    IF(
        INDEX($K$5:$K$50, ROW(A9)) = "Gezinshuis",
            "",
        IF(
            INDEX($K$5:$K$50, ROW(A9)) = "Pleegzorg",
                 "",
            ""
        )
    )
)</f>
        <v/>
      </c>
      <c r="N13" s="21" t="str">
        <f t="array" ref="N13">IF(
    INDEX($K$5:$K$50, ROW(A9)) = "Algemeen",
        IFERROR(IF('Hulp (control forms)'!$C$8&lt;&gt;TRUE, '1a. Input organisatieniveau'!$I$20, INDEX(
            '1a. Input organisatieniveau'!$L$12:$N$12,
            MATCH(
                INDEX('2. Output kostprijs'!$A:$ZZ,
                    15,
                    4 + 2 * (INDEX($L$5:$L$50, ROW(A9)) - 1)
                ),
                '1a. Input organisatieniveau'!$L$6:$N$6,
                0
            )
        )),""),
    IF(
        INDEX($K$5:$K$50, ROW(A9)) = "Gezinshuis",
            INDEX('3. Gezinshuis producten'!$A:$Y, 31,
            9 + 1 * (INDEX($L$5:$L$50, ROW(A9)) - 1)),
        IF(
            INDEX($K$5:$K$50, ROW(A9)) = "Pleegzorg",
                 "",
            ""
        )
    )
)</f>
        <v/>
      </c>
      <c r="O13" s="21" t="str">
        <f t="array" ref="O13">IF(
    INDEX($K$5:$K$50, ROW(A9)) = "Algemeen",
        IFERROR(IF('Hulp (control forms)'!$C$9&lt;&gt;TRUE, '1a. Input organisatieniveau'!$I$21, INDEX(
            '1a. Input organisatieniveau'!$L$13:$N$13,
            MATCH(
                INDEX('2. Output kostprijs'!$A:$ZZ,
                    15,
                    4 + 2 * (INDEX($L$5:$L$50, ROW(A9)) - 1)
                ),
                '1a. Input organisatieniveau'!$L$6:$N$6,
                0
            )
        )),""),
    IF(
        INDEX($K$5:$K$50, ROW(A9)) = "Gezinshuis",
            "",
        IF(
            INDEX($K$5:$K$50, ROW(A9)) = "Pleegzorg",
                 "",
            ""
        )
    )
)</f>
        <v/>
      </c>
      <c r="P13" s="21" t="str">
        <f>IF(
    INDEX($K$5:$K$50, ROW(A9)) = "Algemeen",
        IFERROR(IF('Hulp (control forms)'!$C$10&lt;&gt;TRUE, '1a. Input organisatieniveau'!$I$23, INDEX(
            '1a. Input organisatieniveau'!$L$15:$N$15,
            MATCH(
                INDEX('2. Output kostprijs'!$A:$ZZ,
                    15,
                    4 + 2 * (INDEX($L$5:$L$50, ROW(A9)) - 1)
                ),
                '1a. Input organisatieniveau'!$L$6:$N$6,
                0
            )
        )),""),
    IF(
        INDEX($K$5:$K$50, ROW(A9)) = "Gezinshuis",
            "",
        IF(
            INDEX($K$5:$K$50, ROW(A9)) = "Pleegzorg",
                 "",
            ""
        )
    )
)</f>
        <v/>
      </c>
      <c r="Q13" s="21" t="str">
        <f>IF(
    INDEX($K$5:$K$50, ROW(A9)) = "Algemeen",
        IFERROR(IF('Hulp (control forms)'!$C$11&lt;&gt;TRUE, '1a. Input organisatieniveau'!$I$24, INDEX(
            '1a. Input organisatieniveau'!$L$16:$N$16,
            MATCH(
                INDEX('2. Output kostprijs'!$A:$ZZ,
                    15,
                    4 + 2 * (INDEX($L$5:$L$50, ROW(A9)) - 1)
                ),
                '1a. Input organisatieniveau'!$L$6:$N$6,
                0
            )
        )),""),
    IF(
        INDEX($K$5:$K$50, ROW(A9)) = "Gezinshuis",
            "",
        IF(
            INDEX($K$5:$K$50, ROW(A9)) = "Pleegzorg",
                 "",
            ""
        )
    )
)</f>
        <v/>
      </c>
      <c r="R13" s="21" t="str">
        <f>IF(
    INDEX($K$5:$K$50, ROW(A9)) = "Algemeen",
        IFERROR(IF('Hulp (control forms)'!$C$12&lt;&gt;TRUE, '1a. Input organisatieniveau'!$I$29, INDEX(
            '1a. Input organisatieniveau'!$L$20:$N$20,
            MATCH(
                INDEX('2. Output kostprijs'!$A:$ZZ,
                    15,
                    4 + 2 * (INDEX($L$5:$L$50, ROW(A9)) - 1)
                ),
                '1a. Input organisatieniveau'!$L$6:$N$6,
                0
            )
        )),""),
    IF(
        INDEX($K$5:$K$50, ROW(A9)) = "Gezinshuis",
            "",
        IF(
            INDEX($K$5:$K$50, ROW(A9)) = "Pleegzorg",
                 "",
            ""
        )
    )
)</f>
        <v/>
      </c>
      <c r="S13" s="21" t="str">
        <f>IF(
    INDEX($K$5:$K$50, ROW(A9)) = "Algemeen",
        INDEX('2. Output kostprijs'!$A:$ZZ, 32,
            5 + 2 * (INDEX('Hulp (overig)'!$L$5:$L$50, ROW(A9)) - 1)
        ),
    IF(
        INDEX($K$5:$K$50, ROW(A9)) = "Gezinshuis",
            INDEX('3. Gezinshuis producten'!$A:$Y, 22,
            15 + 2 * (INDEX($L$5:$L$50, ROW(A9)) - 1)),
        IF(
            INDEX($K$5:$K$50, ROW(A9)) = "Pleegzorg",
                 INDEX('4. Pleegzorg producten'!$A:$Y, 24,
            13 + 3 * (INDEX($L$5:$L$50, ROW(A9)) - 1)) +
                 INDEX('4. Pleegzorg producten'!$A:$Y, 25,
            13 + 3 * (INDEX($L$5:$L$50, ROW(A9)) - 1)),
            ""
        )
    )
)</f>
        <v/>
      </c>
      <c r="T13" s="21" t="str">
        <f t="array" ref="T13">IF(
    INDEX($K$5:$K$50, ROW(A9)) = "Algemeen",
        IF(INDEX('2. Output kostprijs'!$A:$ZZ, 15,
            4 + 2 * (INDEX('Hulp (overig)'!$L$5:$L$50, ROW(A9)) - 1)
        )="Ambulant",
        INDEX('2. Output kostprijs'!$A:$ZZ, 47,
            4 + 2 * (INDEX('Hulp (overig)'!$L$5:$L$50, ROW(A9)) - 1)
        ), ""),
    IF(
        INDEX($K$5:$K$50, ROW(A9)) = "Gezinshuis",
            "",
        IF(
            INDEX($K$5:$K$50, ROW(A9)) = "Pleegzorg",
                 "",
            ""
        )
    )
)</f>
        <v/>
      </c>
      <c r="U13" s="21" t="str">
        <f>IF(
    INDEX($K$5:$K$50, ROW(A9)) = "Algemeen",
        IF(INDEX('2. Output kostprijs'!$A:$ZZ, 15,
            4 + 2 * (INDEX('Hulp (overig)'!$L$5:$L$50, ROW(A9)) - 1)
        )="Daghulp",
        INDEX('2. Output kostprijs'!$A:$ZZ, 47,
            4 + 2 * (INDEX('Hulp (overig)'!$L$5:$L$50, ROW(A9)) - 1)
        ), ""),
    IF(
        INDEX($K$5:$K$50, ROW(A9)) = "Gezinshuis",
            "",
        IF(
            INDEX($K$5:$K$50, ROW(A9)) = "Pleegzorg",
                 "",
            ""
        )
    )
)</f>
        <v/>
      </c>
      <c r="V13" s="21" t="str">
        <f>IF(
    INDEX($K$5:$K$50, ROW(A9)) = "Algemeen",
        IF(INDEX('2. Output kostprijs'!$A:$ZZ, 15,
            4 + 2 * (INDEX('Hulp (overig)'!$L$5:$L$50, ROW(A9)) - 1)
        )="Verblijf",
        INDEX('2. Output kostprijs'!$A:$ZZ, 47,
            4 + 2 * (INDEX('Hulp (overig)'!$L$5:$L$50, ROW(A9)) - 1)
        ), ""),
    IF(
        INDEX($K$5:$K$50, ROW(A9)) = "Gezinshuis",
            INDEX('3. Gezinshuis producten'!$A:$Y, 29,
            14 + 2 * (INDEX($L$5:$L$50, ROW(A9)) - 1)),
        IF(
            INDEX($K$5:$K$50, ROW(A9)) = "Pleegzorg",
                 INDEX('4. Pleegzorg producten'!$A:$Y, 26,
            13 + 3 * (INDEX($L$5:$L$50, ROW(A9)) - 1)),
            ""
        )
    )
)</f>
        <v/>
      </c>
      <c r="W13" s="21" t="str">
        <f>IF(
    INDEX($K$5:$K$50, ROW(A9)) = "Algemeen",
        IFERROR(IF('Hulp (control forms)'!$C$12&lt;&gt;TRUE, '1a. Input organisatieniveau'!$I$27, INDEX(
            '1a. Input organisatieniveau'!$L$18:$N$18,
            MATCH(
                INDEX('2. Output kostprijs'!$A:$ZZ,
                    15,
                    4 + 2 * (INDEX($L$5:$L$50, ROW(A9)) - 1)
                ),
                '1a. Input organisatieniveau'!$L$6:$N$6,
                0
            )
        )),""),
    IF(
        INDEX($K$5:$K$50, ROW(A9)) = "Gezinshuis",
            "",
        IF(
            INDEX($K$5:$K$50, ROW(A9)) = "Pleegzorg",
                 "",
            ""
        )
    )
)</f>
        <v/>
      </c>
      <c r="X13" s="21" t="str">
        <f>IF(
    INDEX($K$5:$K$50, ROW(A9)) = "Algemeen",
        IFERROR(IF('Hulp (control forms)'!$C$12&lt;&gt;TRUE, '1a. Input organisatieniveau'!$I$28, INDEX(
            '1a. Input organisatieniveau'!$L$19:$N$19,
            MATCH(
                INDEX('2. Output kostprijs'!$A:$ZZ,
                    15,
                    4 + 2 * (INDEX($L$5:$L$50, ROW(A9)) - 1)
                ),
                '1a. Input organisatieniveau'!$L$6:$N$6,
                0
            )
        )),""),
    IF(
        INDEX($K$5:$K$50, ROW(A9)) = "Gezinshuis",
            "",
        IF(
            INDEX($K$5:$K$50, ROW(A9)) = "Pleegzorg",
                 "",
            ""
        )
    )
)</f>
        <v/>
      </c>
    </row>
    <row r="14" spans="2:24" x14ac:dyDescent="0.45">
      <c r="B14" s="21" t="s">
        <v>719</v>
      </c>
      <c r="C14" s="350">
        <f>IF(
    INDEX(D14:H14, MATCH(Initialisatie!$C$5, D$4:H$4, 0))&lt;&gt;"",
    INDEX(D14:H14, MATCH(Initialisatie!$C$5, D$4:H$4, 0)),
    LOOKUP(2, 1/(D14:H14&lt;&gt;""), D14:H14)
)</f>
        <v>8.3299999999999999E-2</v>
      </c>
      <c r="D14" s="353"/>
      <c r="E14" s="353">
        <f>IFERROR(
  INDEX('Hulp (CAO''s)'!F3:F7, MATCH(TRUE, 'Hulp (CAO''s)'!D3:D7, 0)),
  ""
)</f>
        <v>8.3299999999999999E-2</v>
      </c>
      <c r="F14" s="353">
        <f>IFERROR(
  INDEX('Hulp (CAO''s)'!AJ3:AJ7, MATCH(TRUE, 'Hulp (CAO''s)'!D3:D7, 0)),
  ""
)</f>
        <v>8.3299999999999999E-2</v>
      </c>
      <c r="G14" s="353"/>
      <c r="H14" s="353"/>
      <c r="J14" s="364" t="str">
        <f t="array" ref="J14">IFERROR(
  IF(
    ROW(A10) &lt;= SUMPRODUCT(--('Hulp (control forms)'!$G$13:$G$52)),
      IF(
        INDEX(Initialisatie!B$10:B$49,
          SMALL(
            IF('Hulp (control forms)'!$G$13:$G$52=TRUE,
               ROW(Initialisatie!B$10:B$49)-ROW(Initialisatie!B$10)+1),
            ROW(A10)
          )
        )="","",
        INDEX(Initialisatie!B$10:B$49,
          SMALL(
            IF('Hulp (control forms)'!$G$13:$G$52=TRUE,
               ROW(Initialisatie!B$10:B$49)-ROW(Initialisatie!B$10)+1),
            ROW(A10)
          )
        )
      ),
    IFERROR(
      INDEX(
        '3. Gezinshuis producten'!E$7:E$9,
        SMALL(
          IF('Hulp (control forms)'!$F$6:$F$8=TRUE,
             ROW('3. Gezinshuis producten'!E$7:E$9)-ROW('3. Gezinshuis producten'!E$7)+1),
          ROW(A10) - SUMPRODUCT(--('Hulp (control forms)'!$G$13:$G$52))
        )
      ),
      IF(
        ROW(A10)
         - SUMPRODUCT(--('Hulp (control forms)'!$G$13:$G$52))
         - SUMPRODUCT(--('Hulp (control forms)'!$F$6:$F$8)) = 1,
        IF('4. Pleegzorg producten'!$M$26&lt;&gt;"",
           "Voltijd",
           IF('4. Pleegzorg producten'!$P$26&lt;&gt;"","Deeltijd","")
        ),
        IF(
          ROW(A10)
           - SUMPRODUCT(--('Hulp (control forms)'!$G$13:$G$52))
           - SUMPRODUCT(--('Hulp (control forms)'!$F$6:$F$8)) = 2,
          IF( AND('4. Pleegzorg producten'!$M$26&lt;&gt;"", '4. Pleegzorg producten'!$P$26&lt;&gt;"" ),
             "Deeltijd",
             ""
          ),
          ""
        )
      )
    )
  ),
"")</f>
        <v/>
      </c>
      <c r="K14" s="364" t="str">
        <f>IF(
  ROW(A10) &lt;= SUMPRODUCT(--('Hulp (control forms)'!$G$13:$G$52)),
      "Algemeen",
  IF(
    ROW(A10) - SUMPRODUCT(--('Hulp (control forms)'!$G$13:$G$52))
      &lt;= SUMPRODUCT(--('Hulp (control forms)'!$F$6:$F$8)),
        "Gezinshuis",
    IF(
      (ROW(A10)
        - SUMPRODUCT(--('Hulp (control forms)'!$G$13:$G$52))
        - SUMPRODUCT(--('Hulp (control forms)'!$F$6:$F$8)))
        &lt;= SUMPRODUCT(--('4. Pleegzorg producten'!$M$26&lt;&gt;"") + --('4. Pleegzorg producten'!$P$26&lt;&gt;"")),
          "Pleegzorg",
          ""
    )
  )
)</f>
        <v/>
      </c>
      <c r="L14" s="21" t="str">
        <f t="array" ref="L14">IF(
  ROW(A10) &lt;= SUMPRODUCT(--('Hulp (control forms)'!$G$13:$G$52)),
      ROW(A10),
  IF(
    ROW(A10) - SUMPRODUCT(--('Hulp (control forms)'!$G$13:$G$52))
      &lt;= SUMPRODUCT(--('Hulp (control forms)'!$F$6:$F$8)),
        SMALL(
    IF('Hulp (control forms)'!$F$6:$F$8,
       ROW('Hulp (control forms)'!$F$6:$F$8)
    ),
    ROW(A10) - SUMPRODUCT(--('Hulp (control forms)'!$G$13:$G$52))
)-5,
    IF(
      (ROW(A10)
        - SUMPRODUCT(--('Hulp (control forms)'!$G$13:$G$52))
        - SUMPRODUCT(--('Hulp (control forms)'!$F$6:$F$8)))
        &lt;= SUMPRODUCT(--('4. Pleegzorg producten'!$M$26&lt;&gt;"") + --('4. Pleegzorg producten'!$P$26&lt;&gt;"")),
        ROW(A10)
        - SUMPRODUCT(--('Hulp (control forms)'!$G$13:$G$52))
        - SUMPRODUCT(--('Hulp (control forms)'!$F$6:$F$8)),
        ""
    )
  )
)</f>
        <v/>
      </c>
      <c r="M14" s="21" t="str">
        <f t="array" ref="M14">IF(
    INDEX($K$5:$K$50, ROW(A10)) = "Algemeen",
        IFERROR(IF('Hulp (control forms)'!$C$7&lt;&gt;TRUE, '1a. Input organisatieniveau'!$I$19, INDEX(
            '1a. Input organisatieniveau'!$L$11:$N$11,
            MATCH(
                INDEX('2. Output kostprijs'!$A:$ZZ,
                    15,
                    4 + 2 * (INDEX($L$5:$L$50, ROW(A10)) - 1)
                ),
                '1a. Input organisatieniveau'!$L$6:$N$6,
                0
            )
        )),""),
    IF(
        INDEX($K$5:$K$50, ROW(A10)) = "Gezinshuis",
            "",
        IF(
            INDEX($K$5:$K$50, ROW(A10)) = "Pleegzorg",
                 "",
            ""
        )
    )
)</f>
        <v/>
      </c>
      <c r="N14" s="21" t="str">
        <f t="array" ref="N14">IF(
    INDEX($K$5:$K$50, ROW(A10)) = "Algemeen",
        IFERROR(IF('Hulp (control forms)'!$C$8&lt;&gt;TRUE, '1a. Input organisatieniveau'!$I$20, INDEX(
            '1a. Input organisatieniveau'!$L$12:$N$12,
            MATCH(
                INDEX('2. Output kostprijs'!$A:$ZZ,
                    15,
                    4 + 2 * (INDEX($L$5:$L$50, ROW(A10)) - 1)
                ),
                '1a. Input organisatieniveau'!$L$6:$N$6,
                0
            )
        )),""),
    IF(
        INDEX($K$5:$K$50, ROW(A10)) = "Gezinshuis",
            INDEX('3. Gezinshuis producten'!$A:$Y, 31,
            9 + 1 * (INDEX($L$5:$L$50, ROW(A10)) - 1)),
        IF(
            INDEX($K$5:$K$50, ROW(A10)) = "Pleegzorg",
                 "",
            ""
        )
    )
)</f>
        <v/>
      </c>
      <c r="O14" s="21" t="str">
        <f t="array" ref="O14">IF(
    INDEX($K$5:$K$50, ROW(A10)) = "Algemeen",
        IFERROR(IF('Hulp (control forms)'!$C$9&lt;&gt;TRUE, '1a. Input organisatieniveau'!$I$21, INDEX(
            '1a. Input organisatieniveau'!$L$13:$N$13,
            MATCH(
                INDEX('2. Output kostprijs'!$A:$ZZ,
                    15,
                    4 + 2 * (INDEX($L$5:$L$50, ROW(A10)) - 1)
                ),
                '1a. Input organisatieniveau'!$L$6:$N$6,
                0
            )
        )),""),
    IF(
        INDEX($K$5:$K$50, ROW(A10)) = "Gezinshuis",
            "",
        IF(
            INDEX($K$5:$K$50, ROW(A10)) = "Pleegzorg",
                 "",
            ""
        )
    )
)</f>
        <v/>
      </c>
      <c r="P14" s="21" t="str">
        <f>IF(
    INDEX($K$5:$K$50, ROW(A10)) = "Algemeen",
        IFERROR(IF('Hulp (control forms)'!$C$10&lt;&gt;TRUE, '1a. Input organisatieniveau'!$I$23, INDEX(
            '1a. Input organisatieniveau'!$L$15:$N$15,
            MATCH(
                INDEX('2. Output kostprijs'!$A:$ZZ,
                    15,
                    4 + 2 * (INDEX($L$5:$L$50, ROW(A10)) - 1)
                ),
                '1a. Input organisatieniveau'!$L$6:$N$6,
                0
            )
        )),""),
    IF(
        INDEX($K$5:$K$50, ROW(A10)) = "Gezinshuis",
            "",
        IF(
            INDEX($K$5:$K$50, ROW(A10)) = "Pleegzorg",
                 "",
            ""
        )
    )
)</f>
        <v/>
      </c>
      <c r="Q14" s="21" t="str">
        <f>IF(
    INDEX($K$5:$K$50, ROW(A10)) = "Algemeen",
        IFERROR(IF('Hulp (control forms)'!$C$11&lt;&gt;TRUE, '1a. Input organisatieniveau'!$I$24, INDEX(
            '1a. Input organisatieniveau'!$L$16:$N$16,
            MATCH(
                INDEX('2. Output kostprijs'!$A:$ZZ,
                    15,
                    4 + 2 * (INDEX($L$5:$L$50, ROW(A10)) - 1)
                ),
                '1a. Input organisatieniveau'!$L$6:$N$6,
                0
            )
        )),""),
    IF(
        INDEX($K$5:$K$50, ROW(A10)) = "Gezinshuis",
            "",
        IF(
            INDEX($K$5:$K$50, ROW(A10)) = "Pleegzorg",
                 "",
            ""
        )
    )
)</f>
        <v/>
      </c>
      <c r="R14" s="21" t="str">
        <f>IF(
    INDEX($K$5:$K$50, ROW(A10)) = "Algemeen",
        IFERROR(IF('Hulp (control forms)'!$C$12&lt;&gt;TRUE, '1a. Input organisatieniveau'!$I$29, INDEX(
            '1a. Input organisatieniveau'!$L$20:$N$20,
            MATCH(
                INDEX('2. Output kostprijs'!$A:$ZZ,
                    15,
                    4 + 2 * (INDEX($L$5:$L$50, ROW(A10)) - 1)
                ),
                '1a. Input organisatieniveau'!$L$6:$N$6,
                0
            )
        )),""),
    IF(
        INDEX($K$5:$K$50, ROW(A10)) = "Gezinshuis",
            "",
        IF(
            INDEX($K$5:$K$50, ROW(A10)) = "Pleegzorg",
                 "",
            ""
        )
    )
)</f>
        <v/>
      </c>
      <c r="S14" s="21" t="str">
        <f>IF(
    INDEX($K$5:$K$50, ROW(A10)) = "Algemeen",
        INDEX('2. Output kostprijs'!$A:$ZZ, 32,
            5 + 2 * (INDEX('Hulp (overig)'!$L$5:$L$50, ROW(A10)) - 1)
        ),
    IF(
        INDEX($K$5:$K$50, ROW(A10)) = "Gezinshuis",
            INDEX('3. Gezinshuis producten'!$A:$Y, 22,
            15 + 2 * (INDEX($L$5:$L$50, ROW(A10)) - 1)),
        IF(
            INDEX($K$5:$K$50, ROW(A10)) = "Pleegzorg",
                 INDEX('4. Pleegzorg producten'!$A:$Y, 24,
            13 + 3 * (INDEX($L$5:$L$50, ROW(A10)) - 1)) +
                 INDEX('4. Pleegzorg producten'!$A:$Y, 25,
            13 + 3 * (INDEX($L$5:$L$50, ROW(A10)) - 1)),
            ""
        )
    )
)</f>
        <v/>
      </c>
      <c r="T14" s="21" t="str">
        <f t="array" ref="T14">IF(
    INDEX($K$5:$K$50, ROW(A10)) = "Algemeen",
        IF(INDEX('2. Output kostprijs'!$A:$ZZ, 15,
            4 + 2 * (INDEX('Hulp (overig)'!$L$5:$L$50, ROW(A10)) - 1)
        )="Ambulant",
        INDEX('2. Output kostprijs'!$A:$ZZ, 47,
            4 + 2 * (INDEX('Hulp (overig)'!$L$5:$L$50, ROW(A10)) - 1)
        ), ""),
    IF(
        INDEX($K$5:$K$50, ROW(A10)) = "Gezinshuis",
            "",
        IF(
            INDEX($K$5:$K$50, ROW(A10)) = "Pleegzorg",
                 "",
            ""
        )
    )
)</f>
        <v/>
      </c>
      <c r="U14" s="21" t="str">
        <f>IF(
    INDEX($K$5:$K$50, ROW(A10)) = "Algemeen",
        IF(INDEX('2. Output kostprijs'!$A:$ZZ, 15,
            4 + 2 * (INDEX('Hulp (overig)'!$L$5:$L$50, ROW(A10)) - 1)
        )="Daghulp",
        INDEX('2. Output kostprijs'!$A:$ZZ, 47,
            4 + 2 * (INDEX('Hulp (overig)'!$L$5:$L$50, ROW(A10)) - 1)
        ), ""),
    IF(
        INDEX($K$5:$K$50, ROW(A10)) = "Gezinshuis",
            "",
        IF(
            INDEX($K$5:$K$50, ROW(A10)) = "Pleegzorg",
                 "",
            ""
        )
    )
)</f>
        <v/>
      </c>
      <c r="V14" s="21" t="str">
        <f>IF(
    INDEX($K$5:$K$50, ROW(A10)) = "Algemeen",
        IF(INDEX('2. Output kostprijs'!$A:$ZZ, 15,
            4 + 2 * (INDEX('Hulp (overig)'!$L$5:$L$50, ROW(A10)) - 1)
        )="Verblijf",
        INDEX('2. Output kostprijs'!$A:$ZZ, 47,
            4 + 2 * (INDEX('Hulp (overig)'!$L$5:$L$50, ROW(A10)) - 1)
        ), ""),
    IF(
        INDEX($K$5:$K$50, ROW(A10)) = "Gezinshuis",
            INDEX('3. Gezinshuis producten'!$A:$Y, 29,
            14 + 2 * (INDEX($L$5:$L$50, ROW(A10)) - 1)),
        IF(
            INDEX($K$5:$K$50, ROW(A10)) = "Pleegzorg",
                 INDEX('4. Pleegzorg producten'!$A:$Y, 26,
            13 + 3 * (INDEX($L$5:$L$50, ROW(A10)) - 1)),
            ""
        )
    )
)</f>
        <v/>
      </c>
      <c r="W14" s="21" t="str">
        <f>IF(
    INDEX($K$5:$K$50, ROW(A10)) = "Algemeen",
        IFERROR(IF('Hulp (control forms)'!$C$12&lt;&gt;TRUE, '1a. Input organisatieniveau'!$I$27, INDEX(
            '1a. Input organisatieniveau'!$L$18:$N$18,
            MATCH(
                INDEX('2. Output kostprijs'!$A:$ZZ,
                    15,
                    4 + 2 * (INDEX($L$5:$L$50, ROW(A10)) - 1)
                ),
                '1a. Input organisatieniveau'!$L$6:$N$6,
                0
            )
        )),""),
    IF(
        INDEX($K$5:$K$50, ROW(A10)) = "Gezinshuis",
            "",
        IF(
            INDEX($K$5:$K$50, ROW(A10)) = "Pleegzorg",
                 "",
            ""
        )
    )
)</f>
        <v/>
      </c>
      <c r="X14" s="21" t="str">
        <f>IF(
    INDEX($K$5:$K$50, ROW(A10)) = "Algemeen",
        IFERROR(IF('Hulp (control forms)'!$C$12&lt;&gt;TRUE, '1a. Input organisatieniveau'!$I$28, INDEX(
            '1a. Input organisatieniveau'!$L$19:$N$19,
            MATCH(
                INDEX('2. Output kostprijs'!$A:$ZZ,
                    15,
                    4 + 2 * (INDEX($L$5:$L$50, ROW(A10)) - 1)
                ),
                '1a. Input organisatieniveau'!$L$6:$N$6,
                0
            )
        )),""),
    IF(
        INDEX($K$5:$K$50, ROW(A10)) = "Gezinshuis",
            "",
        IF(
            INDEX($K$5:$K$50, ROW(A10)) = "Pleegzorg",
                 "",
            ""
        )
    )
)</f>
        <v/>
      </c>
    </row>
    <row r="15" spans="2:24" x14ac:dyDescent="0.45">
      <c r="B15" s="21" t="s">
        <v>746</v>
      </c>
      <c r="C15" s="352" t="str">
        <f>IF(
    INDEX(D15:H15, MATCH(Initialisatie!$C$5, D$4:H$4, 0))&lt;&gt;"",
    INDEX(D15:H15, MATCH(Initialisatie!$C$5, D$4:H$4, 0)),
    LOOKUP(2, 1/(D15:H15&lt;&gt;""), D15:H15)
)</f>
        <v>€ 1,000 / fte</v>
      </c>
      <c r="D15" s="352"/>
      <c r="E15" s="352" t="str">
        <f>IF(
    INDEX('Hulp (CAO''s)'!G3:G7, MATCH(TRUE, 'Hulp (CAO''s)'!D3:D7, 0)) = 0,
    "",
    INDEX('Hulp (CAO''s)'!G3:G7, MATCH(TRUE, 'Hulp (CAO''s)'!D3:D7, 0))
)</f>
        <v>€ 1,000 / fte</v>
      </c>
      <c r="F15" s="352" t="str">
        <f>IFERROR(
  INDEX('Hulp (CAO''s)'!AM3:AM7, MATCH(TRUE, 'Hulp (CAO''s)'!D3:D7, 0)),
  ""
)</f>
        <v>€ 1,000 / fte</v>
      </c>
      <c r="G15" s="352"/>
      <c r="H15" s="352"/>
      <c r="J15" s="364" t="str">
        <f t="array" ref="J15">IFERROR(
  IF(
    ROW(A11) &lt;= SUMPRODUCT(--('Hulp (control forms)'!$G$13:$G$52)),
      IF(
        INDEX(Initialisatie!B$10:B$49,
          SMALL(
            IF('Hulp (control forms)'!$G$13:$G$52=TRUE,
               ROW(Initialisatie!B$10:B$49)-ROW(Initialisatie!B$10)+1),
            ROW(A11)
          )
        )="","",
        INDEX(Initialisatie!B$10:B$49,
          SMALL(
            IF('Hulp (control forms)'!$G$13:$G$52=TRUE,
               ROW(Initialisatie!B$10:B$49)-ROW(Initialisatie!B$10)+1),
            ROW(A11)
          )
        )
      ),
    IFERROR(
      INDEX(
        '3. Gezinshuis producten'!E$7:E$9,
        SMALL(
          IF('Hulp (control forms)'!$F$6:$F$8=TRUE,
             ROW('3. Gezinshuis producten'!E$7:E$9)-ROW('3. Gezinshuis producten'!E$7)+1),
          ROW(A11) - SUMPRODUCT(--('Hulp (control forms)'!$G$13:$G$52))
        )
      ),
      IF(
        ROW(A11)
         - SUMPRODUCT(--('Hulp (control forms)'!$G$13:$G$52))
         - SUMPRODUCT(--('Hulp (control forms)'!$F$6:$F$8)) = 1,
        IF('4. Pleegzorg producten'!$M$26&lt;&gt;"",
           "Voltijd",
           IF('4. Pleegzorg producten'!$P$26&lt;&gt;"","Deeltijd","")
        ),
        IF(
          ROW(A11)
           - SUMPRODUCT(--('Hulp (control forms)'!$G$13:$G$52))
           - SUMPRODUCT(--('Hulp (control forms)'!$F$6:$F$8)) = 2,
          IF( AND('4. Pleegzorg producten'!$M$26&lt;&gt;"", '4. Pleegzorg producten'!$P$26&lt;&gt;"" ),
             "Deeltijd",
             ""
          ),
          ""
        )
      )
    )
  ),
"")</f>
        <v/>
      </c>
      <c r="K15" s="364" t="str">
        <f>IF(
  ROW(A11) &lt;= SUMPRODUCT(--('Hulp (control forms)'!$G$13:$G$52)),
      "Algemeen",
  IF(
    ROW(A11) - SUMPRODUCT(--('Hulp (control forms)'!$G$13:$G$52))
      &lt;= SUMPRODUCT(--('Hulp (control forms)'!$F$6:$F$8)),
        "Gezinshuis",
    IF(
      (ROW(A11)
        - SUMPRODUCT(--('Hulp (control forms)'!$G$13:$G$52))
        - SUMPRODUCT(--('Hulp (control forms)'!$F$6:$F$8)))
        &lt;= SUMPRODUCT(--('4. Pleegzorg producten'!$M$26&lt;&gt;"") + --('4. Pleegzorg producten'!$P$26&lt;&gt;"")),
          "Pleegzorg",
          ""
    )
  )
)</f>
        <v/>
      </c>
      <c r="L15" s="21" t="str">
        <f t="array" ref="L15">IF(
  ROW(A11) &lt;= SUMPRODUCT(--('Hulp (control forms)'!$G$13:$G$52)),
      ROW(A11),
  IF(
    ROW(A11) - SUMPRODUCT(--('Hulp (control forms)'!$G$13:$G$52))
      &lt;= SUMPRODUCT(--('Hulp (control forms)'!$F$6:$F$8)),
        SMALL(
    IF('Hulp (control forms)'!$F$6:$F$8,
       ROW('Hulp (control forms)'!$F$6:$F$8)
    ),
    ROW(A11) - SUMPRODUCT(--('Hulp (control forms)'!$G$13:$G$52))
)-5,
    IF(
      (ROW(A11)
        - SUMPRODUCT(--('Hulp (control forms)'!$G$13:$G$52))
        - SUMPRODUCT(--('Hulp (control forms)'!$F$6:$F$8)))
        &lt;= SUMPRODUCT(--('4. Pleegzorg producten'!$M$26&lt;&gt;"") + --('4. Pleegzorg producten'!$P$26&lt;&gt;"")),
        ROW(A11)
        - SUMPRODUCT(--('Hulp (control forms)'!$G$13:$G$52))
        - SUMPRODUCT(--('Hulp (control forms)'!$F$6:$F$8)),
        ""
    )
  )
)</f>
        <v/>
      </c>
      <c r="M15" s="21" t="str">
        <f t="array" ref="M15">IF(
    INDEX($K$5:$K$50, ROW(A11)) = "Algemeen",
        IFERROR(IF('Hulp (control forms)'!$C$7&lt;&gt;TRUE, '1a. Input organisatieniveau'!$I$19, INDEX(
            '1a. Input organisatieniveau'!$L$11:$N$11,
            MATCH(
                INDEX('2. Output kostprijs'!$A:$ZZ,
                    15,
                    4 + 2 * (INDEX($L$5:$L$50, ROW(A11)) - 1)
                ),
                '1a. Input organisatieniveau'!$L$6:$N$6,
                0
            )
        )),""),
    IF(
        INDEX($K$5:$K$50, ROW(A11)) = "Gezinshuis",
            "",
        IF(
            INDEX($K$5:$K$50, ROW(A11)) = "Pleegzorg",
                 "",
            ""
        )
    )
)</f>
        <v/>
      </c>
      <c r="N15" s="21" t="str">
        <f t="array" ref="N15">IF(
    INDEX($K$5:$K$50, ROW(A11)) = "Algemeen",
        IFERROR(IF('Hulp (control forms)'!$C$8&lt;&gt;TRUE, '1a. Input organisatieniveau'!$I$20, INDEX(
            '1a. Input organisatieniveau'!$L$12:$N$12,
            MATCH(
                INDEX('2. Output kostprijs'!$A:$ZZ,
                    15,
                    4 + 2 * (INDEX($L$5:$L$50, ROW(A11)) - 1)
                ),
                '1a. Input organisatieniveau'!$L$6:$N$6,
                0
            )
        )),""),
    IF(
        INDEX($K$5:$K$50, ROW(A11)) = "Gezinshuis",
            INDEX('3. Gezinshuis producten'!$A:$Y, 31,
            9 + 1 * (INDEX($L$5:$L$50, ROW(A11)) - 1)),
        IF(
            INDEX($K$5:$K$50, ROW(A11)) = "Pleegzorg",
                 "",
            ""
        )
    )
)</f>
        <v/>
      </c>
      <c r="O15" s="21" t="str">
        <f t="array" ref="O15">IF(
    INDEX($K$5:$K$50, ROW(A11)) = "Algemeen",
        IFERROR(IF('Hulp (control forms)'!$C$9&lt;&gt;TRUE, '1a. Input organisatieniveau'!$I$21, INDEX(
            '1a. Input organisatieniveau'!$L$13:$N$13,
            MATCH(
                INDEX('2. Output kostprijs'!$A:$ZZ,
                    15,
                    4 + 2 * (INDEX($L$5:$L$50, ROW(A11)) - 1)
                ),
                '1a. Input organisatieniveau'!$L$6:$N$6,
                0
            )
        )),""),
    IF(
        INDEX($K$5:$K$50, ROW(A11)) = "Gezinshuis",
            "",
        IF(
            INDEX($K$5:$K$50, ROW(A11)) = "Pleegzorg",
                 "",
            ""
        )
    )
)</f>
        <v/>
      </c>
      <c r="P15" s="21" t="str">
        <f>IF(
    INDEX($K$5:$K$50, ROW(A11)) = "Algemeen",
        IFERROR(IF('Hulp (control forms)'!$C$10&lt;&gt;TRUE, '1a. Input organisatieniveau'!$I$23, INDEX(
            '1a. Input organisatieniveau'!$L$15:$N$15,
            MATCH(
                INDEX('2. Output kostprijs'!$A:$ZZ,
                    15,
                    4 + 2 * (INDEX($L$5:$L$50, ROW(A11)) - 1)
                ),
                '1a. Input organisatieniveau'!$L$6:$N$6,
                0
            )
        )),""),
    IF(
        INDEX($K$5:$K$50, ROW(A11)) = "Gezinshuis",
            "",
        IF(
            INDEX($K$5:$K$50, ROW(A11)) = "Pleegzorg",
                 "",
            ""
        )
    )
)</f>
        <v/>
      </c>
      <c r="Q15" s="21" t="str">
        <f>IF(
    INDEX($K$5:$K$50, ROW(A11)) = "Algemeen",
        IFERROR(IF('Hulp (control forms)'!$C$11&lt;&gt;TRUE, '1a. Input organisatieniveau'!$I$24, INDEX(
            '1a. Input organisatieniveau'!$L$16:$N$16,
            MATCH(
                INDEX('2. Output kostprijs'!$A:$ZZ,
                    15,
                    4 + 2 * (INDEX($L$5:$L$50, ROW(A11)) - 1)
                ),
                '1a. Input organisatieniveau'!$L$6:$N$6,
                0
            )
        )),""),
    IF(
        INDEX($K$5:$K$50, ROW(A11)) = "Gezinshuis",
            "",
        IF(
            INDEX($K$5:$K$50, ROW(A11)) = "Pleegzorg",
                 "",
            ""
        )
    )
)</f>
        <v/>
      </c>
      <c r="R15" s="21" t="str">
        <f>IF(
    INDEX($K$5:$K$50, ROW(A11)) = "Algemeen",
        IFERROR(IF('Hulp (control forms)'!$C$12&lt;&gt;TRUE, '1a. Input organisatieniveau'!$I$29, INDEX(
            '1a. Input organisatieniveau'!$L$20:$N$20,
            MATCH(
                INDEX('2. Output kostprijs'!$A:$ZZ,
                    15,
                    4 + 2 * (INDEX($L$5:$L$50, ROW(A11)) - 1)
                ),
                '1a. Input organisatieniveau'!$L$6:$N$6,
                0
            )
        )),""),
    IF(
        INDEX($K$5:$K$50, ROW(A11)) = "Gezinshuis",
            "",
        IF(
            INDEX($K$5:$K$50, ROW(A11)) = "Pleegzorg",
                 "",
            ""
        )
    )
)</f>
        <v/>
      </c>
      <c r="S15" s="21" t="str">
        <f>IF(
    INDEX($K$5:$K$50, ROW(A11)) = "Algemeen",
        INDEX('2. Output kostprijs'!$A:$ZZ, 32,
            5 + 2 * (INDEX('Hulp (overig)'!$L$5:$L$50, ROW(A11)) - 1)
        ),
    IF(
        INDEX($K$5:$K$50, ROW(A11)) = "Gezinshuis",
            INDEX('3. Gezinshuis producten'!$A:$Y, 22,
            15 + 2 * (INDEX($L$5:$L$50, ROW(A11)) - 1)),
        IF(
            INDEX($K$5:$K$50, ROW(A11)) = "Pleegzorg",
                 INDEX('4. Pleegzorg producten'!$A:$Y, 24,
            13 + 3 * (INDEX($L$5:$L$50, ROW(A11)) - 1)) +
                 INDEX('4. Pleegzorg producten'!$A:$Y, 25,
            13 + 3 * (INDEX($L$5:$L$50, ROW(A11)) - 1)),
            ""
        )
    )
)</f>
        <v/>
      </c>
      <c r="T15" s="21" t="str">
        <f t="array" ref="T15">IF(
    INDEX($K$5:$K$50, ROW(A11)) = "Algemeen",
        IF(INDEX('2. Output kostprijs'!$A:$ZZ, 15,
            4 + 2 * (INDEX('Hulp (overig)'!$L$5:$L$50, ROW(A11)) - 1)
        )="Ambulant",
        INDEX('2. Output kostprijs'!$A:$ZZ, 47,
            4 + 2 * (INDEX('Hulp (overig)'!$L$5:$L$50, ROW(A11)) - 1)
        ), ""),
    IF(
        INDEX($K$5:$K$50, ROW(A11)) = "Gezinshuis",
            "",
        IF(
            INDEX($K$5:$K$50, ROW(A11)) = "Pleegzorg",
                 "",
            ""
        )
    )
)</f>
        <v/>
      </c>
      <c r="U15" s="21" t="str">
        <f>IF(
    INDEX($K$5:$K$50, ROW(A11)) = "Algemeen",
        IF(INDEX('2. Output kostprijs'!$A:$ZZ, 15,
            4 + 2 * (INDEX('Hulp (overig)'!$L$5:$L$50, ROW(A11)) - 1)
        )="Daghulp",
        INDEX('2. Output kostprijs'!$A:$ZZ, 47,
            4 + 2 * (INDEX('Hulp (overig)'!$L$5:$L$50, ROW(A11)) - 1)
        ), ""),
    IF(
        INDEX($K$5:$K$50, ROW(A11)) = "Gezinshuis",
            "",
        IF(
            INDEX($K$5:$K$50, ROW(A11)) = "Pleegzorg",
                 "",
            ""
        )
    )
)</f>
        <v/>
      </c>
      <c r="V15" s="21" t="str">
        <f>IF(
    INDEX($K$5:$K$50, ROW(A11)) = "Algemeen",
        IF(INDEX('2. Output kostprijs'!$A:$ZZ, 15,
            4 + 2 * (INDEX('Hulp (overig)'!$L$5:$L$50, ROW(A11)) - 1)
        )="Verblijf",
        INDEX('2. Output kostprijs'!$A:$ZZ, 47,
            4 + 2 * (INDEX('Hulp (overig)'!$L$5:$L$50, ROW(A11)) - 1)
        ), ""),
    IF(
        INDEX($K$5:$K$50, ROW(A11)) = "Gezinshuis",
            INDEX('3. Gezinshuis producten'!$A:$Y, 29,
            14 + 2 * (INDEX($L$5:$L$50, ROW(A11)) - 1)),
        IF(
            INDEX($K$5:$K$50, ROW(A11)) = "Pleegzorg",
                 INDEX('4. Pleegzorg producten'!$A:$Y, 26,
            13 + 3 * (INDEX($L$5:$L$50, ROW(A11)) - 1)),
            ""
        )
    )
)</f>
        <v/>
      </c>
      <c r="W15" s="21" t="str">
        <f>IF(
    INDEX($K$5:$K$50, ROW(A11)) = "Algemeen",
        IFERROR(IF('Hulp (control forms)'!$C$12&lt;&gt;TRUE, '1a. Input organisatieniveau'!$I$27, INDEX(
            '1a. Input organisatieniveau'!$L$18:$N$18,
            MATCH(
                INDEX('2. Output kostprijs'!$A:$ZZ,
                    15,
                    4 + 2 * (INDEX($L$5:$L$50, ROW(A11)) - 1)
                ),
                '1a. Input organisatieniveau'!$L$6:$N$6,
                0
            )
        )),""),
    IF(
        INDEX($K$5:$K$50, ROW(A11)) = "Gezinshuis",
            "",
        IF(
            INDEX($K$5:$K$50, ROW(A11)) = "Pleegzorg",
                 "",
            ""
        )
    )
)</f>
        <v/>
      </c>
      <c r="X15" s="21" t="str">
        <f>IF(
    INDEX($K$5:$K$50, ROW(A11)) = "Algemeen",
        IFERROR(IF('Hulp (control forms)'!$C$12&lt;&gt;TRUE, '1a. Input organisatieniveau'!$I$28, INDEX(
            '1a. Input organisatieniveau'!$L$19:$N$19,
            MATCH(
                INDEX('2. Output kostprijs'!$A:$ZZ,
                    15,
                    4 + 2 * (INDEX($L$5:$L$50, ROW(A11)) - 1)
                ),
                '1a. Input organisatieniveau'!$L$6:$N$6,
                0
            )
        )),""),
    IF(
        INDEX($K$5:$K$50, ROW(A11)) = "Gezinshuis",
            "",
        IF(
            INDEX($K$5:$K$50, ROW(A11)) = "Pleegzorg",
                 "",
            ""
        )
    )
)</f>
        <v/>
      </c>
    </row>
    <row r="16" spans="2:24" x14ac:dyDescent="0.45">
      <c r="B16" s="21" t="s">
        <v>1225</v>
      </c>
      <c r="C16" s="352" t="str" cm="1">
        <f t="array" ref="C16">IF(
    INDEX(D16:H16, MATCH(Initialisatie!$C$5, D$4:H$4, 0))&lt;&gt;"",
    INDEX(D16:H16, MATCH(Initialisatie!$C$5, D$4:H$4, 0)),
    LOOKUP(2, 1/(D16:H16&lt;&gt;""), D16:H16)
)</f>
        <v>CAO (GGZ), gewogen</v>
      </c>
      <c r="D16" s="352"/>
      <c r="E16" s="43" t="str">
        <f>IFERROR(
  INDEX('Hulp (CAO''s)'!AE3:AE7, MATCH(TRUE, 'Hulp (CAO''s)'!D3:D7, 0)),
  ""
)</f>
        <v>CAO (GGZ), gewogen</v>
      </c>
      <c r="F16" s="352"/>
      <c r="G16" s="352"/>
      <c r="H16" s="352"/>
      <c r="J16" s="364" t="str">
        <f t="array" ref="J16">IFERROR(
  IF(
    ROW(A12) &lt;= SUMPRODUCT(--('Hulp (control forms)'!$G$13:$G$52)),
      IF(
        INDEX(Initialisatie!B$10:B$49,
          SMALL(
            IF('Hulp (control forms)'!$G$13:$G$52=TRUE,
               ROW(Initialisatie!B$10:B$49)-ROW(Initialisatie!B$10)+1),
            ROW(A12)
          )
        )="","",
        INDEX(Initialisatie!B$10:B$49,
          SMALL(
            IF('Hulp (control forms)'!$G$13:$G$52=TRUE,
               ROW(Initialisatie!B$10:B$49)-ROW(Initialisatie!B$10)+1),
            ROW(A12)
          )
        )
      ),
    IFERROR(
      INDEX(
        '3. Gezinshuis producten'!E$7:E$9,
        SMALL(
          IF('Hulp (control forms)'!$F$6:$F$8=TRUE,
             ROW('3. Gezinshuis producten'!E$7:E$9)-ROW('3. Gezinshuis producten'!E$7)+1),
          ROW(A12) - SUMPRODUCT(--('Hulp (control forms)'!$G$13:$G$52))
        )
      ),
      IF(
        ROW(A12)
         - SUMPRODUCT(--('Hulp (control forms)'!$G$13:$G$52))
         - SUMPRODUCT(--('Hulp (control forms)'!$F$6:$F$8)) = 1,
        IF('4. Pleegzorg producten'!$M$26&lt;&gt;"",
           "Voltijd",
           IF('4. Pleegzorg producten'!$P$26&lt;&gt;"","Deeltijd","")
        ),
        IF(
          ROW(A12)
           - SUMPRODUCT(--('Hulp (control forms)'!$G$13:$G$52))
           - SUMPRODUCT(--('Hulp (control forms)'!$F$6:$F$8)) = 2,
          IF( AND('4. Pleegzorg producten'!$M$26&lt;&gt;"", '4. Pleegzorg producten'!$P$26&lt;&gt;"" ),
             "Deeltijd",
             ""
          ),
          ""
        )
      )
    )
  ),
"")</f>
        <v/>
      </c>
      <c r="K16" s="364" t="str">
        <f>IF(
  ROW(A12) &lt;= SUMPRODUCT(--('Hulp (control forms)'!$G$13:$G$52)),
      "Algemeen",
  IF(
    ROW(A12) - SUMPRODUCT(--('Hulp (control forms)'!$G$13:$G$52))
      &lt;= SUMPRODUCT(--('Hulp (control forms)'!$F$6:$F$8)),
        "Gezinshuis",
    IF(
      (ROW(A12)
        - SUMPRODUCT(--('Hulp (control forms)'!$G$13:$G$52))
        - SUMPRODUCT(--('Hulp (control forms)'!$F$6:$F$8)))
        &lt;= SUMPRODUCT(--('4. Pleegzorg producten'!$M$26&lt;&gt;"") + --('4. Pleegzorg producten'!$P$26&lt;&gt;"")),
          "Pleegzorg",
          ""
    )
  )
)</f>
        <v/>
      </c>
      <c r="L16" s="21" t="str">
        <f t="array" ref="L16">IF(
  ROW(A12) &lt;= SUMPRODUCT(--('Hulp (control forms)'!$G$13:$G$52)),
      ROW(A12),
  IF(
    ROW(A12) - SUMPRODUCT(--('Hulp (control forms)'!$G$13:$G$52))
      &lt;= SUMPRODUCT(--('Hulp (control forms)'!$F$6:$F$8)),
        SMALL(
    IF('Hulp (control forms)'!$F$6:$F$8,
       ROW('Hulp (control forms)'!$F$6:$F$8)
    ),
    ROW(A12) - SUMPRODUCT(--('Hulp (control forms)'!$G$13:$G$52))
)-5,
    IF(
      (ROW(A12)
        - SUMPRODUCT(--('Hulp (control forms)'!$G$13:$G$52))
        - SUMPRODUCT(--('Hulp (control forms)'!$F$6:$F$8)))
        &lt;= SUMPRODUCT(--('4. Pleegzorg producten'!$M$26&lt;&gt;"") + --('4. Pleegzorg producten'!$P$26&lt;&gt;"")),
        ROW(A12)
        - SUMPRODUCT(--('Hulp (control forms)'!$G$13:$G$52))
        - SUMPRODUCT(--('Hulp (control forms)'!$F$6:$F$8)),
        ""
    )
  )
)</f>
        <v/>
      </c>
      <c r="M16" s="21" t="str">
        <f t="array" ref="M16">IF(
    INDEX($K$5:$K$50, ROW(A12)) = "Algemeen",
        IFERROR(IF('Hulp (control forms)'!$C$7&lt;&gt;TRUE, '1a. Input organisatieniveau'!$I$19, INDEX(
            '1a. Input organisatieniveau'!$L$11:$N$11,
            MATCH(
                INDEX('2. Output kostprijs'!$A:$ZZ,
                    15,
                    4 + 2 * (INDEX($L$5:$L$50, ROW(A12)) - 1)
                ),
                '1a. Input organisatieniveau'!$L$6:$N$6,
                0
            )
        )),""),
    IF(
        INDEX($K$5:$K$50, ROW(A12)) = "Gezinshuis",
            "",
        IF(
            INDEX($K$5:$K$50, ROW(A12)) = "Pleegzorg",
                 "",
            ""
        )
    )
)</f>
        <v/>
      </c>
      <c r="N16" s="21" t="str">
        <f t="array" ref="N16">IF(
    INDEX($K$5:$K$50, ROW(A12)) = "Algemeen",
        IFERROR(IF('Hulp (control forms)'!$C$8&lt;&gt;TRUE, '1a. Input organisatieniveau'!$I$20, INDEX(
            '1a. Input organisatieniveau'!$L$12:$N$12,
            MATCH(
                INDEX('2. Output kostprijs'!$A:$ZZ,
                    15,
                    4 + 2 * (INDEX($L$5:$L$50, ROW(A12)) - 1)
                ),
                '1a. Input organisatieniveau'!$L$6:$N$6,
                0
            )
        )),""),
    IF(
        INDEX($K$5:$K$50, ROW(A12)) = "Gezinshuis",
            INDEX('3. Gezinshuis producten'!$A:$Y, 31,
            9 + 1 * (INDEX($L$5:$L$50, ROW(A12)) - 1)),
        IF(
            INDEX($K$5:$K$50, ROW(A12)) = "Pleegzorg",
                 "",
            ""
        )
    )
)</f>
        <v/>
      </c>
      <c r="O16" s="21" t="str">
        <f t="array" ref="O16">IF(
    INDEX($K$5:$K$50, ROW(A12)) = "Algemeen",
        IFERROR(IF('Hulp (control forms)'!$C$9&lt;&gt;TRUE, '1a. Input organisatieniveau'!$I$21, INDEX(
            '1a. Input organisatieniveau'!$L$13:$N$13,
            MATCH(
                INDEX('2. Output kostprijs'!$A:$ZZ,
                    15,
                    4 + 2 * (INDEX($L$5:$L$50, ROW(A12)) - 1)
                ),
                '1a. Input organisatieniveau'!$L$6:$N$6,
                0
            )
        )),""),
    IF(
        INDEX($K$5:$K$50, ROW(A12)) = "Gezinshuis",
            "",
        IF(
            INDEX($K$5:$K$50, ROW(A12)) = "Pleegzorg",
                 "",
            ""
        )
    )
)</f>
        <v/>
      </c>
      <c r="P16" s="21" t="str">
        <f>IF(
    INDEX($K$5:$K$50, ROW(A12)) = "Algemeen",
        IFERROR(IF('Hulp (control forms)'!$C$10&lt;&gt;TRUE, '1a. Input organisatieniveau'!$I$23, INDEX(
            '1a. Input organisatieniveau'!$L$15:$N$15,
            MATCH(
                INDEX('2. Output kostprijs'!$A:$ZZ,
                    15,
                    4 + 2 * (INDEX($L$5:$L$50, ROW(A12)) - 1)
                ),
                '1a. Input organisatieniveau'!$L$6:$N$6,
                0
            )
        )),""),
    IF(
        INDEX($K$5:$K$50, ROW(A12)) = "Gezinshuis",
            "",
        IF(
            INDEX($K$5:$K$50, ROW(A12)) = "Pleegzorg",
                 "",
            ""
        )
    )
)</f>
        <v/>
      </c>
      <c r="Q16" s="21" t="str">
        <f>IF(
    INDEX($K$5:$K$50, ROW(A12)) = "Algemeen",
        IFERROR(IF('Hulp (control forms)'!$C$11&lt;&gt;TRUE, '1a. Input organisatieniveau'!$I$24, INDEX(
            '1a. Input organisatieniveau'!$L$16:$N$16,
            MATCH(
                INDEX('2. Output kostprijs'!$A:$ZZ,
                    15,
                    4 + 2 * (INDEX($L$5:$L$50, ROW(A12)) - 1)
                ),
                '1a. Input organisatieniveau'!$L$6:$N$6,
                0
            )
        )),""),
    IF(
        INDEX($K$5:$K$50, ROW(A12)) = "Gezinshuis",
            "",
        IF(
            INDEX($K$5:$K$50, ROW(A12)) = "Pleegzorg",
                 "",
            ""
        )
    )
)</f>
        <v/>
      </c>
      <c r="R16" s="21" t="str">
        <f>IF(
    INDEX($K$5:$K$50, ROW(A12)) = "Algemeen",
        IFERROR(IF('Hulp (control forms)'!$C$12&lt;&gt;TRUE, '1a. Input organisatieniveau'!$I$29, INDEX(
            '1a. Input organisatieniveau'!$L$20:$N$20,
            MATCH(
                INDEX('2. Output kostprijs'!$A:$ZZ,
                    15,
                    4 + 2 * (INDEX($L$5:$L$50, ROW(A12)) - 1)
                ),
                '1a. Input organisatieniveau'!$L$6:$N$6,
                0
            )
        )),""),
    IF(
        INDEX($K$5:$K$50, ROW(A12)) = "Gezinshuis",
            "",
        IF(
            INDEX($K$5:$K$50, ROW(A12)) = "Pleegzorg",
                 "",
            ""
        )
    )
)</f>
        <v/>
      </c>
      <c r="S16" s="21" t="str">
        <f>IF(
    INDEX($K$5:$K$50, ROW(A12)) = "Algemeen",
        INDEX('2. Output kostprijs'!$A:$ZZ, 32,
            5 + 2 * (INDEX('Hulp (overig)'!$L$5:$L$50, ROW(A12)) - 1)
        ),
    IF(
        INDEX($K$5:$K$50, ROW(A12)) = "Gezinshuis",
            INDEX('3. Gezinshuis producten'!$A:$Y, 22,
            15 + 2 * (INDEX($L$5:$L$50, ROW(A12)) - 1)),
        IF(
            INDEX($K$5:$K$50, ROW(A12)) = "Pleegzorg",
                 INDEX('4. Pleegzorg producten'!$A:$Y, 24,
            13 + 3 * (INDEX($L$5:$L$50, ROW(A12)) - 1)) +
                 INDEX('4. Pleegzorg producten'!$A:$Y, 25,
            13 + 3 * (INDEX($L$5:$L$50, ROW(A12)) - 1)),
            ""
        )
    )
)</f>
        <v/>
      </c>
      <c r="T16" s="21" t="str">
        <f t="array" ref="T16">IF(
    INDEX($K$5:$K$50, ROW(A12)) = "Algemeen",
        IF(INDEX('2. Output kostprijs'!$A:$ZZ, 15,
            4 + 2 * (INDEX('Hulp (overig)'!$L$5:$L$50, ROW(A12)) - 1)
        )="Ambulant",
        INDEX('2. Output kostprijs'!$A:$ZZ, 47,
            4 + 2 * (INDEX('Hulp (overig)'!$L$5:$L$50, ROW(A12)) - 1)
        ), ""),
    IF(
        INDEX($K$5:$K$50, ROW(A12)) = "Gezinshuis",
            "",
        IF(
            INDEX($K$5:$K$50, ROW(A12)) = "Pleegzorg",
                 "",
            ""
        )
    )
)</f>
        <v/>
      </c>
      <c r="U16" s="21" t="str">
        <f>IF(
    INDEX($K$5:$K$50, ROW(A12)) = "Algemeen",
        IF(INDEX('2. Output kostprijs'!$A:$ZZ, 15,
            4 + 2 * (INDEX('Hulp (overig)'!$L$5:$L$50, ROW(A12)) - 1)
        )="Daghulp",
        INDEX('2. Output kostprijs'!$A:$ZZ, 47,
            4 + 2 * (INDEX('Hulp (overig)'!$L$5:$L$50, ROW(A12)) - 1)
        ), ""),
    IF(
        INDEX($K$5:$K$50, ROW(A12)) = "Gezinshuis",
            "",
        IF(
            INDEX($K$5:$K$50, ROW(A12)) = "Pleegzorg",
                 "",
            ""
        )
    )
)</f>
        <v/>
      </c>
      <c r="V16" s="21" t="str">
        <f>IF(
    INDEX($K$5:$K$50, ROW(A12)) = "Algemeen",
        IF(INDEX('2. Output kostprijs'!$A:$ZZ, 15,
            4 + 2 * (INDEX('Hulp (overig)'!$L$5:$L$50, ROW(A12)) - 1)
        )="Verblijf",
        INDEX('2. Output kostprijs'!$A:$ZZ, 47,
            4 + 2 * (INDEX('Hulp (overig)'!$L$5:$L$50, ROW(A12)) - 1)
        ), ""),
    IF(
        INDEX($K$5:$K$50, ROW(A12)) = "Gezinshuis",
            INDEX('3. Gezinshuis producten'!$A:$Y, 29,
            14 + 2 * (INDEX($L$5:$L$50, ROW(A12)) - 1)),
        IF(
            INDEX($K$5:$K$50, ROW(A12)) = "Pleegzorg",
                 INDEX('4. Pleegzorg producten'!$A:$Y, 26,
            13 + 3 * (INDEX($L$5:$L$50, ROW(A12)) - 1)),
            ""
        )
    )
)</f>
        <v/>
      </c>
      <c r="W16" s="21" t="str">
        <f>IF(
    INDEX($K$5:$K$50, ROW(A12)) = "Algemeen",
        IFERROR(IF('Hulp (control forms)'!$C$12&lt;&gt;TRUE, '1a. Input organisatieniveau'!$I$27, INDEX(
            '1a. Input organisatieniveau'!$L$18:$N$18,
            MATCH(
                INDEX('2. Output kostprijs'!$A:$ZZ,
                    15,
                    4 + 2 * (INDEX($L$5:$L$50, ROW(A12)) - 1)
                ),
                '1a. Input organisatieniveau'!$L$6:$N$6,
                0
            )
        )),""),
    IF(
        INDEX($K$5:$K$50, ROW(A12)) = "Gezinshuis",
            "",
        IF(
            INDEX($K$5:$K$50, ROW(A12)) = "Pleegzorg",
                 "",
            ""
        )
    )
)</f>
        <v/>
      </c>
      <c r="X16" s="21" t="str">
        <f>IF(
    INDEX($K$5:$K$50, ROW(A12)) = "Algemeen",
        IFERROR(IF('Hulp (control forms)'!$C$12&lt;&gt;TRUE, '1a. Input organisatieniveau'!$I$28, INDEX(
            '1a. Input organisatieniveau'!$L$19:$N$19,
            MATCH(
                INDEX('2. Output kostprijs'!$A:$ZZ,
                    15,
                    4 + 2 * (INDEX($L$5:$L$50, ROW(A12)) - 1)
                ),
                '1a. Input organisatieniveau'!$L$6:$N$6,
                0
            )
        )),""),
    IF(
        INDEX($K$5:$K$50, ROW(A12)) = "Gezinshuis",
            "",
        IF(
            INDEX($K$5:$K$50, ROW(A12)) = "Pleegzorg",
                 "",
            ""
        )
    )
)</f>
        <v/>
      </c>
    </row>
    <row r="17" spans="2:24" x14ac:dyDescent="0.45">
      <c r="B17" s="21" t="s">
        <v>713</v>
      </c>
      <c r="C17" s="352" t="str">
        <f>IF(
    INDEX(D17:H17, MATCH(Initialisatie!$C$5, D$4:H$4, 0))&lt;&gt;"",
    INDEX(D17:H17, MATCH(Initialisatie!$C$5, D$4:H$4, 0)),
    LOOKUP(2, 1/(D17:H17&lt;&gt;""), D17:H17)
)</f>
        <v>K</v>
      </c>
      <c r="D17" s="43" t="str">
        <f>IFERROR(
  INDEX('Hulp (CAO''s)'!H3:H7, MATCH(TRUE, 'Hulp (CAO''s)'!D3:D7, 0)),
  ""
)</f>
        <v>K</v>
      </c>
      <c r="E17" s="43" t="str">
        <f>IFERROR(
  INDEX('Hulp (CAO''s)'!H3:H7, MATCH(TRUE, 'Hulp (CAO''s)'!D3:D7, 0)),
  ""
)</f>
        <v>K</v>
      </c>
      <c r="F17" s="43" t="str">
        <f>IFERROR(
  INDEX('Hulp (CAO''s)'!H3:H7, MATCH(TRUE, 'Hulp (CAO''s)'!D3:D7, 0)),
  ""
)</f>
        <v>K</v>
      </c>
      <c r="G17" s="43" t="str">
        <f>IFERROR(
  INDEX('Hulp (CAO''s)'!H3:H7, MATCH(TRUE, 'Hulp (CAO''s)'!D3:D7, 0)),
  ""
)</f>
        <v>K</v>
      </c>
      <c r="H17" s="43" t="str">
        <f>IFERROR(
  INDEX('Hulp (CAO''s)'!H3:H7, MATCH(TRUE, 'Hulp (CAO''s)'!D3:D7, 0)),
  ""
)</f>
        <v>K</v>
      </c>
      <c r="J17" s="364" t="str">
        <f t="array" ref="J17">IFERROR(
  IF(
    ROW(A13) &lt;= SUMPRODUCT(--('Hulp (control forms)'!$G$13:$G$52)),
      IF(
        INDEX(Initialisatie!B$10:B$49,
          SMALL(
            IF('Hulp (control forms)'!$G$13:$G$52=TRUE,
               ROW(Initialisatie!B$10:B$49)-ROW(Initialisatie!B$10)+1),
            ROW(A13)
          )
        )="","",
        INDEX(Initialisatie!B$10:B$49,
          SMALL(
            IF('Hulp (control forms)'!$G$13:$G$52=TRUE,
               ROW(Initialisatie!B$10:B$49)-ROW(Initialisatie!B$10)+1),
            ROW(A13)
          )
        )
      ),
    IFERROR(
      INDEX(
        '3. Gezinshuis producten'!E$7:E$9,
        SMALL(
          IF('Hulp (control forms)'!$F$6:$F$8=TRUE,
             ROW('3. Gezinshuis producten'!E$7:E$9)-ROW('3. Gezinshuis producten'!E$7)+1),
          ROW(A13) - SUMPRODUCT(--('Hulp (control forms)'!$G$13:$G$52))
        )
      ),
      IF(
        ROW(A13)
         - SUMPRODUCT(--('Hulp (control forms)'!$G$13:$G$52))
         - SUMPRODUCT(--('Hulp (control forms)'!$F$6:$F$8)) = 1,
        IF('4. Pleegzorg producten'!$M$26&lt;&gt;"",
           "Voltijd",
           IF('4. Pleegzorg producten'!$P$26&lt;&gt;"","Deeltijd","")
        ),
        IF(
          ROW(A13)
           - SUMPRODUCT(--('Hulp (control forms)'!$G$13:$G$52))
           - SUMPRODUCT(--('Hulp (control forms)'!$F$6:$F$8)) = 2,
          IF( AND('4. Pleegzorg producten'!$M$26&lt;&gt;"", '4. Pleegzorg producten'!$P$26&lt;&gt;"" ),
             "Deeltijd",
             ""
          ),
          ""
        )
      )
    )
  ),
"")</f>
        <v/>
      </c>
      <c r="K17" s="364" t="str">
        <f>IF(
  ROW(A13) &lt;= SUMPRODUCT(--('Hulp (control forms)'!$G$13:$G$52)),
      "Algemeen",
  IF(
    ROW(A13) - SUMPRODUCT(--('Hulp (control forms)'!$G$13:$G$52))
      &lt;= SUMPRODUCT(--('Hulp (control forms)'!$F$6:$F$8)),
        "Gezinshuis",
    IF(
      (ROW(A13)
        - SUMPRODUCT(--('Hulp (control forms)'!$G$13:$G$52))
        - SUMPRODUCT(--('Hulp (control forms)'!$F$6:$F$8)))
        &lt;= SUMPRODUCT(--('4. Pleegzorg producten'!$M$26&lt;&gt;"") + --('4. Pleegzorg producten'!$P$26&lt;&gt;"")),
          "Pleegzorg",
          ""
    )
  )
)</f>
        <v/>
      </c>
      <c r="L17" s="21" t="str">
        <f t="array" ref="L17">IF(
  ROW(A13) &lt;= SUMPRODUCT(--('Hulp (control forms)'!$G$13:$G$52)),
      ROW(A13),
  IF(
    ROW(A13) - SUMPRODUCT(--('Hulp (control forms)'!$G$13:$G$52))
      &lt;= SUMPRODUCT(--('Hulp (control forms)'!$F$6:$F$8)),
        SMALL(
    IF('Hulp (control forms)'!$F$6:$F$8,
       ROW('Hulp (control forms)'!$F$6:$F$8)
    ),
    ROW(A13) - SUMPRODUCT(--('Hulp (control forms)'!$G$13:$G$52))
)-5,
    IF(
      (ROW(A13)
        - SUMPRODUCT(--('Hulp (control forms)'!$G$13:$G$52))
        - SUMPRODUCT(--('Hulp (control forms)'!$F$6:$F$8)))
        &lt;= SUMPRODUCT(--('4. Pleegzorg producten'!$M$26&lt;&gt;"") + --('4. Pleegzorg producten'!$P$26&lt;&gt;"")),
        ROW(A13)
        - SUMPRODUCT(--('Hulp (control forms)'!$G$13:$G$52))
        - SUMPRODUCT(--('Hulp (control forms)'!$F$6:$F$8)),
        ""
    )
  )
)</f>
        <v/>
      </c>
      <c r="M17" s="21" t="str">
        <f t="array" ref="M17">IF(
    INDEX($K$5:$K$50, ROW(A13)) = "Algemeen",
        IFERROR(IF('Hulp (control forms)'!$C$7&lt;&gt;TRUE, '1a. Input organisatieniveau'!$I$19, INDEX(
            '1a. Input organisatieniveau'!$L$11:$N$11,
            MATCH(
                INDEX('2. Output kostprijs'!$A:$ZZ,
                    15,
                    4 + 2 * (INDEX($L$5:$L$50, ROW(A13)) - 1)
                ),
                '1a. Input organisatieniveau'!$L$6:$N$6,
                0
            )
        )),""),
    IF(
        INDEX($K$5:$K$50, ROW(A13)) = "Gezinshuis",
            "",
        IF(
            INDEX($K$5:$K$50, ROW(A13)) = "Pleegzorg",
                 "",
            ""
        )
    )
)</f>
        <v/>
      </c>
      <c r="N17" s="21" t="str">
        <f t="array" ref="N17">IF(
    INDEX($K$5:$K$50, ROW(A13)) = "Algemeen",
        IFERROR(IF('Hulp (control forms)'!$C$8&lt;&gt;TRUE, '1a. Input organisatieniveau'!$I$20, INDEX(
            '1a. Input organisatieniveau'!$L$12:$N$12,
            MATCH(
                INDEX('2. Output kostprijs'!$A:$ZZ,
                    15,
                    4 + 2 * (INDEX($L$5:$L$50, ROW(A13)) - 1)
                ),
                '1a. Input organisatieniveau'!$L$6:$N$6,
                0
            )
        )),""),
    IF(
        INDEX($K$5:$K$50, ROW(A13)) = "Gezinshuis",
            INDEX('3. Gezinshuis producten'!$A:$Y, 31,
            9 + 1 * (INDEX($L$5:$L$50, ROW(A13)) - 1)),
        IF(
            INDEX($K$5:$K$50, ROW(A13)) = "Pleegzorg",
                 "",
            ""
        )
    )
)</f>
        <v/>
      </c>
      <c r="O17" s="21" t="str">
        <f t="array" ref="O17">IF(
    INDEX($K$5:$K$50, ROW(A13)) = "Algemeen",
        IFERROR(IF('Hulp (control forms)'!$C$9&lt;&gt;TRUE, '1a. Input organisatieniveau'!$I$21, INDEX(
            '1a. Input organisatieniveau'!$L$13:$N$13,
            MATCH(
                INDEX('2. Output kostprijs'!$A:$ZZ,
                    15,
                    4 + 2 * (INDEX($L$5:$L$50, ROW(A13)) - 1)
                ),
                '1a. Input organisatieniveau'!$L$6:$N$6,
                0
            )
        )),""),
    IF(
        INDEX($K$5:$K$50, ROW(A13)) = "Gezinshuis",
            "",
        IF(
            INDEX($K$5:$K$50, ROW(A13)) = "Pleegzorg",
                 "",
            ""
        )
    )
)</f>
        <v/>
      </c>
      <c r="P17" s="21" t="str">
        <f>IF(
    INDEX($K$5:$K$50, ROW(A13)) = "Algemeen",
        IFERROR(IF('Hulp (control forms)'!$C$10&lt;&gt;TRUE, '1a. Input organisatieniveau'!$I$23, INDEX(
            '1a. Input organisatieniveau'!$L$15:$N$15,
            MATCH(
                INDEX('2. Output kostprijs'!$A:$ZZ,
                    15,
                    4 + 2 * (INDEX($L$5:$L$50, ROW(A13)) - 1)
                ),
                '1a. Input organisatieniveau'!$L$6:$N$6,
                0
            )
        )),""),
    IF(
        INDEX($K$5:$K$50, ROW(A13)) = "Gezinshuis",
            "",
        IF(
            INDEX($K$5:$K$50, ROW(A13)) = "Pleegzorg",
                 "",
            ""
        )
    )
)</f>
        <v/>
      </c>
      <c r="Q17" s="21" t="str">
        <f>IF(
    INDEX($K$5:$K$50, ROW(A13)) = "Algemeen",
        IFERROR(IF('Hulp (control forms)'!$C$11&lt;&gt;TRUE, '1a. Input organisatieniveau'!$I$24, INDEX(
            '1a. Input organisatieniveau'!$L$16:$N$16,
            MATCH(
                INDEX('2. Output kostprijs'!$A:$ZZ,
                    15,
                    4 + 2 * (INDEX($L$5:$L$50, ROW(A13)) - 1)
                ),
                '1a. Input organisatieniveau'!$L$6:$N$6,
                0
            )
        )),""),
    IF(
        INDEX($K$5:$K$50, ROW(A13)) = "Gezinshuis",
            "",
        IF(
            INDEX($K$5:$K$50, ROW(A13)) = "Pleegzorg",
                 "",
            ""
        )
    )
)</f>
        <v/>
      </c>
      <c r="R17" s="21" t="str">
        <f>IF(
    INDEX($K$5:$K$50, ROW(A13)) = "Algemeen",
        IFERROR(IF('Hulp (control forms)'!$C$12&lt;&gt;TRUE, '1a. Input organisatieniveau'!$I$29, INDEX(
            '1a. Input organisatieniveau'!$L$20:$N$20,
            MATCH(
                INDEX('2. Output kostprijs'!$A:$ZZ,
                    15,
                    4 + 2 * (INDEX($L$5:$L$50, ROW(A13)) - 1)
                ),
                '1a. Input organisatieniveau'!$L$6:$N$6,
                0
            )
        )),""),
    IF(
        INDEX($K$5:$K$50, ROW(A13)) = "Gezinshuis",
            "",
        IF(
            INDEX($K$5:$K$50, ROW(A13)) = "Pleegzorg",
                 "",
            ""
        )
    )
)</f>
        <v/>
      </c>
      <c r="S17" s="21" t="str">
        <f>IF(
    INDEX($K$5:$K$50, ROW(A13)) = "Algemeen",
        INDEX('2. Output kostprijs'!$A:$ZZ, 32,
            5 + 2 * (INDEX('Hulp (overig)'!$L$5:$L$50, ROW(A13)) - 1)
        ),
    IF(
        INDEX($K$5:$K$50, ROW(A13)) = "Gezinshuis",
            INDEX('3. Gezinshuis producten'!$A:$Y, 22,
            15 + 2 * (INDEX($L$5:$L$50, ROW(A13)) - 1)),
        IF(
            INDEX($K$5:$K$50, ROW(A13)) = "Pleegzorg",
                 INDEX('4. Pleegzorg producten'!$A:$Y, 24,
            13 + 3 * (INDEX($L$5:$L$50, ROW(A13)) - 1)) +
                 INDEX('4. Pleegzorg producten'!$A:$Y, 25,
            13 + 3 * (INDEX($L$5:$L$50, ROW(A13)) - 1)),
            ""
        )
    )
)</f>
        <v/>
      </c>
      <c r="T17" s="21" t="str">
        <f t="array" ref="T17">IF(
    INDEX($K$5:$K$50, ROW(A13)) = "Algemeen",
        IF(INDEX('2. Output kostprijs'!$A:$ZZ, 15,
            4 + 2 * (INDEX('Hulp (overig)'!$L$5:$L$50, ROW(A13)) - 1)
        )="Ambulant",
        INDEX('2. Output kostprijs'!$A:$ZZ, 47,
            4 + 2 * (INDEX('Hulp (overig)'!$L$5:$L$50, ROW(A13)) - 1)
        ), ""),
    IF(
        INDEX($K$5:$K$50, ROW(A13)) = "Gezinshuis",
            "",
        IF(
            INDEX($K$5:$K$50, ROW(A13)) = "Pleegzorg",
                 "",
            ""
        )
    )
)</f>
        <v/>
      </c>
      <c r="U17" s="21" t="str">
        <f>IF(
    INDEX($K$5:$K$50, ROW(A13)) = "Algemeen",
        IF(INDEX('2. Output kostprijs'!$A:$ZZ, 15,
            4 + 2 * (INDEX('Hulp (overig)'!$L$5:$L$50, ROW(A13)) - 1)
        )="Daghulp",
        INDEX('2. Output kostprijs'!$A:$ZZ, 47,
            4 + 2 * (INDEX('Hulp (overig)'!$L$5:$L$50, ROW(A13)) - 1)
        ), ""),
    IF(
        INDEX($K$5:$K$50, ROW(A13)) = "Gezinshuis",
            "",
        IF(
            INDEX($K$5:$K$50, ROW(A13)) = "Pleegzorg",
                 "",
            ""
        )
    )
)</f>
        <v/>
      </c>
      <c r="V17" s="21" t="str">
        <f>IF(
    INDEX($K$5:$K$50, ROW(A13)) = "Algemeen",
        IF(INDEX('2. Output kostprijs'!$A:$ZZ, 15,
            4 + 2 * (INDEX('Hulp (overig)'!$L$5:$L$50, ROW(A13)) - 1)
        )="Verblijf",
        INDEX('2. Output kostprijs'!$A:$ZZ, 47,
            4 + 2 * (INDEX('Hulp (overig)'!$L$5:$L$50, ROW(A13)) - 1)
        ), ""),
    IF(
        INDEX($K$5:$K$50, ROW(A13)) = "Gezinshuis",
            INDEX('3. Gezinshuis producten'!$A:$Y, 29,
            14 + 2 * (INDEX($L$5:$L$50, ROW(A13)) - 1)),
        IF(
            INDEX($K$5:$K$50, ROW(A13)) = "Pleegzorg",
                 INDEX('4. Pleegzorg producten'!$A:$Y, 26,
            13 + 3 * (INDEX($L$5:$L$50, ROW(A13)) - 1)),
            ""
        )
    )
)</f>
        <v/>
      </c>
      <c r="W17" s="21" t="str">
        <f>IF(
    INDEX($K$5:$K$50, ROW(A13)) = "Algemeen",
        IFERROR(IF('Hulp (control forms)'!$C$12&lt;&gt;TRUE, '1a. Input organisatieniveau'!$I$27, INDEX(
            '1a. Input organisatieniveau'!$L$18:$N$18,
            MATCH(
                INDEX('2. Output kostprijs'!$A:$ZZ,
                    15,
                    4 + 2 * (INDEX($L$5:$L$50, ROW(A13)) - 1)
                ),
                '1a. Input organisatieniveau'!$L$6:$N$6,
                0
            )
        )),""),
    IF(
        INDEX($K$5:$K$50, ROW(A13)) = "Gezinshuis",
            "",
        IF(
            INDEX($K$5:$K$50, ROW(A13)) = "Pleegzorg",
                 "",
            ""
        )
    )
)</f>
        <v/>
      </c>
      <c r="X17" s="21" t="str">
        <f>IF(
    INDEX($K$5:$K$50, ROW(A13)) = "Algemeen",
        IFERROR(IF('Hulp (control forms)'!$C$12&lt;&gt;TRUE, '1a. Input organisatieniveau'!$I$28, INDEX(
            '1a. Input organisatieniveau'!$L$19:$N$19,
            MATCH(
                INDEX('2. Output kostprijs'!$A:$ZZ,
                    15,
                    4 + 2 * (INDEX($L$5:$L$50, ROW(A13)) - 1)
                ),
                '1a. Input organisatieniveau'!$L$6:$N$6,
                0
            )
        )),""),
    IF(
        INDEX($K$5:$K$50, ROW(A13)) = "Gezinshuis",
            "",
        IF(
            INDEX($K$5:$K$50, ROW(A13)) = "Pleegzorg",
                 "",
            ""
        )
    )
)</f>
        <v/>
      </c>
    </row>
    <row r="18" spans="2:24" x14ac:dyDescent="0.45">
      <c r="B18" s="21" t="s">
        <v>720</v>
      </c>
      <c r="C18" s="352" t="str">
        <f>IF(
    INDEX(D18:H18, MATCH(Initialisatie!$C$5, D$4:H$4, 0))&lt;&gt;"",
    INDEX(D18:H18, MATCH(Initialisatie!$C$5, D$4:H$4, 0)),
    LOOKUP(2, 1/(D18:H18&lt;&gt;""), D18:H18)
)</f>
        <v>Bruto maandsalaris</v>
      </c>
      <c r="D18" s="43"/>
      <c r="E18" s="43" t="str">
        <f>IFERROR(
  INDEX('Hulp (CAO''s)'!I3:I7, MATCH(TRUE, 'Hulp (CAO''s)'!D3:D7, 0)),
  ""
)</f>
        <v>Bruto maandsalaris</v>
      </c>
      <c r="F18" s="43"/>
      <c r="G18" s="43"/>
      <c r="H18" s="43"/>
      <c r="J18" s="364" t="str">
        <f t="array" ref="J18">IFERROR(
  IF(
    ROW(A14) &lt;= SUMPRODUCT(--('Hulp (control forms)'!$G$13:$G$52)),
      IF(
        INDEX(Initialisatie!B$10:B$49,
          SMALL(
            IF('Hulp (control forms)'!$G$13:$G$52=TRUE,
               ROW(Initialisatie!B$10:B$49)-ROW(Initialisatie!B$10)+1),
            ROW(A14)
          )
        )="","",
        INDEX(Initialisatie!B$10:B$49,
          SMALL(
            IF('Hulp (control forms)'!$G$13:$G$52=TRUE,
               ROW(Initialisatie!B$10:B$49)-ROW(Initialisatie!B$10)+1),
            ROW(A14)
          )
        )
      ),
    IFERROR(
      INDEX(
        '3. Gezinshuis producten'!E$7:E$9,
        SMALL(
          IF('Hulp (control forms)'!$F$6:$F$8=TRUE,
             ROW('3. Gezinshuis producten'!E$7:E$9)-ROW('3. Gezinshuis producten'!E$7)+1),
          ROW(A14) - SUMPRODUCT(--('Hulp (control forms)'!$G$13:$G$52))
        )
      ),
      IF(
        ROW(A14)
         - SUMPRODUCT(--('Hulp (control forms)'!$G$13:$G$52))
         - SUMPRODUCT(--('Hulp (control forms)'!$F$6:$F$8)) = 1,
        IF('4. Pleegzorg producten'!$M$26&lt;&gt;"",
           "Voltijd",
           IF('4. Pleegzorg producten'!$P$26&lt;&gt;"","Deeltijd","")
        ),
        IF(
          ROW(A14)
           - SUMPRODUCT(--('Hulp (control forms)'!$G$13:$G$52))
           - SUMPRODUCT(--('Hulp (control forms)'!$F$6:$F$8)) = 2,
          IF( AND('4. Pleegzorg producten'!$M$26&lt;&gt;"", '4. Pleegzorg producten'!$P$26&lt;&gt;"" ),
             "Deeltijd",
             ""
          ),
          ""
        )
      )
    )
  ),
"")</f>
        <v/>
      </c>
      <c r="K18" s="364" t="str">
        <f>IF(
  ROW(A14) &lt;= SUMPRODUCT(--('Hulp (control forms)'!$G$13:$G$52)),
      "Algemeen",
  IF(
    ROW(A14) - SUMPRODUCT(--('Hulp (control forms)'!$G$13:$G$52))
      &lt;= SUMPRODUCT(--('Hulp (control forms)'!$F$6:$F$8)),
        "Gezinshuis",
    IF(
      (ROW(A14)
        - SUMPRODUCT(--('Hulp (control forms)'!$G$13:$G$52))
        - SUMPRODUCT(--('Hulp (control forms)'!$F$6:$F$8)))
        &lt;= SUMPRODUCT(--('4. Pleegzorg producten'!$M$26&lt;&gt;"") + --('4. Pleegzorg producten'!$P$26&lt;&gt;"")),
          "Pleegzorg",
          ""
    )
  )
)</f>
        <v/>
      </c>
      <c r="L18" s="21" t="str">
        <f t="array" ref="L18">IF(
  ROW(A14) &lt;= SUMPRODUCT(--('Hulp (control forms)'!$G$13:$G$52)),
      ROW(A14),
  IF(
    ROW(A14) - SUMPRODUCT(--('Hulp (control forms)'!$G$13:$G$52))
      &lt;= SUMPRODUCT(--('Hulp (control forms)'!$F$6:$F$8)),
        SMALL(
    IF('Hulp (control forms)'!$F$6:$F$8,
       ROW('Hulp (control forms)'!$F$6:$F$8)
    ),
    ROW(A14) - SUMPRODUCT(--('Hulp (control forms)'!$G$13:$G$52))
)-5,
    IF(
      (ROW(A14)
        - SUMPRODUCT(--('Hulp (control forms)'!$G$13:$G$52))
        - SUMPRODUCT(--('Hulp (control forms)'!$F$6:$F$8)))
        &lt;= SUMPRODUCT(--('4. Pleegzorg producten'!$M$26&lt;&gt;"") + --('4. Pleegzorg producten'!$P$26&lt;&gt;"")),
        ROW(A14)
        - SUMPRODUCT(--('Hulp (control forms)'!$G$13:$G$52))
        - SUMPRODUCT(--('Hulp (control forms)'!$F$6:$F$8)),
        ""
    )
  )
)</f>
        <v/>
      </c>
      <c r="M18" s="21" t="str">
        <f t="array" ref="M18">IF(
    INDEX($K$5:$K$50, ROW(A14)) = "Algemeen",
        IFERROR(IF('Hulp (control forms)'!$C$7&lt;&gt;TRUE, '1a. Input organisatieniveau'!$I$19, INDEX(
            '1a. Input organisatieniveau'!$L$11:$N$11,
            MATCH(
                INDEX('2. Output kostprijs'!$A:$ZZ,
                    15,
                    4 + 2 * (INDEX($L$5:$L$50, ROW(A14)) - 1)
                ),
                '1a. Input organisatieniveau'!$L$6:$N$6,
                0
            )
        )),""),
    IF(
        INDEX($K$5:$K$50, ROW(A14)) = "Gezinshuis",
            "",
        IF(
            INDEX($K$5:$K$50, ROW(A14)) = "Pleegzorg",
                 "",
            ""
        )
    )
)</f>
        <v/>
      </c>
      <c r="N18" s="21" t="str">
        <f t="array" ref="N18">IF(
    INDEX($K$5:$K$50, ROW(A14)) = "Algemeen",
        IFERROR(IF('Hulp (control forms)'!$C$8&lt;&gt;TRUE, '1a. Input organisatieniveau'!$I$20, INDEX(
            '1a. Input organisatieniveau'!$L$12:$N$12,
            MATCH(
                INDEX('2. Output kostprijs'!$A:$ZZ,
                    15,
                    4 + 2 * (INDEX($L$5:$L$50, ROW(A14)) - 1)
                ),
                '1a. Input organisatieniveau'!$L$6:$N$6,
                0
            )
        )),""),
    IF(
        INDEX($K$5:$K$50, ROW(A14)) = "Gezinshuis",
            INDEX('3. Gezinshuis producten'!$A:$Y, 31,
            9 + 1 * (INDEX($L$5:$L$50, ROW(A14)) - 1)),
        IF(
            INDEX($K$5:$K$50, ROW(A14)) = "Pleegzorg",
                 "",
            ""
        )
    )
)</f>
        <v/>
      </c>
      <c r="O18" s="21" t="str">
        <f t="array" ref="O18">IF(
    INDEX($K$5:$K$50, ROW(A14)) = "Algemeen",
        IFERROR(IF('Hulp (control forms)'!$C$9&lt;&gt;TRUE, '1a. Input organisatieniveau'!$I$21, INDEX(
            '1a. Input organisatieniveau'!$L$13:$N$13,
            MATCH(
                INDEX('2. Output kostprijs'!$A:$ZZ,
                    15,
                    4 + 2 * (INDEX($L$5:$L$50, ROW(A14)) - 1)
                ),
                '1a. Input organisatieniveau'!$L$6:$N$6,
                0
            )
        )),""),
    IF(
        INDEX($K$5:$K$50, ROW(A14)) = "Gezinshuis",
            "",
        IF(
            INDEX($K$5:$K$50, ROW(A14)) = "Pleegzorg",
                 "",
            ""
        )
    )
)</f>
        <v/>
      </c>
      <c r="P18" s="21" t="str">
        <f>IF(
    INDEX($K$5:$K$50, ROW(A14)) = "Algemeen",
        IFERROR(IF('Hulp (control forms)'!$C$10&lt;&gt;TRUE, '1a. Input organisatieniveau'!$I$23, INDEX(
            '1a. Input organisatieniveau'!$L$15:$N$15,
            MATCH(
                INDEX('2. Output kostprijs'!$A:$ZZ,
                    15,
                    4 + 2 * (INDEX($L$5:$L$50, ROW(A14)) - 1)
                ),
                '1a. Input organisatieniveau'!$L$6:$N$6,
                0
            )
        )),""),
    IF(
        INDEX($K$5:$K$50, ROW(A14)) = "Gezinshuis",
            "",
        IF(
            INDEX($K$5:$K$50, ROW(A14)) = "Pleegzorg",
                 "",
            ""
        )
    )
)</f>
        <v/>
      </c>
      <c r="Q18" s="21" t="str">
        <f>IF(
    INDEX($K$5:$K$50, ROW(A14)) = "Algemeen",
        IFERROR(IF('Hulp (control forms)'!$C$11&lt;&gt;TRUE, '1a. Input organisatieniveau'!$I$24, INDEX(
            '1a. Input organisatieniveau'!$L$16:$N$16,
            MATCH(
                INDEX('2. Output kostprijs'!$A:$ZZ,
                    15,
                    4 + 2 * (INDEX($L$5:$L$50, ROW(A14)) - 1)
                ),
                '1a. Input organisatieniveau'!$L$6:$N$6,
                0
            )
        )),""),
    IF(
        INDEX($K$5:$K$50, ROW(A14)) = "Gezinshuis",
            "",
        IF(
            INDEX($K$5:$K$50, ROW(A14)) = "Pleegzorg",
                 "",
            ""
        )
    )
)</f>
        <v/>
      </c>
      <c r="R18" s="21" t="str">
        <f>IF(
    INDEX($K$5:$K$50, ROW(A14)) = "Algemeen",
        IFERROR(IF('Hulp (control forms)'!$C$12&lt;&gt;TRUE, '1a. Input organisatieniveau'!$I$29, INDEX(
            '1a. Input organisatieniveau'!$L$20:$N$20,
            MATCH(
                INDEX('2. Output kostprijs'!$A:$ZZ,
                    15,
                    4 + 2 * (INDEX($L$5:$L$50, ROW(A14)) - 1)
                ),
                '1a. Input organisatieniveau'!$L$6:$N$6,
                0
            )
        )),""),
    IF(
        INDEX($K$5:$K$50, ROW(A14)) = "Gezinshuis",
            "",
        IF(
            INDEX($K$5:$K$50, ROW(A14)) = "Pleegzorg",
                 "",
            ""
        )
    )
)</f>
        <v/>
      </c>
      <c r="S18" s="21" t="str">
        <f>IF(
    INDEX($K$5:$K$50, ROW(A14)) = "Algemeen",
        INDEX('2. Output kostprijs'!$A:$ZZ, 32,
            5 + 2 * (INDEX('Hulp (overig)'!$L$5:$L$50, ROW(A14)) - 1)
        ),
    IF(
        INDEX($K$5:$K$50, ROW(A14)) = "Gezinshuis",
            INDEX('3. Gezinshuis producten'!$A:$Y, 22,
            15 + 2 * (INDEX($L$5:$L$50, ROW(A14)) - 1)),
        IF(
            INDEX($K$5:$K$50, ROW(A14)) = "Pleegzorg",
                 INDEX('4. Pleegzorg producten'!$A:$Y, 24,
            13 + 3 * (INDEX($L$5:$L$50, ROW(A14)) - 1)) +
                 INDEX('4. Pleegzorg producten'!$A:$Y, 25,
            13 + 3 * (INDEX($L$5:$L$50, ROW(A14)) - 1)),
            ""
        )
    )
)</f>
        <v/>
      </c>
      <c r="T18" s="21" t="str">
        <f t="array" ref="T18">IF(
    INDEX($K$5:$K$50, ROW(A14)) = "Algemeen",
        IF(INDEX('2. Output kostprijs'!$A:$ZZ, 15,
            4 + 2 * (INDEX('Hulp (overig)'!$L$5:$L$50, ROW(A14)) - 1)
        )="Ambulant",
        INDEX('2. Output kostprijs'!$A:$ZZ, 47,
            4 + 2 * (INDEX('Hulp (overig)'!$L$5:$L$50, ROW(A14)) - 1)
        ), ""),
    IF(
        INDEX($K$5:$K$50, ROW(A14)) = "Gezinshuis",
            "",
        IF(
            INDEX($K$5:$K$50, ROW(A14)) = "Pleegzorg",
                 "",
            ""
        )
    )
)</f>
        <v/>
      </c>
      <c r="U18" s="21" t="str">
        <f>IF(
    INDEX($K$5:$K$50, ROW(A14)) = "Algemeen",
        IF(INDEX('2. Output kostprijs'!$A:$ZZ, 15,
            4 + 2 * (INDEX('Hulp (overig)'!$L$5:$L$50, ROW(A14)) - 1)
        )="Daghulp",
        INDEX('2. Output kostprijs'!$A:$ZZ, 47,
            4 + 2 * (INDEX('Hulp (overig)'!$L$5:$L$50, ROW(A14)) - 1)
        ), ""),
    IF(
        INDEX($K$5:$K$50, ROW(A14)) = "Gezinshuis",
            "",
        IF(
            INDEX($K$5:$K$50, ROW(A14)) = "Pleegzorg",
                 "",
            ""
        )
    )
)</f>
        <v/>
      </c>
      <c r="V18" s="21" t="str">
        <f>IF(
    INDEX($K$5:$K$50, ROW(A14)) = "Algemeen",
        IF(INDEX('2. Output kostprijs'!$A:$ZZ, 15,
            4 + 2 * (INDEX('Hulp (overig)'!$L$5:$L$50, ROW(A14)) - 1)
        )="Verblijf",
        INDEX('2. Output kostprijs'!$A:$ZZ, 47,
            4 + 2 * (INDEX('Hulp (overig)'!$L$5:$L$50, ROW(A14)) - 1)
        ), ""),
    IF(
        INDEX($K$5:$K$50, ROW(A14)) = "Gezinshuis",
            INDEX('3. Gezinshuis producten'!$A:$Y, 29,
            14 + 2 * (INDEX($L$5:$L$50, ROW(A14)) - 1)),
        IF(
            INDEX($K$5:$K$50, ROW(A14)) = "Pleegzorg",
                 INDEX('4. Pleegzorg producten'!$A:$Y, 26,
            13 + 3 * (INDEX($L$5:$L$50, ROW(A14)) - 1)),
            ""
        )
    )
)</f>
        <v/>
      </c>
      <c r="W18" s="21" t="str">
        <f>IF(
    INDEX($K$5:$K$50, ROW(A14)) = "Algemeen",
        IFERROR(IF('Hulp (control forms)'!$C$12&lt;&gt;TRUE, '1a. Input organisatieniveau'!$I$27, INDEX(
            '1a. Input organisatieniveau'!$L$18:$N$18,
            MATCH(
                INDEX('2. Output kostprijs'!$A:$ZZ,
                    15,
                    4 + 2 * (INDEX($L$5:$L$50, ROW(A14)) - 1)
                ),
                '1a. Input organisatieniveau'!$L$6:$N$6,
                0
            )
        )),""),
    IF(
        INDEX($K$5:$K$50, ROW(A14)) = "Gezinshuis",
            "",
        IF(
            INDEX($K$5:$K$50, ROW(A14)) = "Pleegzorg",
                 "",
            ""
        )
    )
)</f>
        <v/>
      </c>
      <c r="X18" s="21" t="str">
        <f>IF(
    INDEX($K$5:$K$50, ROW(A14)) = "Algemeen",
        IFERROR(IF('Hulp (control forms)'!$C$12&lt;&gt;TRUE, '1a. Input organisatieniveau'!$I$28, INDEX(
            '1a. Input organisatieniveau'!$L$19:$N$19,
            MATCH(
                INDEX('2. Output kostprijs'!$A:$ZZ,
                    15,
                    4 + 2 * (INDEX($L$5:$L$50, ROW(A14)) - 1)
                ),
                '1a. Input organisatieniveau'!$L$6:$N$6,
                0
            )
        )),""),
    IF(
        INDEX($K$5:$K$50, ROW(A14)) = "Gezinshuis",
            "",
        IF(
            INDEX($K$5:$K$50, ROW(A14)) = "Pleegzorg",
                 "",
            ""
        )
    )
)</f>
        <v/>
      </c>
    </row>
    <row r="19" spans="2:24" x14ac:dyDescent="0.45">
      <c r="B19" s="21" t="s">
        <v>1069</v>
      </c>
      <c r="C19" s="352">
        <f>IF(
    INDEX(D19:H19, MATCH(Initialisatie!$C$5, D$4:H$4, 0))&lt;&gt;"",
    INDEX(D19:H19, MATCH(Initialisatie!$C$5, D$4:H$4, 0)),
    LOOKUP(2, 1/(D19:H19&lt;&gt;""), D19:H19)
)</f>
        <v>1878</v>
      </c>
      <c r="D19" s="43"/>
      <c r="E19" s="43">
        <f>IFERROR(
  INDEX('Hulp (CAO''s)'!Z3:Z7, MATCH(TRUE, 'Hulp (CAO''s)'!D3:D7, 0)),
  ""
)</f>
        <v>1878</v>
      </c>
      <c r="F19" s="43">
        <f>IFERROR(
  INDEX('Hulp (CAO''s)'!AL3:AL7, MATCH(TRUE, 'Hulp (CAO''s)'!D3:D7, 0)),
  ""
)</f>
        <v>1878</v>
      </c>
      <c r="G19" s="43"/>
      <c r="H19" s="43"/>
      <c r="J19" s="364" t="str">
        <f t="array" ref="J19">IFERROR(
  IF(
    ROW(A15) &lt;= SUMPRODUCT(--('Hulp (control forms)'!$G$13:$G$52)),
      IF(
        INDEX(Initialisatie!B$10:B$49,
          SMALL(
            IF('Hulp (control forms)'!$G$13:$G$52=TRUE,
               ROW(Initialisatie!B$10:B$49)-ROW(Initialisatie!B$10)+1),
            ROW(A15)
          )
        )="","",
        INDEX(Initialisatie!B$10:B$49,
          SMALL(
            IF('Hulp (control forms)'!$G$13:$G$52=TRUE,
               ROW(Initialisatie!B$10:B$49)-ROW(Initialisatie!B$10)+1),
            ROW(A15)
          )
        )
      ),
    IFERROR(
      INDEX(
        '3. Gezinshuis producten'!E$7:E$9,
        SMALL(
          IF('Hulp (control forms)'!$F$6:$F$8=TRUE,
             ROW('3. Gezinshuis producten'!E$7:E$9)-ROW('3. Gezinshuis producten'!E$7)+1),
          ROW(A15) - SUMPRODUCT(--('Hulp (control forms)'!$G$13:$G$52))
        )
      ),
      IF(
        ROW(A15)
         - SUMPRODUCT(--('Hulp (control forms)'!$G$13:$G$52))
         - SUMPRODUCT(--('Hulp (control forms)'!$F$6:$F$8)) = 1,
        IF('4. Pleegzorg producten'!$M$26&lt;&gt;"",
           "Voltijd",
           IF('4. Pleegzorg producten'!$P$26&lt;&gt;"","Deeltijd","")
        ),
        IF(
          ROW(A15)
           - SUMPRODUCT(--('Hulp (control forms)'!$G$13:$G$52))
           - SUMPRODUCT(--('Hulp (control forms)'!$F$6:$F$8)) = 2,
          IF( AND('4. Pleegzorg producten'!$M$26&lt;&gt;"", '4. Pleegzorg producten'!$P$26&lt;&gt;"" ),
             "Deeltijd",
             ""
          ),
          ""
        )
      )
    )
  ),
"")</f>
        <v/>
      </c>
      <c r="K19" s="364" t="str">
        <f>IF(
  ROW(A15) &lt;= SUMPRODUCT(--('Hulp (control forms)'!$G$13:$G$52)),
      "Algemeen",
  IF(
    ROW(A15) - SUMPRODUCT(--('Hulp (control forms)'!$G$13:$G$52))
      &lt;= SUMPRODUCT(--('Hulp (control forms)'!$F$6:$F$8)),
        "Gezinshuis",
    IF(
      (ROW(A15)
        - SUMPRODUCT(--('Hulp (control forms)'!$G$13:$G$52))
        - SUMPRODUCT(--('Hulp (control forms)'!$F$6:$F$8)))
        &lt;= SUMPRODUCT(--('4. Pleegzorg producten'!$M$26&lt;&gt;"") + --('4. Pleegzorg producten'!$P$26&lt;&gt;"")),
          "Pleegzorg",
          ""
    )
  )
)</f>
        <v/>
      </c>
      <c r="L19" s="21" t="str">
        <f t="array" ref="L19">IF(
  ROW(A15) &lt;= SUMPRODUCT(--('Hulp (control forms)'!$G$13:$G$52)),
      ROW(A15),
  IF(
    ROW(A15) - SUMPRODUCT(--('Hulp (control forms)'!$G$13:$G$52))
      &lt;= SUMPRODUCT(--('Hulp (control forms)'!$F$6:$F$8)),
        SMALL(
    IF('Hulp (control forms)'!$F$6:$F$8,
       ROW('Hulp (control forms)'!$F$6:$F$8)
    ),
    ROW(A15) - SUMPRODUCT(--('Hulp (control forms)'!$G$13:$G$52))
)-5,
    IF(
      (ROW(A15)
        - SUMPRODUCT(--('Hulp (control forms)'!$G$13:$G$52))
        - SUMPRODUCT(--('Hulp (control forms)'!$F$6:$F$8)))
        &lt;= SUMPRODUCT(--('4. Pleegzorg producten'!$M$26&lt;&gt;"") + --('4. Pleegzorg producten'!$P$26&lt;&gt;"")),
        ROW(A15)
        - SUMPRODUCT(--('Hulp (control forms)'!$G$13:$G$52))
        - SUMPRODUCT(--('Hulp (control forms)'!$F$6:$F$8)),
        ""
    )
  )
)</f>
        <v/>
      </c>
      <c r="M19" s="21" t="str">
        <f t="array" ref="M19">IF(
    INDEX($K$5:$K$50, ROW(A15)) = "Algemeen",
        IFERROR(IF('Hulp (control forms)'!$C$7&lt;&gt;TRUE, '1a. Input organisatieniveau'!$I$19, INDEX(
            '1a. Input organisatieniveau'!$L$11:$N$11,
            MATCH(
                INDEX('2. Output kostprijs'!$A:$ZZ,
                    15,
                    4 + 2 * (INDEX($L$5:$L$50, ROW(A15)) - 1)
                ),
                '1a. Input organisatieniveau'!$L$6:$N$6,
                0
            )
        )),""),
    IF(
        INDEX($K$5:$K$50, ROW(A15)) = "Gezinshuis",
            "",
        IF(
            INDEX($K$5:$K$50, ROW(A15)) = "Pleegzorg",
                 "",
            ""
        )
    )
)</f>
        <v/>
      </c>
      <c r="N19" s="21" t="str">
        <f t="array" ref="N19">IF(
    INDEX($K$5:$K$50, ROW(A15)) = "Algemeen",
        IFERROR(IF('Hulp (control forms)'!$C$8&lt;&gt;TRUE, '1a. Input organisatieniveau'!$I$20, INDEX(
            '1a. Input organisatieniveau'!$L$12:$N$12,
            MATCH(
                INDEX('2. Output kostprijs'!$A:$ZZ,
                    15,
                    4 + 2 * (INDEX($L$5:$L$50, ROW(A15)) - 1)
                ),
                '1a. Input organisatieniveau'!$L$6:$N$6,
                0
            )
        )),""),
    IF(
        INDEX($K$5:$K$50, ROW(A15)) = "Gezinshuis",
            INDEX('3. Gezinshuis producten'!$A:$Y, 31,
            9 + 1 * (INDEX($L$5:$L$50, ROW(A15)) - 1)),
        IF(
            INDEX($K$5:$K$50, ROW(A15)) = "Pleegzorg",
                 "",
            ""
        )
    )
)</f>
        <v/>
      </c>
      <c r="O19" s="21" t="str">
        <f t="array" ref="O19">IF(
    INDEX($K$5:$K$50, ROW(A15)) = "Algemeen",
        IFERROR(IF('Hulp (control forms)'!$C$9&lt;&gt;TRUE, '1a. Input organisatieniveau'!$I$21, INDEX(
            '1a. Input organisatieniveau'!$L$13:$N$13,
            MATCH(
                INDEX('2. Output kostprijs'!$A:$ZZ,
                    15,
                    4 + 2 * (INDEX($L$5:$L$50, ROW(A15)) - 1)
                ),
                '1a. Input organisatieniveau'!$L$6:$N$6,
                0
            )
        )),""),
    IF(
        INDEX($K$5:$K$50, ROW(A15)) = "Gezinshuis",
            "",
        IF(
            INDEX($K$5:$K$50, ROW(A15)) = "Pleegzorg",
                 "",
            ""
        )
    )
)</f>
        <v/>
      </c>
      <c r="P19" s="21" t="str">
        <f>IF(
    INDEX($K$5:$K$50, ROW(A15)) = "Algemeen",
        IFERROR(IF('Hulp (control forms)'!$C$10&lt;&gt;TRUE, '1a. Input organisatieniveau'!$I$23, INDEX(
            '1a. Input organisatieniveau'!$L$15:$N$15,
            MATCH(
                INDEX('2. Output kostprijs'!$A:$ZZ,
                    15,
                    4 + 2 * (INDEX($L$5:$L$50, ROW(A15)) - 1)
                ),
                '1a. Input organisatieniveau'!$L$6:$N$6,
                0
            )
        )),""),
    IF(
        INDEX($K$5:$K$50, ROW(A15)) = "Gezinshuis",
            "",
        IF(
            INDEX($K$5:$K$50, ROW(A15)) = "Pleegzorg",
                 "",
            ""
        )
    )
)</f>
        <v/>
      </c>
      <c r="Q19" s="21" t="str">
        <f>IF(
    INDEX($K$5:$K$50, ROW(A15)) = "Algemeen",
        IFERROR(IF('Hulp (control forms)'!$C$11&lt;&gt;TRUE, '1a. Input organisatieniveau'!$I$24, INDEX(
            '1a. Input organisatieniveau'!$L$16:$N$16,
            MATCH(
                INDEX('2. Output kostprijs'!$A:$ZZ,
                    15,
                    4 + 2 * (INDEX($L$5:$L$50, ROW(A15)) - 1)
                ),
                '1a. Input organisatieniveau'!$L$6:$N$6,
                0
            )
        )),""),
    IF(
        INDEX($K$5:$K$50, ROW(A15)) = "Gezinshuis",
            "",
        IF(
            INDEX($K$5:$K$50, ROW(A15)) = "Pleegzorg",
                 "",
            ""
        )
    )
)</f>
        <v/>
      </c>
      <c r="R19" s="21" t="str">
        <f>IF(
    INDEX($K$5:$K$50, ROW(A15)) = "Algemeen",
        IFERROR(IF('Hulp (control forms)'!$C$12&lt;&gt;TRUE, '1a. Input organisatieniveau'!$I$29, INDEX(
            '1a. Input organisatieniveau'!$L$20:$N$20,
            MATCH(
                INDEX('2. Output kostprijs'!$A:$ZZ,
                    15,
                    4 + 2 * (INDEX($L$5:$L$50, ROW(A15)) - 1)
                ),
                '1a. Input organisatieniveau'!$L$6:$N$6,
                0
            )
        )),""),
    IF(
        INDEX($K$5:$K$50, ROW(A15)) = "Gezinshuis",
            "",
        IF(
            INDEX($K$5:$K$50, ROW(A15)) = "Pleegzorg",
                 "",
            ""
        )
    )
)</f>
        <v/>
      </c>
      <c r="S19" s="21" t="str">
        <f>IF(
    INDEX($K$5:$K$50, ROW(A15)) = "Algemeen",
        INDEX('2. Output kostprijs'!$A:$ZZ, 32,
            5 + 2 * (INDEX('Hulp (overig)'!$L$5:$L$50, ROW(A15)) - 1)
        ),
    IF(
        INDEX($K$5:$K$50, ROW(A15)) = "Gezinshuis",
            INDEX('3. Gezinshuis producten'!$A:$Y, 22,
            15 + 2 * (INDEX($L$5:$L$50, ROW(A15)) - 1)),
        IF(
            INDEX($K$5:$K$50, ROW(A15)) = "Pleegzorg",
                 INDEX('4. Pleegzorg producten'!$A:$Y, 24,
            13 + 3 * (INDEX($L$5:$L$50, ROW(A15)) - 1)) +
                 INDEX('4. Pleegzorg producten'!$A:$Y, 25,
            13 + 3 * (INDEX($L$5:$L$50, ROW(A15)) - 1)),
            ""
        )
    )
)</f>
        <v/>
      </c>
      <c r="T19" s="21" t="str">
        <f t="array" ref="T19">IF(
    INDEX($K$5:$K$50, ROW(A15)) = "Algemeen",
        IF(INDEX('2. Output kostprijs'!$A:$ZZ, 15,
            4 + 2 * (INDEX('Hulp (overig)'!$L$5:$L$50, ROW(A15)) - 1)
        )="Ambulant",
        INDEX('2. Output kostprijs'!$A:$ZZ, 47,
            4 + 2 * (INDEX('Hulp (overig)'!$L$5:$L$50, ROW(A15)) - 1)
        ), ""),
    IF(
        INDEX($K$5:$K$50, ROW(A15)) = "Gezinshuis",
            "",
        IF(
            INDEX($K$5:$K$50, ROW(A15)) = "Pleegzorg",
                 "",
            ""
        )
    )
)</f>
        <v/>
      </c>
      <c r="U19" s="21" t="str">
        <f>IF(
    INDEX($K$5:$K$50, ROW(A15)) = "Algemeen",
        IF(INDEX('2. Output kostprijs'!$A:$ZZ, 15,
            4 + 2 * (INDEX('Hulp (overig)'!$L$5:$L$50, ROW(A15)) - 1)
        )="Daghulp",
        INDEX('2. Output kostprijs'!$A:$ZZ, 47,
            4 + 2 * (INDEX('Hulp (overig)'!$L$5:$L$50, ROW(A15)) - 1)
        ), ""),
    IF(
        INDEX($K$5:$K$50, ROW(A15)) = "Gezinshuis",
            "",
        IF(
            INDEX($K$5:$K$50, ROW(A15)) = "Pleegzorg",
                 "",
            ""
        )
    )
)</f>
        <v/>
      </c>
      <c r="V19" s="21" t="str">
        <f>IF(
    INDEX($K$5:$K$50, ROW(A15)) = "Algemeen",
        IF(INDEX('2. Output kostprijs'!$A:$ZZ, 15,
            4 + 2 * (INDEX('Hulp (overig)'!$L$5:$L$50, ROW(A15)) - 1)
        )="Verblijf",
        INDEX('2. Output kostprijs'!$A:$ZZ, 47,
            4 + 2 * (INDEX('Hulp (overig)'!$L$5:$L$50, ROW(A15)) - 1)
        ), ""),
    IF(
        INDEX($K$5:$K$50, ROW(A15)) = "Gezinshuis",
            INDEX('3. Gezinshuis producten'!$A:$Y, 29,
            14 + 2 * (INDEX($L$5:$L$50, ROW(A15)) - 1)),
        IF(
            INDEX($K$5:$K$50, ROW(A15)) = "Pleegzorg",
                 INDEX('4. Pleegzorg producten'!$A:$Y, 26,
            13 + 3 * (INDEX($L$5:$L$50, ROW(A15)) - 1)),
            ""
        )
    )
)</f>
        <v/>
      </c>
      <c r="W19" s="21" t="str">
        <f>IF(
    INDEX($K$5:$K$50, ROW(A15)) = "Algemeen",
        IFERROR(IF('Hulp (control forms)'!$C$12&lt;&gt;TRUE, '1a. Input organisatieniveau'!$I$27, INDEX(
            '1a. Input organisatieniveau'!$L$18:$N$18,
            MATCH(
                INDEX('2. Output kostprijs'!$A:$ZZ,
                    15,
                    4 + 2 * (INDEX($L$5:$L$50, ROW(A15)) - 1)
                ),
                '1a. Input organisatieniveau'!$L$6:$N$6,
                0
            )
        )),""),
    IF(
        INDEX($K$5:$K$50, ROW(A15)) = "Gezinshuis",
            "",
        IF(
            INDEX($K$5:$K$50, ROW(A15)) = "Pleegzorg",
                 "",
            ""
        )
    )
)</f>
        <v/>
      </c>
      <c r="X19" s="21" t="str">
        <f>IF(
    INDEX($K$5:$K$50, ROW(A15)) = "Algemeen",
        IFERROR(IF('Hulp (control forms)'!$C$12&lt;&gt;TRUE, '1a. Input organisatieniveau'!$I$28, INDEX(
            '1a. Input organisatieniveau'!$L$19:$N$19,
            MATCH(
                INDEX('2. Output kostprijs'!$A:$ZZ,
                    15,
                    4 + 2 * (INDEX($L$5:$L$50, ROW(A15)) - 1)
                ),
                '1a. Input organisatieniveau'!$L$6:$N$6,
                0
            )
        )),""),
    IF(
        INDEX($K$5:$K$50, ROW(A15)) = "Gezinshuis",
            "",
        IF(
            INDEX($K$5:$K$50, ROW(A15)) = "Pleegzorg",
                 "",
            ""
        )
    )
)</f>
        <v/>
      </c>
    </row>
    <row r="20" spans="2:24" x14ac:dyDescent="0.45">
      <c r="B20" s="21" t="s">
        <v>727</v>
      </c>
      <c r="C20" s="350">
        <f>IF(
    INDEX(D20:H20, MATCH(Initialisatie!$C$5, D$4:H$4, 0))&lt;&gt;"",
    INDEX(D20:H20, MATCH(Initialisatie!$C$5, D$4:H$4, 0)),
    LOOKUP(2, 1/(D20:H20&lt;&gt;""), D20:H20)
)</f>
        <v>0.25900000000000001</v>
      </c>
      <c r="D20" s="350"/>
      <c r="E20" s="350">
        <f>IFERROR(
  INDEX('Hulp (CAO''s)'!AA3:AA7, MATCH(TRUE, 'Hulp (CAO''s)'!D3:D7, 0)),
  ""
)</f>
        <v>0.25800000000000001</v>
      </c>
      <c r="F20" s="350">
        <f>IFERROR(
  INDEX('Hulp (CAO''s)'!AF3:AF7, MATCH(TRUE, 'Hulp (CAO''s)'!D3:D7, 0)),
  ""
)</f>
        <v>0.25900000000000001</v>
      </c>
      <c r="G20" s="350"/>
      <c r="H20" s="350"/>
      <c r="J20" s="364" t="str">
        <f t="array" ref="J20">IFERROR(
  IF(
    ROW(A16) &lt;= SUMPRODUCT(--('Hulp (control forms)'!$G$13:$G$52)),
      IF(
        INDEX(Initialisatie!B$10:B$49,
          SMALL(
            IF('Hulp (control forms)'!$G$13:$G$52=TRUE,
               ROW(Initialisatie!B$10:B$49)-ROW(Initialisatie!B$10)+1),
            ROW(A16)
          )
        )="","",
        INDEX(Initialisatie!B$10:B$49,
          SMALL(
            IF('Hulp (control forms)'!$G$13:$G$52=TRUE,
               ROW(Initialisatie!B$10:B$49)-ROW(Initialisatie!B$10)+1),
            ROW(A16)
          )
        )
      ),
    IFERROR(
      INDEX(
        '3. Gezinshuis producten'!E$7:E$9,
        SMALL(
          IF('Hulp (control forms)'!$F$6:$F$8=TRUE,
             ROW('3. Gezinshuis producten'!E$7:E$9)-ROW('3. Gezinshuis producten'!E$7)+1),
          ROW(A16) - SUMPRODUCT(--('Hulp (control forms)'!$G$13:$G$52))
        )
      ),
      IF(
        ROW(A16)
         - SUMPRODUCT(--('Hulp (control forms)'!$G$13:$G$52))
         - SUMPRODUCT(--('Hulp (control forms)'!$F$6:$F$8)) = 1,
        IF('4. Pleegzorg producten'!$M$26&lt;&gt;"",
           "Voltijd",
           IF('4. Pleegzorg producten'!$P$26&lt;&gt;"","Deeltijd","")
        ),
        IF(
          ROW(A16)
           - SUMPRODUCT(--('Hulp (control forms)'!$G$13:$G$52))
           - SUMPRODUCT(--('Hulp (control forms)'!$F$6:$F$8)) = 2,
          IF( AND('4. Pleegzorg producten'!$M$26&lt;&gt;"", '4. Pleegzorg producten'!$P$26&lt;&gt;"" ),
             "Deeltijd",
             ""
          ),
          ""
        )
      )
    )
  ),
"")</f>
        <v/>
      </c>
      <c r="K20" s="364" t="str">
        <f>IF(
  ROW(A16) &lt;= SUMPRODUCT(--('Hulp (control forms)'!$G$13:$G$52)),
      "Algemeen",
  IF(
    ROW(A16) - SUMPRODUCT(--('Hulp (control forms)'!$G$13:$G$52))
      &lt;= SUMPRODUCT(--('Hulp (control forms)'!$F$6:$F$8)),
        "Gezinshuis",
    IF(
      (ROW(A16)
        - SUMPRODUCT(--('Hulp (control forms)'!$G$13:$G$52))
        - SUMPRODUCT(--('Hulp (control forms)'!$F$6:$F$8)))
        &lt;= SUMPRODUCT(--('4. Pleegzorg producten'!$M$26&lt;&gt;"") + --('4. Pleegzorg producten'!$P$26&lt;&gt;"")),
          "Pleegzorg",
          ""
    )
  )
)</f>
        <v/>
      </c>
      <c r="L20" s="21" t="str">
        <f t="array" ref="L20">IF(
  ROW(A16) &lt;= SUMPRODUCT(--('Hulp (control forms)'!$G$13:$G$52)),
      ROW(A16),
  IF(
    ROW(A16) - SUMPRODUCT(--('Hulp (control forms)'!$G$13:$G$52))
      &lt;= SUMPRODUCT(--('Hulp (control forms)'!$F$6:$F$8)),
        SMALL(
    IF('Hulp (control forms)'!$F$6:$F$8,
       ROW('Hulp (control forms)'!$F$6:$F$8)
    ),
    ROW(A16) - SUMPRODUCT(--('Hulp (control forms)'!$G$13:$G$52))
)-5,
    IF(
      (ROW(A16)
        - SUMPRODUCT(--('Hulp (control forms)'!$G$13:$G$52))
        - SUMPRODUCT(--('Hulp (control forms)'!$F$6:$F$8)))
        &lt;= SUMPRODUCT(--('4. Pleegzorg producten'!$M$26&lt;&gt;"") + --('4. Pleegzorg producten'!$P$26&lt;&gt;"")),
        ROW(A16)
        - SUMPRODUCT(--('Hulp (control forms)'!$G$13:$G$52))
        - SUMPRODUCT(--('Hulp (control forms)'!$F$6:$F$8)),
        ""
    )
  )
)</f>
        <v/>
      </c>
      <c r="M20" s="21" t="str">
        <f t="array" ref="M20">IF(
    INDEX($K$5:$K$50, ROW(A16)) = "Algemeen",
        IFERROR(IF('Hulp (control forms)'!$C$7&lt;&gt;TRUE, '1a. Input organisatieniveau'!$I$19, INDEX(
            '1a. Input organisatieniveau'!$L$11:$N$11,
            MATCH(
                INDEX('2. Output kostprijs'!$A:$ZZ,
                    15,
                    4 + 2 * (INDEX($L$5:$L$50, ROW(A16)) - 1)
                ),
                '1a. Input organisatieniveau'!$L$6:$N$6,
                0
            )
        )),""),
    IF(
        INDEX($K$5:$K$50, ROW(A16)) = "Gezinshuis",
            "",
        IF(
            INDEX($K$5:$K$50, ROW(A16)) = "Pleegzorg",
                 "",
            ""
        )
    )
)</f>
        <v/>
      </c>
      <c r="N20" s="21" t="str">
        <f t="array" ref="N20">IF(
    INDEX($K$5:$K$50, ROW(A16)) = "Algemeen",
        IFERROR(IF('Hulp (control forms)'!$C$8&lt;&gt;TRUE, '1a. Input organisatieniveau'!$I$20, INDEX(
            '1a. Input organisatieniveau'!$L$12:$N$12,
            MATCH(
                INDEX('2. Output kostprijs'!$A:$ZZ,
                    15,
                    4 + 2 * (INDEX($L$5:$L$50, ROW(A16)) - 1)
                ),
                '1a. Input organisatieniveau'!$L$6:$N$6,
                0
            )
        )),""),
    IF(
        INDEX($K$5:$K$50, ROW(A16)) = "Gezinshuis",
            INDEX('3. Gezinshuis producten'!$A:$Y, 31,
            9 + 1 * (INDEX($L$5:$L$50, ROW(A16)) - 1)),
        IF(
            INDEX($K$5:$K$50, ROW(A16)) = "Pleegzorg",
                 "",
            ""
        )
    )
)</f>
        <v/>
      </c>
      <c r="O20" s="21" t="str">
        <f t="array" ref="O20">IF(
    INDEX($K$5:$K$50, ROW(A16)) = "Algemeen",
        IFERROR(IF('Hulp (control forms)'!$C$9&lt;&gt;TRUE, '1a. Input organisatieniveau'!$I$21, INDEX(
            '1a. Input organisatieniveau'!$L$13:$N$13,
            MATCH(
                INDEX('2. Output kostprijs'!$A:$ZZ,
                    15,
                    4 + 2 * (INDEX($L$5:$L$50, ROW(A16)) - 1)
                ),
                '1a. Input organisatieniveau'!$L$6:$N$6,
                0
            )
        )),""),
    IF(
        INDEX($K$5:$K$50, ROW(A16)) = "Gezinshuis",
            "",
        IF(
            INDEX($K$5:$K$50, ROW(A16)) = "Pleegzorg",
                 "",
            ""
        )
    )
)</f>
        <v/>
      </c>
      <c r="P20" s="21" t="str">
        <f>IF(
    INDEX($K$5:$K$50, ROW(A16)) = "Algemeen",
        IFERROR(IF('Hulp (control forms)'!$C$10&lt;&gt;TRUE, '1a. Input organisatieniveau'!$I$23, INDEX(
            '1a. Input organisatieniveau'!$L$15:$N$15,
            MATCH(
                INDEX('2. Output kostprijs'!$A:$ZZ,
                    15,
                    4 + 2 * (INDEX($L$5:$L$50, ROW(A16)) - 1)
                ),
                '1a. Input organisatieniveau'!$L$6:$N$6,
                0
            )
        )),""),
    IF(
        INDEX($K$5:$K$50, ROW(A16)) = "Gezinshuis",
            "",
        IF(
            INDEX($K$5:$K$50, ROW(A16)) = "Pleegzorg",
                 "",
            ""
        )
    )
)</f>
        <v/>
      </c>
      <c r="Q20" s="21" t="str">
        <f>IF(
    INDEX($K$5:$K$50, ROW(A16)) = "Algemeen",
        IFERROR(IF('Hulp (control forms)'!$C$11&lt;&gt;TRUE, '1a. Input organisatieniveau'!$I$24, INDEX(
            '1a. Input organisatieniveau'!$L$16:$N$16,
            MATCH(
                INDEX('2. Output kostprijs'!$A:$ZZ,
                    15,
                    4 + 2 * (INDEX($L$5:$L$50, ROW(A16)) - 1)
                ),
                '1a. Input organisatieniveau'!$L$6:$N$6,
                0
            )
        )),""),
    IF(
        INDEX($K$5:$K$50, ROW(A16)) = "Gezinshuis",
            "",
        IF(
            INDEX($K$5:$K$50, ROW(A16)) = "Pleegzorg",
                 "",
            ""
        )
    )
)</f>
        <v/>
      </c>
      <c r="R20" s="21" t="str">
        <f>IF(
    INDEX($K$5:$K$50, ROW(A16)) = "Algemeen",
        IFERROR(IF('Hulp (control forms)'!$C$12&lt;&gt;TRUE, '1a. Input organisatieniveau'!$I$29, INDEX(
            '1a. Input organisatieniveau'!$L$20:$N$20,
            MATCH(
                INDEX('2. Output kostprijs'!$A:$ZZ,
                    15,
                    4 + 2 * (INDEX($L$5:$L$50, ROW(A16)) - 1)
                ),
                '1a. Input organisatieniveau'!$L$6:$N$6,
                0
            )
        )),""),
    IF(
        INDEX($K$5:$K$50, ROW(A16)) = "Gezinshuis",
            "",
        IF(
            INDEX($K$5:$K$50, ROW(A16)) = "Pleegzorg",
                 "",
            ""
        )
    )
)</f>
        <v/>
      </c>
      <c r="S20" s="21" t="str">
        <f>IF(
    INDEX($K$5:$K$50, ROW(A16)) = "Algemeen",
        INDEX('2. Output kostprijs'!$A:$ZZ, 32,
            5 + 2 * (INDEX('Hulp (overig)'!$L$5:$L$50, ROW(A16)) - 1)
        ),
    IF(
        INDEX($K$5:$K$50, ROW(A16)) = "Gezinshuis",
            INDEX('3. Gezinshuis producten'!$A:$Y, 22,
            15 + 2 * (INDEX($L$5:$L$50, ROW(A16)) - 1)),
        IF(
            INDEX($K$5:$K$50, ROW(A16)) = "Pleegzorg",
                 INDEX('4. Pleegzorg producten'!$A:$Y, 24,
            13 + 3 * (INDEX($L$5:$L$50, ROW(A16)) - 1)) +
                 INDEX('4. Pleegzorg producten'!$A:$Y, 25,
            13 + 3 * (INDEX($L$5:$L$50, ROW(A16)) - 1)),
            ""
        )
    )
)</f>
        <v/>
      </c>
      <c r="T20" s="21" t="str">
        <f t="array" ref="T20">IF(
    INDEX($K$5:$K$50, ROW(A16)) = "Algemeen",
        IF(INDEX('2. Output kostprijs'!$A:$ZZ, 15,
            4 + 2 * (INDEX('Hulp (overig)'!$L$5:$L$50, ROW(A16)) - 1)
        )="Ambulant",
        INDEX('2. Output kostprijs'!$A:$ZZ, 47,
            4 + 2 * (INDEX('Hulp (overig)'!$L$5:$L$50, ROW(A16)) - 1)
        ), ""),
    IF(
        INDEX($K$5:$K$50, ROW(A16)) = "Gezinshuis",
            "",
        IF(
            INDEX($K$5:$K$50, ROW(A16)) = "Pleegzorg",
                 "",
            ""
        )
    )
)</f>
        <v/>
      </c>
      <c r="U20" s="21" t="str">
        <f>IF(
    INDEX($K$5:$K$50, ROW(A16)) = "Algemeen",
        IF(INDEX('2. Output kostprijs'!$A:$ZZ, 15,
            4 + 2 * (INDEX('Hulp (overig)'!$L$5:$L$50, ROW(A16)) - 1)
        )="Daghulp",
        INDEX('2. Output kostprijs'!$A:$ZZ, 47,
            4 + 2 * (INDEX('Hulp (overig)'!$L$5:$L$50, ROW(A16)) - 1)
        ), ""),
    IF(
        INDEX($K$5:$K$50, ROW(A16)) = "Gezinshuis",
            "",
        IF(
            INDEX($K$5:$K$50, ROW(A16)) = "Pleegzorg",
                 "",
            ""
        )
    )
)</f>
        <v/>
      </c>
      <c r="V20" s="21" t="str">
        <f>IF(
    INDEX($K$5:$K$50, ROW(A16)) = "Algemeen",
        IF(INDEX('2. Output kostprijs'!$A:$ZZ, 15,
            4 + 2 * (INDEX('Hulp (overig)'!$L$5:$L$50, ROW(A16)) - 1)
        )="Verblijf",
        INDEX('2. Output kostprijs'!$A:$ZZ, 47,
            4 + 2 * (INDEX('Hulp (overig)'!$L$5:$L$50, ROW(A16)) - 1)
        ), ""),
    IF(
        INDEX($K$5:$K$50, ROW(A16)) = "Gezinshuis",
            INDEX('3. Gezinshuis producten'!$A:$Y, 29,
            14 + 2 * (INDEX($L$5:$L$50, ROW(A16)) - 1)),
        IF(
            INDEX($K$5:$K$50, ROW(A16)) = "Pleegzorg",
                 INDEX('4. Pleegzorg producten'!$A:$Y, 26,
            13 + 3 * (INDEX($L$5:$L$50, ROW(A16)) - 1)),
            ""
        )
    )
)</f>
        <v/>
      </c>
      <c r="W20" s="21" t="str">
        <f>IF(
    INDEX($K$5:$K$50, ROW(A16)) = "Algemeen",
        IFERROR(IF('Hulp (control forms)'!$C$12&lt;&gt;TRUE, '1a. Input organisatieniveau'!$I$27, INDEX(
            '1a. Input organisatieniveau'!$L$18:$N$18,
            MATCH(
                INDEX('2. Output kostprijs'!$A:$ZZ,
                    15,
                    4 + 2 * (INDEX($L$5:$L$50, ROW(A16)) - 1)
                ),
                '1a. Input organisatieniveau'!$L$6:$N$6,
                0
            )
        )),""),
    IF(
        INDEX($K$5:$K$50, ROW(A16)) = "Gezinshuis",
            "",
        IF(
            INDEX($K$5:$K$50, ROW(A16)) = "Pleegzorg",
                 "",
            ""
        )
    )
)</f>
        <v/>
      </c>
      <c r="X20" s="21" t="str">
        <f>IF(
    INDEX($K$5:$K$50, ROW(A16)) = "Algemeen",
        IFERROR(IF('Hulp (control forms)'!$C$12&lt;&gt;TRUE, '1a. Input organisatieniveau'!$I$28, INDEX(
            '1a. Input organisatieniveau'!$L$19:$N$19,
            MATCH(
                INDEX('2. Output kostprijs'!$A:$ZZ,
                    15,
                    4 + 2 * (INDEX($L$5:$L$50, ROW(A16)) - 1)
                ),
                '1a. Input organisatieniveau'!$L$6:$N$6,
                0
            )
        )),""),
    IF(
        INDEX($K$5:$K$50, ROW(A16)) = "Gezinshuis",
            "",
        IF(
            INDEX($K$5:$K$50, ROW(A16)) = "Pleegzorg",
                 "",
            ""
        )
    )
)</f>
        <v/>
      </c>
    </row>
    <row r="21" spans="2:24" x14ac:dyDescent="0.45">
      <c r="B21" s="21" t="s">
        <v>729</v>
      </c>
      <c r="C21" s="350">
        <f>IF(
    INDEX(D21:H21, MATCH(Initialisatie!$C$5, D$4:H$4, 0))&lt;&gt;"",
    INDEX(D21:H21, MATCH(Initialisatie!$C$5, D$4:H$4, 0)),
    LOOKUP(2, 1/(D21:H21&lt;&gt;""), D21:H21)
)</f>
        <v>0.5</v>
      </c>
      <c r="D21" s="350"/>
      <c r="E21" s="350">
        <f>IFERROR(
  INDEX('Hulp (CAO''s)'!AB3:AB7, MATCH(TRUE, 'Hulp (CAO''s)'!D3:D7, 0)),
  ""
)</f>
        <v>0.5</v>
      </c>
      <c r="F21" s="350">
        <f>IFERROR(
  INDEX('Hulp (CAO''s)'!AK3:AK7, MATCH(TRUE, 'Hulp (CAO''s)'!D3:D7, 0)),
  ""
)</f>
        <v>0.5</v>
      </c>
      <c r="G21" s="350"/>
      <c r="H21" s="350"/>
      <c r="J21" s="364" t="str">
        <f t="array" ref="J21">IFERROR(
  IF(
    ROW(A17) &lt;= SUMPRODUCT(--('Hulp (control forms)'!$G$13:$G$52)),
      IF(
        INDEX(Initialisatie!B$10:B$49,
          SMALL(
            IF('Hulp (control forms)'!$G$13:$G$52=TRUE,
               ROW(Initialisatie!B$10:B$49)-ROW(Initialisatie!B$10)+1),
            ROW(A17)
          )
        )="","",
        INDEX(Initialisatie!B$10:B$49,
          SMALL(
            IF('Hulp (control forms)'!$G$13:$G$52=TRUE,
               ROW(Initialisatie!B$10:B$49)-ROW(Initialisatie!B$10)+1),
            ROW(A17)
          )
        )
      ),
    IFERROR(
      INDEX(
        '3. Gezinshuis producten'!E$7:E$9,
        SMALL(
          IF('Hulp (control forms)'!$F$6:$F$8=TRUE,
             ROW('3. Gezinshuis producten'!E$7:E$9)-ROW('3. Gezinshuis producten'!E$7)+1),
          ROW(A17) - SUMPRODUCT(--('Hulp (control forms)'!$G$13:$G$52))
        )
      ),
      IF(
        ROW(A17)
         - SUMPRODUCT(--('Hulp (control forms)'!$G$13:$G$52))
         - SUMPRODUCT(--('Hulp (control forms)'!$F$6:$F$8)) = 1,
        IF('4. Pleegzorg producten'!$M$26&lt;&gt;"",
           "Voltijd",
           IF('4. Pleegzorg producten'!$P$26&lt;&gt;"","Deeltijd","")
        ),
        IF(
          ROW(A17)
           - SUMPRODUCT(--('Hulp (control forms)'!$G$13:$G$52))
           - SUMPRODUCT(--('Hulp (control forms)'!$F$6:$F$8)) = 2,
          IF( AND('4. Pleegzorg producten'!$M$26&lt;&gt;"", '4. Pleegzorg producten'!$P$26&lt;&gt;"" ),
             "Deeltijd",
             ""
          ),
          ""
        )
      )
    )
  ),
"")</f>
        <v/>
      </c>
      <c r="K21" s="364" t="str">
        <f>IF(
  ROW(A17) &lt;= SUMPRODUCT(--('Hulp (control forms)'!$G$13:$G$52)),
      "Algemeen",
  IF(
    ROW(A17) - SUMPRODUCT(--('Hulp (control forms)'!$G$13:$G$52))
      &lt;= SUMPRODUCT(--('Hulp (control forms)'!$F$6:$F$8)),
        "Gezinshuis",
    IF(
      (ROW(A17)
        - SUMPRODUCT(--('Hulp (control forms)'!$G$13:$G$52))
        - SUMPRODUCT(--('Hulp (control forms)'!$F$6:$F$8)))
        &lt;= SUMPRODUCT(--('4. Pleegzorg producten'!$M$26&lt;&gt;"") + --('4. Pleegzorg producten'!$P$26&lt;&gt;"")),
          "Pleegzorg",
          ""
    )
  )
)</f>
        <v/>
      </c>
      <c r="L21" s="21" t="str">
        <f t="array" ref="L21">IF(
  ROW(A17) &lt;= SUMPRODUCT(--('Hulp (control forms)'!$G$13:$G$52)),
      ROW(A17),
  IF(
    ROW(A17) - SUMPRODUCT(--('Hulp (control forms)'!$G$13:$G$52))
      &lt;= SUMPRODUCT(--('Hulp (control forms)'!$F$6:$F$8)),
        SMALL(
    IF('Hulp (control forms)'!$F$6:$F$8,
       ROW('Hulp (control forms)'!$F$6:$F$8)
    ),
    ROW(A17) - SUMPRODUCT(--('Hulp (control forms)'!$G$13:$G$52))
)-5,
    IF(
      (ROW(A17)
        - SUMPRODUCT(--('Hulp (control forms)'!$G$13:$G$52))
        - SUMPRODUCT(--('Hulp (control forms)'!$F$6:$F$8)))
        &lt;= SUMPRODUCT(--('4. Pleegzorg producten'!$M$26&lt;&gt;"") + --('4. Pleegzorg producten'!$P$26&lt;&gt;"")),
        ROW(A17)
        - SUMPRODUCT(--('Hulp (control forms)'!$G$13:$G$52))
        - SUMPRODUCT(--('Hulp (control forms)'!$F$6:$F$8)),
        ""
    )
  )
)</f>
        <v/>
      </c>
      <c r="M21" s="21" t="str">
        <f t="array" ref="M21">IF(
    INDEX($K$5:$K$50, ROW(A17)) = "Algemeen",
        IFERROR(IF('Hulp (control forms)'!$C$7&lt;&gt;TRUE, '1a. Input organisatieniveau'!$I$19, INDEX(
            '1a. Input organisatieniveau'!$L$11:$N$11,
            MATCH(
                INDEX('2. Output kostprijs'!$A:$ZZ,
                    15,
                    4 + 2 * (INDEX($L$5:$L$50, ROW(A17)) - 1)
                ),
                '1a. Input organisatieniveau'!$L$6:$N$6,
                0
            )
        )),""),
    IF(
        INDEX($K$5:$K$50, ROW(A17)) = "Gezinshuis",
            "",
        IF(
            INDEX($K$5:$K$50, ROW(A17)) = "Pleegzorg",
                 "",
            ""
        )
    )
)</f>
        <v/>
      </c>
      <c r="N21" s="21" t="str">
        <f t="array" ref="N21">IF(
    INDEX($K$5:$K$50, ROW(A17)) = "Algemeen",
        IFERROR(IF('Hulp (control forms)'!$C$8&lt;&gt;TRUE, '1a. Input organisatieniveau'!$I$20, INDEX(
            '1a. Input organisatieniveau'!$L$12:$N$12,
            MATCH(
                INDEX('2. Output kostprijs'!$A:$ZZ,
                    15,
                    4 + 2 * (INDEX($L$5:$L$50, ROW(A17)) - 1)
                ),
                '1a. Input organisatieniveau'!$L$6:$N$6,
                0
            )
        )),""),
    IF(
        INDEX($K$5:$K$50, ROW(A17)) = "Gezinshuis",
            INDEX('3. Gezinshuis producten'!$A:$Y, 31,
            9 + 1 * (INDEX($L$5:$L$50, ROW(A17)) - 1)),
        IF(
            INDEX($K$5:$K$50, ROW(A17)) = "Pleegzorg",
                 "",
            ""
        )
    )
)</f>
        <v/>
      </c>
      <c r="O21" s="21" t="str">
        <f t="array" ref="O21">IF(
    INDEX($K$5:$K$50, ROW(A17)) = "Algemeen",
        IFERROR(IF('Hulp (control forms)'!$C$9&lt;&gt;TRUE, '1a. Input organisatieniveau'!$I$21, INDEX(
            '1a. Input organisatieniveau'!$L$13:$N$13,
            MATCH(
                INDEX('2. Output kostprijs'!$A:$ZZ,
                    15,
                    4 + 2 * (INDEX($L$5:$L$50, ROW(A17)) - 1)
                ),
                '1a. Input organisatieniveau'!$L$6:$N$6,
                0
            )
        )),""),
    IF(
        INDEX($K$5:$K$50, ROW(A17)) = "Gezinshuis",
            "",
        IF(
            INDEX($K$5:$K$50, ROW(A17)) = "Pleegzorg",
                 "",
            ""
        )
    )
)</f>
        <v/>
      </c>
      <c r="P21" s="21" t="str">
        <f>IF(
    INDEX($K$5:$K$50, ROW(A17)) = "Algemeen",
        IFERROR(IF('Hulp (control forms)'!$C$10&lt;&gt;TRUE, '1a. Input organisatieniveau'!$I$23, INDEX(
            '1a. Input organisatieniveau'!$L$15:$N$15,
            MATCH(
                INDEX('2. Output kostprijs'!$A:$ZZ,
                    15,
                    4 + 2 * (INDEX($L$5:$L$50, ROW(A17)) - 1)
                ),
                '1a. Input organisatieniveau'!$L$6:$N$6,
                0
            )
        )),""),
    IF(
        INDEX($K$5:$K$50, ROW(A17)) = "Gezinshuis",
            "",
        IF(
            INDEX($K$5:$K$50, ROW(A17)) = "Pleegzorg",
                 "",
            ""
        )
    )
)</f>
        <v/>
      </c>
      <c r="Q21" s="21" t="str">
        <f>IF(
    INDEX($K$5:$K$50, ROW(A17)) = "Algemeen",
        IFERROR(IF('Hulp (control forms)'!$C$11&lt;&gt;TRUE, '1a. Input organisatieniveau'!$I$24, INDEX(
            '1a. Input organisatieniveau'!$L$16:$N$16,
            MATCH(
                INDEX('2. Output kostprijs'!$A:$ZZ,
                    15,
                    4 + 2 * (INDEX($L$5:$L$50, ROW(A17)) - 1)
                ),
                '1a. Input organisatieniveau'!$L$6:$N$6,
                0
            )
        )),""),
    IF(
        INDEX($K$5:$K$50, ROW(A17)) = "Gezinshuis",
            "",
        IF(
            INDEX($K$5:$K$50, ROW(A17)) = "Pleegzorg",
                 "",
            ""
        )
    )
)</f>
        <v/>
      </c>
      <c r="R21" s="21" t="str">
        <f>IF(
    INDEX($K$5:$K$50, ROW(A17)) = "Algemeen",
        IFERROR(IF('Hulp (control forms)'!$C$12&lt;&gt;TRUE, '1a. Input organisatieniveau'!$I$29, INDEX(
            '1a. Input organisatieniveau'!$L$20:$N$20,
            MATCH(
                INDEX('2. Output kostprijs'!$A:$ZZ,
                    15,
                    4 + 2 * (INDEX($L$5:$L$50, ROW(A17)) - 1)
                ),
                '1a. Input organisatieniveau'!$L$6:$N$6,
                0
            )
        )),""),
    IF(
        INDEX($K$5:$K$50, ROW(A17)) = "Gezinshuis",
            "",
        IF(
            INDEX($K$5:$K$50, ROW(A17)) = "Pleegzorg",
                 "",
            ""
        )
    )
)</f>
        <v/>
      </c>
      <c r="S21" s="21" t="str">
        <f>IF(
    INDEX($K$5:$K$50, ROW(A17)) = "Algemeen",
        INDEX('2. Output kostprijs'!$A:$ZZ, 32,
            5 + 2 * (INDEX('Hulp (overig)'!$L$5:$L$50, ROW(A17)) - 1)
        ),
    IF(
        INDEX($K$5:$K$50, ROW(A17)) = "Gezinshuis",
            INDEX('3. Gezinshuis producten'!$A:$Y, 22,
            15 + 2 * (INDEX($L$5:$L$50, ROW(A17)) - 1)),
        IF(
            INDEX($K$5:$K$50, ROW(A17)) = "Pleegzorg",
                 INDEX('4. Pleegzorg producten'!$A:$Y, 24,
            13 + 3 * (INDEX($L$5:$L$50, ROW(A17)) - 1)) +
                 INDEX('4. Pleegzorg producten'!$A:$Y, 25,
            13 + 3 * (INDEX($L$5:$L$50, ROW(A17)) - 1)),
            ""
        )
    )
)</f>
        <v/>
      </c>
      <c r="T21" s="21" t="str">
        <f t="array" ref="T21">IF(
    INDEX($K$5:$K$50, ROW(A17)) = "Algemeen",
        IF(INDEX('2. Output kostprijs'!$A:$ZZ, 15,
            4 + 2 * (INDEX('Hulp (overig)'!$L$5:$L$50, ROW(A17)) - 1)
        )="Ambulant",
        INDEX('2. Output kostprijs'!$A:$ZZ, 47,
            4 + 2 * (INDEX('Hulp (overig)'!$L$5:$L$50, ROW(A17)) - 1)
        ), ""),
    IF(
        INDEX($K$5:$K$50, ROW(A17)) = "Gezinshuis",
            "",
        IF(
            INDEX($K$5:$K$50, ROW(A17)) = "Pleegzorg",
                 "",
            ""
        )
    )
)</f>
        <v/>
      </c>
      <c r="U21" s="21" t="str">
        <f>IF(
    INDEX($K$5:$K$50, ROW(A17)) = "Algemeen",
        IF(INDEX('2. Output kostprijs'!$A:$ZZ, 15,
            4 + 2 * (INDEX('Hulp (overig)'!$L$5:$L$50, ROW(A17)) - 1)
        )="Daghulp",
        INDEX('2. Output kostprijs'!$A:$ZZ, 47,
            4 + 2 * (INDEX('Hulp (overig)'!$L$5:$L$50, ROW(A17)) - 1)
        ), ""),
    IF(
        INDEX($K$5:$K$50, ROW(A17)) = "Gezinshuis",
            "",
        IF(
            INDEX($K$5:$K$50, ROW(A17)) = "Pleegzorg",
                 "",
            ""
        )
    )
)</f>
        <v/>
      </c>
      <c r="V21" s="21" t="str">
        <f>IF(
    INDEX($K$5:$K$50, ROW(A17)) = "Algemeen",
        IF(INDEX('2. Output kostprijs'!$A:$ZZ, 15,
            4 + 2 * (INDEX('Hulp (overig)'!$L$5:$L$50, ROW(A17)) - 1)
        )="Verblijf",
        INDEX('2. Output kostprijs'!$A:$ZZ, 47,
            4 + 2 * (INDEX('Hulp (overig)'!$L$5:$L$50, ROW(A17)) - 1)
        ), ""),
    IF(
        INDEX($K$5:$K$50, ROW(A17)) = "Gezinshuis",
            INDEX('3. Gezinshuis producten'!$A:$Y, 29,
            14 + 2 * (INDEX($L$5:$L$50, ROW(A17)) - 1)),
        IF(
            INDEX($K$5:$K$50, ROW(A17)) = "Pleegzorg",
                 INDEX('4. Pleegzorg producten'!$A:$Y, 26,
            13 + 3 * (INDEX($L$5:$L$50, ROW(A17)) - 1)),
            ""
        )
    )
)</f>
        <v/>
      </c>
      <c r="W21" s="21" t="str">
        <f>IF(
    INDEX($K$5:$K$50, ROW(A17)) = "Algemeen",
        IFERROR(IF('Hulp (control forms)'!$C$12&lt;&gt;TRUE, '1a. Input organisatieniveau'!$I$27, INDEX(
            '1a. Input organisatieniveau'!$L$18:$N$18,
            MATCH(
                INDEX('2. Output kostprijs'!$A:$ZZ,
                    15,
                    4 + 2 * (INDEX($L$5:$L$50, ROW(A17)) - 1)
                ),
                '1a. Input organisatieniveau'!$L$6:$N$6,
                0
            )
        )),""),
    IF(
        INDEX($K$5:$K$50, ROW(A17)) = "Gezinshuis",
            "",
        IF(
            INDEX($K$5:$K$50, ROW(A17)) = "Pleegzorg",
                 "",
            ""
        )
    )
)</f>
        <v/>
      </c>
      <c r="X21" s="21" t="str">
        <f>IF(
    INDEX($K$5:$K$50, ROW(A17)) = "Algemeen",
        IFERROR(IF('Hulp (control forms)'!$C$12&lt;&gt;TRUE, '1a. Input organisatieniveau'!$I$28, INDEX(
            '1a. Input organisatieniveau'!$L$19:$N$19,
            MATCH(
                INDEX('2. Output kostprijs'!$A:$ZZ,
                    15,
                    4 + 2 * (INDEX($L$5:$L$50, ROW(A17)) - 1)
                ),
                '1a. Input organisatieniveau'!$L$6:$N$6,
                0
            )
        )),""),
    IF(
        INDEX($K$5:$K$50, ROW(A17)) = "Gezinshuis",
            "",
        IF(
            INDEX($K$5:$K$50, ROW(A17)) = "Pleegzorg",
                 "",
            ""
        )
    )
)</f>
        <v/>
      </c>
    </row>
    <row r="22" spans="2:24" x14ac:dyDescent="0.45">
      <c r="B22" s="21" t="s">
        <v>728</v>
      </c>
      <c r="C22" s="350">
        <f>IF(
    INDEX(D22:H22, MATCH(Initialisatie!$C$5, D$4:H$4, 0))&lt;&gt;"",
    INDEX(D22:H22, MATCH(Initialisatie!$C$5, D$4:H$4, 0)),
    LOOKUP(2, 1/(D22:H22&lt;&gt;""), D22:H22)
)</f>
        <v>0</v>
      </c>
      <c r="D22" s="350"/>
      <c r="E22" s="350">
        <f>IFERROR(
  INDEX('Hulp (CAO''s)'!AC3:AC7, MATCH(TRUE, 'Hulp (CAO''s)'!D3:D7, 0)),
  ""
)</f>
        <v>5.0000000000000001E-3</v>
      </c>
      <c r="F22" s="350">
        <f>IFERROR(
  INDEX('Hulp (CAO''s)'!AG3:AG7, MATCH(TRUE, 'Hulp (CAO''s)'!D3:D7, 0)),
  ""
)</f>
        <v>0</v>
      </c>
      <c r="G22" s="350"/>
      <c r="H22" s="350"/>
      <c r="J22" s="364" t="str">
        <f t="array" ref="J22">IFERROR(
  IF(
    ROW(A18) &lt;= SUMPRODUCT(--('Hulp (control forms)'!$G$13:$G$52)),
      IF(
        INDEX(Initialisatie!B$10:B$49,
          SMALL(
            IF('Hulp (control forms)'!$G$13:$G$52=TRUE,
               ROW(Initialisatie!B$10:B$49)-ROW(Initialisatie!B$10)+1),
            ROW(A18)
          )
        )="","",
        INDEX(Initialisatie!B$10:B$49,
          SMALL(
            IF('Hulp (control forms)'!$G$13:$G$52=TRUE,
               ROW(Initialisatie!B$10:B$49)-ROW(Initialisatie!B$10)+1),
            ROW(A18)
          )
        )
      ),
    IFERROR(
      INDEX(
        '3. Gezinshuis producten'!E$7:E$9,
        SMALL(
          IF('Hulp (control forms)'!$F$6:$F$8=TRUE,
             ROW('3. Gezinshuis producten'!E$7:E$9)-ROW('3. Gezinshuis producten'!E$7)+1),
          ROW(A18) - SUMPRODUCT(--('Hulp (control forms)'!$G$13:$G$52))
        )
      ),
      IF(
        ROW(A18)
         - SUMPRODUCT(--('Hulp (control forms)'!$G$13:$G$52))
         - SUMPRODUCT(--('Hulp (control forms)'!$F$6:$F$8)) = 1,
        IF('4. Pleegzorg producten'!$M$26&lt;&gt;"",
           "Voltijd",
           IF('4. Pleegzorg producten'!$P$26&lt;&gt;"","Deeltijd","")
        ),
        IF(
          ROW(A18)
           - SUMPRODUCT(--('Hulp (control forms)'!$G$13:$G$52))
           - SUMPRODUCT(--('Hulp (control forms)'!$F$6:$F$8)) = 2,
          IF( AND('4. Pleegzorg producten'!$M$26&lt;&gt;"", '4. Pleegzorg producten'!$P$26&lt;&gt;"" ),
             "Deeltijd",
             ""
          ),
          ""
        )
      )
    )
  ),
"")</f>
        <v/>
      </c>
      <c r="K22" s="364" t="str">
        <f>IF(
  ROW(A18) &lt;= SUMPRODUCT(--('Hulp (control forms)'!$G$13:$G$52)),
      "Algemeen",
  IF(
    ROW(A18) - SUMPRODUCT(--('Hulp (control forms)'!$G$13:$G$52))
      &lt;= SUMPRODUCT(--('Hulp (control forms)'!$F$6:$F$8)),
        "Gezinshuis",
    IF(
      (ROW(A18)
        - SUMPRODUCT(--('Hulp (control forms)'!$G$13:$G$52))
        - SUMPRODUCT(--('Hulp (control forms)'!$F$6:$F$8)))
        &lt;= SUMPRODUCT(--('4. Pleegzorg producten'!$M$26&lt;&gt;"") + --('4. Pleegzorg producten'!$P$26&lt;&gt;"")),
          "Pleegzorg",
          ""
    )
  )
)</f>
        <v/>
      </c>
      <c r="L22" s="21" t="str">
        <f t="array" ref="L22">IF(
  ROW(A18) &lt;= SUMPRODUCT(--('Hulp (control forms)'!$G$13:$G$52)),
      ROW(A18),
  IF(
    ROW(A18) - SUMPRODUCT(--('Hulp (control forms)'!$G$13:$G$52))
      &lt;= SUMPRODUCT(--('Hulp (control forms)'!$F$6:$F$8)),
        SMALL(
    IF('Hulp (control forms)'!$F$6:$F$8,
       ROW('Hulp (control forms)'!$F$6:$F$8)
    ),
    ROW(A18) - SUMPRODUCT(--('Hulp (control forms)'!$G$13:$G$52))
)-5,
    IF(
      (ROW(A18)
        - SUMPRODUCT(--('Hulp (control forms)'!$G$13:$G$52))
        - SUMPRODUCT(--('Hulp (control forms)'!$F$6:$F$8)))
        &lt;= SUMPRODUCT(--('4. Pleegzorg producten'!$M$26&lt;&gt;"") + --('4. Pleegzorg producten'!$P$26&lt;&gt;"")),
        ROW(A18)
        - SUMPRODUCT(--('Hulp (control forms)'!$G$13:$G$52))
        - SUMPRODUCT(--('Hulp (control forms)'!$F$6:$F$8)),
        ""
    )
  )
)</f>
        <v/>
      </c>
      <c r="M22" s="21" t="str">
        <f t="array" ref="M22">IF(
    INDEX($K$5:$K$50, ROW(A18)) = "Algemeen",
        IFERROR(IF('Hulp (control forms)'!$C$7&lt;&gt;TRUE, '1a. Input organisatieniveau'!$I$19, INDEX(
            '1a. Input organisatieniveau'!$L$11:$N$11,
            MATCH(
                INDEX('2. Output kostprijs'!$A:$ZZ,
                    15,
                    4 + 2 * (INDEX($L$5:$L$50, ROW(A18)) - 1)
                ),
                '1a. Input organisatieniveau'!$L$6:$N$6,
                0
            )
        )),""),
    IF(
        INDEX($K$5:$K$50, ROW(A18)) = "Gezinshuis",
            "",
        IF(
            INDEX($K$5:$K$50, ROW(A18)) = "Pleegzorg",
                 "",
            ""
        )
    )
)</f>
        <v/>
      </c>
      <c r="N22" s="21" t="str">
        <f t="array" ref="N22">IF(
    INDEX($K$5:$K$50, ROW(A18)) = "Algemeen",
        IFERROR(IF('Hulp (control forms)'!$C$8&lt;&gt;TRUE, '1a. Input organisatieniveau'!$I$20, INDEX(
            '1a. Input organisatieniveau'!$L$12:$N$12,
            MATCH(
                INDEX('2. Output kostprijs'!$A:$ZZ,
                    15,
                    4 + 2 * (INDEX($L$5:$L$50, ROW(A18)) - 1)
                ),
                '1a. Input organisatieniveau'!$L$6:$N$6,
                0
            )
        )),""),
    IF(
        INDEX($K$5:$K$50, ROW(A18)) = "Gezinshuis",
            INDEX('3. Gezinshuis producten'!$A:$Y, 31,
            9 + 1 * (INDEX($L$5:$L$50, ROW(A18)) - 1)),
        IF(
            INDEX($K$5:$K$50, ROW(A18)) = "Pleegzorg",
                 "",
            ""
        )
    )
)</f>
        <v/>
      </c>
      <c r="O22" s="21" t="str">
        <f t="array" ref="O22">IF(
    INDEX($K$5:$K$50, ROW(A18)) = "Algemeen",
        IFERROR(IF('Hulp (control forms)'!$C$9&lt;&gt;TRUE, '1a. Input organisatieniveau'!$I$21, INDEX(
            '1a. Input organisatieniveau'!$L$13:$N$13,
            MATCH(
                INDEX('2. Output kostprijs'!$A:$ZZ,
                    15,
                    4 + 2 * (INDEX($L$5:$L$50, ROW(A18)) - 1)
                ),
                '1a. Input organisatieniveau'!$L$6:$N$6,
                0
            )
        )),""),
    IF(
        INDEX($K$5:$K$50, ROW(A18)) = "Gezinshuis",
            "",
        IF(
            INDEX($K$5:$K$50, ROW(A18)) = "Pleegzorg",
                 "",
            ""
        )
    )
)</f>
        <v/>
      </c>
      <c r="P22" s="21" t="str">
        <f>IF(
    INDEX($K$5:$K$50, ROW(A18)) = "Algemeen",
        IFERROR(IF('Hulp (control forms)'!$C$10&lt;&gt;TRUE, '1a. Input organisatieniveau'!$I$23, INDEX(
            '1a. Input organisatieniveau'!$L$15:$N$15,
            MATCH(
                INDEX('2. Output kostprijs'!$A:$ZZ,
                    15,
                    4 + 2 * (INDEX($L$5:$L$50, ROW(A18)) - 1)
                ),
                '1a. Input organisatieniveau'!$L$6:$N$6,
                0
            )
        )),""),
    IF(
        INDEX($K$5:$K$50, ROW(A18)) = "Gezinshuis",
            "",
        IF(
            INDEX($K$5:$K$50, ROW(A18)) = "Pleegzorg",
                 "",
            ""
        )
    )
)</f>
        <v/>
      </c>
      <c r="Q22" s="21" t="str">
        <f>IF(
    INDEX($K$5:$K$50, ROW(A18)) = "Algemeen",
        IFERROR(IF('Hulp (control forms)'!$C$11&lt;&gt;TRUE, '1a. Input organisatieniveau'!$I$24, INDEX(
            '1a. Input organisatieniveau'!$L$16:$N$16,
            MATCH(
                INDEX('2. Output kostprijs'!$A:$ZZ,
                    15,
                    4 + 2 * (INDEX($L$5:$L$50, ROW(A18)) - 1)
                ),
                '1a. Input organisatieniveau'!$L$6:$N$6,
                0
            )
        )),""),
    IF(
        INDEX($K$5:$K$50, ROW(A18)) = "Gezinshuis",
            "",
        IF(
            INDEX($K$5:$K$50, ROW(A18)) = "Pleegzorg",
                 "",
            ""
        )
    )
)</f>
        <v/>
      </c>
      <c r="R22" s="21" t="str">
        <f>IF(
    INDEX($K$5:$K$50, ROW(A18)) = "Algemeen",
        IFERROR(IF('Hulp (control forms)'!$C$12&lt;&gt;TRUE, '1a. Input organisatieniveau'!$I$29, INDEX(
            '1a. Input organisatieniveau'!$L$20:$N$20,
            MATCH(
                INDEX('2. Output kostprijs'!$A:$ZZ,
                    15,
                    4 + 2 * (INDEX($L$5:$L$50, ROW(A18)) - 1)
                ),
                '1a. Input organisatieniveau'!$L$6:$N$6,
                0
            )
        )),""),
    IF(
        INDEX($K$5:$K$50, ROW(A18)) = "Gezinshuis",
            "",
        IF(
            INDEX($K$5:$K$50, ROW(A18)) = "Pleegzorg",
                 "",
            ""
        )
    )
)</f>
        <v/>
      </c>
      <c r="S22" s="21" t="str">
        <f>IF(
    INDEX($K$5:$K$50, ROW(A18)) = "Algemeen",
        INDEX('2. Output kostprijs'!$A:$ZZ, 32,
            5 + 2 * (INDEX('Hulp (overig)'!$L$5:$L$50, ROW(A18)) - 1)
        ),
    IF(
        INDEX($K$5:$K$50, ROW(A18)) = "Gezinshuis",
            INDEX('3. Gezinshuis producten'!$A:$Y, 22,
            15 + 2 * (INDEX($L$5:$L$50, ROW(A18)) - 1)),
        IF(
            INDEX($K$5:$K$50, ROW(A18)) = "Pleegzorg",
                 INDEX('4. Pleegzorg producten'!$A:$Y, 24,
            13 + 3 * (INDEX($L$5:$L$50, ROW(A18)) - 1)) +
                 INDEX('4. Pleegzorg producten'!$A:$Y, 25,
            13 + 3 * (INDEX($L$5:$L$50, ROW(A18)) - 1)),
            ""
        )
    )
)</f>
        <v/>
      </c>
      <c r="T22" s="21" t="str">
        <f t="array" ref="T22">IF(
    INDEX($K$5:$K$50, ROW(A18)) = "Algemeen",
        IF(INDEX('2. Output kostprijs'!$A:$ZZ, 15,
            4 + 2 * (INDEX('Hulp (overig)'!$L$5:$L$50, ROW(A18)) - 1)
        )="Ambulant",
        INDEX('2. Output kostprijs'!$A:$ZZ, 47,
            4 + 2 * (INDEX('Hulp (overig)'!$L$5:$L$50, ROW(A18)) - 1)
        ), ""),
    IF(
        INDEX($K$5:$K$50, ROW(A18)) = "Gezinshuis",
            "",
        IF(
            INDEX($K$5:$K$50, ROW(A18)) = "Pleegzorg",
                 "",
            ""
        )
    )
)</f>
        <v/>
      </c>
      <c r="U22" s="21" t="str">
        <f>IF(
    INDEX($K$5:$K$50, ROW(A18)) = "Algemeen",
        IF(INDEX('2. Output kostprijs'!$A:$ZZ, 15,
            4 + 2 * (INDEX('Hulp (overig)'!$L$5:$L$50, ROW(A18)) - 1)
        )="Daghulp",
        INDEX('2. Output kostprijs'!$A:$ZZ, 47,
            4 + 2 * (INDEX('Hulp (overig)'!$L$5:$L$50, ROW(A18)) - 1)
        ), ""),
    IF(
        INDEX($K$5:$K$50, ROW(A18)) = "Gezinshuis",
            "",
        IF(
            INDEX($K$5:$K$50, ROW(A18)) = "Pleegzorg",
                 "",
            ""
        )
    )
)</f>
        <v/>
      </c>
      <c r="V22" s="21" t="str">
        <f>IF(
    INDEX($K$5:$K$50, ROW(A18)) = "Algemeen",
        IF(INDEX('2. Output kostprijs'!$A:$ZZ, 15,
            4 + 2 * (INDEX('Hulp (overig)'!$L$5:$L$50, ROW(A18)) - 1)
        )="Verblijf",
        INDEX('2. Output kostprijs'!$A:$ZZ, 47,
            4 + 2 * (INDEX('Hulp (overig)'!$L$5:$L$50, ROW(A18)) - 1)
        ), ""),
    IF(
        INDEX($K$5:$K$50, ROW(A18)) = "Gezinshuis",
            INDEX('3. Gezinshuis producten'!$A:$Y, 29,
            14 + 2 * (INDEX($L$5:$L$50, ROW(A18)) - 1)),
        IF(
            INDEX($K$5:$K$50, ROW(A18)) = "Pleegzorg",
                 INDEX('4. Pleegzorg producten'!$A:$Y, 26,
            13 + 3 * (INDEX($L$5:$L$50, ROW(A18)) - 1)),
            ""
        )
    )
)</f>
        <v/>
      </c>
      <c r="W22" s="21" t="str">
        <f>IF(
    INDEX($K$5:$K$50, ROW(A18)) = "Algemeen",
        IFERROR(IF('Hulp (control forms)'!$C$12&lt;&gt;TRUE, '1a. Input organisatieniveau'!$I$27, INDEX(
            '1a. Input organisatieniveau'!$L$18:$N$18,
            MATCH(
                INDEX('2. Output kostprijs'!$A:$ZZ,
                    15,
                    4 + 2 * (INDEX($L$5:$L$50, ROW(A18)) - 1)
                ),
                '1a. Input organisatieniveau'!$L$6:$N$6,
                0
            )
        )),""),
    IF(
        INDEX($K$5:$K$50, ROW(A18)) = "Gezinshuis",
            "",
        IF(
            INDEX($K$5:$K$50, ROW(A18)) = "Pleegzorg",
                 "",
            ""
        )
    )
)</f>
        <v/>
      </c>
      <c r="X22" s="21" t="str">
        <f>IF(
    INDEX($K$5:$K$50, ROW(A18)) = "Algemeen",
        IFERROR(IF('Hulp (control forms)'!$C$12&lt;&gt;TRUE, '1a. Input organisatieniveau'!$I$28, INDEX(
            '1a. Input organisatieniveau'!$L$19:$N$19,
            MATCH(
                INDEX('2. Output kostprijs'!$A:$ZZ,
                    15,
                    4 + 2 * (INDEX($L$5:$L$50, ROW(A18)) - 1)
                ),
                '1a. Input organisatieniveau'!$L$6:$N$6,
                0
            )
        )),""),
    IF(
        INDEX($K$5:$K$50, ROW(A18)) = "Gezinshuis",
            "",
        IF(
            INDEX($K$5:$K$50, ROW(A18)) = "Pleegzorg",
                 "",
            ""
        )
    )
)</f>
        <v/>
      </c>
    </row>
    <row r="23" spans="2:24" x14ac:dyDescent="0.45">
      <c r="B23" s="21" t="s">
        <v>730</v>
      </c>
      <c r="C23" s="350">
        <f>IF(
    INDEX(D23:H23, MATCH(Initialisatie!$C$5, D$4:H$4, 0))&lt;&gt;"",
    INDEX(D23:H23, MATCH(Initialisatie!$C$5, D$4:H$4, 0)),
    LOOKUP(2, 1/(D23:H23&lt;&gt;""), D23:H23)
)</f>
        <v>0</v>
      </c>
      <c r="D23" s="350"/>
      <c r="E23" s="350">
        <f>IFERROR(
  INDEX('Hulp (CAO''s)'!AD3:AD7, MATCH(TRUE, 'Hulp (CAO''s)'!D3:D6, 0)),
  ""
)</f>
        <v>0.5</v>
      </c>
      <c r="F23" s="350">
        <f>IFERROR(
  INDEX('Hulp (CAO''s)'!AH3:AH7, MATCH(TRUE, 'Hulp (CAO''s)'!D3:D7, 0)),
  ""
)</f>
        <v>0</v>
      </c>
      <c r="G23" s="350"/>
      <c r="H23" s="350"/>
      <c r="J23" s="364" t="str">
        <f t="array" ref="J23">IFERROR(
  IF(
    ROW(A19) &lt;= SUMPRODUCT(--('Hulp (control forms)'!$G$13:$G$52)),
      IF(
        INDEX(Initialisatie!B$10:B$49,
          SMALL(
            IF('Hulp (control forms)'!$G$13:$G$52=TRUE,
               ROW(Initialisatie!B$10:B$49)-ROW(Initialisatie!B$10)+1),
            ROW(A19)
          )
        )="","",
        INDEX(Initialisatie!B$10:B$49,
          SMALL(
            IF('Hulp (control forms)'!$G$13:$G$52=TRUE,
               ROW(Initialisatie!B$10:B$49)-ROW(Initialisatie!B$10)+1),
            ROW(A19)
          )
        )
      ),
    IFERROR(
      INDEX(
        '3. Gezinshuis producten'!E$7:E$9,
        SMALL(
          IF('Hulp (control forms)'!$F$6:$F$8=TRUE,
             ROW('3. Gezinshuis producten'!E$7:E$9)-ROW('3. Gezinshuis producten'!E$7)+1),
          ROW(A19) - SUMPRODUCT(--('Hulp (control forms)'!$G$13:$G$52))
        )
      ),
      IF(
        ROW(A19)
         - SUMPRODUCT(--('Hulp (control forms)'!$G$13:$G$52))
         - SUMPRODUCT(--('Hulp (control forms)'!$F$6:$F$8)) = 1,
        IF('4. Pleegzorg producten'!$M$26&lt;&gt;"",
           "Voltijd",
           IF('4. Pleegzorg producten'!$P$26&lt;&gt;"","Deeltijd","")
        ),
        IF(
          ROW(A19)
           - SUMPRODUCT(--('Hulp (control forms)'!$G$13:$G$52))
           - SUMPRODUCT(--('Hulp (control forms)'!$F$6:$F$8)) = 2,
          IF( AND('4. Pleegzorg producten'!$M$26&lt;&gt;"", '4. Pleegzorg producten'!$P$26&lt;&gt;"" ),
             "Deeltijd",
             ""
          ),
          ""
        )
      )
    )
  ),
"")</f>
        <v/>
      </c>
      <c r="K23" s="364" t="str">
        <f>IF(
  ROW(A19) &lt;= SUMPRODUCT(--('Hulp (control forms)'!$G$13:$G$52)),
      "Algemeen",
  IF(
    ROW(A19) - SUMPRODUCT(--('Hulp (control forms)'!$G$13:$G$52))
      &lt;= SUMPRODUCT(--('Hulp (control forms)'!$F$6:$F$8)),
        "Gezinshuis",
    IF(
      (ROW(A19)
        - SUMPRODUCT(--('Hulp (control forms)'!$G$13:$G$52))
        - SUMPRODUCT(--('Hulp (control forms)'!$F$6:$F$8)))
        &lt;= SUMPRODUCT(--('4. Pleegzorg producten'!$M$26&lt;&gt;"") + --('4. Pleegzorg producten'!$P$26&lt;&gt;"")),
          "Pleegzorg",
          ""
    )
  )
)</f>
        <v/>
      </c>
      <c r="L23" s="21" t="str">
        <f t="array" ref="L23">IF(
  ROW(A19) &lt;= SUMPRODUCT(--('Hulp (control forms)'!$G$13:$G$52)),
      ROW(A19),
  IF(
    ROW(A19) - SUMPRODUCT(--('Hulp (control forms)'!$G$13:$G$52))
      &lt;= SUMPRODUCT(--('Hulp (control forms)'!$F$6:$F$8)),
        SMALL(
    IF('Hulp (control forms)'!$F$6:$F$8,
       ROW('Hulp (control forms)'!$F$6:$F$8)
    ),
    ROW(A19) - SUMPRODUCT(--('Hulp (control forms)'!$G$13:$G$52))
)-5,
    IF(
      (ROW(A19)
        - SUMPRODUCT(--('Hulp (control forms)'!$G$13:$G$52))
        - SUMPRODUCT(--('Hulp (control forms)'!$F$6:$F$8)))
        &lt;= SUMPRODUCT(--('4. Pleegzorg producten'!$M$26&lt;&gt;"") + --('4. Pleegzorg producten'!$P$26&lt;&gt;"")),
        ROW(A19)
        - SUMPRODUCT(--('Hulp (control forms)'!$G$13:$G$52))
        - SUMPRODUCT(--('Hulp (control forms)'!$F$6:$F$8)),
        ""
    )
  )
)</f>
        <v/>
      </c>
      <c r="M23" s="21" t="str">
        <f t="array" ref="M23">IF(
    INDEX($K$5:$K$50, ROW(A19)) = "Algemeen",
        IFERROR(IF('Hulp (control forms)'!$C$7&lt;&gt;TRUE, '1a. Input organisatieniveau'!$I$19, INDEX(
            '1a. Input organisatieniveau'!$L$11:$N$11,
            MATCH(
                INDEX('2. Output kostprijs'!$A:$ZZ,
                    15,
                    4 + 2 * (INDEX($L$5:$L$50, ROW(A19)) - 1)
                ),
                '1a. Input organisatieniveau'!$L$6:$N$6,
                0
            )
        )),""),
    IF(
        INDEX($K$5:$K$50, ROW(A19)) = "Gezinshuis",
            "",
        IF(
            INDEX($K$5:$K$50, ROW(A19)) = "Pleegzorg",
                 "",
            ""
        )
    )
)</f>
        <v/>
      </c>
      <c r="N23" s="21" t="str">
        <f t="array" ref="N23">IF(
    INDEX($K$5:$K$50, ROW(A19)) = "Algemeen",
        IFERROR(IF('Hulp (control forms)'!$C$8&lt;&gt;TRUE, '1a. Input organisatieniveau'!$I$20, INDEX(
            '1a. Input organisatieniveau'!$L$12:$N$12,
            MATCH(
                INDEX('2. Output kostprijs'!$A:$ZZ,
                    15,
                    4 + 2 * (INDEX($L$5:$L$50, ROW(A19)) - 1)
                ),
                '1a. Input organisatieniveau'!$L$6:$N$6,
                0
            )
        )),""),
    IF(
        INDEX($K$5:$K$50, ROW(A19)) = "Gezinshuis",
            INDEX('3. Gezinshuis producten'!$A:$Y, 31,
            9 + 1 * (INDEX($L$5:$L$50, ROW(A19)) - 1)),
        IF(
            INDEX($K$5:$K$50, ROW(A19)) = "Pleegzorg",
                 "",
            ""
        )
    )
)</f>
        <v/>
      </c>
      <c r="O23" s="21" t="str">
        <f t="array" ref="O23">IF(
    INDEX($K$5:$K$50, ROW(A19)) = "Algemeen",
        IFERROR(IF('Hulp (control forms)'!$C$9&lt;&gt;TRUE, '1a. Input organisatieniveau'!$I$21, INDEX(
            '1a. Input organisatieniveau'!$L$13:$N$13,
            MATCH(
                INDEX('2. Output kostprijs'!$A:$ZZ,
                    15,
                    4 + 2 * (INDEX($L$5:$L$50, ROW(A19)) - 1)
                ),
                '1a. Input organisatieniveau'!$L$6:$N$6,
                0
            )
        )),""),
    IF(
        INDEX($K$5:$K$50, ROW(A19)) = "Gezinshuis",
            "",
        IF(
            INDEX($K$5:$K$50, ROW(A19)) = "Pleegzorg",
                 "",
            ""
        )
    )
)</f>
        <v/>
      </c>
      <c r="P23" s="21" t="str">
        <f>IF(
    INDEX($K$5:$K$50, ROW(A19)) = "Algemeen",
        IFERROR(IF('Hulp (control forms)'!$C$10&lt;&gt;TRUE, '1a. Input organisatieniveau'!$I$23, INDEX(
            '1a. Input organisatieniveau'!$L$15:$N$15,
            MATCH(
                INDEX('2. Output kostprijs'!$A:$ZZ,
                    15,
                    4 + 2 * (INDEX($L$5:$L$50, ROW(A19)) - 1)
                ),
                '1a. Input organisatieniveau'!$L$6:$N$6,
                0
            )
        )),""),
    IF(
        INDEX($K$5:$K$50, ROW(A19)) = "Gezinshuis",
            "",
        IF(
            INDEX($K$5:$K$50, ROW(A19)) = "Pleegzorg",
                 "",
            ""
        )
    )
)</f>
        <v/>
      </c>
      <c r="Q23" s="21" t="str">
        <f>IF(
    INDEX($K$5:$K$50, ROW(A19)) = "Algemeen",
        IFERROR(IF('Hulp (control forms)'!$C$11&lt;&gt;TRUE, '1a. Input organisatieniveau'!$I$24, INDEX(
            '1a. Input organisatieniveau'!$L$16:$N$16,
            MATCH(
                INDEX('2. Output kostprijs'!$A:$ZZ,
                    15,
                    4 + 2 * (INDEX($L$5:$L$50, ROW(A19)) - 1)
                ),
                '1a. Input organisatieniveau'!$L$6:$N$6,
                0
            )
        )),""),
    IF(
        INDEX($K$5:$K$50, ROW(A19)) = "Gezinshuis",
            "",
        IF(
            INDEX($K$5:$K$50, ROW(A19)) = "Pleegzorg",
                 "",
            ""
        )
    )
)</f>
        <v/>
      </c>
      <c r="R23" s="21" t="str">
        <f>IF(
    INDEX($K$5:$K$50, ROW(A19)) = "Algemeen",
        IFERROR(IF('Hulp (control forms)'!$C$12&lt;&gt;TRUE, '1a. Input organisatieniveau'!$I$29, INDEX(
            '1a. Input organisatieniveau'!$L$20:$N$20,
            MATCH(
                INDEX('2. Output kostprijs'!$A:$ZZ,
                    15,
                    4 + 2 * (INDEX($L$5:$L$50, ROW(A19)) - 1)
                ),
                '1a. Input organisatieniveau'!$L$6:$N$6,
                0
            )
        )),""),
    IF(
        INDEX($K$5:$K$50, ROW(A19)) = "Gezinshuis",
            "",
        IF(
            INDEX($K$5:$K$50, ROW(A19)) = "Pleegzorg",
                 "",
            ""
        )
    )
)</f>
        <v/>
      </c>
      <c r="S23" s="21" t="str">
        <f>IF(
    INDEX($K$5:$K$50, ROW(A19)) = "Algemeen",
        INDEX('2. Output kostprijs'!$A:$ZZ, 32,
            5 + 2 * (INDEX('Hulp (overig)'!$L$5:$L$50, ROW(A19)) - 1)
        ),
    IF(
        INDEX($K$5:$K$50, ROW(A19)) = "Gezinshuis",
            INDEX('3. Gezinshuis producten'!$A:$Y, 22,
            15 + 2 * (INDEX($L$5:$L$50, ROW(A19)) - 1)),
        IF(
            INDEX($K$5:$K$50, ROW(A19)) = "Pleegzorg",
                 INDEX('4. Pleegzorg producten'!$A:$Y, 24,
            13 + 3 * (INDEX($L$5:$L$50, ROW(A19)) - 1)) +
                 INDEX('4. Pleegzorg producten'!$A:$Y, 25,
            13 + 3 * (INDEX($L$5:$L$50, ROW(A19)) - 1)),
            ""
        )
    )
)</f>
        <v/>
      </c>
      <c r="T23" s="21" t="str">
        <f t="array" ref="T23">IF(
    INDEX($K$5:$K$50, ROW(A19)) = "Algemeen",
        IF(INDEX('2. Output kostprijs'!$A:$ZZ, 15,
            4 + 2 * (INDEX('Hulp (overig)'!$L$5:$L$50, ROW(A19)) - 1)
        )="Ambulant",
        INDEX('2. Output kostprijs'!$A:$ZZ, 47,
            4 + 2 * (INDEX('Hulp (overig)'!$L$5:$L$50, ROW(A19)) - 1)
        ), ""),
    IF(
        INDEX($K$5:$K$50, ROW(A19)) = "Gezinshuis",
            "",
        IF(
            INDEX($K$5:$K$50, ROW(A19)) = "Pleegzorg",
                 "",
            ""
        )
    )
)</f>
        <v/>
      </c>
      <c r="U23" s="21" t="str">
        <f>IF(
    INDEX($K$5:$K$50, ROW(A19)) = "Algemeen",
        IF(INDEX('2. Output kostprijs'!$A:$ZZ, 15,
            4 + 2 * (INDEX('Hulp (overig)'!$L$5:$L$50, ROW(A19)) - 1)
        )="Daghulp",
        INDEX('2. Output kostprijs'!$A:$ZZ, 47,
            4 + 2 * (INDEX('Hulp (overig)'!$L$5:$L$50, ROW(A19)) - 1)
        ), ""),
    IF(
        INDEX($K$5:$K$50, ROW(A19)) = "Gezinshuis",
            "",
        IF(
            INDEX($K$5:$K$50, ROW(A19)) = "Pleegzorg",
                 "",
            ""
        )
    )
)</f>
        <v/>
      </c>
      <c r="V23" s="21" t="str">
        <f>IF(
    INDEX($K$5:$K$50, ROW(A19)) = "Algemeen",
        IF(INDEX('2. Output kostprijs'!$A:$ZZ, 15,
            4 + 2 * (INDEX('Hulp (overig)'!$L$5:$L$50, ROW(A19)) - 1)
        )="Verblijf",
        INDEX('2. Output kostprijs'!$A:$ZZ, 47,
            4 + 2 * (INDEX('Hulp (overig)'!$L$5:$L$50, ROW(A19)) - 1)
        ), ""),
    IF(
        INDEX($K$5:$K$50, ROW(A19)) = "Gezinshuis",
            INDEX('3. Gezinshuis producten'!$A:$Y, 29,
            14 + 2 * (INDEX($L$5:$L$50, ROW(A19)) - 1)),
        IF(
            INDEX($K$5:$K$50, ROW(A19)) = "Pleegzorg",
                 INDEX('4. Pleegzorg producten'!$A:$Y, 26,
            13 + 3 * (INDEX($L$5:$L$50, ROW(A19)) - 1)),
            ""
        )
    )
)</f>
        <v/>
      </c>
      <c r="W23" s="21" t="str">
        <f>IF(
    INDEX($K$5:$K$50, ROW(A19)) = "Algemeen",
        IFERROR(IF('Hulp (control forms)'!$C$12&lt;&gt;TRUE, '1a. Input organisatieniveau'!$I$27, INDEX(
            '1a. Input organisatieniveau'!$L$18:$N$18,
            MATCH(
                INDEX('2. Output kostprijs'!$A:$ZZ,
                    15,
                    4 + 2 * (INDEX($L$5:$L$50, ROW(A19)) - 1)
                ),
                '1a. Input organisatieniveau'!$L$6:$N$6,
                0
            )
        )),""),
    IF(
        INDEX($K$5:$K$50, ROW(A19)) = "Gezinshuis",
            "",
        IF(
            INDEX($K$5:$K$50, ROW(A19)) = "Pleegzorg",
                 "",
            ""
        )
    )
)</f>
        <v/>
      </c>
      <c r="X23" s="21" t="str">
        <f>IF(
    INDEX($K$5:$K$50, ROW(A19)) = "Algemeen",
        IFERROR(IF('Hulp (control forms)'!$C$12&lt;&gt;TRUE, '1a. Input organisatieniveau'!$I$28, INDEX(
            '1a. Input organisatieniveau'!$L$19:$N$19,
            MATCH(
                INDEX('2. Output kostprijs'!$A:$ZZ,
                    15,
                    4 + 2 * (INDEX($L$5:$L$50, ROW(A19)) - 1)
                ),
                '1a. Input organisatieniveau'!$L$6:$N$6,
                0
            )
        )),""),
    IF(
        INDEX($K$5:$K$50, ROW(A19)) = "Gezinshuis",
            "",
        IF(
            INDEX($K$5:$K$50, ROW(A19)) = "Pleegzorg",
                 "",
            ""
        )
    )
)</f>
        <v/>
      </c>
    </row>
    <row r="24" spans="2:24" x14ac:dyDescent="0.45">
      <c r="B24" s="21" t="s">
        <v>2199</v>
      </c>
      <c r="C24" s="698">
        <f>IF(
    INDEX(D24:H24, MATCH(Initialisatie!$C$5, D$4:H$4, 0))&lt;&gt;"",
    INDEX(D24:H24, MATCH(Initialisatie!$C$5, D$4:H$4, 0)),
    LOOKUP(2, 1/(D24:H24&lt;&gt;""), D24:H24)
)</f>
        <v>0</v>
      </c>
      <c r="D24" s="699"/>
      <c r="E24" s="699"/>
      <c r="F24" s="699">
        <f>IFERROR(
  INDEX('Hulp (CAO''s)'!AN3:AN7, MATCH(TRUE, 'Hulp (CAO''s)'!D3:D7, 0)),
  ""
)</f>
        <v>0</v>
      </c>
      <c r="G24" s="699"/>
      <c r="H24" s="699"/>
      <c r="J24" s="364" t="str">
        <f t="array" ref="J24">IFERROR(
  IF(
    ROW(A20) &lt;= SUMPRODUCT(--('Hulp (control forms)'!$G$13:$G$52)),
      IF(
        INDEX(Initialisatie!B$10:B$49,
          SMALL(
            IF('Hulp (control forms)'!$G$13:$G$52=TRUE,
               ROW(Initialisatie!B$10:B$49)-ROW(Initialisatie!B$10)+1),
            ROW(A20)
          )
        )="","",
        INDEX(Initialisatie!B$10:B$49,
          SMALL(
            IF('Hulp (control forms)'!$G$13:$G$52=TRUE,
               ROW(Initialisatie!B$10:B$49)-ROW(Initialisatie!B$10)+1),
            ROW(A20)
          )
        )
      ),
    IFERROR(
      INDEX(
        '3. Gezinshuis producten'!E$7:E$9,
        SMALL(
          IF('Hulp (control forms)'!$F$6:$F$8=TRUE,
             ROW('3. Gezinshuis producten'!E$7:E$9)-ROW('3. Gezinshuis producten'!E$7)+1),
          ROW(A20) - SUMPRODUCT(--('Hulp (control forms)'!$G$13:$G$52))
        )
      ),
      IF(
        ROW(A20)
         - SUMPRODUCT(--('Hulp (control forms)'!$G$13:$G$52))
         - SUMPRODUCT(--('Hulp (control forms)'!$F$6:$F$8)) = 1,
        IF('4. Pleegzorg producten'!$M$26&lt;&gt;"",
           "Voltijd",
           IF('4. Pleegzorg producten'!$P$26&lt;&gt;"","Deeltijd","")
        ),
        IF(
          ROW(A20)
           - SUMPRODUCT(--('Hulp (control forms)'!$G$13:$G$52))
           - SUMPRODUCT(--('Hulp (control forms)'!$F$6:$F$8)) = 2,
          IF( AND('4. Pleegzorg producten'!$M$26&lt;&gt;"", '4. Pleegzorg producten'!$P$26&lt;&gt;"" ),
             "Deeltijd",
             ""
          ),
          ""
        )
      )
    )
  ),
"")</f>
        <v/>
      </c>
      <c r="K24" s="364" t="str">
        <f>IF(
  ROW(A20) &lt;= SUMPRODUCT(--('Hulp (control forms)'!$G$13:$G$52)),
      "Algemeen",
  IF(
    ROW(A20) - SUMPRODUCT(--('Hulp (control forms)'!$G$13:$G$52))
      &lt;= SUMPRODUCT(--('Hulp (control forms)'!$F$6:$F$8)),
        "Gezinshuis",
    IF(
      (ROW(A20)
        - SUMPRODUCT(--('Hulp (control forms)'!$G$13:$G$52))
        - SUMPRODUCT(--('Hulp (control forms)'!$F$6:$F$8)))
        &lt;= SUMPRODUCT(--('4. Pleegzorg producten'!$M$26&lt;&gt;"") + --('4. Pleegzorg producten'!$P$26&lt;&gt;"")),
          "Pleegzorg",
          ""
    )
  )
)</f>
        <v/>
      </c>
      <c r="L24" s="21" t="str">
        <f t="array" ref="L24">IF(
  ROW(A20) &lt;= SUMPRODUCT(--('Hulp (control forms)'!$G$13:$G$52)),
      ROW(A20),
  IF(
    ROW(A20) - SUMPRODUCT(--('Hulp (control forms)'!$G$13:$G$52))
      &lt;= SUMPRODUCT(--('Hulp (control forms)'!$F$6:$F$8)),
        SMALL(
    IF('Hulp (control forms)'!$F$6:$F$8,
       ROW('Hulp (control forms)'!$F$6:$F$8)
    ),
    ROW(A20) - SUMPRODUCT(--('Hulp (control forms)'!$G$13:$G$52))
)-5,
    IF(
      (ROW(A20)
        - SUMPRODUCT(--('Hulp (control forms)'!$G$13:$G$52))
        - SUMPRODUCT(--('Hulp (control forms)'!$F$6:$F$8)))
        &lt;= SUMPRODUCT(--('4. Pleegzorg producten'!$M$26&lt;&gt;"") + --('4. Pleegzorg producten'!$P$26&lt;&gt;"")),
        ROW(A20)
        - SUMPRODUCT(--('Hulp (control forms)'!$G$13:$G$52))
        - SUMPRODUCT(--('Hulp (control forms)'!$F$6:$F$8)),
        ""
    )
  )
)</f>
        <v/>
      </c>
      <c r="M24" s="21" t="str">
        <f t="array" ref="M24">IF(
    INDEX($K$5:$K$50, ROW(A20)) = "Algemeen",
        IFERROR(IF('Hulp (control forms)'!$C$7&lt;&gt;TRUE, '1a. Input organisatieniveau'!$I$19, INDEX(
            '1a. Input organisatieniveau'!$L$11:$N$11,
            MATCH(
                INDEX('2. Output kostprijs'!$A:$ZZ,
                    15,
                    4 + 2 * (INDEX($L$5:$L$50, ROW(A20)) - 1)
                ),
                '1a. Input organisatieniveau'!$L$6:$N$6,
                0
            )
        )),""),
    IF(
        INDEX($K$5:$K$50, ROW(A20)) = "Gezinshuis",
            "",
        IF(
            INDEX($K$5:$K$50, ROW(A20)) = "Pleegzorg",
                 "",
            ""
        )
    )
)</f>
        <v/>
      </c>
      <c r="N24" s="21" t="str">
        <f t="array" ref="N24">IF(
    INDEX($K$5:$K$50, ROW(A20)) = "Algemeen",
        IFERROR(IF('Hulp (control forms)'!$C$8&lt;&gt;TRUE, '1a. Input organisatieniveau'!$I$20, INDEX(
            '1a. Input organisatieniveau'!$L$12:$N$12,
            MATCH(
                INDEX('2. Output kostprijs'!$A:$ZZ,
                    15,
                    4 + 2 * (INDEX($L$5:$L$50, ROW(A20)) - 1)
                ),
                '1a. Input organisatieniveau'!$L$6:$N$6,
                0
            )
        )),""),
    IF(
        INDEX($K$5:$K$50, ROW(A20)) = "Gezinshuis",
            INDEX('3. Gezinshuis producten'!$A:$Y, 31,
            9 + 1 * (INDEX($L$5:$L$50, ROW(A20)) - 1)),
        IF(
            INDEX($K$5:$K$50, ROW(A20)) = "Pleegzorg",
                 "",
            ""
        )
    )
)</f>
        <v/>
      </c>
      <c r="O24" s="21" t="str">
        <f t="array" ref="O24">IF(
    INDEX($K$5:$K$50, ROW(A20)) = "Algemeen",
        IFERROR(IF('Hulp (control forms)'!$C$9&lt;&gt;TRUE, '1a. Input organisatieniveau'!$I$21, INDEX(
            '1a. Input organisatieniveau'!$L$13:$N$13,
            MATCH(
                INDEX('2. Output kostprijs'!$A:$ZZ,
                    15,
                    4 + 2 * (INDEX($L$5:$L$50, ROW(A20)) - 1)
                ),
                '1a. Input organisatieniveau'!$L$6:$N$6,
                0
            )
        )),""),
    IF(
        INDEX($K$5:$K$50, ROW(A20)) = "Gezinshuis",
            "",
        IF(
            INDEX($K$5:$K$50, ROW(A20)) = "Pleegzorg",
                 "",
            ""
        )
    )
)</f>
        <v/>
      </c>
      <c r="P24" s="21" t="str">
        <f>IF(
    INDEX($K$5:$K$50, ROW(A20)) = "Algemeen",
        IFERROR(IF('Hulp (control forms)'!$C$10&lt;&gt;TRUE, '1a. Input organisatieniveau'!$I$23, INDEX(
            '1a. Input organisatieniveau'!$L$15:$N$15,
            MATCH(
                INDEX('2. Output kostprijs'!$A:$ZZ,
                    15,
                    4 + 2 * (INDEX($L$5:$L$50, ROW(A20)) - 1)
                ),
                '1a. Input organisatieniveau'!$L$6:$N$6,
                0
            )
        )),""),
    IF(
        INDEX($K$5:$K$50, ROW(A20)) = "Gezinshuis",
            "",
        IF(
            INDEX($K$5:$K$50, ROW(A20)) = "Pleegzorg",
                 "",
            ""
        )
    )
)</f>
        <v/>
      </c>
      <c r="Q24" s="21" t="str">
        <f>IF(
    INDEX($K$5:$K$50, ROW(A20)) = "Algemeen",
        IFERROR(IF('Hulp (control forms)'!$C$11&lt;&gt;TRUE, '1a. Input organisatieniveau'!$I$24, INDEX(
            '1a. Input organisatieniveau'!$L$16:$N$16,
            MATCH(
                INDEX('2. Output kostprijs'!$A:$ZZ,
                    15,
                    4 + 2 * (INDEX($L$5:$L$50, ROW(A20)) - 1)
                ),
                '1a. Input organisatieniveau'!$L$6:$N$6,
                0
            )
        )),""),
    IF(
        INDEX($K$5:$K$50, ROW(A20)) = "Gezinshuis",
            "",
        IF(
            INDEX($K$5:$K$50, ROW(A20)) = "Pleegzorg",
                 "",
            ""
        )
    )
)</f>
        <v/>
      </c>
      <c r="R24" s="21" t="str">
        <f>IF(
    INDEX($K$5:$K$50, ROW(A20)) = "Algemeen",
        IFERROR(IF('Hulp (control forms)'!$C$12&lt;&gt;TRUE, '1a. Input organisatieniveau'!$I$29, INDEX(
            '1a. Input organisatieniveau'!$L$20:$N$20,
            MATCH(
                INDEX('2. Output kostprijs'!$A:$ZZ,
                    15,
                    4 + 2 * (INDEX($L$5:$L$50, ROW(A20)) - 1)
                ),
                '1a. Input organisatieniveau'!$L$6:$N$6,
                0
            )
        )),""),
    IF(
        INDEX($K$5:$K$50, ROW(A20)) = "Gezinshuis",
            "",
        IF(
            INDEX($K$5:$K$50, ROW(A20)) = "Pleegzorg",
                 "",
            ""
        )
    )
)</f>
        <v/>
      </c>
      <c r="S24" s="21" t="str">
        <f>IF(
    INDEX($K$5:$K$50, ROW(A20)) = "Algemeen",
        INDEX('2. Output kostprijs'!$A:$ZZ, 32,
            5 + 2 * (INDEX('Hulp (overig)'!$L$5:$L$50, ROW(A20)) - 1)
        ),
    IF(
        INDEX($K$5:$K$50, ROW(A20)) = "Gezinshuis",
            INDEX('3. Gezinshuis producten'!$A:$Y, 22,
            15 + 2 * (INDEX($L$5:$L$50, ROW(A20)) - 1)),
        IF(
            INDEX($K$5:$K$50, ROW(A20)) = "Pleegzorg",
                 INDEX('4. Pleegzorg producten'!$A:$Y, 24,
            13 + 3 * (INDEX($L$5:$L$50, ROW(A20)) - 1)) +
                 INDEX('4. Pleegzorg producten'!$A:$Y, 25,
            13 + 3 * (INDEX($L$5:$L$50, ROW(A20)) - 1)),
            ""
        )
    )
)</f>
        <v/>
      </c>
      <c r="T24" s="21" t="str">
        <f t="array" ref="T24">IF(
    INDEX($K$5:$K$50, ROW(A20)) = "Algemeen",
        IF(INDEX('2. Output kostprijs'!$A:$ZZ, 15,
            4 + 2 * (INDEX('Hulp (overig)'!$L$5:$L$50, ROW(A20)) - 1)
        )="Ambulant",
        INDEX('2. Output kostprijs'!$A:$ZZ, 47,
            4 + 2 * (INDEX('Hulp (overig)'!$L$5:$L$50, ROW(A20)) - 1)
        ), ""),
    IF(
        INDEX($K$5:$K$50, ROW(A20)) = "Gezinshuis",
            "",
        IF(
            INDEX($K$5:$K$50, ROW(A20)) = "Pleegzorg",
                 "",
            ""
        )
    )
)</f>
        <v/>
      </c>
      <c r="U24" s="21" t="str">
        <f>IF(
    INDEX($K$5:$K$50, ROW(A20)) = "Algemeen",
        IF(INDEX('2. Output kostprijs'!$A:$ZZ, 15,
            4 + 2 * (INDEX('Hulp (overig)'!$L$5:$L$50, ROW(A20)) - 1)
        )="Daghulp",
        INDEX('2. Output kostprijs'!$A:$ZZ, 47,
            4 + 2 * (INDEX('Hulp (overig)'!$L$5:$L$50, ROW(A20)) - 1)
        ), ""),
    IF(
        INDEX($K$5:$K$50, ROW(A20)) = "Gezinshuis",
            "",
        IF(
            INDEX($K$5:$K$50, ROW(A20)) = "Pleegzorg",
                 "",
            ""
        )
    )
)</f>
        <v/>
      </c>
      <c r="V24" s="21" t="str">
        <f>IF(
    INDEX($K$5:$K$50, ROW(A20)) = "Algemeen",
        IF(INDEX('2. Output kostprijs'!$A:$ZZ, 15,
            4 + 2 * (INDEX('Hulp (overig)'!$L$5:$L$50, ROW(A20)) - 1)
        )="Verblijf",
        INDEX('2. Output kostprijs'!$A:$ZZ, 47,
            4 + 2 * (INDEX('Hulp (overig)'!$L$5:$L$50, ROW(A20)) - 1)
        ), ""),
    IF(
        INDEX($K$5:$K$50, ROW(A20)) = "Gezinshuis",
            INDEX('3. Gezinshuis producten'!$A:$Y, 29,
            14 + 2 * (INDEX($L$5:$L$50, ROW(A20)) - 1)),
        IF(
            INDEX($K$5:$K$50, ROW(A20)) = "Pleegzorg",
                 INDEX('4. Pleegzorg producten'!$A:$Y, 26,
            13 + 3 * (INDEX($L$5:$L$50, ROW(A20)) - 1)),
            ""
        )
    )
)</f>
        <v/>
      </c>
      <c r="W24" s="21" t="str">
        <f>IF(
    INDEX($K$5:$K$50, ROW(A20)) = "Algemeen",
        IFERROR(IF('Hulp (control forms)'!$C$12&lt;&gt;TRUE, '1a. Input organisatieniveau'!$I$27, INDEX(
            '1a. Input organisatieniveau'!$L$18:$N$18,
            MATCH(
                INDEX('2. Output kostprijs'!$A:$ZZ,
                    15,
                    4 + 2 * (INDEX($L$5:$L$50, ROW(A20)) - 1)
                ),
                '1a. Input organisatieniveau'!$L$6:$N$6,
                0
            )
        )),""),
    IF(
        INDEX($K$5:$K$50, ROW(A20)) = "Gezinshuis",
            "",
        IF(
            INDEX($K$5:$K$50, ROW(A20)) = "Pleegzorg",
                 "",
            ""
        )
    )
)</f>
        <v/>
      </c>
      <c r="X24" s="21" t="str">
        <f>IF(
    INDEX($K$5:$K$50, ROW(A20)) = "Algemeen",
        IFERROR(IF('Hulp (control forms)'!$C$12&lt;&gt;TRUE, '1a. Input organisatieniveau'!$I$28, INDEX(
            '1a. Input organisatieniveau'!$L$19:$N$19,
            MATCH(
                INDEX('2. Output kostprijs'!$A:$ZZ,
                    15,
                    4 + 2 * (INDEX($L$5:$L$50, ROW(A20)) - 1)
                ),
                '1a. Input organisatieniveau'!$L$6:$N$6,
                0
            )
        )),""),
    IF(
        INDEX($K$5:$K$50, ROW(A20)) = "Gezinshuis",
            "",
        IF(
            INDEX($K$5:$K$50, ROW(A20)) = "Pleegzorg",
                 "",
            ""
        )
    )
)</f>
        <v/>
      </c>
    </row>
    <row r="25" spans="2:24" x14ac:dyDescent="0.45">
      <c r="B25" s="36" t="s">
        <v>2200</v>
      </c>
      <c r="C25" s="701">
        <f>IF(
    INDEX(D25:H25, MATCH(Initialisatie!$C$5, D$4:H$4, 0))&lt;&gt;"",
    INDEX(D25:H25, MATCH(Initialisatie!$C$5, D$4:H$4, 0)),
    LOOKUP(2, 1/(D25:H25&lt;&gt;""), D25:H25)
)</f>
        <v>0</v>
      </c>
      <c r="D25" s="700"/>
      <c r="E25" s="700"/>
      <c r="F25" s="700">
        <f>IFERROR(
  INDEX('Hulp (CAO''s)'!AO3:AO7, MATCH(TRUE, 'Hulp (CAO''s)'!D3:D7, 0)),
  ""
)</f>
        <v>0</v>
      </c>
      <c r="G25" s="700"/>
      <c r="H25" s="700"/>
      <c r="J25" s="364" t="str">
        <f t="array" ref="J25">IFERROR(
  IF(
    ROW(A21) &lt;= SUMPRODUCT(--('Hulp (control forms)'!$G$13:$G$52)),
      IF(
        INDEX(Initialisatie!B$10:B$49,
          SMALL(
            IF('Hulp (control forms)'!$G$13:$G$52=TRUE,
               ROW(Initialisatie!B$10:B$49)-ROW(Initialisatie!B$10)+1),
            ROW(A21)
          )
        )="","",
        INDEX(Initialisatie!B$10:B$49,
          SMALL(
            IF('Hulp (control forms)'!$G$13:$G$52=TRUE,
               ROW(Initialisatie!B$10:B$49)-ROW(Initialisatie!B$10)+1),
            ROW(A21)
          )
        )
      ),
    IFERROR(
      INDEX(
        '3. Gezinshuis producten'!E$7:E$9,
        SMALL(
          IF('Hulp (control forms)'!$F$6:$F$8=TRUE,
             ROW('3. Gezinshuis producten'!E$7:E$9)-ROW('3. Gezinshuis producten'!E$7)+1),
          ROW(A21) - SUMPRODUCT(--('Hulp (control forms)'!$G$13:$G$52))
        )
      ),
      IF(
        ROW(A21)
         - SUMPRODUCT(--('Hulp (control forms)'!$G$13:$G$52))
         - SUMPRODUCT(--('Hulp (control forms)'!$F$6:$F$8)) = 1,
        IF('4. Pleegzorg producten'!$M$26&lt;&gt;"",
           "Voltijd",
           IF('4. Pleegzorg producten'!$P$26&lt;&gt;"","Deeltijd","")
        ),
        IF(
          ROW(A21)
           - SUMPRODUCT(--('Hulp (control forms)'!$G$13:$G$52))
           - SUMPRODUCT(--('Hulp (control forms)'!$F$6:$F$8)) = 2,
          IF( AND('4. Pleegzorg producten'!$M$26&lt;&gt;"", '4. Pleegzorg producten'!$P$26&lt;&gt;"" ),
             "Deeltijd",
             ""
          ),
          ""
        )
      )
    )
  ),
"")</f>
        <v/>
      </c>
      <c r="K25" s="364" t="str">
        <f>IF(
  ROW(A21) &lt;= SUMPRODUCT(--('Hulp (control forms)'!$G$13:$G$52)),
      "Algemeen",
  IF(
    ROW(A21) - SUMPRODUCT(--('Hulp (control forms)'!$G$13:$G$52))
      &lt;= SUMPRODUCT(--('Hulp (control forms)'!$F$6:$F$8)),
        "Gezinshuis",
    IF(
      (ROW(A21)
        - SUMPRODUCT(--('Hulp (control forms)'!$G$13:$G$52))
        - SUMPRODUCT(--('Hulp (control forms)'!$F$6:$F$8)))
        &lt;= SUMPRODUCT(--('4. Pleegzorg producten'!$M$26&lt;&gt;"") + --('4. Pleegzorg producten'!$P$26&lt;&gt;"")),
          "Pleegzorg",
          ""
    )
  )
)</f>
        <v/>
      </c>
      <c r="L25" s="21" t="str">
        <f t="array" ref="L25">IF(
  ROW(A21) &lt;= SUMPRODUCT(--('Hulp (control forms)'!$G$13:$G$52)),
      ROW(A21),
  IF(
    ROW(A21) - SUMPRODUCT(--('Hulp (control forms)'!$G$13:$G$52))
      &lt;= SUMPRODUCT(--('Hulp (control forms)'!$F$6:$F$8)),
        SMALL(
    IF('Hulp (control forms)'!$F$6:$F$8,
       ROW('Hulp (control forms)'!$F$6:$F$8)
    ),
    ROW(A21) - SUMPRODUCT(--('Hulp (control forms)'!$G$13:$G$52))
)-5,
    IF(
      (ROW(A21)
        - SUMPRODUCT(--('Hulp (control forms)'!$G$13:$G$52))
        - SUMPRODUCT(--('Hulp (control forms)'!$F$6:$F$8)))
        &lt;= SUMPRODUCT(--('4. Pleegzorg producten'!$M$26&lt;&gt;"") + --('4. Pleegzorg producten'!$P$26&lt;&gt;"")),
        ROW(A21)
        - SUMPRODUCT(--('Hulp (control forms)'!$G$13:$G$52))
        - SUMPRODUCT(--('Hulp (control forms)'!$F$6:$F$8)),
        ""
    )
  )
)</f>
        <v/>
      </c>
      <c r="M25" s="21" t="str">
        <f t="array" ref="M25">IF(
    INDEX($K$5:$K$50, ROW(A21)) = "Algemeen",
        IFERROR(IF('Hulp (control forms)'!$C$7&lt;&gt;TRUE, '1a. Input organisatieniveau'!$I$19, INDEX(
            '1a. Input organisatieniveau'!$L$11:$N$11,
            MATCH(
                INDEX('2. Output kostprijs'!$A:$ZZ,
                    15,
                    4 + 2 * (INDEX($L$5:$L$50, ROW(A21)) - 1)
                ),
                '1a. Input organisatieniveau'!$L$6:$N$6,
                0
            )
        )),""),
    IF(
        INDEX($K$5:$K$50, ROW(A21)) = "Gezinshuis",
            "",
        IF(
            INDEX($K$5:$K$50, ROW(A21)) = "Pleegzorg",
                 "",
            ""
        )
    )
)</f>
        <v/>
      </c>
      <c r="N25" s="21" t="str">
        <f t="array" ref="N25">IF(
    INDEX($K$5:$K$50, ROW(A21)) = "Algemeen",
        IFERROR(IF('Hulp (control forms)'!$C$8&lt;&gt;TRUE, '1a. Input organisatieniveau'!$I$20, INDEX(
            '1a. Input organisatieniveau'!$L$12:$N$12,
            MATCH(
                INDEX('2. Output kostprijs'!$A:$ZZ,
                    15,
                    4 + 2 * (INDEX($L$5:$L$50, ROW(A21)) - 1)
                ),
                '1a. Input organisatieniveau'!$L$6:$N$6,
                0
            )
        )),""),
    IF(
        INDEX($K$5:$K$50, ROW(A21)) = "Gezinshuis",
            INDEX('3. Gezinshuis producten'!$A:$Y, 31,
            9 + 1 * (INDEX($L$5:$L$50, ROW(A21)) - 1)),
        IF(
            INDEX($K$5:$K$50, ROW(A21)) = "Pleegzorg",
                 "",
            ""
        )
    )
)</f>
        <v/>
      </c>
      <c r="O25" s="21" t="str">
        <f t="array" ref="O25">IF(
    INDEX($K$5:$K$50, ROW(A21)) = "Algemeen",
        IFERROR(IF('Hulp (control forms)'!$C$9&lt;&gt;TRUE, '1a. Input organisatieniveau'!$I$21, INDEX(
            '1a. Input organisatieniveau'!$L$13:$N$13,
            MATCH(
                INDEX('2. Output kostprijs'!$A:$ZZ,
                    15,
                    4 + 2 * (INDEX($L$5:$L$50, ROW(A21)) - 1)
                ),
                '1a. Input organisatieniveau'!$L$6:$N$6,
                0
            )
        )),""),
    IF(
        INDEX($K$5:$K$50, ROW(A21)) = "Gezinshuis",
            "",
        IF(
            INDEX($K$5:$K$50, ROW(A21)) = "Pleegzorg",
                 "",
            ""
        )
    )
)</f>
        <v/>
      </c>
      <c r="P25" s="21" t="str">
        <f>IF(
    INDEX($K$5:$K$50, ROW(A21)) = "Algemeen",
        IFERROR(IF('Hulp (control forms)'!$C$10&lt;&gt;TRUE, '1a. Input organisatieniveau'!$I$23, INDEX(
            '1a. Input organisatieniveau'!$L$15:$N$15,
            MATCH(
                INDEX('2. Output kostprijs'!$A:$ZZ,
                    15,
                    4 + 2 * (INDEX($L$5:$L$50, ROW(A21)) - 1)
                ),
                '1a. Input organisatieniveau'!$L$6:$N$6,
                0
            )
        )),""),
    IF(
        INDEX($K$5:$K$50, ROW(A21)) = "Gezinshuis",
            "",
        IF(
            INDEX($K$5:$K$50, ROW(A21)) = "Pleegzorg",
                 "",
            ""
        )
    )
)</f>
        <v/>
      </c>
      <c r="Q25" s="21" t="str">
        <f>IF(
    INDEX($K$5:$K$50, ROW(A21)) = "Algemeen",
        IFERROR(IF('Hulp (control forms)'!$C$11&lt;&gt;TRUE, '1a. Input organisatieniveau'!$I$24, INDEX(
            '1a. Input organisatieniveau'!$L$16:$N$16,
            MATCH(
                INDEX('2. Output kostprijs'!$A:$ZZ,
                    15,
                    4 + 2 * (INDEX($L$5:$L$50, ROW(A21)) - 1)
                ),
                '1a. Input organisatieniveau'!$L$6:$N$6,
                0
            )
        )),""),
    IF(
        INDEX($K$5:$K$50, ROW(A21)) = "Gezinshuis",
            "",
        IF(
            INDEX($K$5:$K$50, ROW(A21)) = "Pleegzorg",
                 "",
            ""
        )
    )
)</f>
        <v/>
      </c>
      <c r="R25" s="21" t="str">
        <f>IF(
    INDEX($K$5:$K$50, ROW(A21)) = "Algemeen",
        IFERROR(IF('Hulp (control forms)'!$C$12&lt;&gt;TRUE, '1a. Input organisatieniveau'!$I$29, INDEX(
            '1a. Input organisatieniveau'!$L$20:$N$20,
            MATCH(
                INDEX('2. Output kostprijs'!$A:$ZZ,
                    15,
                    4 + 2 * (INDEX($L$5:$L$50, ROW(A21)) - 1)
                ),
                '1a. Input organisatieniveau'!$L$6:$N$6,
                0
            )
        )),""),
    IF(
        INDEX($K$5:$K$50, ROW(A21)) = "Gezinshuis",
            "",
        IF(
            INDEX($K$5:$K$50, ROW(A21)) = "Pleegzorg",
                 "",
            ""
        )
    )
)</f>
        <v/>
      </c>
      <c r="S25" s="21" t="str">
        <f>IF(
    INDEX($K$5:$K$50, ROW(A21)) = "Algemeen",
        INDEX('2. Output kostprijs'!$A:$ZZ, 32,
            5 + 2 * (INDEX('Hulp (overig)'!$L$5:$L$50, ROW(A21)) - 1)
        ),
    IF(
        INDEX($K$5:$K$50, ROW(A21)) = "Gezinshuis",
            INDEX('3. Gezinshuis producten'!$A:$Y, 22,
            15 + 2 * (INDEX($L$5:$L$50, ROW(A21)) - 1)),
        IF(
            INDEX($K$5:$K$50, ROW(A21)) = "Pleegzorg",
                 INDEX('4. Pleegzorg producten'!$A:$Y, 24,
            13 + 3 * (INDEX($L$5:$L$50, ROW(A21)) - 1)) +
                 INDEX('4. Pleegzorg producten'!$A:$Y, 25,
            13 + 3 * (INDEX($L$5:$L$50, ROW(A21)) - 1)),
            ""
        )
    )
)</f>
        <v/>
      </c>
      <c r="T25" s="21" t="str">
        <f t="array" ref="T25">IF(
    INDEX($K$5:$K$50, ROW(A21)) = "Algemeen",
        IF(INDEX('2. Output kostprijs'!$A:$ZZ, 15,
            4 + 2 * (INDEX('Hulp (overig)'!$L$5:$L$50, ROW(A21)) - 1)
        )="Ambulant",
        INDEX('2. Output kostprijs'!$A:$ZZ, 47,
            4 + 2 * (INDEX('Hulp (overig)'!$L$5:$L$50, ROW(A21)) - 1)
        ), ""),
    IF(
        INDEX($K$5:$K$50, ROW(A21)) = "Gezinshuis",
            "",
        IF(
            INDEX($K$5:$K$50, ROW(A21)) = "Pleegzorg",
                 "",
            ""
        )
    )
)</f>
        <v/>
      </c>
      <c r="U25" s="21" t="str">
        <f>IF(
    INDEX($K$5:$K$50, ROW(A21)) = "Algemeen",
        IF(INDEX('2. Output kostprijs'!$A:$ZZ, 15,
            4 + 2 * (INDEX('Hulp (overig)'!$L$5:$L$50, ROW(A21)) - 1)
        )="Daghulp",
        INDEX('2. Output kostprijs'!$A:$ZZ, 47,
            4 + 2 * (INDEX('Hulp (overig)'!$L$5:$L$50, ROW(A21)) - 1)
        ), ""),
    IF(
        INDEX($K$5:$K$50, ROW(A21)) = "Gezinshuis",
            "",
        IF(
            INDEX($K$5:$K$50, ROW(A21)) = "Pleegzorg",
                 "",
            ""
        )
    )
)</f>
        <v/>
      </c>
      <c r="V25" s="21" t="str">
        <f>IF(
    INDEX($K$5:$K$50, ROW(A21)) = "Algemeen",
        IF(INDEX('2. Output kostprijs'!$A:$ZZ, 15,
            4 + 2 * (INDEX('Hulp (overig)'!$L$5:$L$50, ROW(A21)) - 1)
        )="Verblijf",
        INDEX('2. Output kostprijs'!$A:$ZZ, 47,
            4 + 2 * (INDEX('Hulp (overig)'!$L$5:$L$50, ROW(A21)) - 1)
        ), ""),
    IF(
        INDEX($K$5:$K$50, ROW(A21)) = "Gezinshuis",
            INDEX('3. Gezinshuis producten'!$A:$Y, 29,
            14 + 2 * (INDEX($L$5:$L$50, ROW(A21)) - 1)),
        IF(
            INDEX($K$5:$K$50, ROW(A21)) = "Pleegzorg",
                 INDEX('4. Pleegzorg producten'!$A:$Y, 26,
            13 + 3 * (INDEX($L$5:$L$50, ROW(A21)) - 1)),
            ""
        )
    )
)</f>
        <v/>
      </c>
      <c r="W25" s="21" t="str">
        <f>IF(
    INDEX($K$5:$K$50, ROW(A21)) = "Algemeen",
        IFERROR(IF('Hulp (control forms)'!$C$12&lt;&gt;TRUE, '1a. Input organisatieniveau'!$I$27, INDEX(
            '1a. Input organisatieniveau'!$L$18:$N$18,
            MATCH(
                INDEX('2. Output kostprijs'!$A:$ZZ,
                    15,
                    4 + 2 * (INDEX($L$5:$L$50, ROW(A21)) - 1)
                ),
                '1a. Input organisatieniveau'!$L$6:$N$6,
                0
            )
        )),""),
    IF(
        INDEX($K$5:$K$50, ROW(A21)) = "Gezinshuis",
            "",
        IF(
            INDEX($K$5:$K$50, ROW(A21)) = "Pleegzorg",
                 "",
            ""
        )
    )
)</f>
        <v/>
      </c>
      <c r="X25" s="21" t="str">
        <f>IF(
    INDEX($K$5:$K$50, ROW(A21)) = "Algemeen",
        IFERROR(IF('Hulp (control forms)'!$C$12&lt;&gt;TRUE, '1a. Input organisatieniveau'!$I$28, INDEX(
            '1a. Input organisatieniveau'!$L$19:$N$19,
            MATCH(
                INDEX('2. Output kostprijs'!$A:$ZZ,
                    15,
                    4 + 2 * (INDEX($L$5:$L$50, ROW(A21)) - 1)
                ),
                '1a. Input organisatieniveau'!$L$6:$N$6,
                0
            )
        )),""),
    IF(
        INDEX($K$5:$K$50, ROW(A21)) = "Gezinshuis",
            "",
        IF(
            INDEX($K$5:$K$50, ROW(A21)) = "Pleegzorg",
                 "",
            ""
        )
    )
)</f>
        <v/>
      </c>
    </row>
    <row r="26" spans="2:24" x14ac:dyDescent="0.45">
      <c r="J26" s="364" t="str">
        <f t="array" ref="J26">IFERROR(
  IF(
    ROW(A22) &lt;= SUMPRODUCT(--('Hulp (control forms)'!$G$13:$G$52)),
      IF(
        INDEX(Initialisatie!B$10:B$49,
          SMALL(
            IF('Hulp (control forms)'!$G$13:$G$52=TRUE,
               ROW(Initialisatie!B$10:B$49)-ROW(Initialisatie!B$10)+1),
            ROW(A22)
          )
        )="","",
        INDEX(Initialisatie!B$10:B$49,
          SMALL(
            IF('Hulp (control forms)'!$G$13:$G$52=TRUE,
               ROW(Initialisatie!B$10:B$49)-ROW(Initialisatie!B$10)+1),
            ROW(A22)
          )
        )
      ),
    IFERROR(
      INDEX(
        '3. Gezinshuis producten'!E$7:E$9,
        SMALL(
          IF('Hulp (control forms)'!$F$6:$F$8=TRUE,
             ROW('3. Gezinshuis producten'!E$7:E$9)-ROW('3. Gezinshuis producten'!E$7)+1),
          ROW(A22) - SUMPRODUCT(--('Hulp (control forms)'!$G$13:$G$52))
        )
      ),
      IF(
        ROW(A22)
         - SUMPRODUCT(--('Hulp (control forms)'!$G$13:$G$52))
         - SUMPRODUCT(--('Hulp (control forms)'!$F$6:$F$8)) = 1,
        IF('4. Pleegzorg producten'!$M$26&lt;&gt;"",
           "Voltijd",
           IF('4. Pleegzorg producten'!$P$26&lt;&gt;"","Deeltijd","")
        ),
        IF(
          ROW(A22)
           - SUMPRODUCT(--('Hulp (control forms)'!$G$13:$G$52))
           - SUMPRODUCT(--('Hulp (control forms)'!$F$6:$F$8)) = 2,
          IF( AND('4. Pleegzorg producten'!$M$26&lt;&gt;"", '4. Pleegzorg producten'!$P$26&lt;&gt;"" ),
             "Deeltijd",
             ""
          ),
          ""
        )
      )
    )
  ),
"")</f>
        <v/>
      </c>
      <c r="K26" s="364" t="str">
        <f>IF(
  ROW(A22) &lt;= SUMPRODUCT(--('Hulp (control forms)'!$G$13:$G$52)),
      "Algemeen",
  IF(
    ROW(A22) - SUMPRODUCT(--('Hulp (control forms)'!$G$13:$G$52))
      &lt;= SUMPRODUCT(--('Hulp (control forms)'!$F$6:$F$8)),
        "Gezinshuis",
    IF(
      (ROW(A22)
        - SUMPRODUCT(--('Hulp (control forms)'!$G$13:$G$52))
        - SUMPRODUCT(--('Hulp (control forms)'!$F$6:$F$8)))
        &lt;= SUMPRODUCT(--('4. Pleegzorg producten'!$M$26&lt;&gt;"") + --('4. Pleegzorg producten'!$P$26&lt;&gt;"")),
          "Pleegzorg",
          ""
    )
  )
)</f>
        <v/>
      </c>
      <c r="L26" s="21" t="str">
        <f t="array" ref="L26">IF(
  ROW(A22) &lt;= SUMPRODUCT(--('Hulp (control forms)'!$G$13:$G$52)),
      ROW(A22),
  IF(
    ROW(A22) - SUMPRODUCT(--('Hulp (control forms)'!$G$13:$G$52))
      &lt;= SUMPRODUCT(--('Hulp (control forms)'!$F$6:$F$8)),
        SMALL(
    IF('Hulp (control forms)'!$F$6:$F$8,
       ROW('Hulp (control forms)'!$F$6:$F$8)
    ),
    ROW(A22) - SUMPRODUCT(--('Hulp (control forms)'!$G$13:$G$52))
)-5,
    IF(
      (ROW(A22)
        - SUMPRODUCT(--('Hulp (control forms)'!$G$13:$G$52))
        - SUMPRODUCT(--('Hulp (control forms)'!$F$6:$F$8)))
        &lt;= SUMPRODUCT(--('4. Pleegzorg producten'!$M$26&lt;&gt;"") + --('4. Pleegzorg producten'!$P$26&lt;&gt;"")),
        ROW(A22)
        - SUMPRODUCT(--('Hulp (control forms)'!$G$13:$G$52))
        - SUMPRODUCT(--('Hulp (control forms)'!$F$6:$F$8)),
        ""
    )
  )
)</f>
        <v/>
      </c>
      <c r="M26" s="21" t="str">
        <f t="array" ref="M26">IF(
    INDEX($K$5:$K$50, ROW(A22)) = "Algemeen",
        IFERROR(IF('Hulp (control forms)'!$C$7&lt;&gt;TRUE, '1a. Input organisatieniveau'!$I$19, INDEX(
            '1a. Input organisatieniveau'!$L$11:$N$11,
            MATCH(
                INDEX('2. Output kostprijs'!$A:$ZZ,
                    15,
                    4 + 2 * (INDEX($L$5:$L$50, ROW(A22)) - 1)
                ),
                '1a. Input organisatieniveau'!$L$6:$N$6,
                0
            )
        )),""),
    IF(
        INDEX($K$5:$K$50, ROW(A22)) = "Gezinshuis",
            "",
        IF(
            INDEX($K$5:$K$50, ROW(A22)) = "Pleegzorg",
                 "",
            ""
        )
    )
)</f>
        <v/>
      </c>
      <c r="N26" s="21" t="str">
        <f t="array" ref="N26">IF(
    INDEX($K$5:$K$50, ROW(A22)) = "Algemeen",
        IFERROR(IF('Hulp (control forms)'!$C$8&lt;&gt;TRUE, '1a. Input organisatieniveau'!$I$20, INDEX(
            '1a. Input organisatieniveau'!$L$12:$N$12,
            MATCH(
                INDEX('2. Output kostprijs'!$A:$ZZ,
                    15,
                    4 + 2 * (INDEX($L$5:$L$50, ROW(A22)) - 1)
                ),
                '1a. Input organisatieniveau'!$L$6:$N$6,
                0
            )
        )),""),
    IF(
        INDEX($K$5:$K$50, ROW(A22)) = "Gezinshuis",
            INDEX('3. Gezinshuis producten'!$A:$Y, 31,
            9 + 1 * (INDEX($L$5:$L$50, ROW(A22)) - 1)),
        IF(
            INDEX($K$5:$K$50, ROW(A22)) = "Pleegzorg",
                 "",
            ""
        )
    )
)</f>
        <v/>
      </c>
      <c r="O26" s="21" t="str">
        <f t="array" ref="O26">IF(
    INDEX($K$5:$K$50, ROW(A22)) = "Algemeen",
        IFERROR(IF('Hulp (control forms)'!$C$9&lt;&gt;TRUE, '1a. Input organisatieniveau'!$I$21, INDEX(
            '1a. Input organisatieniveau'!$L$13:$N$13,
            MATCH(
                INDEX('2. Output kostprijs'!$A:$ZZ,
                    15,
                    4 + 2 * (INDEX($L$5:$L$50, ROW(A22)) - 1)
                ),
                '1a. Input organisatieniveau'!$L$6:$N$6,
                0
            )
        )),""),
    IF(
        INDEX($K$5:$K$50, ROW(A22)) = "Gezinshuis",
            "",
        IF(
            INDEX($K$5:$K$50, ROW(A22)) = "Pleegzorg",
                 "",
            ""
        )
    )
)</f>
        <v/>
      </c>
      <c r="P26" s="21" t="str">
        <f>IF(
    INDEX($K$5:$K$50, ROW(A22)) = "Algemeen",
        IFERROR(IF('Hulp (control forms)'!$C$10&lt;&gt;TRUE, '1a. Input organisatieniveau'!$I$23, INDEX(
            '1a. Input organisatieniveau'!$L$15:$N$15,
            MATCH(
                INDEX('2. Output kostprijs'!$A:$ZZ,
                    15,
                    4 + 2 * (INDEX($L$5:$L$50, ROW(A22)) - 1)
                ),
                '1a. Input organisatieniveau'!$L$6:$N$6,
                0
            )
        )),""),
    IF(
        INDEX($K$5:$K$50, ROW(A22)) = "Gezinshuis",
            "",
        IF(
            INDEX($K$5:$K$50, ROW(A22)) = "Pleegzorg",
                 "",
            ""
        )
    )
)</f>
        <v/>
      </c>
      <c r="Q26" s="21" t="str">
        <f>IF(
    INDEX($K$5:$K$50, ROW(A22)) = "Algemeen",
        IFERROR(IF('Hulp (control forms)'!$C$11&lt;&gt;TRUE, '1a. Input organisatieniveau'!$I$24, INDEX(
            '1a. Input organisatieniveau'!$L$16:$N$16,
            MATCH(
                INDEX('2. Output kostprijs'!$A:$ZZ,
                    15,
                    4 + 2 * (INDEX($L$5:$L$50, ROW(A22)) - 1)
                ),
                '1a. Input organisatieniveau'!$L$6:$N$6,
                0
            )
        )),""),
    IF(
        INDEX($K$5:$K$50, ROW(A22)) = "Gezinshuis",
            "",
        IF(
            INDEX($K$5:$K$50, ROW(A22)) = "Pleegzorg",
                 "",
            ""
        )
    )
)</f>
        <v/>
      </c>
      <c r="R26" s="21" t="str">
        <f>IF(
    INDEX($K$5:$K$50, ROW(A22)) = "Algemeen",
        IFERROR(IF('Hulp (control forms)'!$C$12&lt;&gt;TRUE, '1a. Input organisatieniveau'!$I$29, INDEX(
            '1a. Input organisatieniveau'!$L$20:$N$20,
            MATCH(
                INDEX('2. Output kostprijs'!$A:$ZZ,
                    15,
                    4 + 2 * (INDEX($L$5:$L$50, ROW(A22)) - 1)
                ),
                '1a. Input organisatieniveau'!$L$6:$N$6,
                0
            )
        )),""),
    IF(
        INDEX($K$5:$K$50, ROW(A22)) = "Gezinshuis",
            "",
        IF(
            INDEX($K$5:$K$50, ROW(A22)) = "Pleegzorg",
                 "",
            ""
        )
    )
)</f>
        <v/>
      </c>
      <c r="S26" s="21" t="str">
        <f>IF(
    INDEX($K$5:$K$50, ROW(A22)) = "Algemeen",
        INDEX('2. Output kostprijs'!$A:$ZZ, 32,
            5 + 2 * (INDEX('Hulp (overig)'!$L$5:$L$50, ROW(A22)) - 1)
        ),
    IF(
        INDEX($K$5:$K$50, ROW(A22)) = "Gezinshuis",
            INDEX('3. Gezinshuis producten'!$A:$Y, 22,
            15 + 2 * (INDEX($L$5:$L$50, ROW(A22)) - 1)),
        IF(
            INDEX($K$5:$K$50, ROW(A22)) = "Pleegzorg",
                 INDEX('4. Pleegzorg producten'!$A:$Y, 24,
            13 + 3 * (INDEX($L$5:$L$50, ROW(A22)) - 1)) +
                 INDEX('4. Pleegzorg producten'!$A:$Y, 25,
            13 + 3 * (INDEX($L$5:$L$50, ROW(A22)) - 1)),
            ""
        )
    )
)</f>
        <v/>
      </c>
      <c r="T26" s="21" t="str">
        <f t="array" ref="T26">IF(
    INDEX($K$5:$K$50, ROW(A22)) = "Algemeen",
        IF(INDEX('2. Output kostprijs'!$A:$ZZ, 15,
            4 + 2 * (INDEX('Hulp (overig)'!$L$5:$L$50, ROW(A22)) - 1)
        )="Ambulant",
        INDEX('2. Output kostprijs'!$A:$ZZ, 47,
            4 + 2 * (INDEX('Hulp (overig)'!$L$5:$L$50, ROW(A22)) - 1)
        ), ""),
    IF(
        INDEX($K$5:$K$50, ROW(A22)) = "Gezinshuis",
            "",
        IF(
            INDEX($K$5:$K$50, ROW(A22)) = "Pleegzorg",
                 "",
            ""
        )
    )
)</f>
        <v/>
      </c>
      <c r="U26" s="21" t="str">
        <f>IF(
    INDEX($K$5:$K$50, ROW(A22)) = "Algemeen",
        IF(INDEX('2. Output kostprijs'!$A:$ZZ, 15,
            4 + 2 * (INDEX('Hulp (overig)'!$L$5:$L$50, ROW(A22)) - 1)
        )="Daghulp",
        INDEX('2. Output kostprijs'!$A:$ZZ, 47,
            4 + 2 * (INDEX('Hulp (overig)'!$L$5:$L$50, ROW(A22)) - 1)
        ), ""),
    IF(
        INDEX($K$5:$K$50, ROW(A22)) = "Gezinshuis",
            "",
        IF(
            INDEX($K$5:$K$50, ROW(A22)) = "Pleegzorg",
                 "",
            ""
        )
    )
)</f>
        <v/>
      </c>
      <c r="V26" s="21" t="str">
        <f>IF(
    INDEX($K$5:$K$50, ROW(A22)) = "Algemeen",
        IF(INDEX('2. Output kostprijs'!$A:$ZZ, 15,
            4 + 2 * (INDEX('Hulp (overig)'!$L$5:$L$50, ROW(A22)) - 1)
        )="Verblijf",
        INDEX('2. Output kostprijs'!$A:$ZZ, 47,
            4 + 2 * (INDEX('Hulp (overig)'!$L$5:$L$50, ROW(A22)) - 1)
        ), ""),
    IF(
        INDEX($K$5:$K$50, ROW(A22)) = "Gezinshuis",
            INDEX('3. Gezinshuis producten'!$A:$Y, 29,
            14 + 2 * (INDEX($L$5:$L$50, ROW(A22)) - 1)),
        IF(
            INDEX($K$5:$K$50, ROW(A22)) = "Pleegzorg",
                 INDEX('4. Pleegzorg producten'!$A:$Y, 26,
            13 + 3 * (INDEX($L$5:$L$50, ROW(A22)) - 1)),
            ""
        )
    )
)</f>
        <v/>
      </c>
      <c r="W26" s="21" t="str">
        <f>IF(
    INDEX($K$5:$K$50, ROW(A22)) = "Algemeen",
        IFERROR(IF('Hulp (control forms)'!$C$12&lt;&gt;TRUE, '1a. Input organisatieniveau'!$I$27, INDEX(
            '1a. Input organisatieniveau'!$L$18:$N$18,
            MATCH(
                INDEX('2. Output kostprijs'!$A:$ZZ,
                    15,
                    4 + 2 * (INDEX($L$5:$L$50, ROW(A22)) - 1)
                ),
                '1a. Input organisatieniveau'!$L$6:$N$6,
                0
            )
        )),""),
    IF(
        INDEX($K$5:$K$50, ROW(A22)) = "Gezinshuis",
            "",
        IF(
            INDEX($K$5:$K$50, ROW(A22)) = "Pleegzorg",
                 "",
            ""
        )
    )
)</f>
        <v/>
      </c>
      <c r="X26" s="21" t="str">
        <f>IF(
    INDEX($K$5:$K$50, ROW(A22)) = "Algemeen",
        IFERROR(IF('Hulp (control forms)'!$C$12&lt;&gt;TRUE, '1a. Input organisatieniveau'!$I$28, INDEX(
            '1a. Input organisatieniveau'!$L$19:$N$19,
            MATCH(
                INDEX('2. Output kostprijs'!$A:$ZZ,
                    15,
                    4 + 2 * (INDEX($L$5:$L$50, ROW(A22)) - 1)
                ),
                '1a. Input organisatieniveau'!$L$6:$N$6,
                0
            )
        )),""),
    IF(
        INDEX($K$5:$K$50, ROW(A22)) = "Gezinshuis",
            "",
        IF(
            INDEX($K$5:$K$50, ROW(A22)) = "Pleegzorg",
                 "",
            ""
        )
    )
)</f>
        <v/>
      </c>
    </row>
    <row r="27" spans="2:24" x14ac:dyDescent="0.45">
      <c r="J27" s="364" t="str">
        <f t="array" ref="J27">IFERROR(
  IF(
    ROW(A23) &lt;= SUMPRODUCT(--('Hulp (control forms)'!$G$13:$G$52)),
      IF(
        INDEX(Initialisatie!B$10:B$49,
          SMALL(
            IF('Hulp (control forms)'!$G$13:$G$52=TRUE,
               ROW(Initialisatie!B$10:B$49)-ROW(Initialisatie!B$10)+1),
            ROW(A23)
          )
        )="","",
        INDEX(Initialisatie!B$10:B$49,
          SMALL(
            IF('Hulp (control forms)'!$G$13:$G$52=TRUE,
               ROW(Initialisatie!B$10:B$49)-ROW(Initialisatie!B$10)+1),
            ROW(A23)
          )
        )
      ),
    IFERROR(
      INDEX(
        '3. Gezinshuis producten'!E$7:E$9,
        SMALL(
          IF('Hulp (control forms)'!$F$6:$F$8=TRUE,
             ROW('3. Gezinshuis producten'!E$7:E$9)-ROW('3. Gezinshuis producten'!E$7)+1),
          ROW(A23) - SUMPRODUCT(--('Hulp (control forms)'!$G$13:$G$52))
        )
      ),
      IF(
        ROW(A23)
         - SUMPRODUCT(--('Hulp (control forms)'!$G$13:$G$52))
         - SUMPRODUCT(--('Hulp (control forms)'!$F$6:$F$8)) = 1,
        IF('4. Pleegzorg producten'!$M$26&lt;&gt;"",
           "Voltijd",
           IF('4. Pleegzorg producten'!$P$26&lt;&gt;"","Deeltijd","")
        ),
        IF(
          ROW(A23)
           - SUMPRODUCT(--('Hulp (control forms)'!$G$13:$G$52))
           - SUMPRODUCT(--('Hulp (control forms)'!$F$6:$F$8)) = 2,
          IF( AND('4. Pleegzorg producten'!$M$26&lt;&gt;"", '4. Pleegzorg producten'!$P$26&lt;&gt;"" ),
             "Deeltijd",
             ""
          ),
          ""
        )
      )
    )
  ),
"")</f>
        <v/>
      </c>
      <c r="K27" s="364" t="str">
        <f>IF(
  ROW(A23) &lt;= SUMPRODUCT(--('Hulp (control forms)'!$G$13:$G$52)),
      "Algemeen",
  IF(
    ROW(A23) - SUMPRODUCT(--('Hulp (control forms)'!$G$13:$G$52))
      &lt;= SUMPRODUCT(--('Hulp (control forms)'!$F$6:$F$8)),
        "Gezinshuis",
    IF(
      (ROW(A23)
        - SUMPRODUCT(--('Hulp (control forms)'!$G$13:$G$52))
        - SUMPRODUCT(--('Hulp (control forms)'!$F$6:$F$8)))
        &lt;= SUMPRODUCT(--('4. Pleegzorg producten'!$M$26&lt;&gt;"") + --('4. Pleegzorg producten'!$P$26&lt;&gt;"")),
          "Pleegzorg",
          ""
    )
  )
)</f>
        <v/>
      </c>
      <c r="L27" s="21" t="str">
        <f t="array" ref="L27">IF(
  ROW(A23) &lt;= SUMPRODUCT(--('Hulp (control forms)'!$G$13:$G$52)),
      ROW(A23),
  IF(
    ROW(A23) - SUMPRODUCT(--('Hulp (control forms)'!$G$13:$G$52))
      &lt;= SUMPRODUCT(--('Hulp (control forms)'!$F$6:$F$8)),
        SMALL(
    IF('Hulp (control forms)'!$F$6:$F$8,
       ROW('Hulp (control forms)'!$F$6:$F$8)
    ),
    ROW(A23) - SUMPRODUCT(--('Hulp (control forms)'!$G$13:$G$52))
)-5,
    IF(
      (ROW(A23)
        - SUMPRODUCT(--('Hulp (control forms)'!$G$13:$G$52))
        - SUMPRODUCT(--('Hulp (control forms)'!$F$6:$F$8)))
        &lt;= SUMPRODUCT(--('4. Pleegzorg producten'!$M$26&lt;&gt;"") + --('4. Pleegzorg producten'!$P$26&lt;&gt;"")),
        ROW(A23)
        - SUMPRODUCT(--('Hulp (control forms)'!$G$13:$G$52))
        - SUMPRODUCT(--('Hulp (control forms)'!$F$6:$F$8)),
        ""
    )
  )
)</f>
        <v/>
      </c>
      <c r="M27" s="21" t="str">
        <f t="array" ref="M27">IF(
    INDEX($K$5:$K$50, ROW(A23)) = "Algemeen",
        IFERROR(IF('Hulp (control forms)'!$C$7&lt;&gt;TRUE, '1a. Input organisatieniveau'!$I$19, INDEX(
            '1a. Input organisatieniveau'!$L$11:$N$11,
            MATCH(
                INDEX('2. Output kostprijs'!$A:$ZZ,
                    15,
                    4 + 2 * (INDEX($L$5:$L$50, ROW(A23)) - 1)
                ),
                '1a. Input organisatieniveau'!$L$6:$N$6,
                0
            )
        )),""),
    IF(
        INDEX($K$5:$K$50, ROW(A23)) = "Gezinshuis",
            "",
        IF(
            INDEX($K$5:$K$50, ROW(A23)) = "Pleegzorg",
                 "",
            ""
        )
    )
)</f>
        <v/>
      </c>
      <c r="N27" s="21" t="str">
        <f t="array" ref="N27">IF(
    INDEX($K$5:$K$50, ROW(A23)) = "Algemeen",
        IFERROR(IF('Hulp (control forms)'!$C$8&lt;&gt;TRUE, '1a. Input organisatieniveau'!$I$20, INDEX(
            '1a. Input organisatieniveau'!$L$12:$N$12,
            MATCH(
                INDEX('2. Output kostprijs'!$A:$ZZ,
                    15,
                    4 + 2 * (INDEX($L$5:$L$50, ROW(A23)) - 1)
                ),
                '1a. Input organisatieniveau'!$L$6:$N$6,
                0
            )
        )),""),
    IF(
        INDEX($K$5:$K$50, ROW(A23)) = "Gezinshuis",
            INDEX('3. Gezinshuis producten'!$A:$Y, 31,
            9 + 1 * (INDEX($L$5:$L$50, ROW(A23)) - 1)),
        IF(
            INDEX($K$5:$K$50, ROW(A23)) = "Pleegzorg",
                 "",
            ""
        )
    )
)</f>
        <v/>
      </c>
      <c r="O27" s="21" t="str">
        <f t="array" ref="O27">IF(
    INDEX($K$5:$K$50, ROW(A23)) = "Algemeen",
        IFERROR(IF('Hulp (control forms)'!$C$9&lt;&gt;TRUE, '1a. Input organisatieniveau'!$I$21, INDEX(
            '1a. Input organisatieniveau'!$L$13:$N$13,
            MATCH(
                INDEX('2. Output kostprijs'!$A:$ZZ,
                    15,
                    4 + 2 * (INDEX($L$5:$L$50, ROW(A23)) - 1)
                ),
                '1a. Input organisatieniveau'!$L$6:$N$6,
                0
            )
        )),""),
    IF(
        INDEX($K$5:$K$50, ROW(A23)) = "Gezinshuis",
            "",
        IF(
            INDEX($K$5:$K$50, ROW(A23)) = "Pleegzorg",
                 "",
            ""
        )
    )
)</f>
        <v/>
      </c>
      <c r="P27" s="21" t="str">
        <f>IF(
    INDEX($K$5:$K$50, ROW(A23)) = "Algemeen",
        IFERROR(IF('Hulp (control forms)'!$C$10&lt;&gt;TRUE, '1a. Input organisatieniveau'!$I$23, INDEX(
            '1a. Input organisatieniveau'!$L$15:$N$15,
            MATCH(
                INDEX('2. Output kostprijs'!$A:$ZZ,
                    15,
                    4 + 2 * (INDEX($L$5:$L$50, ROW(A23)) - 1)
                ),
                '1a. Input organisatieniveau'!$L$6:$N$6,
                0
            )
        )),""),
    IF(
        INDEX($K$5:$K$50, ROW(A23)) = "Gezinshuis",
            "",
        IF(
            INDEX($K$5:$K$50, ROW(A23)) = "Pleegzorg",
                 "",
            ""
        )
    )
)</f>
        <v/>
      </c>
      <c r="Q27" s="21" t="str">
        <f>IF(
    INDEX($K$5:$K$50, ROW(A23)) = "Algemeen",
        IFERROR(IF('Hulp (control forms)'!$C$11&lt;&gt;TRUE, '1a. Input organisatieniveau'!$I$24, INDEX(
            '1a. Input organisatieniveau'!$L$16:$N$16,
            MATCH(
                INDEX('2. Output kostprijs'!$A:$ZZ,
                    15,
                    4 + 2 * (INDEX($L$5:$L$50, ROW(A23)) - 1)
                ),
                '1a. Input organisatieniveau'!$L$6:$N$6,
                0
            )
        )),""),
    IF(
        INDEX($K$5:$K$50, ROW(A23)) = "Gezinshuis",
            "",
        IF(
            INDEX($K$5:$K$50, ROW(A23)) = "Pleegzorg",
                 "",
            ""
        )
    )
)</f>
        <v/>
      </c>
      <c r="R27" s="21" t="str">
        <f>IF(
    INDEX($K$5:$K$50, ROW(A23)) = "Algemeen",
        IFERROR(IF('Hulp (control forms)'!$C$12&lt;&gt;TRUE, '1a. Input organisatieniveau'!$I$29, INDEX(
            '1a. Input organisatieniveau'!$L$20:$N$20,
            MATCH(
                INDEX('2. Output kostprijs'!$A:$ZZ,
                    15,
                    4 + 2 * (INDEX($L$5:$L$50, ROW(A23)) - 1)
                ),
                '1a. Input organisatieniveau'!$L$6:$N$6,
                0
            )
        )),""),
    IF(
        INDEX($K$5:$K$50, ROW(A23)) = "Gezinshuis",
            "",
        IF(
            INDEX($K$5:$K$50, ROW(A23)) = "Pleegzorg",
                 "",
            ""
        )
    )
)</f>
        <v/>
      </c>
      <c r="S27" s="21" t="str">
        <f>IF(
    INDEX($K$5:$K$50, ROW(A23)) = "Algemeen",
        INDEX('2. Output kostprijs'!$A:$ZZ, 32,
            5 + 2 * (INDEX('Hulp (overig)'!$L$5:$L$50, ROW(A23)) - 1)
        ),
    IF(
        INDEX($K$5:$K$50, ROW(A23)) = "Gezinshuis",
            INDEX('3. Gezinshuis producten'!$A:$Y, 22,
            15 + 2 * (INDEX($L$5:$L$50, ROW(A23)) - 1)),
        IF(
            INDEX($K$5:$K$50, ROW(A23)) = "Pleegzorg",
                 INDEX('4. Pleegzorg producten'!$A:$Y, 24,
            13 + 3 * (INDEX($L$5:$L$50, ROW(A23)) - 1)) +
                 INDEX('4. Pleegzorg producten'!$A:$Y, 25,
            13 + 3 * (INDEX($L$5:$L$50, ROW(A23)) - 1)),
            ""
        )
    )
)</f>
        <v/>
      </c>
      <c r="T27" s="21" t="str">
        <f t="array" ref="T27">IF(
    INDEX($K$5:$K$50, ROW(A23)) = "Algemeen",
        IF(INDEX('2. Output kostprijs'!$A:$ZZ, 15,
            4 + 2 * (INDEX('Hulp (overig)'!$L$5:$L$50, ROW(A23)) - 1)
        )="Ambulant",
        INDEX('2. Output kostprijs'!$A:$ZZ, 47,
            4 + 2 * (INDEX('Hulp (overig)'!$L$5:$L$50, ROW(A23)) - 1)
        ), ""),
    IF(
        INDEX($K$5:$K$50, ROW(A23)) = "Gezinshuis",
            "",
        IF(
            INDEX($K$5:$K$50, ROW(A23)) = "Pleegzorg",
                 "",
            ""
        )
    )
)</f>
        <v/>
      </c>
      <c r="U27" s="21" t="str">
        <f>IF(
    INDEX($K$5:$K$50, ROW(A23)) = "Algemeen",
        IF(INDEX('2. Output kostprijs'!$A:$ZZ, 15,
            4 + 2 * (INDEX('Hulp (overig)'!$L$5:$L$50, ROW(A23)) - 1)
        )="Daghulp",
        INDEX('2. Output kostprijs'!$A:$ZZ, 47,
            4 + 2 * (INDEX('Hulp (overig)'!$L$5:$L$50, ROW(A23)) - 1)
        ), ""),
    IF(
        INDEX($K$5:$K$50, ROW(A23)) = "Gezinshuis",
            "",
        IF(
            INDEX($K$5:$K$50, ROW(A23)) = "Pleegzorg",
                 "",
            ""
        )
    )
)</f>
        <v/>
      </c>
      <c r="V27" s="21" t="str">
        <f>IF(
    INDEX($K$5:$K$50, ROW(A23)) = "Algemeen",
        IF(INDEX('2. Output kostprijs'!$A:$ZZ, 15,
            4 + 2 * (INDEX('Hulp (overig)'!$L$5:$L$50, ROW(A23)) - 1)
        )="Verblijf",
        INDEX('2. Output kostprijs'!$A:$ZZ, 47,
            4 + 2 * (INDEX('Hulp (overig)'!$L$5:$L$50, ROW(A23)) - 1)
        ), ""),
    IF(
        INDEX($K$5:$K$50, ROW(A23)) = "Gezinshuis",
            INDEX('3. Gezinshuis producten'!$A:$Y, 29,
            14 + 2 * (INDEX($L$5:$L$50, ROW(A23)) - 1)),
        IF(
            INDEX($K$5:$K$50, ROW(A23)) = "Pleegzorg",
                 INDEX('4. Pleegzorg producten'!$A:$Y, 26,
            13 + 3 * (INDEX($L$5:$L$50, ROW(A23)) - 1)),
            ""
        )
    )
)</f>
        <v/>
      </c>
      <c r="W27" s="21" t="str">
        <f>IF(
    INDEX($K$5:$K$50, ROW(A23)) = "Algemeen",
        IFERROR(IF('Hulp (control forms)'!$C$12&lt;&gt;TRUE, '1a. Input organisatieniveau'!$I$27, INDEX(
            '1a. Input organisatieniveau'!$L$18:$N$18,
            MATCH(
                INDEX('2. Output kostprijs'!$A:$ZZ,
                    15,
                    4 + 2 * (INDEX($L$5:$L$50, ROW(A23)) - 1)
                ),
                '1a. Input organisatieniveau'!$L$6:$N$6,
                0
            )
        )),""),
    IF(
        INDEX($K$5:$K$50, ROW(A23)) = "Gezinshuis",
            "",
        IF(
            INDEX($K$5:$K$50, ROW(A23)) = "Pleegzorg",
                 "",
            ""
        )
    )
)</f>
        <v/>
      </c>
      <c r="X27" s="21" t="str">
        <f>IF(
    INDEX($K$5:$K$50, ROW(A23)) = "Algemeen",
        IFERROR(IF('Hulp (control forms)'!$C$12&lt;&gt;TRUE, '1a. Input organisatieniveau'!$I$28, INDEX(
            '1a. Input organisatieniveau'!$L$19:$N$19,
            MATCH(
                INDEX('2. Output kostprijs'!$A:$ZZ,
                    15,
                    4 + 2 * (INDEX($L$5:$L$50, ROW(A23)) - 1)
                ),
                '1a. Input organisatieniveau'!$L$6:$N$6,
                0
            )
        )),""),
    IF(
        INDEX($K$5:$K$50, ROW(A23)) = "Gezinshuis",
            "",
        IF(
            INDEX($K$5:$K$50, ROW(A23)) = "Pleegzorg",
                 "",
            ""
        )
    )
)</f>
        <v/>
      </c>
    </row>
    <row r="28" spans="2:24" x14ac:dyDescent="0.45">
      <c r="J28" s="364" t="str">
        <f t="array" ref="J28">IFERROR(
  IF(
    ROW(A24) &lt;= SUMPRODUCT(--('Hulp (control forms)'!$G$13:$G$52)),
      IF(
        INDEX(Initialisatie!B$10:B$49,
          SMALL(
            IF('Hulp (control forms)'!$G$13:$G$52=TRUE,
               ROW(Initialisatie!B$10:B$49)-ROW(Initialisatie!B$10)+1),
            ROW(A24)
          )
        )="","",
        INDEX(Initialisatie!B$10:B$49,
          SMALL(
            IF('Hulp (control forms)'!$G$13:$G$52=TRUE,
               ROW(Initialisatie!B$10:B$49)-ROW(Initialisatie!B$10)+1),
            ROW(A24)
          )
        )
      ),
    IFERROR(
      INDEX(
        '3. Gezinshuis producten'!E$7:E$9,
        SMALL(
          IF('Hulp (control forms)'!$F$6:$F$8=TRUE,
             ROW('3. Gezinshuis producten'!E$7:E$9)-ROW('3. Gezinshuis producten'!E$7)+1),
          ROW(A24) - SUMPRODUCT(--('Hulp (control forms)'!$G$13:$G$52))
        )
      ),
      IF(
        ROW(A24)
         - SUMPRODUCT(--('Hulp (control forms)'!$G$13:$G$52))
         - SUMPRODUCT(--('Hulp (control forms)'!$F$6:$F$8)) = 1,
        IF('4. Pleegzorg producten'!$M$26&lt;&gt;"",
           "Voltijd",
           IF('4. Pleegzorg producten'!$P$26&lt;&gt;"","Deeltijd","")
        ),
        IF(
          ROW(A24)
           - SUMPRODUCT(--('Hulp (control forms)'!$G$13:$G$52))
           - SUMPRODUCT(--('Hulp (control forms)'!$F$6:$F$8)) = 2,
          IF( AND('4. Pleegzorg producten'!$M$26&lt;&gt;"", '4. Pleegzorg producten'!$P$26&lt;&gt;"" ),
             "Deeltijd",
             ""
          ),
          ""
        )
      )
    )
  ),
"")</f>
        <v/>
      </c>
      <c r="K28" s="364" t="str">
        <f>IF(
  ROW(A24) &lt;= SUMPRODUCT(--('Hulp (control forms)'!$G$13:$G$52)),
      "Algemeen",
  IF(
    ROW(A24) - SUMPRODUCT(--('Hulp (control forms)'!$G$13:$G$52))
      &lt;= SUMPRODUCT(--('Hulp (control forms)'!$F$6:$F$8)),
        "Gezinshuis",
    IF(
      (ROW(A24)
        - SUMPRODUCT(--('Hulp (control forms)'!$G$13:$G$52))
        - SUMPRODUCT(--('Hulp (control forms)'!$F$6:$F$8)))
        &lt;= SUMPRODUCT(--('4. Pleegzorg producten'!$M$26&lt;&gt;"") + --('4. Pleegzorg producten'!$P$26&lt;&gt;"")),
          "Pleegzorg",
          ""
    )
  )
)</f>
        <v/>
      </c>
      <c r="L28" s="21" t="str">
        <f t="array" ref="L28">IF(
  ROW(A24) &lt;= SUMPRODUCT(--('Hulp (control forms)'!$G$13:$G$52)),
      ROW(A24),
  IF(
    ROW(A24) - SUMPRODUCT(--('Hulp (control forms)'!$G$13:$G$52))
      &lt;= SUMPRODUCT(--('Hulp (control forms)'!$F$6:$F$8)),
        SMALL(
    IF('Hulp (control forms)'!$F$6:$F$8,
       ROW('Hulp (control forms)'!$F$6:$F$8)
    ),
    ROW(A24) - SUMPRODUCT(--('Hulp (control forms)'!$G$13:$G$52))
)-5,
    IF(
      (ROW(A24)
        - SUMPRODUCT(--('Hulp (control forms)'!$G$13:$G$52))
        - SUMPRODUCT(--('Hulp (control forms)'!$F$6:$F$8)))
        &lt;= SUMPRODUCT(--('4. Pleegzorg producten'!$M$26&lt;&gt;"") + --('4. Pleegzorg producten'!$P$26&lt;&gt;"")),
        ROW(A24)
        - SUMPRODUCT(--('Hulp (control forms)'!$G$13:$G$52))
        - SUMPRODUCT(--('Hulp (control forms)'!$F$6:$F$8)),
        ""
    )
  )
)</f>
        <v/>
      </c>
      <c r="M28" s="21" t="str">
        <f t="array" ref="M28">IF(
    INDEX($K$5:$K$50, ROW(A24)) = "Algemeen",
        IFERROR(IF('Hulp (control forms)'!$C$7&lt;&gt;TRUE, '1a. Input organisatieniveau'!$I$19, INDEX(
            '1a. Input organisatieniveau'!$L$11:$N$11,
            MATCH(
                INDEX('2. Output kostprijs'!$A:$ZZ,
                    15,
                    4 + 2 * (INDEX($L$5:$L$50, ROW(A24)) - 1)
                ),
                '1a. Input organisatieniveau'!$L$6:$N$6,
                0
            )
        )),""),
    IF(
        INDEX($K$5:$K$50, ROW(A24)) = "Gezinshuis",
            "",
        IF(
            INDEX($K$5:$K$50, ROW(A24)) = "Pleegzorg",
                 "",
            ""
        )
    )
)</f>
        <v/>
      </c>
      <c r="N28" s="21" t="str">
        <f t="array" ref="N28">IF(
    INDEX($K$5:$K$50, ROW(A24)) = "Algemeen",
        IFERROR(IF('Hulp (control forms)'!$C$8&lt;&gt;TRUE, '1a. Input organisatieniveau'!$I$20, INDEX(
            '1a. Input organisatieniveau'!$L$12:$N$12,
            MATCH(
                INDEX('2. Output kostprijs'!$A:$ZZ,
                    15,
                    4 + 2 * (INDEX($L$5:$L$50, ROW(A24)) - 1)
                ),
                '1a. Input organisatieniveau'!$L$6:$N$6,
                0
            )
        )),""),
    IF(
        INDEX($K$5:$K$50, ROW(A24)) = "Gezinshuis",
            INDEX('3. Gezinshuis producten'!$A:$Y, 31,
            9 + 1 * (INDEX($L$5:$L$50, ROW(A24)) - 1)),
        IF(
            INDEX($K$5:$K$50, ROW(A24)) = "Pleegzorg",
                 "",
            ""
        )
    )
)</f>
        <v/>
      </c>
      <c r="O28" s="21" t="str">
        <f t="array" ref="O28">IF(
    INDEX($K$5:$K$50, ROW(A24)) = "Algemeen",
        IFERROR(IF('Hulp (control forms)'!$C$9&lt;&gt;TRUE, '1a. Input organisatieniveau'!$I$21, INDEX(
            '1a. Input organisatieniveau'!$L$13:$N$13,
            MATCH(
                INDEX('2. Output kostprijs'!$A:$ZZ,
                    15,
                    4 + 2 * (INDEX($L$5:$L$50, ROW(A24)) - 1)
                ),
                '1a. Input organisatieniveau'!$L$6:$N$6,
                0
            )
        )),""),
    IF(
        INDEX($K$5:$K$50, ROW(A24)) = "Gezinshuis",
            "",
        IF(
            INDEX($K$5:$K$50, ROW(A24)) = "Pleegzorg",
                 "",
            ""
        )
    )
)</f>
        <v/>
      </c>
      <c r="P28" s="21" t="str">
        <f>IF(
    INDEX($K$5:$K$50, ROW(A24)) = "Algemeen",
        IFERROR(IF('Hulp (control forms)'!$C$10&lt;&gt;TRUE, '1a. Input organisatieniveau'!$I$23, INDEX(
            '1a. Input organisatieniveau'!$L$15:$N$15,
            MATCH(
                INDEX('2. Output kostprijs'!$A:$ZZ,
                    15,
                    4 + 2 * (INDEX($L$5:$L$50, ROW(A24)) - 1)
                ),
                '1a. Input organisatieniveau'!$L$6:$N$6,
                0
            )
        )),""),
    IF(
        INDEX($K$5:$K$50, ROW(A24)) = "Gezinshuis",
            "",
        IF(
            INDEX($K$5:$K$50, ROW(A24)) = "Pleegzorg",
                 "",
            ""
        )
    )
)</f>
        <v/>
      </c>
      <c r="Q28" s="21" t="str">
        <f>IF(
    INDEX($K$5:$K$50, ROW(A24)) = "Algemeen",
        IFERROR(IF('Hulp (control forms)'!$C$11&lt;&gt;TRUE, '1a. Input organisatieniveau'!$I$24, INDEX(
            '1a. Input organisatieniveau'!$L$16:$N$16,
            MATCH(
                INDEX('2. Output kostprijs'!$A:$ZZ,
                    15,
                    4 + 2 * (INDEX($L$5:$L$50, ROW(A24)) - 1)
                ),
                '1a. Input organisatieniveau'!$L$6:$N$6,
                0
            )
        )),""),
    IF(
        INDEX($K$5:$K$50, ROW(A24)) = "Gezinshuis",
            "",
        IF(
            INDEX($K$5:$K$50, ROW(A24)) = "Pleegzorg",
                 "",
            ""
        )
    )
)</f>
        <v/>
      </c>
      <c r="R28" s="21" t="str">
        <f>IF(
    INDEX($K$5:$K$50, ROW(A24)) = "Algemeen",
        IFERROR(IF('Hulp (control forms)'!$C$12&lt;&gt;TRUE, '1a. Input organisatieniveau'!$I$29, INDEX(
            '1a. Input organisatieniveau'!$L$20:$N$20,
            MATCH(
                INDEX('2. Output kostprijs'!$A:$ZZ,
                    15,
                    4 + 2 * (INDEX($L$5:$L$50, ROW(A24)) - 1)
                ),
                '1a. Input organisatieniveau'!$L$6:$N$6,
                0
            )
        )),""),
    IF(
        INDEX($K$5:$K$50, ROW(A24)) = "Gezinshuis",
            "",
        IF(
            INDEX($K$5:$K$50, ROW(A24)) = "Pleegzorg",
                 "",
            ""
        )
    )
)</f>
        <v/>
      </c>
      <c r="S28" s="21" t="str">
        <f>IF(
    INDEX($K$5:$K$50, ROW(A24)) = "Algemeen",
        INDEX('2. Output kostprijs'!$A:$ZZ, 32,
            5 + 2 * (INDEX('Hulp (overig)'!$L$5:$L$50, ROW(A24)) - 1)
        ),
    IF(
        INDEX($K$5:$K$50, ROW(A24)) = "Gezinshuis",
            INDEX('3. Gezinshuis producten'!$A:$Y, 22,
            15 + 2 * (INDEX($L$5:$L$50, ROW(A24)) - 1)),
        IF(
            INDEX($K$5:$K$50, ROW(A24)) = "Pleegzorg",
                 INDEX('4. Pleegzorg producten'!$A:$Y, 24,
            13 + 3 * (INDEX($L$5:$L$50, ROW(A24)) - 1)) +
                 INDEX('4. Pleegzorg producten'!$A:$Y, 25,
            13 + 3 * (INDEX($L$5:$L$50, ROW(A24)) - 1)),
            ""
        )
    )
)</f>
        <v/>
      </c>
      <c r="T28" s="21" t="str">
        <f t="array" ref="T28">IF(
    INDEX($K$5:$K$50, ROW(A24)) = "Algemeen",
        IF(INDEX('2. Output kostprijs'!$A:$ZZ, 15,
            4 + 2 * (INDEX('Hulp (overig)'!$L$5:$L$50, ROW(A24)) - 1)
        )="Ambulant",
        INDEX('2. Output kostprijs'!$A:$ZZ, 47,
            4 + 2 * (INDEX('Hulp (overig)'!$L$5:$L$50, ROW(A24)) - 1)
        ), ""),
    IF(
        INDEX($K$5:$K$50, ROW(A24)) = "Gezinshuis",
            "",
        IF(
            INDEX($K$5:$K$50, ROW(A24)) = "Pleegzorg",
                 "",
            ""
        )
    )
)</f>
        <v/>
      </c>
      <c r="U28" s="21" t="str">
        <f>IF(
    INDEX($K$5:$K$50, ROW(A24)) = "Algemeen",
        IF(INDEX('2. Output kostprijs'!$A:$ZZ, 15,
            4 + 2 * (INDEX('Hulp (overig)'!$L$5:$L$50, ROW(A24)) - 1)
        )="Daghulp",
        INDEX('2. Output kostprijs'!$A:$ZZ, 47,
            4 + 2 * (INDEX('Hulp (overig)'!$L$5:$L$50, ROW(A24)) - 1)
        ), ""),
    IF(
        INDEX($K$5:$K$50, ROW(A24)) = "Gezinshuis",
            "",
        IF(
            INDEX($K$5:$K$50, ROW(A24)) = "Pleegzorg",
                 "",
            ""
        )
    )
)</f>
        <v/>
      </c>
      <c r="V28" s="21" t="str">
        <f>IF(
    INDEX($K$5:$K$50, ROW(A24)) = "Algemeen",
        IF(INDEX('2. Output kostprijs'!$A:$ZZ, 15,
            4 + 2 * (INDEX('Hulp (overig)'!$L$5:$L$50, ROW(A24)) - 1)
        )="Verblijf",
        INDEX('2. Output kostprijs'!$A:$ZZ, 47,
            4 + 2 * (INDEX('Hulp (overig)'!$L$5:$L$50, ROW(A24)) - 1)
        ), ""),
    IF(
        INDEX($K$5:$K$50, ROW(A24)) = "Gezinshuis",
            INDEX('3. Gezinshuis producten'!$A:$Y, 29,
            14 + 2 * (INDEX($L$5:$L$50, ROW(A24)) - 1)),
        IF(
            INDEX($K$5:$K$50, ROW(A24)) = "Pleegzorg",
                 INDEX('4. Pleegzorg producten'!$A:$Y, 26,
            13 + 3 * (INDEX($L$5:$L$50, ROW(A24)) - 1)),
            ""
        )
    )
)</f>
        <v/>
      </c>
      <c r="W28" s="21" t="str">
        <f>IF(
    INDEX($K$5:$K$50, ROW(A24)) = "Algemeen",
        IFERROR(IF('Hulp (control forms)'!$C$12&lt;&gt;TRUE, '1a. Input organisatieniveau'!$I$27, INDEX(
            '1a. Input organisatieniveau'!$L$18:$N$18,
            MATCH(
                INDEX('2. Output kostprijs'!$A:$ZZ,
                    15,
                    4 + 2 * (INDEX($L$5:$L$50, ROW(A24)) - 1)
                ),
                '1a. Input organisatieniveau'!$L$6:$N$6,
                0
            )
        )),""),
    IF(
        INDEX($K$5:$K$50, ROW(A24)) = "Gezinshuis",
            "",
        IF(
            INDEX($K$5:$K$50, ROW(A24)) = "Pleegzorg",
                 "",
            ""
        )
    )
)</f>
        <v/>
      </c>
      <c r="X28" s="21" t="str">
        <f>IF(
    INDEX($K$5:$K$50, ROW(A24)) = "Algemeen",
        IFERROR(IF('Hulp (control forms)'!$C$12&lt;&gt;TRUE, '1a. Input organisatieniveau'!$I$28, INDEX(
            '1a. Input organisatieniveau'!$L$19:$N$19,
            MATCH(
                INDEX('2. Output kostprijs'!$A:$ZZ,
                    15,
                    4 + 2 * (INDEX($L$5:$L$50, ROW(A24)) - 1)
                ),
                '1a. Input organisatieniveau'!$L$6:$N$6,
                0
            )
        )),""),
    IF(
        INDEX($K$5:$K$50, ROW(A24)) = "Gezinshuis",
            "",
        IF(
            INDEX($K$5:$K$50, ROW(A24)) = "Pleegzorg",
                 "",
            ""
        )
    )
)</f>
        <v/>
      </c>
    </row>
    <row r="29" spans="2:24" x14ac:dyDescent="0.45">
      <c r="J29" s="364" t="str">
        <f t="array" ref="J29">IFERROR(
  IF(
    ROW(A25) &lt;= SUMPRODUCT(--('Hulp (control forms)'!$G$13:$G$52)),
      IF(
        INDEX(Initialisatie!B$10:B$49,
          SMALL(
            IF('Hulp (control forms)'!$G$13:$G$52=TRUE,
               ROW(Initialisatie!B$10:B$49)-ROW(Initialisatie!B$10)+1),
            ROW(A25)
          )
        )="","",
        INDEX(Initialisatie!B$10:B$49,
          SMALL(
            IF('Hulp (control forms)'!$G$13:$G$52=TRUE,
               ROW(Initialisatie!B$10:B$49)-ROW(Initialisatie!B$10)+1),
            ROW(A25)
          )
        )
      ),
    IFERROR(
      INDEX(
        '3. Gezinshuis producten'!E$7:E$9,
        SMALL(
          IF('Hulp (control forms)'!$F$6:$F$8=TRUE,
             ROW('3. Gezinshuis producten'!E$7:E$9)-ROW('3. Gezinshuis producten'!E$7)+1),
          ROW(A25) - SUMPRODUCT(--('Hulp (control forms)'!$G$13:$G$52))
        )
      ),
      IF(
        ROW(A25)
         - SUMPRODUCT(--('Hulp (control forms)'!$G$13:$G$52))
         - SUMPRODUCT(--('Hulp (control forms)'!$F$6:$F$8)) = 1,
        IF('4. Pleegzorg producten'!$M$26&lt;&gt;"",
           "Voltijd",
           IF('4. Pleegzorg producten'!$P$26&lt;&gt;"","Deeltijd","")
        ),
        IF(
          ROW(A25)
           - SUMPRODUCT(--('Hulp (control forms)'!$G$13:$G$52))
           - SUMPRODUCT(--('Hulp (control forms)'!$F$6:$F$8)) = 2,
          IF( AND('4. Pleegzorg producten'!$M$26&lt;&gt;"", '4. Pleegzorg producten'!$P$26&lt;&gt;"" ),
             "Deeltijd",
             ""
          ),
          ""
        )
      )
    )
  ),
"")</f>
        <v/>
      </c>
      <c r="K29" s="364" t="str">
        <f>IF(
  ROW(A25) &lt;= SUMPRODUCT(--('Hulp (control forms)'!$G$13:$G$52)),
      "Algemeen",
  IF(
    ROW(A25) - SUMPRODUCT(--('Hulp (control forms)'!$G$13:$G$52))
      &lt;= SUMPRODUCT(--('Hulp (control forms)'!$F$6:$F$8)),
        "Gezinshuis",
    IF(
      (ROW(A25)
        - SUMPRODUCT(--('Hulp (control forms)'!$G$13:$G$52))
        - SUMPRODUCT(--('Hulp (control forms)'!$F$6:$F$8)))
        &lt;= SUMPRODUCT(--('4. Pleegzorg producten'!$M$26&lt;&gt;"") + --('4. Pleegzorg producten'!$P$26&lt;&gt;"")),
          "Pleegzorg",
          ""
    )
  )
)</f>
        <v/>
      </c>
      <c r="L29" s="21" t="str">
        <f t="array" ref="L29">IF(
  ROW(A25) &lt;= SUMPRODUCT(--('Hulp (control forms)'!$G$13:$G$52)),
      ROW(A25),
  IF(
    ROW(A25) - SUMPRODUCT(--('Hulp (control forms)'!$G$13:$G$52))
      &lt;= SUMPRODUCT(--('Hulp (control forms)'!$F$6:$F$8)),
        SMALL(
    IF('Hulp (control forms)'!$F$6:$F$8,
       ROW('Hulp (control forms)'!$F$6:$F$8)
    ),
    ROW(A25) - SUMPRODUCT(--('Hulp (control forms)'!$G$13:$G$52))
)-5,
    IF(
      (ROW(A25)
        - SUMPRODUCT(--('Hulp (control forms)'!$G$13:$G$52))
        - SUMPRODUCT(--('Hulp (control forms)'!$F$6:$F$8)))
        &lt;= SUMPRODUCT(--('4. Pleegzorg producten'!$M$26&lt;&gt;"") + --('4. Pleegzorg producten'!$P$26&lt;&gt;"")),
        ROW(A25)
        - SUMPRODUCT(--('Hulp (control forms)'!$G$13:$G$52))
        - SUMPRODUCT(--('Hulp (control forms)'!$F$6:$F$8)),
        ""
    )
  )
)</f>
        <v/>
      </c>
      <c r="M29" s="21" t="str">
        <f t="array" ref="M29">IF(
    INDEX($K$5:$K$50, ROW(A25)) = "Algemeen",
        IFERROR(IF('Hulp (control forms)'!$C$7&lt;&gt;TRUE, '1a. Input organisatieniveau'!$I$19, INDEX(
            '1a. Input organisatieniveau'!$L$11:$N$11,
            MATCH(
                INDEX('2. Output kostprijs'!$A:$ZZ,
                    15,
                    4 + 2 * (INDEX($L$5:$L$50, ROW(A25)) - 1)
                ),
                '1a. Input organisatieniveau'!$L$6:$N$6,
                0
            )
        )),""),
    IF(
        INDEX($K$5:$K$50, ROW(A25)) = "Gezinshuis",
            "",
        IF(
            INDEX($K$5:$K$50, ROW(A25)) = "Pleegzorg",
                 "",
            ""
        )
    )
)</f>
        <v/>
      </c>
      <c r="N29" s="21" t="str">
        <f t="array" ref="N29">IF(
    INDEX($K$5:$K$50, ROW(A25)) = "Algemeen",
        IFERROR(IF('Hulp (control forms)'!$C$8&lt;&gt;TRUE, '1a. Input organisatieniveau'!$I$20, INDEX(
            '1a. Input organisatieniveau'!$L$12:$N$12,
            MATCH(
                INDEX('2. Output kostprijs'!$A:$ZZ,
                    15,
                    4 + 2 * (INDEX($L$5:$L$50, ROW(A25)) - 1)
                ),
                '1a. Input organisatieniveau'!$L$6:$N$6,
                0
            )
        )),""),
    IF(
        INDEX($K$5:$K$50, ROW(A25)) = "Gezinshuis",
            INDEX('3. Gezinshuis producten'!$A:$Y, 31,
            9 + 1 * (INDEX($L$5:$L$50, ROW(A25)) - 1)),
        IF(
            INDEX($K$5:$K$50, ROW(A25)) = "Pleegzorg",
                 "",
            ""
        )
    )
)</f>
        <v/>
      </c>
      <c r="O29" s="21" t="str">
        <f t="array" ref="O29">IF(
    INDEX($K$5:$K$50, ROW(A25)) = "Algemeen",
        IFERROR(IF('Hulp (control forms)'!$C$9&lt;&gt;TRUE, '1a. Input organisatieniveau'!$I$21, INDEX(
            '1a. Input organisatieniveau'!$L$13:$N$13,
            MATCH(
                INDEX('2. Output kostprijs'!$A:$ZZ,
                    15,
                    4 + 2 * (INDEX($L$5:$L$50, ROW(A25)) - 1)
                ),
                '1a. Input organisatieniveau'!$L$6:$N$6,
                0
            )
        )),""),
    IF(
        INDEX($K$5:$K$50, ROW(A25)) = "Gezinshuis",
            "",
        IF(
            INDEX($K$5:$K$50, ROW(A25)) = "Pleegzorg",
                 "",
            ""
        )
    )
)</f>
        <v/>
      </c>
      <c r="P29" s="21" t="str">
        <f>IF(
    INDEX($K$5:$K$50, ROW(A25)) = "Algemeen",
        IFERROR(IF('Hulp (control forms)'!$C$10&lt;&gt;TRUE, '1a. Input organisatieniveau'!$I$23, INDEX(
            '1a. Input organisatieniveau'!$L$15:$N$15,
            MATCH(
                INDEX('2. Output kostprijs'!$A:$ZZ,
                    15,
                    4 + 2 * (INDEX($L$5:$L$50, ROW(A25)) - 1)
                ),
                '1a. Input organisatieniveau'!$L$6:$N$6,
                0
            )
        )),""),
    IF(
        INDEX($K$5:$K$50, ROW(A25)) = "Gezinshuis",
            "",
        IF(
            INDEX($K$5:$K$50, ROW(A25)) = "Pleegzorg",
                 "",
            ""
        )
    )
)</f>
        <v/>
      </c>
      <c r="Q29" s="21" t="str">
        <f>IF(
    INDEX($K$5:$K$50, ROW(A25)) = "Algemeen",
        IFERROR(IF('Hulp (control forms)'!$C$11&lt;&gt;TRUE, '1a. Input organisatieniveau'!$I$24, INDEX(
            '1a. Input organisatieniveau'!$L$16:$N$16,
            MATCH(
                INDEX('2. Output kostprijs'!$A:$ZZ,
                    15,
                    4 + 2 * (INDEX($L$5:$L$50, ROW(A25)) - 1)
                ),
                '1a. Input organisatieniveau'!$L$6:$N$6,
                0
            )
        )),""),
    IF(
        INDEX($K$5:$K$50, ROW(A25)) = "Gezinshuis",
            "",
        IF(
            INDEX($K$5:$K$50, ROW(A25)) = "Pleegzorg",
                 "",
            ""
        )
    )
)</f>
        <v/>
      </c>
      <c r="R29" s="21" t="str">
        <f>IF(
    INDEX($K$5:$K$50, ROW(A25)) = "Algemeen",
        IFERROR(IF('Hulp (control forms)'!$C$12&lt;&gt;TRUE, '1a. Input organisatieniveau'!$I$29, INDEX(
            '1a. Input organisatieniveau'!$L$20:$N$20,
            MATCH(
                INDEX('2. Output kostprijs'!$A:$ZZ,
                    15,
                    4 + 2 * (INDEX($L$5:$L$50, ROW(A25)) - 1)
                ),
                '1a. Input organisatieniveau'!$L$6:$N$6,
                0
            )
        )),""),
    IF(
        INDEX($K$5:$K$50, ROW(A25)) = "Gezinshuis",
            "",
        IF(
            INDEX($K$5:$K$50, ROW(A25)) = "Pleegzorg",
                 "",
            ""
        )
    )
)</f>
        <v/>
      </c>
      <c r="S29" s="21" t="str">
        <f>IF(
    INDEX($K$5:$K$50, ROW(A25)) = "Algemeen",
        INDEX('2. Output kostprijs'!$A:$ZZ, 32,
            5 + 2 * (INDEX('Hulp (overig)'!$L$5:$L$50, ROW(A25)) - 1)
        ),
    IF(
        INDEX($K$5:$K$50, ROW(A25)) = "Gezinshuis",
            INDEX('3. Gezinshuis producten'!$A:$Y, 22,
            15 + 2 * (INDEX($L$5:$L$50, ROW(A25)) - 1)),
        IF(
            INDEX($K$5:$K$50, ROW(A25)) = "Pleegzorg",
                 INDEX('4. Pleegzorg producten'!$A:$Y, 24,
            13 + 3 * (INDEX($L$5:$L$50, ROW(A25)) - 1)) +
                 INDEX('4. Pleegzorg producten'!$A:$Y, 25,
            13 + 3 * (INDEX($L$5:$L$50, ROW(A25)) - 1)),
            ""
        )
    )
)</f>
        <v/>
      </c>
      <c r="T29" s="21" t="str">
        <f t="array" ref="T29">IF(
    INDEX($K$5:$K$50, ROW(A25)) = "Algemeen",
        IF(INDEX('2. Output kostprijs'!$A:$ZZ, 15,
            4 + 2 * (INDEX('Hulp (overig)'!$L$5:$L$50, ROW(A25)) - 1)
        )="Ambulant",
        INDEX('2. Output kostprijs'!$A:$ZZ, 47,
            4 + 2 * (INDEX('Hulp (overig)'!$L$5:$L$50, ROW(A25)) - 1)
        ), ""),
    IF(
        INDEX($K$5:$K$50, ROW(A25)) = "Gezinshuis",
            "",
        IF(
            INDEX($K$5:$K$50, ROW(A25)) = "Pleegzorg",
                 "",
            ""
        )
    )
)</f>
        <v/>
      </c>
      <c r="U29" s="21" t="str">
        <f>IF(
    INDEX($K$5:$K$50, ROW(A25)) = "Algemeen",
        IF(INDEX('2. Output kostprijs'!$A:$ZZ, 15,
            4 + 2 * (INDEX('Hulp (overig)'!$L$5:$L$50, ROW(A25)) - 1)
        )="Daghulp",
        INDEX('2. Output kostprijs'!$A:$ZZ, 47,
            4 + 2 * (INDEX('Hulp (overig)'!$L$5:$L$50, ROW(A25)) - 1)
        ), ""),
    IF(
        INDEX($K$5:$K$50, ROW(A25)) = "Gezinshuis",
            "",
        IF(
            INDEX($K$5:$K$50, ROW(A25)) = "Pleegzorg",
                 "",
            ""
        )
    )
)</f>
        <v/>
      </c>
      <c r="V29" s="21" t="str">
        <f>IF(
    INDEX($K$5:$K$50, ROW(A25)) = "Algemeen",
        IF(INDEX('2. Output kostprijs'!$A:$ZZ, 15,
            4 + 2 * (INDEX('Hulp (overig)'!$L$5:$L$50, ROW(A25)) - 1)
        )="Verblijf",
        INDEX('2. Output kostprijs'!$A:$ZZ, 47,
            4 + 2 * (INDEX('Hulp (overig)'!$L$5:$L$50, ROW(A25)) - 1)
        ), ""),
    IF(
        INDEX($K$5:$K$50, ROW(A25)) = "Gezinshuis",
            INDEX('3. Gezinshuis producten'!$A:$Y, 29,
            14 + 2 * (INDEX($L$5:$L$50, ROW(A25)) - 1)),
        IF(
            INDEX($K$5:$K$50, ROW(A25)) = "Pleegzorg",
                 INDEX('4. Pleegzorg producten'!$A:$Y, 26,
            13 + 3 * (INDEX($L$5:$L$50, ROW(A25)) - 1)),
            ""
        )
    )
)</f>
        <v/>
      </c>
      <c r="W29" s="21" t="str">
        <f>IF(
    INDEX($K$5:$K$50, ROW(A25)) = "Algemeen",
        IFERROR(IF('Hulp (control forms)'!$C$12&lt;&gt;TRUE, '1a. Input organisatieniveau'!$I$27, INDEX(
            '1a. Input organisatieniveau'!$L$18:$N$18,
            MATCH(
                INDEX('2. Output kostprijs'!$A:$ZZ,
                    15,
                    4 + 2 * (INDEX($L$5:$L$50, ROW(A25)) - 1)
                ),
                '1a. Input organisatieniveau'!$L$6:$N$6,
                0
            )
        )),""),
    IF(
        INDEX($K$5:$K$50, ROW(A25)) = "Gezinshuis",
            "",
        IF(
            INDEX($K$5:$K$50, ROW(A25)) = "Pleegzorg",
                 "",
            ""
        )
    )
)</f>
        <v/>
      </c>
      <c r="X29" s="21" t="str">
        <f>IF(
    INDEX($K$5:$K$50, ROW(A25)) = "Algemeen",
        IFERROR(IF('Hulp (control forms)'!$C$12&lt;&gt;TRUE, '1a. Input organisatieniveau'!$I$28, INDEX(
            '1a. Input organisatieniveau'!$L$19:$N$19,
            MATCH(
                INDEX('2. Output kostprijs'!$A:$ZZ,
                    15,
                    4 + 2 * (INDEX($L$5:$L$50, ROW(A25)) - 1)
                ),
                '1a. Input organisatieniveau'!$L$6:$N$6,
                0
            )
        )),""),
    IF(
        INDEX($K$5:$K$50, ROW(A25)) = "Gezinshuis",
            "",
        IF(
            INDEX($K$5:$K$50, ROW(A25)) = "Pleegzorg",
                 "",
            ""
        )
    )
)</f>
        <v/>
      </c>
    </row>
    <row r="30" spans="2:24" x14ac:dyDescent="0.45">
      <c r="J30" s="364" t="str">
        <f t="array" ref="J30">IFERROR(
  IF(
    ROW(A26) &lt;= SUMPRODUCT(--('Hulp (control forms)'!$G$13:$G$52)),
      IF(
        INDEX(Initialisatie!B$10:B$49,
          SMALL(
            IF('Hulp (control forms)'!$G$13:$G$52=TRUE,
               ROW(Initialisatie!B$10:B$49)-ROW(Initialisatie!B$10)+1),
            ROW(A26)
          )
        )="","",
        INDEX(Initialisatie!B$10:B$49,
          SMALL(
            IF('Hulp (control forms)'!$G$13:$G$52=TRUE,
               ROW(Initialisatie!B$10:B$49)-ROW(Initialisatie!B$10)+1),
            ROW(A26)
          )
        )
      ),
    IFERROR(
      INDEX(
        '3. Gezinshuis producten'!E$7:E$9,
        SMALL(
          IF('Hulp (control forms)'!$F$6:$F$8=TRUE,
             ROW('3. Gezinshuis producten'!E$7:E$9)-ROW('3. Gezinshuis producten'!E$7)+1),
          ROW(A26) - SUMPRODUCT(--('Hulp (control forms)'!$G$13:$G$52))
        )
      ),
      IF(
        ROW(A26)
         - SUMPRODUCT(--('Hulp (control forms)'!$G$13:$G$52))
         - SUMPRODUCT(--('Hulp (control forms)'!$F$6:$F$8)) = 1,
        IF('4. Pleegzorg producten'!$M$26&lt;&gt;"",
           "Voltijd",
           IF('4. Pleegzorg producten'!$P$26&lt;&gt;"","Deeltijd","")
        ),
        IF(
          ROW(A26)
           - SUMPRODUCT(--('Hulp (control forms)'!$G$13:$G$52))
           - SUMPRODUCT(--('Hulp (control forms)'!$F$6:$F$8)) = 2,
          IF( AND('4. Pleegzorg producten'!$M$26&lt;&gt;"", '4. Pleegzorg producten'!$P$26&lt;&gt;"" ),
             "Deeltijd",
             ""
          ),
          ""
        )
      )
    )
  ),
"")</f>
        <v/>
      </c>
      <c r="K30" s="364" t="str">
        <f>IF(
  ROW(A26) &lt;= SUMPRODUCT(--('Hulp (control forms)'!$G$13:$G$52)),
      "Algemeen",
  IF(
    ROW(A26) - SUMPRODUCT(--('Hulp (control forms)'!$G$13:$G$52))
      &lt;= SUMPRODUCT(--('Hulp (control forms)'!$F$6:$F$8)),
        "Gezinshuis",
    IF(
      (ROW(A26)
        - SUMPRODUCT(--('Hulp (control forms)'!$G$13:$G$52))
        - SUMPRODUCT(--('Hulp (control forms)'!$F$6:$F$8)))
        &lt;= SUMPRODUCT(--('4. Pleegzorg producten'!$M$26&lt;&gt;"") + --('4. Pleegzorg producten'!$P$26&lt;&gt;"")),
          "Pleegzorg",
          ""
    )
  )
)</f>
        <v/>
      </c>
      <c r="L30" s="21" t="str">
        <f t="array" ref="L30">IF(
  ROW(A26) &lt;= SUMPRODUCT(--('Hulp (control forms)'!$G$13:$G$52)),
      ROW(A26),
  IF(
    ROW(A26) - SUMPRODUCT(--('Hulp (control forms)'!$G$13:$G$52))
      &lt;= SUMPRODUCT(--('Hulp (control forms)'!$F$6:$F$8)),
        SMALL(
    IF('Hulp (control forms)'!$F$6:$F$8,
       ROW('Hulp (control forms)'!$F$6:$F$8)
    ),
    ROW(A26) - SUMPRODUCT(--('Hulp (control forms)'!$G$13:$G$52))
)-5,
    IF(
      (ROW(A26)
        - SUMPRODUCT(--('Hulp (control forms)'!$G$13:$G$52))
        - SUMPRODUCT(--('Hulp (control forms)'!$F$6:$F$8)))
        &lt;= SUMPRODUCT(--('4. Pleegzorg producten'!$M$26&lt;&gt;"") + --('4. Pleegzorg producten'!$P$26&lt;&gt;"")),
        ROW(A26)
        - SUMPRODUCT(--('Hulp (control forms)'!$G$13:$G$52))
        - SUMPRODUCT(--('Hulp (control forms)'!$F$6:$F$8)),
        ""
    )
  )
)</f>
        <v/>
      </c>
      <c r="M30" s="21" t="str">
        <f t="array" ref="M30">IF(
    INDEX($K$5:$K$50, ROW(A26)) = "Algemeen",
        IFERROR(IF('Hulp (control forms)'!$C$7&lt;&gt;TRUE, '1a. Input organisatieniveau'!$I$19, INDEX(
            '1a. Input organisatieniveau'!$L$11:$N$11,
            MATCH(
                INDEX('2. Output kostprijs'!$A:$ZZ,
                    15,
                    4 + 2 * (INDEX($L$5:$L$50, ROW(A26)) - 1)
                ),
                '1a. Input organisatieniveau'!$L$6:$N$6,
                0
            )
        )),""),
    IF(
        INDEX($K$5:$K$50, ROW(A26)) = "Gezinshuis",
            "",
        IF(
            INDEX($K$5:$K$50, ROW(A26)) = "Pleegzorg",
                 "",
            ""
        )
    )
)</f>
        <v/>
      </c>
      <c r="N30" s="21" t="str">
        <f t="array" ref="N30">IF(
    INDEX($K$5:$K$50, ROW(A26)) = "Algemeen",
        IFERROR(IF('Hulp (control forms)'!$C$8&lt;&gt;TRUE, '1a. Input organisatieniveau'!$I$20, INDEX(
            '1a. Input organisatieniveau'!$L$12:$N$12,
            MATCH(
                INDEX('2. Output kostprijs'!$A:$ZZ,
                    15,
                    4 + 2 * (INDEX($L$5:$L$50, ROW(A26)) - 1)
                ),
                '1a. Input organisatieniveau'!$L$6:$N$6,
                0
            )
        )),""),
    IF(
        INDEX($K$5:$K$50, ROW(A26)) = "Gezinshuis",
            INDEX('3. Gezinshuis producten'!$A:$Y, 31,
            9 + 1 * (INDEX($L$5:$L$50, ROW(A26)) - 1)),
        IF(
            INDEX($K$5:$K$50, ROW(A26)) = "Pleegzorg",
                 "",
            ""
        )
    )
)</f>
        <v/>
      </c>
      <c r="O30" s="21" t="str">
        <f t="array" ref="O30">IF(
    INDEX($K$5:$K$50, ROW(A26)) = "Algemeen",
        IFERROR(IF('Hulp (control forms)'!$C$9&lt;&gt;TRUE, '1a. Input organisatieniveau'!$I$21, INDEX(
            '1a. Input organisatieniveau'!$L$13:$N$13,
            MATCH(
                INDEX('2. Output kostprijs'!$A:$ZZ,
                    15,
                    4 + 2 * (INDEX($L$5:$L$50, ROW(A26)) - 1)
                ),
                '1a. Input organisatieniveau'!$L$6:$N$6,
                0
            )
        )),""),
    IF(
        INDEX($K$5:$K$50, ROW(A26)) = "Gezinshuis",
            "",
        IF(
            INDEX($K$5:$K$50, ROW(A26)) = "Pleegzorg",
                 "",
            ""
        )
    )
)</f>
        <v/>
      </c>
      <c r="P30" s="21" t="str">
        <f>IF(
    INDEX($K$5:$K$50, ROW(A26)) = "Algemeen",
        IFERROR(IF('Hulp (control forms)'!$C$10&lt;&gt;TRUE, '1a. Input organisatieniveau'!$I$23, INDEX(
            '1a. Input organisatieniveau'!$L$15:$N$15,
            MATCH(
                INDEX('2. Output kostprijs'!$A:$ZZ,
                    15,
                    4 + 2 * (INDEX($L$5:$L$50, ROW(A26)) - 1)
                ),
                '1a. Input organisatieniveau'!$L$6:$N$6,
                0
            )
        )),""),
    IF(
        INDEX($K$5:$K$50, ROW(A26)) = "Gezinshuis",
            "",
        IF(
            INDEX($K$5:$K$50, ROW(A26)) = "Pleegzorg",
                 "",
            ""
        )
    )
)</f>
        <v/>
      </c>
      <c r="Q30" s="21" t="str">
        <f>IF(
    INDEX($K$5:$K$50, ROW(A26)) = "Algemeen",
        IFERROR(IF('Hulp (control forms)'!$C$11&lt;&gt;TRUE, '1a. Input organisatieniveau'!$I$24, INDEX(
            '1a. Input organisatieniveau'!$L$16:$N$16,
            MATCH(
                INDEX('2. Output kostprijs'!$A:$ZZ,
                    15,
                    4 + 2 * (INDEX($L$5:$L$50, ROW(A26)) - 1)
                ),
                '1a. Input organisatieniveau'!$L$6:$N$6,
                0
            )
        )),""),
    IF(
        INDEX($K$5:$K$50, ROW(A26)) = "Gezinshuis",
            "",
        IF(
            INDEX($K$5:$K$50, ROW(A26)) = "Pleegzorg",
                 "",
            ""
        )
    )
)</f>
        <v/>
      </c>
      <c r="R30" s="21" t="str">
        <f>IF(
    INDEX($K$5:$K$50, ROW(A26)) = "Algemeen",
        IFERROR(IF('Hulp (control forms)'!$C$12&lt;&gt;TRUE, '1a. Input organisatieniveau'!$I$29, INDEX(
            '1a. Input organisatieniveau'!$L$20:$N$20,
            MATCH(
                INDEX('2. Output kostprijs'!$A:$ZZ,
                    15,
                    4 + 2 * (INDEX($L$5:$L$50, ROW(A26)) - 1)
                ),
                '1a. Input organisatieniveau'!$L$6:$N$6,
                0
            )
        )),""),
    IF(
        INDEX($K$5:$K$50, ROW(A26)) = "Gezinshuis",
            "",
        IF(
            INDEX($K$5:$K$50, ROW(A26)) = "Pleegzorg",
                 "",
            ""
        )
    )
)</f>
        <v/>
      </c>
      <c r="S30" s="21" t="str">
        <f>IF(
    INDEX($K$5:$K$50, ROW(A26)) = "Algemeen",
        INDEX('2. Output kostprijs'!$A:$ZZ, 32,
            5 + 2 * (INDEX('Hulp (overig)'!$L$5:$L$50, ROW(A26)) - 1)
        ),
    IF(
        INDEX($K$5:$K$50, ROW(A26)) = "Gezinshuis",
            INDEX('3. Gezinshuis producten'!$A:$Y, 22,
            15 + 2 * (INDEX($L$5:$L$50, ROW(A26)) - 1)),
        IF(
            INDEX($K$5:$K$50, ROW(A26)) = "Pleegzorg",
                 INDEX('4. Pleegzorg producten'!$A:$Y, 24,
            13 + 3 * (INDEX($L$5:$L$50, ROW(A26)) - 1)) +
                 INDEX('4. Pleegzorg producten'!$A:$Y, 25,
            13 + 3 * (INDEX($L$5:$L$50, ROW(A26)) - 1)),
            ""
        )
    )
)</f>
        <v/>
      </c>
      <c r="T30" s="21" t="str">
        <f t="array" ref="T30">IF(
    INDEX($K$5:$K$50, ROW(A26)) = "Algemeen",
        IF(INDEX('2. Output kostprijs'!$A:$ZZ, 15,
            4 + 2 * (INDEX('Hulp (overig)'!$L$5:$L$50, ROW(A26)) - 1)
        )="Ambulant",
        INDEX('2. Output kostprijs'!$A:$ZZ, 47,
            4 + 2 * (INDEX('Hulp (overig)'!$L$5:$L$50, ROW(A26)) - 1)
        ), ""),
    IF(
        INDEX($K$5:$K$50, ROW(A26)) = "Gezinshuis",
            "",
        IF(
            INDEX($K$5:$K$50, ROW(A26)) = "Pleegzorg",
                 "",
            ""
        )
    )
)</f>
        <v/>
      </c>
      <c r="U30" s="21" t="str">
        <f>IF(
    INDEX($K$5:$K$50, ROW(A26)) = "Algemeen",
        IF(INDEX('2. Output kostprijs'!$A:$ZZ, 15,
            4 + 2 * (INDEX('Hulp (overig)'!$L$5:$L$50, ROW(A26)) - 1)
        )="Daghulp",
        INDEX('2. Output kostprijs'!$A:$ZZ, 47,
            4 + 2 * (INDEX('Hulp (overig)'!$L$5:$L$50, ROW(A26)) - 1)
        ), ""),
    IF(
        INDEX($K$5:$K$50, ROW(A26)) = "Gezinshuis",
            "",
        IF(
            INDEX($K$5:$K$50, ROW(A26)) = "Pleegzorg",
                 "",
            ""
        )
    )
)</f>
        <v/>
      </c>
      <c r="V30" s="21" t="str">
        <f>IF(
    INDEX($K$5:$K$50, ROW(A26)) = "Algemeen",
        IF(INDEX('2. Output kostprijs'!$A:$ZZ, 15,
            4 + 2 * (INDEX('Hulp (overig)'!$L$5:$L$50, ROW(A26)) - 1)
        )="Verblijf",
        INDEX('2. Output kostprijs'!$A:$ZZ, 47,
            4 + 2 * (INDEX('Hulp (overig)'!$L$5:$L$50, ROW(A26)) - 1)
        ), ""),
    IF(
        INDEX($K$5:$K$50, ROW(A26)) = "Gezinshuis",
            INDEX('3. Gezinshuis producten'!$A:$Y, 29,
            14 + 2 * (INDEX($L$5:$L$50, ROW(A26)) - 1)),
        IF(
            INDEX($K$5:$K$50, ROW(A26)) = "Pleegzorg",
                 INDEX('4. Pleegzorg producten'!$A:$Y, 26,
            13 + 3 * (INDEX($L$5:$L$50, ROW(A26)) - 1)),
            ""
        )
    )
)</f>
        <v/>
      </c>
      <c r="W30" s="21" t="str">
        <f>IF(
    INDEX($K$5:$K$50, ROW(A26)) = "Algemeen",
        IFERROR(IF('Hulp (control forms)'!$C$12&lt;&gt;TRUE, '1a. Input organisatieniveau'!$I$27, INDEX(
            '1a. Input organisatieniveau'!$L$18:$N$18,
            MATCH(
                INDEX('2. Output kostprijs'!$A:$ZZ,
                    15,
                    4 + 2 * (INDEX($L$5:$L$50, ROW(A26)) - 1)
                ),
                '1a. Input organisatieniveau'!$L$6:$N$6,
                0
            )
        )),""),
    IF(
        INDEX($K$5:$K$50, ROW(A26)) = "Gezinshuis",
            "",
        IF(
            INDEX($K$5:$K$50, ROW(A26)) = "Pleegzorg",
                 "",
            ""
        )
    )
)</f>
        <v/>
      </c>
      <c r="X30" s="21" t="str">
        <f>IF(
    INDEX($K$5:$K$50, ROW(A26)) = "Algemeen",
        IFERROR(IF('Hulp (control forms)'!$C$12&lt;&gt;TRUE, '1a. Input organisatieniveau'!$I$28, INDEX(
            '1a. Input organisatieniveau'!$L$19:$N$19,
            MATCH(
                INDEX('2. Output kostprijs'!$A:$ZZ,
                    15,
                    4 + 2 * (INDEX($L$5:$L$50, ROW(A26)) - 1)
                ),
                '1a. Input organisatieniveau'!$L$6:$N$6,
                0
            )
        )),""),
    IF(
        INDEX($K$5:$K$50, ROW(A26)) = "Gezinshuis",
            "",
        IF(
            INDEX($K$5:$K$50, ROW(A26)) = "Pleegzorg",
                 "",
            ""
        )
    )
)</f>
        <v/>
      </c>
    </row>
    <row r="31" spans="2:24" x14ac:dyDescent="0.45">
      <c r="J31" s="364" t="str">
        <f t="array" ref="J31">IFERROR(
  IF(
    ROW(A27) &lt;= SUMPRODUCT(--('Hulp (control forms)'!$G$13:$G$52)),
      IF(
        INDEX(Initialisatie!B$10:B$49,
          SMALL(
            IF('Hulp (control forms)'!$G$13:$G$52=TRUE,
               ROW(Initialisatie!B$10:B$49)-ROW(Initialisatie!B$10)+1),
            ROW(A27)
          )
        )="","",
        INDEX(Initialisatie!B$10:B$49,
          SMALL(
            IF('Hulp (control forms)'!$G$13:$G$52=TRUE,
               ROW(Initialisatie!B$10:B$49)-ROW(Initialisatie!B$10)+1),
            ROW(A27)
          )
        )
      ),
    IFERROR(
      INDEX(
        '3. Gezinshuis producten'!E$7:E$9,
        SMALL(
          IF('Hulp (control forms)'!$F$6:$F$8=TRUE,
             ROW('3. Gezinshuis producten'!E$7:E$9)-ROW('3. Gezinshuis producten'!E$7)+1),
          ROW(A27) - SUMPRODUCT(--('Hulp (control forms)'!$G$13:$G$52))
        )
      ),
      IF(
        ROW(A27)
         - SUMPRODUCT(--('Hulp (control forms)'!$G$13:$G$52))
         - SUMPRODUCT(--('Hulp (control forms)'!$F$6:$F$8)) = 1,
        IF('4. Pleegzorg producten'!$M$26&lt;&gt;"",
           "Voltijd",
           IF('4. Pleegzorg producten'!$P$26&lt;&gt;"","Deeltijd","")
        ),
        IF(
          ROW(A27)
           - SUMPRODUCT(--('Hulp (control forms)'!$G$13:$G$52))
           - SUMPRODUCT(--('Hulp (control forms)'!$F$6:$F$8)) = 2,
          IF( AND('4. Pleegzorg producten'!$M$26&lt;&gt;"", '4. Pleegzorg producten'!$P$26&lt;&gt;"" ),
             "Deeltijd",
             ""
          ),
          ""
        )
      )
    )
  ),
"")</f>
        <v/>
      </c>
      <c r="K31" s="364" t="str">
        <f>IF(
  ROW(A27) &lt;= SUMPRODUCT(--('Hulp (control forms)'!$G$13:$G$52)),
      "Algemeen",
  IF(
    ROW(A27) - SUMPRODUCT(--('Hulp (control forms)'!$G$13:$G$52))
      &lt;= SUMPRODUCT(--('Hulp (control forms)'!$F$6:$F$8)),
        "Gezinshuis",
    IF(
      (ROW(A27)
        - SUMPRODUCT(--('Hulp (control forms)'!$G$13:$G$52))
        - SUMPRODUCT(--('Hulp (control forms)'!$F$6:$F$8)))
        &lt;= SUMPRODUCT(--('4. Pleegzorg producten'!$M$26&lt;&gt;"") + --('4. Pleegzorg producten'!$P$26&lt;&gt;"")),
          "Pleegzorg",
          ""
    )
  )
)</f>
        <v/>
      </c>
      <c r="L31" s="21" t="str">
        <f t="array" ref="L31">IF(
  ROW(A27) &lt;= SUMPRODUCT(--('Hulp (control forms)'!$G$13:$G$52)),
      ROW(A27),
  IF(
    ROW(A27) - SUMPRODUCT(--('Hulp (control forms)'!$G$13:$G$52))
      &lt;= SUMPRODUCT(--('Hulp (control forms)'!$F$6:$F$8)),
        SMALL(
    IF('Hulp (control forms)'!$F$6:$F$8,
       ROW('Hulp (control forms)'!$F$6:$F$8)
    ),
    ROW(A27) - SUMPRODUCT(--('Hulp (control forms)'!$G$13:$G$52))
)-5,
    IF(
      (ROW(A27)
        - SUMPRODUCT(--('Hulp (control forms)'!$G$13:$G$52))
        - SUMPRODUCT(--('Hulp (control forms)'!$F$6:$F$8)))
        &lt;= SUMPRODUCT(--('4. Pleegzorg producten'!$M$26&lt;&gt;"") + --('4. Pleegzorg producten'!$P$26&lt;&gt;"")),
        ROW(A27)
        - SUMPRODUCT(--('Hulp (control forms)'!$G$13:$G$52))
        - SUMPRODUCT(--('Hulp (control forms)'!$F$6:$F$8)),
        ""
    )
  )
)</f>
        <v/>
      </c>
      <c r="M31" s="21" t="str">
        <f t="array" ref="M31">IF(
    INDEX($K$5:$K$50, ROW(A27)) = "Algemeen",
        IFERROR(IF('Hulp (control forms)'!$C$7&lt;&gt;TRUE, '1a. Input organisatieniveau'!$I$19, INDEX(
            '1a. Input organisatieniveau'!$L$11:$N$11,
            MATCH(
                INDEX('2. Output kostprijs'!$A:$ZZ,
                    15,
                    4 + 2 * (INDEX($L$5:$L$50, ROW(A27)) - 1)
                ),
                '1a. Input organisatieniveau'!$L$6:$N$6,
                0
            )
        )),""),
    IF(
        INDEX($K$5:$K$50, ROW(A27)) = "Gezinshuis",
            "",
        IF(
            INDEX($K$5:$K$50, ROW(A27)) = "Pleegzorg",
                 "",
            ""
        )
    )
)</f>
        <v/>
      </c>
      <c r="N31" s="21" t="str">
        <f t="array" ref="N31">IF(
    INDEX($K$5:$K$50, ROW(A27)) = "Algemeen",
        IFERROR(IF('Hulp (control forms)'!$C$8&lt;&gt;TRUE, '1a. Input organisatieniveau'!$I$20, INDEX(
            '1a. Input organisatieniveau'!$L$12:$N$12,
            MATCH(
                INDEX('2. Output kostprijs'!$A:$ZZ,
                    15,
                    4 + 2 * (INDEX($L$5:$L$50, ROW(A27)) - 1)
                ),
                '1a. Input organisatieniveau'!$L$6:$N$6,
                0
            )
        )),""),
    IF(
        INDEX($K$5:$K$50, ROW(A27)) = "Gezinshuis",
            INDEX('3. Gezinshuis producten'!$A:$Y, 31,
            9 + 1 * (INDEX($L$5:$L$50, ROW(A27)) - 1)),
        IF(
            INDEX($K$5:$K$50, ROW(A27)) = "Pleegzorg",
                 "",
            ""
        )
    )
)</f>
        <v/>
      </c>
      <c r="O31" s="21" t="str">
        <f t="array" ref="O31">IF(
    INDEX($K$5:$K$50, ROW(A27)) = "Algemeen",
        IFERROR(IF('Hulp (control forms)'!$C$9&lt;&gt;TRUE, '1a. Input organisatieniveau'!$I$21, INDEX(
            '1a. Input organisatieniveau'!$L$13:$N$13,
            MATCH(
                INDEX('2. Output kostprijs'!$A:$ZZ,
                    15,
                    4 + 2 * (INDEX($L$5:$L$50, ROW(A27)) - 1)
                ),
                '1a. Input organisatieniveau'!$L$6:$N$6,
                0
            )
        )),""),
    IF(
        INDEX($K$5:$K$50, ROW(A27)) = "Gezinshuis",
            "",
        IF(
            INDEX($K$5:$K$50, ROW(A27)) = "Pleegzorg",
                 "",
            ""
        )
    )
)</f>
        <v/>
      </c>
      <c r="P31" s="21" t="str">
        <f>IF(
    INDEX($K$5:$K$50, ROW(A27)) = "Algemeen",
        IFERROR(IF('Hulp (control forms)'!$C$10&lt;&gt;TRUE, '1a. Input organisatieniveau'!$I$23, INDEX(
            '1a. Input organisatieniveau'!$L$15:$N$15,
            MATCH(
                INDEX('2. Output kostprijs'!$A:$ZZ,
                    15,
                    4 + 2 * (INDEX($L$5:$L$50, ROW(A27)) - 1)
                ),
                '1a. Input organisatieniveau'!$L$6:$N$6,
                0
            )
        )),""),
    IF(
        INDEX($K$5:$K$50, ROW(A27)) = "Gezinshuis",
            "",
        IF(
            INDEX($K$5:$K$50, ROW(A27)) = "Pleegzorg",
                 "",
            ""
        )
    )
)</f>
        <v/>
      </c>
      <c r="Q31" s="21" t="str">
        <f>IF(
    INDEX($K$5:$K$50, ROW(A27)) = "Algemeen",
        IFERROR(IF('Hulp (control forms)'!$C$11&lt;&gt;TRUE, '1a. Input organisatieniveau'!$I$24, INDEX(
            '1a. Input organisatieniveau'!$L$16:$N$16,
            MATCH(
                INDEX('2. Output kostprijs'!$A:$ZZ,
                    15,
                    4 + 2 * (INDEX($L$5:$L$50, ROW(A27)) - 1)
                ),
                '1a. Input organisatieniveau'!$L$6:$N$6,
                0
            )
        )),""),
    IF(
        INDEX($K$5:$K$50, ROW(A27)) = "Gezinshuis",
            "",
        IF(
            INDEX($K$5:$K$50, ROW(A27)) = "Pleegzorg",
                 "",
            ""
        )
    )
)</f>
        <v/>
      </c>
      <c r="R31" s="21" t="str">
        <f>IF(
    INDEX($K$5:$K$50, ROW(A27)) = "Algemeen",
        IFERROR(IF('Hulp (control forms)'!$C$12&lt;&gt;TRUE, '1a. Input organisatieniveau'!$I$29, INDEX(
            '1a. Input organisatieniveau'!$L$20:$N$20,
            MATCH(
                INDEX('2. Output kostprijs'!$A:$ZZ,
                    15,
                    4 + 2 * (INDEX($L$5:$L$50, ROW(A27)) - 1)
                ),
                '1a. Input organisatieniveau'!$L$6:$N$6,
                0
            )
        )),""),
    IF(
        INDEX($K$5:$K$50, ROW(A27)) = "Gezinshuis",
            "",
        IF(
            INDEX($K$5:$K$50, ROW(A27)) = "Pleegzorg",
                 "",
            ""
        )
    )
)</f>
        <v/>
      </c>
      <c r="S31" s="21" t="str">
        <f>IF(
    INDEX($K$5:$K$50, ROW(A27)) = "Algemeen",
        INDEX('2. Output kostprijs'!$A:$ZZ, 32,
            5 + 2 * (INDEX('Hulp (overig)'!$L$5:$L$50, ROW(A27)) - 1)
        ),
    IF(
        INDEX($K$5:$K$50, ROW(A27)) = "Gezinshuis",
            INDEX('3. Gezinshuis producten'!$A:$Y, 22,
            15 + 2 * (INDEX($L$5:$L$50, ROW(A27)) - 1)),
        IF(
            INDEX($K$5:$K$50, ROW(A27)) = "Pleegzorg",
                 INDEX('4. Pleegzorg producten'!$A:$Y, 24,
            13 + 3 * (INDEX($L$5:$L$50, ROW(A27)) - 1)) +
                 INDEX('4. Pleegzorg producten'!$A:$Y, 25,
            13 + 3 * (INDEX($L$5:$L$50, ROW(A27)) - 1)),
            ""
        )
    )
)</f>
        <v/>
      </c>
      <c r="T31" s="21" t="str">
        <f t="array" ref="T31">IF(
    INDEX($K$5:$K$50, ROW(A27)) = "Algemeen",
        IF(INDEX('2. Output kostprijs'!$A:$ZZ, 15,
            4 + 2 * (INDEX('Hulp (overig)'!$L$5:$L$50, ROW(A27)) - 1)
        )="Ambulant",
        INDEX('2. Output kostprijs'!$A:$ZZ, 47,
            4 + 2 * (INDEX('Hulp (overig)'!$L$5:$L$50, ROW(A27)) - 1)
        ), ""),
    IF(
        INDEX($K$5:$K$50, ROW(A27)) = "Gezinshuis",
            "",
        IF(
            INDEX($K$5:$K$50, ROW(A27)) = "Pleegzorg",
                 "",
            ""
        )
    )
)</f>
        <v/>
      </c>
      <c r="U31" s="21" t="str">
        <f>IF(
    INDEX($K$5:$K$50, ROW(A27)) = "Algemeen",
        IF(INDEX('2. Output kostprijs'!$A:$ZZ, 15,
            4 + 2 * (INDEX('Hulp (overig)'!$L$5:$L$50, ROW(A27)) - 1)
        )="Daghulp",
        INDEX('2. Output kostprijs'!$A:$ZZ, 47,
            4 + 2 * (INDEX('Hulp (overig)'!$L$5:$L$50, ROW(A27)) - 1)
        ), ""),
    IF(
        INDEX($K$5:$K$50, ROW(A27)) = "Gezinshuis",
            "",
        IF(
            INDEX($K$5:$K$50, ROW(A27)) = "Pleegzorg",
                 "",
            ""
        )
    )
)</f>
        <v/>
      </c>
      <c r="V31" s="21" t="str">
        <f>IF(
    INDEX($K$5:$K$50, ROW(A27)) = "Algemeen",
        IF(INDEX('2. Output kostprijs'!$A:$ZZ, 15,
            4 + 2 * (INDEX('Hulp (overig)'!$L$5:$L$50, ROW(A27)) - 1)
        )="Verblijf",
        INDEX('2. Output kostprijs'!$A:$ZZ, 47,
            4 + 2 * (INDEX('Hulp (overig)'!$L$5:$L$50, ROW(A27)) - 1)
        ), ""),
    IF(
        INDEX($K$5:$K$50, ROW(A27)) = "Gezinshuis",
            INDEX('3. Gezinshuis producten'!$A:$Y, 29,
            14 + 2 * (INDEX($L$5:$L$50, ROW(A27)) - 1)),
        IF(
            INDEX($K$5:$K$50, ROW(A27)) = "Pleegzorg",
                 INDEX('4. Pleegzorg producten'!$A:$Y, 26,
            13 + 3 * (INDEX($L$5:$L$50, ROW(A27)) - 1)),
            ""
        )
    )
)</f>
        <v/>
      </c>
      <c r="W31" s="21" t="str">
        <f>IF(
    INDEX($K$5:$K$50, ROW(A27)) = "Algemeen",
        IFERROR(IF('Hulp (control forms)'!$C$12&lt;&gt;TRUE, '1a. Input organisatieniveau'!$I$27, INDEX(
            '1a. Input organisatieniveau'!$L$18:$N$18,
            MATCH(
                INDEX('2. Output kostprijs'!$A:$ZZ,
                    15,
                    4 + 2 * (INDEX($L$5:$L$50, ROW(A27)) - 1)
                ),
                '1a. Input organisatieniveau'!$L$6:$N$6,
                0
            )
        )),""),
    IF(
        INDEX($K$5:$K$50, ROW(A27)) = "Gezinshuis",
            "",
        IF(
            INDEX($K$5:$K$50, ROW(A27)) = "Pleegzorg",
                 "",
            ""
        )
    )
)</f>
        <v/>
      </c>
      <c r="X31" s="21" t="str">
        <f>IF(
    INDEX($K$5:$K$50, ROW(A27)) = "Algemeen",
        IFERROR(IF('Hulp (control forms)'!$C$12&lt;&gt;TRUE, '1a. Input organisatieniveau'!$I$28, INDEX(
            '1a. Input organisatieniveau'!$L$19:$N$19,
            MATCH(
                INDEX('2. Output kostprijs'!$A:$ZZ,
                    15,
                    4 + 2 * (INDEX($L$5:$L$50, ROW(A27)) - 1)
                ),
                '1a. Input organisatieniveau'!$L$6:$N$6,
                0
            )
        )),""),
    IF(
        INDEX($K$5:$K$50, ROW(A27)) = "Gezinshuis",
            "",
        IF(
            INDEX($K$5:$K$50, ROW(A27)) = "Pleegzorg",
                 "",
            ""
        )
    )
)</f>
        <v/>
      </c>
    </row>
    <row r="32" spans="2:24" x14ac:dyDescent="0.45">
      <c r="J32" s="364" t="str">
        <f t="array" ref="J32">IFERROR(
  IF(
    ROW(A28) &lt;= SUMPRODUCT(--('Hulp (control forms)'!$G$13:$G$52)),
      IF(
        INDEX(Initialisatie!B$10:B$49,
          SMALL(
            IF('Hulp (control forms)'!$G$13:$G$52=TRUE,
               ROW(Initialisatie!B$10:B$49)-ROW(Initialisatie!B$10)+1),
            ROW(A28)
          )
        )="","",
        INDEX(Initialisatie!B$10:B$49,
          SMALL(
            IF('Hulp (control forms)'!$G$13:$G$52=TRUE,
               ROW(Initialisatie!B$10:B$49)-ROW(Initialisatie!B$10)+1),
            ROW(A28)
          )
        )
      ),
    IFERROR(
      INDEX(
        '3. Gezinshuis producten'!E$7:E$9,
        SMALL(
          IF('Hulp (control forms)'!$F$6:$F$8=TRUE,
             ROW('3. Gezinshuis producten'!E$7:E$9)-ROW('3. Gezinshuis producten'!E$7)+1),
          ROW(A28) - SUMPRODUCT(--('Hulp (control forms)'!$G$13:$G$52))
        )
      ),
      IF(
        ROW(A28)
         - SUMPRODUCT(--('Hulp (control forms)'!$G$13:$G$52))
         - SUMPRODUCT(--('Hulp (control forms)'!$F$6:$F$8)) = 1,
        IF('4. Pleegzorg producten'!$M$26&lt;&gt;"",
           "Voltijd",
           IF('4. Pleegzorg producten'!$P$26&lt;&gt;"","Deeltijd","")
        ),
        IF(
          ROW(A28)
           - SUMPRODUCT(--('Hulp (control forms)'!$G$13:$G$52))
           - SUMPRODUCT(--('Hulp (control forms)'!$F$6:$F$8)) = 2,
          IF( AND('4. Pleegzorg producten'!$M$26&lt;&gt;"", '4. Pleegzorg producten'!$P$26&lt;&gt;"" ),
             "Deeltijd",
             ""
          ),
          ""
        )
      )
    )
  ),
"")</f>
        <v/>
      </c>
      <c r="K32" s="364" t="str">
        <f>IF(
  ROW(A28) &lt;= SUMPRODUCT(--('Hulp (control forms)'!$G$13:$G$52)),
      "Algemeen",
  IF(
    ROW(A28) - SUMPRODUCT(--('Hulp (control forms)'!$G$13:$G$52))
      &lt;= SUMPRODUCT(--('Hulp (control forms)'!$F$6:$F$8)),
        "Gezinshuis",
    IF(
      (ROW(A28)
        - SUMPRODUCT(--('Hulp (control forms)'!$G$13:$G$52))
        - SUMPRODUCT(--('Hulp (control forms)'!$F$6:$F$8)))
        &lt;= SUMPRODUCT(--('4. Pleegzorg producten'!$M$26&lt;&gt;"") + --('4. Pleegzorg producten'!$P$26&lt;&gt;"")),
          "Pleegzorg",
          ""
    )
  )
)</f>
        <v/>
      </c>
      <c r="L32" s="21" t="str">
        <f t="array" ref="L32">IF(
  ROW(A28) &lt;= SUMPRODUCT(--('Hulp (control forms)'!$G$13:$G$52)),
      ROW(A28),
  IF(
    ROW(A28) - SUMPRODUCT(--('Hulp (control forms)'!$G$13:$G$52))
      &lt;= SUMPRODUCT(--('Hulp (control forms)'!$F$6:$F$8)),
        SMALL(
    IF('Hulp (control forms)'!$F$6:$F$8,
       ROW('Hulp (control forms)'!$F$6:$F$8)
    ),
    ROW(A28) - SUMPRODUCT(--('Hulp (control forms)'!$G$13:$G$52))
)-5,
    IF(
      (ROW(A28)
        - SUMPRODUCT(--('Hulp (control forms)'!$G$13:$G$52))
        - SUMPRODUCT(--('Hulp (control forms)'!$F$6:$F$8)))
        &lt;= SUMPRODUCT(--('4. Pleegzorg producten'!$M$26&lt;&gt;"") + --('4. Pleegzorg producten'!$P$26&lt;&gt;"")),
        ROW(A28)
        - SUMPRODUCT(--('Hulp (control forms)'!$G$13:$G$52))
        - SUMPRODUCT(--('Hulp (control forms)'!$F$6:$F$8)),
        ""
    )
  )
)</f>
        <v/>
      </c>
      <c r="M32" s="21" t="str">
        <f t="array" ref="M32">IF(
    INDEX($K$5:$K$50, ROW(A28)) = "Algemeen",
        IFERROR(IF('Hulp (control forms)'!$C$7&lt;&gt;TRUE, '1a. Input organisatieniveau'!$I$19, INDEX(
            '1a. Input organisatieniveau'!$L$11:$N$11,
            MATCH(
                INDEX('2. Output kostprijs'!$A:$ZZ,
                    15,
                    4 + 2 * (INDEX($L$5:$L$50, ROW(A28)) - 1)
                ),
                '1a. Input organisatieniveau'!$L$6:$N$6,
                0
            )
        )),""),
    IF(
        INDEX($K$5:$K$50, ROW(A28)) = "Gezinshuis",
            "",
        IF(
            INDEX($K$5:$K$50, ROW(A28)) = "Pleegzorg",
                 "",
            ""
        )
    )
)</f>
        <v/>
      </c>
      <c r="N32" s="21" t="str">
        <f t="array" ref="N32">IF(
    INDEX($K$5:$K$50, ROW(A28)) = "Algemeen",
        IFERROR(IF('Hulp (control forms)'!$C$8&lt;&gt;TRUE, '1a. Input organisatieniveau'!$I$20, INDEX(
            '1a. Input organisatieniveau'!$L$12:$N$12,
            MATCH(
                INDEX('2. Output kostprijs'!$A:$ZZ,
                    15,
                    4 + 2 * (INDEX($L$5:$L$50, ROW(A28)) - 1)
                ),
                '1a. Input organisatieniveau'!$L$6:$N$6,
                0
            )
        )),""),
    IF(
        INDEX($K$5:$K$50, ROW(A28)) = "Gezinshuis",
            INDEX('3. Gezinshuis producten'!$A:$Y, 31,
            9 + 1 * (INDEX($L$5:$L$50, ROW(A28)) - 1)),
        IF(
            INDEX($K$5:$K$50, ROW(A28)) = "Pleegzorg",
                 "",
            ""
        )
    )
)</f>
        <v/>
      </c>
      <c r="O32" s="21" t="str">
        <f t="array" ref="O32">IF(
    INDEX($K$5:$K$50, ROW(A28)) = "Algemeen",
        IFERROR(IF('Hulp (control forms)'!$C$9&lt;&gt;TRUE, '1a. Input organisatieniveau'!$I$21, INDEX(
            '1a. Input organisatieniveau'!$L$13:$N$13,
            MATCH(
                INDEX('2. Output kostprijs'!$A:$ZZ,
                    15,
                    4 + 2 * (INDEX($L$5:$L$50, ROW(A28)) - 1)
                ),
                '1a. Input organisatieniveau'!$L$6:$N$6,
                0
            )
        )),""),
    IF(
        INDEX($K$5:$K$50, ROW(A28)) = "Gezinshuis",
            "",
        IF(
            INDEX($K$5:$K$50, ROW(A28)) = "Pleegzorg",
                 "",
            ""
        )
    )
)</f>
        <v/>
      </c>
      <c r="P32" s="21" t="str">
        <f>IF(
    INDEX($K$5:$K$50, ROW(A28)) = "Algemeen",
        IFERROR(IF('Hulp (control forms)'!$C$10&lt;&gt;TRUE, '1a. Input organisatieniveau'!$I$23, INDEX(
            '1a. Input organisatieniveau'!$L$15:$N$15,
            MATCH(
                INDEX('2. Output kostprijs'!$A:$ZZ,
                    15,
                    4 + 2 * (INDEX($L$5:$L$50, ROW(A28)) - 1)
                ),
                '1a. Input organisatieniveau'!$L$6:$N$6,
                0
            )
        )),""),
    IF(
        INDEX($K$5:$K$50, ROW(A28)) = "Gezinshuis",
            "",
        IF(
            INDEX($K$5:$K$50, ROW(A28)) = "Pleegzorg",
                 "",
            ""
        )
    )
)</f>
        <v/>
      </c>
      <c r="Q32" s="21" t="str">
        <f>IF(
    INDEX($K$5:$K$50, ROW(A28)) = "Algemeen",
        IFERROR(IF('Hulp (control forms)'!$C$11&lt;&gt;TRUE, '1a. Input organisatieniveau'!$I$24, INDEX(
            '1a. Input organisatieniveau'!$L$16:$N$16,
            MATCH(
                INDEX('2. Output kostprijs'!$A:$ZZ,
                    15,
                    4 + 2 * (INDEX($L$5:$L$50, ROW(A28)) - 1)
                ),
                '1a. Input organisatieniveau'!$L$6:$N$6,
                0
            )
        )),""),
    IF(
        INDEX($K$5:$K$50, ROW(A28)) = "Gezinshuis",
            "",
        IF(
            INDEX($K$5:$K$50, ROW(A28)) = "Pleegzorg",
                 "",
            ""
        )
    )
)</f>
        <v/>
      </c>
      <c r="R32" s="21" t="str">
        <f>IF(
    INDEX($K$5:$K$50, ROW(A28)) = "Algemeen",
        IFERROR(IF('Hulp (control forms)'!$C$12&lt;&gt;TRUE, '1a. Input organisatieniveau'!$I$29, INDEX(
            '1a. Input organisatieniveau'!$L$20:$N$20,
            MATCH(
                INDEX('2. Output kostprijs'!$A:$ZZ,
                    15,
                    4 + 2 * (INDEX($L$5:$L$50, ROW(A28)) - 1)
                ),
                '1a. Input organisatieniveau'!$L$6:$N$6,
                0
            )
        )),""),
    IF(
        INDEX($K$5:$K$50, ROW(A28)) = "Gezinshuis",
            "",
        IF(
            INDEX($K$5:$K$50, ROW(A28)) = "Pleegzorg",
                 "",
            ""
        )
    )
)</f>
        <v/>
      </c>
      <c r="S32" s="21" t="str">
        <f>IF(
    INDEX($K$5:$K$50, ROW(A28)) = "Algemeen",
        INDEX('2. Output kostprijs'!$A:$ZZ, 32,
            5 + 2 * (INDEX('Hulp (overig)'!$L$5:$L$50, ROW(A28)) - 1)
        ),
    IF(
        INDEX($K$5:$K$50, ROW(A28)) = "Gezinshuis",
            INDEX('3. Gezinshuis producten'!$A:$Y, 22,
            15 + 2 * (INDEX($L$5:$L$50, ROW(A28)) - 1)),
        IF(
            INDEX($K$5:$K$50, ROW(A28)) = "Pleegzorg",
                 INDEX('4. Pleegzorg producten'!$A:$Y, 24,
            13 + 3 * (INDEX($L$5:$L$50, ROW(A28)) - 1)) +
                 INDEX('4. Pleegzorg producten'!$A:$Y, 25,
            13 + 3 * (INDEX($L$5:$L$50, ROW(A28)) - 1)),
            ""
        )
    )
)</f>
        <v/>
      </c>
      <c r="T32" s="21" t="str">
        <f t="array" ref="T32">IF(
    INDEX($K$5:$K$50, ROW(A28)) = "Algemeen",
        IF(INDEX('2. Output kostprijs'!$A:$ZZ, 15,
            4 + 2 * (INDEX('Hulp (overig)'!$L$5:$L$50, ROW(A28)) - 1)
        )="Ambulant",
        INDEX('2. Output kostprijs'!$A:$ZZ, 47,
            4 + 2 * (INDEX('Hulp (overig)'!$L$5:$L$50, ROW(A28)) - 1)
        ), ""),
    IF(
        INDEX($K$5:$K$50, ROW(A28)) = "Gezinshuis",
            "",
        IF(
            INDEX($K$5:$K$50, ROW(A28)) = "Pleegzorg",
                 "",
            ""
        )
    )
)</f>
        <v/>
      </c>
      <c r="U32" s="21" t="str">
        <f>IF(
    INDEX($K$5:$K$50, ROW(A28)) = "Algemeen",
        IF(INDEX('2. Output kostprijs'!$A:$ZZ, 15,
            4 + 2 * (INDEX('Hulp (overig)'!$L$5:$L$50, ROW(A28)) - 1)
        )="Daghulp",
        INDEX('2. Output kostprijs'!$A:$ZZ, 47,
            4 + 2 * (INDEX('Hulp (overig)'!$L$5:$L$50, ROW(A28)) - 1)
        ), ""),
    IF(
        INDEX($K$5:$K$50, ROW(A28)) = "Gezinshuis",
            "",
        IF(
            INDEX($K$5:$K$50, ROW(A28)) = "Pleegzorg",
                 "",
            ""
        )
    )
)</f>
        <v/>
      </c>
      <c r="V32" s="21" t="str">
        <f>IF(
    INDEX($K$5:$K$50, ROW(A28)) = "Algemeen",
        IF(INDEX('2. Output kostprijs'!$A:$ZZ, 15,
            4 + 2 * (INDEX('Hulp (overig)'!$L$5:$L$50, ROW(A28)) - 1)
        )="Verblijf",
        INDEX('2. Output kostprijs'!$A:$ZZ, 47,
            4 + 2 * (INDEX('Hulp (overig)'!$L$5:$L$50, ROW(A28)) - 1)
        ), ""),
    IF(
        INDEX($K$5:$K$50, ROW(A28)) = "Gezinshuis",
            INDEX('3. Gezinshuis producten'!$A:$Y, 29,
            14 + 2 * (INDEX($L$5:$L$50, ROW(A28)) - 1)),
        IF(
            INDEX($K$5:$K$50, ROW(A28)) = "Pleegzorg",
                 INDEX('4. Pleegzorg producten'!$A:$Y, 26,
            13 + 3 * (INDEX($L$5:$L$50, ROW(A28)) - 1)),
            ""
        )
    )
)</f>
        <v/>
      </c>
      <c r="W32" s="21" t="str">
        <f>IF(
    INDEX($K$5:$K$50, ROW(A28)) = "Algemeen",
        IFERROR(IF('Hulp (control forms)'!$C$12&lt;&gt;TRUE, '1a. Input organisatieniveau'!$I$27, INDEX(
            '1a. Input organisatieniveau'!$L$18:$N$18,
            MATCH(
                INDEX('2. Output kostprijs'!$A:$ZZ,
                    15,
                    4 + 2 * (INDEX($L$5:$L$50, ROW(A28)) - 1)
                ),
                '1a. Input organisatieniveau'!$L$6:$N$6,
                0
            )
        )),""),
    IF(
        INDEX($K$5:$K$50, ROW(A28)) = "Gezinshuis",
            "",
        IF(
            INDEX($K$5:$K$50, ROW(A28)) = "Pleegzorg",
                 "",
            ""
        )
    )
)</f>
        <v/>
      </c>
      <c r="X32" s="21" t="str">
        <f>IF(
    INDEX($K$5:$K$50, ROW(A28)) = "Algemeen",
        IFERROR(IF('Hulp (control forms)'!$C$12&lt;&gt;TRUE, '1a. Input organisatieniveau'!$I$28, INDEX(
            '1a. Input organisatieniveau'!$L$19:$N$19,
            MATCH(
                INDEX('2. Output kostprijs'!$A:$ZZ,
                    15,
                    4 + 2 * (INDEX($L$5:$L$50, ROW(A28)) - 1)
                ),
                '1a. Input organisatieniveau'!$L$6:$N$6,
                0
            )
        )),""),
    IF(
        INDEX($K$5:$K$50, ROW(A28)) = "Gezinshuis",
            "",
        IF(
            INDEX($K$5:$K$50, ROW(A28)) = "Pleegzorg",
                 "",
            ""
        )
    )
)</f>
        <v/>
      </c>
    </row>
    <row r="33" spans="10:24" x14ac:dyDescent="0.45">
      <c r="J33" s="364" t="str">
        <f t="array" ref="J33">IFERROR(
  IF(
    ROW(A29) &lt;= SUMPRODUCT(--('Hulp (control forms)'!$G$13:$G$52)),
      IF(
        INDEX(Initialisatie!B$10:B$49,
          SMALL(
            IF('Hulp (control forms)'!$G$13:$G$52=TRUE,
               ROW(Initialisatie!B$10:B$49)-ROW(Initialisatie!B$10)+1),
            ROW(A29)
          )
        )="","",
        INDEX(Initialisatie!B$10:B$49,
          SMALL(
            IF('Hulp (control forms)'!$G$13:$G$52=TRUE,
               ROW(Initialisatie!B$10:B$49)-ROW(Initialisatie!B$10)+1),
            ROW(A29)
          )
        )
      ),
    IFERROR(
      INDEX(
        '3. Gezinshuis producten'!E$7:E$9,
        SMALL(
          IF('Hulp (control forms)'!$F$6:$F$8=TRUE,
             ROW('3. Gezinshuis producten'!E$7:E$9)-ROW('3. Gezinshuis producten'!E$7)+1),
          ROW(A29) - SUMPRODUCT(--('Hulp (control forms)'!$G$13:$G$52))
        )
      ),
      IF(
        ROW(A29)
         - SUMPRODUCT(--('Hulp (control forms)'!$G$13:$G$52))
         - SUMPRODUCT(--('Hulp (control forms)'!$F$6:$F$8)) = 1,
        IF('4. Pleegzorg producten'!$M$26&lt;&gt;"",
           "Voltijd",
           IF('4. Pleegzorg producten'!$P$26&lt;&gt;"","Deeltijd","")
        ),
        IF(
          ROW(A29)
           - SUMPRODUCT(--('Hulp (control forms)'!$G$13:$G$52))
           - SUMPRODUCT(--('Hulp (control forms)'!$F$6:$F$8)) = 2,
          IF( AND('4. Pleegzorg producten'!$M$26&lt;&gt;"", '4. Pleegzorg producten'!$P$26&lt;&gt;"" ),
             "Deeltijd",
             ""
          ),
          ""
        )
      )
    )
  ),
"")</f>
        <v/>
      </c>
      <c r="K33" s="364" t="str">
        <f>IF(
  ROW(A29) &lt;= SUMPRODUCT(--('Hulp (control forms)'!$G$13:$G$52)),
      "Algemeen",
  IF(
    ROW(A29) - SUMPRODUCT(--('Hulp (control forms)'!$G$13:$G$52))
      &lt;= SUMPRODUCT(--('Hulp (control forms)'!$F$6:$F$8)),
        "Gezinshuis",
    IF(
      (ROW(A29)
        - SUMPRODUCT(--('Hulp (control forms)'!$G$13:$G$52))
        - SUMPRODUCT(--('Hulp (control forms)'!$F$6:$F$8)))
        &lt;= SUMPRODUCT(--('4. Pleegzorg producten'!$M$26&lt;&gt;"") + --('4. Pleegzorg producten'!$P$26&lt;&gt;"")),
          "Pleegzorg",
          ""
    )
  )
)</f>
        <v/>
      </c>
      <c r="L33" s="21" t="str">
        <f t="array" ref="L33">IF(
  ROW(A29) &lt;= SUMPRODUCT(--('Hulp (control forms)'!$G$13:$G$52)),
      ROW(A29),
  IF(
    ROW(A29) - SUMPRODUCT(--('Hulp (control forms)'!$G$13:$G$52))
      &lt;= SUMPRODUCT(--('Hulp (control forms)'!$F$6:$F$8)),
        SMALL(
    IF('Hulp (control forms)'!$F$6:$F$8,
       ROW('Hulp (control forms)'!$F$6:$F$8)
    ),
    ROW(A29) - SUMPRODUCT(--('Hulp (control forms)'!$G$13:$G$52))
)-5,
    IF(
      (ROW(A29)
        - SUMPRODUCT(--('Hulp (control forms)'!$G$13:$G$52))
        - SUMPRODUCT(--('Hulp (control forms)'!$F$6:$F$8)))
        &lt;= SUMPRODUCT(--('4. Pleegzorg producten'!$M$26&lt;&gt;"") + --('4. Pleegzorg producten'!$P$26&lt;&gt;"")),
        ROW(A29)
        - SUMPRODUCT(--('Hulp (control forms)'!$G$13:$G$52))
        - SUMPRODUCT(--('Hulp (control forms)'!$F$6:$F$8)),
        ""
    )
  )
)</f>
        <v/>
      </c>
      <c r="M33" s="21" t="str">
        <f t="array" ref="M33">IF(
    INDEX($K$5:$K$50, ROW(A29)) = "Algemeen",
        IFERROR(IF('Hulp (control forms)'!$C$7&lt;&gt;TRUE, '1a. Input organisatieniveau'!$I$19, INDEX(
            '1a. Input organisatieniveau'!$L$11:$N$11,
            MATCH(
                INDEX('2. Output kostprijs'!$A:$ZZ,
                    15,
                    4 + 2 * (INDEX($L$5:$L$50, ROW(A29)) - 1)
                ),
                '1a. Input organisatieniveau'!$L$6:$N$6,
                0
            )
        )),""),
    IF(
        INDEX($K$5:$K$50, ROW(A29)) = "Gezinshuis",
            "",
        IF(
            INDEX($K$5:$K$50, ROW(A29)) = "Pleegzorg",
                 "",
            ""
        )
    )
)</f>
        <v/>
      </c>
      <c r="N33" s="21" t="str">
        <f t="array" ref="N33">IF(
    INDEX($K$5:$K$50, ROW(A29)) = "Algemeen",
        IFERROR(IF('Hulp (control forms)'!$C$8&lt;&gt;TRUE, '1a. Input organisatieniveau'!$I$20, INDEX(
            '1a. Input organisatieniveau'!$L$12:$N$12,
            MATCH(
                INDEX('2. Output kostprijs'!$A:$ZZ,
                    15,
                    4 + 2 * (INDEX($L$5:$L$50, ROW(A29)) - 1)
                ),
                '1a. Input organisatieniveau'!$L$6:$N$6,
                0
            )
        )),""),
    IF(
        INDEX($K$5:$K$50, ROW(A29)) = "Gezinshuis",
            INDEX('3. Gezinshuis producten'!$A:$Y, 31,
            9 + 1 * (INDEX($L$5:$L$50, ROW(A29)) - 1)),
        IF(
            INDEX($K$5:$K$50, ROW(A29)) = "Pleegzorg",
                 "",
            ""
        )
    )
)</f>
        <v/>
      </c>
      <c r="O33" s="21" t="str">
        <f t="array" ref="O33">IF(
    INDEX($K$5:$K$50, ROW(A29)) = "Algemeen",
        IFERROR(IF('Hulp (control forms)'!$C$9&lt;&gt;TRUE, '1a. Input organisatieniveau'!$I$21, INDEX(
            '1a. Input organisatieniveau'!$L$13:$N$13,
            MATCH(
                INDEX('2. Output kostprijs'!$A:$ZZ,
                    15,
                    4 + 2 * (INDEX($L$5:$L$50, ROW(A29)) - 1)
                ),
                '1a. Input organisatieniveau'!$L$6:$N$6,
                0
            )
        )),""),
    IF(
        INDEX($K$5:$K$50, ROW(A29)) = "Gezinshuis",
            "",
        IF(
            INDEX($K$5:$K$50, ROW(A29)) = "Pleegzorg",
                 "",
            ""
        )
    )
)</f>
        <v/>
      </c>
      <c r="P33" s="21" t="str">
        <f>IF(
    INDEX($K$5:$K$50, ROW(A29)) = "Algemeen",
        IFERROR(IF('Hulp (control forms)'!$C$10&lt;&gt;TRUE, '1a. Input organisatieniveau'!$I$23, INDEX(
            '1a. Input organisatieniveau'!$L$15:$N$15,
            MATCH(
                INDEX('2. Output kostprijs'!$A:$ZZ,
                    15,
                    4 + 2 * (INDEX($L$5:$L$50, ROW(A29)) - 1)
                ),
                '1a. Input organisatieniveau'!$L$6:$N$6,
                0
            )
        )),""),
    IF(
        INDEX($K$5:$K$50, ROW(A29)) = "Gezinshuis",
            "",
        IF(
            INDEX($K$5:$K$50, ROW(A29)) = "Pleegzorg",
                 "",
            ""
        )
    )
)</f>
        <v/>
      </c>
      <c r="Q33" s="21" t="str">
        <f>IF(
    INDEX($K$5:$K$50, ROW(A29)) = "Algemeen",
        IFERROR(IF('Hulp (control forms)'!$C$11&lt;&gt;TRUE, '1a. Input organisatieniveau'!$I$24, INDEX(
            '1a. Input organisatieniveau'!$L$16:$N$16,
            MATCH(
                INDEX('2. Output kostprijs'!$A:$ZZ,
                    15,
                    4 + 2 * (INDEX($L$5:$L$50, ROW(A29)) - 1)
                ),
                '1a. Input organisatieniveau'!$L$6:$N$6,
                0
            )
        )),""),
    IF(
        INDEX($K$5:$K$50, ROW(A29)) = "Gezinshuis",
            "",
        IF(
            INDEX($K$5:$K$50, ROW(A29)) = "Pleegzorg",
                 "",
            ""
        )
    )
)</f>
        <v/>
      </c>
      <c r="R33" s="21" t="str">
        <f>IF(
    INDEX($K$5:$K$50, ROW(A29)) = "Algemeen",
        IFERROR(IF('Hulp (control forms)'!$C$12&lt;&gt;TRUE, '1a. Input organisatieniveau'!$I$29, INDEX(
            '1a. Input organisatieniveau'!$L$20:$N$20,
            MATCH(
                INDEX('2. Output kostprijs'!$A:$ZZ,
                    15,
                    4 + 2 * (INDEX($L$5:$L$50, ROW(A29)) - 1)
                ),
                '1a. Input organisatieniveau'!$L$6:$N$6,
                0
            )
        )),""),
    IF(
        INDEX($K$5:$K$50, ROW(A29)) = "Gezinshuis",
            "",
        IF(
            INDEX($K$5:$K$50, ROW(A29)) = "Pleegzorg",
                 "",
            ""
        )
    )
)</f>
        <v/>
      </c>
      <c r="S33" s="21" t="str">
        <f>IF(
    INDEX($K$5:$K$50, ROW(A29)) = "Algemeen",
        INDEX('2. Output kostprijs'!$A:$ZZ, 32,
            5 + 2 * (INDEX('Hulp (overig)'!$L$5:$L$50, ROW(A29)) - 1)
        ),
    IF(
        INDEX($K$5:$K$50, ROW(A29)) = "Gezinshuis",
            INDEX('3. Gezinshuis producten'!$A:$Y, 22,
            15 + 2 * (INDEX($L$5:$L$50, ROW(A29)) - 1)),
        IF(
            INDEX($K$5:$K$50, ROW(A29)) = "Pleegzorg",
                 INDEX('4. Pleegzorg producten'!$A:$Y, 24,
            13 + 3 * (INDEX($L$5:$L$50, ROW(A29)) - 1)) +
                 INDEX('4. Pleegzorg producten'!$A:$Y, 25,
            13 + 3 * (INDEX($L$5:$L$50, ROW(A29)) - 1)),
            ""
        )
    )
)</f>
        <v/>
      </c>
      <c r="T33" s="21" t="str">
        <f t="array" ref="T33">IF(
    INDEX($K$5:$K$50, ROW(A29)) = "Algemeen",
        IF(INDEX('2. Output kostprijs'!$A:$ZZ, 15,
            4 + 2 * (INDEX('Hulp (overig)'!$L$5:$L$50, ROW(A29)) - 1)
        )="Ambulant",
        INDEX('2. Output kostprijs'!$A:$ZZ, 47,
            4 + 2 * (INDEX('Hulp (overig)'!$L$5:$L$50, ROW(A29)) - 1)
        ), ""),
    IF(
        INDEX($K$5:$K$50, ROW(A29)) = "Gezinshuis",
            "",
        IF(
            INDEX($K$5:$K$50, ROW(A29)) = "Pleegzorg",
                 "",
            ""
        )
    )
)</f>
        <v/>
      </c>
      <c r="U33" s="21" t="str">
        <f>IF(
    INDEX($K$5:$K$50, ROW(A29)) = "Algemeen",
        IF(INDEX('2. Output kostprijs'!$A:$ZZ, 15,
            4 + 2 * (INDEX('Hulp (overig)'!$L$5:$L$50, ROW(A29)) - 1)
        )="Daghulp",
        INDEX('2. Output kostprijs'!$A:$ZZ, 47,
            4 + 2 * (INDEX('Hulp (overig)'!$L$5:$L$50, ROW(A29)) - 1)
        ), ""),
    IF(
        INDEX($K$5:$K$50, ROW(A29)) = "Gezinshuis",
            "",
        IF(
            INDEX($K$5:$K$50, ROW(A29)) = "Pleegzorg",
                 "",
            ""
        )
    )
)</f>
        <v/>
      </c>
      <c r="V33" s="21" t="str">
        <f>IF(
    INDEX($K$5:$K$50, ROW(A29)) = "Algemeen",
        IF(INDEX('2. Output kostprijs'!$A:$ZZ, 15,
            4 + 2 * (INDEX('Hulp (overig)'!$L$5:$L$50, ROW(A29)) - 1)
        )="Verblijf",
        INDEX('2. Output kostprijs'!$A:$ZZ, 47,
            4 + 2 * (INDEX('Hulp (overig)'!$L$5:$L$50, ROW(A29)) - 1)
        ), ""),
    IF(
        INDEX($K$5:$K$50, ROW(A29)) = "Gezinshuis",
            INDEX('3. Gezinshuis producten'!$A:$Y, 29,
            14 + 2 * (INDEX($L$5:$L$50, ROW(A29)) - 1)),
        IF(
            INDEX($K$5:$K$50, ROW(A29)) = "Pleegzorg",
                 INDEX('4. Pleegzorg producten'!$A:$Y, 26,
            13 + 3 * (INDEX($L$5:$L$50, ROW(A29)) - 1)),
            ""
        )
    )
)</f>
        <v/>
      </c>
      <c r="W33" s="21" t="str">
        <f>IF(
    INDEX($K$5:$K$50, ROW(A29)) = "Algemeen",
        IFERROR(IF('Hulp (control forms)'!$C$12&lt;&gt;TRUE, '1a. Input organisatieniveau'!$I$27, INDEX(
            '1a. Input organisatieniveau'!$L$18:$N$18,
            MATCH(
                INDEX('2. Output kostprijs'!$A:$ZZ,
                    15,
                    4 + 2 * (INDEX($L$5:$L$50, ROW(A29)) - 1)
                ),
                '1a. Input organisatieniveau'!$L$6:$N$6,
                0
            )
        )),""),
    IF(
        INDEX($K$5:$K$50, ROW(A29)) = "Gezinshuis",
            "",
        IF(
            INDEX($K$5:$K$50, ROW(A29)) = "Pleegzorg",
                 "",
            ""
        )
    )
)</f>
        <v/>
      </c>
      <c r="X33" s="21" t="str">
        <f>IF(
    INDEX($K$5:$K$50, ROW(A29)) = "Algemeen",
        IFERROR(IF('Hulp (control forms)'!$C$12&lt;&gt;TRUE, '1a. Input organisatieniveau'!$I$28, INDEX(
            '1a. Input organisatieniveau'!$L$19:$N$19,
            MATCH(
                INDEX('2. Output kostprijs'!$A:$ZZ,
                    15,
                    4 + 2 * (INDEX($L$5:$L$50, ROW(A29)) - 1)
                ),
                '1a. Input organisatieniveau'!$L$6:$N$6,
                0
            )
        )),""),
    IF(
        INDEX($K$5:$K$50, ROW(A29)) = "Gezinshuis",
            "",
        IF(
            INDEX($K$5:$K$50, ROW(A29)) = "Pleegzorg",
                 "",
            ""
        )
    )
)</f>
        <v/>
      </c>
    </row>
    <row r="34" spans="10:24" x14ac:dyDescent="0.45">
      <c r="J34" s="364" t="str">
        <f t="array" ref="J34">IFERROR(
  IF(
    ROW(A30) &lt;= SUMPRODUCT(--('Hulp (control forms)'!$G$13:$G$52)),
      IF(
        INDEX(Initialisatie!B$10:B$49,
          SMALL(
            IF('Hulp (control forms)'!$G$13:$G$52=TRUE,
               ROW(Initialisatie!B$10:B$49)-ROW(Initialisatie!B$10)+1),
            ROW(A30)
          )
        )="","",
        INDEX(Initialisatie!B$10:B$49,
          SMALL(
            IF('Hulp (control forms)'!$G$13:$G$52=TRUE,
               ROW(Initialisatie!B$10:B$49)-ROW(Initialisatie!B$10)+1),
            ROW(A30)
          )
        )
      ),
    IFERROR(
      INDEX(
        '3. Gezinshuis producten'!E$7:E$9,
        SMALL(
          IF('Hulp (control forms)'!$F$6:$F$8=TRUE,
             ROW('3. Gezinshuis producten'!E$7:E$9)-ROW('3. Gezinshuis producten'!E$7)+1),
          ROW(A30) - SUMPRODUCT(--('Hulp (control forms)'!$G$13:$G$52))
        )
      ),
      IF(
        ROW(A30)
         - SUMPRODUCT(--('Hulp (control forms)'!$G$13:$G$52))
         - SUMPRODUCT(--('Hulp (control forms)'!$F$6:$F$8)) = 1,
        IF('4. Pleegzorg producten'!$M$26&lt;&gt;"",
           "Voltijd",
           IF('4. Pleegzorg producten'!$P$26&lt;&gt;"","Deeltijd","")
        ),
        IF(
          ROW(A30)
           - SUMPRODUCT(--('Hulp (control forms)'!$G$13:$G$52))
           - SUMPRODUCT(--('Hulp (control forms)'!$F$6:$F$8)) = 2,
          IF( AND('4. Pleegzorg producten'!$M$26&lt;&gt;"", '4. Pleegzorg producten'!$P$26&lt;&gt;"" ),
             "Deeltijd",
             ""
          ),
          ""
        )
      )
    )
  ),
"")</f>
        <v/>
      </c>
      <c r="K34" s="364" t="str">
        <f>IF(
  ROW(A30) &lt;= SUMPRODUCT(--('Hulp (control forms)'!$G$13:$G$52)),
      "Algemeen",
  IF(
    ROW(A30) - SUMPRODUCT(--('Hulp (control forms)'!$G$13:$G$52))
      &lt;= SUMPRODUCT(--('Hulp (control forms)'!$F$6:$F$8)),
        "Gezinshuis",
    IF(
      (ROW(A30)
        - SUMPRODUCT(--('Hulp (control forms)'!$G$13:$G$52))
        - SUMPRODUCT(--('Hulp (control forms)'!$F$6:$F$8)))
        &lt;= SUMPRODUCT(--('4. Pleegzorg producten'!$M$26&lt;&gt;"") + --('4. Pleegzorg producten'!$P$26&lt;&gt;"")),
          "Pleegzorg",
          ""
    )
  )
)</f>
        <v/>
      </c>
      <c r="L34" s="21" t="str">
        <f t="array" ref="L34">IF(
  ROW(A30) &lt;= SUMPRODUCT(--('Hulp (control forms)'!$G$13:$G$52)),
      ROW(A30),
  IF(
    ROW(A30) - SUMPRODUCT(--('Hulp (control forms)'!$G$13:$G$52))
      &lt;= SUMPRODUCT(--('Hulp (control forms)'!$F$6:$F$8)),
        SMALL(
    IF('Hulp (control forms)'!$F$6:$F$8,
       ROW('Hulp (control forms)'!$F$6:$F$8)
    ),
    ROW(A30) - SUMPRODUCT(--('Hulp (control forms)'!$G$13:$G$52))
)-5,
    IF(
      (ROW(A30)
        - SUMPRODUCT(--('Hulp (control forms)'!$G$13:$G$52))
        - SUMPRODUCT(--('Hulp (control forms)'!$F$6:$F$8)))
        &lt;= SUMPRODUCT(--('4. Pleegzorg producten'!$M$26&lt;&gt;"") + --('4. Pleegzorg producten'!$P$26&lt;&gt;"")),
        ROW(A30)
        - SUMPRODUCT(--('Hulp (control forms)'!$G$13:$G$52))
        - SUMPRODUCT(--('Hulp (control forms)'!$F$6:$F$8)),
        ""
    )
  )
)</f>
        <v/>
      </c>
      <c r="M34" s="21" t="str">
        <f t="array" ref="M34">IF(
    INDEX($K$5:$K$50, ROW(A30)) = "Algemeen",
        IFERROR(IF('Hulp (control forms)'!$C$7&lt;&gt;TRUE, '1a. Input organisatieniveau'!$I$19, INDEX(
            '1a. Input organisatieniveau'!$L$11:$N$11,
            MATCH(
                INDEX('2. Output kostprijs'!$A:$ZZ,
                    15,
                    4 + 2 * (INDEX($L$5:$L$50, ROW(A30)) - 1)
                ),
                '1a. Input organisatieniveau'!$L$6:$N$6,
                0
            )
        )),""),
    IF(
        INDEX($K$5:$K$50, ROW(A30)) = "Gezinshuis",
            "",
        IF(
            INDEX($K$5:$K$50, ROW(A30)) = "Pleegzorg",
                 "",
            ""
        )
    )
)</f>
        <v/>
      </c>
      <c r="N34" s="21" t="str">
        <f t="array" ref="N34">IF(
    INDEX($K$5:$K$50, ROW(A30)) = "Algemeen",
        IFERROR(IF('Hulp (control forms)'!$C$8&lt;&gt;TRUE, '1a. Input organisatieniveau'!$I$20, INDEX(
            '1a. Input organisatieniveau'!$L$12:$N$12,
            MATCH(
                INDEX('2. Output kostprijs'!$A:$ZZ,
                    15,
                    4 + 2 * (INDEX($L$5:$L$50, ROW(A30)) - 1)
                ),
                '1a. Input organisatieniveau'!$L$6:$N$6,
                0
            )
        )),""),
    IF(
        INDEX($K$5:$K$50, ROW(A30)) = "Gezinshuis",
            INDEX('3. Gezinshuis producten'!$A:$Y, 31,
            9 + 1 * (INDEX($L$5:$L$50, ROW(A30)) - 1)),
        IF(
            INDEX($K$5:$K$50, ROW(A30)) = "Pleegzorg",
                 "",
            ""
        )
    )
)</f>
        <v/>
      </c>
      <c r="O34" s="21" t="str">
        <f t="array" ref="O34">IF(
    INDEX($K$5:$K$50, ROW(A30)) = "Algemeen",
        IFERROR(IF('Hulp (control forms)'!$C$9&lt;&gt;TRUE, '1a. Input organisatieniveau'!$I$21, INDEX(
            '1a. Input organisatieniveau'!$L$13:$N$13,
            MATCH(
                INDEX('2. Output kostprijs'!$A:$ZZ,
                    15,
                    4 + 2 * (INDEX($L$5:$L$50, ROW(A30)) - 1)
                ),
                '1a. Input organisatieniveau'!$L$6:$N$6,
                0
            )
        )),""),
    IF(
        INDEX($K$5:$K$50, ROW(A30)) = "Gezinshuis",
            "",
        IF(
            INDEX($K$5:$K$50, ROW(A30)) = "Pleegzorg",
                 "",
            ""
        )
    )
)</f>
        <v/>
      </c>
      <c r="P34" s="21" t="str">
        <f>IF(
    INDEX($K$5:$K$50, ROW(A30)) = "Algemeen",
        IFERROR(IF('Hulp (control forms)'!$C$10&lt;&gt;TRUE, '1a. Input organisatieniveau'!$I$23, INDEX(
            '1a. Input organisatieniveau'!$L$15:$N$15,
            MATCH(
                INDEX('2. Output kostprijs'!$A:$ZZ,
                    15,
                    4 + 2 * (INDEX($L$5:$L$50, ROW(A30)) - 1)
                ),
                '1a. Input organisatieniveau'!$L$6:$N$6,
                0
            )
        )),""),
    IF(
        INDEX($K$5:$K$50, ROW(A30)) = "Gezinshuis",
            "",
        IF(
            INDEX($K$5:$K$50, ROW(A30)) = "Pleegzorg",
                 "",
            ""
        )
    )
)</f>
        <v/>
      </c>
      <c r="Q34" s="21" t="str">
        <f>IF(
    INDEX($K$5:$K$50, ROW(A30)) = "Algemeen",
        IFERROR(IF('Hulp (control forms)'!$C$11&lt;&gt;TRUE, '1a. Input organisatieniveau'!$I$24, INDEX(
            '1a. Input organisatieniveau'!$L$16:$N$16,
            MATCH(
                INDEX('2. Output kostprijs'!$A:$ZZ,
                    15,
                    4 + 2 * (INDEX($L$5:$L$50, ROW(A30)) - 1)
                ),
                '1a. Input organisatieniveau'!$L$6:$N$6,
                0
            )
        )),""),
    IF(
        INDEX($K$5:$K$50, ROW(A30)) = "Gezinshuis",
            "",
        IF(
            INDEX($K$5:$K$50, ROW(A30)) = "Pleegzorg",
                 "",
            ""
        )
    )
)</f>
        <v/>
      </c>
      <c r="R34" s="21" t="str">
        <f>IF(
    INDEX($K$5:$K$50, ROW(A30)) = "Algemeen",
        IFERROR(IF('Hulp (control forms)'!$C$12&lt;&gt;TRUE, '1a. Input organisatieniveau'!$I$29, INDEX(
            '1a. Input organisatieniveau'!$L$20:$N$20,
            MATCH(
                INDEX('2. Output kostprijs'!$A:$ZZ,
                    15,
                    4 + 2 * (INDEX($L$5:$L$50, ROW(A30)) - 1)
                ),
                '1a. Input organisatieniveau'!$L$6:$N$6,
                0
            )
        )),""),
    IF(
        INDEX($K$5:$K$50, ROW(A30)) = "Gezinshuis",
            "",
        IF(
            INDEX($K$5:$K$50, ROW(A30)) = "Pleegzorg",
                 "",
            ""
        )
    )
)</f>
        <v/>
      </c>
      <c r="S34" s="21" t="str">
        <f>IF(
    INDEX($K$5:$K$50, ROW(A30)) = "Algemeen",
        INDEX('2. Output kostprijs'!$A:$ZZ, 32,
            5 + 2 * (INDEX('Hulp (overig)'!$L$5:$L$50, ROW(A30)) - 1)
        ),
    IF(
        INDEX($K$5:$K$50, ROW(A30)) = "Gezinshuis",
            INDEX('3. Gezinshuis producten'!$A:$Y, 22,
            15 + 2 * (INDEX($L$5:$L$50, ROW(A30)) - 1)),
        IF(
            INDEX($K$5:$K$50, ROW(A30)) = "Pleegzorg",
                 INDEX('4. Pleegzorg producten'!$A:$Y, 24,
            13 + 3 * (INDEX($L$5:$L$50, ROW(A30)) - 1)) +
                 INDEX('4. Pleegzorg producten'!$A:$Y, 25,
            13 + 3 * (INDEX($L$5:$L$50, ROW(A30)) - 1)),
            ""
        )
    )
)</f>
        <v/>
      </c>
      <c r="T34" s="21" t="str">
        <f t="array" ref="T34">IF(
    INDEX($K$5:$K$50, ROW(A30)) = "Algemeen",
        IF(INDEX('2. Output kostprijs'!$A:$ZZ, 15,
            4 + 2 * (INDEX('Hulp (overig)'!$L$5:$L$50, ROW(A30)) - 1)
        )="Ambulant",
        INDEX('2. Output kostprijs'!$A:$ZZ, 47,
            4 + 2 * (INDEX('Hulp (overig)'!$L$5:$L$50, ROW(A30)) - 1)
        ), ""),
    IF(
        INDEX($K$5:$K$50, ROW(A30)) = "Gezinshuis",
            "",
        IF(
            INDEX($K$5:$K$50, ROW(A30)) = "Pleegzorg",
                 "",
            ""
        )
    )
)</f>
        <v/>
      </c>
      <c r="U34" s="21" t="str">
        <f>IF(
    INDEX($K$5:$K$50, ROW(A30)) = "Algemeen",
        IF(INDEX('2. Output kostprijs'!$A:$ZZ, 15,
            4 + 2 * (INDEX('Hulp (overig)'!$L$5:$L$50, ROW(A30)) - 1)
        )="Daghulp",
        INDEX('2. Output kostprijs'!$A:$ZZ, 47,
            4 + 2 * (INDEX('Hulp (overig)'!$L$5:$L$50, ROW(A30)) - 1)
        ), ""),
    IF(
        INDEX($K$5:$K$50, ROW(A30)) = "Gezinshuis",
            "",
        IF(
            INDEX($K$5:$K$50, ROW(A30)) = "Pleegzorg",
                 "",
            ""
        )
    )
)</f>
        <v/>
      </c>
      <c r="V34" s="21" t="str">
        <f>IF(
    INDEX($K$5:$K$50, ROW(A30)) = "Algemeen",
        IF(INDEX('2. Output kostprijs'!$A:$ZZ, 15,
            4 + 2 * (INDEX('Hulp (overig)'!$L$5:$L$50, ROW(A30)) - 1)
        )="Verblijf",
        INDEX('2. Output kostprijs'!$A:$ZZ, 47,
            4 + 2 * (INDEX('Hulp (overig)'!$L$5:$L$50, ROW(A30)) - 1)
        ), ""),
    IF(
        INDEX($K$5:$K$50, ROW(A30)) = "Gezinshuis",
            INDEX('3. Gezinshuis producten'!$A:$Y, 29,
            14 + 2 * (INDEX($L$5:$L$50, ROW(A30)) - 1)),
        IF(
            INDEX($K$5:$K$50, ROW(A30)) = "Pleegzorg",
                 INDEX('4. Pleegzorg producten'!$A:$Y, 26,
            13 + 3 * (INDEX($L$5:$L$50, ROW(A30)) - 1)),
            ""
        )
    )
)</f>
        <v/>
      </c>
      <c r="W34" s="21" t="str">
        <f>IF(
    INDEX($K$5:$K$50, ROW(A30)) = "Algemeen",
        IFERROR(IF('Hulp (control forms)'!$C$12&lt;&gt;TRUE, '1a. Input organisatieniveau'!$I$27, INDEX(
            '1a. Input organisatieniveau'!$L$18:$N$18,
            MATCH(
                INDEX('2. Output kostprijs'!$A:$ZZ,
                    15,
                    4 + 2 * (INDEX($L$5:$L$50, ROW(A30)) - 1)
                ),
                '1a. Input organisatieniveau'!$L$6:$N$6,
                0
            )
        )),""),
    IF(
        INDEX($K$5:$K$50, ROW(A30)) = "Gezinshuis",
            "",
        IF(
            INDEX($K$5:$K$50, ROW(A30)) = "Pleegzorg",
                 "",
            ""
        )
    )
)</f>
        <v/>
      </c>
      <c r="X34" s="21" t="str">
        <f>IF(
    INDEX($K$5:$K$50, ROW(A30)) = "Algemeen",
        IFERROR(IF('Hulp (control forms)'!$C$12&lt;&gt;TRUE, '1a. Input organisatieniveau'!$I$28, INDEX(
            '1a. Input organisatieniveau'!$L$19:$N$19,
            MATCH(
                INDEX('2. Output kostprijs'!$A:$ZZ,
                    15,
                    4 + 2 * (INDEX($L$5:$L$50, ROW(A30)) - 1)
                ),
                '1a. Input organisatieniveau'!$L$6:$N$6,
                0
            )
        )),""),
    IF(
        INDEX($K$5:$K$50, ROW(A30)) = "Gezinshuis",
            "",
        IF(
            INDEX($K$5:$K$50, ROW(A30)) = "Pleegzorg",
                 "",
            ""
        )
    )
)</f>
        <v/>
      </c>
    </row>
    <row r="35" spans="10:24" x14ac:dyDescent="0.45">
      <c r="J35" s="364" t="str">
        <f t="array" ref="J35">IFERROR(
  IF(
    ROW(A31) &lt;= SUMPRODUCT(--('Hulp (control forms)'!$G$13:$G$52)),
      IF(
        INDEX(Initialisatie!B$10:B$49,
          SMALL(
            IF('Hulp (control forms)'!$G$13:$G$52=TRUE,
               ROW(Initialisatie!B$10:B$49)-ROW(Initialisatie!B$10)+1),
            ROW(A31)
          )
        )="","",
        INDEX(Initialisatie!B$10:B$49,
          SMALL(
            IF('Hulp (control forms)'!$G$13:$G$52=TRUE,
               ROW(Initialisatie!B$10:B$49)-ROW(Initialisatie!B$10)+1),
            ROW(A31)
          )
        )
      ),
    IFERROR(
      INDEX(
        '3. Gezinshuis producten'!E$7:E$9,
        SMALL(
          IF('Hulp (control forms)'!$F$6:$F$8=TRUE,
             ROW('3. Gezinshuis producten'!E$7:E$9)-ROW('3. Gezinshuis producten'!E$7)+1),
          ROW(A31) - SUMPRODUCT(--('Hulp (control forms)'!$G$13:$G$52))
        )
      ),
      IF(
        ROW(A31)
         - SUMPRODUCT(--('Hulp (control forms)'!$G$13:$G$52))
         - SUMPRODUCT(--('Hulp (control forms)'!$F$6:$F$8)) = 1,
        IF('4. Pleegzorg producten'!$M$26&lt;&gt;"",
           "Voltijd",
           IF('4. Pleegzorg producten'!$P$26&lt;&gt;"","Deeltijd","")
        ),
        IF(
          ROW(A31)
           - SUMPRODUCT(--('Hulp (control forms)'!$G$13:$G$52))
           - SUMPRODUCT(--('Hulp (control forms)'!$F$6:$F$8)) = 2,
          IF( AND('4. Pleegzorg producten'!$M$26&lt;&gt;"", '4. Pleegzorg producten'!$P$26&lt;&gt;"" ),
             "Deeltijd",
             ""
          ),
          ""
        )
      )
    )
  ),
"")</f>
        <v/>
      </c>
      <c r="K35" s="364" t="str">
        <f>IF(
  ROW(A31) &lt;= SUMPRODUCT(--('Hulp (control forms)'!$G$13:$G$52)),
      "Algemeen",
  IF(
    ROW(A31) - SUMPRODUCT(--('Hulp (control forms)'!$G$13:$G$52))
      &lt;= SUMPRODUCT(--('Hulp (control forms)'!$F$6:$F$8)),
        "Gezinshuis",
    IF(
      (ROW(A31)
        - SUMPRODUCT(--('Hulp (control forms)'!$G$13:$G$52))
        - SUMPRODUCT(--('Hulp (control forms)'!$F$6:$F$8)))
        &lt;= SUMPRODUCT(--('4. Pleegzorg producten'!$M$26&lt;&gt;"") + --('4. Pleegzorg producten'!$P$26&lt;&gt;"")),
          "Pleegzorg",
          ""
    )
  )
)</f>
        <v/>
      </c>
      <c r="L35" s="21" t="str">
        <f t="array" ref="L35">IF(
  ROW(A31) &lt;= SUMPRODUCT(--('Hulp (control forms)'!$G$13:$G$52)),
      ROW(A31),
  IF(
    ROW(A31) - SUMPRODUCT(--('Hulp (control forms)'!$G$13:$G$52))
      &lt;= SUMPRODUCT(--('Hulp (control forms)'!$F$6:$F$8)),
        SMALL(
    IF('Hulp (control forms)'!$F$6:$F$8,
       ROW('Hulp (control forms)'!$F$6:$F$8)
    ),
    ROW(A31) - SUMPRODUCT(--('Hulp (control forms)'!$G$13:$G$52))
)-5,
    IF(
      (ROW(A31)
        - SUMPRODUCT(--('Hulp (control forms)'!$G$13:$G$52))
        - SUMPRODUCT(--('Hulp (control forms)'!$F$6:$F$8)))
        &lt;= SUMPRODUCT(--('4. Pleegzorg producten'!$M$26&lt;&gt;"") + --('4. Pleegzorg producten'!$P$26&lt;&gt;"")),
        ROW(A31)
        - SUMPRODUCT(--('Hulp (control forms)'!$G$13:$G$52))
        - SUMPRODUCT(--('Hulp (control forms)'!$F$6:$F$8)),
        ""
    )
  )
)</f>
        <v/>
      </c>
      <c r="M35" s="21" t="str">
        <f t="array" ref="M35">IF(
    INDEX($K$5:$K$50, ROW(A31)) = "Algemeen",
        IFERROR(IF('Hulp (control forms)'!$C$7&lt;&gt;TRUE, '1a. Input organisatieniveau'!$I$19, INDEX(
            '1a. Input organisatieniveau'!$L$11:$N$11,
            MATCH(
                INDEX('2. Output kostprijs'!$A:$ZZ,
                    15,
                    4 + 2 * (INDEX($L$5:$L$50, ROW(A31)) - 1)
                ),
                '1a. Input organisatieniveau'!$L$6:$N$6,
                0
            )
        )),""),
    IF(
        INDEX($K$5:$K$50, ROW(A31)) = "Gezinshuis",
            "",
        IF(
            INDEX($K$5:$K$50, ROW(A31)) = "Pleegzorg",
                 "",
            ""
        )
    )
)</f>
        <v/>
      </c>
      <c r="N35" s="21" t="str">
        <f t="array" ref="N35">IF(
    INDEX($K$5:$K$50, ROW(A31)) = "Algemeen",
        IFERROR(IF('Hulp (control forms)'!$C$8&lt;&gt;TRUE, '1a. Input organisatieniveau'!$I$20, INDEX(
            '1a. Input organisatieniveau'!$L$12:$N$12,
            MATCH(
                INDEX('2. Output kostprijs'!$A:$ZZ,
                    15,
                    4 + 2 * (INDEX($L$5:$L$50, ROW(A31)) - 1)
                ),
                '1a. Input organisatieniveau'!$L$6:$N$6,
                0
            )
        )),""),
    IF(
        INDEX($K$5:$K$50, ROW(A31)) = "Gezinshuis",
            INDEX('3. Gezinshuis producten'!$A:$Y, 31,
            9 + 1 * (INDEX($L$5:$L$50, ROW(A31)) - 1)),
        IF(
            INDEX($K$5:$K$50, ROW(A31)) = "Pleegzorg",
                 "",
            ""
        )
    )
)</f>
        <v/>
      </c>
      <c r="O35" s="21" t="str">
        <f t="array" ref="O35">IF(
    INDEX($K$5:$K$50, ROW(A31)) = "Algemeen",
        IFERROR(IF('Hulp (control forms)'!$C$9&lt;&gt;TRUE, '1a. Input organisatieniveau'!$I$21, INDEX(
            '1a. Input organisatieniveau'!$L$13:$N$13,
            MATCH(
                INDEX('2. Output kostprijs'!$A:$ZZ,
                    15,
                    4 + 2 * (INDEX($L$5:$L$50, ROW(A31)) - 1)
                ),
                '1a. Input organisatieniveau'!$L$6:$N$6,
                0
            )
        )),""),
    IF(
        INDEX($K$5:$K$50, ROW(A31)) = "Gezinshuis",
            "",
        IF(
            INDEX($K$5:$K$50, ROW(A31)) = "Pleegzorg",
                 "",
            ""
        )
    )
)</f>
        <v/>
      </c>
      <c r="P35" s="21" t="str">
        <f>IF(
    INDEX($K$5:$K$50, ROW(A31)) = "Algemeen",
        IFERROR(IF('Hulp (control forms)'!$C$10&lt;&gt;TRUE, '1a. Input organisatieniveau'!$I$23, INDEX(
            '1a. Input organisatieniveau'!$L$15:$N$15,
            MATCH(
                INDEX('2. Output kostprijs'!$A:$ZZ,
                    15,
                    4 + 2 * (INDEX($L$5:$L$50, ROW(A31)) - 1)
                ),
                '1a. Input organisatieniveau'!$L$6:$N$6,
                0
            )
        )),""),
    IF(
        INDEX($K$5:$K$50, ROW(A31)) = "Gezinshuis",
            "",
        IF(
            INDEX($K$5:$K$50, ROW(A31)) = "Pleegzorg",
                 "",
            ""
        )
    )
)</f>
        <v/>
      </c>
      <c r="Q35" s="21" t="str">
        <f>IF(
    INDEX($K$5:$K$50, ROW(A31)) = "Algemeen",
        IFERROR(IF('Hulp (control forms)'!$C$11&lt;&gt;TRUE, '1a. Input organisatieniveau'!$I$24, INDEX(
            '1a. Input organisatieniveau'!$L$16:$N$16,
            MATCH(
                INDEX('2. Output kostprijs'!$A:$ZZ,
                    15,
                    4 + 2 * (INDEX($L$5:$L$50, ROW(A31)) - 1)
                ),
                '1a. Input organisatieniveau'!$L$6:$N$6,
                0
            )
        )),""),
    IF(
        INDEX($K$5:$K$50, ROW(A31)) = "Gezinshuis",
            "",
        IF(
            INDEX($K$5:$K$50, ROW(A31)) = "Pleegzorg",
                 "",
            ""
        )
    )
)</f>
        <v/>
      </c>
      <c r="R35" s="21" t="str">
        <f>IF(
    INDEX($K$5:$K$50, ROW(A31)) = "Algemeen",
        IFERROR(IF('Hulp (control forms)'!$C$12&lt;&gt;TRUE, '1a. Input organisatieniveau'!$I$29, INDEX(
            '1a. Input organisatieniveau'!$L$20:$N$20,
            MATCH(
                INDEX('2. Output kostprijs'!$A:$ZZ,
                    15,
                    4 + 2 * (INDEX($L$5:$L$50, ROW(A31)) - 1)
                ),
                '1a. Input organisatieniveau'!$L$6:$N$6,
                0
            )
        )),""),
    IF(
        INDEX($K$5:$K$50, ROW(A31)) = "Gezinshuis",
            "",
        IF(
            INDEX($K$5:$K$50, ROW(A31)) = "Pleegzorg",
                 "",
            ""
        )
    )
)</f>
        <v/>
      </c>
      <c r="S35" s="21" t="str">
        <f>IF(
    INDEX($K$5:$K$50, ROW(A31)) = "Algemeen",
        INDEX('2. Output kostprijs'!$A:$ZZ, 32,
            5 + 2 * (INDEX('Hulp (overig)'!$L$5:$L$50, ROW(A31)) - 1)
        ),
    IF(
        INDEX($K$5:$K$50, ROW(A31)) = "Gezinshuis",
            INDEX('3. Gezinshuis producten'!$A:$Y, 22,
            15 + 2 * (INDEX($L$5:$L$50, ROW(A31)) - 1)),
        IF(
            INDEX($K$5:$K$50, ROW(A31)) = "Pleegzorg",
                 INDEX('4. Pleegzorg producten'!$A:$Y, 24,
            13 + 3 * (INDEX($L$5:$L$50, ROW(A31)) - 1)) +
                 INDEX('4. Pleegzorg producten'!$A:$Y, 25,
            13 + 3 * (INDEX($L$5:$L$50, ROW(A31)) - 1)),
            ""
        )
    )
)</f>
        <v/>
      </c>
      <c r="T35" s="21" t="str">
        <f t="array" ref="T35">IF(
    INDEX($K$5:$K$50, ROW(A31)) = "Algemeen",
        IF(INDEX('2. Output kostprijs'!$A:$ZZ, 15,
            4 + 2 * (INDEX('Hulp (overig)'!$L$5:$L$50, ROW(A31)) - 1)
        )="Ambulant",
        INDEX('2. Output kostprijs'!$A:$ZZ, 47,
            4 + 2 * (INDEX('Hulp (overig)'!$L$5:$L$50, ROW(A31)) - 1)
        ), ""),
    IF(
        INDEX($K$5:$K$50, ROW(A31)) = "Gezinshuis",
            "",
        IF(
            INDEX($K$5:$K$50, ROW(A31)) = "Pleegzorg",
                 "",
            ""
        )
    )
)</f>
        <v/>
      </c>
      <c r="U35" s="21" t="str">
        <f>IF(
    INDEX($K$5:$K$50, ROW(A31)) = "Algemeen",
        IF(INDEX('2. Output kostprijs'!$A:$ZZ, 15,
            4 + 2 * (INDEX('Hulp (overig)'!$L$5:$L$50, ROW(A31)) - 1)
        )="Daghulp",
        INDEX('2. Output kostprijs'!$A:$ZZ, 47,
            4 + 2 * (INDEX('Hulp (overig)'!$L$5:$L$50, ROW(A31)) - 1)
        ), ""),
    IF(
        INDEX($K$5:$K$50, ROW(A31)) = "Gezinshuis",
            "",
        IF(
            INDEX($K$5:$K$50, ROW(A31)) = "Pleegzorg",
                 "",
            ""
        )
    )
)</f>
        <v/>
      </c>
      <c r="V35" s="21" t="str">
        <f>IF(
    INDEX($K$5:$K$50, ROW(A31)) = "Algemeen",
        IF(INDEX('2. Output kostprijs'!$A:$ZZ, 15,
            4 + 2 * (INDEX('Hulp (overig)'!$L$5:$L$50, ROW(A31)) - 1)
        )="Verblijf",
        INDEX('2. Output kostprijs'!$A:$ZZ, 47,
            4 + 2 * (INDEX('Hulp (overig)'!$L$5:$L$50, ROW(A31)) - 1)
        ), ""),
    IF(
        INDEX($K$5:$K$50, ROW(A31)) = "Gezinshuis",
            INDEX('3. Gezinshuis producten'!$A:$Y, 29,
            14 + 2 * (INDEX($L$5:$L$50, ROW(A31)) - 1)),
        IF(
            INDEX($K$5:$K$50, ROW(A31)) = "Pleegzorg",
                 INDEX('4. Pleegzorg producten'!$A:$Y, 26,
            13 + 3 * (INDEX($L$5:$L$50, ROW(A31)) - 1)),
            ""
        )
    )
)</f>
        <v/>
      </c>
      <c r="W35" s="21" t="str">
        <f>IF(
    INDEX($K$5:$K$50, ROW(A31)) = "Algemeen",
        IFERROR(IF('Hulp (control forms)'!$C$12&lt;&gt;TRUE, '1a. Input organisatieniveau'!$I$27, INDEX(
            '1a. Input organisatieniveau'!$L$18:$N$18,
            MATCH(
                INDEX('2. Output kostprijs'!$A:$ZZ,
                    15,
                    4 + 2 * (INDEX($L$5:$L$50, ROW(A31)) - 1)
                ),
                '1a. Input organisatieniveau'!$L$6:$N$6,
                0
            )
        )),""),
    IF(
        INDEX($K$5:$K$50, ROW(A31)) = "Gezinshuis",
            "",
        IF(
            INDEX($K$5:$K$50, ROW(A31)) = "Pleegzorg",
                 "",
            ""
        )
    )
)</f>
        <v/>
      </c>
      <c r="X35" s="21" t="str">
        <f>IF(
    INDEX($K$5:$K$50, ROW(A31)) = "Algemeen",
        IFERROR(IF('Hulp (control forms)'!$C$12&lt;&gt;TRUE, '1a. Input organisatieniveau'!$I$28, INDEX(
            '1a. Input organisatieniveau'!$L$19:$N$19,
            MATCH(
                INDEX('2. Output kostprijs'!$A:$ZZ,
                    15,
                    4 + 2 * (INDEX($L$5:$L$50, ROW(A31)) - 1)
                ),
                '1a. Input organisatieniveau'!$L$6:$N$6,
                0
            )
        )),""),
    IF(
        INDEX($K$5:$K$50, ROW(A31)) = "Gezinshuis",
            "",
        IF(
            INDEX($K$5:$K$50, ROW(A31)) = "Pleegzorg",
                 "",
            ""
        )
    )
)</f>
        <v/>
      </c>
    </row>
    <row r="36" spans="10:24" x14ac:dyDescent="0.45">
      <c r="J36" s="364" t="str">
        <f t="array" ref="J36">IFERROR(
  IF(
    ROW(A32) &lt;= SUMPRODUCT(--('Hulp (control forms)'!$G$13:$G$52)),
      IF(
        INDEX(Initialisatie!B$10:B$49,
          SMALL(
            IF('Hulp (control forms)'!$G$13:$G$52=TRUE,
               ROW(Initialisatie!B$10:B$49)-ROW(Initialisatie!B$10)+1),
            ROW(A32)
          )
        )="","",
        INDEX(Initialisatie!B$10:B$49,
          SMALL(
            IF('Hulp (control forms)'!$G$13:$G$52=TRUE,
               ROW(Initialisatie!B$10:B$49)-ROW(Initialisatie!B$10)+1),
            ROW(A32)
          )
        )
      ),
    IFERROR(
      INDEX(
        '3. Gezinshuis producten'!E$7:E$9,
        SMALL(
          IF('Hulp (control forms)'!$F$6:$F$8=TRUE,
             ROW('3. Gezinshuis producten'!E$7:E$9)-ROW('3. Gezinshuis producten'!E$7)+1),
          ROW(A32) - SUMPRODUCT(--('Hulp (control forms)'!$G$13:$G$52))
        )
      ),
      IF(
        ROW(A32)
         - SUMPRODUCT(--('Hulp (control forms)'!$G$13:$G$52))
         - SUMPRODUCT(--('Hulp (control forms)'!$F$6:$F$8)) = 1,
        IF('4. Pleegzorg producten'!$M$26&lt;&gt;"",
           "Voltijd",
           IF('4. Pleegzorg producten'!$P$26&lt;&gt;"","Deeltijd","")
        ),
        IF(
          ROW(A32)
           - SUMPRODUCT(--('Hulp (control forms)'!$G$13:$G$52))
           - SUMPRODUCT(--('Hulp (control forms)'!$F$6:$F$8)) = 2,
          IF( AND('4. Pleegzorg producten'!$M$26&lt;&gt;"", '4. Pleegzorg producten'!$P$26&lt;&gt;"" ),
             "Deeltijd",
             ""
          ),
          ""
        )
      )
    )
  ),
"")</f>
        <v/>
      </c>
      <c r="K36" s="364" t="str">
        <f>IF(
  ROW(A32) &lt;= SUMPRODUCT(--('Hulp (control forms)'!$G$13:$G$52)),
      "Algemeen",
  IF(
    ROW(A32) - SUMPRODUCT(--('Hulp (control forms)'!$G$13:$G$52))
      &lt;= SUMPRODUCT(--('Hulp (control forms)'!$F$6:$F$8)),
        "Gezinshuis",
    IF(
      (ROW(A32)
        - SUMPRODUCT(--('Hulp (control forms)'!$G$13:$G$52))
        - SUMPRODUCT(--('Hulp (control forms)'!$F$6:$F$8)))
        &lt;= SUMPRODUCT(--('4. Pleegzorg producten'!$M$26&lt;&gt;"") + --('4. Pleegzorg producten'!$P$26&lt;&gt;"")),
          "Pleegzorg",
          ""
    )
  )
)</f>
        <v/>
      </c>
      <c r="L36" s="21" t="str">
        <f t="array" ref="L36">IF(
  ROW(A32) &lt;= SUMPRODUCT(--('Hulp (control forms)'!$G$13:$G$52)),
      ROW(A32),
  IF(
    ROW(A32) - SUMPRODUCT(--('Hulp (control forms)'!$G$13:$G$52))
      &lt;= SUMPRODUCT(--('Hulp (control forms)'!$F$6:$F$8)),
        SMALL(
    IF('Hulp (control forms)'!$F$6:$F$8,
       ROW('Hulp (control forms)'!$F$6:$F$8)
    ),
    ROW(A32) - SUMPRODUCT(--('Hulp (control forms)'!$G$13:$G$52))
)-5,
    IF(
      (ROW(A32)
        - SUMPRODUCT(--('Hulp (control forms)'!$G$13:$G$52))
        - SUMPRODUCT(--('Hulp (control forms)'!$F$6:$F$8)))
        &lt;= SUMPRODUCT(--('4. Pleegzorg producten'!$M$26&lt;&gt;"") + --('4. Pleegzorg producten'!$P$26&lt;&gt;"")),
        ROW(A32)
        - SUMPRODUCT(--('Hulp (control forms)'!$G$13:$G$52))
        - SUMPRODUCT(--('Hulp (control forms)'!$F$6:$F$8)),
        ""
    )
  )
)</f>
        <v/>
      </c>
      <c r="M36" s="21" t="str">
        <f t="array" ref="M36">IF(
    INDEX($K$5:$K$50, ROW(A32)) = "Algemeen",
        IFERROR(IF('Hulp (control forms)'!$C$7&lt;&gt;TRUE, '1a. Input organisatieniveau'!$I$19, INDEX(
            '1a. Input organisatieniveau'!$L$11:$N$11,
            MATCH(
                INDEX('2. Output kostprijs'!$A:$ZZ,
                    15,
                    4 + 2 * (INDEX($L$5:$L$50, ROW(A32)) - 1)
                ),
                '1a. Input organisatieniveau'!$L$6:$N$6,
                0
            )
        )),""),
    IF(
        INDEX($K$5:$K$50, ROW(A32)) = "Gezinshuis",
            "",
        IF(
            INDEX($K$5:$K$50, ROW(A32)) = "Pleegzorg",
                 "",
            ""
        )
    )
)</f>
        <v/>
      </c>
      <c r="N36" s="21" t="str">
        <f t="array" ref="N36">IF(
    INDEX($K$5:$K$50, ROW(A32)) = "Algemeen",
        IFERROR(IF('Hulp (control forms)'!$C$8&lt;&gt;TRUE, '1a. Input organisatieniveau'!$I$20, INDEX(
            '1a. Input organisatieniveau'!$L$12:$N$12,
            MATCH(
                INDEX('2. Output kostprijs'!$A:$ZZ,
                    15,
                    4 + 2 * (INDEX($L$5:$L$50, ROW(A32)) - 1)
                ),
                '1a. Input organisatieniveau'!$L$6:$N$6,
                0
            )
        )),""),
    IF(
        INDEX($K$5:$K$50, ROW(A32)) = "Gezinshuis",
            INDEX('3. Gezinshuis producten'!$A:$Y, 31,
            9 + 1 * (INDEX($L$5:$L$50, ROW(A32)) - 1)),
        IF(
            INDEX($K$5:$K$50, ROW(A32)) = "Pleegzorg",
                 "",
            ""
        )
    )
)</f>
        <v/>
      </c>
      <c r="O36" s="21" t="str">
        <f t="array" ref="O36">IF(
    INDEX($K$5:$K$50, ROW(A32)) = "Algemeen",
        IFERROR(IF('Hulp (control forms)'!$C$9&lt;&gt;TRUE, '1a. Input organisatieniveau'!$I$21, INDEX(
            '1a. Input organisatieniveau'!$L$13:$N$13,
            MATCH(
                INDEX('2. Output kostprijs'!$A:$ZZ,
                    15,
                    4 + 2 * (INDEX($L$5:$L$50, ROW(A32)) - 1)
                ),
                '1a. Input organisatieniveau'!$L$6:$N$6,
                0
            )
        )),""),
    IF(
        INDEX($K$5:$K$50, ROW(A32)) = "Gezinshuis",
            "",
        IF(
            INDEX($K$5:$K$50, ROW(A32)) = "Pleegzorg",
                 "",
            ""
        )
    )
)</f>
        <v/>
      </c>
      <c r="P36" s="21" t="str">
        <f>IF(
    INDEX($K$5:$K$50, ROW(A32)) = "Algemeen",
        IFERROR(IF('Hulp (control forms)'!$C$10&lt;&gt;TRUE, '1a. Input organisatieniveau'!$I$23, INDEX(
            '1a. Input organisatieniveau'!$L$15:$N$15,
            MATCH(
                INDEX('2. Output kostprijs'!$A:$ZZ,
                    15,
                    4 + 2 * (INDEX($L$5:$L$50, ROW(A32)) - 1)
                ),
                '1a. Input organisatieniveau'!$L$6:$N$6,
                0
            )
        )),""),
    IF(
        INDEX($K$5:$K$50, ROW(A32)) = "Gezinshuis",
            "",
        IF(
            INDEX($K$5:$K$50, ROW(A32)) = "Pleegzorg",
                 "",
            ""
        )
    )
)</f>
        <v/>
      </c>
      <c r="Q36" s="21" t="str">
        <f>IF(
    INDEX($K$5:$K$50, ROW(A32)) = "Algemeen",
        IFERROR(IF('Hulp (control forms)'!$C$11&lt;&gt;TRUE, '1a. Input organisatieniveau'!$I$24, INDEX(
            '1a. Input organisatieniveau'!$L$16:$N$16,
            MATCH(
                INDEX('2. Output kostprijs'!$A:$ZZ,
                    15,
                    4 + 2 * (INDEX($L$5:$L$50, ROW(A32)) - 1)
                ),
                '1a. Input organisatieniveau'!$L$6:$N$6,
                0
            )
        )),""),
    IF(
        INDEX($K$5:$K$50, ROW(A32)) = "Gezinshuis",
            "",
        IF(
            INDEX($K$5:$K$50, ROW(A32)) = "Pleegzorg",
                 "",
            ""
        )
    )
)</f>
        <v/>
      </c>
      <c r="R36" s="21" t="str">
        <f>IF(
    INDEX($K$5:$K$50, ROW(A32)) = "Algemeen",
        IFERROR(IF('Hulp (control forms)'!$C$12&lt;&gt;TRUE, '1a. Input organisatieniveau'!$I$29, INDEX(
            '1a. Input organisatieniveau'!$L$20:$N$20,
            MATCH(
                INDEX('2. Output kostprijs'!$A:$ZZ,
                    15,
                    4 + 2 * (INDEX($L$5:$L$50, ROW(A32)) - 1)
                ),
                '1a. Input organisatieniveau'!$L$6:$N$6,
                0
            )
        )),""),
    IF(
        INDEX($K$5:$K$50, ROW(A32)) = "Gezinshuis",
            "",
        IF(
            INDEX($K$5:$K$50, ROW(A32)) = "Pleegzorg",
                 "",
            ""
        )
    )
)</f>
        <v/>
      </c>
      <c r="S36" s="21" t="str">
        <f>IF(
    INDEX($K$5:$K$50, ROW(A32)) = "Algemeen",
        INDEX('2. Output kostprijs'!$A:$ZZ, 32,
            5 + 2 * (INDEX('Hulp (overig)'!$L$5:$L$50, ROW(A32)) - 1)
        ),
    IF(
        INDEX($K$5:$K$50, ROW(A32)) = "Gezinshuis",
            INDEX('3. Gezinshuis producten'!$A:$Y, 22,
            15 + 2 * (INDEX($L$5:$L$50, ROW(A32)) - 1)),
        IF(
            INDEX($K$5:$K$50, ROW(A32)) = "Pleegzorg",
                 INDEX('4. Pleegzorg producten'!$A:$Y, 24,
            13 + 3 * (INDEX($L$5:$L$50, ROW(A32)) - 1)) +
                 INDEX('4. Pleegzorg producten'!$A:$Y, 25,
            13 + 3 * (INDEX($L$5:$L$50, ROW(A32)) - 1)),
            ""
        )
    )
)</f>
        <v/>
      </c>
      <c r="T36" s="21" t="str">
        <f t="array" ref="T36">IF(
    INDEX($K$5:$K$50, ROW(A32)) = "Algemeen",
        IF(INDEX('2. Output kostprijs'!$A:$ZZ, 15,
            4 + 2 * (INDEX('Hulp (overig)'!$L$5:$L$50, ROW(A32)) - 1)
        )="Ambulant",
        INDEX('2. Output kostprijs'!$A:$ZZ, 47,
            4 + 2 * (INDEX('Hulp (overig)'!$L$5:$L$50, ROW(A32)) - 1)
        ), ""),
    IF(
        INDEX($K$5:$K$50, ROW(A32)) = "Gezinshuis",
            "",
        IF(
            INDEX($K$5:$K$50, ROW(A32)) = "Pleegzorg",
                 "",
            ""
        )
    )
)</f>
        <v/>
      </c>
      <c r="U36" s="21" t="str">
        <f>IF(
    INDEX($K$5:$K$50, ROW(A32)) = "Algemeen",
        IF(INDEX('2. Output kostprijs'!$A:$ZZ, 15,
            4 + 2 * (INDEX('Hulp (overig)'!$L$5:$L$50, ROW(A32)) - 1)
        )="Daghulp",
        INDEX('2. Output kostprijs'!$A:$ZZ, 47,
            4 + 2 * (INDEX('Hulp (overig)'!$L$5:$L$50, ROW(A32)) - 1)
        ), ""),
    IF(
        INDEX($K$5:$K$50, ROW(A32)) = "Gezinshuis",
            "",
        IF(
            INDEX($K$5:$K$50, ROW(A32)) = "Pleegzorg",
                 "",
            ""
        )
    )
)</f>
        <v/>
      </c>
      <c r="V36" s="21" t="str">
        <f>IF(
    INDEX($K$5:$K$50, ROW(A32)) = "Algemeen",
        IF(INDEX('2. Output kostprijs'!$A:$ZZ, 15,
            4 + 2 * (INDEX('Hulp (overig)'!$L$5:$L$50, ROW(A32)) - 1)
        )="Verblijf",
        INDEX('2. Output kostprijs'!$A:$ZZ, 47,
            4 + 2 * (INDEX('Hulp (overig)'!$L$5:$L$50, ROW(A32)) - 1)
        ), ""),
    IF(
        INDEX($K$5:$K$50, ROW(A32)) = "Gezinshuis",
            INDEX('3. Gezinshuis producten'!$A:$Y, 29,
            14 + 2 * (INDEX($L$5:$L$50, ROW(A32)) - 1)),
        IF(
            INDEX($K$5:$K$50, ROW(A32)) = "Pleegzorg",
                 INDEX('4. Pleegzorg producten'!$A:$Y, 26,
            13 + 3 * (INDEX($L$5:$L$50, ROW(A32)) - 1)),
            ""
        )
    )
)</f>
        <v/>
      </c>
      <c r="W36" s="21" t="str">
        <f>IF(
    INDEX($K$5:$K$50, ROW(A32)) = "Algemeen",
        IFERROR(IF('Hulp (control forms)'!$C$12&lt;&gt;TRUE, '1a. Input organisatieniveau'!$I$27, INDEX(
            '1a. Input organisatieniveau'!$L$18:$N$18,
            MATCH(
                INDEX('2. Output kostprijs'!$A:$ZZ,
                    15,
                    4 + 2 * (INDEX($L$5:$L$50, ROW(A32)) - 1)
                ),
                '1a. Input organisatieniveau'!$L$6:$N$6,
                0
            )
        )),""),
    IF(
        INDEX($K$5:$K$50, ROW(A32)) = "Gezinshuis",
            "",
        IF(
            INDEX($K$5:$K$50, ROW(A32)) = "Pleegzorg",
                 "",
            ""
        )
    )
)</f>
        <v/>
      </c>
      <c r="X36" s="21" t="str">
        <f>IF(
    INDEX($K$5:$K$50, ROW(A32)) = "Algemeen",
        IFERROR(IF('Hulp (control forms)'!$C$12&lt;&gt;TRUE, '1a. Input organisatieniveau'!$I$28, INDEX(
            '1a. Input organisatieniveau'!$L$19:$N$19,
            MATCH(
                INDEX('2. Output kostprijs'!$A:$ZZ,
                    15,
                    4 + 2 * (INDEX($L$5:$L$50, ROW(A32)) - 1)
                ),
                '1a. Input organisatieniveau'!$L$6:$N$6,
                0
            )
        )),""),
    IF(
        INDEX($K$5:$K$50, ROW(A32)) = "Gezinshuis",
            "",
        IF(
            INDEX($K$5:$K$50, ROW(A32)) = "Pleegzorg",
                 "",
            ""
        )
    )
)</f>
        <v/>
      </c>
    </row>
    <row r="37" spans="10:24" x14ac:dyDescent="0.45">
      <c r="J37" s="364" t="str">
        <f t="array" ref="J37">IFERROR(
  IF(
    ROW(A33) &lt;= SUMPRODUCT(--('Hulp (control forms)'!$G$13:$G$52)),
      IF(
        INDEX(Initialisatie!B$10:B$49,
          SMALL(
            IF('Hulp (control forms)'!$G$13:$G$52=TRUE,
               ROW(Initialisatie!B$10:B$49)-ROW(Initialisatie!B$10)+1),
            ROW(A33)
          )
        )="","",
        INDEX(Initialisatie!B$10:B$49,
          SMALL(
            IF('Hulp (control forms)'!$G$13:$G$52=TRUE,
               ROW(Initialisatie!B$10:B$49)-ROW(Initialisatie!B$10)+1),
            ROW(A33)
          )
        )
      ),
    IFERROR(
      INDEX(
        '3. Gezinshuis producten'!E$7:E$9,
        SMALL(
          IF('Hulp (control forms)'!$F$6:$F$8=TRUE,
             ROW('3. Gezinshuis producten'!E$7:E$9)-ROW('3. Gezinshuis producten'!E$7)+1),
          ROW(A33) - SUMPRODUCT(--('Hulp (control forms)'!$G$13:$G$52))
        )
      ),
      IF(
        ROW(A33)
         - SUMPRODUCT(--('Hulp (control forms)'!$G$13:$G$52))
         - SUMPRODUCT(--('Hulp (control forms)'!$F$6:$F$8)) = 1,
        IF('4. Pleegzorg producten'!$M$26&lt;&gt;"",
           "Voltijd",
           IF('4. Pleegzorg producten'!$P$26&lt;&gt;"","Deeltijd","")
        ),
        IF(
          ROW(A33)
           - SUMPRODUCT(--('Hulp (control forms)'!$G$13:$G$52))
           - SUMPRODUCT(--('Hulp (control forms)'!$F$6:$F$8)) = 2,
          IF( AND('4. Pleegzorg producten'!$M$26&lt;&gt;"", '4. Pleegzorg producten'!$P$26&lt;&gt;"" ),
             "Deeltijd",
             ""
          ),
          ""
        )
      )
    )
  ),
"")</f>
        <v/>
      </c>
      <c r="K37" s="364" t="str">
        <f>IF(
  ROW(A33) &lt;= SUMPRODUCT(--('Hulp (control forms)'!$G$13:$G$52)),
      "Algemeen",
  IF(
    ROW(A33) - SUMPRODUCT(--('Hulp (control forms)'!$G$13:$G$52))
      &lt;= SUMPRODUCT(--('Hulp (control forms)'!$F$6:$F$8)),
        "Gezinshuis",
    IF(
      (ROW(A33)
        - SUMPRODUCT(--('Hulp (control forms)'!$G$13:$G$52))
        - SUMPRODUCT(--('Hulp (control forms)'!$F$6:$F$8)))
        &lt;= SUMPRODUCT(--('4. Pleegzorg producten'!$M$26&lt;&gt;"") + --('4. Pleegzorg producten'!$P$26&lt;&gt;"")),
          "Pleegzorg",
          ""
    )
  )
)</f>
        <v/>
      </c>
      <c r="L37" s="21" t="str">
        <f t="array" ref="L37">IF(
  ROW(A33) &lt;= SUMPRODUCT(--('Hulp (control forms)'!$G$13:$G$52)),
      ROW(A33),
  IF(
    ROW(A33) - SUMPRODUCT(--('Hulp (control forms)'!$G$13:$G$52))
      &lt;= SUMPRODUCT(--('Hulp (control forms)'!$F$6:$F$8)),
        SMALL(
    IF('Hulp (control forms)'!$F$6:$F$8,
       ROW('Hulp (control forms)'!$F$6:$F$8)
    ),
    ROW(A33) - SUMPRODUCT(--('Hulp (control forms)'!$G$13:$G$52))
)-5,
    IF(
      (ROW(A33)
        - SUMPRODUCT(--('Hulp (control forms)'!$G$13:$G$52))
        - SUMPRODUCT(--('Hulp (control forms)'!$F$6:$F$8)))
        &lt;= SUMPRODUCT(--('4. Pleegzorg producten'!$M$26&lt;&gt;"") + --('4. Pleegzorg producten'!$P$26&lt;&gt;"")),
        ROW(A33)
        - SUMPRODUCT(--('Hulp (control forms)'!$G$13:$G$52))
        - SUMPRODUCT(--('Hulp (control forms)'!$F$6:$F$8)),
        ""
    )
  )
)</f>
        <v/>
      </c>
      <c r="M37" s="21" t="str">
        <f t="array" ref="M37">IF(
    INDEX($K$5:$K$50, ROW(A33)) = "Algemeen",
        IFERROR(IF('Hulp (control forms)'!$C$7&lt;&gt;TRUE, '1a. Input organisatieniveau'!$I$19, INDEX(
            '1a. Input organisatieniveau'!$L$11:$N$11,
            MATCH(
                INDEX('2. Output kostprijs'!$A:$ZZ,
                    15,
                    4 + 2 * (INDEX($L$5:$L$50, ROW(A33)) - 1)
                ),
                '1a. Input organisatieniveau'!$L$6:$N$6,
                0
            )
        )),""),
    IF(
        INDEX($K$5:$K$50, ROW(A33)) = "Gezinshuis",
            "",
        IF(
            INDEX($K$5:$K$50, ROW(A33)) = "Pleegzorg",
                 "",
            ""
        )
    )
)</f>
        <v/>
      </c>
      <c r="N37" s="21" t="str">
        <f t="array" ref="N37">IF(
    INDEX($K$5:$K$50, ROW(A33)) = "Algemeen",
        IFERROR(IF('Hulp (control forms)'!$C$8&lt;&gt;TRUE, '1a. Input organisatieniveau'!$I$20, INDEX(
            '1a. Input organisatieniveau'!$L$12:$N$12,
            MATCH(
                INDEX('2. Output kostprijs'!$A:$ZZ,
                    15,
                    4 + 2 * (INDEX($L$5:$L$50, ROW(A33)) - 1)
                ),
                '1a. Input organisatieniveau'!$L$6:$N$6,
                0
            )
        )),""),
    IF(
        INDEX($K$5:$K$50, ROW(A33)) = "Gezinshuis",
            INDEX('3. Gezinshuis producten'!$A:$Y, 31,
            9 + 1 * (INDEX($L$5:$L$50, ROW(A33)) - 1)),
        IF(
            INDEX($K$5:$K$50, ROW(A33)) = "Pleegzorg",
                 "",
            ""
        )
    )
)</f>
        <v/>
      </c>
      <c r="O37" s="21" t="str">
        <f t="array" ref="O37">IF(
    INDEX($K$5:$K$50, ROW(A33)) = "Algemeen",
        IFERROR(IF('Hulp (control forms)'!$C$9&lt;&gt;TRUE, '1a. Input organisatieniveau'!$I$21, INDEX(
            '1a. Input organisatieniveau'!$L$13:$N$13,
            MATCH(
                INDEX('2. Output kostprijs'!$A:$ZZ,
                    15,
                    4 + 2 * (INDEX($L$5:$L$50, ROW(A33)) - 1)
                ),
                '1a. Input organisatieniveau'!$L$6:$N$6,
                0
            )
        )),""),
    IF(
        INDEX($K$5:$K$50, ROW(A33)) = "Gezinshuis",
            "",
        IF(
            INDEX($K$5:$K$50, ROW(A33)) = "Pleegzorg",
                 "",
            ""
        )
    )
)</f>
        <v/>
      </c>
      <c r="P37" s="21" t="str">
        <f>IF(
    INDEX($K$5:$K$50, ROW(A33)) = "Algemeen",
        IFERROR(IF('Hulp (control forms)'!$C$10&lt;&gt;TRUE, '1a. Input organisatieniveau'!$I$23, INDEX(
            '1a. Input organisatieniveau'!$L$15:$N$15,
            MATCH(
                INDEX('2. Output kostprijs'!$A:$ZZ,
                    15,
                    4 + 2 * (INDEX($L$5:$L$50, ROW(A33)) - 1)
                ),
                '1a. Input organisatieniveau'!$L$6:$N$6,
                0
            )
        )),""),
    IF(
        INDEX($K$5:$K$50, ROW(A33)) = "Gezinshuis",
            "",
        IF(
            INDEX($K$5:$K$50, ROW(A33)) = "Pleegzorg",
                 "",
            ""
        )
    )
)</f>
        <v/>
      </c>
      <c r="Q37" s="21" t="str">
        <f>IF(
    INDEX($K$5:$K$50, ROW(A33)) = "Algemeen",
        IFERROR(IF('Hulp (control forms)'!$C$11&lt;&gt;TRUE, '1a. Input organisatieniveau'!$I$24, INDEX(
            '1a. Input organisatieniveau'!$L$16:$N$16,
            MATCH(
                INDEX('2. Output kostprijs'!$A:$ZZ,
                    15,
                    4 + 2 * (INDEX($L$5:$L$50, ROW(A33)) - 1)
                ),
                '1a. Input organisatieniveau'!$L$6:$N$6,
                0
            )
        )),""),
    IF(
        INDEX($K$5:$K$50, ROW(A33)) = "Gezinshuis",
            "",
        IF(
            INDEX($K$5:$K$50, ROW(A33)) = "Pleegzorg",
                 "",
            ""
        )
    )
)</f>
        <v/>
      </c>
      <c r="R37" s="21" t="str">
        <f>IF(
    INDEX($K$5:$K$50, ROW(A33)) = "Algemeen",
        IFERROR(IF('Hulp (control forms)'!$C$12&lt;&gt;TRUE, '1a. Input organisatieniveau'!$I$29, INDEX(
            '1a. Input organisatieniveau'!$L$20:$N$20,
            MATCH(
                INDEX('2. Output kostprijs'!$A:$ZZ,
                    15,
                    4 + 2 * (INDEX($L$5:$L$50, ROW(A33)) - 1)
                ),
                '1a. Input organisatieniveau'!$L$6:$N$6,
                0
            )
        )),""),
    IF(
        INDEX($K$5:$K$50, ROW(A33)) = "Gezinshuis",
            "",
        IF(
            INDEX($K$5:$K$50, ROW(A33)) = "Pleegzorg",
                 "",
            ""
        )
    )
)</f>
        <v/>
      </c>
      <c r="S37" s="21" t="str">
        <f>IF(
    INDEX($K$5:$K$50, ROW(A33)) = "Algemeen",
        INDEX('2. Output kostprijs'!$A:$ZZ, 32,
            5 + 2 * (INDEX('Hulp (overig)'!$L$5:$L$50, ROW(A33)) - 1)
        ),
    IF(
        INDEX($K$5:$K$50, ROW(A33)) = "Gezinshuis",
            INDEX('3. Gezinshuis producten'!$A:$Y, 22,
            15 + 2 * (INDEX($L$5:$L$50, ROW(A33)) - 1)),
        IF(
            INDEX($K$5:$K$50, ROW(A33)) = "Pleegzorg",
                 INDEX('4. Pleegzorg producten'!$A:$Y, 24,
            13 + 3 * (INDEX($L$5:$L$50, ROW(A33)) - 1)) +
                 INDEX('4. Pleegzorg producten'!$A:$Y, 25,
            13 + 3 * (INDEX($L$5:$L$50, ROW(A33)) - 1)),
            ""
        )
    )
)</f>
        <v/>
      </c>
      <c r="T37" s="21" t="str">
        <f t="array" ref="T37">IF(
    INDEX($K$5:$K$50, ROW(A33)) = "Algemeen",
        IF(INDEX('2. Output kostprijs'!$A:$ZZ, 15,
            4 + 2 * (INDEX('Hulp (overig)'!$L$5:$L$50, ROW(A33)) - 1)
        )="Ambulant",
        INDEX('2. Output kostprijs'!$A:$ZZ, 47,
            4 + 2 * (INDEX('Hulp (overig)'!$L$5:$L$50, ROW(A33)) - 1)
        ), ""),
    IF(
        INDEX($K$5:$K$50, ROW(A33)) = "Gezinshuis",
            "",
        IF(
            INDEX($K$5:$K$50, ROW(A33)) = "Pleegzorg",
                 "",
            ""
        )
    )
)</f>
        <v/>
      </c>
      <c r="U37" s="21" t="str">
        <f>IF(
    INDEX($K$5:$K$50, ROW(A33)) = "Algemeen",
        IF(INDEX('2. Output kostprijs'!$A:$ZZ, 15,
            4 + 2 * (INDEX('Hulp (overig)'!$L$5:$L$50, ROW(A33)) - 1)
        )="Daghulp",
        INDEX('2. Output kostprijs'!$A:$ZZ, 47,
            4 + 2 * (INDEX('Hulp (overig)'!$L$5:$L$50, ROW(A33)) - 1)
        ), ""),
    IF(
        INDEX($K$5:$K$50, ROW(A33)) = "Gezinshuis",
            "",
        IF(
            INDEX($K$5:$K$50, ROW(A33)) = "Pleegzorg",
                 "",
            ""
        )
    )
)</f>
        <v/>
      </c>
      <c r="V37" s="21" t="str">
        <f>IF(
    INDEX($K$5:$K$50, ROW(A33)) = "Algemeen",
        IF(INDEX('2. Output kostprijs'!$A:$ZZ, 15,
            4 + 2 * (INDEX('Hulp (overig)'!$L$5:$L$50, ROW(A33)) - 1)
        )="Verblijf",
        INDEX('2. Output kostprijs'!$A:$ZZ, 47,
            4 + 2 * (INDEX('Hulp (overig)'!$L$5:$L$50, ROW(A33)) - 1)
        ), ""),
    IF(
        INDEX($K$5:$K$50, ROW(A33)) = "Gezinshuis",
            INDEX('3. Gezinshuis producten'!$A:$Y, 29,
            14 + 2 * (INDEX($L$5:$L$50, ROW(A33)) - 1)),
        IF(
            INDEX($K$5:$K$50, ROW(A33)) = "Pleegzorg",
                 INDEX('4. Pleegzorg producten'!$A:$Y, 26,
            13 + 3 * (INDEX($L$5:$L$50, ROW(A33)) - 1)),
            ""
        )
    )
)</f>
        <v/>
      </c>
      <c r="W37" s="21" t="str">
        <f>IF(
    INDEX($K$5:$K$50, ROW(A33)) = "Algemeen",
        IFERROR(IF('Hulp (control forms)'!$C$12&lt;&gt;TRUE, '1a. Input organisatieniveau'!$I$27, INDEX(
            '1a. Input organisatieniveau'!$L$18:$N$18,
            MATCH(
                INDEX('2. Output kostprijs'!$A:$ZZ,
                    15,
                    4 + 2 * (INDEX($L$5:$L$50, ROW(A33)) - 1)
                ),
                '1a. Input organisatieniveau'!$L$6:$N$6,
                0
            )
        )),""),
    IF(
        INDEX($K$5:$K$50, ROW(A33)) = "Gezinshuis",
            "",
        IF(
            INDEX($K$5:$K$50, ROW(A33)) = "Pleegzorg",
                 "",
            ""
        )
    )
)</f>
        <v/>
      </c>
      <c r="X37" s="21" t="str">
        <f>IF(
    INDEX($K$5:$K$50, ROW(A33)) = "Algemeen",
        IFERROR(IF('Hulp (control forms)'!$C$12&lt;&gt;TRUE, '1a. Input organisatieniveau'!$I$28, INDEX(
            '1a. Input organisatieniveau'!$L$19:$N$19,
            MATCH(
                INDEX('2. Output kostprijs'!$A:$ZZ,
                    15,
                    4 + 2 * (INDEX($L$5:$L$50, ROW(A33)) - 1)
                ),
                '1a. Input organisatieniveau'!$L$6:$N$6,
                0
            )
        )),""),
    IF(
        INDEX($K$5:$K$50, ROW(A33)) = "Gezinshuis",
            "",
        IF(
            INDEX($K$5:$K$50, ROW(A33)) = "Pleegzorg",
                 "",
            ""
        )
    )
)</f>
        <v/>
      </c>
    </row>
    <row r="38" spans="10:24" x14ac:dyDescent="0.45">
      <c r="J38" s="364" t="str">
        <f t="array" ref="J38">IFERROR(
  IF(
    ROW(A34) &lt;= SUMPRODUCT(--('Hulp (control forms)'!$G$13:$G$52)),
      IF(
        INDEX(Initialisatie!B$10:B$49,
          SMALL(
            IF('Hulp (control forms)'!$G$13:$G$52=TRUE,
               ROW(Initialisatie!B$10:B$49)-ROW(Initialisatie!B$10)+1),
            ROW(A34)
          )
        )="","",
        INDEX(Initialisatie!B$10:B$49,
          SMALL(
            IF('Hulp (control forms)'!$G$13:$G$52=TRUE,
               ROW(Initialisatie!B$10:B$49)-ROW(Initialisatie!B$10)+1),
            ROW(A34)
          )
        )
      ),
    IFERROR(
      INDEX(
        '3. Gezinshuis producten'!E$7:E$9,
        SMALL(
          IF('Hulp (control forms)'!$F$6:$F$8=TRUE,
             ROW('3. Gezinshuis producten'!E$7:E$9)-ROW('3. Gezinshuis producten'!E$7)+1),
          ROW(A34) - SUMPRODUCT(--('Hulp (control forms)'!$G$13:$G$52))
        )
      ),
      IF(
        ROW(A34)
         - SUMPRODUCT(--('Hulp (control forms)'!$G$13:$G$52))
         - SUMPRODUCT(--('Hulp (control forms)'!$F$6:$F$8)) = 1,
        IF('4. Pleegzorg producten'!$M$26&lt;&gt;"",
           "Voltijd",
           IF('4. Pleegzorg producten'!$P$26&lt;&gt;"","Deeltijd","")
        ),
        IF(
          ROW(A34)
           - SUMPRODUCT(--('Hulp (control forms)'!$G$13:$G$52))
           - SUMPRODUCT(--('Hulp (control forms)'!$F$6:$F$8)) = 2,
          IF( AND('4. Pleegzorg producten'!$M$26&lt;&gt;"", '4. Pleegzorg producten'!$P$26&lt;&gt;"" ),
             "Deeltijd",
             ""
          ),
          ""
        )
      )
    )
  ),
"")</f>
        <v/>
      </c>
      <c r="K38" s="364" t="str">
        <f>IF(
  ROW(A34) &lt;= SUMPRODUCT(--('Hulp (control forms)'!$G$13:$G$52)),
      "Algemeen",
  IF(
    ROW(A34) - SUMPRODUCT(--('Hulp (control forms)'!$G$13:$G$52))
      &lt;= SUMPRODUCT(--('Hulp (control forms)'!$F$6:$F$8)),
        "Gezinshuis",
    IF(
      (ROW(A34)
        - SUMPRODUCT(--('Hulp (control forms)'!$G$13:$G$52))
        - SUMPRODUCT(--('Hulp (control forms)'!$F$6:$F$8)))
        &lt;= SUMPRODUCT(--('4. Pleegzorg producten'!$M$26&lt;&gt;"") + --('4. Pleegzorg producten'!$P$26&lt;&gt;"")),
          "Pleegzorg",
          ""
    )
  )
)</f>
        <v/>
      </c>
      <c r="L38" s="21" t="str">
        <f t="array" ref="L38">IF(
  ROW(A34) &lt;= SUMPRODUCT(--('Hulp (control forms)'!$G$13:$G$52)),
      ROW(A34),
  IF(
    ROW(A34) - SUMPRODUCT(--('Hulp (control forms)'!$G$13:$G$52))
      &lt;= SUMPRODUCT(--('Hulp (control forms)'!$F$6:$F$8)),
        SMALL(
    IF('Hulp (control forms)'!$F$6:$F$8,
       ROW('Hulp (control forms)'!$F$6:$F$8)
    ),
    ROW(A34) - SUMPRODUCT(--('Hulp (control forms)'!$G$13:$G$52))
)-5,
    IF(
      (ROW(A34)
        - SUMPRODUCT(--('Hulp (control forms)'!$G$13:$G$52))
        - SUMPRODUCT(--('Hulp (control forms)'!$F$6:$F$8)))
        &lt;= SUMPRODUCT(--('4. Pleegzorg producten'!$M$26&lt;&gt;"") + --('4. Pleegzorg producten'!$P$26&lt;&gt;"")),
        ROW(A34)
        - SUMPRODUCT(--('Hulp (control forms)'!$G$13:$G$52))
        - SUMPRODUCT(--('Hulp (control forms)'!$F$6:$F$8)),
        ""
    )
  )
)</f>
        <v/>
      </c>
      <c r="M38" s="21" t="str">
        <f t="array" ref="M38">IF(
    INDEX($K$5:$K$50, ROW(A34)) = "Algemeen",
        IFERROR(IF('Hulp (control forms)'!$C$7&lt;&gt;TRUE, '1a. Input organisatieniveau'!$I$19, INDEX(
            '1a. Input organisatieniveau'!$L$11:$N$11,
            MATCH(
                INDEX('2. Output kostprijs'!$A:$ZZ,
                    15,
                    4 + 2 * (INDEX($L$5:$L$50, ROW(A34)) - 1)
                ),
                '1a. Input organisatieniveau'!$L$6:$N$6,
                0
            )
        )),""),
    IF(
        INDEX($K$5:$K$50, ROW(A34)) = "Gezinshuis",
            "",
        IF(
            INDEX($K$5:$K$50, ROW(A34)) = "Pleegzorg",
                 "",
            ""
        )
    )
)</f>
        <v/>
      </c>
      <c r="N38" s="21" t="str">
        <f t="array" ref="N38">IF(
    INDEX($K$5:$K$50, ROW(A34)) = "Algemeen",
        IFERROR(IF('Hulp (control forms)'!$C$8&lt;&gt;TRUE, '1a. Input organisatieniveau'!$I$20, INDEX(
            '1a. Input organisatieniveau'!$L$12:$N$12,
            MATCH(
                INDEX('2. Output kostprijs'!$A:$ZZ,
                    15,
                    4 + 2 * (INDEX($L$5:$L$50, ROW(A34)) - 1)
                ),
                '1a. Input organisatieniveau'!$L$6:$N$6,
                0
            )
        )),""),
    IF(
        INDEX($K$5:$K$50, ROW(A34)) = "Gezinshuis",
            INDEX('3. Gezinshuis producten'!$A:$Y, 31,
            9 + 1 * (INDEX($L$5:$L$50, ROW(A34)) - 1)),
        IF(
            INDEX($K$5:$K$50, ROW(A34)) = "Pleegzorg",
                 "",
            ""
        )
    )
)</f>
        <v/>
      </c>
      <c r="O38" s="21" t="str">
        <f t="array" ref="O38">IF(
    INDEX($K$5:$K$50, ROW(A34)) = "Algemeen",
        IFERROR(IF('Hulp (control forms)'!$C$9&lt;&gt;TRUE, '1a. Input organisatieniveau'!$I$21, INDEX(
            '1a. Input organisatieniveau'!$L$13:$N$13,
            MATCH(
                INDEX('2. Output kostprijs'!$A:$ZZ,
                    15,
                    4 + 2 * (INDEX($L$5:$L$50, ROW(A34)) - 1)
                ),
                '1a. Input organisatieniveau'!$L$6:$N$6,
                0
            )
        )),""),
    IF(
        INDEX($K$5:$K$50, ROW(A34)) = "Gezinshuis",
            "",
        IF(
            INDEX($K$5:$K$50, ROW(A34)) = "Pleegzorg",
                 "",
            ""
        )
    )
)</f>
        <v/>
      </c>
      <c r="P38" s="21" t="str">
        <f>IF(
    INDEX($K$5:$K$50, ROW(A34)) = "Algemeen",
        IFERROR(IF('Hulp (control forms)'!$C$10&lt;&gt;TRUE, '1a. Input organisatieniveau'!$I$23, INDEX(
            '1a. Input organisatieniveau'!$L$15:$N$15,
            MATCH(
                INDEX('2. Output kostprijs'!$A:$ZZ,
                    15,
                    4 + 2 * (INDEX($L$5:$L$50, ROW(A34)) - 1)
                ),
                '1a. Input organisatieniveau'!$L$6:$N$6,
                0
            )
        )),""),
    IF(
        INDEX($K$5:$K$50, ROW(A34)) = "Gezinshuis",
            "",
        IF(
            INDEX($K$5:$K$50, ROW(A34)) = "Pleegzorg",
                 "",
            ""
        )
    )
)</f>
        <v/>
      </c>
      <c r="Q38" s="21" t="str">
        <f>IF(
    INDEX($K$5:$K$50, ROW(A34)) = "Algemeen",
        IFERROR(IF('Hulp (control forms)'!$C$11&lt;&gt;TRUE, '1a. Input organisatieniveau'!$I$24, INDEX(
            '1a. Input organisatieniveau'!$L$16:$N$16,
            MATCH(
                INDEX('2. Output kostprijs'!$A:$ZZ,
                    15,
                    4 + 2 * (INDEX($L$5:$L$50, ROW(A34)) - 1)
                ),
                '1a. Input organisatieniveau'!$L$6:$N$6,
                0
            )
        )),""),
    IF(
        INDEX($K$5:$K$50, ROW(A34)) = "Gezinshuis",
            "",
        IF(
            INDEX($K$5:$K$50, ROW(A34)) = "Pleegzorg",
                 "",
            ""
        )
    )
)</f>
        <v/>
      </c>
      <c r="R38" s="21" t="str">
        <f>IF(
    INDEX($K$5:$K$50, ROW(A34)) = "Algemeen",
        IFERROR(IF('Hulp (control forms)'!$C$12&lt;&gt;TRUE, '1a. Input organisatieniveau'!$I$29, INDEX(
            '1a. Input organisatieniveau'!$L$20:$N$20,
            MATCH(
                INDEX('2. Output kostprijs'!$A:$ZZ,
                    15,
                    4 + 2 * (INDEX($L$5:$L$50, ROW(A34)) - 1)
                ),
                '1a. Input organisatieniveau'!$L$6:$N$6,
                0
            )
        )),""),
    IF(
        INDEX($K$5:$K$50, ROW(A34)) = "Gezinshuis",
            "",
        IF(
            INDEX($K$5:$K$50, ROW(A34)) = "Pleegzorg",
                 "",
            ""
        )
    )
)</f>
        <v/>
      </c>
      <c r="S38" s="21" t="str">
        <f>IF(
    INDEX($K$5:$K$50, ROW(A34)) = "Algemeen",
        INDEX('2. Output kostprijs'!$A:$ZZ, 32,
            5 + 2 * (INDEX('Hulp (overig)'!$L$5:$L$50, ROW(A34)) - 1)
        ),
    IF(
        INDEX($K$5:$K$50, ROW(A34)) = "Gezinshuis",
            INDEX('3. Gezinshuis producten'!$A:$Y, 22,
            15 + 2 * (INDEX($L$5:$L$50, ROW(A34)) - 1)),
        IF(
            INDEX($K$5:$K$50, ROW(A34)) = "Pleegzorg",
                 INDEX('4. Pleegzorg producten'!$A:$Y, 24,
            13 + 3 * (INDEX($L$5:$L$50, ROW(A34)) - 1)) +
                 INDEX('4. Pleegzorg producten'!$A:$Y, 25,
            13 + 3 * (INDEX($L$5:$L$50, ROW(A34)) - 1)),
            ""
        )
    )
)</f>
        <v/>
      </c>
      <c r="T38" s="21" t="str">
        <f t="array" ref="T38">IF(
    INDEX($K$5:$K$50, ROW(A34)) = "Algemeen",
        IF(INDEX('2. Output kostprijs'!$A:$ZZ, 15,
            4 + 2 * (INDEX('Hulp (overig)'!$L$5:$L$50, ROW(A34)) - 1)
        )="Ambulant",
        INDEX('2. Output kostprijs'!$A:$ZZ, 47,
            4 + 2 * (INDEX('Hulp (overig)'!$L$5:$L$50, ROW(A34)) - 1)
        ), ""),
    IF(
        INDEX($K$5:$K$50, ROW(A34)) = "Gezinshuis",
            "",
        IF(
            INDEX($K$5:$K$50, ROW(A34)) = "Pleegzorg",
                 "",
            ""
        )
    )
)</f>
        <v/>
      </c>
      <c r="U38" s="21" t="str">
        <f>IF(
    INDEX($K$5:$K$50, ROW(A34)) = "Algemeen",
        IF(INDEX('2. Output kostprijs'!$A:$ZZ, 15,
            4 + 2 * (INDEX('Hulp (overig)'!$L$5:$L$50, ROW(A34)) - 1)
        )="Daghulp",
        INDEX('2. Output kostprijs'!$A:$ZZ, 47,
            4 + 2 * (INDEX('Hulp (overig)'!$L$5:$L$50, ROW(A34)) - 1)
        ), ""),
    IF(
        INDEX($K$5:$K$50, ROW(A34)) = "Gezinshuis",
            "",
        IF(
            INDEX($K$5:$K$50, ROW(A34)) = "Pleegzorg",
                 "",
            ""
        )
    )
)</f>
        <v/>
      </c>
      <c r="V38" s="21" t="str">
        <f>IF(
    INDEX($K$5:$K$50, ROW(A34)) = "Algemeen",
        IF(INDEX('2. Output kostprijs'!$A:$ZZ, 15,
            4 + 2 * (INDEX('Hulp (overig)'!$L$5:$L$50, ROW(A34)) - 1)
        )="Verblijf",
        INDEX('2. Output kostprijs'!$A:$ZZ, 47,
            4 + 2 * (INDEX('Hulp (overig)'!$L$5:$L$50, ROW(A34)) - 1)
        ), ""),
    IF(
        INDEX($K$5:$K$50, ROW(A34)) = "Gezinshuis",
            INDEX('3. Gezinshuis producten'!$A:$Y, 29,
            14 + 2 * (INDEX($L$5:$L$50, ROW(A34)) - 1)),
        IF(
            INDEX($K$5:$K$50, ROW(A34)) = "Pleegzorg",
                 INDEX('4. Pleegzorg producten'!$A:$Y, 26,
            13 + 3 * (INDEX($L$5:$L$50, ROW(A34)) - 1)),
            ""
        )
    )
)</f>
        <v/>
      </c>
      <c r="W38" s="21" t="str">
        <f>IF(
    INDEX($K$5:$K$50, ROW(A34)) = "Algemeen",
        IFERROR(IF('Hulp (control forms)'!$C$12&lt;&gt;TRUE, '1a. Input organisatieniveau'!$I$27, INDEX(
            '1a. Input organisatieniveau'!$L$18:$N$18,
            MATCH(
                INDEX('2. Output kostprijs'!$A:$ZZ,
                    15,
                    4 + 2 * (INDEX($L$5:$L$50, ROW(A34)) - 1)
                ),
                '1a. Input organisatieniveau'!$L$6:$N$6,
                0
            )
        )),""),
    IF(
        INDEX($K$5:$K$50, ROW(A34)) = "Gezinshuis",
            "",
        IF(
            INDEX($K$5:$K$50, ROW(A34)) = "Pleegzorg",
                 "",
            ""
        )
    )
)</f>
        <v/>
      </c>
      <c r="X38" s="21" t="str">
        <f>IF(
    INDEX($K$5:$K$50, ROW(A34)) = "Algemeen",
        IFERROR(IF('Hulp (control forms)'!$C$12&lt;&gt;TRUE, '1a. Input organisatieniveau'!$I$28, INDEX(
            '1a. Input organisatieniveau'!$L$19:$N$19,
            MATCH(
                INDEX('2. Output kostprijs'!$A:$ZZ,
                    15,
                    4 + 2 * (INDEX($L$5:$L$50, ROW(A34)) - 1)
                ),
                '1a. Input organisatieniveau'!$L$6:$N$6,
                0
            )
        )),""),
    IF(
        INDEX($K$5:$K$50, ROW(A34)) = "Gezinshuis",
            "",
        IF(
            INDEX($K$5:$K$50, ROW(A34)) = "Pleegzorg",
                 "",
            ""
        )
    )
)</f>
        <v/>
      </c>
    </row>
    <row r="39" spans="10:24" x14ac:dyDescent="0.45">
      <c r="J39" s="364" t="str">
        <f t="array" ref="J39">IFERROR(
  IF(
    ROW(A35) &lt;= SUMPRODUCT(--('Hulp (control forms)'!$G$13:$G$52)),
      IF(
        INDEX(Initialisatie!B$10:B$49,
          SMALL(
            IF('Hulp (control forms)'!$G$13:$G$52=TRUE,
               ROW(Initialisatie!B$10:B$49)-ROW(Initialisatie!B$10)+1),
            ROW(A35)
          )
        )="","",
        INDEX(Initialisatie!B$10:B$49,
          SMALL(
            IF('Hulp (control forms)'!$G$13:$G$52=TRUE,
               ROW(Initialisatie!B$10:B$49)-ROW(Initialisatie!B$10)+1),
            ROW(A35)
          )
        )
      ),
    IFERROR(
      INDEX(
        '3. Gezinshuis producten'!E$7:E$9,
        SMALL(
          IF('Hulp (control forms)'!$F$6:$F$8=TRUE,
             ROW('3. Gezinshuis producten'!E$7:E$9)-ROW('3. Gezinshuis producten'!E$7)+1),
          ROW(A35) - SUMPRODUCT(--('Hulp (control forms)'!$G$13:$G$52))
        )
      ),
      IF(
        ROW(A35)
         - SUMPRODUCT(--('Hulp (control forms)'!$G$13:$G$52))
         - SUMPRODUCT(--('Hulp (control forms)'!$F$6:$F$8)) = 1,
        IF('4. Pleegzorg producten'!$M$26&lt;&gt;"",
           "Voltijd",
           IF('4. Pleegzorg producten'!$P$26&lt;&gt;"","Deeltijd","")
        ),
        IF(
          ROW(A35)
           - SUMPRODUCT(--('Hulp (control forms)'!$G$13:$G$52))
           - SUMPRODUCT(--('Hulp (control forms)'!$F$6:$F$8)) = 2,
          IF( AND('4. Pleegzorg producten'!$M$26&lt;&gt;"", '4. Pleegzorg producten'!$P$26&lt;&gt;"" ),
             "Deeltijd",
             ""
          ),
          ""
        )
      )
    )
  ),
"")</f>
        <v/>
      </c>
      <c r="K39" s="364" t="str">
        <f>IF(
  ROW(A35) &lt;= SUMPRODUCT(--('Hulp (control forms)'!$G$13:$G$52)),
      "Algemeen",
  IF(
    ROW(A35) - SUMPRODUCT(--('Hulp (control forms)'!$G$13:$G$52))
      &lt;= SUMPRODUCT(--('Hulp (control forms)'!$F$6:$F$8)),
        "Gezinshuis",
    IF(
      (ROW(A35)
        - SUMPRODUCT(--('Hulp (control forms)'!$G$13:$G$52))
        - SUMPRODUCT(--('Hulp (control forms)'!$F$6:$F$8)))
        &lt;= SUMPRODUCT(--('4. Pleegzorg producten'!$M$26&lt;&gt;"") + --('4. Pleegzorg producten'!$P$26&lt;&gt;"")),
          "Pleegzorg",
          ""
    )
  )
)</f>
        <v/>
      </c>
      <c r="L39" s="21" t="str">
        <f t="array" ref="L39">IF(
  ROW(A35) &lt;= SUMPRODUCT(--('Hulp (control forms)'!$G$13:$G$52)),
      ROW(A35),
  IF(
    ROW(A35) - SUMPRODUCT(--('Hulp (control forms)'!$G$13:$G$52))
      &lt;= SUMPRODUCT(--('Hulp (control forms)'!$F$6:$F$8)),
        SMALL(
    IF('Hulp (control forms)'!$F$6:$F$8,
       ROW('Hulp (control forms)'!$F$6:$F$8)
    ),
    ROW(A35) - SUMPRODUCT(--('Hulp (control forms)'!$G$13:$G$52))
)-5,
    IF(
      (ROW(A35)
        - SUMPRODUCT(--('Hulp (control forms)'!$G$13:$G$52))
        - SUMPRODUCT(--('Hulp (control forms)'!$F$6:$F$8)))
        &lt;= SUMPRODUCT(--('4. Pleegzorg producten'!$M$26&lt;&gt;"") + --('4. Pleegzorg producten'!$P$26&lt;&gt;"")),
        ROW(A35)
        - SUMPRODUCT(--('Hulp (control forms)'!$G$13:$G$52))
        - SUMPRODUCT(--('Hulp (control forms)'!$F$6:$F$8)),
        ""
    )
  )
)</f>
        <v/>
      </c>
      <c r="M39" s="21" t="str">
        <f t="array" ref="M39">IF(
    INDEX($K$5:$K$50, ROW(A35)) = "Algemeen",
        IFERROR(IF('Hulp (control forms)'!$C$7&lt;&gt;TRUE, '1a. Input organisatieniveau'!$I$19, INDEX(
            '1a. Input organisatieniveau'!$L$11:$N$11,
            MATCH(
                INDEX('2. Output kostprijs'!$A:$ZZ,
                    15,
                    4 + 2 * (INDEX($L$5:$L$50, ROW(A35)) - 1)
                ),
                '1a. Input organisatieniveau'!$L$6:$N$6,
                0
            )
        )),""),
    IF(
        INDEX($K$5:$K$50, ROW(A35)) = "Gezinshuis",
            "",
        IF(
            INDEX($K$5:$K$50, ROW(A35)) = "Pleegzorg",
                 "",
            ""
        )
    )
)</f>
        <v/>
      </c>
      <c r="N39" s="21" t="str">
        <f t="array" ref="N39">IF(
    INDEX($K$5:$K$50, ROW(A35)) = "Algemeen",
        IFERROR(IF('Hulp (control forms)'!$C$8&lt;&gt;TRUE, '1a. Input organisatieniveau'!$I$20, INDEX(
            '1a. Input organisatieniveau'!$L$12:$N$12,
            MATCH(
                INDEX('2. Output kostprijs'!$A:$ZZ,
                    15,
                    4 + 2 * (INDEX($L$5:$L$50, ROW(A35)) - 1)
                ),
                '1a. Input organisatieniveau'!$L$6:$N$6,
                0
            )
        )),""),
    IF(
        INDEX($K$5:$K$50, ROW(A35)) = "Gezinshuis",
            INDEX('3. Gezinshuis producten'!$A:$Y, 31,
            9 + 1 * (INDEX($L$5:$L$50, ROW(A35)) - 1)),
        IF(
            INDEX($K$5:$K$50, ROW(A35)) = "Pleegzorg",
                 "",
            ""
        )
    )
)</f>
        <v/>
      </c>
      <c r="O39" s="21" t="str">
        <f t="array" ref="O39">IF(
    INDEX($K$5:$K$50, ROW(A35)) = "Algemeen",
        IFERROR(IF('Hulp (control forms)'!$C$9&lt;&gt;TRUE, '1a. Input organisatieniveau'!$I$21, INDEX(
            '1a. Input organisatieniveau'!$L$13:$N$13,
            MATCH(
                INDEX('2. Output kostprijs'!$A:$ZZ,
                    15,
                    4 + 2 * (INDEX($L$5:$L$50, ROW(A35)) - 1)
                ),
                '1a. Input organisatieniveau'!$L$6:$N$6,
                0
            )
        )),""),
    IF(
        INDEX($K$5:$K$50, ROW(A35)) = "Gezinshuis",
            "",
        IF(
            INDEX($K$5:$K$50, ROW(A35)) = "Pleegzorg",
                 "",
            ""
        )
    )
)</f>
        <v/>
      </c>
      <c r="P39" s="21" t="str">
        <f>IF(
    INDEX($K$5:$K$50, ROW(A35)) = "Algemeen",
        IFERROR(IF('Hulp (control forms)'!$C$10&lt;&gt;TRUE, '1a. Input organisatieniveau'!$I$23, INDEX(
            '1a. Input organisatieniveau'!$L$15:$N$15,
            MATCH(
                INDEX('2. Output kostprijs'!$A:$ZZ,
                    15,
                    4 + 2 * (INDEX($L$5:$L$50, ROW(A35)) - 1)
                ),
                '1a. Input organisatieniveau'!$L$6:$N$6,
                0
            )
        )),""),
    IF(
        INDEX($K$5:$K$50, ROW(A35)) = "Gezinshuis",
            "",
        IF(
            INDEX($K$5:$K$50, ROW(A35)) = "Pleegzorg",
                 "",
            ""
        )
    )
)</f>
        <v/>
      </c>
      <c r="Q39" s="21" t="str">
        <f>IF(
    INDEX($K$5:$K$50, ROW(A35)) = "Algemeen",
        IFERROR(IF('Hulp (control forms)'!$C$11&lt;&gt;TRUE, '1a. Input organisatieniveau'!$I$24, INDEX(
            '1a. Input organisatieniveau'!$L$16:$N$16,
            MATCH(
                INDEX('2. Output kostprijs'!$A:$ZZ,
                    15,
                    4 + 2 * (INDEX($L$5:$L$50, ROW(A35)) - 1)
                ),
                '1a. Input organisatieniveau'!$L$6:$N$6,
                0
            )
        )),""),
    IF(
        INDEX($K$5:$K$50, ROW(A35)) = "Gezinshuis",
            "",
        IF(
            INDEX($K$5:$K$50, ROW(A35)) = "Pleegzorg",
                 "",
            ""
        )
    )
)</f>
        <v/>
      </c>
      <c r="R39" s="21" t="str">
        <f>IF(
    INDEX($K$5:$K$50, ROW(A35)) = "Algemeen",
        IFERROR(IF('Hulp (control forms)'!$C$12&lt;&gt;TRUE, '1a. Input organisatieniveau'!$I$29, INDEX(
            '1a. Input organisatieniveau'!$L$20:$N$20,
            MATCH(
                INDEX('2. Output kostprijs'!$A:$ZZ,
                    15,
                    4 + 2 * (INDEX($L$5:$L$50, ROW(A35)) - 1)
                ),
                '1a. Input organisatieniveau'!$L$6:$N$6,
                0
            )
        )),""),
    IF(
        INDEX($K$5:$K$50, ROW(A35)) = "Gezinshuis",
            "",
        IF(
            INDEX($K$5:$K$50, ROW(A35)) = "Pleegzorg",
                 "",
            ""
        )
    )
)</f>
        <v/>
      </c>
      <c r="S39" s="21" t="str">
        <f>IF(
    INDEX($K$5:$K$50, ROW(A35)) = "Algemeen",
        INDEX('2. Output kostprijs'!$A:$ZZ, 32,
            5 + 2 * (INDEX('Hulp (overig)'!$L$5:$L$50, ROW(A35)) - 1)
        ),
    IF(
        INDEX($K$5:$K$50, ROW(A35)) = "Gezinshuis",
            INDEX('3. Gezinshuis producten'!$A:$Y, 22,
            15 + 2 * (INDEX($L$5:$L$50, ROW(A35)) - 1)),
        IF(
            INDEX($K$5:$K$50, ROW(A35)) = "Pleegzorg",
                 INDEX('4. Pleegzorg producten'!$A:$Y, 24,
            13 + 3 * (INDEX($L$5:$L$50, ROW(A35)) - 1)) +
                 INDEX('4. Pleegzorg producten'!$A:$Y, 25,
            13 + 3 * (INDEX($L$5:$L$50, ROW(A35)) - 1)),
            ""
        )
    )
)</f>
        <v/>
      </c>
      <c r="T39" s="21" t="str">
        <f t="array" ref="T39">IF(
    INDEX($K$5:$K$50, ROW(A35)) = "Algemeen",
        IF(INDEX('2. Output kostprijs'!$A:$ZZ, 15,
            4 + 2 * (INDEX('Hulp (overig)'!$L$5:$L$50, ROW(A35)) - 1)
        )="Ambulant",
        INDEX('2. Output kostprijs'!$A:$ZZ, 47,
            4 + 2 * (INDEX('Hulp (overig)'!$L$5:$L$50, ROW(A35)) - 1)
        ), ""),
    IF(
        INDEX($K$5:$K$50, ROW(A35)) = "Gezinshuis",
            "",
        IF(
            INDEX($K$5:$K$50, ROW(A35)) = "Pleegzorg",
                 "",
            ""
        )
    )
)</f>
        <v/>
      </c>
      <c r="U39" s="21" t="str">
        <f>IF(
    INDEX($K$5:$K$50, ROW(A35)) = "Algemeen",
        IF(INDEX('2. Output kostprijs'!$A:$ZZ, 15,
            4 + 2 * (INDEX('Hulp (overig)'!$L$5:$L$50, ROW(A35)) - 1)
        )="Daghulp",
        INDEX('2. Output kostprijs'!$A:$ZZ, 47,
            4 + 2 * (INDEX('Hulp (overig)'!$L$5:$L$50, ROW(A35)) - 1)
        ), ""),
    IF(
        INDEX($K$5:$K$50, ROW(A35)) = "Gezinshuis",
            "",
        IF(
            INDEX($K$5:$K$50, ROW(A35)) = "Pleegzorg",
                 "",
            ""
        )
    )
)</f>
        <v/>
      </c>
      <c r="V39" s="21" t="str">
        <f>IF(
    INDEX($K$5:$K$50, ROW(A35)) = "Algemeen",
        IF(INDEX('2. Output kostprijs'!$A:$ZZ, 15,
            4 + 2 * (INDEX('Hulp (overig)'!$L$5:$L$50, ROW(A35)) - 1)
        )="Verblijf",
        INDEX('2. Output kostprijs'!$A:$ZZ, 47,
            4 + 2 * (INDEX('Hulp (overig)'!$L$5:$L$50, ROW(A35)) - 1)
        ), ""),
    IF(
        INDEX($K$5:$K$50, ROW(A35)) = "Gezinshuis",
            INDEX('3. Gezinshuis producten'!$A:$Y, 29,
            14 + 2 * (INDEX($L$5:$L$50, ROW(A35)) - 1)),
        IF(
            INDEX($K$5:$K$50, ROW(A35)) = "Pleegzorg",
                 INDEX('4. Pleegzorg producten'!$A:$Y, 26,
            13 + 3 * (INDEX($L$5:$L$50, ROW(A35)) - 1)),
            ""
        )
    )
)</f>
        <v/>
      </c>
      <c r="W39" s="21" t="str">
        <f>IF(
    INDEX($K$5:$K$50, ROW(A35)) = "Algemeen",
        IFERROR(IF('Hulp (control forms)'!$C$12&lt;&gt;TRUE, '1a. Input organisatieniveau'!$I$27, INDEX(
            '1a. Input organisatieniveau'!$L$18:$N$18,
            MATCH(
                INDEX('2. Output kostprijs'!$A:$ZZ,
                    15,
                    4 + 2 * (INDEX($L$5:$L$50, ROW(A35)) - 1)
                ),
                '1a. Input organisatieniveau'!$L$6:$N$6,
                0
            )
        )),""),
    IF(
        INDEX($K$5:$K$50, ROW(A35)) = "Gezinshuis",
            "",
        IF(
            INDEX($K$5:$K$50, ROW(A35)) = "Pleegzorg",
                 "",
            ""
        )
    )
)</f>
        <v/>
      </c>
      <c r="X39" s="21" t="str">
        <f>IF(
    INDEX($K$5:$K$50, ROW(A35)) = "Algemeen",
        IFERROR(IF('Hulp (control forms)'!$C$12&lt;&gt;TRUE, '1a. Input organisatieniveau'!$I$28, INDEX(
            '1a. Input organisatieniveau'!$L$19:$N$19,
            MATCH(
                INDEX('2. Output kostprijs'!$A:$ZZ,
                    15,
                    4 + 2 * (INDEX($L$5:$L$50, ROW(A35)) - 1)
                ),
                '1a. Input organisatieniveau'!$L$6:$N$6,
                0
            )
        )),""),
    IF(
        INDEX($K$5:$K$50, ROW(A35)) = "Gezinshuis",
            "",
        IF(
            INDEX($K$5:$K$50, ROW(A35)) = "Pleegzorg",
                 "",
            ""
        )
    )
)</f>
        <v/>
      </c>
    </row>
    <row r="40" spans="10:24" x14ac:dyDescent="0.45">
      <c r="J40" s="364" t="str">
        <f t="array" ref="J40">IFERROR(
  IF(
    ROW(A36) &lt;= SUMPRODUCT(--('Hulp (control forms)'!$G$13:$G$52)),
      IF(
        INDEX(Initialisatie!B$10:B$49,
          SMALL(
            IF('Hulp (control forms)'!$G$13:$G$52=TRUE,
               ROW(Initialisatie!B$10:B$49)-ROW(Initialisatie!B$10)+1),
            ROW(A36)
          )
        )="","",
        INDEX(Initialisatie!B$10:B$49,
          SMALL(
            IF('Hulp (control forms)'!$G$13:$G$52=TRUE,
               ROW(Initialisatie!B$10:B$49)-ROW(Initialisatie!B$10)+1),
            ROW(A36)
          )
        )
      ),
    IFERROR(
      INDEX(
        '3. Gezinshuis producten'!E$7:E$9,
        SMALL(
          IF('Hulp (control forms)'!$F$6:$F$8=TRUE,
             ROW('3. Gezinshuis producten'!E$7:E$9)-ROW('3. Gezinshuis producten'!E$7)+1),
          ROW(A36) - SUMPRODUCT(--('Hulp (control forms)'!$G$13:$G$52))
        )
      ),
      IF(
        ROW(A36)
         - SUMPRODUCT(--('Hulp (control forms)'!$G$13:$G$52))
         - SUMPRODUCT(--('Hulp (control forms)'!$F$6:$F$8)) = 1,
        IF('4. Pleegzorg producten'!$M$26&lt;&gt;"",
           "Voltijd",
           IF('4. Pleegzorg producten'!$P$26&lt;&gt;"","Deeltijd","")
        ),
        IF(
          ROW(A36)
           - SUMPRODUCT(--('Hulp (control forms)'!$G$13:$G$52))
           - SUMPRODUCT(--('Hulp (control forms)'!$F$6:$F$8)) = 2,
          IF( AND('4. Pleegzorg producten'!$M$26&lt;&gt;"", '4. Pleegzorg producten'!$P$26&lt;&gt;"" ),
             "Deeltijd",
             ""
          ),
          ""
        )
      )
    )
  ),
"")</f>
        <v/>
      </c>
      <c r="K40" s="364" t="str">
        <f>IF(
  ROW(A36) &lt;= SUMPRODUCT(--('Hulp (control forms)'!$G$13:$G$52)),
      "Algemeen",
  IF(
    ROW(A36) - SUMPRODUCT(--('Hulp (control forms)'!$G$13:$G$52))
      &lt;= SUMPRODUCT(--('Hulp (control forms)'!$F$6:$F$8)),
        "Gezinshuis",
    IF(
      (ROW(A36)
        - SUMPRODUCT(--('Hulp (control forms)'!$G$13:$G$52))
        - SUMPRODUCT(--('Hulp (control forms)'!$F$6:$F$8)))
        &lt;= SUMPRODUCT(--('4. Pleegzorg producten'!$M$26&lt;&gt;"") + --('4. Pleegzorg producten'!$P$26&lt;&gt;"")),
          "Pleegzorg",
          ""
    )
  )
)</f>
        <v/>
      </c>
      <c r="L40" s="21" t="str">
        <f t="array" ref="L40">IF(
  ROW(A36) &lt;= SUMPRODUCT(--('Hulp (control forms)'!$G$13:$G$52)),
      ROW(A36),
  IF(
    ROW(A36) - SUMPRODUCT(--('Hulp (control forms)'!$G$13:$G$52))
      &lt;= SUMPRODUCT(--('Hulp (control forms)'!$F$6:$F$8)),
        SMALL(
    IF('Hulp (control forms)'!$F$6:$F$8,
       ROW('Hulp (control forms)'!$F$6:$F$8)
    ),
    ROW(A36) - SUMPRODUCT(--('Hulp (control forms)'!$G$13:$G$52))
)-5,
    IF(
      (ROW(A36)
        - SUMPRODUCT(--('Hulp (control forms)'!$G$13:$G$52))
        - SUMPRODUCT(--('Hulp (control forms)'!$F$6:$F$8)))
        &lt;= SUMPRODUCT(--('4. Pleegzorg producten'!$M$26&lt;&gt;"") + --('4. Pleegzorg producten'!$P$26&lt;&gt;"")),
        ROW(A36)
        - SUMPRODUCT(--('Hulp (control forms)'!$G$13:$G$52))
        - SUMPRODUCT(--('Hulp (control forms)'!$F$6:$F$8)),
        ""
    )
  )
)</f>
        <v/>
      </c>
      <c r="M40" s="21" t="str">
        <f t="array" ref="M40">IF(
    INDEX($K$5:$K$50, ROW(A36)) = "Algemeen",
        IFERROR(IF('Hulp (control forms)'!$C$7&lt;&gt;TRUE, '1a. Input organisatieniveau'!$I$19, INDEX(
            '1a. Input organisatieniveau'!$L$11:$N$11,
            MATCH(
                INDEX('2. Output kostprijs'!$A:$ZZ,
                    15,
                    4 + 2 * (INDEX($L$5:$L$50, ROW(A36)) - 1)
                ),
                '1a. Input organisatieniveau'!$L$6:$N$6,
                0
            )
        )),""),
    IF(
        INDEX($K$5:$K$50, ROW(A36)) = "Gezinshuis",
            "",
        IF(
            INDEX($K$5:$K$50, ROW(A36)) = "Pleegzorg",
                 "",
            ""
        )
    )
)</f>
        <v/>
      </c>
      <c r="N40" s="21" t="str">
        <f t="array" ref="N40">IF(
    INDEX($K$5:$K$50, ROW(A36)) = "Algemeen",
        IFERROR(IF('Hulp (control forms)'!$C$8&lt;&gt;TRUE, '1a. Input organisatieniveau'!$I$20, INDEX(
            '1a. Input organisatieniveau'!$L$12:$N$12,
            MATCH(
                INDEX('2. Output kostprijs'!$A:$ZZ,
                    15,
                    4 + 2 * (INDEX($L$5:$L$50, ROW(A36)) - 1)
                ),
                '1a. Input organisatieniveau'!$L$6:$N$6,
                0
            )
        )),""),
    IF(
        INDEX($K$5:$K$50, ROW(A36)) = "Gezinshuis",
            INDEX('3. Gezinshuis producten'!$A:$Y, 31,
            9 + 1 * (INDEX($L$5:$L$50, ROW(A36)) - 1)),
        IF(
            INDEX($K$5:$K$50, ROW(A36)) = "Pleegzorg",
                 "",
            ""
        )
    )
)</f>
        <v/>
      </c>
      <c r="O40" s="21" t="str">
        <f t="array" ref="O40">IF(
    INDEX($K$5:$K$50, ROW(A36)) = "Algemeen",
        IFERROR(IF('Hulp (control forms)'!$C$9&lt;&gt;TRUE, '1a. Input organisatieniveau'!$I$21, INDEX(
            '1a. Input organisatieniveau'!$L$13:$N$13,
            MATCH(
                INDEX('2. Output kostprijs'!$A:$ZZ,
                    15,
                    4 + 2 * (INDEX($L$5:$L$50, ROW(A36)) - 1)
                ),
                '1a. Input organisatieniveau'!$L$6:$N$6,
                0
            )
        )),""),
    IF(
        INDEX($K$5:$K$50, ROW(A36)) = "Gezinshuis",
            "",
        IF(
            INDEX($K$5:$K$50, ROW(A36)) = "Pleegzorg",
                 "",
            ""
        )
    )
)</f>
        <v/>
      </c>
      <c r="P40" s="21" t="str">
        <f>IF(
    INDEX($K$5:$K$50, ROW(A36)) = "Algemeen",
        IFERROR(IF('Hulp (control forms)'!$C$10&lt;&gt;TRUE, '1a. Input organisatieniveau'!$I$23, INDEX(
            '1a. Input organisatieniveau'!$L$15:$N$15,
            MATCH(
                INDEX('2. Output kostprijs'!$A:$ZZ,
                    15,
                    4 + 2 * (INDEX($L$5:$L$50, ROW(A36)) - 1)
                ),
                '1a. Input organisatieniveau'!$L$6:$N$6,
                0
            )
        )),""),
    IF(
        INDEX($K$5:$K$50, ROW(A36)) = "Gezinshuis",
            "",
        IF(
            INDEX($K$5:$K$50, ROW(A36)) = "Pleegzorg",
                 "",
            ""
        )
    )
)</f>
        <v/>
      </c>
      <c r="Q40" s="21" t="str">
        <f>IF(
    INDEX($K$5:$K$50, ROW(A36)) = "Algemeen",
        IFERROR(IF('Hulp (control forms)'!$C$11&lt;&gt;TRUE, '1a. Input organisatieniveau'!$I$24, INDEX(
            '1a. Input organisatieniveau'!$L$16:$N$16,
            MATCH(
                INDEX('2. Output kostprijs'!$A:$ZZ,
                    15,
                    4 + 2 * (INDEX($L$5:$L$50, ROW(A36)) - 1)
                ),
                '1a. Input organisatieniveau'!$L$6:$N$6,
                0
            )
        )),""),
    IF(
        INDEX($K$5:$K$50, ROW(A36)) = "Gezinshuis",
            "",
        IF(
            INDEX($K$5:$K$50, ROW(A36)) = "Pleegzorg",
                 "",
            ""
        )
    )
)</f>
        <v/>
      </c>
      <c r="R40" s="21" t="str">
        <f>IF(
    INDEX($K$5:$K$50, ROW(A36)) = "Algemeen",
        IFERROR(IF('Hulp (control forms)'!$C$12&lt;&gt;TRUE, '1a. Input organisatieniveau'!$I$29, INDEX(
            '1a. Input organisatieniveau'!$L$20:$N$20,
            MATCH(
                INDEX('2. Output kostprijs'!$A:$ZZ,
                    15,
                    4 + 2 * (INDEX($L$5:$L$50, ROW(A36)) - 1)
                ),
                '1a. Input organisatieniveau'!$L$6:$N$6,
                0
            )
        )),""),
    IF(
        INDEX($K$5:$K$50, ROW(A36)) = "Gezinshuis",
            "",
        IF(
            INDEX($K$5:$K$50, ROW(A36)) = "Pleegzorg",
                 "",
            ""
        )
    )
)</f>
        <v/>
      </c>
      <c r="S40" s="21" t="str">
        <f>IF(
    INDEX($K$5:$K$50, ROW(A36)) = "Algemeen",
        INDEX('2. Output kostprijs'!$A:$ZZ, 32,
            5 + 2 * (INDEX('Hulp (overig)'!$L$5:$L$50, ROW(A36)) - 1)
        ),
    IF(
        INDEX($K$5:$K$50, ROW(A36)) = "Gezinshuis",
            INDEX('3. Gezinshuis producten'!$A:$Y, 22,
            15 + 2 * (INDEX($L$5:$L$50, ROW(A36)) - 1)),
        IF(
            INDEX($K$5:$K$50, ROW(A36)) = "Pleegzorg",
                 INDEX('4. Pleegzorg producten'!$A:$Y, 24,
            13 + 3 * (INDEX($L$5:$L$50, ROW(A36)) - 1)) +
                 INDEX('4. Pleegzorg producten'!$A:$Y, 25,
            13 + 3 * (INDEX($L$5:$L$50, ROW(A36)) - 1)),
            ""
        )
    )
)</f>
        <v/>
      </c>
      <c r="T40" s="21" t="str">
        <f t="array" ref="T40">IF(
    INDEX($K$5:$K$50, ROW(A36)) = "Algemeen",
        IF(INDEX('2. Output kostprijs'!$A:$ZZ, 15,
            4 + 2 * (INDEX('Hulp (overig)'!$L$5:$L$50, ROW(A36)) - 1)
        )="Ambulant",
        INDEX('2. Output kostprijs'!$A:$ZZ, 47,
            4 + 2 * (INDEX('Hulp (overig)'!$L$5:$L$50, ROW(A36)) - 1)
        ), ""),
    IF(
        INDEX($K$5:$K$50, ROW(A36)) = "Gezinshuis",
            "",
        IF(
            INDEX($K$5:$K$50, ROW(A36)) = "Pleegzorg",
                 "",
            ""
        )
    )
)</f>
        <v/>
      </c>
      <c r="U40" s="21" t="str">
        <f>IF(
    INDEX($K$5:$K$50, ROW(A36)) = "Algemeen",
        IF(INDEX('2. Output kostprijs'!$A:$ZZ, 15,
            4 + 2 * (INDEX('Hulp (overig)'!$L$5:$L$50, ROW(A36)) - 1)
        )="Daghulp",
        INDEX('2. Output kostprijs'!$A:$ZZ, 47,
            4 + 2 * (INDEX('Hulp (overig)'!$L$5:$L$50, ROW(A36)) - 1)
        ), ""),
    IF(
        INDEX($K$5:$K$50, ROW(A36)) = "Gezinshuis",
            "",
        IF(
            INDEX($K$5:$K$50, ROW(A36)) = "Pleegzorg",
                 "",
            ""
        )
    )
)</f>
        <v/>
      </c>
      <c r="V40" s="21" t="str">
        <f>IF(
    INDEX($K$5:$K$50, ROW(A36)) = "Algemeen",
        IF(INDEX('2. Output kostprijs'!$A:$ZZ, 15,
            4 + 2 * (INDEX('Hulp (overig)'!$L$5:$L$50, ROW(A36)) - 1)
        )="Verblijf",
        INDEX('2. Output kostprijs'!$A:$ZZ, 47,
            4 + 2 * (INDEX('Hulp (overig)'!$L$5:$L$50, ROW(A36)) - 1)
        ), ""),
    IF(
        INDEX($K$5:$K$50, ROW(A36)) = "Gezinshuis",
            INDEX('3. Gezinshuis producten'!$A:$Y, 29,
            14 + 2 * (INDEX($L$5:$L$50, ROW(A36)) - 1)),
        IF(
            INDEX($K$5:$K$50, ROW(A36)) = "Pleegzorg",
                 INDEX('4. Pleegzorg producten'!$A:$Y, 26,
            13 + 3 * (INDEX($L$5:$L$50, ROW(A36)) - 1)),
            ""
        )
    )
)</f>
        <v/>
      </c>
      <c r="W40" s="21" t="str">
        <f>IF(
    INDEX($K$5:$K$50, ROW(A36)) = "Algemeen",
        IFERROR(IF('Hulp (control forms)'!$C$12&lt;&gt;TRUE, '1a. Input organisatieniveau'!$I$27, INDEX(
            '1a. Input organisatieniveau'!$L$18:$N$18,
            MATCH(
                INDEX('2. Output kostprijs'!$A:$ZZ,
                    15,
                    4 + 2 * (INDEX($L$5:$L$50, ROW(A36)) - 1)
                ),
                '1a. Input organisatieniveau'!$L$6:$N$6,
                0
            )
        )),""),
    IF(
        INDEX($K$5:$K$50, ROW(A36)) = "Gezinshuis",
            "",
        IF(
            INDEX($K$5:$K$50, ROW(A36)) = "Pleegzorg",
                 "",
            ""
        )
    )
)</f>
        <v/>
      </c>
      <c r="X40" s="21" t="str">
        <f>IF(
    INDEX($K$5:$K$50, ROW(A36)) = "Algemeen",
        IFERROR(IF('Hulp (control forms)'!$C$12&lt;&gt;TRUE, '1a. Input organisatieniveau'!$I$28, INDEX(
            '1a. Input organisatieniveau'!$L$19:$N$19,
            MATCH(
                INDEX('2. Output kostprijs'!$A:$ZZ,
                    15,
                    4 + 2 * (INDEX($L$5:$L$50, ROW(A36)) - 1)
                ),
                '1a. Input organisatieniveau'!$L$6:$N$6,
                0
            )
        )),""),
    IF(
        INDEX($K$5:$K$50, ROW(A36)) = "Gezinshuis",
            "",
        IF(
            INDEX($K$5:$K$50, ROW(A36)) = "Pleegzorg",
                 "",
            ""
        )
    )
)</f>
        <v/>
      </c>
    </row>
    <row r="41" spans="10:24" x14ac:dyDescent="0.45">
      <c r="J41" s="364" t="str">
        <f t="array" ref="J41">IFERROR(
  IF(
    ROW(A37) &lt;= SUMPRODUCT(--('Hulp (control forms)'!$G$13:$G$52)),
      IF(
        INDEX(Initialisatie!B$10:B$49,
          SMALL(
            IF('Hulp (control forms)'!$G$13:$G$52=TRUE,
               ROW(Initialisatie!B$10:B$49)-ROW(Initialisatie!B$10)+1),
            ROW(A37)
          )
        )="","",
        INDEX(Initialisatie!B$10:B$49,
          SMALL(
            IF('Hulp (control forms)'!$G$13:$G$52=TRUE,
               ROW(Initialisatie!B$10:B$49)-ROW(Initialisatie!B$10)+1),
            ROW(A37)
          )
        )
      ),
    IFERROR(
      INDEX(
        '3. Gezinshuis producten'!E$7:E$9,
        SMALL(
          IF('Hulp (control forms)'!$F$6:$F$8=TRUE,
             ROW('3. Gezinshuis producten'!E$7:E$9)-ROW('3. Gezinshuis producten'!E$7)+1),
          ROW(A37) - SUMPRODUCT(--('Hulp (control forms)'!$G$13:$G$52))
        )
      ),
      IF(
        ROW(A37)
         - SUMPRODUCT(--('Hulp (control forms)'!$G$13:$G$52))
         - SUMPRODUCT(--('Hulp (control forms)'!$F$6:$F$8)) = 1,
        IF('4. Pleegzorg producten'!$M$26&lt;&gt;"",
           "Voltijd",
           IF('4. Pleegzorg producten'!$P$26&lt;&gt;"","Deeltijd","")
        ),
        IF(
          ROW(A37)
           - SUMPRODUCT(--('Hulp (control forms)'!$G$13:$G$52))
           - SUMPRODUCT(--('Hulp (control forms)'!$F$6:$F$8)) = 2,
          IF( AND('4. Pleegzorg producten'!$M$26&lt;&gt;"", '4. Pleegzorg producten'!$P$26&lt;&gt;"" ),
             "Deeltijd",
             ""
          ),
          ""
        )
      )
    )
  ),
"")</f>
        <v/>
      </c>
      <c r="K41" s="364" t="str">
        <f>IF(
  ROW(A37) &lt;= SUMPRODUCT(--('Hulp (control forms)'!$G$13:$G$52)),
      "Algemeen",
  IF(
    ROW(A37) - SUMPRODUCT(--('Hulp (control forms)'!$G$13:$G$52))
      &lt;= SUMPRODUCT(--('Hulp (control forms)'!$F$6:$F$8)),
        "Gezinshuis",
    IF(
      (ROW(A37)
        - SUMPRODUCT(--('Hulp (control forms)'!$G$13:$G$52))
        - SUMPRODUCT(--('Hulp (control forms)'!$F$6:$F$8)))
        &lt;= SUMPRODUCT(--('4. Pleegzorg producten'!$M$26&lt;&gt;"") + --('4. Pleegzorg producten'!$P$26&lt;&gt;"")),
          "Pleegzorg",
          ""
    )
  )
)</f>
        <v/>
      </c>
      <c r="L41" s="21" t="str">
        <f t="array" ref="L41">IF(
  ROW(A37) &lt;= SUMPRODUCT(--('Hulp (control forms)'!$G$13:$G$52)),
      ROW(A37),
  IF(
    ROW(A37) - SUMPRODUCT(--('Hulp (control forms)'!$G$13:$G$52))
      &lt;= SUMPRODUCT(--('Hulp (control forms)'!$F$6:$F$8)),
        SMALL(
    IF('Hulp (control forms)'!$F$6:$F$8,
       ROW('Hulp (control forms)'!$F$6:$F$8)
    ),
    ROW(A37) - SUMPRODUCT(--('Hulp (control forms)'!$G$13:$G$52))
)-5,
    IF(
      (ROW(A37)
        - SUMPRODUCT(--('Hulp (control forms)'!$G$13:$G$52))
        - SUMPRODUCT(--('Hulp (control forms)'!$F$6:$F$8)))
        &lt;= SUMPRODUCT(--('4. Pleegzorg producten'!$M$26&lt;&gt;"") + --('4. Pleegzorg producten'!$P$26&lt;&gt;"")),
        ROW(A37)
        - SUMPRODUCT(--('Hulp (control forms)'!$G$13:$G$52))
        - SUMPRODUCT(--('Hulp (control forms)'!$F$6:$F$8)),
        ""
    )
  )
)</f>
        <v/>
      </c>
      <c r="M41" s="21" t="str">
        <f t="array" ref="M41">IF(
    INDEX($K$5:$K$50, ROW(A37)) = "Algemeen",
        IFERROR(IF('Hulp (control forms)'!$C$7&lt;&gt;TRUE, '1a. Input organisatieniveau'!$I$19, INDEX(
            '1a. Input organisatieniveau'!$L$11:$N$11,
            MATCH(
                INDEX('2. Output kostprijs'!$A:$ZZ,
                    15,
                    4 + 2 * (INDEX($L$5:$L$50, ROW(A37)) - 1)
                ),
                '1a. Input organisatieniveau'!$L$6:$N$6,
                0
            )
        )),""),
    IF(
        INDEX($K$5:$K$50, ROW(A37)) = "Gezinshuis",
            "",
        IF(
            INDEX($K$5:$K$50, ROW(A37)) = "Pleegzorg",
                 "",
            ""
        )
    )
)</f>
        <v/>
      </c>
      <c r="N41" s="21" t="str">
        <f t="array" ref="N41">IF(
    INDEX($K$5:$K$50, ROW(A37)) = "Algemeen",
        IFERROR(IF('Hulp (control forms)'!$C$8&lt;&gt;TRUE, '1a. Input organisatieniveau'!$I$20, INDEX(
            '1a. Input organisatieniveau'!$L$12:$N$12,
            MATCH(
                INDEX('2. Output kostprijs'!$A:$ZZ,
                    15,
                    4 + 2 * (INDEX($L$5:$L$50, ROW(A37)) - 1)
                ),
                '1a. Input organisatieniveau'!$L$6:$N$6,
                0
            )
        )),""),
    IF(
        INDEX($K$5:$K$50, ROW(A37)) = "Gezinshuis",
            INDEX('3. Gezinshuis producten'!$A:$Y, 31,
            9 + 1 * (INDEX($L$5:$L$50, ROW(A37)) - 1)),
        IF(
            INDEX($K$5:$K$50, ROW(A37)) = "Pleegzorg",
                 "",
            ""
        )
    )
)</f>
        <v/>
      </c>
      <c r="O41" s="21" t="str">
        <f t="array" ref="O41">IF(
    INDEX($K$5:$K$50, ROW(A37)) = "Algemeen",
        IFERROR(IF('Hulp (control forms)'!$C$9&lt;&gt;TRUE, '1a. Input organisatieniveau'!$I$21, INDEX(
            '1a. Input organisatieniveau'!$L$13:$N$13,
            MATCH(
                INDEX('2. Output kostprijs'!$A:$ZZ,
                    15,
                    4 + 2 * (INDEX($L$5:$L$50, ROW(A37)) - 1)
                ),
                '1a. Input organisatieniveau'!$L$6:$N$6,
                0
            )
        )),""),
    IF(
        INDEX($K$5:$K$50, ROW(A37)) = "Gezinshuis",
            "",
        IF(
            INDEX($K$5:$K$50, ROW(A37)) = "Pleegzorg",
                 "",
            ""
        )
    )
)</f>
        <v/>
      </c>
      <c r="P41" s="21" t="str">
        <f>IF(
    INDEX($K$5:$K$50, ROW(A37)) = "Algemeen",
        IFERROR(IF('Hulp (control forms)'!$C$10&lt;&gt;TRUE, '1a. Input organisatieniveau'!$I$23, INDEX(
            '1a. Input organisatieniveau'!$L$15:$N$15,
            MATCH(
                INDEX('2. Output kostprijs'!$A:$ZZ,
                    15,
                    4 + 2 * (INDEX($L$5:$L$50, ROW(A37)) - 1)
                ),
                '1a. Input organisatieniveau'!$L$6:$N$6,
                0
            )
        )),""),
    IF(
        INDEX($K$5:$K$50, ROW(A37)) = "Gezinshuis",
            "",
        IF(
            INDEX($K$5:$K$50, ROW(A37)) = "Pleegzorg",
                 "",
            ""
        )
    )
)</f>
        <v/>
      </c>
      <c r="Q41" s="21" t="str">
        <f>IF(
    INDEX($K$5:$K$50, ROW(A37)) = "Algemeen",
        IFERROR(IF('Hulp (control forms)'!$C$11&lt;&gt;TRUE, '1a. Input organisatieniveau'!$I$24, INDEX(
            '1a. Input organisatieniveau'!$L$16:$N$16,
            MATCH(
                INDEX('2. Output kostprijs'!$A:$ZZ,
                    15,
                    4 + 2 * (INDEX($L$5:$L$50, ROW(A37)) - 1)
                ),
                '1a. Input organisatieniveau'!$L$6:$N$6,
                0
            )
        )),""),
    IF(
        INDEX($K$5:$K$50, ROW(A37)) = "Gezinshuis",
            "",
        IF(
            INDEX($K$5:$K$50, ROW(A37)) = "Pleegzorg",
                 "",
            ""
        )
    )
)</f>
        <v/>
      </c>
      <c r="R41" s="21" t="str">
        <f>IF(
    INDEX($K$5:$K$50, ROW(A37)) = "Algemeen",
        IFERROR(IF('Hulp (control forms)'!$C$12&lt;&gt;TRUE, '1a. Input organisatieniveau'!$I$29, INDEX(
            '1a. Input organisatieniveau'!$L$20:$N$20,
            MATCH(
                INDEX('2. Output kostprijs'!$A:$ZZ,
                    15,
                    4 + 2 * (INDEX($L$5:$L$50, ROW(A37)) - 1)
                ),
                '1a. Input organisatieniveau'!$L$6:$N$6,
                0
            )
        )),""),
    IF(
        INDEX($K$5:$K$50, ROW(A37)) = "Gezinshuis",
            "",
        IF(
            INDEX($K$5:$K$50, ROW(A37)) = "Pleegzorg",
                 "",
            ""
        )
    )
)</f>
        <v/>
      </c>
      <c r="S41" s="21" t="str">
        <f>IF(
    INDEX($K$5:$K$50, ROW(A37)) = "Algemeen",
        INDEX('2. Output kostprijs'!$A:$ZZ, 32,
            5 + 2 * (INDEX('Hulp (overig)'!$L$5:$L$50, ROW(A37)) - 1)
        ),
    IF(
        INDEX($K$5:$K$50, ROW(A37)) = "Gezinshuis",
            INDEX('3. Gezinshuis producten'!$A:$Y, 22,
            15 + 2 * (INDEX($L$5:$L$50, ROW(A37)) - 1)),
        IF(
            INDEX($K$5:$K$50, ROW(A37)) = "Pleegzorg",
                 INDEX('4. Pleegzorg producten'!$A:$Y, 24,
            13 + 3 * (INDEX($L$5:$L$50, ROW(A37)) - 1)) +
                 INDEX('4. Pleegzorg producten'!$A:$Y, 25,
            13 + 3 * (INDEX($L$5:$L$50, ROW(A37)) - 1)),
            ""
        )
    )
)</f>
        <v/>
      </c>
      <c r="T41" s="21" t="str">
        <f t="array" ref="T41">IF(
    INDEX($K$5:$K$50, ROW(A37)) = "Algemeen",
        IF(INDEX('2. Output kostprijs'!$A:$ZZ, 15,
            4 + 2 * (INDEX('Hulp (overig)'!$L$5:$L$50, ROW(A37)) - 1)
        )="Ambulant",
        INDEX('2. Output kostprijs'!$A:$ZZ, 47,
            4 + 2 * (INDEX('Hulp (overig)'!$L$5:$L$50, ROW(A37)) - 1)
        ), ""),
    IF(
        INDEX($K$5:$K$50, ROW(A37)) = "Gezinshuis",
            "",
        IF(
            INDEX($K$5:$K$50, ROW(A37)) = "Pleegzorg",
                 "",
            ""
        )
    )
)</f>
        <v/>
      </c>
      <c r="U41" s="21" t="str">
        <f>IF(
    INDEX($K$5:$K$50, ROW(A37)) = "Algemeen",
        IF(INDEX('2. Output kostprijs'!$A:$ZZ, 15,
            4 + 2 * (INDEX('Hulp (overig)'!$L$5:$L$50, ROW(A37)) - 1)
        )="Daghulp",
        INDEX('2. Output kostprijs'!$A:$ZZ, 47,
            4 + 2 * (INDEX('Hulp (overig)'!$L$5:$L$50, ROW(A37)) - 1)
        ), ""),
    IF(
        INDEX($K$5:$K$50, ROW(A37)) = "Gezinshuis",
            "",
        IF(
            INDEX($K$5:$K$50, ROW(A37)) = "Pleegzorg",
                 "",
            ""
        )
    )
)</f>
        <v/>
      </c>
      <c r="V41" s="21" t="str">
        <f>IF(
    INDEX($K$5:$K$50, ROW(A37)) = "Algemeen",
        IF(INDEX('2. Output kostprijs'!$A:$ZZ, 15,
            4 + 2 * (INDEX('Hulp (overig)'!$L$5:$L$50, ROW(A37)) - 1)
        )="Verblijf",
        INDEX('2. Output kostprijs'!$A:$ZZ, 47,
            4 + 2 * (INDEX('Hulp (overig)'!$L$5:$L$50, ROW(A37)) - 1)
        ), ""),
    IF(
        INDEX($K$5:$K$50, ROW(A37)) = "Gezinshuis",
            INDEX('3. Gezinshuis producten'!$A:$Y, 29,
            14 + 2 * (INDEX($L$5:$L$50, ROW(A37)) - 1)),
        IF(
            INDEX($K$5:$K$50, ROW(A37)) = "Pleegzorg",
                 INDEX('4. Pleegzorg producten'!$A:$Y, 26,
            13 + 3 * (INDEX($L$5:$L$50, ROW(A37)) - 1)),
            ""
        )
    )
)</f>
        <v/>
      </c>
      <c r="W41" s="21" t="str">
        <f>IF(
    INDEX($K$5:$K$50, ROW(A37)) = "Algemeen",
        IFERROR(IF('Hulp (control forms)'!$C$12&lt;&gt;TRUE, '1a. Input organisatieniveau'!$I$27, INDEX(
            '1a. Input organisatieniveau'!$L$18:$N$18,
            MATCH(
                INDEX('2. Output kostprijs'!$A:$ZZ,
                    15,
                    4 + 2 * (INDEX($L$5:$L$50, ROW(A37)) - 1)
                ),
                '1a. Input organisatieniveau'!$L$6:$N$6,
                0
            )
        )),""),
    IF(
        INDEX($K$5:$K$50, ROW(A37)) = "Gezinshuis",
            "",
        IF(
            INDEX($K$5:$K$50, ROW(A37)) = "Pleegzorg",
                 "",
            ""
        )
    )
)</f>
        <v/>
      </c>
      <c r="X41" s="21" t="str">
        <f>IF(
    INDEX($K$5:$K$50, ROW(A37)) = "Algemeen",
        IFERROR(IF('Hulp (control forms)'!$C$12&lt;&gt;TRUE, '1a. Input organisatieniveau'!$I$28, INDEX(
            '1a. Input organisatieniveau'!$L$19:$N$19,
            MATCH(
                INDEX('2. Output kostprijs'!$A:$ZZ,
                    15,
                    4 + 2 * (INDEX($L$5:$L$50, ROW(A37)) - 1)
                ),
                '1a. Input organisatieniveau'!$L$6:$N$6,
                0
            )
        )),""),
    IF(
        INDEX($K$5:$K$50, ROW(A37)) = "Gezinshuis",
            "",
        IF(
            INDEX($K$5:$K$50, ROW(A37)) = "Pleegzorg",
                 "",
            ""
        )
    )
)</f>
        <v/>
      </c>
    </row>
    <row r="42" spans="10:24" x14ac:dyDescent="0.45">
      <c r="J42" s="364" t="str">
        <f t="array" ref="J42">IFERROR(
  IF(
    ROW(A38) &lt;= SUMPRODUCT(--('Hulp (control forms)'!$G$13:$G$52)),
      IF(
        INDEX(Initialisatie!B$10:B$49,
          SMALL(
            IF('Hulp (control forms)'!$G$13:$G$52=TRUE,
               ROW(Initialisatie!B$10:B$49)-ROW(Initialisatie!B$10)+1),
            ROW(A38)
          )
        )="","",
        INDEX(Initialisatie!B$10:B$49,
          SMALL(
            IF('Hulp (control forms)'!$G$13:$G$52=TRUE,
               ROW(Initialisatie!B$10:B$49)-ROW(Initialisatie!B$10)+1),
            ROW(A38)
          )
        )
      ),
    IFERROR(
      INDEX(
        '3. Gezinshuis producten'!E$7:E$9,
        SMALL(
          IF('Hulp (control forms)'!$F$6:$F$8=TRUE,
             ROW('3. Gezinshuis producten'!E$7:E$9)-ROW('3. Gezinshuis producten'!E$7)+1),
          ROW(A38) - SUMPRODUCT(--('Hulp (control forms)'!$G$13:$G$52))
        )
      ),
      IF(
        ROW(A38)
         - SUMPRODUCT(--('Hulp (control forms)'!$G$13:$G$52))
         - SUMPRODUCT(--('Hulp (control forms)'!$F$6:$F$8)) = 1,
        IF('4. Pleegzorg producten'!$M$26&lt;&gt;"",
           "Voltijd",
           IF('4. Pleegzorg producten'!$P$26&lt;&gt;"","Deeltijd","")
        ),
        IF(
          ROW(A38)
           - SUMPRODUCT(--('Hulp (control forms)'!$G$13:$G$52))
           - SUMPRODUCT(--('Hulp (control forms)'!$F$6:$F$8)) = 2,
          IF( AND('4. Pleegzorg producten'!$M$26&lt;&gt;"", '4. Pleegzorg producten'!$P$26&lt;&gt;"" ),
             "Deeltijd",
             ""
          ),
          ""
        )
      )
    )
  ),
"")</f>
        <v/>
      </c>
      <c r="K42" s="364" t="str">
        <f>IF(
  ROW(A38) &lt;= SUMPRODUCT(--('Hulp (control forms)'!$G$13:$G$52)),
      "Algemeen",
  IF(
    ROW(A38) - SUMPRODUCT(--('Hulp (control forms)'!$G$13:$G$52))
      &lt;= SUMPRODUCT(--('Hulp (control forms)'!$F$6:$F$8)),
        "Gezinshuis",
    IF(
      (ROW(A38)
        - SUMPRODUCT(--('Hulp (control forms)'!$G$13:$G$52))
        - SUMPRODUCT(--('Hulp (control forms)'!$F$6:$F$8)))
        &lt;= SUMPRODUCT(--('4. Pleegzorg producten'!$M$26&lt;&gt;"") + --('4. Pleegzorg producten'!$P$26&lt;&gt;"")),
          "Pleegzorg",
          ""
    )
  )
)</f>
        <v/>
      </c>
      <c r="L42" s="21" t="str">
        <f t="array" ref="L42">IF(
  ROW(A38) &lt;= SUMPRODUCT(--('Hulp (control forms)'!$G$13:$G$52)),
      ROW(A38),
  IF(
    ROW(A38) - SUMPRODUCT(--('Hulp (control forms)'!$G$13:$G$52))
      &lt;= SUMPRODUCT(--('Hulp (control forms)'!$F$6:$F$8)),
        SMALL(
    IF('Hulp (control forms)'!$F$6:$F$8,
       ROW('Hulp (control forms)'!$F$6:$F$8)
    ),
    ROW(A38) - SUMPRODUCT(--('Hulp (control forms)'!$G$13:$G$52))
)-5,
    IF(
      (ROW(A38)
        - SUMPRODUCT(--('Hulp (control forms)'!$G$13:$G$52))
        - SUMPRODUCT(--('Hulp (control forms)'!$F$6:$F$8)))
        &lt;= SUMPRODUCT(--('4. Pleegzorg producten'!$M$26&lt;&gt;"") + --('4. Pleegzorg producten'!$P$26&lt;&gt;"")),
        ROW(A38)
        - SUMPRODUCT(--('Hulp (control forms)'!$G$13:$G$52))
        - SUMPRODUCT(--('Hulp (control forms)'!$F$6:$F$8)),
        ""
    )
  )
)</f>
        <v/>
      </c>
      <c r="M42" s="21" t="str">
        <f t="array" ref="M42">IF(
    INDEX($K$5:$K$50, ROW(A38)) = "Algemeen",
        IFERROR(IF('Hulp (control forms)'!$C$7&lt;&gt;TRUE, '1a. Input organisatieniveau'!$I$19, INDEX(
            '1a. Input organisatieniveau'!$L$11:$N$11,
            MATCH(
                INDEX('2. Output kostprijs'!$A:$ZZ,
                    15,
                    4 + 2 * (INDEX($L$5:$L$50, ROW(A38)) - 1)
                ),
                '1a. Input organisatieniveau'!$L$6:$N$6,
                0
            )
        )),""),
    IF(
        INDEX($K$5:$K$50, ROW(A38)) = "Gezinshuis",
            "",
        IF(
            INDEX($K$5:$K$50, ROW(A38)) = "Pleegzorg",
                 "",
            ""
        )
    )
)</f>
        <v/>
      </c>
      <c r="N42" s="21" t="str">
        <f t="array" ref="N42">IF(
    INDEX($K$5:$K$50, ROW(A38)) = "Algemeen",
        IFERROR(IF('Hulp (control forms)'!$C$8&lt;&gt;TRUE, '1a. Input organisatieniveau'!$I$20, INDEX(
            '1a. Input organisatieniveau'!$L$12:$N$12,
            MATCH(
                INDEX('2. Output kostprijs'!$A:$ZZ,
                    15,
                    4 + 2 * (INDEX($L$5:$L$50, ROW(A38)) - 1)
                ),
                '1a. Input organisatieniveau'!$L$6:$N$6,
                0
            )
        )),""),
    IF(
        INDEX($K$5:$K$50, ROW(A38)) = "Gezinshuis",
            INDEX('3. Gezinshuis producten'!$A:$Y, 31,
            9 + 1 * (INDEX($L$5:$L$50, ROW(A38)) - 1)),
        IF(
            INDEX($K$5:$K$50, ROW(A38)) = "Pleegzorg",
                 "",
            ""
        )
    )
)</f>
        <v/>
      </c>
      <c r="O42" s="21" t="str">
        <f t="array" ref="O42">IF(
    INDEX($K$5:$K$50, ROW(A38)) = "Algemeen",
        IFERROR(IF('Hulp (control forms)'!$C$9&lt;&gt;TRUE, '1a. Input organisatieniveau'!$I$21, INDEX(
            '1a. Input organisatieniveau'!$L$13:$N$13,
            MATCH(
                INDEX('2. Output kostprijs'!$A:$ZZ,
                    15,
                    4 + 2 * (INDEX($L$5:$L$50, ROW(A38)) - 1)
                ),
                '1a. Input organisatieniveau'!$L$6:$N$6,
                0
            )
        )),""),
    IF(
        INDEX($K$5:$K$50, ROW(A38)) = "Gezinshuis",
            "",
        IF(
            INDEX($K$5:$K$50, ROW(A38)) = "Pleegzorg",
                 "",
            ""
        )
    )
)</f>
        <v/>
      </c>
      <c r="P42" s="21" t="str">
        <f>IF(
    INDEX($K$5:$K$50, ROW(A38)) = "Algemeen",
        IFERROR(IF('Hulp (control forms)'!$C$10&lt;&gt;TRUE, '1a. Input organisatieniveau'!$I$23, INDEX(
            '1a. Input organisatieniveau'!$L$15:$N$15,
            MATCH(
                INDEX('2. Output kostprijs'!$A:$ZZ,
                    15,
                    4 + 2 * (INDEX($L$5:$L$50, ROW(A38)) - 1)
                ),
                '1a. Input organisatieniveau'!$L$6:$N$6,
                0
            )
        )),""),
    IF(
        INDEX($K$5:$K$50, ROW(A38)) = "Gezinshuis",
            "",
        IF(
            INDEX($K$5:$K$50, ROW(A38)) = "Pleegzorg",
                 "",
            ""
        )
    )
)</f>
        <v/>
      </c>
      <c r="Q42" s="21" t="str">
        <f>IF(
    INDEX($K$5:$K$50, ROW(A38)) = "Algemeen",
        IFERROR(IF('Hulp (control forms)'!$C$11&lt;&gt;TRUE, '1a. Input organisatieniveau'!$I$24, INDEX(
            '1a. Input organisatieniveau'!$L$16:$N$16,
            MATCH(
                INDEX('2. Output kostprijs'!$A:$ZZ,
                    15,
                    4 + 2 * (INDEX($L$5:$L$50, ROW(A38)) - 1)
                ),
                '1a. Input organisatieniveau'!$L$6:$N$6,
                0
            )
        )),""),
    IF(
        INDEX($K$5:$K$50, ROW(A38)) = "Gezinshuis",
            "",
        IF(
            INDEX($K$5:$K$50, ROW(A38)) = "Pleegzorg",
                 "",
            ""
        )
    )
)</f>
        <v/>
      </c>
      <c r="R42" s="21" t="str">
        <f>IF(
    INDEX($K$5:$K$50, ROW(A38)) = "Algemeen",
        IFERROR(IF('Hulp (control forms)'!$C$12&lt;&gt;TRUE, '1a. Input organisatieniveau'!$I$29, INDEX(
            '1a. Input organisatieniveau'!$L$20:$N$20,
            MATCH(
                INDEX('2. Output kostprijs'!$A:$ZZ,
                    15,
                    4 + 2 * (INDEX($L$5:$L$50, ROW(A38)) - 1)
                ),
                '1a. Input organisatieniveau'!$L$6:$N$6,
                0
            )
        )),""),
    IF(
        INDEX($K$5:$K$50, ROW(A38)) = "Gezinshuis",
            "",
        IF(
            INDEX($K$5:$K$50, ROW(A38)) = "Pleegzorg",
                 "",
            ""
        )
    )
)</f>
        <v/>
      </c>
      <c r="S42" s="21" t="str">
        <f>IF(
    INDEX($K$5:$K$50, ROW(A38)) = "Algemeen",
        INDEX('2. Output kostprijs'!$A:$ZZ, 32,
            5 + 2 * (INDEX('Hulp (overig)'!$L$5:$L$50, ROW(A38)) - 1)
        ),
    IF(
        INDEX($K$5:$K$50, ROW(A38)) = "Gezinshuis",
            INDEX('3. Gezinshuis producten'!$A:$Y, 22,
            15 + 2 * (INDEX($L$5:$L$50, ROW(A38)) - 1)),
        IF(
            INDEX($K$5:$K$50, ROW(A38)) = "Pleegzorg",
                 INDEX('4. Pleegzorg producten'!$A:$Y, 24,
            13 + 3 * (INDEX($L$5:$L$50, ROW(A38)) - 1)) +
                 INDEX('4. Pleegzorg producten'!$A:$Y, 25,
            13 + 3 * (INDEX($L$5:$L$50, ROW(A38)) - 1)),
            ""
        )
    )
)</f>
        <v/>
      </c>
      <c r="T42" s="21" t="str">
        <f t="array" ref="T42">IF(
    INDEX($K$5:$K$50, ROW(A38)) = "Algemeen",
        IF(INDEX('2. Output kostprijs'!$A:$ZZ, 15,
            4 + 2 * (INDEX('Hulp (overig)'!$L$5:$L$50, ROW(A38)) - 1)
        )="Ambulant",
        INDEX('2. Output kostprijs'!$A:$ZZ, 47,
            4 + 2 * (INDEX('Hulp (overig)'!$L$5:$L$50, ROW(A38)) - 1)
        ), ""),
    IF(
        INDEX($K$5:$K$50, ROW(A38)) = "Gezinshuis",
            "",
        IF(
            INDEX($K$5:$K$50, ROW(A38)) = "Pleegzorg",
                 "",
            ""
        )
    )
)</f>
        <v/>
      </c>
      <c r="U42" s="21" t="str">
        <f>IF(
    INDEX($K$5:$K$50, ROW(A38)) = "Algemeen",
        IF(INDEX('2. Output kostprijs'!$A:$ZZ, 15,
            4 + 2 * (INDEX('Hulp (overig)'!$L$5:$L$50, ROW(A38)) - 1)
        )="Daghulp",
        INDEX('2. Output kostprijs'!$A:$ZZ, 47,
            4 + 2 * (INDEX('Hulp (overig)'!$L$5:$L$50, ROW(A38)) - 1)
        ), ""),
    IF(
        INDEX($K$5:$K$50, ROW(A38)) = "Gezinshuis",
            "",
        IF(
            INDEX($K$5:$K$50, ROW(A38)) = "Pleegzorg",
                 "",
            ""
        )
    )
)</f>
        <v/>
      </c>
      <c r="V42" s="21" t="str">
        <f>IF(
    INDEX($K$5:$K$50, ROW(A38)) = "Algemeen",
        IF(INDEX('2. Output kostprijs'!$A:$ZZ, 15,
            4 + 2 * (INDEX('Hulp (overig)'!$L$5:$L$50, ROW(A38)) - 1)
        )="Verblijf",
        INDEX('2. Output kostprijs'!$A:$ZZ, 47,
            4 + 2 * (INDEX('Hulp (overig)'!$L$5:$L$50, ROW(A38)) - 1)
        ), ""),
    IF(
        INDEX($K$5:$K$50, ROW(A38)) = "Gezinshuis",
            INDEX('3. Gezinshuis producten'!$A:$Y, 29,
            14 + 2 * (INDEX($L$5:$L$50, ROW(A38)) - 1)),
        IF(
            INDEX($K$5:$K$50, ROW(A38)) = "Pleegzorg",
                 INDEX('4. Pleegzorg producten'!$A:$Y, 26,
            13 + 3 * (INDEX($L$5:$L$50, ROW(A38)) - 1)),
            ""
        )
    )
)</f>
        <v/>
      </c>
      <c r="W42" s="21" t="str">
        <f>IF(
    INDEX($K$5:$K$50, ROW(A38)) = "Algemeen",
        IFERROR(IF('Hulp (control forms)'!$C$12&lt;&gt;TRUE, '1a. Input organisatieniveau'!$I$27, INDEX(
            '1a. Input organisatieniveau'!$L$18:$N$18,
            MATCH(
                INDEX('2. Output kostprijs'!$A:$ZZ,
                    15,
                    4 + 2 * (INDEX($L$5:$L$50, ROW(A38)) - 1)
                ),
                '1a. Input organisatieniveau'!$L$6:$N$6,
                0
            )
        )),""),
    IF(
        INDEX($K$5:$K$50, ROW(A38)) = "Gezinshuis",
            "",
        IF(
            INDEX($K$5:$K$50, ROW(A38)) = "Pleegzorg",
                 "",
            ""
        )
    )
)</f>
        <v/>
      </c>
      <c r="X42" s="21" t="str">
        <f>IF(
    INDEX($K$5:$K$50, ROW(A38)) = "Algemeen",
        IFERROR(IF('Hulp (control forms)'!$C$12&lt;&gt;TRUE, '1a. Input organisatieniveau'!$I$28, INDEX(
            '1a. Input organisatieniveau'!$L$19:$N$19,
            MATCH(
                INDEX('2. Output kostprijs'!$A:$ZZ,
                    15,
                    4 + 2 * (INDEX($L$5:$L$50, ROW(A38)) - 1)
                ),
                '1a. Input organisatieniveau'!$L$6:$N$6,
                0
            )
        )),""),
    IF(
        INDEX($K$5:$K$50, ROW(A38)) = "Gezinshuis",
            "",
        IF(
            INDEX($K$5:$K$50, ROW(A38)) = "Pleegzorg",
                 "",
            ""
        )
    )
)</f>
        <v/>
      </c>
    </row>
    <row r="43" spans="10:24" x14ac:dyDescent="0.45">
      <c r="J43" s="364" t="str">
        <f t="array" ref="J43">IFERROR(
  IF(
    ROW(A39) &lt;= SUMPRODUCT(--('Hulp (control forms)'!$G$13:$G$52)),
      IF(
        INDEX(Initialisatie!B$10:B$49,
          SMALL(
            IF('Hulp (control forms)'!$G$13:$G$52=TRUE,
               ROW(Initialisatie!B$10:B$49)-ROW(Initialisatie!B$10)+1),
            ROW(A39)
          )
        )="","",
        INDEX(Initialisatie!B$10:B$49,
          SMALL(
            IF('Hulp (control forms)'!$G$13:$G$52=TRUE,
               ROW(Initialisatie!B$10:B$49)-ROW(Initialisatie!B$10)+1),
            ROW(A39)
          )
        )
      ),
    IFERROR(
      INDEX(
        '3. Gezinshuis producten'!E$7:E$9,
        SMALL(
          IF('Hulp (control forms)'!$F$6:$F$8=TRUE,
             ROW('3. Gezinshuis producten'!E$7:E$9)-ROW('3. Gezinshuis producten'!E$7)+1),
          ROW(A39) - SUMPRODUCT(--('Hulp (control forms)'!$G$13:$G$52))
        )
      ),
      IF(
        ROW(A39)
         - SUMPRODUCT(--('Hulp (control forms)'!$G$13:$G$52))
         - SUMPRODUCT(--('Hulp (control forms)'!$F$6:$F$8)) = 1,
        IF('4. Pleegzorg producten'!$M$26&lt;&gt;"",
           "Voltijd",
           IF('4. Pleegzorg producten'!$P$26&lt;&gt;"","Deeltijd","")
        ),
        IF(
          ROW(A39)
           - SUMPRODUCT(--('Hulp (control forms)'!$G$13:$G$52))
           - SUMPRODUCT(--('Hulp (control forms)'!$F$6:$F$8)) = 2,
          IF( AND('4. Pleegzorg producten'!$M$26&lt;&gt;"", '4. Pleegzorg producten'!$P$26&lt;&gt;"" ),
             "Deeltijd",
             ""
          ),
          ""
        )
      )
    )
  ),
"")</f>
        <v/>
      </c>
      <c r="K43" s="364" t="str">
        <f>IF(
  ROW(A39) &lt;= SUMPRODUCT(--('Hulp (control forms)'!$G$13:$G$52)),
      "Algemeen",
  IF(
    ROW(A39) - SUMPRODUCT(--('Hulp (control forms)'!$G$13:$G$52))
      &lt;= SUMPRODUCT(--('Hulp (control forms)'!$F$6:$F$8)),
        "Gezinshuis",
    IF(
      (ROW(A39)
        - SUMPRODUCT(--('Hulp (control forms)'!$G$13:$G$52))
        - SUMPRODUCT(--('Hulp (control forms)'!$F$6:$F$8)))
        &lt;= SUMPRODUCT(--('4. Pleegzorg producten'!$M$26&lt;&gt;"") + --('4. Pleegzorg producten'!$P$26&lt;&gt;"")),
          "Pleegzorg",
          ""
    )
  )
)</f>
        <v/>
      </c>
      <c r="L43" s="21" t="str">
        <f t="array" ref="L43">IF(
  ROW(A39) &lt;= SUMPRODUCT(--('Hulp (control forms)'!$G$13:$G$52)),
      ROW(A39),
  IF(
    ROW(A39) - SUMPRODUCT(--('Hulp (control forms)'!$G$13:$G$52))
      &lt;= SUMPRODUCT(--('Hulp (control forms)'!$F$6:$F$8)),
        SMALL(
    IF('Hulp (control forms)'!$F$6:$F$8,
       ROW('Hulp (control forms)'!$F$6:$F$8)
    ),
    ROW(A39) - SUMPRODUCT(--('Hulp (control forms)'!$G$13:$G$52))
)-5,
    IF(
      (ROW(A39)
        - SUMPRODUCT(--('Hulp (control forms)'!$G$13:$G$52))
        - SUMPRODUCT(--('Hulp (control forms)'!$F$6:$F$8)))
        &lt;= SUMPRODUCT(--('4. Pleegzorg producten'!$M$26&lt;&gt;"") + --('4. Pleegzorg producten'!$P$26&lt;&gt;"")),
        ROW(A39)
        - SUMPRODUCT(--('Hulp (control forms)'!$G$13:$G$52))
        - SUMPRODUCT(--('Hulp (control forms)'!$F$6:$F$8)),
        ""
    )
  )
)</f>
        <v/>
      </c>
      <c r="M43" s="21" t="str">
        <f t="array" ref="M43">IF(
    INDEX($K$5:$K$50, ROW(A39)) = "Algemeen",
        IFERROR(IF('Hulp (control forms)'!$C$7&lt;&gt;TRUE, '1a. Input organisatieniveau'!$I$19, INDEX(
            '1a. Input organisatieniveau'!$L$11:$N$11,
            MATCH(
                INDEX('2. Output kostprijs'!$A:$ZZ,
                    15,
                    4 + 2 * (INDEX($L$5:$L$50, ROW(A39)) - 1)
                ),
                '1a. Input organisatieniveau'!$L$6:$N$6,
                0
            )
        )),""),
    IF(
        INDEX($K$5:$K$50, ROW(A39)) = "Gezinshuis",
            "",
        IF(
            INDEX($K$5:$K$50, ROW(A39)) = "Pleegzorg",
                 "",
            ""
        )
    )
)</f>
        <v/>
      </c>
      <c r="N43" s="21" t="str">
        <f t="array" ref="N43">IF(
    INDEX($K$5:$K$50, ROW(A39)) = "Algemeen",
        IFERROR(IF('Hulp (control forms)'!$C$8&lt;&gt;TRUE, '1a. Input organisatieniveau'!$I$20, INDEX(
            '1a. Input organisatieniveau'!$L$12:$N$12,
            MATCH(
                INDEX('2. Output kostprijs'!$A:$ZZ,
                    15,
                    4 + 2 * (INDEX($L$5:$L$50, ROW(A39)) - 1)
                ),
                '1a. Input organisatieniveau'!$L$6:$N$6,
                0
            )
        )),""),
    IF(
        INDEX($K$5:$K$50, ROW(A39)) = "Gezinshuis",
            INDEX('3. Gezinshuis producten'!$A:$Y, 31,
            9 + 1 * (INDEX($L$5:$L$50, ROW(A39)) - 1)),
        IF(
            INDEX($K$5:$K$50, ROW(A39)) = "Pleegzorg",
                 "",
            ""
        )
    )
)</f>
        <v/>
      </c>
      <c r="O43" s="21" t="str">
        <f t="array" ref="O43">IF(
    INDEX($K$5:$K$50, ROW(A39)) = "Algemeen",
        IFERROR(IF('Hulp (control forms)'!$C$9&lt;&gt;TRUE, '1a. Input organisatieniveau'!$I$21, INDEX(
            '1a. Input organisatieniveau'!$L$13:$N$13,
            MATCH(
                INDEX('2. Output kostprijs'!$A:$ZZ,
                    15,
                    4 + 2 * (INDEX($L$5:$L$50, ROW(A39)) - 1)
                ),
                '1a. Input organisatieniveau'!$L$6:$N$6,
                0
            )
        )),""),
    IF(
        INDEX($K$5:$K$50, ROW(A39)) = "Gezinshuis",
            "",
        IF(
            INDEX($K$5:$K$50, ROW(A39)) = "Pleegzorg",
                 "",
            ""
        )
    )
)</f>
        <v/>
      </c>
      <c r="P43" s="21" t="str">
        <f>IF(
    INDEX($K$5:$K$50, ROW(A39)) = "Algemeen",
        IFERROR(IF('Hulp (control forms)'!$C$10&lt;&gt;TRUE, '1a. Input organisatieniveau'!$I$23, INDEX(
            '1a. Input organisatieniveau'!$L$15:$N$15,
            MATCH(
                INDEX('2. Output kostprijs'!$A:$ZZ,
                    15,
                    4 + 2 * (INDEX($L$5:$L$50, ROW(A39)) - 1)
                ),
                '1a. Input organisatieniveau'!$L$6:$N$6,
                0
            )
        )),""),
    IF(
        INDEX($K$5:$K$50, ROW(A39)) = "Gezinshuis",
            "",
        IF(
            INDEX($K$5:$K$50, ROW(A39)) = "Pleegzorg",
                 "",
            ""
        )
    )
)</f>
        <v/>
      </c>
      <c r="Q43" s="21" t="str">
        <f>IF(
    INDEX($K$5:$K$50, ROW(A39)) = "Algemeen",
        IFERROR(IF('Hulp (control forms)'!$C$11&lt;&gt;TRUE, '1a. Input organisatieniveau'!$I$24, INDEX(
            '1a. Input organisatieniveau'!$L$16:$N$16,
            MATCH(
                INDEX('2. Output kostprijs'!$A:$ZZ,
                    15,
                    4 + 2 * (INDEX($L$5:$L$50, ROW(A39)) - 1)
                ),
                '1a. Input organisatieniveau'!$L$6:$N$6,
                0
            )
        )),""),
    IF(
        INDEX($K$5:$K$50, ROW(A39)) = "Gezinshuis",
            "",
        IF(
            INDEX($K$5:$K$50, ROW(A39)) = "Pleegzorg",
                 "",
            ""
        )
    )
)</f>
        <v/>
      </c>
      <c r="R43" s="21" t="str">
        <f>IF(
    INDEX($K$5:$K$50, ROW(A39)) = "Algemeen",
        IFERROR(IF('Hulp (control forms)'!$C$12&lt;&gt;TRUE, '1a. Input organisatieniveau'!$I$29, INDEX(
            '1a. Input organisatieniveau'!$L$20:$N$20,
            MATCH(
                INDEX('2. Output kostprijs'!$A:$ZZ,
                    15,
                    4 + 2 * (INDEX($L$5:$L$50, ROW(A39)) - 1)
                ),
                '1a. Input organisatieniveau'!$L$6:$N$6,
                0
            )
        )),""),
    IF(
        INDEX($K$5:$K$50, ROW(A39)) = "Gezinshuis",
            "",
        IF(
            INDEX($K$5:$K$50, ROW(A39)) = "Pleegzorg",
                 "",
            ""
        )
    )
)</f>
        <v/>
      </c>
      <c r="S43" s="21" t="str">
        <f>IF(
    INDEX($K$5:$K$50, ROW(A39)) = "Algemeen",
        INDEX('2. Output kostprijs'!$A:$ZZ, 32,
            5 + 2 * (INDEX('Hulp (overig)'!$L$5:$L$50, ROW(A39)) - 1)
        ),
    IF(
        INDEX($K$5:$K$50, ROW(A39)) = "Gezinshuis",
            INDEX('3. Gezinshuis producten'!$A:$Y, 22,
            15 + 2 * (INDEX($L$5:$L$50, ROW(A39)) - 1)),
        IF(
            INDEX($K$5:$K$50, ROW(A39)) = "Pleegzorg",
                 INDEX('4. Pleegzorg producten'!$A:$Y, 24,
            13 + 3 * (INDEX($L$5:$L$50, ROW(A39)) - 1)) +
                 INDEX('4. Pleegzorg producten'!$A:$Y, 25,
            13 + 3 * (INDEX($L$5:$L$50, ROW(A39)) - 1)),
            ""
        )
    )
)</f>
        <v/>
      </c>
      <c r="T43" s="21" t="str">
        <f t="array" ref="T43">IF(
    INDEX($K$5:$K$50, ROW(A39)) = "Algemeen",
        IF(INDEX('2. Output kostprijs'!$A:$ZZ, 15,
            4 + 2 * (INDEX('Hulp (overig)'!$L$5:$L$50, ROW(A39)) - 1)
        )="Ambulant",
        INDEX('2. Output kostprijs'!$A:$ZZ, 47,
            4 + 2 * (INDEX('Hulp (overig)'!$L$5:$L$50, ROW(A39)) - 1)
        ), ""),
    IF(
        INDEX($K$5:$K$50, ROW(A39)) = "Gezinshuis",
            "",
        IF(
            INDEX($K$5:$K$50, ROW(A39)) = "Pleegzorg",
                 "",
            ""
        )
    )
)</f>
        <v/>
      </c>
      <c r="U43" s="21" t="str">
        <f>IF(
    INDEX($K$5:$K$50, ROW(A39)) = "Algemeen",
        IF(INDEX('2. Output kostprijs'!$A:$ZZ, 15,
            4 + 2 * (INDEX('Hulp (overig)'!$L$5:$L$50, ROW(A39)) - 1)
        )="Daghulp",
        INDEX('2. Output kostprijs'!$A:$ZZ, 47,
            4 + 2 * (INDEX('Hulp (overig)'!$L$5:$L$50, ROW(A39)) - 1)
        ), ""),
    IF(
        INDEX($K$5:$K$50, ROW(A39)) = "Gezinshuis",
            "",
        IF(
            INDEX($K$5:$K$50, ROW(A39)) = "Pleegzorg",
                 "",
            ""
        )
    )
)</f>
        <v/>
      </c>
      <c r="V43" s="21" t="str">
        <f>IF(
    INDEX($K$5:$K$50, ROW(A39)) = "Algemeen",
        IF(INDEX('2. Output kostprijs'!$A:$ZZ, 15,
            4 + 2 * (INDEX('Hulp (overig)'!$L$5:$L$50, ROW(A39)) - 1)
        )="Verblijf",
        INDEX('2. Output kostprijs'!$A:$ZZ, 47,
            4 + 2 * (INDEX('Hulp (overig)'!$L$5:$L$50, ROW(A39)) - 1)
        ), ""),
    IF(
        INDEX($K$5:$K$50, ROW(A39)) = "Gezinshuis",
            INDEX('3. Gezinshuis producten'!$A:$Y, 29,
            14 + 2 * (INDEX($L$5:$L$50, ROW(A39)) - 1)),
        IF(
            INDEX($K$5:$K$50, ROW(A39)) = "Pleegzorg",
                 INDEX('4. Pleegzorg producten'!$A:$Y, 26,
            13 + 3 * (INDEX($L$5:$L$50, ROW(A39)) - 1)),
            ""
        )
    )
)</f>
        <v/>
      </c>
      <c r="W43" s="21" t="str">
        <f>IF(
    INDEX($K$5:$K$50, ROW(A39)) = "Algemeen",
        IFERROR(IF('Hulp (control forms)'!$C$12&lt;&gt;TRUE, '1a. Input organisatieniveau'!$I$27, INDEX(
            '1a. Input organisatieniveau'!$L$18:$N$18,
            MATCH(
                INDEX('2. Output kostprijs'!$A:$ZZ,
                    15,
                    4 + 2 * (INDEX($L$5:$L$50, ROW(A39)) - 1)
                ),
                '1a. Input organisatieniveau'!$L$6:$N$6,
                0
            )
        )),""),
    IF(
        INDEX($K$5:$K$50, ROW(A39)) = "Gezinshuis",
            "",
        IF(
            INDEX($K$5:$K$50, ROW(A39)) = "Pleegzorg",
                 "",
            ""
        )
    )
)</f>
        <v/>
      </c>
      <c r="X43" s="21" t="str">
        <f>IF(
    INDEX($K$5:$K$50, ROW(A39)) = "Algemeen",
        IFERROR(IF('Hulp (control forms)'!$C$12&lt;&gt;TRUE, '1a. Input organisatieniveau'!$I$28, INDEX(
            '1a. Input organisatieniveau'!$L$19:$N$19,
            MATCH(
                INDEX('2. Output kostprijs'!$A:$ZZ,
                    15,
                    4 + 2 * (INDEX($L$5:$L$50, ROW(A39)) - 1)
                ),
                '1a. Input organisatieniveau'!$L$6:$N$6,
                0
            )
        )),""),
    IF(
        INDEX($K$5:$K$50, ROW(A39)) = "Gezinshuis",
            "",
        IF(
            INDEX($K$5:$K$50, ROW(A39)) = "Pleegzorg",
                 "",
            ""
        )
    )
)</f>
        <v/>
      </c>
    </row>
    <row r="44" spans="10:24" x14ac:dyDescent="0.45">
      <c r="J44" s="364" t="str">
        <f t="array" ref="J44">IFERROR(
  IF(
    ROW(A40) &lt;= SUMPRODUCT(--('Hulp (control forms)'!$G$13:$G$52)),
      IF(
        INDEX(Initialisatie!B$10:B$49,
          SMALL(
            IF('Hulp (control forms)'!$G$13:$G$52=TRUE,
               ROW(Initialisatie!B$10:B$49)-ROW(Initialisatie!B$10)+1),
            ROW(A40)
          )
        )="","",
        INDEX(Initialisatie!B$10:B$49,
          SMALL(
            IF('Hulp (control forms)'!$G$13:$G$52=TRUE,
               ROW(Initialisatie!B$10:B$49)-ROW(Initialisatie!B$10)+1),
            ROW(A40)
          )
        )
      ),
    IFERROR(
      INDEX(
        '3. Gezinshuis producten'!E$7:E$9,
        SMALL(
          IF('Hulp (control forms)'!$F$6:$F$8=TRUE,
             ROW('3. Gezinshuis producten'!E$7:E$9)-ROW('3. Gezinshuis producten'!E$7)+1),
          ROW(A40) - SUMPRODUCT(--('Hulp (control forms)'!$G$13:$G$52))
        )
      ),
      IF(
        ROW(A40)
         - SUMPRODUCT(--('Hulp (control forms)'!$G$13:$G$52))
         - SUMPRODUCT(--('Hulp (control forms)'!$F$6:$F$8)) = 1,
        IF('4. Pleegzorg producten'!$M$26&lt;&gt;"",
           "Voltijd",
           IF('4. Pleegzorg producten'!$P$26&lt;&gt;"","Deeltijd","")
        ),
        IF(
          ROW(A40)
           - SUMPRODUCT(--('Hulp (control forms)'!$G$13:$G$52))
           - SUMPRODUCT(--('Hulp (control forms)'!$F$6:$F$8)) = 2,
          IF( AND('4. Pleegzorg producten'!$M$26&lt;&gt;"", '4. Pleegzorg producten'!$P$26&lt;&gt;"" ),
             "Deeltijd",
             ""
          ),
          ""
        )
      )
    )
  ),
"")</f>
        <v/>
      </c>
      <c r="K44" s="364" t="str">
        <f>IF(
  ROW(A40) &lt;= SUMPRODUCT(--('Hulp (control forms)'!$G$13:$G$52)),
      "Algemeen",
  IF(
    ROW(A40) - SUMPRODUCT(--('Hulp (control forms)'!$G$13:$G$52))
      &lt;= SUMPRODUCT(--('Hulp (control forms)'!$F$6:$F$8)),
        "Gezinshuis",
    IF(
      (ROW(A40)
        - SUMPRODUCT(--('Hulp (control forms)'!$G$13:$G$52))
        - SUMPRODUCT(--('Hulp (control forms)'!$F$6:$F$8)))
        &lt;= SUMPRODUCT(--('4. Pleegzorg producten'!$M$26&lt;&gt;"") + --('4. Pleegzorg producten'!$P$26&lt;&gt;"")),
          "Pleegzorg",
          ""
    )
  )
)</f>
        <v/>
      </c>
      <c r="L44" s="21" t="str">
        <f t="array" ref="L44">IF(
  ROW(A40) &lt;= SUMPRODUCT(--('Hulp (control forms)'!$G$13:$G$52)),
      ROW(A40),
  IF(
    ROW(A40) - SUMPRODUCT(--('Hulp (control forms)'!$G$13:$G$52))
      &lt;= SUMPRODUCT(--('Hulp (control forms)'!$F$6:$F$8)),
        SMALL(
    IF('Hulp (control forms)'!$F$6:$F$8,
       ROW('Hulp (control forms)'!$F$6:$F$8)
    ),
    ROW(A40) - SUMPRODUCT(--('Hulp (control forms)'!$G$13:$G$52))
)-5,
    IF(
      (ROW(A40)
        - SUMPRODUCT(--('Hulp (control forms)'!$G$13:$G$52))
        - SUMPRODUCT(--('Hulp (control forms)'!$F$6:$F$8)))
        &lt;= SUMPRODUCT(--('4. Pleegzorg producten'!$M$26&lt;&gt;"") + --('4. Pleegzorg producten'!$P$26&lt;&gt;"")),
        ROW(A40)
        - SUMPRODUCT(--('Hulp (control forms)'!$G$13:$G$52))
        - SUMPRODUCT(--('Hulp (control forms)'!$F$6:$F$8)),
        ""
    )
  )
)</f>
        <v/>
      </c>
      <c r="M44" s="21" t="str">
        <f t="array" ref="M44">IF(
    INDEX($K$5:$K$50, ROW(A40)) = "Algemeen",
        IFERROR(IF('Hulp (control forms)'!$C$7&lt;&gt;TRUE, '1a. Input organisatieniveau'!$I$19, INDEX(
            '1a. Input organisatieniveau'!$L$11:$N$11,
            MATCH(
                INDEX('2. Output kostprijs'!$A:$ZZ,
                    15,
                    4 + 2 * (INDEX($L$5:$L$50, ROW(A40)) - 1)
                ),
                '1a. Input organisatieniveau'!$L$6:$N$6,
                0
            )
        )),""),
    IF(
        INDEX($K$5:$K$50, ROW(A40)) = "Gezinshuis",
            "",
        IF(
            INDEX($K$5:$K$50, ROW(A40)) = "Pleegzorg",
                 "",
            ""
        )
    )
)</f>
        <v/>
      </c>
      <c r="N44" s="21" t="str">
        <f t="array" ref="N44">IF(
    INDEX($K$5:$K$50, ROW(A40)) = "Algemeen",
        IFERROR(IF('Hulp (control forms)'!$C$8&lt;&gt;TRUE, '1a. Input organisatieniveau'!$I$20, INDEX(
            '1a. Input organisatieniveau'!$L$12:$N$12,
            MATCH(
                INDEX('2. Output kostprijs'!$A:$ZZ,
                    15,
                    4 + 2 * (INDEX($L$5:$L$50, ROW(A40)) - 1)
                ),
                '1a. Input organisatieniveau'!$L$6:$N$6,
                0
            )
        )),""),
    IF(
        INDEX($K$5:$K$50, ROW(A40)) = "Gezinshuis",
            INDEX('3. Gezinshuis producten'!$A:$Y, 31,
            9 + 1 * (INDEX($L$5:$L$50, ROW(A40)) - 1)),
        IF(
            INDEX($K$5:$K$50, ROW(A40)) = "Pleegzorg",
                 "",
            ""
        )
    )
)</f>
        <v/>
      </c>
      <c r="O44" s="21" t="str">
        <f t="array" ref="O44">IF(
    INDEX($K$5:$K$50, ROW(A40)) = "Algemeen",
        IFERROR(IF('Hulp (control forms)'!$C$9&lt;&gt;TRUE, '1a. Input organisatieniveau'!$I$21, INDEX(
            '1a. Input organisatieniveau'!$L$13:$N$13,
            MATCH(
                INDEX('2. Output kostprijs'!$A:$ZZ,
                    15,
                    4 + 2 * (INDEX($L$5:$L$50, ROW(A40)) - 1)
                ),
                '1a. Input organisatieniveau'!$L$6:$N$6,
                0
            )
        )),""),
    IF(
        INDEX($K$5:$K$50, ROW(A40)) = "Gezinshuis",
            "",
        IF(
            INDEX($K$5:$K$50, ROW(A40)) = "Pleegzorg",
                 "",
            ""
        )
    )
)</f>
        <v/>
      </c>
      <c r="P44" s="21" t="str">
        <f>IF(
    INDEX($K$5:$K$50, ROW(A40)) = "Algemeen",
        IFERROR(IF('Hulp (control forms)'!$C$10&lt;&gt;TRUE, '1a. Input organisatieniveau'!$I$23, INDEX(
            '1a. Input organisatieniveau'!$L$15:$N$15,
            MATCH(
                INDEX('2. Output kostprijs'!$A:$ZZ,
                    15,
                    4 + 2 * (INDEX($L$5:$L$50, ROW(A40)) - 1)
                ),
                '1a. Input organisatieniveau'!$L$6:$N$6,
                0
            )
        )),""),
    IF(
        INDEX($K$5:$K$50, ROW(A40)) = "Gezinshuis",
            "",
        IF(
            INDEX($K$5:$K$50, ROW(A40)) = "Pleegzorg",
                 "",
            ""
        )
    )
)</f>
        <v/>
      </c>
      <c r="Q44" s="21" t="str">
        <f>IF(
    INDEX($K$5:$K$50, ROW(A40)) = "Algemeen",
        IFERROR(IF('Hulp (control forms)'!$C$11&lt;&gt;TRUE, '1a. Input organisatieniveau'!$I$24, INDEX(
            '1a. Input organisatieniveau'!$L$16:$N$16,
            MATCH(
                INDEX('2. Output kostprijs'!$A:$ZZ,
                    15,
                    4 + 2 * (INDEX($L$5:$L$50, ROW(A40)) - 1)
                ),
                '1a. Input organisatieniveau'!$L$6:$N$6,
                0
            )
        )),""),
    IF(
        INDEX($K$5:$K$50, ROW(A40)) = "Gezinshuis",
            "",
        IF(
            INDEX($K$5:$K$50, ROW(A40)) = "Pleegzorg",
                 "",
            ""
        )
    )
)</f>
        <v/>
      </c>
      <c r="R44" s="21" t="str">
        <f>IF(
    INDEX($K$5:$K$50, ROW(A40)) = "Algemeen",
        IFERROR(IF('Hulp (control forms)'!$C$12&lt;&gt;TRUE, '1a. Input organisatieniveau'!$I$29, INDEX(
            '1a. Input organisatieniveau'!$L$20:$N$20,
            MATCH(
                INDEX('2. Output kostprijs'!$A:$ZZ,
                    15,
                    4 + 2 * (INDEX($L$5:$L$50, ROW(A40)) - 1)
                ),
                '1a. Input organisatieniveau'!$L$6:$N$6,
                0
            )
        )),""),
    IF(
        INDEX($K$5:$K$50, ROW(A40)) = "Gezinshuis",
            "",
        IF(
            INDEX($K$5:$K$50, ROW(A40)) = "Pleegzorg",
                 "",
            ""
        )
    )
)</f>
        <v/>
      </c>
      <c r="S44" s="21" t="str">
        <f>IF(
    INDEX($K$5:$K$50, ROW(A40)) = "Algemeen",
        INDEX('2. Output kostprijs'!$A:$ZZ, 32,
            5 + 2 * (INDEX('Hulp (overig)'!$L$5:$L$50, ROW(A40)) - 1)
        ),
    IF(
        INDEX($K$5:$K$50, ROW(A40)) = "Gezinshuis",
            INDEX('3. Gezinshuis producten'!$A:$Y, 22,
            15 + 2 * (INDEX($L$5:$L$50, ROW(A40)) - 1)),
        IF(
            INDEX($K$5:$K$50, ROW(A40)) = "Pleegzorg",
                 INDEX('4. Pleegzorg producten'!$A:$Y, 24,
            13 + 3 * (INDEX($L$5:$L$50, ROW(A40)) - 1)) +
                 INDEX('4. Pleegzorg producten'!$A:$Y, 25,
            13 + 3 * (INDEX($L$5:$L$50, ROW(A40)) - 1)),
            ""
        )
    )
)</f>
        <v/>
      </c>
      <c r="T44" s="21" t="str">
        <f t="array" ref="T44">IF(
    INDEX($K$5:$K$50, ROW(A40)) = "Algemeen",
        IF(INDEX('2. Output kostprijs'!$A:$ZZ, 15,
            4 + 2 * (INDEX('Hulp (overig)'!$L$5:$L$50, ROW(A40)) - 1)
        )="Ambulant",
        INDEX('2. Output kostprijs'!$A:$ZZ, 47,
            4 + 2 * (INDEX('Hulp (overig)'!$L$5:$L$50, ROW(A40)) - 1)
        ), ""),
    IF(
        INDEX($K$5:$K$50, ROW(A40)) = "Gezinshuis",
            "",
        IF(
            INDEX($K$5:$K$50, ROW(A40)) = "Pleegzorg",
                 "",
            ""
        )
    )
)</f>
        <v/>
      </c>
      <c r="U44" s="21" t="str">
        <f>IF(
    INDEX($K$5:$K$50, ROW(A40)) = "Algemeen",
        IF(INDEX('2. Output kostprijs'!$A:$ZZ, 15,
            4 + 2 * (INDEX('Hulp (overig)'!$L$5:$L$50, ROW(A40)) - 1)
        )="Daghulp",
        INDEX('2. Output kostprijs'!$A:$ZZ, 47,
            4 + 2 * (INDEX('Hulp (overig)'!$L$5:$L$50, ROW(A40)) - 1)
        ), ""),
    IF(
        INDEX($K$5:$K$50, ROW(A40)) = "Gezinshuis",
            "",
        IF(
            INDEX($K$5:$K$50, ROW(A40)) = "Pleegzorg",
                 "",
            ""
        )
    )
)</f>
        <v/>
      </c>
      <c r="V44" s="21" t="str">
        <f>IF(
    INDEX($K$5:$K$50, ROW(A40)) = "Algemeen",
        IF(INDEX('2. Output kostprijs'!$A:$ZZ, 15,
            4 + 2 * (INDEX('Hulp (overig)'!$L$5:$L$50, ROW(A40)) - 1)
        )="Verblijf",
        INDEX('2. Output kostprijs'!$A:$ZZ, 47,
            4 + 2 * (INDEX('Hulp (overig)'!$L$5:$L$50, ROW(A40)) - 1)
        ), ""),
    IF(
        INDEX($K$5:$K$50, ROW(A40)) = "Gezinshuis",
            INDEX('3. Gezinshuis producten'!$A:$Y, 29,
            14 + 2 * (INDEX($L$5:$L$50, ROW(A40)) - 1)),
        IF(
            INDEX($K$5:$K$50, ROW(A40)) = "Pleegzorg",
                 INDEX('4. Pleegzorg producten'!$A:$Y, 26,
            13 + 3 * (INDEX($L$5:$L$50, ROW(A40)) - 1)),
            ""
        )
    )
)</f>
        <v/>
      </c>
      <c r="W44" s="21" t="str">
        <f>IF(
    INDEX($K$5:$K$50, ROW(A40)) = "Algemeen",
        IFERROR(IF('Hulp (control forms)'!$C$12&lt;&gt;TRUE, '1a. Input organisatieniveau'!$I$27, INDEX(
            '1a. Input organisatieniveau'!$L$18:$N$18,
            MATCH(
                INDEX('2. Output kostprijs'!$A:$ZZ,
                    15,
                    4 + 2 * (INDEX($L$5:$L$50, ROW(A40)) - 1)
                ),
                '1a. Input organisatieniveau'!$L$6:$N$6,
                0
            )
        )),""),
    IF(
        INDEX($K$5:$K$50, ROW(A40)) = "Gezinshuis",
            "",
        IF(
            INDEX($K$5:$K$50, ROW(A40)) = "Pleegzorg",
                 "",
            ""
        )
    )
)</f>
        <v/>
      </c>
      <c r="X44" s="21" t="str">
        <f>IF(
    INDEX($K$5:$K$50, ROW(A40)) = "Algemeen",
        IFERROR(IF('Hulp (control forms)'!$C$12&lt;&gt;TRUE, '1a. Input organisatieniveau'!$I$28, INDEX(
            '1a. Input organisatieniveau'!$L$19:$N$19,
            MATCH(
                INDEX('2. Output kostprijs'!$A:$ZZ,
                    15,
                    4 + 2 * (INDEX($L$5:$L$50, ROW(A40)) - 1)
                ),
                '1a. Input organisatieniveau'!$L$6:$N$6,
                0
            )
        )),""),
    IF(
        INDEX($K$5:$K$50, ROW(A40)) = "Gezinshuis",
            "",
        IF(
            INDEX($K$5:$K$50, ROW(A40)) = "Pleegzorg",
                 "",
            ""
        )
    )
)</f>
        <v/>
      </c>
    </row>
    <row r="45" spans="10:24" x14ac:dyDescent="0.45">
      <c r="J45" s="364" t="str">
        <f t="array" ref="J45">IFERROR(
  IF(
    ROW(A41) &lt;= SUMPRODUCT(--('Hulp (control forms)'!$G$13:$G$52)),
      IF(
        INDEX(Initialisatie!B$10:B$49,
          SMALL(
            IF('Hulp (control forms)'!$G$13:$G$52=TRUE,
               ROW(Initialisatie!B$10:B$49)-ROW(Initialisatie!B$10)+1),
            ROW(A41)
          )
        )="","",
        INDEX(Initialisatie!B$10:B$49,
          SMALL(
            IF('Hulp (control forms)'!$G$13:$G$52=TRUE,
               ROW(Initialisatie!B$10:B$49)-ROW(Initialisatie!B$10)+1),
            ROW(A41)
          )
        )
      ),
    IFERROR(
      INDEX(
        '3. Gezinshuis producten'!E$7:E$9,
        SMALL(
          IF('Hulp (control forms)'!$F$6:$F$8=TRUE,
             ROW('3. Gezinshuis producten'!E$7:E$9)-ROW('3. Gezinshuis producten'!E$7)+1),
          ROW(A41) - SUMPRODUCT(--('Hulp (control forms)'!$G$13:$G$52))
        )
      ),
      IF(
        ROW(A41)
         - SUMPRODUCT(--('Hulp (control forms)'!$G$13:$G$52))
         - SUMPRODUCT(--('Hulp (control forms)'!$F$6:$F$8)) = 1,
        IF('4. Pleegzorg producten'!$M$26&lt;&gt;"",
           "Voltijd",
           IF('4. Pleegzorg producten'!$P$26&lt;&gt;"","Deeltijd","")
        ),
        IF(
          ROW(A41)
           - SUMPRODUCT(--('Hulp (control forms)'!$G$13:$G$52))
           - SUMPRODUCT(--('Hulp (control forms)'!$F$6:$F$8)) = 2,
          IF( AND('4. Pleegzorg producten'!$M$26&lt;&gt;"", '4. Pleegzorg producten'!$P$26&lt;&gt;"" ),
             "Deeltijd",
             ""
          ),
          ""
        )
      )
    )
  ),
"")</f>
        <v/>
      </c>
      <c r="K45" s="364" t="str">
        <f>IF(
  ROW(A41) &lt;= SUMPRODUCT(--('Hulp (control forms)'!$G$13:$G$52)),
      "Algemeen",
  IF(
    ROW(A41) - SUMPRODUCT(--('Hulp (control forms)'!$G$13:$G$52))
      &lt;= SUMPRODUCT(--('Hulp (control forms)'!$F$6:$F$8)),
        "Gezinshuis",
    IF(
      (ROW(A41)
        - SUMPRODUCT(--('Hulp (control forms)'!$G$13:$G$52))
        - SUMPRODUCT(--('Hulp (control forms)'!$F$6:$F$8)))
        &lt;= SUMPRODUCT(--('4. Pleegzorg producten'!$M$26&lt;&gt;"") + --('4. Pleegzorg producten'!$P$26&lt;&gt;"")),
          "Pleegzorg",
          ""
    )
  )
)</f>
        <v/>
      </c>
      <c r="L45" s="21" t="str">
        <f t="array" ref="L45">IF(
  ROW(A41) &lt;= SUMPRODUCT(--('Hulp (control forms)'!$G$13:$G$52)),
      ROW(A41),
  IF(
    ROW(A41) - SUMPRODUCT(--('Hulp (control forms)'!$G$13:$G$52))
      &lt;= SUMPRODUCT(--('Hulp (control forms)'!$F$6:$F$8)),
        SMALL(
    IF('Hulp (control forms)'!$F$6:$F$8,
       ROW('Hulp (control forms)'!$F$6:$F$8)
    ),
    ROW(A41) - SUMPRODUCT(--('Hulp (control forms)'!$G$13:$G$52))
)-5,
    IF(
      (ROW(A41)
        - SUMPRODUCT(--('Hulp (control forms)'!$G$13:$G$52))
        - SUMPRODUCT(--('Hulp (control forms)'!$F$6:$F$8)))
        &lt;= SUMPRODUCT(--('4. Pleegzorg producten'!$M$26&lt;&gt;"") + --('4. Pleegzorg producten'!$P$26&lt;&gt;"")),
        ROW(A41)
        - SUMPRODUCT(--('Hulp (control forms)'!$G$13:$G$52))
        - SUMPRODUCT(--('Hulp (control forms)'!$F$6:$F$8)),
        ""
    )
  )
)</f>
        <v/>
      </c>
      <c r="M45" s="21" t="str">
        <f t="array" ref="M45">IF(
    INDEX($K$5:$K$50, ROW(A41)) = "Algemeen",
        IFERROR(IF('Hulp (control forms)'!$C$7&lt;&gt;TRUE, '1a. Input organisatieniveau'!$I$19, INDEX(
            '1a. Input organisatieniveau'!$L$11:$N$11,
            MATCH(
                INDEX('2. Output kostprijs'!$A:$ZZ,
                    15,
                    4 + 2 * (INDEX($L$5:$L$50, ROW(A41)) - 1)
                ),
                '1a. Input organisatieniveau'!$L$6:$N$6,
                0
            )
        )),""),
    IF(
        INDEX($K$5:$K$50, ROW(A41)) = "Gezinshuis",
            "",
        IF(
            INDEX($K$5:$K$50, ROW(A41)) = "Pleegzorg",
                 "",
            ""
        )
    )
)</f>
        <v/>
      </c>
      <c r="N45" s="21" t="str">
        <f t="array" ref="N45">IF(
    INDEX($K$5:$K$50, ROW(A41)) = "Algemeen",
        IFERROR(IF('Hulp (control forms)'!$C$8&lt;&gt;TRUE, '1a. Input organisatieniveau'!$I$20, INDEX(
            '1a. Input organisatieniveau'!$L$12:$N$12,
            MATCH(
                INDEX('2. Output kostprijs'!$A:$ZZ,
                    15,
                    4 + 2 * (INDEX($L$5:$L$50, ROW(A41)) - 1)
                ),
                '1a. Input organisatieniveau'!$L$6:$N$6,
                0
            )
        )),""),
    IF(
        INDEX($K$5:$K$50, ROW(A41)) = "Gezinshuis",
            INDEX('3. Gezinshuis producten'!$A:$Y, 31,
            9 + 1 * (INDEX($L$5:$L$50, ROW(A41)) - 1)),
        IF(
            INDEX($K$5:$K$50, ROW(A41)) = "Pleegzorg",
                 "",
            ""
        )
    )
)</f>
        <v/>
      </c>
      <c r="O45" s="21" t="str">
        <f t="array" ref="O45">IF(
    INDEX($K$5:$K$50, ROW(A41)) = "Algemeen",
        IFERROR(IF('Hulp (control forms)'!$C$9&lt;&gt;TRUE, '1a. Input organisatieniveau'!$I$21, INDEX(
            '1a. Input organisatieniveau'!$L$13:$N$13,
            MATCH(
                INDEX('2. Output kostprijs'!$A:$ZZ,
                    15,
                    4 + 2 * (INDEX($L$5:$L$50, ROW(A41)) - 1)
                ),
                '1a. Input organisatieniveau'!$L$6:$N$6,
                0
            )
        )),""),
    IF(
        INDEX($K$5:$K$50, ROW(A41)) = "Gezinshuis",
            "",
        IF(
            INDEX($K$5:$K$50, ROW(A41)) = "Pleegzorg",
                 "",
            ""
        )
    )
)</f>
        <v/>
      </c>
      <c r="P45" s="21" t="str">
        <f>IF(
    INDEX($K$5:$K$50, ROW(A41)) = "Algemeen",
        IFERROR(IF('Hulp (control forms)'!$C$10&lt;&gt;TRUE, '1a. Input organisatieniveau'!$I$23, INDEX(
            '1a. Input organisatieniveau'!$L$15:$N$15,
            MATCH(
                INDEX('2. Output kostprijs'!$A:$ZZ,
                    15,
                    4 + 2 * (INDEX($L$5:$L$50, ROW(A41)) - 1)
                ),
                '1a. Input organisatieniveau'!$L$6:$N$6,
                0
            )
        )),""),
    IF(
        INDEX($K$5:$K$50, ROW(A41)) = "Gezinshuis",
            "",
        IF(
            INDEX($K$5:$K$50, ROW(A41)) = "Pleegzorg",
                 "",
            ""
        )
    )
)</f>
        <v/>
      </c>
      <c r="Q45" s="21" t="str">
        <f>IF(
    INDEX($K$5:$K$50, ROW(A41)) = "Algemeen",
        IFERROR(IF('Hulp (control forms)'!$C$11&lt;&gt;TRUE, '1a. Input organisatieniveau'!$I$24, INDEX(
            '1a. Input organisatieniveau'!$L$16:$N$16,
            MATCH(
                INDEX('2. Output kostprijs'!$A:$ZZ,
                    15,
                    4 + 2 * (INDEX($L$5:$L$50, ROW(A41)) - 1)
                ),
                '1a. Input organisatieniveau'!$L$6:$N$6,
                0
            )
        )),""),
    IF(
        INDEX($K$5:$K$50, ROW(A41)) = "Gezinshuis",
            "",
        IF(
            INDEX($K$5:$K$50, ROW(A41)) = "Pleegzorg",
                 "",
            ""
        )
    )
)</f>
        <v/>
      </c>
      <c r="R45" s="21" t="str">
        <f>IF(
    INDEX($K$5:$K$50, ROW(A41)) = "Algemeen",
        IFERROR(IF('Hulp (control forms)'!$C$12&lt;&gt;TRUE, '1a. Input organisatieniveau'!$I$29, INDEX(
            '1a. Input organisatieniveau'!$L$20:$N$20,
            MATCH(
                INDEX('2. Output kostprijs'!$A:$ZZ,
                    15,
                    4 + 2 * (INDEX($L$5:$L$50, ROW(A41)) - 1)
                ),
                '1a. Input organisatieniveau'!$L$6:$N$6,
                0
            )
        )),""),
    IF(
        INDEX($K$5:$K$50, ROW(A41)) = "Gezinshuis",
            "",
        IF(
            INDEX($K$5:$K$50, ROW(A41)) = "Pleegzorg",
                 "",
            ""
        )
    )
)</f>
        <v/>
      </c>
      <c r="S45" s="21" t="str">
        <f>IF(
    INDEX($K$5:$K$50, ROW(A41)) = "Algemeen",
        INDEX('2. Output kostprijs'!$A:$ZZ, 32,
            5 + 2 * (INDEX('Hulp (overig)'!$L$5:$L$50, ROW(A41)) - 1)
        ),
    IF(
        INDEX($K$5:$K$50, ROW(A41)) = "Gezinshuis",
            INDEX('3. Gezinshuis producten'!$A:$Y, 22,
            15 + 2 * (INDEX($L$5:$L$50, ROW(A41)) - 1)),
        IF(
            INDEX($K$5:$K$50, ROW(A41)) = "Pleegzorg",
                 INDEX('4. Pleegzorg producten'!$A:$Y, 24,
            13 + 3 * (INDEX($L$5:$L$50, ROW(A41)) - 1)) +
                 INDEX('4. Pleegzorg producten'!$A:$Y, 25,
            13 + 3 * (INDEX($L$5:$L$50, ROW(A41)) - 1)),
            ""
        )
    )
)</f>
        <v/>
      </c>
      <c r="T45" s="21" t="str">
        <f t="array" ref="T45">IF(
    INDEX($K$5:$K$50, ROW(A41)) = "Algemeen",
        IF(INDEX('2. Output kostprijs'!$A:$ZZ, 15,
            4 + 2 * (INDEX('Hulp (overig)'!$L$5:$L$50, ROW(A41)) - 1)
        )="Ambulant",
        INDEX('2. Output kostprijs'!$A:$ZZ, 47,
            4 + 2 * (INDEX('Hulp (overig)'!$L$5:$L$50, ROW(A41)) - 1)
        ), ""),
    IF(
        INDEX($K$5:$K$50, ROW(A41)) = "Gezinshuis",
            "",
        IF(
            INDEX($K$5:$K$50, ROW(A41)) = "Pleegzorg",
                 "",
            ""
        )
    )
)</f>
        <v/>
      </c>
      <c r="U45" s="21" t="str">
        <f>IF(
    INDEX($K$5:$K$50, ROW(A41)) = "Algemeen",
        IF(INDEX('2. Output kostprijs'!$A:$ZZ, 15,
            4 + 2 * (INDEX('Hulp (overig)'!$L$5:$L$50, ROW(A41)) - 1)
        )="Daghulp",
        INDEX('2. Output kostprijs'!$A:$ZZ, 47,
            4 + 2 * (INDEX('Hulp (overig)'!$L$5:$L$50, ROW(A41)) - 1)
        ), ""),
    IF(
        INDEX($K$5:$K$50, ROW(A41)) = "Gezinshuis",
            "",
        IF(
            INDEX($K$5:$K$50, ROW(A41)) = "Pleegzorg",
                 "",
            ""
        )
    )
)</f>
        <v/>
      </c>
      <c r="V45" s="21" t="str">
        <f>IF(
    INDEX($K$5:$K$50, ROW(A41)) = "Algemeen",
        IF(INDEX('2. Output kostprijs'!$A:$ZZ, 15,
            4 + 2 * (INDEX('Hulp (overig)'!$L$5:$L$50, ROW(A41)) - 1)
        )="Verblijf",
        INDEX('2. Output kostprijs'!$A:$ZZ, 47,
            4 + 2 * (INDEX('Hulp (overig)'!$L$5:$L$50, ROW(A41)) - 1)
        ), ""),
    IF(
        INDEX($K$5:$K$50, ROW(A41)) = "Gezinshuis",
            INDEX('3. Gezinshuis producten'!$A:$Y, 29,
            14 + 2 * (INDEX($L$5:$L$50, ROW(A41)) - 1)),
        IF(
            INDEX($K$5:$K$50, ROW(A41)) = "Pleegzorg",
                 INDEX('4. Pleegzorg producten'!$A:$Y, 26,
            13 + 3 * (INDEX($L$5:$L$50, ROW(A41)) - 1)),
            ""
        )
    )
)</f>
        <v/>
      </c>
      <c r="W45" s="21" t="str">
        <f>IF(
    INDEX($K$5:$K$50, ROW(A41)) = "Algemeen",
        IFERROR(IF('Hulp (control forms)'!$C$12&lt;&gt;TRUE, '1a. Input organisatieniveau'!$I$27, INDEX(
            '1a. Input organisatieniveau'!$L$18:$N$18,
            MATCH(
                INDEX('2. Output kostprijs'!$A:$ZZ,
                    15,
                    4 + 2 * (INDEX($L$5:$L$50, ROW(A41)) - 1)
                ),
                '1a. Input organisatieniveau'!$L$6:$N$6,
                0
            )
        )),""),
    IF(
        INDEX($K$5:$K$50, ROW(A41)) = "Gezinshuis",
            "",
        IF(
            INDEX($K$5:$K$50, ROW(A41)) = "Pleegzorg",
                 "",
            ""
        )
    )
)</f>
        <v/>
      </c>
      <c r="X45" s="21" t="str">
        <f>IF(
    INDEX($K$5:$K$50, ROW(A41)) = "Algemeen",
        IFERROR(IF('Hulp (control forms)'!$C$12&lt;&gt;TRUE, '1a. Input organisatieniveau'!$I$28, INDEX(
            '1a. Input organisatieniveau'!$L$19:$N$19,
            MATCH(
                INDEX('2. Output kostprijs'!$A:$ZZ,
                    15,
                    4 + 2 * (INDEX($L$5:$L$50, ROW(A41)) - 1)
                ),
                '1a. Input organisatieniveau'!$L$6:$N$6,
                0
            )
        )),""),
    IF(
        INDEX($K$5:$K$50, ROW(A41)) = "Gezinshuis",
            "",
        IF(
            INDEX($K$5:$K$50, ROW(A41)) = "Pleegzorg",
                 "",
            ""
        )
    )
)</f>
        <v/>
      </c>
    </row>
    <row r="46" spans="10:24" x14ac:dyDescent="0.45">
      <c r="J46" s="364" t="str">
        <f t="array" ref="J46">IFERROR(
  IF(
    ROW(A42) &lt;= SUMPRODUCT(--('Hulp (control forms)'!$G$13:$G$52)),
      IF(
        INDEX(Initialisatie!B$10:B$49,
          SMALL(
            IF('Hulp (control forms)'!$G$13:$G$52=TRUE,
               ROW(Initialisatie!B$10:B$49)-ROW(Initialisatie!B$10)+1),
            ROW(A42)
          )
        )="","",
        INDEX(Initialisatie!B$10:B$49,
          SMALL(
            IF('Hulp (control forms)'!$G$13:$G$52=TRUE,
               ROW(Initialisatie!B$10:B$49)-ROW(Initialisatie!B$10)+1),
            ROW(A42)
          )
        )
      ),
    IFERROR(
      INDEX(
        '3. Gezinshuis producten'!E$7:E$9,
        SMALL(
          IF('Hulp (control forms)'!$F$6:$F$8=TRUE,
             ROW('3. Gezinshuis producten'!E$7:E$9)-ROW('3. Gezinshuis producten'!E$7)+1),
          ROW(A42) - SUMPRODUCT(--('Hulp (control forms)'!$G$13:$G$52))
        )
      ),
      IF(
        ROW(A42)
         - SUMPRODUCT(--('Hulp (control forms)'!$G$13:$G$52))
         - SUMPRODUCT(--('Hulp (control forms)'!$F$6:$F$8)) = 1,
        IF('4. Pleegzorg producten'!$M$26&lt;&gt;"",
           "Voltijd",
           IF('4. Pleegzorg producten'!$P$26&lt;&gt;"","Deeltijd","")
        ),
        IF(
          ROW(A42)
           - SUMPRODUCT(--('Hulp (control forms)'!$G$13:$G$52))
           - SUMPRODUCT(--('Hulp (control forms)'!$F$6:$F$8)) = 2,
          IF( AND('4. Pleegzorg producten'!$M$26&lt;&gt;"", '4. Pleegzorg producten'!$P$26&lt;&gt;"" ),
             "Deeltijd",
             ""
          ),
          ""
        )
      )
    )
  ),
"")</f>
        <v/>
      </c>
      <c r="K46" s="364" t="str">
        <f>IF(
  ROW(A42) &lt;= SUMPRODUCT(--('Hulp (control forms)'!$G$13:$G$52)),
      "Algemeen",
  IF(
    ROW(A42) - SUMPRODUCT(--('Hulp (control forms)'!$G$13:$G$52))
      &lt;= SUMPRODUCT(--('Hulp (control forms)'!$F$6:$F$8)),
        "Gezinshuis",
    IF(
      (ROW(A42)
        - SUMPRODUCT(--('Hulp (control forms)'!$G$13:$G$52))
        - SUMPRODUCT(--('Hulp (control forms)'!$F$6:$F$8)))
        &lt;= SUMPRODUCT(--('4. Pleegzorg producten'!$M$26&lt;&gt;"") + --('4. Pleegzorg producten'!$P$26&lt;&gt;"")),
          "Pleegzorg",
          ""
    )
  )
)</f>
        <v/>
      </c>
      <c r="L46" s="21" t="str">
        <f t="array" ref="L46">IF(
  ROW(A42) &lt;= SUMPRODUCT(--('Hulp (control forms)'!$G$13:$G$52)),
      ROW(A42),
  IF(
    ROW(A42) - SUMPRODUCT(--('Hulp (control forms)'!$G$13:$G$52))
      &lt;= SUMPRODUCT(--('Hulp (control forms)'!$F$6:$F$8)),
        SMALL(
    IF('Hulp (control forms)'!$F$6:$F$8,
       ROW('Hulp (control forms)'!$F$6:$F$8)
    ),
    ROW(A42) - SUMPRODUCT(--('Hulp (control forms)'!$G$13:$G$52))
)-5,
    IF(
      (ROW(A42)
        - SUMPRODUCT(--('Hulp (control forms)'!$G$13:$G$52))
        - SUMPRODUCT(--('Hulp (control forms)'!$F$6:$F$8)))
        &lt;= SUMPRODUCT(--('4. Pleegzorg producten'!$M$26&lt;&gt;"") + --('4. Pleegzorg producten'!$P$26&lt;&gt;"")),
        ROW(A42)
        - SUMPRODUCT(--('Hulp (control forms)'!$G$13:$G$52))
        - SUMPRODUCT(--('Hulp (control forms)'!$F$6:$F$8)),
        ""
    )
  )
)</f>
        <v/>
      </c>
      <c r="M46" s="21" t="str">
        <f t="array" ref="M46">IF(
    INDEX($K$5:$K$50, ROW(A42)) = "Algemeen",
        IFERROR(IF('Hulp (control forms)'!$C$7&lt;&gt;TRUE, '1a. Input organisatieniveau'!$I$19, INDEX(
            '1a. Input organisatieniveau'!$L$11:$N$11,
            MATCH(
                INDEX('2. Output kostprijs'!$A:$ZZ,
                    15,
                    4 + 2 * (INDEX($L$5:$L$50, ROW(A42)) - 1)
                ),
                '1a. Input organisatieniveau'!$L$6:$N$6,
                0
            )
        )),""),
    IF(
        INDEX($K$5:$K$50, ROW(A42)) = "Gezinshuis",
            "",
        IF(
            INDEX($K$5:$K$50, ROW(A42)) = "Pleegzorg",
                 "",
            ""
        )
    )
)</f>
        <v/>
      </c>
      <c r="N46" s="21" t="str">
        <f t="array" ref="N46">IF(
    INDEX($K$5:$K$50, ROW(A42)) = "Algemeen",
        IFERROR(IF('Hulp (control forms)'!$C$8&lt;&gt;TRUE, '1a. Input organisatieniveau'!$I$20, INDEX(
            '1a. Input organisatieniveau'!$L$12:$N$12,
            MATCH(
                INDEX('2. Output kostprijs'!$A:$ZZ,
                    15,
                    4 + 2 * (INDEX($L$5:$L$50, ROW(A42)) - 1)
                ),
                '1a. Input organisatieniveau'!$L$6:$N$6,
                0
            )
        )),""),
    IF(
        INDEX($K$5:$K$50, ROW(A42)) = "Gezinshuis",
            INDEX('3. Gezinshuis producten'!$A:$Y, 31,
            9 + 1 * (INDEX($L$5:$L$50, ROW(A42)) - 1)),
        IF(
            INDEX($K$5:$K$50, ROW(A42)) = "Pleegzorg",
                 "",
            ""
        )
    )
)</f>
        <v/>
      </c>
      <c r="O46" s="21" t="str">
        <f t="array" ref="O46">IF(
    INDEX($K$5:$K$50, ROW(A42)) = "Algemeen",
        IFERROR(IF('Hulp (control forms)'!$C$9&lt;&gt;TRUE, '1a. Input organisatieniveau'!$I$21, INDEX(
            '1a. Input organisatieniveau'!$L$13:$N$13,
            MATCH(
                INDEX('2. Output kostprijs'!$A:$ZZ,
                    15,
                    4 + 2 * (INDEX($L$5:$L$50, ROW(A42)) - 1)
                ),
                '1a. Input organisatieniveau'!$L$6:$N$6,
                0
            )
        )),""),
    IF(
        INDEX($K$5:$K$50, ROW(A42)) = "Gezinshuis",
            "",
        IF(
            INDEX($K$5:$K$50, ROW(A42)) = "Pleegzorg",
                 "",
            ""
        )
    )
)</f>
        <v/>
      </c>
      <c r="P46" s="21" t="str">
        <f>IF(
    INDEX($K$5:$K$50, ROW(A42)) = "Algemeen",
        IFERROR(IF('Hulp (control forms)'!$C$10&lt;&gt;TRUE, '1a. Input organisatieniveau'!$I$23, INDEX(
            '1a. Input organisatieniveau'!$L$15:$N$15,
            MATCH(
                INDEX('2. Output kostprijs'!$A:$ZZ,
                    15,
                    4 + 2 * (INDEX($L$5:$L$50, ROW(A42)) - 1)
                ),
                '1a. Input organisatieniveau'!$L$6:$N$6,
                0
            )
        )),""),
    IF(
        INDEX($K$5:$K$50, ROW(A42)) = "Gezinshuis",
            "",
        IF(
            INDEX($K$5:$K$50, ROW(A42)) = "Pleegzorg",
                 "",
            ""
        )
    )
)</f>
        <v/>
      </c>
      <c r="Q46" s="21" t="str">
        <f>IF(
    INDEX($K$5:$K$50, ROW(A42)) = "Algemeen",
        IFERROR(IF('Hulp (control forms)'!$C$11&lt;&gt;TRUE, '1a. Input organisatieniveau'!$I$24, INDEX(
            '1a. Input organisatieniveau'!$L$16:$N$16,
            MATCH(
                INDEX('2. Output kostprijs'!$A:$ZZ,
                    15,
                    4 + 2 * (INDEX($L$5:$L$50, ROW(A42)) - 1)
                ),
                '1a. Input organisatieniveau'!$L$6:$N$6,
                0
            )
        )),""),
    IF(
        INDEX($K$5:$K$50, ROW(A42)) = "Gezinshuis",
            "",
        IF(
            INDEX($K$5:$K$50, ROW(A42)) = "Pleegzorg",
                 "",
            ""
        )
    )
)</f>
        <v/>
      </c>
      <c r="R46" s="21" t="str">
        <f>IF(
    INDEX($K$5:$K$50, ROW(A42)) = "Algemeen",
        IFERROR(IF('Hulp (control forms)'!$C$12&lt;&gt;TRUE, '1a. Input organisatieniveau'!$I$29, INDEX(
            '1a. Input organisatieniveau'!$L$20:$N$20,
            MATCH(
                INDEX('2. Output kostprijs'!$A:$ZZ,
                    15,
                    4 + 2 * (INDEX($L$5:$L$50, ROW(A42)) - 1)
                ),
                '1a. Input organisatieniveau'!$L$6:$N$6,
                0
            )
        )),""),
    IF(
        INDEX($K$5:$K$50, ROW(A42)) = "Gezinshuis",
            "",
        IF(
            INDEX($K$5:$K$50, ROW(A42)) = "Pleegzorg",
                 "",
            ""
        )
    )
)</f>
        <v/>
      </c>
      <c r="S46" s="21" t="str">
        <f>IF(
    INDEX($K$5:$K$50, ROW(A42)) = "Algemeen",
        INDEX('2. Output kostprijs'!$A:$ZZ, 32,
            5 + 2 * (INDEX('Hulp (overig)'!$L$5:$L$50, ROW(A42)) - 1)
        ),
    IF(
        INDEX($K$5:$K$50, ROW(A42)) = "Gezinshuis",
            INDEX('3. Gezinshuis producten'!$A:$Y, 22,
            15 + 2 * (INDEX($L$5:$L$50, ROW(A42)) - 1)),
        IF(
            INDEX($K$5:$K$50, ROW(A42)) = "Pleegzorg",
                 INDEX('4. Pleegzorg producten'!$A:$Y, 24,
            13 + 3 * (INDEX($L$5:$L$50, ROW(A42)) - 1)) +
                 INDEX('4. Pleegzorg producten'!$A:$Y, 25,
            13 + 3 * (INDEX($L$5:$L$50, ROW(A42)) - 1)),
            ""
        )
    )
)</f>
        <v/>
      </c>
      <c r="T46" s="21" t="str">
        <f t="array" ref="T46">IF(
    INDEX($K$5:$K$50, ROW(A42)) = "Algemeen",
        IF(INDEX('2. Output kostprijs'!$A:$ZZ, 15,
            4 + 2 * (INDEX('Hulp (overig)'!$L$5:$L$50, ROW(A42)) - 1)
        )="Ambulant",
        INDEX('2. Output kostprijs'!$A:$ZZ, 47,
            4 + 2 * (INDEX('Hulp (overig)'!$L$5:$L$50, ROW(A42)) - 1)
        ), ""),
    IF(
        INDEX($K$5:$K$50, ROW(A42)) = "Gezinshuis",
            "",
        IF(
            INDEX($K$5:$K$50, ROW(A42)) = "Pleegzorg",
                 "",
            ""
        )
    )
)</f>
        <v/>
      </c>
      <c r="U46" s="21" t="str">
        <f>IF(
    INDEX($K$5:$K$50, ROW(A42)) = "Algemeen",
        IF(INDEX('2. Output kostprijs'!$A:$ZZ, 15,
            4 + 2 * (INDEX('Hulp (overig)'!$L$5:$L$50, ROW(A42)) - 1)
        )="Daghulp",
        INDEX('2. Output kostprijs'!$A:$ZZ, 47,
            4 + 2 * (INDEX('Hulp (overig)'!$L$5:$L$50, ROW(A42)) - 1)
        ), ""),
    IF(
        INDEX($K$5:$K$50, ROW(A42)) = "Gezinshuis",
            "",
        IF(
            INDEX($K$5:$K$50, ROW(A42)) = "Pleegzorg",
                 "",
            ""
        )
    )
)</f>
        <v/>
      </c>
      <c r="V46" s="21" t="str">
        <f>IF(
    INDEX($K$5:$K$50, ROW(A42)) = "Algemeen",
        IF(INDEX('2. Output kostprijs'!$A:$ZZ, 15,
            4 + 2 * (INDEX('Hulp (overig)'!$L$5:$L$50, ROW(A42)) - 1)
        )="Verblijf",
        INDEX('2. Output kostprijs'!$A:$ZZ, 47,
            4 + 2 * (INDEX('Hulp (overig)'!$L$5:$L$50, ROW(A42)) - 1)
        ), ""),
    IF(
        INDEX($K$5:$K$50, ROW(A42)) = "Gezinshuis",
            INDEX('3. Gezinshuis producten'!$A:$Y, 29,
            14 + 2 * (INDEX($L$5:$L$50, ROW(A42)) - 1)),
        IF(
            INDEX($K$5:$K$50, ROW(A42)) = "Pleegzorg",
                 INDEX('4. Pleegzorg producten'!$A:$Y, 26,
            13 + 3 * (INDEX($L$5:$L$50, ROW(A42)) - 1)),
            ""
        )
    )
)</f>
        <v/>
      </c>
      <c r="W46" s="21" t="str">
        <f>IF(
    INDEX($K$5:$K$50, ROW(A42)) = "Algemeen",
        IFERROR(IF('Hulp (control forms)'!$C$12&lt;&gt;TRUE, '1a. Input organisatieniveau'!$I$27, INDEX(
            '1a. Input organisatieniveau'!$L$18:$N$18,
            MATCH(
                INDEX('2. Output kostprijs'!$A:$ZZ,
                    15,
                    4 + 2 * (INDEX($L$5:$L$50, ROW(A42)) - 1)
                ),
                '1a. Input organisatieniveau'!$L$6:$N$6,
                0
            )
        )),""),
    IF(
        INDEX($K$5:$K$50, ROW(A42)) = "Gezinshuis",
            "",
        IF(
            INDEX($K$5:$K$50, ROW(A42)) = "Pleegzorg",
                 "",
            ""
        )
    )
)</f>
        <v/>
      </c>
      <c r="X46" s="21" t="str">
        <f>IF(
    INDEX($K$5:$K$50, ROW(A42)) = "Algemeen",
        IFERROR(IF('Hulp (control forms)'!$C$12&lt;&gt;TRUE, '1a. Input organisatieniveau'!$I$28, INDEX(
            '1a. Input organisatieniveau'!$L$19:$N$19,
            MATCH(
                INDEX('2. Output kostprijs'!$A:$ZZ,
                    15,
                    4 + 2 * (INDEX($L$5:$L$50, ROW(A42)) - 1)
                ),
                '1a. Input organisatieniveau'!$L$6:$N$6,
                0
            )
        )),""),
    IF(
        INDEX($K$5:$K$50, ROW(A42)) = "Gezinshuis",
            "",
        IF(
            INDEX($K$5:$K$50, ROW(A42)) = "Pleegzorg",
                 "",
            ""
        )
    )
)</f>
        <v/>
      </c>
    </row>
    <row r="47" spans="10:24" x14ac:dyDescent="0.45">
      <c r="J47" s="364" t="str">
        <f t="array" ref="J47">IFERROR(
  IF(
    ROW(A43) &lt;= SUMPRODUCT(--('Hulp (control forms)'!$G$13:$G$52)),
      IF(
        INDEX(Initialisatie!B$10:B$49,
          SMALL(
            IF('Hulp (control forms)'!$G$13:$G$52=TRUE,
               ROW(Initialisatie!B$10:B$49)-ROW(Initialisatie!B$10)+1),
            ROW(A43)
          )
        )="","",
        INDEX(Initialisatie!B$10:B$49,
          SMALL(
            IF('Hulp (control forms)'!$G$13:$G$52=TRUE,
               ROW(Initialisatie!B$10:B$49)-ROW(Initialisatie!B$10)+1),
            ROW(A43)
          )
        )
      ),
    IFERROR(
      INDEX(
        '3. Gezinshuis producten'!E$7:E$9,
        SMALL(
          IF('Hulp (control forms)'!$F$6:$F$8=TRUE,
             ROW('3. Gezinshuis producten'!E$7:E$9)-ROW('3. Gezinshuis producten'!E$7)+1),
          ROW(A43) - SUMPRODUCT(--('Hulp (control forms)'!$G$13:$G$52))
        )
      ),
      IF(
        ROW(A43)
         - SUMPRODUCT(--('Hulp (control forms)'!$G$13:$G$52))
         - SUMPRODUCT(--('Hulp (control forms)'!$F$6:$F$8)) = 1,
        IF('4. Pleegzorg producten'!$M$26&lt;&gt;"",
           "Voltijd",
           IF('4. Pleegzorg producten'!$P$26&lt;&gt;"","Deeltijd","")
        ),
        IF(
          ROW(A43)
           - SUMPRODUCT(--('Hulp (control forms)'!$G$13:$G$52))
           - SUMPRODUCT(--('Hulp (control forms)'!$F$6:$F$8)) = 2,
          IF( AND('4. Pleegzorg producten'!$M$26&lt;&gt;"", '4. Pleegzorg producten'!$P$26&lt;&gt;"" ),
             "Deeltijd",
             ""
          ),
          ""
        )
      )
    )
  ),
"")</f>
        <v/>
      </c>
      <c r="K47" s="364" t="str">
        <f>IF(
  ROW(A43) &lt;= SUMPRODUCT(--('Hulp (control forms)'!$G$13:$G$52)),
      "Algemeen",
  IF(
    ROW(A43) - SUMPRODUCT(--('Hulp (control forms)'!$G$13:$G$52))
      &lt;= SUMPRODUCT(--('Hulp (control forms)'!$F$6:$F$8)),
        "Gezinshuis",
    IF(
      (ROW(A43)
        - SUMPRODUCT(--('Hulp (control forms)'!$G$13:$G$52))
        - SUMPRODUCT(--('Hulp (control forms)'!$F$6:$F$8)))
        &lt;= SUMPRODUCT(--('4. Pleegzorg producten'!$M$26&lt;&gt;"") + --('4. Pleegzorg producten'!$P$26&lt;&gt;"")),
          "Pleegzorg",
          ""
    )
  )
)</f>
        <v/>
      </c>
      <c r="L47" s="21" t="str">
        <f t="array" ref="L47">IF(
  ROW(A43) &lt;= SUMPRODUCT(--('Hulp (control forms)'!$G$13:$G$52)),
      ROW(A43),
  IF(
    ROW(A43) - SUMPRODUCT(--('Hulp (control forms)'!$G$13:$G$52))
      &lt;= SUMPRODUCT(--('Hulp (control forms)'!$F$6:$F$8)),
        SMALL(
    IF('Hulp (control forms)'!$F$6:$F$8,
       ROW('Hulp (control forms)'!$F$6:$F$8)
    ),
    ROW(A43) - SUMPRODUCT(--('Hulp (control forms)'!$G$13:$G$52))
)-5,
    IF(
      (ROW(A43)
        - SUMPRODUCT(--('Hulp (control forms)'!$G$13:$G$52))
        - SUMPRODUCT(--('Hulp (control forms)'!$F$6:$F$8)))
        &lt;= SUMPRODUCT(--('4. Pleegzorg producten'!$M$26&lt;&gt;"") + --('4. Pleegzorg producten'!$P$26&lt;&gt;"")),
        ROW(A43)
        - SUMPRODUCT(--('Hulp (control forms)'!$G$13:$G$52))
        - SUMPRODUCT(--('Hulp (control forms)'!$F$6:$F$8)),
        ""
    )
  )
)</f>
        <v/>
      </c>
      <c r="M47" s="21" t="str">
        <f t="array" ref="M47">IF(
    INDEX($K$5:$K$50, ROW(A43)) = "Algemeen",
        IFERROR(IF('Hulp (control forms)'!$C$7&lt;&gt;TRUE, '1a. Input organisatieniveau'!$I$19, INDEX(
            '1a. Input organisatieniveau'!$L$11:$N$11,
            MATCH(
                INDEX('2. Output kostprijs'!$A:$ZZ,
                    15,
                    4 + 2 * (INDEX($L$5:$L$50, ROW(A43)) - 1)
                ),
                '1a. Input organisatieniveau'!$L$6:$N$6,
                0
            )
        )),""),
    IF(
        INDEX($K$5:$K$50, ROW(A43)) = "Gezinshuis",
            "",
        IF(
            INDEX($K$5:$K$50, ROW(A43)) = "Pleegzorg",
                 "",
            ""
        )
    )
)</f>
        <v/>
      </c>
      <c r="N47" s="21" t="str">
        <f t="array" ref="N47">IF(
    INDEX($K$5:$K$50, ROW(A43)) = "Algemeen",
        IFERROR(IF('Hulp (control forms)'!$C$8&lt;&gt;TRUE, '1a. Input organisatieniveau'!$I$20, INDEX(
            '1a. Input organisatieniveau'!$L$12:$N$12,
            MATCH(
                INDEX('2. Output kostprijs'!$A:$ZZ,
                    15,
                    4 + 2 * (INDEX($L$5:$L$50, ROW(A43)) - 1)
                ),
                '1a. Input organisatieniveau'!$L$6:$N$6,
                0
            )
        )),""),
    IF(
        INDEX($K$5:$K$50, ROW(A43)) = "Gezinshuis",
            INDEX('3. Gezinshuis producten'!$A:$Y, 31,
            9 + 1 * (INDEX($L$5:$L$50, ROW(A43)) - 1)),
        IF(
            INDEX($K$5:$K$50, ROW(A43)) = "Pleegzorg",
                 "",
            ""
        )
    )
)</f>
        <v/>
      </c>
      <c r="O47" s="21" t="str">
        <f t="array" ref="O47">IF(
    INDEX($K$5:$K$50, ROW(A43)) = "Algemeen",
        IFERROR(IF('Hulp (control forms)'!$C$9&lt;&gt;TRUE, '1a. Input organisatieniveau'!$I$21, INDEX(
            '1a. Input organisatieniveau'!$L$13:$N$13,
            MATCH(
                INDEX('2. Output kostprijs'!$A:$ZZ,
                    15,
                    4 + 2 * (INDEX($L$5:$L$50, ROW(A43)) - 1)
                ),
                '1a. Input organisatieniveau'!$L$6:$N$6,
                0
            )
        )),""),
    IF(
        INDEX($K$5:$K$50, ROW(A43)) = "Gezinshuis",
            "",
        IF(
            INDEX($K$5:$K$50, ROW(A43)) = "Pleegzorg",
                 "",
            ""
        )
    )
)</f>
        <v/>
      </c>
      <c r="P47" s="21" t="str">
        <f>IF(
    INDEX($K$5:$K$50, ROW(A43)) = "Algemeen",
        IFERROR(IF('Hulp (control forms)'!$C$10&lt;&gt;TRUE, '1a. Input organisatieniveau'!$I$23, INDEX(
            '1a. Input organisatieniveau'!$L$15:$N$15,
            MATCH(
                INDEX('2. Output kostprijs'!$A:$ZZ,
                    15,
                    4 + 2 * (INDEX($L$5:$L$50, ROW(A43)) - 1)
                ),
                '1a. Input organisatieniveau'!$L$6:$N$6,
                0
            )
        )),""),
    IF(
        INDEX($K$5:$K$50, ROW(A43)) = "Gezinshuis",
            "",
        IF(
            INDEX($K$5:$K$50, ROW(A43)) = "Pleegzorg",
                 "",
            ""
        )
    )
)</f>
        <v/>
      </c>
      <c r="Q47" s="21" t="str">
        <f>IF(
    INDEX($K$5:$K$50, ROW(A43)) = "Algemeen",
        IFERROR(IF('Hulp (control forms)'!$C$11&lt;&gt;TRUE, '1a. Input organisatieniveau'!$I$24, INDEX(
            '1a. Input organisatieniveau'!$L$16:$N$16,
            MATCH(
                INDEX('2. Output kostprijs'!$A:$ZZ,
                    15,
                    4 + 2 * (INDEX($L$5:$L$50, ROW(A43)) - 1)
                ),
                '1a. Input organisatieniveau'!$L$6:$N$6,
                0
            )
        )),""),
    IF(
        INDEX($K$5:$K$50, ROW(A43)) = "Gezinshuis",
            "",
        IF(
            INDEX($K$5:$K$50, ROW(A43)) = "Pleegzorg",
                 "",
            ""
        )
    )
)</f>
        <v/>
      </c>
      <c r="R47" s="21" t="str">
        <f>IF(
    INDEX($K$5:$K$50, ROW(A43)) = "Algemeen",
        IFERROR(IF('Hulp (control forms)'!$C$12&lt;&gt;TRUE, '1a. Input organisatieniveau'!$I$29, INDEX(
            '1a. Input organisatieniveau'!$L$20:$N$20,
            MATCH(
                INDEX('2. Output kostprijs'!$A:$ZZ,
                    15,
                    4 + 2 * (INDEX($L$5:$L$50, ROW(A43)) - 1)
                ),
                '1a. Input organisatieniveau'!$L$6:$N$6,
                0
            )
        )),""),
    IF(
        INDEX($K$5:$K$50, ROW(A43)) = "Gezinshuis",
            "",
        IF(
            INDEX($K$5:$K$50, ROW(A43)) = "Pleegzorg",
                 "",
            ""
        )
    )
)</f>
        <v/>
      </c>
      <c r="S47" s="21" t="str">
        <f>IF(
    INDEX($K$5:$K$50, ROW(A43)) = "Algemeen",
        INDEX('2. Output kostprijs'!$A:$ZZ, 32,
            5 + 2 * (INDEX('Hulp (overig)'!$L$5:$L$50, ROW(A43)) - 1)
        ),
    IF(
        INDEX($K$5:$K$50, ROW(A43)) = "Gezinshuis",
            INDEX('3. Gezinshuis producten'!$A:$Y, 22,
            15 + 2 * (INDEX($L$5:$L$50, ROW(A43)) - 1)),
        IF(
            INDEX($K$5:$K$50, ROW(A43)) = "Pleegzorg",
                 INDEX('4. Pleegzorg producten'!$A:$Y, 24,
            13 + 3 * (INDEX($L$5:$L$50, ROW(A43)) - 1)) +
                 INDEX('4. Pleegzorg producten'!$A:$Y, 25,
            13 + 3 * (INDEX($L$5:$L$50, ROW(A43)) - 1)),
            ""
        )
    )
)</f>
        <v/>
      </c>
      <c r="T47" s="21" t="str">
        <f t="array" ref="T47">IF(
    INDEX($K$5:$K$50, ROW(A43)) = "Algemeen",
        IF(INDEX('2. Output kostprijs'!$A:$ZZ, 15,
            4 + 2 * (INDEX('Hulp (overig)'!$L$5:$L$50, ROW(A43)) - 1)
        )="Ambulant",
        INDEX('2. Output kostprijs'!$A:$ZZ, 47,
            4 + 2 * (INDEX('Hulp (overig)'!$L$5:$L$50, ROW(A43)) - 1)
        ), ""),
    IF(
        INDEX($K$5:$K$50, ROW(A43)) = "Gezinshuis",
            "",
        IF(
            INDEX($K$5:$K$50, ROW(A43)) = "Pleegzorg",
                 "",
            ""
        )
    )
)</f>
        <v/>
      </c>
      <c r="U47" s="21" t="str">
        <f>IF(
    INDEX($K$5:$K$50, ROW(A43)) = "Algemeen",
        IF(INDEX('2. Output kostprijs'!$A:$ZZ, 15,
            4 + 2 * (INDEX('Hulp (overig)'!$L$5:$L$50, ROW(A43)) - 1)
        )="Daghulp",
        INDEX('2. Output kostprijs'!$A:$ZZ, 47,
            4 + 2 * (INDEX('Hulp (overig)'!$L$5:$L$50, ROW(A43)) - 1)
        ), ""),
    IF(
        INDEX($K$5:$K$50, ROW(A43)) = "Gezinshuis",
            "",
        IF(
            INDEX($K$5:$K$50, ROW(A43)) = "Pleegzorg",
                 "",
            ""
        )
    )
)</f>
        <v/>
      </c>
      <c r="V47" s="21" t="str">
        <f>IF(
    INDEX($K$5:$K$50, ROW(A43)) = "Algemeen",
        IF(INDEX('2. Output kostprijs'!$A:$ZZ, 15,
            4 + 2 * (INDEX('Hulp (overig)'!$L$5:$L$50, ROW(A43)) - 1)
        )="Verblijf",
        INDEX('2. Output kostprijs'!$A:$ZZ, 47,
            4 + 2 * (INDEX('Hulp (overig)'!$L$5:$L$50, ROW(A43)) - 1)
        ), ""),
    IF(
        INDEX($K$5:$K$50, ROW(A43)) = "Gezinshuis",
            INDEX('3. Gezinshuis producten'!$A:$Y, 29,
            14 + 2 * (INDEX($L$5:$L$50, ROW(A43)) - 1)),
        IF(
            INDEX($K$5:$K$50, ROW(A43)) = "Pleegzorg",
                 INDEX('4. Pleegzorg producten'!$A:$Y, 26,
            13 + 3 * (INDEX($L$5:$L$50, ROW(A43)) - 1)),
            ""
        )
    )
)</f>
        <v/>
      </c>
      <c r="W47" s="21" t="str">
        <f>IF(
    INDEX($K$5:$K$50, ROW(A43)) = "Algemeen",
        IFERROR(IF('Hulp (control forms)'!$C$12&lt;&gt;TRUE, '1a. Input organisatieniveau'!$I$27, INDEX(
            '1a. Input organisatieniveau'!$L$18:$N$18,
            MATCH(
                INDEX('2. Output kostprijs'!$A:$ZZ,
                    15,
                    4 + 2 * (INDEX($L$5:$L$50, ROW(A43)) - 1)
                ),
                '1a. Input organisatieniveau'!$L$6:$N$6,
                0
            )
        )),""),
    IF(
        INDEX($K$5:$K$50, ROW(A43)) = "Gezinshuis",
            "",
        IF(
            INDEX($K$5:$K$50, ROW(A43)) = "Pleegzorg",
                 "",
            ""
        )
    )
)</f>
        <v/>
      </c>
      <c r="X47" s="21" t="str">
        <f>IF(
    INDEX($K$5:$K$50, ROW(A43)) = "Algemeen",
        IFERROR(IF('Hulp (control forms)'!$C$12&lt;&gt;TRUE, '1a. Input organisatieniveau'!$I$28, INDEX(
            '1a. Input organisatieniveau'!$L$19:$N$19,
            MATCH(
                INDEX('2. Output kostprijs'!$A:$ZZ,
                    15,
                    4 + 2 * (INDEX($L$5:$L$50, ROW(A43)) - 1)
                ),
                '1a. Input organisatieniveau'!$L$6:$N$6,
                0
            )
        )),""),
    IF(
        INDEX($K$5:$K$50, ROW(A43)) = "Gezinshuis",
            "",
        IF(
            INDEX($K$5:$K$50, ROW(A43)) = "Pleegzorg",
                 "",
            ""
        )
    )
)</f>
        <v/>
      </c>
    </row>
    <row r="48" spans="10:24" x14ac:dyDescent="0.45">
      <c r="J48" s="364" t="str">
        <f t="array" ref="J48">IFERROR(
  IF(
    ROW(A44) &lt;= SUMPRODUCT(--('Hulp (control forms)'!$G$13:$G$52)),
      IF(
        INDEX(Initialisatie!B$10:B$49,
          SMALL(
            IF('Hulp (control forms)'!$G$13:$G$52=TRUE,
               ROW(Initialisatie!B$10:B$49)-ROW(Initialisatie!B$10)+1),
            ROW(A44)
          )
        )="","",
        INDEX(Initialisatie!B$10:B$49,
          SMALL(
            IF('Hulp (control forms)'!$G$13:$G$52=TRUE,
               ROW(Initialisatie!B$10:B$49)-ROW(Initialisatie!B$10)+1),
            ROW(A44)
          )
        )
      ),
    IFERROR(
      INDEX(
        '3. Gezinshuis producten'!E$7:E$9,
        SMALL(
          IF('Hulp (control forms)'!$F$6:$F$8=TRUE,
             ROW('3. Gezinshuis producten'!E$7:E$9)-ROW('3. Gezinshuis producten'!E$7)+1),
          ROW(A44) - SUMPRODUCT(--('Hulp (control forms)'!$G$13:$G$52))
        )
      ),
      IF(
        ROW(A44)
         - SUMPRODUCT(--('Hulp (control forms)'!$G$13:$G$52))
         - SUMPRODUCT(--('Hulp (control forms)'!$F$6:$F$8)) = 1,
        IF('4. Pleegzorg producten'!$M$26&lt;&gt;"",
           "Voltijd",
           IF('4. Pleegzorg producten'!$P$26&lt;&gt;"","Deeltijd","")
        ),
        IF(
          ROW(A44)
           - SUMPRODUCT(--('Hulp (control forms)'!$G$13:$G$52))
           - SUMPRODUCT(--('Hulp (control forms)'!$F$6:$F$8)) = 2,
          IF( AND('4. Pleegzorg producten'!$M$26&lt;&gt;"", '4. Pleegzorg producten'!$P$26&lt;&gt;"" ),
             "Deeltijd",
             ""
          ),
          ""
        )
      )
    )
  ),
"")</f>
        <v/>
      </c>
      <c r="K48" s="364" t="str">
        <f>IF(
  ROW(A44) &lt;= SUMPRODUCT(--('Hulp (control forms)'!$G$13:$G$52)),
      "Algemeen",
  IF(
    ROW(A44) - SUMPRODUCT(--('Hulp (control forms)'!$G$13:$G$52))
      &lt;= SUMPRODUCT(--('Hulp (control forms)'!$F$6:$F$8)),
        "Gezinshuis",
    IF(
      (ROW(A44)
        - SUMPRODUCT(--('Hulp (control forms)'!$G$13:$G$52))
        - SUMPRODUCT(--('Hulp (control forms)'!$F$6:$F$8)))
        &lt;= SUMPRODUCT(--('4. Pleegzorg producten'!$M$26&lt;&gt;"") + --('4. Pleegzorg producten'!$P$26&lt;&gt;"")),
          "Pleegzorg",
          ""
    )
  )
)</f>
        <v/>
      </c>
      <c r="L48" s="21" t="str">
        <f t="array" ref="L48">IF(
  ROW(A44) &lt;= SUMPRODUCT(--('Hulp (control forms)'!$G$13:$G$52)),
      ROW(A44),
  IF(
    ROW(A44) - SUMPRODUCT(--('Hulp (control forms)'!$G$13:$G$52))
      &lt;= SUMPRODUCT(--('Hulp (control forms)'!$F$6:$F$8)),
        SMALL(
    IF('Hulp (control forms)'!$F$6:$F$8,
       ROW('Hulp (control forms)'!$F$6:$F$8)
    ),
    ROW(A44) - SUMPRODUCT(--('Hulp (control forms)'!$G$13:$G$52))
)-5,
    IF(
      (ROW(A44)
        - SUMPRODUCT(--('Hulp (control forms)'!$G$13:$G$52))
        - SUMPRODUCT(--('Hulp (control forms)'!$F$6:$F$8)))
        &lt;= SUMPRODUCT(--('4. Pleegzorg producten'!$M$26&lt;&gt;"") + --('4. Pleegzorg producten'!$P$26&lt;&gt;"")),
        ROW(A44)
        - SUMPRODUCT(--('Hulp (control forms)'!$G$13:$G$52))
        - SUMPRODUCT(--('Hulp (control forms)'!$F$6:$F$8)),
        ""
    )
  )
)</f>
        <v/>
      </c>
      <c r="M48" s="21" t="str">
        <f t="array" ref="M48">IF(
    INDEX($K$5:$K$50, ROW(A44)) = "Algemeen",
        IFERROR(IF('Hulp (control forms)'!$C$7&lt;&gt;TRUE, '1a. Input organisatieniveau'!$I$19, INDEX(
            '1a. Input organisatieniveau'!$L$11:$N$11,
            MATCH(
                INDEX('2. Output kostprijs'!$A:$ZZ,
                    15,
                    4 + 2 * (INDEX($L$5:$L$50, ROW(A44)) - 1)
                ),
                '1a. Input organisatieniveau'!$L$6:$N$6,
                0
            )
        )),""),
    IF(
        INDEX($K$5:$K$50, ROW(A44)) = "Gezinshuis",
            "",
        IF(
            INDEX($K$5:$K$50, ROW(A44)) = "Pleegzorg",
                 "",
            ""
        )
    )
)</f>
        <v/>
      </c>
      <c r="N48" s="21" t="str">
        <f t="array" ref="N48">IF(
    INDEX($K$5:$K$50, ROW(A44)) = "Algemeen",
        IFERROR(IF('Hulp (control forms)'!$C$8&lt;&gt;TRUE, '1a. Input organisatieniveau'!$I$20, INDEX(
            '1a. Input organisatieniveau'!$L$12:$N$12,
            MATCH(
                INDEX('2. Output kostprijs'!$A:$ZZ,
                    15,
                    4 + 2 * (INDEX($L$5:$L$50, ROW(A44)) - 1)
                ),
                '1a. Input organisatieniveau'!$L$6:$N$6,
                0
            )
        )),""),
    IF(
        INDEX($K$5:$K$50, ROW(A44)) = "Gezinshuis",
            INDEX('3. Gezinshuis producten'!$A:$Y, 31,
            9 + 1 * (INDEX($L$5:$L$50, ROW(A44)) - 1)),
        IF(
            INDEX($K$5:$K$50, ROW(A44)) = "Pleegzorg",
                 "",
            ""
        )
    )
)</f>
        <v/>
      </c>
      <c r="O48" s="21" t="str">
        <f t="array" ref="O48">IF(
    INDEX($K$5:$K$50, ROW(A44)) = "Algemeen",
        IFERROR(IF('Hulp (control forms)'!$C$9&lt;&gt;TRUE, '1a. Input organisatieniveau'!$I$21, INDEX(
            '1a. Input organisatieniveau'!$L$13:$N$13,
            MATCH(
                INDEX('2. Output kostprijs'!$A:$ZZ,
                    15,
                    4 + 2 * (INDEX($L$5:$L$50, ROW(A44)) - 1)
                ),
                '1a. Input organisatieniveau'!$L$6:$N$6,
                0
            )
        )),""),
    IF(
        INDEX($K$5:$K$50, ROW(A44)) = "Gezinshuis",
            "",
        IF(
            INDEX($K$5:$K$50, ROW(A44)) = "Pleegzorg",
                 "",
            ""
        )
    )
)</f>
        <v/>
      </c>
      <c r="P48" s="21" t="str">
        <f>IF(
    INDEX($K$5:$K$50, ROW(A44)) = "Algemeen",
        IFERROR(IF('Hulp (control forms)'!$C$10&lt;&gt;TRUE, '1a. Input organisatieniveau'!$I$23, INDEX(
            '1a. Input organisatieniveau'!$L$15:$N$15,
            MATCH(
                INDEX('2. Output kostprijs'!$A:$ZZ,
                    15,
                    4 + 2 * (INDEX($L$5:$L$50, ROW(A44)) - 1)
                ),
                '1a. Input organisatieniveau'!$L$6:$N$6,
                0
            )
        )),""),
    IF(
        INDEX($K$5:$K$50, ROW(A44)) = "Gezinshuis",
            "",
        IF(
            INDEX($K$5:$K$50, ROW(A44)) = "Pleegzorg",
                 "",
            ""
        )
    )
)</f>
        <v/>
      </c>
      <c r="Q48" s="21" t="str">
        <f>IF(
    INDEX($K$5:$K$50, ROW(A44)) = "Algemeen",
        IFERROR(IF('Hulp (control forms)'!$C$11&lt;&gt;TRUE, '1a. Input organisatieniveau'!$I$24, INDEX(
            '1a. Input organisatieniveau'!$L$16:$N$16,
            MATCH(
                INDEX('2. Output kostprijs'!$A:$ZZ,
                    15,
                    4 + 2 * (INDEX($L$5:$L$50, ROW(A44)) - 1)
                ),
                '1a. Input organisatieniveau'!$L$6:$N$6,
                0
            )
        )),""),
    IF(
        INDEX($K$5:$K$50, ROW(A44)) = "Gezinshuis",
            "",
        IF(
            INDEX($K$5:$K$50, ROW(A44)) = "Pleegzorg",
                 "",
            ""
        )
    )
)</f>
        <v/>
      </c>
      <c r="R48" s="21" t="str">
        <f>IF(
    INDEX($K$5:$K$50, ROW(A44)) = "Algemeen",
        IFERROR(IF('Hulp (control forms)'!$C$12&lt;&gt;TRUE, '1a. Input organisatieniveau'!$I$29, INDEX(
            '1a. Input organisatieniveau'!$L$20:$N$20,
            MATCH(
                INDEX('2. Output kostprijs'!$A:$ZZ,
                    15,
                    4 + 2 * (INDEX($L$5:$L$50, ROW(A44)) - 1)
                ),
                '1a. Input organisatieniveau'!$L$6:$N$6,
                0
            )
        )),""),
    IF(
        INDEX($K$5:$K$50, ROW(A44)) = "Gezinshuis",
            "",
        IF(
            INDEX($K$5:$K$50, ROW(A44)) = "Pleegzorg",
                 "",
            ""
        )
    )
)</f>
        <v/>
      </c>
      <c r="S48" s="21" t="str">
        <f>IF(
    INDEX($K$5:$K$50, ROW(A44)) = "Algemeen",
        INDEX('2. Output kostprijs'!$A:$ZZ, 32,
            5 + 2 * (INDEX('Hulp (overig)'!$L$5:$L$50, ROW(A44)) - 1)
        ),
    IF(
        INDEX($K$5:$K$50, ROW(A44)) = "Gezinshuis",
            INDEX('3. Gezinshuis producten'!$A:$Y, 22,
            15 + 2 * (INDEX($L$5:$L$50, ROW(A44)) - 1)),
        IF(
            INDEX($K$5:$K$50, ROW(A44)) = "Pleegzorg",
                 INDEX('4. Pleegzorg producten'!$A:$Y, 24,
            13 + 3 * (INDEX($L$5:$L$50, ROW(A44)) - 1)) +
                 INDEX('4. Pleegzorg producten'!$A:$Y, 25,
            13 + 3 * (INDEX($L$5:$L$50, ROW(A44)) - 1)),
            ""
        )
    )
)</f>
        <v/>
      </c>
      <c r="T48" s="21" t="str">
        <f t="array" ref="T48">IF(
    INDEX($K$5:$K$50, ROW(A44)) = "Algemeen",
        IF(INDEX('2. Output kostprijs'!$A:$ZZ, 15,
            4 + 2 * (INDEX('Hulp (overig)'!$L$5:$L$50, ROW(A44)) - 1)
        )="Ambulant",
        INDEX('2. Output kostprijs'!$A:$ZZ, 47,
            4 + 2 * (INDEX('Hulp (overig)'!$L$5:$L$50, ROW(A44)) - 1)
        ), ""),
    IF(
        INDEX($K$5:$K$50, ROW(A44)) = "Gezinshuis",
            "",
        IF(
            INDEX($K$5:$K$50, ROW(A44)) = "Pleegzorg",
                 "",
            ""
        )
    )
)</f>
        <v/>
      </c>
      <c r="U48" s="21" t="str">
        <f>IF(
    INDEX($K$5:$K$50, ROW(A44)) = "Algemeen",
        IF(INDEX('2. Output kostprijs'!$A:$ZZ, 15,
            4 + 2 * (INDEX('Hulp (overig)'!$L$5:$L$50, ROW(A44)) - 1)
        )="Daghulp",
        INDEX('2. Output kostprijs'!$A:$ZZ, 47,
            4 + 2 * (INDEX('Hulp (overig)'!$L$5:$L$50, ROW(A44)) - 1)
        ), ""),
    IF(
        INDEX($K$5:$K$50, ROW(A44)) = "Gezinshuis",
            "",
        IF(
            INDEX($K$5:$K$50, ROW(A44)) = "Pleegzorg",
                 "",
            ""
        )
    )
)</f>
        <v/>
      </c>
      <c r="V48" s="21" t="str">
        <f>IF(
    INDEX($K$5:$K$50, ROW(A44)) = "Algemeen",
        IF(INDEX('2. Output kostprijs'!$A:$ZZ, 15,
            4 + 2 * (INDEX('Hulp (overig)'!$L$5:$L$50, ROW(A44)) - 1)
        )="Verblijf",
        INDEX('2. Output kostprijs'!$A:$ZZ, 47,
            4 + 2 * (INDEX('Hulp (overig)'!$L$5:$L$50, ROW(A44)) - 1)
        ), ""),
    IF(
        INDEX($K$5:$K$50, ROW(A44)) = "Gezinshuis",
            INDEX('3. Gezinshuis producten'!$A:$Y, 29,
            14 + 2 * (INDEX($L$5:$L$50, ROW(A44)) - 1)),
        IF(
            INDEX($K$5:$K$50, ROW(A44)) = "Pleegzorg",
                 INDEX('4. Pleegzorg producten'!$A:$Y, 26,
            13 + 3 * (INDEX($L$5:$L$50, ROW(A44)) - 1)),
            ""
        )
    )
)</f>
        <v/>
      </c>
      <c r="W48" s="21" t="str">
        <f>IF(
    INDEX($K$5:$K$50, ROW(A44)) = "Algemeen",
        IFERROR(IF('Hulp (control forms)'!$C$12&lt;&gt;TRUE, '1a. Input organisatieniveau'!$I$27, INDEX(
            '1a. Input organisatieniveau'!$L$18:$N$18,
            MATCH(
                INDEX('2. Output kostprijs'!$A:$ZZ,
                    15,
                    4 + 2 * (INDEX($L$5:$L$50, ROW(A44)) - 1)
                ),
                '1a. Input organisatieniveau'!$L$6:$N$6,
                0
            )
        )),""),
    IF(
        INDEX($K$5:$K$50, ROW(A44)) = "Gezinshuis",
            "",
        IF(
            INDEX($K$5:$K$50, ROW(A44)) = "Pleegzorg",
                 "",
            ""
        )
    )
)</f>
        <v/>
      </c>
      <c r="X48" s="21" t="str">
        <f>IF(
    INDEX($K$5:$K$50, ROW(A44)) = "Algemeen",
        IFERROR(IF('Hulp (control forms)'!$C$12&lt;&gt;TRUE, '1a. Input organisatieniveau'!$I$28, INDEX(
            '1a. Input organisatieniveau'!$L$19:$N$19,
            MATCH(
                INDEX('2. Output kostprijs'!$A:$ZZ,
                    15,
                    4 + 2 * (INDEX($L$5:$L$50, ROW(A44)) - 1)
                ),
                '1a. Input organisatieniveau'!$L$6:$N$6,
                0
            )
        )),""),
    IF(
        INDEX($K$5:$K$50, ROW(A44)) = "Gezinshuis",
            "",
        IF(
            INDEX($K$5:$K$50, ROW(A44)) = "Pleegzorg",
                 "",
            ""
        )
    )
)</f>
        <v/>
      </c>
    </row>
    <row r="49" spans="10:24" x14ac:dyDescent="0.45">
      <c r="J49" s="366" t="str">
        <f t="array" ref="J49">IFERROR(
  IF(
    ROW(A45) &lt;= SUMPRODUCT(--('Hulp (control forms)'!$G$13:$G$52)),
      IF(
        INDEX(Initialisatie!B$10:B$49,
          SMALL(
            IF('Hulp (control forms)'!$G$13:$G$52=TRUE,
               ROW(Initialisatie!B$10:B$49)-ROW(Initialisatie!B$10)+1),
            ROW(A45)
          )
        )="","",
        INDEX(Initialisatie!B$10:B$49,
          SMALL(
            IF('Hulp (control forms)'!$G$13:$G$52=TRUE,
               ROW(Initialisatie!B$10:B$49)-ROW(Initialisatie!B$10)+1),
            ROW(A45)
          )
        )
      ),
    IFERROR(
      INDEX(
        '3. Gezinshuis producten'!E$7:E$9,
        SMALL(
          IF('Hulp (control forms)'!$F$6:$F$8=TRUE,
             ROW('3. Gezinshuis producten'!E$7:E$9)-ROW('3. Gezinshuis producten'!E$7)+1),
          ROW(A45) - SUMPRODUCT(--('Hulp (control forms)'!$G$13:$G$52))
        )
      ),
      IF(
        ROW(A45)
         - SUMPRODUCT(--('Hulp (control forms)'!$G$13:$G$52))
         - SUMPRODUCT(--('Hulp (control forms)'!$F$6:$F$8)) = 1,
        IF('4. Pleegzorg producten'!$M$26&lt;&gt;"",
           "Voltijd",
           IF('4. Pleegzorg producten'!$P$26&lt;&gt;"","Deeltijd","")
        ),
        IF(
          ROW(A45)
           - SUMPRODUCT(--('Hulp (control forms)'!$G$13:$G$52))
           - SUMPRODUCT(--('Hulp (control forms)'!$F$6:$F$8)) = 2,
          IF( AND('4. Pleegzorg producten'!$M$26&lt;&gt;"", '4. Pleegzorg producten'!$P$26&lt;&gt;"" ),
             "Deeltijd",
             ""
          ),
          ""
        )
      )
    )
  ),
"")</f>
        <v/>
      </c>
      <c r="K49" s="366" t="str">
        <f>IF(
  ROW(A45) &lt;= SUMPRODUCT(--('Hulp (control forms)'!$G$13:$G$52)),
      "Algemeen",
  IF(
    ROW(A45) - SUMPRODUCT(--('Hulp (control forms)'!$G$13:$G$52))
      &lt;= SUMPRODUCT(--('Hulp (control forms)'!$F$6:$F$8)),
        "Gezinshuis",
    IF(
      (ROW(A45)
        - SUMPRODUCT(--('Hulp (control forms)'!$G$13:$G$52))
        - SUMPRODUCT(--('Hulp (control forms)'!$F$6:$F$8)))
        &lt;= SUMPRODUCT(--('4. Pleegzorg producten'!$M$26&lt;&gt;"") + --('4. Pleegzorg producten'!$P$26&lt;&gt;"")),
          "Pleegzorg",
          ""
    )
  )
)</f>
        <v/>
      </c>
      <c r="L49" s="36" t="str">
        <f t="array" ref="L49">IF(
  ROW(A45) &lt;= SUMPRODUCT(--('Hulp (control forms)'!$G$13:$G$52)),
      ROW(A45),
  IF(
    ROW(A45) - SUMPRODUCT(--('Hulp (control forms)'!$G$13:$G$52))
      &lt;= SUMPRODUCT(--('Hulp (control forms)'!$F$6:$F$8)),
        SMALL(
    IF('Hulp (control forms)'!$F$6:$F$8,
       ROW('Hulp (control forms)'!$F$6:$F$8)
    ),
    ROW(A45) - SUMPRODUCT(--('Hulp (control forms)'!$G$13:$G$52))
)-5,
    IF(
      (ROW(A45)
        - SUMPRODUCT(--('Hulp (control forms)'!$G$13:$G$52))
        - SUMPRODUCT(--('Hulp (control forms)'!$F$6:$F$8)))
        &lt;= SUMPRODUCT(--('4. Pleegzorg producten'!$M$26&lt;&gt;"") + --('4. Pleegzorg producten'!$P$26&lt;&gt;"")),
        ROW(A45)
        - SUMPRODUCT(--('Hulp (control forms)'!$G$13:$G$52))
        - SUMPRODUCT(--('Hulp (control forms)'!$F$6:$F$8)),
        ""
    )
  )
)</f>
        <v/>
      </c>
      <c r="M49" s="36" t="str">
        <f t="array" ref="M49">IF(
    INDEX($K$5:$K$50, ROW(A45)) = "Algemeen",
        IFERROR(IF('Hulp (control forms)'!$C$7&lt;&gt;TRUE, '1a. Input organisatieniveau'!$I$19, INDEX(
            '1a. Input organisatieniveau'!$L$11:$N$11,
            MATCH(
                INDEX('2. Output kostprijs'!$A:$ZZ,
                    15,
                    4 + 2 * (INDEX($L$5:$L$50, ROW(A45)) - 1)
                ),
                '1a. Input organisatieniveau'!$L$6:$N$6,
                0
            )
        )),""),
    IF(
        INDEX($K$5:$K$50, ROW(A45)) = "Gezinshuis",
            "",
        IF(
            INDEX($K$5:$K$50, ROW(A45)) = "Pleegzorg",
                 "",
            ""
        )
    )
)</f>
        <v/>
      </c>
      <c r="N49" s="36" t="str">
        <f t="array" ref="N49">IF(
    INDEX($K$5:$K$50, ROW(A45)) = "Algemeen",
        IFERROR(IF('Hulp (control forms)'!$C$8&lt;&gt;TRUE, '1a. Input organisatieniveau'!$I$20, INDEX(
            '1a. Input organisatieniveau'!$L$12:$N$12,
            MATCH(
                INDEX('2. Output kostprijs'!$A:$ZZ,
                    15,
                    4 + 2 * (INDEX($L$5:$L$50, ROW(A45)) - 1)
                ),
                '1a. Input organisatieniveau'!$L$6:$N$6,
                0
            )
        )),""),
    IF(
        INDEX($K$5:$K$50, ROW(A45)) = "Gezinshuis",
            INDEX('3. Gezinshuis producten'!$A:$Y, 31,
            9 + 1 * (INDEX($L$5:$L$50, ROW(A45)) - 1)),
        IF(
            INDEX($K$5:$K$50, ROW(A45)) = "Pleegzorg",
                 "",
            ""
        )
    )
)</f>
        <v/>
      </c>
      <c r="O49" s="36" t="str">
        <f t="array" ref="O49">IF(
    INDEX($K$5:$K$50, ROW(A45)) = "Algemeen",
        IFERROR(IF('Hulp (control forms)'!$C$9&lt;&gt;TRUE, '1a. Input organisatieniveau'!$I$21, INDEX(
            '1a. Input organisatieniveau'!$L$13:$N$13,
            MATCH(
                INDEX('2. Output kostprijs'!$A:$ZZ,
                    15,
                    4 + 2 * (INDEX($L$5:$L$50, ROW(A45)) - 1)
                ),
                '1a. Input organisatieniveau'!$L$6:$N$6,
                0
            )
        )),""),
    IF(
        INDEX($K$5:$K$50, ROW(A45)) = "Gezinshuis",
            "",
        IF(
            INDEX($K$5:$K$50, ROW(A45)) = "Pleegzorg",
                 "",
            ""
        )
    )
)</f>
        <v/>
      </c>
      <c r="P49" s="36" t="str">
        <f>IF(
    INDEX($K$5:$K$50, ROW(A45)) = "Algemeen",
        IFERROR(IF('Hulp (control forms)'!$C$10&lt;&gt;TRUE, '1a. Input organisatieniveau'!$I$23, INDEX(
            '1a. Input organisatieniveau'!$L$15:$N$15,
            MATCH(
                INDEX('2. Output kostprijs'!$A:$ZZ,
                    15,
                    4 + 2 * (INDEX($L$5:$L$50, ROW(A45)) - 1)
                ),
                '1a. Input organisatieniveau'!$L$6:$N$6,
                0
            )
        )),""),
    IF(
        INDEX($K$5:$K$50, ROW(A45)) = "Gezinshuis",
            "",
        IF(
            INDEX($K$5:$K$50, ROW(A45)) = "Pleegzorg",
                 "",
            ""
        )
    )
)</f>
        <v/>
      </c>
      <c r="Q49" s="36" t="str">
        <f>IF(
    INDEX($K$5:$K$50, ROW(A45)) = "Algemeen",
        IFERROR(IF('Hulp (control forms)'!$C$11&lt;&gt;TRUE, '1a. Input organisatieniveau'!$I$24, INDEX(
            '1a. Input organisatieniveau'!$L$16:$N$16,
            MATCH(
                INDEX('2. Output kostprijs'!$A:$ZZ,
                    15,
                    4 + 2 * (INDEX($L$5:$L$50, ROW(A45)) - 1)
                ),
                '1a. Input organisatieniveau'!$L$6:$N$6,
                0
            )
        )),""),
    IF(
        INDEX($K$5:$K$50, ROW(A45)) = "Gezinshuis",
            "",
        IF(
            INDEX($K$5:$K$50, ROW(A45)) = "Pleegzorg",
                 "",
            ""
        )
    )
)</f>
        <v/>
      </c>
      <c r="R49" s="36" t="str">
        <f>IF(
    INDEX($K$5:$K$50, ROW(A45)) = "Algemeen",
        IFERROR(IF('Hulp (control forms)'!$C$12&lt;&gt;TRUE, '1a. Input organisatieniveau'!$I$29, INDEX(
            '1a. Input organisatieniveau'!$L$20:$N$20,
            MATCH(
                INDEX('2. Output kostprijs'!$A:$ZZ,
                    15,
                    4 + 2 * (INDEX($L$5:$L$50, ROW(A45)) - 1)
                ),
                '1a. Input organisatieniveau'!$L$6:$N$6,
                0
            )
        )),""),
    IF(
        INDEX($K$5:$K$50, ROW(A45)) = "Gezinshuis",
            "",
        IF(
            INDEX($K$5:$K$50, ROW(A45)) = "Pleegzorg",
                 "",
            ""
        )
    )
)</f>
        <v/>
      </c>
      <c r="S49" s="36" t="str">
        <f>IF(
    INDEX($K$5:$K$50, ROW(A45)) = "Algemeen",
        INDEX('2. Output kostprijs'!$A:$ZZ, 32,
            5 + 2 * (INDEX('Hulp (overig)'!$L$5:$L$50, ROW(A45)) - 1)
        ),
    IF(
        INDEX($K$5:$K$50, ROW(A45)) = "Gezinshuis",
            INDEX('3. Gezinshuis producten'!$A:$Y, 22,
            15 + 2 * (INDEX($L$5:$L$50, ROW(A45)) - 1)),
        IF(
            INDEX($K$5:$K$50, ROW(A45)) = "Pleegzorg",
                 INDEX('4. Pleegzorg producten'!$A:$Y, 24,
            13 + 3 * (INDEX($L$5:$L$50, ROW(A45)) - 1)) +
                 INDEX('4. Pleegzorg producten'!$A:$Y, 25,
            13 + 3 * (INDEX($L$5:$L$50, ROW(A45)) - 1)),
            ""
        )
    )
)</f>
        <v/>
      </c>
      <c r="T49" s="36" t="str">
        <f t="array" ref="T49">IF(
    INDEX($K$5:$K$50, ROW(A45)) = "Algemeen",
        IF(INDEX('2. Output kostprijs'!$A:$ZZ, 15,
            4 + 2 * (INDEX('Hulp (overig)'!$L$5:$L$50, ROW(A45)) - 1)
        )="Ambulant",
        INDEX('2. Output kostprijs'!$A:$ZZ, 47,
            4 + 2 * (INDEX('Hulp (overig)'!$L$5:$L$50, ROW(A45)) - 1)
        ), ""),
    IF(
        INDEX($K$5:$K$50, ROW(A45)) = "Gezinshuis",
            "",
        IF(
            INDEX($K$5:$K$50, ROW(A45)) = "Pleegzorg",
                 "",
            ""
        )
    )
)</f>
        <v/>
      </c>
      <c r="U49" s="36" t="str">
        <f>IF(
    INDEX($K$5:$K$50, ROW(A45)) = "Algemeen",
        IF(INDEX('2. Output kostprijs'!$A:$ZZ, 15,
            4 + 2 * (INDEX('Hulp (overig)'!$L$5:$L$50, ROW(A45)) - 1)
        )="Daghulp",
        INDEX('2. Output kostprijs'!$A:$ZZ, 47,
            4 + 2 * (INDEX('Hulp (overig)'!$L$5:$L$50, ROW(A45)) - 1)
        ), ""),
    IF(
        INDEX($K$5:$K$50, ROW(A45)) = "Gezinshuis",
            "",
        IF(
            INDEX($K$5:$K$50, ROW(A45)) = "Pleegzorg",
                 "",
            ""
        )
    )
)</f>
        <v/>
      </c>
      <c r="V49" s="36" t="str">
        <f>IF(
    INDEX($K$5:$K$50, ROW(A45)) = "Algemeen",
        IF(INDEX('2. Output kostprijs'!$A:$ZZ, 15,
            4 + 2 * (INDEX('Hulp (overig)'!$L$5:$L$50, ROW(A45)) - 1)
        )="Verblijf",
        INDEX('2. Output kostprijs'!$A:$ZZ, 47,
            4 + 2 * (INDEX('Hulp (overig)'!$L$5:$L$50, ROW(A45)) - 1)
        ), ""),
    IF(
        INDEX($K$5:$K$50, ROW(A45)) = "Gezinshuis",
            INDEX('3. Gezinshuis producten'!$A:$Y, 29,
            14 + 2 * (INDEX($L$5:$L$50, ROW(A45)) - 1)),
        IF(
            INDEX($K$5:$K$50, ROW(A45)) = "Pleegzorg",
                 INDEX('4. Pleegzorg producten'!$A:$Y, 26,
            13 + 3 * (INDEX($L$5:$L$50, ROW(A45)) - 1)),
            ""
        )
    )
)</f>
        <v/>
      </c>
      <c r="W49" s="36" t="str">
        <f>IF(
    INDEX($K$5:$K$50, ROW(A45)) = "Algemeen",
        IFERROR(IF('Hulp (control forms)'!$C$12&lt;&gt;TRUE, '1a. Input organisatieniveau'!$I$27, INDEX(
            '1a. Input organisatieniveau'!$L$18:$N$18,
            MATCH(
                INDEX('2. Output kostprijs'!$A:$ZZ,
                    15,
                    4 + 2 * (INDEX($L$5:$L$50, ROW(A45)) - 1)
                ),
                '1a. Input organisatieniveau'!$L$6:$N$6,
                0
            )
        )),""),
    IF(
        INDEX($K$5:$K$50, ROW(A45)) = "Gezinshuis",
            "",
        IF(
            INDEX($K$5:$K$50, ROW(A45)) = "Pleegzorg",
                 "",
            ""
        )
    )
)</f>
        <v/>
      </c>
      <c r="X49" s="36" t="str">
        <f>IF(
    INDEX($K$5:$K$50, ROW(A45)) = "Algemeen",
        IFERROR(IF('Hulp (control forms)'!$C$12&lt;&gt;TRUE, '1a. Input organisatieniveau'!$I$28, INDEX(
            '1a. Input organisatieniveau'!$L$19:$N$19,
            MATCH(
                INDEX('2. Output kostprijs'!$A:$ZZ,
                    15,
                    4 + 2 * (INDEX($L$5:$L$50, ROW(A45)) - 1)
                ),
                '1a. Input organisatieniveau'!$L$6:$N$6,
                0
            )
        )),""),
    IF(
        INDEX($K$5:$K$50, ROW(A45)) = "Gezinshuis",
            "",
        IF(
            INDEX($K$5:$K$50, ROW(A45)) = "Pleegzorg",
                 "",
            ""
        )
    )
)</f>
        <v/>
      </c>
    </row>
  </sheetData>
  <pageMargins left="0.7" right="0.7" top="0.75" bottom="0.75" header="0.3" footer="0.3"/>
  <pageSetup paperSize="9" orientation="portrait" r:id="rId1"/>
  <ignoredErrors>
    <ignoredError sqref="S8" formula="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A890-D313-419C-9E97-B39A9C41C1B6}">
  <sheetPr>
    <tabColor theme="1"/>
  </sheetPr>
  <dimension ref="A1:C19"/>
  <sheetViews>
    <sheetView workbookViewId="0">
      <selection activeCell="B5" sqref="B5"/>
    </sheetView>
  </sheetViews>
  <sheetFormatPr defaultRowHeight="14.25" x14ac:dyDescent="0.45"/>
  <cols>
    <col min="1" max="3" width="31.9296875" customWidth="1"/>
  </cols>
  <sheetData>
    <row r="1" spans="1:3" x14ac:dyDescent="0.45">
      <c r="A1" s="5" t="s">
        <v>888</v>
      </c>
      <c r="B1" s="5" t="s">
        <v>2167</v>
      </c>
      <c r="C1" s="5" t="s">
        <v>2168</v>
      </c>
    </row>
    <row r="2" spans="1:3" ht="57" x14ac:dyDescent="0.45">
      <c r="A2" s="691" t="s">
        <v>889</v>
      </c>
      <c r="B2" s="693" t="s">
        <v>2169</v>
      </c>
      <c r="C2" s="693" t="s">
        <v>2170</v>
      </c>
    </row>
    <row r="3" spans="1:3" ht="42.75" x14ac:dyDescent="0.45">
      <c r="A3" s="691" t="s">
        <v>890</v>
      </c>
      <c r="B3" s="693" t="s">
        <v>2169</v>
      </c>
      <c r="C3" s="693" t="s">
        <v>2171</v>
      </c>
    </row>
    <row r="4" spans="1:3" ht="71.25" x14ac:dyDescent="0.45">
      <c r="A4" s="691" t="s">
        <v>20</v>
      </c>
      <c r="B4" s="693" t="s">
        <v>2172</v>
      </c>
      <c r="C4" s="693" t="s">
        <v>2172</v>
      </c>
    </row>
    <row r="5" spans="1:3" ht="71.25" x14ac:dyDescent="0.45">
      <c r="A5" s="691" t="s">
        <v>955</v>
      </c>
      <c r="B5" s="693" t="s">
        <v>2173</v>
      </c>
      <c r="C5" s="693" t="s">
        <v>2173</v>
      </c>
    </row>
    <row r="6" spans="1:3" ht="71.25" x14ac:dyDescent="0.45">
      <c r="A6" s="691" t="s">
        <v>956</v>
      </c>
      <c r="B6" s="693" t="s">
        <v>2173</v>
      </c>
      <c r="C6" s="692" t="s">
        <v>2174</v>
      </c>
    </row>
    <row r="7" spans="1:3" ht="57" x14ac:dyDescent="0.45">
      <c r="A7" s="691" t="s">
        <v>1070</v>
      </c>
      <c r="B7" s="693" t="s">
        <v>2175</v>
      </c>
      <c r="C7" s="693" t="s">
        <v>2175</v>
      </c>
    </row>
    <row r="8" spans="1:3" ht="57" x14ac:dyDescent="0.45">
      <c r="A8" s="691" t="s">
        <v>1071</v>
      </c>
      <c r="B8" s="693" t="s">
        <v>2175</v>
      </c>
      <c r="C8" s="693" t="s">
        <v>2175</v>
      </c>
    </row>
    <row r="9" spans="1:3" x14ac:dyDescent="0.45">
      <c r="A9" s="691" t="s">
        <v>718</v>
      </c>
      <c r="B9" s="692" t="s">
        <v>2176</v>
      </c>
      <c r="C9" s="692" t="s">
        <v>2176</v>
      </c>
    </row>
    <row r="10" spans="1:3" x14ac:dyDescent="0.45">
      <c r="A10" s="691" t="s">
        <v>719</v>
      </c>
      <c r="B10" s="692" t="s">
        <v>2176</v>
      </c>
      <c r="C10" s="692" t="s">
        <v>2176</v>
      </c>
    </row>
    <row r="11" spans="1:3" x14ac:dyDescent="0.45">
      <c r="A11" s="691" t="s">
        <v>746</v>
      </c>
      <c r="B11" s="692" t="s">
        <v>2176</v>
      </c>
      <c r="C11" s="692" t="s">
        <v>2176</v>
      </c>
    </row>
    <row r="12" spans="1:3" x14ac:dyDescent="0.45">
      <c r="A12" s="691" t="s">
        <v>1069</v>
      </c>
      <c r="B12" s="692" t="s">
        <v>2176</v>
      </c>
      <c r="C12" s="692" t="s">
        <v>2176</v>
      </c>
    </row>
    <row r="13" spans="1:3" ht="71.25" x14ac:dyDescent="0.45">
      <c r="A13" s="691" t="s">
        <v>727</v>
      </c>
      <c r="B13" s="693" t="s">
        <v>2173</v>
      </c>
      <c r="C13" s="693" t="s">
        <v>2173</v>
      </c>
    </row>
    <row r="14" spans="1:3" x14ac:dyDescent="0.45">
      <c r="A14" s="691" t="s">
        <v>729</v>
      </c>
      <c r="B14" s="692" t="s">
        <v>2176</v>
      </c>
      <c r="C14" s="692" t="s">
        <v>2176</v>
      </c>
    </row>
    <row r="15" spans="1:3" ht="85.5" x14ac:dyDescent="0.45">
      <c r="A15" s="691" t="s">
        <v>728</v>
      </c>
      <c r="B15" s="693" t="s">
        <v>2177</v>
      </c>
      <c r="C15" s="693" t="s">
        <v>2177</v>
      </c>
    </row>
    <row r="16" spans="1:3" x14ac:dyDescent="0.45">
      <c r="A16" s="691" t="s">
        <v>730</v>
      </c>
      <c r="B16" s="692" t="s">
        <v>2176</v>
      </c>
      <c r="C16" s="692" t="s">
        <v>2176</v>
      </c>
    </row>
    <row r="17" spans="1:3" ht="28.5" x14ac:dyDescent="0.45">
      <c r="A17" s="691" t="s">
        <v>19</v>
      </c>
      <c r="B17" s="693" t="s">
        <v>2178</v>
      </c>
      <c r="C17" s="693" t="s">
        <v>2179</v>
      </c>
    </row>
    <row r="18" spans="1:3" ht="71.25" x14ac:dyDescent="0.45">
      <c r="A18" s="691" t="s">
        <v>2166</v>
      </c>
      <c r="B18" s="692" t="s">
        <v>2174</v>
      </c>
      <c r="C18" s="692" t="s">
        <v>2173</v>
      </c>
    </row>
    <row r="19" spans="1:3" ht="71.25" x14ac:dyDescent="0.45">
      <c r="A19" s="690" t="s">
        <v>2165</v>
      </c>
      <c r="B19" s="692" t="s">
        <v>2174</v>
      </c>
      <c r="C19" s="692" t="s">
        <v>2173</v>
      </c>
    </row>
  </sheetData>
  <hyperlinks>
    <hyperlink ref="B2" r:id="rId1" xr:uid="{1BE1D0FC-1306-401E-BFEA-07EF8395737F}"/>
    <hyperlink ref="C2" r:id="rId2" xr:uid="{1793E39E-D3C1-4F4B-9396-8C06126203C9}"/>
    <hyperlink ref="B3" r:id="rId3" xr:uid="{41DB5AA1-2A60-45AB-A7DB-1DFE2AD99748}"/>
    <hyperlink ref="C3" r:id="rId4" xr:uid="{F943BD08-9CB2-498B-A78F-E6E824144405}"/>
    <hyperlink ref="B4" r:id="rId5" xr:uid="{EE4998F6-8FBD-40A9-90CC-F6D1173642DD}"/>
    <hyperlink ref="C4" r:id="rId6" xr:uid="{CC66A717-2D11-41A3-9F01-DB66E5CA4A93}"/>
    <hyperlink ref="B5" r:id="rId7" location="collapsible=premiepercentages-en-franchises-tot-en-met-2025" xr:uid="{34243540-D7FC-4ED0-AB02-8202D92C5914}"/>
    <hyperlink ref="C5" r:id="rId8" location="collapsible=premiepercentages-en-franchises-tot-en-met-2025" xr:uid="{F8F9F0BE-610F-4384-BA7F-92517D1FD70E}"/>
    <hyperlink ref="B6" r:id="rId9" location="collapsible=premiepercentages-en-franchises-tot-en-met-2025" xr:uid="{3E60CE34-5484-4BBF-9DE7-5F96BB370EBA}"/>
    <hyperlink ref="B7" r:id="rId10" xr:uid="{B326E2AE-6B1B-488D-BCED-31C42E6E53EA}"/>
    <hyperlink ref="C7" r:id="rId11" xr:uid="{9C12F1A2-A38B-4A17-9F75-A5D59C31FE98}"/>
    <hyperlink ref="B8" r:id="rId12" xr:uid="{C9B51F18-1B6F-42A5-8F4C-66DBDDABE7A2}"/>
    <hyperlink ref="C8" r:id="rId13" xr:uid="{60CFBDB4-FA87-4542-9DAF-304F5C7E99EC}"/>
    <hyperlink ref="B13" r:id="rId14" location="collapsible=premiepercentages-en-franchises-tot-en-met-2025" xr:uid="{53F527BD-7C2D-4A27-87B9-A00C2972F8F5}"/>
    <hyperlink ref="C13" r:id="rId15" location="collapsible=premiepercentages-en-franchises-tot-en-met-2025" xr:uid="{4BFDBDB9-89B1-4AA2-AA30-911CAF92ED87}"/>
    <hyperlink ref="B15" r:id="rId16" location="collapsible=premiepercentages-en-franchises-tot-en-met-2025_x000a_Vanaf 2026 is deze factor irrelevant" xr:uid="{391D290A-C42F-4952-AB69-2816C22BD024}"/>
    <hyperlink ref="C15" r:id="rId17" location="collapsible=premiepercentages-en-franchises-tot-en-met-2025_x000a_Vanaf 2026 is deze factor irrelevant" xr:uid="{94AF9824-A236-4A52-9F7C-B6ECA2390872}"/>
    <hyperlink ref="B17" r:id="rId18" xr:uid="{9D8679A1-10A4-4232-82AD-48AE260053B0}"/>
    <hyperlink ref="C17" r:id="rId19" xr:uid="{B59D11E0-85A7-4374-96BD-52041398BE51}"/>
  </hyperlinks>
  <pageMargins left="0.7" right="0.7" top="0.75" bottom="0.75" header="0.3" footer="0.3"/>
  <pageSetup paperSize="9" orientation="portrait" r:id="rId20"/>
  <legacyDrawing r:id="rId2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499984740745262"/>
    <pageSetUpPr autoPageBreaks="0"/>
  </sheetPr>
  <dimension ref="B1:AC30"/>
  <sheetViews>
    <sheetView topLeftCell="A4" zoomScale="70" zoomScaleNormal="70" workbookViewId="0">
      <selection activeCell="E27" sqref="E27"/>
    </sheetView>
  </sheetViews>
  <sheetFormatPr defaultRowHeight="14.25" x14ac:dyDescent="0.45"/>
  <cols>
    <col min="2" max="2" width="54.796875" customWidth="1"/>
    <col min="3" max="19" width="20.59765625" customWidth="1"/>
    <col min="27" max="29" width="0" hidden="1" customWidth="1"/>
  </cols>
  <sheetData>
    <row r="1" spans="2:29" ht="14.65" thickBot="1" x14ac:dyDescent="0.5"/>
    <row r="2" spans="2:29" x14ac:dyDescent="0.45">
      <c r="B2" s="22" t="s">
        <v>786</v>
      </c>
      <c r="C2" s="207" t="str">
        <f>INDEX($AA:$AA, COLUMN(A1)+1)</f>
        <v/>
      </c>
      <c r="D2" s="207" t="str">
        <f t="shared" ref="D2:S2" si="0">INDEX($AA:$AA, COLUMN(B1)+1)</f>
        <v/>
      </c>
      <c r="E2" s="207" t="str">
        <f t="shared" si="0"/>
        <v/>
      </c>
      <c r="F2" s="207" t="str">
        <f t="shared" si="0"/>
        <v/>
      </c>
      <c r="G2" s="207" t="str">
        <f t="shared" si="0"/>
        <v/>
      </c>
      <c r="H2" s="207" t="str">
        <f t="shared" si="0"/>
        <v/>
      </c>
      <c r="I2" s="207" t="str">
        <f t="shared" si="0"/>
        <v/>
      </c>
      <c r="J2" s="207" t="str">
        <f t="shared" si="0"/>
        <v/>
      </c>
      <c r="K2" s="207" t="str">
        <f t="shared" si="0"/>
        <v/>
      </c>
      <c r="L2" s="207" t="str">
        <f t="shared" si="0"/>
        <v/>
      </c>
      <c r="M2" s="207" t="str">
        <f t="shared" si="0"/>
        <v/>
      </c>
      <c r="N2" s="207" t="str">
        <f t="shared" si="0"/>
        <v/>
      </c>
      <c r="O2" s="207" t="str">
        <f t="shared" si="0"/>
        <v/>
      </c>
      <c r="P2" s="207" t="str">
        <f t="shared" si="0"/>
        <v/>
      </c>
      <c r="Q2" s="207" t="str">
        <f t="shared" si="0"/>
        <v/>
      </c>
      <c r="R2" s="207" t="str">
        <f t="shared" si="0"/>
        <v/>
      </c>
      <c r="S2" s="276" t="str">
        <f t="shared" si="0"/>
        <v/>
      </c>
      <c r="AA2" t="str">
        <f t="array" ref="AA2">IFERROR(
  IF(
    ROW(A1) &lt;= SUMPRODUCT(--('Hulp (control forms)'!$G$13:$G$52)),
      IF(
        INDEX(Initialisatie!B$10:B$49,
          SMALL(
            IF('Hulp (control forms)'!$G$13:$G$52=TRUE,
               ROW(Initialisatie!B$10:B$49)-ROW(Initialisatie!B$10)+1),
            ROW(A1)
          )
        )="","",
        INDEX(Initialisatie!B$10:B$49,
          SMALL(
            IF('Hulp (control forms)'!$G$13:$G$52=TRUE,
               ROW(Initialisatie!B$10:B$49)-ROW(Initialisatie!B$10)+1),
            ROW(A1)
          )
        )
      ),
    IFERROR(
      INDEX(
        '3. Gezinshuis producten'!E$7:E$9,
        SMALL(
          IF('Hulp (control forms)'!$F$6:$F$8=TRUE,
             ROW('3. Gezinshuis producten'!E$7:E$9)-ROW('3. Gezinshuis producten'!E$7)+1),
          ROW(A1) - SUMPRODUCT(--('Hulp (control forms)'!$G$13:$G$52))
        )
      ),
      IF(
        ROW(A1)
         - SUMPRODUCT(--('Hulp (control forms)'!$G$13:$G$52))
         - SUMPRODUCT(--('Hulp (control forms)'!$F$6:$F$8)) = 1,
        IF('4. Pleegzorg producten'!$M$26&lt;&gt;"",
           "Voltijd",
           IF('4. Pleegzorg producten'!$P$26&lt;&gt;"","Deeltijd","")
        ),
        IF(
          ROW(A1)
           - SUMPRODUCT(--('Hulp (control forms)'!$G$13:$G$52))
           - SUMPRODUCT(--('Hulp (control forms)'!$F$6:$F$8)) = 2,
          IF( AND('4. Pleegzorg producten'!$M$26&lt;&gt;"", '4. Pleegzorg producten'!$P$26&lt;&gt;"" ),
             "Deeltijd",
             ""
          ),
          ""
        )
      )
    )
  ),
"")</f>
        <v/>
      </c>
      <c r="AB2" t="str">
        <f t="array" ref="AB2">IF(
  ROW(A1) &lt;= SUMPRODUCT(--('Hulp (control forms)'!$G$13:$G$52)),
      "1a. Input organisatieniveau",
  IF(
    ROW(A1) - SUMPRODUCT(--('Hulp (control forms)'!$G$13:$G$52))
      &lt;= SUMPRODUCT(--('Hulp (control forms)'!$F$6:$F$8)),
        "3. Gezinshuis producten",
    IF(
      (ROW(A1)
        - SUMPRODUCT(--('Hulp (control forms)'!$G$13:$G$52))
        - SUMPRODUCT(--('Hulp (control forms)'!$F$6:$F$8)))
        &lt;= SUMPRODUCT(--('4. Pleegzorg producten'!$M$26&lt;&gt;"") + --('4. Pleegzorg producten'!$P$26&lt;&gt;"")),
          "4. Pleegzorg producten",
          ""
    )
  )
)</f>
        <v/>
      </c>
      <c r="AC2" t="str">
        <f t="array" ref="AC2">IF(
  ROW(A1) &lt;= SUMPRODUCT(--('Hulp (control forms)'!$G$13:$G$52)),
      ROW(A1),
  IF(
    ROW(A1) - SUMPRODUCT(--('Hulp (control forms)'!$G$13:$G$52))
      &lt;= SUMPRODUCT(--('Hulp (control forms)'!$F$6:$F$8)),
        ROW(A1) - SUMPRODUCT(--('Hulp (control forms)'!$G$13:$G$52)),
    IF(
      (ROW(A1)
        - SUMPRODUCT(--('Hulp (control forms)'!$G$13:$G$52))
        - SUMPRODUCT(--('Hulp (control forms)'!$F$6:$F$8)))
        &lt;= SUMPRODUCT(--('4. Pleegzorg producten'!$M$26&lt;&gt;"") + --('4. Pleegzorg producten'!$P$26&lt;&gt;"")),
        ROW(A1)
        - SUMPRODUCT(--('Hulp (control forms)'!$G$13:$G$52))
        - SUMPRODUCT(--('Hulp (control forms)'!$F$6:$F$8)),
        ""
    )
  )
)</f>
        <v/>
      </c>
    </row>
    <row r="3" spans="2:29" x14ac:dyDescent="0.45">
      <c r="B3" s="23" t="s">
        <v>11</v>
      </c>
      <c r="C3" s="21" t="str">
        <f>IF(
    INDEX($AB:$AB, COLUMN(A1)+1) = "1a. Input organisatieniveau",
        '1a. Input organisatieniveau'!$C$7,
    IF(
        INDEX($AB:$AB, COLUMN(A1)+1) = "3. Gezinshuis producten",
            '3. Gezinshuis producten'!$C$7,
        IF(
            INDEX($AB:$AB, COLUMN(A1)+1) = "4. Pleegzorg producten",
                 '4. Pleegzorg producten'!$C$7,
            ""
        )
    )
)</f>
        <v/>
      </c>
      <c r="D3" s="21" t="str">
        <f>IF(
    INDEX($AB:$AB, COLUMN(B1)+1) = "1a. Input organisatieniveau",
        '1a. Input organisatieniveau'!$C$7,
    IF(
        INDEX($AB:$AB, COLUMN(B1)+1) = "3. Gezinshuis producten",
            '3. Gezinshuis producten'!$C$7,
        IF(
            INDEX($AB:$AB, COLUMN(B1)+1) = "4. Pleegzorg producten",
                 '4. Pleegzorg producten'!$C$7,
            ""
        )
    )
)</f>
        <v/>
      </c>
      <c r="E3" s="21" t="str">
        <f>IF(
    INDEX($AB:$AB, COLUMN(C1)+1) = "1a. Input organisatieniveau",
        '1a. Input organisatieniveau'!$C$7,
    IF(
        INDEX($AB:$AB, COLUMN(C1)+1) = "3. Gezinshuis producten",
            '3. Gezinshuis producten'!$C$7,
        IF(
            INDEX($AB:$AB, COLUMN(C1)+1) = "4. Pleegzorg producten",
                 '4. Pleegzorg producten'!$C$7,
            ""
        )
    )
)</f>
        <v/>
      </c>
      <c r="F3" s="21" t="str">
        <f>IF(
    INDEX($AB:$AB, COLUMN(D1)+1) = "1a. Input organisatieniveau",
        '1a. Input organisatieniveau'!$C$7,
    IF(
        INDEX($AB:$AB, COLUMN(D1)+1) = "3. Gezinshuis producten",
            '3. Gezinshuis producten'!$C$7,
        IF(
            INDEX($AB:$AB, COLUMN(D1)+1) = "4. Pleegzorg producten",
                 '4. Pleegzorg producten'!$C$7,
            ""
        )
    )
)</f>
        <v/>
      </c>
      <c r="G3" s="21" t="str">
        <f>IF(
    INDEX($AB:$AB, COLUMN(E1)+1) = "1a. Input organisatieniveau",
        '1a. Input organisatieniveau'!$C$7,
    IF(
        INDEX($AB:$AB, COLUMN(E1)+1) = "3. Gezinshuis producten",
            '3. Gezinshuis producten'!$C$7,
        IF(
            INDEX($AB:$AB, COLUMN(E1)+1) = "4. Pleegzorg producten",
                 '4. Pleegzorg producten'!$C$7,
            ""
        )
    )
)</f>
        <v/>
      </c>
      <c r="H3" s="21" t="str">
        <f>IF(
    INDEX($AB:$AB, COLUMN(F1)+1) = "1a. Input organisatieniveau",
        '1a. Input organisatieniveau'!$C$7,
    IF(
        INDEX($AB:$AB, COLUMN(F1)+1) = "3. Gezinshuis producten",
            '3. Gezinshuis producten'!$C$7,
        IF(
            INDEX($AB:$AB, COLUMN(F1)+1) = "4. Pleegzorg producten",
                 '4. Pleegzorg producten'!$C$7,
            ""
        )
    )
)</f>
        <v/>
      </c>
      <c r="I3" s="21" t="str">
        <f>IF(
    INDEX($AB:$AB, COLUMN(G1)+1) = "1a. Input organisatieniveau",
        '1a. Input organisatieniveau'!$C$7,
    IF(
        INDEX($AB:$AB, COLUMN(G1)+1) = "3. Gezinshuis producten",
            '3. Gezinshuis producten'!$C$7,
        IF(
            INDEX($AB:$AB, COLUMN(G1)+1) = "4. Pleegzorg producten",
                 '4. Pleegzorg producten'!$C$7,
            ""
        )
    )
)</f>
        <v/>
      </c>
      <c r="J3" s="21" t="str">
        <f>IF(
    INDEX($AB:$AB, COLUMN(H1)+1) = "1a. Input organisatieniveau",
        '1a. Input organisatieniveau'!$C$7,
    IF(
        INDEX($AB:$AB, COLUMN(H1)+1) = "3. Gezinshuis producten",
            '3. Gezinshuis producten'!$C$7,
        IF(
            INDEX($AB:$AB, COLUMN(H1)+1) = "4. Pleegzorg producten",
                 '4. Pleegzorg producten'!$C$7,
            ""
        )
    )
)</f>
        <v/>
      </c>
      <c r="K3" s="21" t="str">
        <f>IF(
    INDEX($AB:$AB, COLUMN(I1)+1) = "1a. Input organisatieniveau",
        '1a. Input organisatieniveau'!$C$7,
    IF(
        INDEX($AB:$AB, COLUMN(I1)+1) = "3. Gezinshuis producten",
            '3. Gezinshuis producten'!$C$7,
        IF(
            INDEX($AB:$AB, COLUMN(I1)+1) = "4. Pleegzorg producten",
                 '4. Pleegzorg producten'!$C$7,
            ""
        )
    )
)</f>
        <v/>
      </c>
      <c r="L3" s="21" t="str">
        <f>IF(
    INDEX($AB:$AB, COLUMN(J1)+1) = "1a. Input organisatieniveau",
        '1a. Input organisatieniveau'!$C$7,
    IF(
        INDEX($AB:$AB, COLUMN(J1)+1) = "3. Gezinshuis producten",
            '3. Gezinshuis producten'!$C$7,
        IF(
            INDEX($AB:$AB, COLUMN(J1)+1) = "4. Pleegzorg producten",
                 '4. Pleegzorg producten'!$C$7,
            ""
        )
    )
)</f>
        <v/>
      </c>
      <c r="M3" s="21" t="str">
        <f>IF(
    INDEX($AB:$AB, COLUMN(K1)+1) = "1a. Input organisatieniveau",
        '1a. Input organisatieniveau'!$C$7,
    IF(
        INDEX($AB:$AB, COLUMN(K1)+1) = "3. Gezinshuis producten",
            '3. Gezinshuis producten'!$C$7,
        IF(
            INDEX($AB:$AB, COLUMN(K1)+1) = "4. Pleegzorg producten",
                 '4. Pleegzorg producten'!$C$7,
            ""
        )
    )
)</f>
        <v/>
      </c>
      <c r="N3" s="21" t="str">
        <f>IF(
    INDEX($AB:$AB, COLUMN(L1)+1) = "1a. Input organisatieniveau",
        '1a. Input organisatieniveau'!$C$7,
    IF(
        INDEX($AB:$AB, COLUMN(L1)+1) = "3. Gezinshuis producten",
            '3. Gezinshuis producten'!$C$7,
        IF(
            INDEX($AB:$AB, COLUMN(L1)+1) = "4. Pleegzorg producten",
                 '4. Pleegzorg producten'!$C$7,
            ""
        )
    )
)</f>
        <v/>
      </c>
      <c r="O3" s="21" t="str">
        <f>IF(
    INDEX($AB:$AB, COLUMN(M1)+1) = "1a. Input organisatieniveau",
        '1a. Input organisatieniveau'!$C$7,
    IF(
        INDEX($AB:$AB, COLUMN(M1)+1) = "3. Gezinshuis producten",
            '3. Gezinshuis producten'!$C$7,
        IF(
            INDEX($AB:$AB, COLUMN(M1)+1) = "4. Pleegzorg producten",
                 '4. Pleegzorg producten'!$C$7,
            ""
        )
    )
)</f>
        <v/>
      </c>
      <c r="P3" s="21" t="str">
        <f>IF(
    INDEX($AB:$AB, COLUMN(N1)+1) = "1a. Input organisatieniveau",
        '1a. Input organisatieniveau'!$C$7,
    IF(
        INDEX($AB:$AB, COLUMN(N1)+1) = "3. Gezinshuis producten",
            '3. Gezinshuis producten'!$C$7,
        IF(
            INDEX($AB:$AB, COLUMN(N1)+1) = "4. Pleegzorg producten",
                 '4. Pleegzorg producten'!$C$7,
            ""
        )
    )
)</f>
        <v/>
      </c>
      <c r="Q3" s="21" t="str">
        <f>IF(
    INDEX($AB:$AB, COLUMN(O1)+1) = "1a. Input organisatieniveau",
        '1a. Input organisatieniveau'!$C$7,
    IF(
        INDEX($AB:$AB, COLUMN(O1)+1) = "3. Gezinshuis producten",
            '3. Gezinshuis producten'!$C$7,
        IF(
            INDEX($AB:$AB, COLUMN(O1)+1) = "4. Pleegzorg producten",
                 '4. Pleegzorg producten'!$C$7,
            ""
        )
    )
)</f>
        <v/>
      </c>
      <c r="R3" s="21" t="str">
        <f>IF(
    INDEX($AB:$AB, COLUMN(P1)+1) = "1a. Input organisatieniveau",
        '1a. Input organisatieniveau'!$C$7,
    IF(
        INDEX($AB:$AB, COLUMN(P1)+1) = "3. Gezinshuis producten",
            '3. Gezinshuis producten'!$C$7,
        IF(
            INDEX($AB:$AB, COLUMN(P1)+1) = "4. Pleegzorg producten",
                 '4. Pleegzorg producten'!$C$7,
            ""
        )
    )
)</f>
        <v/>
      </c>
      <c r="S3" s="277" t="str">
        <f>IF(
    INDEX($AB:$AB, COLUMN(Q1)+1) = "1a. Input organisatieniveau",
        '1a. Input organisatieniveau'!$C$7,
    IF(
        INDEX($AB:$AB, COLUMN(Q1)+1) = "3. Gezinshuis producten",
            '3. Gezinshuis producten'!$C$7,
        IF(
            INDEX($AB:$AB, COLUMN(Q1)+1) = "4. Pleegzorg producten",
                 '4. Pleegzorg producten'!$C$7,
            ""
        )
    )
)</f>
        <v/>
      </c>
      <c r="AA3" t="str">
        <f t="array" ref="AA3">IFERROR(
  IF(
    ROW(A2) &lt;= SUMPRODUCT(--('Hulp (control forms)'!$G$13:$G$52)),
      IF(
        INDEX(Initialisatie!B$10:B$49,
          SMALL(
            IF('Hulp (control forms)'!$G$13:$G$52=TRUE,
               ROW(Initialisatie!B$10:B$49)-ROW(Initialisatie!B$10)+1),
            ROW(A2)
          )
        )="","",
        INDEX(Initialisatie!B$10:B$49,
          SMALL(
            IF('Hulp (control forms)'!$G$13:$G$52=TRUE,
               ROW(Initialisatie!B$10:B$49)-ROW(Initialisatie!B$10)+1),
            ROW(A2)
          )
        )
      ),
    IFERROR(
      INDEX(
        '3. Gezinshuis producten'!E$7:E$9,
        SMALL(
          IF('Hulp (control forms)'!$F$6:$F$8=TRUE,
             ROW('3. Gezinshuis producten'!E$7:E$9)-ROW('3. Gezinshuis producten'!E$7)+1),
          ROW(A2) - SUMPRODUCT(--('Hulp (control forms)'!$G$13:$G$52))
        )
      ),
      IF(
        ROW(A2)
         - SUMPRODUCT(--('Hulp (control forms)'!$G$13:$G$52))
         - SUMPRODUCT(--('Hulp (control forms)'!$F$6:$F$8)) = 1,
        IF('4. Pleegzorg producten'!$M$26&lt;&gt;"",
           "Voltijd",
           IF('4. Pleegzorg producten'!$P$26&lt;&gt;"","Deeltijd","")
        ),
        IF(
          ROW(A2)
           - SUMPRODUCT(--('Hulp (control forms)'!$G$13:$G$52))
           - SUMPRODUCT(--('Hulp (control forms)'!$F$6:$F$8)) = 2,
          IF( AND('4. Pleegzorg producten'!$M$26&lt;&gt;"", '4. Pleegzorg producten'!$P$26&lt;&gt;"" ),
             "Deeltijd",
             ""
          ),
          ""
        )
      )
    )
  ),
"")</f>
        <v/>
      </c>
      <c r="AB3" t="str">
        <f t="array" ref="AB3">IF(
  ROW(A2) &lt;= SUMPRODUCT(--('Hulp (control forms)'!$G$13:$G$52)),
      "1a. Input organisatieniveau",
  IF(
    ROW(A2) - SUMPRODUCT(--('Hulp (control forms)'!$G$13:$G$52))
      &lt;= SUMPRODUCT(--('Hulp (control forms)'!$F$6:$F$8)),
        "3. Gezinshuis producten",
    IF(
      (ROW(A2)
        - SUMPRODUCT(--('Hulp (control forms)'!$G$13:$G$52))
        - SUMPRODUCT(--('Hulp (control forms)'!$F$6:$F$8)))
        &lt;= SUMPRODUCT(--('4. Pleegzorg producten'!$M$26&lt;&gt;"") + --('4. Pleegzorg producten'!$P$26&lt;&gt;"")),
          "4. Pleegzorg producten",
          ""
    )
  )
)</f>
        <v/>
      </c>
      <c r="AC3" t="str">
        <f t="array" ref="AC3">IF(
  ROW(A2) &lt;= SUMPRODUCT(--('Hulp (control forms)'!$G$13:$G$52)),
      ROW(A2),
  IF(
    ROW(A2) - SUMPRODUCT(--('Hulp (control forms)'!$G$13:$G$52))
      &lt;= SUMPRODUCT(--('Hulp (control forms)'!$F$6:$F$8)),
        ROW(A2) - SUMPRODUCT(--('Hulp (control forms)'!$G$13:$G$52)),
    IF(
      (ROW(A2)
        - SUMPRODUCT(--('Hulp (control forms)'!$G$13:$G$52))
        - SUMPRODUCT(--('Hulp (control forms)'!$F$6:$F$8)))
        &lt;= SUMPRODUCT(--('4. Pleegzorg producten'!$M$26&lt;&gt;"") + --('4. Pleegzorg producten'!$P$26&lt;&gt;"")),
        ROW(A2)
        - SUMPRODUCT(--('Hulp (control forms)'!$G$13:$G$52))
        - SUMPRODUCT(--('Hulp (control forms)'!$F$6:$F$8)),
        ""
    )
  )
)</f>
        <v/>
      </c>
    </row>
    <row r="4" spans="2:29" x14ac:dyDescent="0.45">
      <c r="B4" s="23" t="s">
        <v>12</v>
      </c>
      <c r="C4" s="21" t="str">
        <f>IF(
    INDEX($AB:$AB, COLUMN(A1)+1) = "1a. Input organisatieniveau",
        '1a. Input organisatieniveau'!$C$8,
    IF(
        INDEX($AB:$AB, COLUMN(A1)+1) = "3. Gezinshuis producten",
            "",
        IF(
            INDEX($AB:$AB, COLUMN(A1)+1) = "4. Pleegzorg producten",
                "",
            ""
        )
    )
)</f>
        <v/>
      </c>
      <c r="D4" s="21" t="str">
        <f>IF(
    INDEX($AB:$AB, COLUMN(B1)+1) = "1a. Input organisatieniveau",
        '1a. Input organisatieniveau'!$C$8,
    IF(
        INDEX($AB:$AB, COLUMN(B1)+1) = "3. Gezinshuis producten",
            "",
        IF(
            INDEX($AB:$AB, COLUMN(B1)+1) = "4. Pleegzorg producten",
                "",
            ""
        )
    )
)</f>
        <v/>
      </c>
      <c r="E4" s="21" t="str">
        <f>IF(
    INDEX($AB:$AB, COLUMN(C1)+1) = "1a. Input organisatieniveau",
        '1a. Input organisatieniveau'!$C$8,
    IF(
        INDEX($AB:$AB, COLUMN(C1)+1) = "3. Gezinshuis producten",
            "",
        IF(
            INDEX($AB:$AB, COLUMN(C1)+1) = "4. Pleegzorg producten",
                "",
            ""
        )
    )
)</f>
        <v/>
      </c>
      <c r="F4" s="21" t="str">
        <f>IF(
    INDEX($AB:$AB, COLUMN(D1)+1) = "1a. Input organisatieniveau",
        '1a. Input organisatieniveau'!$C$8,
    IF(
        INDEX($AB:$AB, COLUMN(D1)+1) = "3. Gezinshuis producten",
            "",
        IF(
            INDEX($AB:$AB, COLUMN(D1)+1) = "4. Pleegzorg producten",
                "",
            ""
        )
    )
)</f>
        <v/>
      </c>
      <c r="G4" s="21" t="str">
        <f>IF(
    INDEX($AB:$AB, COLUMN(E1)+1) = "1a. Input organisatieniveau",
        '1a. Input organisatieniveau'!$C$8,
    IF(
        INDEX($AB:$AB, COLUMN(E1)+1) = "3. Gezinshuis producten",
            "",
        IF(
            INDEX($AB:$AB, COLUMN(E1)+1) = "4. Pleegzorg producten",
                "",
            ""
        )
    )
)</f>
        <v/>
      </c>
      <c r="H4" s="21" t="str">
        <f>IF(
    INDEX($AB:$AB, COLUMN(F1)+1) = "1a. Input organisatieniveau",
        '1a. Input organisatieniveau'!$C$8,
    IF(
        INDEX($AB:$AB, COLUMN(F1)+1) = "3. Gezinshuis producten",
            "",
        IF(
            INDEX($AB:$AB, COLUMN(F1)+1) = "4. Pleegzorg producten",
                "",
            ""
        )
    )
)</f>
        <v/>
      </c>
      <c r="I4" s="21" t="str">
        <f>IF(
    INDEX($AB:$AB, COLUMN(G1)+1) = "1a. Input organisatieniveau",
        '1a. Input organisatieniveau'!$C$8,
    IF(
        INDEX($AB:$AB, COLUMN(G1)+1) = "3. Gezinshuis producten",
            "",
        IF(
            INDEX($AB:$AB, COLUMN(G1)+1) = "4. Pleegzorg producten",
                "",
            ""
        )
    )
)</f>
        <v/>
      </c>
      <c r="J4" s="21" t="str">
        <f>IF(
    INDEX($AB:$AB, COLUMN(H1)+1) = "1a. Input organisatieniveau",
        '1a. Input organisatieniveau'!$C$8,
    IF(
        INDEX($AB:$AB, COLUMN(H1)+1) = "3. Gezinshuis producten",
            "",
        IF(
            INDEX($AB:$AB, COLUMN(H1)+1) = "4. Pleegzorg producten",
                "",
            ""
        )
    )
)</f>
        <v/>
      </c>
      <c r="K4" s="21" t="str">
        <f>IF(
    INDEX($AB:$AB, COLUMN(I1)+1) = "1a. Input organisatieniveau",
        '1a. Input organisatieniveau'!$C$8,
    IF(
        INDEX($AB:$AB, COLUMN(I1)+1) = "3. Gezinshuis producten",
            "",
        IF(
            INDEX($AB:$AB, COLUMN(I1)+1) = "4. Pleegzorg producten",
                "",
            ""
        )
    )
)</f>
        <v/>
      </c>
      <c r="L4" s="21" t="str">
        <f>IF(
    INDEX($AB:$AB, COLUMN(J1)+1) = "1a. Input organisatieniveau",
        '1a. Input organisatieniveau'!$C$8,
    IF(
        INDEX($AB:$AB, COLUMN(J1)+1) = "3. Gezinshuis producten",
            "",
        IF(
            INDEX($AB:$AB, COLUMN(J1)+1) = "4. Pleegzorg producten",
                "",
            ""
        )
    )
)</f>
        <v/>
      </c>
      <c r="M4" s="21" t="str">
        <f>IF(
    INDEX($AB:$AB, COLUMN(K1)+1) = "1a. Input organisatieniveau",
        '1a. Input organisatieniveau'!$C$8,
    IF(
        INDEX($AB:$AB, COLUMN(K1)+1) = "3. Gezinshuis producten",
            "",
        IF(
            INDEX($AB:$AB, COLUMN(K1)+1) = "4. Pleegzorg producten",
                "",
            ""
        )
    )
)</f>
        <v/>
      </c>
      <c r="N4" s="21" t="str">
        <f>IF(
    INDEX($AB:$AB, COLUMN(L1)+1) = "1a. Input organisatieniveau",
        '1a. Input organisatieniveau'!$C$8,
    IF(
        INDEX($AB:$AB, COLUMN(L1)+1) = "3. Gezinshuis producten",
            "",
        IF(
            INDEX($AB:$AB, COLUMN(L1)+1) = "4. Pleegzorg producten",
                "",
            ""
        )
    )
)</f>
        <v/>
      </c>
      <c r="O4" s="21" t="str">
        <f>IF(
    INDEX($AB:$AB, COLUMN(M1)+1) = "1a. Input organisatieniveau",
        '1a. Input organisatieniveau'!$C$8,
    IF(
        INDEX($AB:$AB, COLUMN(M1)+1) = "3. Gezinshuis producten",
            "",
        IF(
            INDEX($AB:$AB, COLUMN(M1)+1) = "4. Pleegzorg producten",
                "",
            ""
        )
    )
)</f>
        <v/>
      </c>
      <c r="P4" s="21" t="str">
        <f>IF(
    INDEX($AB:$AB, COLUMN(N1)+1) = "1a. Input organisatieniveau",
        '1a. Input organisatieniveau'!$C$8,
    IF(
        INDEX($AB:$AB, COLUMN(N1)+1) = "3. Gezinshuis producten",
            "",
        IF(
            INDEX($AB:$AB, COLUMN(N1)+1) = "4. Pleegzorg producten",
                "",
            ""
        )
    )
)</f>
        <v/>
      </c>
      <c r="Q4" s="21" t="str">
        <f>IF(
    INDEX($AB:$AB, COLUMN(O1)+1) = "1a. Input organisatieniveau",
        '1a. Input organisatieniveau'!$C$8,
    IF(
        INDEX($AB:$AB, COLUMN(O1)+1) = "3. Gezinshuis producten",
            "",
        IF(
            INDEX($AB:$AB, COLUMN(O1)+1) = "4. Pleegzorg producten",
                "",
            ""
        )
    )
)</f>
        <v/>
      </c>
      <c r="R4" s="21" t="str">
        <f>IF(
    INDEX($AB:$AB, COLUMN(P1)+1) = "1a. Input organisatieniveau",
        '1a. Input organisatieniveau'!$C$8,
    IF(
        INDEX($AB:$AB, COLUMN(P1)+1) = "3. Gezinshuis producten",
            "",
        IF(
            INDEX($AB:$AB, COLUMN(P1)+1) = "4. Pleegzorg producten",
                "",
            ""
        )
    )
)</f>
        <v/>
      </c>
      <c r="S4" s="277" t="str">
        <f>IF(
    INDEX($AB:$AB, COLUMN(Q1)+1) = "1a. Input organisatieniveau",
        '1a. Input organisatieniveau'!$C$8,
    IF(
        INDEX($AB:$AB, COLUMN(Q1)+1) = "3. Gezinshuis producten",
            "",
        IF(
            INDEX($AB:$AB, COLUMN(Q1)+1) = "4. Pleegzorg producten",
                "",
            ""
        )
    )
)</f>
        <v/>
      </c>
      <c r="AA4" t="str">
        <f t="array" ref="AA4">IFERROR(
  IF(
    ROW(A3) &lt;= SUMPRODUCT(--('Hulp (control forms)'!$G$13:$G$52)),
      IF(
        INDEX(Initialisatie!B$10:B$49,
          SMALL(
            IF('Hulp (control forms)'!$G$13:$G$52=TRUE,
               ROW(Initialisatie!B$10:B$49)-ROW(Initialisatie!B$10)+1),
            ROW(A3)
          )
        )="","",
        INDEX(Initialisatie!B$10:B$49,
          SMALL(
            IF('Hulp (control forms)'!$G$13:$G$52=TRUE,
               ROW(Initialisatie!B$10:B$49)-ROW(Initialisatie!B$10)+1),
            ROW(A3)
          )
        )
      ),
    IFERROR(
      INDEX(
        '3. Gezinshuis producten'!E$7:E$9,
        SMALL(
          IF('Hulp (control forms)'!$F$6:$F$8=TRUE,
             ROW('3. Gezinshuis producten'!E$7:E$9)-ROW('3. Gezinshuis producten'!E$7)+1),
          ROW(A3) - SUMPRODUCT(--('Hulp (control forms)'!$G$13:$G$52))
        )
      ),
      IF(
        ROW(A3)
         - SUMPRODUCT(--('Hulp (control forms)'!$G$13:$G$52))
         - SUMPRODUCT(--('Hulp (control forms)'!$F$6:$F$8)) = 1,
        IF('4. Pleegzorg producten'!$M$26&lt;&gt;"",
           "Voltijd",
           IF('4. Pleegzorg producten'!$P$26&lt;&gt;"","Deeltijd","")
        ),
        IF(
          ROW(A3)
           - SUMPRODUCT(--('Hulp (control forms)'!$G$13:$G$52))
           - SUMPRODUCT(--('Hulp (control forms)'!$F$6:$F$8)) = 2,
          IF( AND('4. Pleegzorg producten'!$M$26&lt;&gt;"", '4. Pleegzorg producten'!$P$26&lt;&gt;"" ),
             "Deeltijd",
             ""
          ),
          ""
        )
      )
    )
  ),
"")</f>
        <v/>
      </c>
      <c r="AB4" t="str">
        <f t="array" ref="AB4">IF(
  ROW(A3) &lt;= SUMPRODUCT(--('Hulp (control forms)'!$G$13:$G$52)),
      "1a. Input organisatieniveau",
  IF(
    ROW(A3) - SUMPRODUCT(--('Hulp (control forms)'!$G$13:$G$52))
      &lt;= SUMPRODUCT(--('Hulp (control forms)'!$F$6:$F$8)),
        "3. Gezinshuis producten",
    IF(
      (ROW(A3)
        - SUMPRODUCT(--('Hulp (control forms)'!$G$13:$G$52))
        - SUMPRODUCT(--('Hulp (control forms)'!$F$6:$F$8)))
        &lt;= SUMPRODUCT(--('4. Pleegzorg producten'!$M$26&lt;&gt;"") + --('4. Pleegzorg producten'!$P$26&lt;&gt;"")),
          "4. Pleegzorg producten",
          ""
    )
  )
)</f>
        <v/>
      </c>
      <c r="AC4" t="str">
        <f t="array" ref="AC4">IF(
  ROW(A3) &lt;= SUMPRODUCT(--('Hulp (control forms)'!$G$13:$G$52)),
      ROW(A3),
  IF(
    ROW(A3) - SUMPRODUCT(--('Hulp (control forms)'!$G$13:$G$52))
      &lt;= SUMPRODUCT(--('Hulp (control forms)'!$F$6:$F$8)),
        ROW(A3) - SUMPRODUCT(--('Hulp (control forms)'!$G$13:$G$52)),
    IF(
      (ROW(A3)
        - SUMPRODUCT(--('Hulp (control forms)'!$G$13:$G$52))
        - SUMPRODUCT(--('Hulp (control forms)'!$F$6:$F$8)))
        &lt;= SUMPRODUCT(--('4. Pleegzorg producten'!$M$26&lt;&gt;"") + --('4. Pleegzorg producten'!$P$26&lt;&gt;"")),
        ROW(A3)
        - SUMPRODUCT(--('Hulp (control forms)'!$G$13:$G$52))
        - SUMPRODUCT(--('Hulp (control forms)'!$F$6:$F$8)),
        ""
    )
  )
)</f>
        <v/>
      </c>
    </row>
    <row r="5" spans="2:29" x14ac:dyDescent="0.45">
      <c r="B5" s="23" t="s">
        <v>725</v>
      </c>
      <c r="C5" s="21" t="str">
        <f>IF(
    INDEX($AB:$AB, COLUMN(A1)+1) = "1a. Input organisatieniveau",
        INDEX('2. Output kostprijs'!$A:$Z, 46,
            4 + 2 * (INDEX($AC:$AC, COLUMN(A1)+1) - 1)
        ),
    IF(
        INDEX($AB:$AB, COLUMN(A1)+1) = "3. Gezinshuis producten",
            "Per etmaal, per cliënt",
        IF(
            INDEX($AB:$AB, COLUMN(A1)+1) = "4. Pleegzorg producten",
                 "Per etmaal, per cliënt",
            ""
        )
    )
)</f>
        <v/>
      </c>
      <c r="D5" s="21" t="str">
        <f>IF(
    INDEX($AB:$AB, COLUMN(B1)+1) = "1a. Input organisatieniveau",
        INDEX('2. Output kostprijs'!$A:$Z, 46,
            4 + 2 * (INDEX($AC:$AC, COLUMN(B1)+1) - 1)
        ),
    IF(
        INDEX($AB:$AB, COLUMN(B1)+1) = "3. Gezinshuis producten",
            "Per etmaal, per cliënt",
        IF(
            INDEX($AB:$AB, COLUMN(B1)+1) = "4. Pleegzorg producten",
                 "Per etmaal, per cliënt",
            ""
        )
    )
)</f>
        <v/>
      </c>
      <c r="E5" s="21" t="str">
        <f>IF(
    INDEX($AB:$AB, COLUMN(C1)+1) = "1a. Input organisatieniveau",
        INDEX('2. Output kostprijs'!$A:$Z, 46,
            4 + 2 * (INDEX($AC:$AC, COLUMN(C1)+1) - 1)
        ),
    IF(
        INDEX($AB:$AB, COLUMN(C1)+1) = "3. Gezinshuis producten",
            "Per etmaal, per cliënt",
        IF(
            INDEX($AB:$AB, COLUMN(C1)+1) = "4. Pleegzorg producten",
                 "Per etmaal, per cliënt",
            ""
        )
    )
)</f>
        <v/>
      </c>
      <c r="F5" s="21" t="str">
        <f>IF(
    INDEX($AB:$AB, COLUMN(D1)+1) = "1a. Input organisatieniveau",
        INDEX('2. Output kostprijs'!$A:$Z, 46,
            4 + 2 * (INDEX($AC:$AC, COLUMN(D1)+1) - 1)
        ),
    IF(
        INDEX($AB:$AB, COLUMN(D1)+1) = "3. Gezinshuis producten",
            "Per etmaal, per cliënt",
        IF(
            INDEX($AB:$AB, COLUMN(D1)+1) = "4. Pleegzorg producten",
                 "Per etmaal, per cliënt",
            ""
        )
    )
)</f>
        <v/>
      </c>
      <c r="G5" s="21" t="str">
        <f>IF(
    INDEX($AB:$AB, COLUMN(E1)+1) = "1a. Input organisatieniveau",
        INDEX('2. Output kostprijs'!$A:$Z, 46,
            4 + 2 * (INDEX($AC:$AC, COLUMN(E1)+1) - 1)
        ),
    IF(
        INDEX($AB:$AB, COLUMN(E1)+1) = "3. Gezinshuis producten",
            "Per etmaal, per cliënt",
        IF(
            INDEX($AB:$AB, COLUMN(E1)+1) = "4. Pleegzorg producten",
                 "Per etmaal, per cliënt",
            ""
        )
    )
)</f>
        <v/>
      </c>
      <c r="H5" s="21" t="str">
        <f>IF(
    INDEX($AB:$AB, COLUMN(F1)+1) = "1a. Input organisatieniveau",
        INDEX('2. Output kostprijs'!$A:$Z, 46,
            4 + 2 * (INDEX($AC:$AC, COLUMN(F1)+1) - 1)
        ),
    IF(
        INDEX($AB:$AB, COLUMN(F1)+1) = "3. Gezinshuis producten",
            "Per etmaal, per cliënt",
        IF(
            INDEX($AB:$AB, COLUMN(F1)+1) = "4. Pleegzorg producten",
                 "Per etmaal, per cliënt",
            ""
        )
    )
)</f>
        <v/>
      </c>
      <c r="I5" s="21" t="str">
        <f>IF(
    INDEX($AB:$AB, COLUMN(G1)+1) = "1a. Input organisatieniveau",
        INDEX('2. Output kostprijs'!$A:$Z, 46,
            4 + 2 * (INDEX($AC:$AC, COLUMN(G1)+1) - 1)
        ),
    IF(
        INDEX($AB:$AB, COLUMN(G1)+1) = "3. Gezinshuis producten",
            "Per etmaal, per cliënt",
        IF(
            INDEX($AB:$AB, COLUMN(G1)+1) = "4. Pleegzorg producten",
                 "Per etmaal, per cliënt",
            ""
        )
    )
)</f>
        <v/>
      </c>
      <c r="J5" s="21" t="str">
        <f>IF(
    INDEX($AB:$AB, COLUMN(H1)+1) = "1a. Input organisatieniveau",
        INDEX('2. Output kostprijs'!$A:$Z, 46,
            4 + 2 * (INDEX($AC:$AC, COLUMN(H1)+1) - 1)
        ),
    IF(
        INDEX($AB:$AB, COLUMN(H1)+1) = "3. Gezinshuis producten",
            "Per etmaal, per cliënt",
        IF(
            INDEX($AB:$AB, COLUMN(H1)+1) = "4. Pleegzorg producten",
                 "Per etmaal, per cliënt",
            ""
        )
    )
)</f>
        <v/>
      </c>
      <c r="K5" s="21" t="str">
        <f>IF(
    INDEX($AB:$AB, COLUMN(I1)+1) = "1a. Input organisatieniveau",
        INDEX('2. Output kostprijs'!$A:$Z, 46,
            4 + 2 * (INDEX($AC:$AC, COLUMN(I1)+1) - 1)
        ),
    IF(
        INDEX($AB:$AB, COLUMN(I1)+1) = "3. Gezinshuis producten",
            "Per etmaal, per cliënt",
        IF(
            INDEX($AB:$AB, COLUMN(I1)+1) = "4. Pleegzorg producten",
                 "Per etmaal, per cliënt",
            ""
        )
    )
)</f>
        <v/>
      </c>
      <c r="L5" s="21" t="str">
        <f>IF(
    INDEX($AB:$AB, COLUMN(J1)+1) = "1a. Input organisatieniveau",
        INDEX('2. Output kostprijs'!$A:$Z, 46,
            4 + 2 * (INDEX($AC:$AC, COLUMN(J1)+1) - 1)
        ),
    IF(
        INDEX($AB:$AB, COLUMN(J1)+1) = "3. Gezinshuis producten",
            "Per etmaal, per cliënt",
        IF(
            INDEX($AB:$AB, COLUMN(J1)+1) = "4. Pleegzorg producten",
                 "Per etmaal, per cliënt",
            ""
        )
    )
)</f>
        <v/>
      </c>
      <c r="M5" s="21" t="str">
        <f>IF(
    INDEX($AB:$AB, COLUMN(K1)+1) = "1a. Input organisatieniveau",
        INDEX('2. Output kostprijs'!$A:$Z, 46,
            4 + 2 * (INDEX($AC:$AC, COLUMN(K1)+1) - 1)
        ),
    IF(
        INDEX($AB:$AB, COLUMN(K1)+1) = "3. Gezinshuis producten",
            "Per etmaal, per cliënt",
        IF(
            INDEX($AB:$AB, COLUMN(K1)+1) = "4. Pleegzorg producten",
                 "Per etmaal, per cliënt",
            ""
        )
    )
)</f>
        <v/>
      </c>
      <c r="N5" s="21" t="str">
        <f>IF(
    INDEX($AB:$AB, COLUMN(L1)+1) = "1a. Input organisatieniveau",
        INDEX('2. Output kostprijs'!$A:$Z, 46,
            4 + 2 * (INDEX($AC:$AC, COLUMN(L1)+1) - 1)
        ),
    IF(
        INDEX($AB:$AB, COLUMN(L1)+1) = "3. Gezinshuis producten",
            "Per etmaal, per cliënt",
        IF(
            INDEX($AB:$AB, COLUMN(L1)+1) = "4. Pleegzorg producten",
                 "Per etmaal, per cliënt",
            ""
        )
    )
)</f>
        <v/>
      </c>
      <c r="O5" s="21" t="str">
        <f>IF(
    INDEX($AB:$AB, COLUMN(M1)+1) = "1a. Input organisatieniveau",
        INDEX('2. Output kostprijs'!$A:$Z, 46,
            4 + 2 * (INDEX($AC:$AC, COLUMN(M1)+1) - 1)
        ),
    IF(
        INDEX($AB:$AB, COLUMN(M1)+1) = "3. Gezinshuis producten",
            "Per etmaal, per cliënt",
        IF(
            INDEX($AB:$AB, COLUMN(M1)+1) = "4. Pleegzorg producten",
                 "Per etmaal, per cliënt",
            ""
        )
    )
)</f>
        <v/>
      </c>
      <c r="P5" s="21" t="str">
        <f>IF(
    INDEX($AB:$AB, COLUMN(N1)+1) = "1a. Input organisatieniveau",
        INDEX('2. Output kostprijs'!$A:$Z, 46,
            4 + 2 * (INDEX($AC:$AC, COLUMN(N1)+1) - 1)
        ),
    IF(
        INDEX($AB:$AB, COLUMN(N1)+1) = "3. Gezinshuis producten",
            "Per etmaal, per cliënt",
        IF(
            INDEX($AB:$AB, COLUMN(N1)+1) = "4. Pleegzorg producten",
                 "Per etmaal, per cliënt",
            ""
        )
    )
)</f>
        <v/>
      </c>
      <c r="Q5" s="21" t="str">
        <f>IF(
    INDEX($AB:$AB, COLUMN(O1)+1) = "1a. Input organisatieniveau",
        INDEX('2. Output kostprijs'!$A:$Z, 46,
            4 + 2 * (INDEX($AC:$AC, COLUMN(O1)+1) - 1)
        ),
    IF(
        INDEX($AB:$AB, COLUMN(O1)+1) = "3. Gezinshuis producten",
            "Per etmaal, per cliënt",
        IF(
            INDEX($AB:$AB, COLUMN(O1)+1) = "4. Pleegzorg producten",
                 "Per etmaal, per cliënt",
            ""
        )
    )
)</f>
        <v/>
      </c>
      <c r="R5" s="21" t="str">
        <f>IF(
    INDEX($AB:$AB, COLUMN(P1)+1) = "1a. Input organisatieniveau",
        INDEX('2. Output kostprijs'!$A:$Z, 46,
            4 + 2 * (INDEX($AC:$AC, COLUMN(P1)+1) - 1)
        ),
    IF(
        INDEX($AB:$AB, COLUMN(P1)+1) = "3. Gezinshuis producten",
            "Per etmaal, per cliënt",
        IF(
            INDEX($AB:$AB, COLUMN(P1)+1) = "4. Pleegzorg producten",
                 "Per etmaal, per cliënt",
            ""
        )
    )
)</f>
        <v/>
      </c>
      <c r="S5" s="277" t="str">
        <f>IF(
    INDEX($AB:$AB, COLUMN(Q1)+1) = "1a. Input organisatieniveau",
        INDEX('2. Output kostprijs'!$A:$Z, 46,
            4 + 2 * (INDEX($AC:$AC, COLUMN(Q1)+1) - 1)
        ),
    IF(
        INDEX($AB:$AB, COLUMN(Q1)+1) = "3. Gezinshuis producten",
            "Per etmaal, per cliënt",
        IF(
            INDEX($AB:$AB, COLUMN(Q1)+1) = "4. Pleegzorg producten",
                 "Per etmaal, per cliënt",
            ""
        )
    )
)</f>
        <v/>
      </c>
      <c r="AA5" t="str">
        <f t="array" ref="AA5">IFERROR(
  IF(
    ROW(A4) &lt;= SUMPRODUCT(--('Hulp (control forms)'!$G$13:$G$52)),
      IF(
        INDEX(Initialisatie!B$10:B$49,
          SMALL(
            IF('Hulp (control forms)'!$G$13:$G$52=TRUE,
               ROW(Initialisatie!B$10:B$49)-ROW(Initialisatie!B$10)+1),
            ROW(A4)
          )
        )="","",
        INDEX(Initialisatie!B$10:B$49,
          SMALL(
            IF('Hulp (control forms)'!$G$13:$G$52=TRUE,
               ROW(Initialisatie!B$10:B$49)-ROW(Initialisatie!B$10)+1),
            ROW(A4)
          )
        )
      ),
    IFERROR(
      INDEX(
        '3. Gezinshuis producten'!E$7:E$9,
        SMALL(
          IF('Hulp (control forms)'!$F$6:$F$8=TRUE,
             ROW('3. Gezinshuis producten'!E$7:E$9)-ROW('3. Gezinshuis producten'!E$7)+1),
          ROW(A4) - SUMPRODUCT(--('Hulp (control forms)'!$G$13:$G$52))
        )
      ),
      IF(
        ROW(A4)
         - SUMPRODUCT(--('Hulp (control forms)'!$G$13:$G$52))
         - SUMPRODUCT(--('Hulp (control forms)'!$F$6:$F$8)) = 1,
        IF('4. Pleegzorg producten'!$M$26&lt;&gt;"",
           "Voltijd",
           IF('4. Pleegzorg producten'!$P$26&lt;&gt;"","Deeltijd","")
        ),
        IF(
          ROW(A4)
           - SUMPRODUCT(--('Hulp (control forms)'!$G$13:$G$52))
           - SUMPRODUCT(--('Hulp (control forms)'!$F$6:$F$8)) = 2,
          IF( AND('4. Pleegzorg producten'!$M$26&lt;&gt;"", '4. Pleegzorg producten'!$P$26&lt;&gt;"" ),
             "Deeltijd",
             ""
          ),
          ""
        )
      )
    )
  ),
"")</f>
        <v/>
      </c>
      <c r="AB5" t="str">
        <f t="array" ref="AB5">IF(
  ROW(A4) &lt;= SUMPRODUCT(--('Hulp (control forms)'!$G$13:$G$52)),
      "1a. Input organisatieniveau",
  IF(
    ROW(A4) - SUMPRODUCT(--('Hulp (control forms)'!$G$13:$G$52))
      &lt;= SUMPRODUCT(--('Hulp (control forms)'!$F$6:$F$8)),
        "3. Gezinshuis producten",
    IF(
      (ROW(A4)
        - SUMPRODUCT(--('Hulp (control forms)'!$G$13:$G$52))
        - SUMPRODUCT(--('Hulp (control forms)'!$F$6:$F$8)))
        &lt;= SUMPRODUCT(--('4. Pleegzorg producten'!$M$26&lt;&gt;"") + --('4. Pleegzorg producten'!$P$26&lt;&gt;"")),
          "4. Pleegzorg producten",
          ""
    )
  )
)</f>
        <v/>
      </c>
      <c r="AC5" t="str">
        <f t="array" ref="AC5">IF(
  ROW(A4) &lt;= SUMPRODUCT(--('Hulp (control forms)'!$G$13:$G$52)),
      ROW(A4),
  IF(
    ROW(A4) - SUMPRODUCT(--('Hulp (control forms)'!$G$13:$G$52))
      &lt;= SUMPRODUCT(--('Hulp (control forms)'!$F$6:$F$8)),
        ROW(A4) - SUMPRODUCT(--('Hulp (control forms)'!$G$13:$G$52)),
    IF(
      (ROW(A4)
        - SUMPRODUCT(--('Hulp (control forms)'!$G$13:$G$52))
        - SUMPRODUCT(--('Hulp (control forms)'!$F$6:$F$8)))
        &lt;= SUMPRODUCT(--('4. Pleegzorg producten'!$M$26&lt;&gt;"") + --('4. Pleegzorg producten'!$P$26&lt;&gt;"")),
        ROW(A4)
        - SUMPRODUCT(--('Hulp (control forms)'!$G$13:$G$52))
        - SUMPRODUCT(--('Hulp (control forms)'!$F$6:$F$8)),
        ""
    )
  )
)</f>
        <v/>
      </c>
    </row>
    <row r="6" spans="2:29" x14ac:dyDescent="0.45">
      <c r="B6" s="23" t="s">
        <v>988</v>
      </c>
      <c r="C6" s="198" t="str">
        <f>IF(
    INDEX($AB:$AB, COLUMN(A1)+1) = "1a. Input organisatieniveau",
        INDEX('2. Output kostprijs'!$A:$Z, 17,
            5 + 2 * (INDEX($AC:$AC, COLUMN(A1)+1) - 1)
        ),
    IF(
        INDEX($AB:$AB, COLUMN(A1)+1) = "3. Gezinshuis producten",
            "",
        IF(
            INDEX($AB:$AB, COLUMN(A1)+1) = "4. Pleegzorg producten",
                 "",
            ""
        )
    )
)</f>
        <v/>
      </c>
      <c r="D6" s="198" t="str">
        <f>IF(
    INDEX($AB:$AB, COLUMN(B1)+1) = "1a. Input organisatieniveau",
        INDEX('2. Output kostprijs'!$A:$Z, 17,
            5 + 2 * (INDEX($AC:$AC, COLUMN(B1)+1) - 1)
        ),
    IF(
        INDEX($AB:$AB, COLUMN(B1)+1) = "3. Gezinshuis producten",
            "",
        IF(
            INDEX($AB:$AB, COLUMN(B1)+1) = "4. Pleegzorg producten",
                 "",
            ""
        )
    )
)</f>
        <v/>
      </c>
      <c r="E6" s="198" t="str">
        <f>IF(
    INDEX($AB:$AB, COLUMN(C1)+1) = "1a. Input organisatieniveau",
        INDEX('2. Output kostprijs'!$A:$Z, 17,
            5 + 2 * (INDEX($AC:$AC, COLUMN(C1)+1) - 1)
        ),
    IF(
        INDEX($AB:$AB, COLUMN(C1)+1) = "3. Gezinshuis producten",
            "",
        IF(
            INDEX($AB:$AB, COLUMN(C1)+1) = "4. Pleegzorg producten",
                 "",
            ""
        )
    )
)</f>
        <v/>
      </c>
      <c r="F6" s="198" t="str">
        <f>IF(
    INDEX($AB:$AB, COLUMN(D1)+1) = "1a. Input organisatieniveau",
        INDEX('2. Output kostprijs'!$A:$Z, 17,
            5 + 2 * (INDEX($AC:$AC, COLUMN(D1)+1) - 1)
        ),
    IF(
        INDEX($AB:$AB, COLUMN(D1)+1) = "3. Gezinshuis producten",
            "",
        IF(
            INDEX($AB:$AB, COLUMN(D1)+1) = "4. Pleegzorg producten",
                 "",
            ""
        )
    )
)</f>
        <v/>
      </c>
      <c r="G6" s="198" t="str">
        <f>IF(
    INDEX($AB:$AB, COLUMN(E1)+1) = "1a. Input organisatieniveau",
        INDEX('2. Output kostprijs'!$A:$Z, 17,
            5 + 2 * (INDEX($AC:$AC, COLUMN(E1)+1) - 1)
        ),
    IF(
        INDEX($AB:$AB, COLUMN(E1)+1) = "3. Gezinshuis producten",
            "",
        IF(
            INDEX($AB:$AB, COLUMN(E1)+1) = "4. Pleegzorg producten",
                 "",
            ""
        )
    )
)</f>
        <v/>
      </c>
      <c r="H6" s="198" t="str">
        <f>IF(
    INDEX($AB:$AB, COLUMN(F1)+1) = "1a. Input organisatieniveau",
        INDEX('2. Output kostprijs'!$A:$Z, 17,
            5 + 2 * (INDEX($AC:$AC, COLUMN(F1)+1) - 1)
        ),
    IF(
        INDEX($AB:$AB, COLUMN(F1)+1) = "3. Gezinshuis producten",
            "",
        IF(
            INDEX($AB:$AB, COLUMN(F1)+1) = "4. Pleegzorg producten",
                 "",
            ""
        )
    )
)</f>
        <v/>
      </c>
      <c r="I6" s="198" t="str">
        <f>IF(
    INDEX($AB:$AB, COLUMN(G1)+1) = "1a. Input organisatieniveau",
        INDEX('2. Output kostprijs'!$A:$Z, 17,
            5 + 2 * (INDEX($AC:$AC, COLUMN(G1)+1) - 1)
        ),
    IF(
        INDEX($AB:$AB, COLUMN(G1)+1) = "3. Gezinshuis producten",
            "",
        IF(
            INDEX($AB:$AB, COLUMN(G1)+1) = "4. Pleegzorg producten",
                 "",
            ""
        )
    )
)</f>
        <v/>
      </c>
      <c r="J6" s="198" t="str">
        <f>IF(
    INDEX($AB:$AB, COLUMN(H1)+1) = "1a. Input organisatieniveau",
        INDEX('2. Output kostprijs'!$A:$Z, 17,
            5 + 2 * (INDEX($AC:$AC, COLUMN(H1)+1) - 1)
        ),
    IF(
        INDEX($AB:$AB, COLUMN(H1)+1) = "3. Gezinshuis producten",
            "",
        IF(
            INDEX($AB:$AB, COLUMN(H1)+1) = "4. Pleegzorg producten",
                 "",
            ""
        )
    )
)</f>
        <v/>
      </c>
      <c r="K6" s="198" t="str">
        <f>IF(
    INDEX($AB:$AB, COLUMN(I1)+1) = "1a. Input organisatieniveau",
        INDEX('2. Output kostprijs'!$A:$Z, 17,
            5 + 2 * (INDEX($AC:$AC, COLUMN(I1)+1) - 1)
        ),
    IF(
        INDEX($AB:$AB, COLUMN(I1)+1) = "3. Gezinshuis producten",
            "",
        IF(
            INDEX($AB:$AB, COLUMN(I1)+1) = "4. Pleegzorg producten",
                 "",
            ""
        )
    )
)</f>
        <v/>
      </c>
      <c r="L6" s="198" t="str">
        <f>IF(
    INDEX($AB:$AB, COLUMN(J1)+1) = "1a. Input organisatieniveau",
        INDEX('2. Output kostprijs'!$A:$Z, 17,
            5 + 2 * (INDEX($AC:$AC, COLUMN(J1)+1) - 1)
        ),
    IF(
        INDEX($AB:$AB, COLUMN(J1)+1) = "3. Gezinshuis producten",
            "",
        IF(
            INDEX($AB:$AB, COLUMN(J1)+1) = "4. Pleegzorg producten",
                 "",
            ""
        )
    )
)</f>
        <v/>
      </c>
      <c r="M6" s="198" t="str">
        <f>IF(
    INDEX($AB:$AB, COLUMN(K1)+1) = "1a. Input organisatieniveau",
        INDEX('2. Output kostprijs'!$A:$Z, 17,
            5 + 2 * (INDEX($AC:$AC, COLUMN(K1)+1) - 1)
        ),
    IF(
        INDEX($AB:$AB, COLUMN(K1)+1) = "3. Gezinshuis producten",
            "",
        IF(
            INDEX($AB:$AB, COLUMN(K1)+1) = "4. Pleegzorg producten",
                 "",
            ""
        )
    )
)</f>
        <v/>
      </c>
      <c r="N6" s="198" t="str">
        <f>IF(
    INDEX($AB:$AB, COLUMN(L1)+1) = "1a. Input organisatieniveau",
        INDEX('2. Output kostprijs'!$A:$Z, 17,
            5 + 2 * (INDEX($AC:$AC, COLUMN(L1)+1) - 1)
        ),
    IF(
        INDEX($AB:$AB, COLUMN(L1)+1) = "3. Gezinshuis producten",
            "",
        IF(
            INDEX($AB:$AB, COLUMN(L1)+1) = "4. Pleegzorg producten",
                 "",
            ""
        )
    )
)</f>
        <v/>
      </c>
      <c r="O6" s="198" t="str">
        <f>IF(
    INDEX($AB:$AB, COLUMN(M1)+1) = "1a. Input organisatieniveau",
        INDEX('2. Output kostprijs'!$A:$Z, 17,
            5 + 2 * (INDEX($AC:$AC, COLUMN(M1)+1) - 1)
        ),
    IF(
        INDEX($AB:$AB, COLUMN(M1)+1) = "3. Gezinshuis producten",
            "",
        IF(
            INDEX($AB:$AB, COLUMN(M1)+1) = "4. Pleegzorg producten",
                 "",
            ""
        )
    )
)</f>
        <v/>
      </c>
      <c r="P6" s="198" t="str">
        <f>IF(
    INDEX($AB:$AB, COLUMN(N1)+1) = "1a. Input organisatieniveau",
        INDEX('2. Output kostprijs'!$A:$Z, 17,
            5 + 2 * (INDEX($AC:$AC, COLUMN(N1)+1) - 1)
        ),
    IF(
        INDEX($AB:$AB, COLUMN(N1)+1) = "3. Gezinshuis producten",
            "",
        IF(
            INDEX($AB:$AB, COLUMN(N1)+1) = "4. Pleegzorg producten",
                 "",
            ""
        )
    )
)</f>
        <v/>
      </c>
      <c r="Q6" s="198" t="str">
        <f>IF(
    INDEX($AB:$AB, COLUMN(O1)+1) = "1a. Input organisatieniveau",
        INDEX('2. Output kostprijs'!$A:$Z, 17,
            5 + 2 * (INDEX($AC:$AC, COLUMN(O1)+1) - 1)
        ),
    IF(
        INDEX($AB:$AB, COLUMN(O1)+1) = "3. Gezinshuis producten",
            "",
        IF(
            INDEX($AB:$AB, COLUMN(O1)+1) = "4. Pleegzorg producten",
                 "",
            ""
        )
    )
)</f>
        <v/>
      </c>
      <c r="R6" s="198" t="str">
        <f>IF(
    INDEX($AB:$AB, COLUMN(P1)+1) = "1a. Input organisatieniveau",
        INDEX('2. Output kostprijs'!$A:$Z, 17,
            5 + 2 * (INDEX($AC:$AC, COLUMN(P1)+1) - 1)
        ),
    IF(
        INDEX($AB:$AB, COLUMN(P1)+1) = "3. Gezinshuis producten",
            "",
        IF(
            INDEX($AB:$AB, COLUMN(P1)+1) = "4. Pleegzorg producten",
                 "",
            ""
        )
    )
)</f>
        <v/>
      </c>
      <c r="S6" s="233" t="str">
        <f>IF(
    INDEX($AB:$AB, COLUMN(Q1)+1) = "1a. Input organisatieniveau",
        INDEX('2. Output kostprijs'!$A:$Z, 17,
            5 + 2 * (INDEX($AC:$AC, COLUMN(Q1)+1) - 1)
        ),
    IF(
        INDEX($AB:$AB, COLUMN(Q1)+1) = "3. Gezinshuis producten",
            "",
        IF(
            INDEX($AB:$AB, COLUMN(Q1)+1) = "4. Pleegzorg producten",
                 "",
            ""
        )
    )
)</f>
        <v/>
      </c>
      <c r="AA6" t="str">
        <f t="array" ref="AA6">IFERROR(
  IF(
    ROW(A5) &lt;= SUMPRODUCT(--('Hulp (control forms)'!$G$13:$G$52)),
      IF(
        INDEX(Initialisatie!B$10:B$49,
          SMALL(
            IF('Hulp (control forms)'!$G$13:$G$52=TRUE,
               ROW(Initialisatie!B$10:B$49)-ROW(Initialisatie!B$10)+1),
            ROW(A5)
          )
        )="","",
        INDEX(Initialisatie!B$10:B$49,
          SMALL(
            IF('Hulp (control forms)'!$G$13:$G$52=TRUE,
               ROW(Initialisatie!B$10:B$49)-ROW(Initialisatie!B$10)+1),
            ROW(A5)
          )
        )
      ),
    IFERROR(
      INDEX(
        '3. Gezinshuis producten'!E$7:E$9,
        SMALL(
          IF('Hulp (control forms)'!$F$6:$F$8=TRUE,
             ROW('3. Gezinshuis producten'!E$7:E$9)-ROW('3. Gezinshuis producten'!E$7)+1),
          ROW(A5) - SUMPRODUCT(--('Hulp (control forms)'!$G$13:$G$52))
        )
      ),
      IF(
        ROW(A5)
         - SUMPRODUCT(--('Hulp (control forms)'!$G$13:$G$52))
         - SUMPRODUCT(--('Hulp (control forms)'!$F$6:$F$8)) = 1,
        IF('4. Pleegzorg producten'!$M$26&lt;&gt;"",
           "Voltijd",
           IF('4. Pleegzorg producten'!$P$26&lt;&gt;"","Deeltijd","")
        ),
        IF(
          ROW(A5)
           - SUMPRODUCT(--('Hulp (control forms)'!$G$13:$G$52))
           - SUMPRODUCT(--('Hulp (control forms)'!$F$6:$F$8)) = 2,
          IF( AND('4. Pleegzorg producten'!$M$26&lt;&gt;"", '4. Pleegzorg producten'!$P$26&lt;&gt;"" ),
             "Deeltijd",
             ""
          ),
          ""
        )
      )
    )
  ),
"")</f>
        <v/>
      </c>
      <c r="AB6" t="str">
        <f t="array" ref="AB6">IF(
  ROW(A5) &lt;= SUMPRODUCT(--('Hulp (control forms)'!$G$13:$G$52)),
      "1a. Input organisatieniveau",
  IF(
    ROW(A5) - SUMPRODUCT(--('Hulp (control forms)'!$G$13:$G$52))
      &lt;= SUMPRODUCT(--('Hulp (control forms)'!$F$6:$F$8)),
        "3. Gezinshuis producten",
    IF(
      (ROW(A5)
        - SUMPRODUCT(--('Hulp (control forms)'!$G$13:$G$52))
        - SUMPRODUCT(--('Hulp (control forms)'!$F$6:$F$8)))
        &lt;= SUMPRODUCT(--('4. Pleegzorg producten'!$M$26&lt;&gt;"") + --('4. Pleegzorg producten'!$P$26&lt;&gt;"")),
          "4. Pleegzorg producten",
          ""
    )
  )
)</f>
        <v/>
      </c>
      <c r="AC6" t="str">
        <f t="array" ref="AC6">IF(
  ROW(A5) &lt;= SUMPRODUCT(--('Hulp (control forms)'!$G$13:$G$52)),
      ROW(A5),
  IF(
    ROW(A5) - SUMPRODUCT(--('Hulp (control forms)'!$G$13:$G$52))
      &lt;= SUMPRODUCT(--('Hulp (control forms)'!$F$6:$F$8)),
        ROW(A5) - SUMPRODUCT(--('Hulp (control forms)'!$G$13:$G$52)),
    IF(
      (ROW(A5)
        - SUMPRODUCT(--('Hulp (control forms)'!$G$13:$G$52))
        - SUMPRODUCT(--('Hulp (control forms)'!$F$6:$F$8)))
        &lt;= SUMPRODUCT(--('4. Pleegzorg producten'!$M$26&lt;&gt;"") + --('4. Pleegzorg producten'!$P$26&lt;&gt;"")),
        ROW(A5)
        - SUMPRODUCT(--('Hulp (control forms)'!$G$13:$G$52))
        - SUMPRODUCT(--('Hulp (control forms)'!$F$6:$F$8)),
        ""
    )
  )
)</f>
        <v/>
      </c>
    </row>
    <row r="7" spans="2:29" x14ac:dyDescent="0.45">
      <c r="B7" s="23" t="s">
        <v>33</v>
      </c>
      <c r="C7" s="198" t="str">
        <f>IF(
    INDEX($AB:$AB, COLUMN(A1)+1) = "1a. Input organisatieniveau",
        INDEX('2. Output kostprijs'!$A:$Z, 19,
            5 + 2 * (INDEX($AC:$AC, COLUMN(A1)+1) - 1)
        ),
    IF(
        INDEX($AB:$AB, COLUMN(A1)+1) = "3. Gezinshuis producten",
            "",
        IF(
            INDEX($AB:$AB, COLUMN(A1)+1) = "4. Pleegzorg producten",
                 "",
            ""
        )
    )
)</f>
        <v/>
      </c>
      <c r="D7" s="198" t="str">
        <f>IF(
    INDEX($AB:$AB, COLUMN(B1)+1) = "1a. Input organisatieniveau",
        INDEX('2. Output kostprijs'!$A:$Z, 19,
            5 + 2 * (INDEX($AC:$AC, COLUMN(B1)+1) - 1)
        ),
    IF(
        INDEX($AB:$AB, COLUMN(B1)+1) = "3. Gezinshuis producten",
            "",
        IF(
            INDEX($AB:$AB, COLUMN(B1)+1) = "4. Pleegzorg producten",
                 "",
            ""
        )
    )
)</f>
        <v/>
      </c>
      <c r="E7" s="198" t="str">
        <f>IF(
    INDEX($AB:$AB, COLUMN(C1)+1) = "1a. Input organisatieniveau",
        INDEX('2. Output kostprijs'!$A:$Z, 19,
            5 + 2 * (INDEX($AC:$AC, COLUMN(C1)+1) - 1)
        ),
    IF(
        INDEX($AB:$AB, COLUMN(C1)+1) = "3. Gezinshuis producten",
            "",
        IF(
            INDEX($AB:$AB, COLUMN(C1)+1) = "4. Pleegzorg producten",
                 "",
            ""
        )
    )
)</f>
        <v/>
      </c>
      <c r="F7" s="198" t="str">
        <f>IF(
    INDEX($AB:$AB, COLUMN(D1)+1) = "1a. Input organisatieniveau",
        INDEX('2. Output kostprijs'!$A:$Z, 19,
            5 + 2 * (INDEX($AC:$AC, COLUMN(D1)+1) - 1)
        ),
    IF(
        INDEX($AB:$AB, COLUMN(D1)+1) = "3. Gezinshuis producten",
            "",
        IF(
            INDEX($AB:$AB, COLUMN(D1)+1) = "4. Pleegzorg producten",
                 "",
            ""
        )
    )
)</f>
        <v/>
      </c>
      <c r="G7" s="198" t="str">
        <f>IF(
    INDEX($AB:$AB, COLUMN(E1)+1) = "1a. Input organisatieniveau",
        INDEX('2. Output kostprijs'!$A:$Z, 19,
            5 + 2 * (INDEX($AC:$AC, COLUMN(E1)+1) - 1)
        ),
    IF(
        INDEX($AB:$AB, COLUMN(E1)+1) = "3. Gezinshuis producten",
            "",
        IF(
            INDEX($AB:$AB, COLUMN(E1)+1) = "4. Pleegzorg producten",
                 "",
            ""
        )
    )
)</f>
        <v/>
      </c>
      <c r="H7" s="198" t="str">
        <f>IF(
    INDEX($AB:$AB, COLUMN(F1)+1) = "1a. Input organisatieniveau",
        INDEX('2. Output kostprijs'!$A:$Z, 19,
            5 + 2 * (INDEX($AC:$AC, COLUMN(F1)+1) - 1)
        ),
    IF(
        INDEX($AB:$AB, COLUMN(F1)+1) = "3. Gezinshuis producten",
            "",
        IF(
            INDEX($AB:$AB, COLUMN(F1)+1) = "4. Pleegzorg producten",
                 "",
            ""
        )
    )
)</f>
        <v/>
      </c>
      <c r="I7" s="198" t="str">
        <f>IF(
    INDEX($AB:$AB, COLUMN(G1)+1) = "1a. Input organisatieniveau",
        INDEX('2. Output kostprijs'!$A:$Z, 19,
            5 + 2 * (INDEX($AC:$AC, COLUMN(G1)+1) - 1)
        ),
    IF(
        INDEX($AB:$AB, COLUMN(G1)+1) = "3. Gezinshuis producten",
            "",
        IF(
            INDEX($AB:$AB, COLUMN(G1)+1) = "4. Pleegzorg producten",
                 "",
            ""
        )
    )
)</f>
        <v/>
      </c>
      <c r="J7" s="198" t="str">
        <f>IF(
    INDEX($AB:$AB, COLUMN(H1)+1) = "1a. Input organisatieniveau",
        INDEX('2. Output kostprijs'!$A:$Z, 19,
            5 + 2 * (INDEX($AC:$AC, COLUMN(H1)+1) - 1)
        ),
    IF(
        INDEX($AB:$AB, COLUMN(H1)+1) = "3. Gezinshuis producten",
            "",
        IF(
            INDEX($AB:$AB, COLUMN(H1)+1) = "4. Pleegzorg producten",
                 "",
            ""
        )
    )
)</f>
        <v/>
      </c>
      <c r="K7" s="198" t="str">
        <f>IF(
    INDEX($AB:$AB, COLUMN(I1)+1) = "1a. Input organisatieniveau",
        INDEX('2. Output kostprijs'!$A:$Z, 19,
            5 + 2 * (INDEX($AC:$AC, COLUMN(I1)+1) - 1)
        ),
    IF(
        INDEX($AB:$AB, COLUMN(I1)+1) = "3. Gezinshuis producten",
            "",
        IF(
            INDEX($AB:$AB, COLUMN(I1)+1) = "4. Pleegzorg producten",
                 "",
            ""
        )
    )
)</f>
        <v/>
      </c>
      <c r="L7" s="198" t="str">
        <f>IF(
    INDEX($AB:$AB, COLUMN(J1)+1) = "1a. Input organisatieniveau",
        INDEX('2. Output kostprijs'!$A:$Z, 19,
            5 + 2 * (INDEX($AC:$AC, COLUMN(J1)+1) - 1)
        ),
    IF(
        INDEX($AB:$AB, COLUMN(J1)+1) = "3. Gezinshuis producten",
            "",
        IF(
            INDEX($AB:$AB, COLUMN(J1)+1) = "4. Pleegzorg producten",
                 "",
            ""
        )
    )
)</f>
        <v/>
      </c>
      <c r="M7" s="198" t="str">
        <f>IF(
    INDEX($AB:$AB, COLUMN(K1)+1) = "1a. Input organisatieniveau",
        INDEX('2. Output kostprijs'!$A:$Z, 19,
            5 + 2 * (INDEX($AC:$AC, COLUMN(K1)+1) - 1)
        ),
    IF(
        INDEX($AB:$AB, COLUMN(K1)+1) = "3. Gezinshuis producten",
            "",
        IF(
            INDEX($AB:$AB, COLUMN(K1)+1) = "4. Pleegzorg producten",
                 "",
            ""
        )
    )
)</f>
        <v/>
      </c>
      <c r="N7" s="198" t="str">
        <f>IF(
    INDEX($AB:$AB, COLUMN(L1)+1) = "1a. Input organisatieniveau",
        INDEX('2. Output kostprijs'!$A:$Z, 19,
            5 + 2 * (INDEX($AC:$AC, COLUMN(L1)+1) - 1)
        ),
    IF(
        INDEX($AB:$AB, COLUMN(L1)+1) = "3. Gezinshuis producten",
            "",
        IF(
            INDEX($AB:$AB, COLUMN(L1)+1) = "4. Pleegzorg producten",
                 "",
            ""
        )
    )
)</f>
        <v/>
      </c>
      <c r="O7" s="198" t="str">
        <f>IF(
    INDEX($AB:$AB, COLUMN(M1)+1) = "1a. Input organisatieniveau",
        INDEX('2. Output kostprijs'!$A:$Z, 19,
            5 + 2 * (INDEX($AC:$AC, COLUMN(M1)+1) - 1)
        ),
    IF(
        INDEX($AB:$AB, COLUMN(M1)+1) = "3. Gezinshuis producten",
            "",
        IF(
            INDEX($AB:$AB, COLUMN(M1)+1) = "4. Pleegzorg producten",
                 "",
            ""
        )
    )
)</f>
        <v/>
      </c>
      <c r="P7" s="198" t="str">
        <f>IF(
    INDEX($AB:$AB, COLUMN(N1)+1) = "1a. Input organisatieniveau",
        INDEX('2. Output kostprijs'!$A:$Z, 19,
            5 + 2 * (INDEX($AC:$AC, COLUMN(N1)+1) - 1)
        ),
    IF(
        INDEX($AB:$AB, COLUMN(N1)+1) = "3. Gezinshuis producten",
            "",
        IF(
            INDEX($AB:$AB, COLUMN(N1)+1) = "4. Pleegzorg producten",
                 "",
            ""
        )
    )
)</f>
        <v/>
      </c>
      <c r="Q7" s="198" t="str">
        <f>IF(
    INDEX($AB:$AB, COLUMN(O1)+1) = "1a. Input organisatieniveau",
        INDEX('2. Output kostprijs'!$A:$Z, 19,
            5 + 2 * (INDEX($AC:$AC, COLUMN(O1)+1) - 1)
        ),
    IF(
        INDEX($AB:$AB, COLUMN(O1)+1) = "3. Gezinshuis producten",
            "",
        IF(
            INDEX($AB:$AB, COLUMN(O1)+1) = "4. Pleegzorg producten",
                 "",
            ""
        )
    )
)</f>
        <v/>
      </c>
      <c r="R7" s="198" t="str">
        <f>IF(
    INDEX($AB:$AB, COLUMN(P1)+1) = "1a. Input organisatieniveau",
        INDEX('2. Output kostprijs'!$A:$Z, 19,
            5 + 2 * (INDEX($AC:$AC, COLUMN(P1)+1) - 1)
        ),
    IF(
        INDEX($AB:$AB, COLUMN(P1)+1) = "3. Gezinshuis producten",
            "",
        IF(
            INDEX($AB:$AB, COLUMN(P1)+1) = "4. Pleegzorg producten",
                 "",
            ""
        )
    )
)</f>
        <v/>
      </c>
      <c r="S7" s="233" t="str">
        <f>IF(
    INDEX($AB:$AB, COLUMN(Q1)+1) = "1a. Input organisatieniveau",
        INDEX('2. Output kostprijs'!$A:$Z, 19,
            5 + 2 * (INDEX($AC:$AC, COLUMN(Q1)+1) - 1)
        ),
    IF(
        INDEX($AB:$AB, COLUMN(Q1)+1) = "3. Gezinshuis producten",
            "",
        IF(
            INDEX($AB:$AB, COLUMN(Q1)+1) = "4. Pleegzorg producten",
                 "",
            ""
        )
    )
)</f>
        <v/>
      </c>
      <c r="AA7" t="str">
        <f t="array" ref="AA7">IFERROR(
  IF(
    ROW(A6) &lt;= SUMPRODUCT(--('Hulp (control forms)'!$G$13:$G$52)),
      IF(
        INDEX(Initialisatie!B$10:B$49,
          SMALL(
            IF('Hulp (control forms)'!$G$13:$G$52=TRUE,
               ROW(Initialisatie!B$10:B$49)-ROW(Initialisatie!B$10)+1),
            ROW(A6)
          )
        )="","",
        INDEX(Initialisatie!B$10:B$49,
          SMALL(
            IF('Hulp (control forms)'!$G$13:$G$52=TRUE,
               ROW(Initialisatie!B$10:B$49)-ROW(Initialisatie!B$10)+1),
            ROW(A6)
          )
        )
      ),
    IFERROR(
      INDEX(
        '3. Gezinshuis producten'!E$7:E$9,
        SMALL(
          IF('Hulp (control forms)'!$F$6:$F$8=TRUE,
             ROW('3. Gezinshuis producten'!E$7:E$9)-ROW('3. Gezinshuis producten'!E$7)+1),
          ROW(A6) - SUMPRODUCT(--('Hulp (control forms)'!$G$13:$G$52))
        )
      ),
      IF(
        ROW(A6)
         - SUMPRODUCT(--('Hulp (control forms)'!$G$13:$G$52))
         - SUMPRODUCT(--('Hulp (control forms)'!$F$6:$F$8)) = 1,
        IF('4. Pleegzorg producten'!$M$26&lt;&gt;"",
           "Voltijd",
           IF('4. Pleegzorg producten'!$P$26&lt;&gt;"","Deeltijd","")
        ),
        IF(
          ROW(A6)
           - SUMPRODUCT(--('Hulp (control forms)'!$G$13:$G$52))
           - SUMPRODUCT(--('Hulp (control forms)'!$F$6:$F$8)) = 2,
          IF( AND('4. Pleegzorg producten'!$M$26&lt;&gt;"", '4. Pleegzorg producten'!$P$26&lt;&gt;"" ),
             "Deeltijd",
             ""
          ),
          ""
        )
      )
    )
  ),
"")</f>
        <v/>
      </c>
      <c r="AB7" t="str">
        <f t="array" ref="AB7">IF(
  ROW(A6) &lt;= SUMPRODUCT(--('Hulp (control forms)'!$G$13:$G$52)),
      "1a. Input organisatieniveau",
  IF(
    ROW(A6) - SUMPRODUCT(--('Hulp (control forms)'!$G$13:$G$52))
      &lt;= SUMPRODUCT(--('Hulp (control forms)'!$F$6:$F$8)),
        "3. Gezinshuis producten",
    IF(
      (ROW(A6)
        - SUMPRODUCT(--('Hulp (control forms)'!$G$13:$G$52))
        - SUMPRODUCT(--('Hulp (control forms)'!$F$6:$F$8)))
        &lt;= SUMPRODUCT(--('4. Pleegzorg producten'!$M$26&lt;&gt;"") + --('4. Pleegzorg producten'!$P$26&lt;&gt;"")),
          "4. Pleegzorg producten",
          ""
    )
  )
)</f>
        <v/>
      </c>
      <c r="AC7" t="str">
        <f t="array" ref="AC7">IF(
  ROW(A6) &lt;= SUMPRODUCT(--('Hulp (control forms)'!$G$13:$G$52)),
      ROW(A6),
  IF(
    ROW(A6) - SUMPRODUCT(--('Hulp (control forms)'!$G$13:$G$52))
      &lt;= SUMPRODUCT(--('Hulp (control forms)'!$F$6:$F$8)),
        ROW(A6) - SUMPRODUCT(--('Hulp (control forms)'!$G$13:$G$52)),
    IF(
      (ROW(A6)
        - SUMPRODUCT(--('Hulp (control forms)'!$G$13:$G$52))
        - SUMPRODUCT(--('Hulp (control forms)'!$F$6:$F$8)))
        &lt;= SUMPRODUCT(--('4. Pleegzorg producten'!$M$26&lt;&gt;"") + --('4. Pleegzorg producten'!$P$26&lt;&gt;"")),
        ROW(A6)
        - SUMPRODUCT(--('Hulp (control forms)'!$G$13:$G$52))
        - SUMPRODUCT(--('Hulp (control forms)'!$F$6:$F$8)),
        ""
    )
  )
)</f>
        <v/>
      </c>
    </row>
    <row r="8" spans="2:29" x14ac:dyDescent="0.45">
      <c r="B8" s="23" t="s">
        <v>989</v>
      </c>
      <c r="C8" s="198" t="str">
        <f>IF(
    INDEX($AB:$AB, COLUMN(A1)+1) = "1a. Input organisatieniveau",
        INDEX('2. Output kostprijs'!$A:$Z, 24,
            5 + 2 * (INDEX($AC:$AC, COLUMN(A1)+1) - 1)
        ),
    IF(
        INDEX($AB:$AB, COLUMN(A1)+1) = "3. Gezinshuis producten",
            "",
        IF(
            INDEX($AB:$AB, COLUMN(A1)+1) = "4. Pleegzorg producten",
                 "",
            ""
        )
    )
)</f>
        <v/>
      </c>
      <c r="D8" s="198" t="str">
        <f>IF(
    INDEX($AB:$AB, COLUMN(B1)+1) = "1a. Input organisatieniveau",
        INDEX('2. Output kostprijs'!$A:$Z, 24,
            5 + 2 * (INDEX($AC:$AC, COLUMN(B1)+1) - 1)
        ),
    IF(
        INDEX($AB:$AB, COLUMN(B1)+1) = "3. Gezinshuis producten",
            "",
        IF(
            INDEX($AB:$AB, COLUMN(B1)+1) = "4. Pleegzorg producten",
                 "",
            ""
        )
    )
)</f>
        <v/>
      </c>
      <c r="E8" s="198" t="str">
        <f>IF(
    INDEX($AB:$AB, COLUMN(C1)+1) = "1a. Input organisatieniveau",
        INDEX('2. Output kostprijs'!$A:$Z, 24,
            5 + 2 * (INDEX($AC:$AC, COLUMN(C1)+1) - 1)
        ),
    IF(
        INDEX($AB:$AB, COLUMN(C1)+1) = "3. Gezinshuis producten",
            "",
        IF(
            INDEX($AB:$AB, COLUMN(C1)+1) = "4. Pleegzorg producten",
                 "",
            ""
        )
    )
)</f>
        <v/>
      </c>
      <c r="F8" s="198" t="str">
        <f>IF(
    INDEX($AB:$AB, COLUMN(D1)+1) = "1a. Input organisatieniveau",
        INDEX('2. Output kostprijs'!$A:$Z, 24,
            5 + 2 * (INDEX($AC:$AC, COLUMN(D1)+1) - 1)
        ),
    IF(
        INDEX($AB:$AB, COLUMN(D1)+1) = "3. Gezinshuis producten",
            "",
        IF(
            INDEX($AB:$AB, COLUMN(D1)+1) = "4. Pleegzorg producten",
                 "",
            ""
        )
    )
)</f>
        <v/>
      </c>
      <c r="G8" s="198" t="str">
        <f>IF(
    INDEX($AB:$AB, COLUMN(E1)+1) = "1a. Input organisatieniveau",
        INDEX('2. Output kostprijs'!$A:$Z, 24,
            5 + 2 * (INDEX($AC:$AC, COLUMN(E1)+1) - 1)
        ),
    IF(
        INDEX($AB:$AB, COLUMN(E1)+1) = "3. Gezinshuis producten",
            "",
        IF(
            INDEX($AB:$AB, COLUMN(E1)+1) = "4. Pleegzorg producten",
                 "",
            ""
        )
    )
)</f>
        <v/>
      </c>
      <c r="H8" s="198" t="str">
        <f>IF(
    INDEX($AB:$AB, COLUMN(F1)+1) = "1a. Input organisatieniveau",
        INDEX('2. Output kostprijs'!$A:$Z, 24,
            5 + 2 * (INDEX($AC:$AC, COLUMN(F1)+1) - 1)
        ),
    IF(
        INDEX($AB:$AB, COLUMN(F1)+1) = "3. Gezinshuis producten",
            "",
        IF(
            INDEX($AB:$AB, COLUMN(F1)+1) = "4. Pleegzorg producten",
                 "",
            ""
        )
    )
)</f>
        <v/>
      </c>
      <c r="I8" s="198" t="str">
        <f>IF(
    INDEX($AB:$AB, COLUMN(G1)+1) = "1a. Input organisatieniveau",
        INDEX('2. Output kostprijs'!$A:$Z, 24,
            5 + 2 * (INDEX($AC:$AC, COLUMN(G1)+1) - 1)
        ),
    IF(
        INDEX($AB:$AB, COLUMN(G1)+1) = "3. Gezinshuis producten",
            "",
        IF(
            INDEX($AB:$AB, COLUMN(G1)+1) = "4. Pleegzorg producten",
                 "",
            ""
        )
    )
)</f>
        <v/>
      </c>
      <c r="J8" s="198" t="str">
        <f>IF(
    INDEX($AB:$AB, COLUMN(H1)+1) = "1a. Input organisatieniveau",
        INDEX('2. Output kostprijs'!$A:$Z, 24,
            5 + 2 * (INDEX($AC:$AC, COLUMN(H1)+1) - 1)
        ),
    IF(
        INDEX($AB:$AB, COLUMN(H1)+1) = "3. Gezinshuis producten",
            "",
        IF(
            INDEX($AB:$AB, COLUMN(H1)+1) = "4. Pleegzorg producten",
                 "",
            ""
        )
    )
)</f>
        <v/>
      </c>
      <c r="K8" s="198" t="str">
        <f>IF(
    INDEX($AB:$AB, COLUMN(I1)+1) = "1a. Input organisatieniveau",
        INDEX('2. Output kostprijs'!$A:$Z, 24,
            5 + 2 * (INDEX($AC:$AC, COLUMN(I1)+1) - 1)
        ),
    IF(
        INDEX($AB:$AB, COLUMN(I1)+1) = "3. Gezinshuis producten",
            "",
        IF(
            INDEX($AB:$AB, COLUMN(I1)+1) = "4. Pleegzorg producten",
                 "",
            ""
        )
    )
)</f>
        <v/>
      </c>
      <c r="L8" s="198" t="str">
        <f>IF(
    INDEX($AB:$AB, COLUMN(J1)+1) = "1a. Input organisatieniveau",
        INDEX('2. Output kostprijs'!$A:$Z, 24,
            5 + 2 * (INDEX($AC:$AC, COLUMN(J1)+1) - 1)
        ),
    IF(
        INDEX($AB:$AB, COLUMN(J1)+1) = "3. Gezinshuis producten",
            "",
        IF(
            INDEX($AB:$AB, COLUMN(J1)+1) = "4. Pleegzorg producten",
                 "",
            ""
        )
    )
)</f>
        <v/>
      </c>
      <c r="M8" s="198" t="str">
        <f>IF(
    INDEX($AB:$AB, COLUMN(K1)+1) = "1a. Input organisatieniveau",
        INDEX('2. Output kostprijs'!$A:$Z, 24,
            5 + 2 * (INDEX($AC:$AC, COLUMN(K1)+1) - 1)
        ),
    IF(
        INDEX($AB:$AB, COLUMN(K1)+1) = "3. Gezinshuis producten",
            "",
        IF(
            INDEX($AB:$AB, COLUMN(K1)+1) = "4. Pleegzorg producten",
                 "",
            ""
        )
    )
)</f>
        <v/>
      </c>
      <c r="N8" s="198" t="str">
        <f>IF(
    INDEX($AB:$AB, COLUMN(L1)+1) = "1a. Input organisatieniveau",
        INDEX('2. Output kostprijs'!$A:$Z, 24,
            5 + 2 * (INDEX($AC:$AC, COLUMN(L1)+1) - 1)
        ),
    IF(
        INDEX($AB:$AB, COLUMN(L1)+1) = "3. Gezinshuis producten",
            "",
        IF(
            INDEX($AB:$AB, COLUMN(L1)+1) = "4. Pleegzorg producten",
                 "",
            ""
        )
    )
)</f>
        <v/>
      </c>
      <c r="O8" s="198" t="str">
        <f>IF(
    INDEX($AB:$AB, COLUMN(M1)+1) = "1a. Input organisatieniveau",
        INDEX('2. Output kostprijs'!$A:$Z, 24,
            5 + 2 * (INDEX($AC:$AC, COLUMN(M1)+1) - 1)
        ),
    IF(
        INDEX($AB:$AB, COLUMN(M1)+1) = "3. Gezinshuis producten",
            "",
        IF(
            INDEX($AB:$AB, COLUMN(M1)+1) = "4. Pleegzorg producten",
                 "",
            ""
        )
    )
)</f>
        <v/>
      </c>
      <c r="P8" s="198" t="str">
        <f>IF(
    INDEX($AB:$AB, COLUMN(N1)+1) = "1a. Input organisatieniveau",
        INDEX('2. Output kostprijs'!$A:$Z, 24,
            5 + 2 * (INDEX($AC:$AC, COLUMN(N1)+1) - 1)
        ),
    IF(
        INDEX($AB:$AB, COLUMN(N1)+1) = "3. Gezinshuis producten",
            "",
        IF(
            INDEX($AB:$AB, COLUMN(N1)+1) = "4. Pleegzorg producten",
                 "",
            ""
        )
    )
)</f>
        <v/>
      </c>
      <c r="Q8" s="198" t="str">
        <f>IF(
    INDEX($AB:$AB, COLUMN(O1)+1) = "1a. Input organisatieniveau",
        INDEX('2. Output kostprijs'!$A:$Z, 24,
            5 + 2 * (INDEX($AC:$AC, COLUMN(O1)+1) - 1)
        ),
    IF(
        INDEX($AB:$AB, COLUMN(O1)+1) = "3. Gezinshuis producten",
            "",
        IF(
            INDEX($AB:$AB, COLUMN(O1)+1) = "4. Pleegzorg producten",
                 "",
            ""
        )
    )
)</f>
        <v/>
      </c>
      <c r="R8" s="198" t="str">
        <f>IF(
    INDEX($AB:$AB, COLUMN(P1)+1) = "1a. Input organisatieniveau",
        INDEX('2. Output kostprijs'!$A:$Z, 24,
            5 + 2 * (INDEX($AC:$AC, COLUMN(P1)+1) - 1)
        ),
    IF(
        INDEX($AB:$AB, COLUMN(P1)+1) = "3. Gezinshuis producten",
            "",
        IF(
            INDEX($AB:$AB, COLUMN(P1)+1) = "4. Pleegzorg producten",
                 "",
            ""
        )
    )
)</f>
        <v/>
      </c>
      <c r="S8" s="233" t="str">
        <f>IF(
    INDEX($AB:$AB, COLUMN(Q1)+1) = "1a. Input organisatieniveau",
        INDEX('2. Output kostprijs'!$A:$Z, 24,
            5 + 2 * (INDEX($AC:$AC, COLUMN(Q1)+1) - 1)
        ),
    IF(
        INDEX($AB:$AB, COLUMN(Q1)+1) = "3. Gezinshuis producten",
            "",
        IF(
            INDEX($AB:$AB, COLUMN(Q1)+1) = "4. Pleegzorg producten",
                 "",
            ""
        )
    )
)</f>
        <v/>
      </c>
      <c r="AA8" t="str">
        <f t="array" ref="AA8">IFERROR(
  IF(
    ROW(A7) &lt;= SUMPRODUCT(--('Hulp (control forms)'!$G$13:$G$52)),
      IF(
        INDEX(Initialisatie!B$10:B$49,
          SMALL(
            IF('Hulp (control forms)'!$G$13:$G$52=TRUE,
               ROW(Initialisatie!B$10:B$49)-ROW(Initialisatie!B$10)+1),
            ROW(A7)
          )
        )="","",
        INDEX(Initialisatie!B$10:B$49,
          SMALL(
            IF('Hulp (control forms)'!$G$13:$G$52=TRUE,
               ROW(Initialisatie!B$10:B$49)-ROW(Initialisatie!B$10)+1),
            ROW(A7)
          )
        )
      ),
    IFERROR(
      INDEX(
        '3. Gezinshuis producten'!E$7:E$9,
        SMALL(
          IF('Hulp (control forms)'!$F$6:$F$8=TRUE,
             ROW('3. Gezinshuis producten'!E$7:E$9)-ROW('3. Gezinshuis producten'!E$7)+1),
          ROW(A7) - SUMPRODUCT(--('Hulp (control forms)'!$G$13:$G$52))
        )
      ),
      IF(
        ROW(A7)
         - SUMPRODUCT(--('Hulp (control forms)'!$G$13:$G$52))
         - SUMPRODUCT(--('Hulp (control forms)'!$F$6:$F$8)) = 1,
        IF('4. Pleegzorg producten'!$M$26&lt;&gt;"",
           "Voltijd",
           IF('4. Pleegzorg producten'!$P$26&lt;&gt;"","Deeltijd","")
        ),
        IF(
          ROW(A7)
           - SUMPRODUCT(--('Hulp (control forms)'!$G$13:$G$52))
           - SUMPRODUCT(--('Hulp (control forms)'!$F$6:$F$8)) = 2,
          IF( AND('4. Pleegzorg producten'!$M$26&lt;&gt;"", '4. Pleegzorg producten'!$P$26&lt;&gt;"" ),
             "Deeltijd",
             ""
          ),
          ""
        )
      )
    )
  ),
"")</f>
        <v/>
      </c>
      <c r="AB8" t="str">
        <f t="array" ref="AB8">IF(
  ROW(A7) &lt;= SUMPRODUCT(--('Hulp (control forms)'!$G$13:$G$52)),
      "1a. Input organisatieniveau",
  IF(
    ROW(A7) - SUMPRODUCT(--('Hulp (control forms)'!$G$13:$G$52))
      &lt;= SUMPRODUCT(--('Hulp (control forms)'!$F$6:$F$8)),
        "3. Gezinshuis producten",
    IF(
      (ROW(A7)
        - SUMPRODUCT(--('Hulp (control forms)'!$G$13:$G$52))
        - SUMPRODUCT(--('Hulp (control forms)'!$F$6:$F$8)))
        &lt;= SUMPRODUCT(--('4. Pleegzorg producten'!$M$26&lt;&gt;"") + --('4. Pleegzorg producten'!$P$26&lt;&gt;"")),
          "4. Pleegzorg producten",
          ""
    )
  )
)</f>
        <v/>
      </c>
      <c r="AC8" t="str">
        <f t="array" ref="AC8">IF(
  ROW(A7) &lt;= SUMPRODUCT(--('Hulp (control forms)'!$G$13:$G$52)),
      ROW(A7),
  IF(
    ROW(A7) - SUMPRODUCT(--('Hulp (control forms)'!$G$13:$G$52))
      &lt;= SUMPRODUCT(--('Hulp (control forms)'!$F$6:$F$8)),
        ROW(A7) - SUMPRODUCT(--('Hulp (control forms)'!$G$13:$G$52)),
    IF(
      (ROW(A7)
        - SUMPRODUCT(--('Hulp (control forms)'!$G$13:$G$52))
        - SUMPRODUCT(--('Hulp (control forms)'!$F$6:$F$8)))
        &lt;= SUMPRODUCT(--('4. Pleegzorg producten'!$M$26&lt;&gt;"") + --('4. Pleegzorg producten'!$P$26&lt;&gt;"")),
        ROW(A7)
        - SUMPRODUCT(--('Hulp (control forms)'!$G$13:$G$52))
        - SUMPRODUCT(--('Hulp (control forms)'!$F$6:$F$8)),
        ""
    )
  )
)</f>
        <v/>
      </c>
    </row>
    <row r="9" spans="2:29" x14ac:dyDescent="0.45">
      <c r="B9" s="23" t="s">
        <v>9</v>
      </c>
      <c r="C9" s="198" t="str">
        <f>IF(
    INDEX($AB:$AB, COLUMN(A1)+1) = "1a. Input organisatieniveau",
        INDEX('2. Output kostprijs'!$A:$Z, 27,
            5 + 2 * (INDEX($AC:$AC, COLUMN(A1)+1) - 1)
        ),
    IF(
        INDEX($AB:$AB, COLUMN(A1)+1) = "3. Gezinshuis producten",
            "",
        IF(
            INDEX($AB:$AB, COLUMN(A1)+1) = "4. Pleegzorg producten",
                 "",
            ""
        )
    )
)</f>
        <v/>
      </c>
      <c r="D9" s="198" t="str">
        <f>IF(
    INDEX($AB:$AB, COLUMN(B1)+1) = "1a. Input organisatieniveau",
        INDEX('2. Output kostprijs'!$A:$Z, 27,
            5 + 2 * (INDEX($AC:$AC, COLUMN(B1)+1) - 1)
        ),
    IF(
        INDEX($AB:$AB, COLUMN(B1)+1) = "3. Gezinshuis producten",
            "",
        IF(
            INDEX($AB:$AB, COLUMN(B1)+1) = "4. Pleegzorg producten",
                 "",
            ""
        )
    )
)</f>
        <v/>
      </c>
      <c r="E9" s="198" t="str">
        <f>IF(
    INDEX($AB:$AB, COLUMN(C1)+1) = "1a. Input organisatieniveau",
        INDEX('2. Output kostprijs'!$A:$Z, 27,
            5 + 2 * (INDEX($AC:$AC, COLUMN(C1)+1) - 1)
        ),
    IF(
        INDEX($AB:$AB, COLUMN(C1)+1) = "3. Gezinshuis producten",
            "",
        IF(
            INDEX($AB:$AB, COLUMN(C1)+1) = "4. Pleegzorg producten",
                 "",
            ""
        )
    )
)</f>
        <v/>
      </c>
      <c r="F9" s="198" t="str">
        <f>IF(
    INDEX($AB:$AB, COLUMN(D1)+1) = "1a. Input organisatieniveau",
        INDEX('2. Output kostprijs'!$A:$Z, 27,
            5 + 2 * (INDEX($AC:$AC, COLUMN(D1)+1) - 1)
        ),
    IF(
        INDEX($AB:$AB, COLUMN(D1)+1) = "3. Gezinshuis producten",
            "",
        IF(
            INDEX($AB:$AB, COLUMN(D1)+1) = "4. Pleegzorg producten",
                 "",
            ""
        )
    )
)</f>
        <v/>
      </c>
      <c r="G9" s="198" t="str">
        <f>IF(
    INDEX($AB:$AB, COLUMN(E1)+1) = "1a. Input organisatieniveau",
        INDEX('2. Output kostprijs'!$A:$Z, 27,
            5 + 2 * (INDEX($AC:$AC, COLUMN(E1)+1) - 1)
        ),
    IF(
        INDEX($AB:$AB, COLUMN(E1)+1) = "3. Gezinshuis producten",
            "",
        IF(
            INDEX($AB:$AB, COLUMN(E1)+1) = "4. Pleegzorg producten",
                 "",
            ""
        )
    )
)</f>
        <v/>
      </c>
      <c r="H9" s="198" t="str">
        <f>IF(
    INDEX($AB:$AB, COLUMN(F1)+1) = "1a. Input organisatieniveau",
        INDEX('2. Output kostprijs'!$A:$Z, 27,
            5 + 2 * (INDEX($AC:$AC, COLUMN(F1)+1) - 1)
        ),
    IF(
        INDEX($AB:$AB, COLUMN(F1)+1) = "3. Gezinshuis producten",
            "",
        IF(
            INDEX($AB:$AB, COLUMN(F1)+1) = "4. Pleegzorg producten",
                 "",
            ""
        )
    )
)</f>
        <v/>
      </c>
      <c r="I9" s="198" t="str">
        <f>IF(
    INDEX($AB:$AB, COLUMN(G1)+1) = "1a. Input organisatieniveau",
        INDEX('2. Output kostprijs'!$A:$Z, 27,
            5 + 2 * (INDEX($AC:$AC, COLUMN(G1)+1) - 1)
        ),
    IF(
        INDEX($AB:$AB, COLUMN(G1)+1) = "3. Gezinshuis producten",
            "",
        IF(
            INDEX($AB:$AB, COLUMN(G1)+1) = "4. Pleegzorg producten",
                 "",
            ""
        )
    )
)</f>
        <v/>
      </c>
      <c r="J9" s="198" t="str">
        <f>IF(
    INDEX($AB:$AB, COLUMN(H1)+1) = "1a. Input organisatieniveau",
        INDEX('2. Output kostprijs'!$A:$Z, 27,
            5 + 2 * (INDEX($AC:$AC, COLUMN(H1)+1) - 1)
        ),
    IF(
        INDEX($AB:$AB, COLUMN(H1)+1) = "3. Gezinshuis producten",
            "",
        IF(
            INDEX($AB:$AB, COLUMN(H1)+1) = "4. Pleegzorg producten",
                 "",
            ""
        )
    )
)</f>
        <v/>
      </c>
      <c r="K9" s="198" t="str">
        <f>IF(
    INDEX($AB:$AB, COLUMN(I1)+1) = "1a. Input organisatieniveau",
        INDEX('2. Output kostprijs'!$A:$Z, 27,
            5 + 2 * (INDEX($AC:$AC, COLUMN(I1)+1) - 1)
        ),
    IF(
        INDEX($AB:$AB, COLUMN(I1)+1) = "3. Gezinshuis producten",
            "",
        IF(
            INDEX($AB:$AB, COLUMN(I1)+1) = "4. Pleegzorg producten",
                 "",
            ""
        )
    )
)</f>
        <v/>
      </c>
      <c r="L9" s="198" t="str">
        <f>IF(
    INDEX($AB:$AB, COLUMN(J1)+1) = "1a. Input organisatieniveau",
        INDEX('2. Output kostprijs'!$A:$Z, 27,
            5 + 2 * (INDEX($AC:$AC, COLUMN(J1)+1) - 1)
        ),
    IF(
        INDEX($AB:$AB, COLUMN(J1)+1) = "3. Gezinshuis producten",
            "",
        IF(
            INDEX($AB:$AB, COLUMN(J1)+1) = "4. Pleegzorg producten",
                 "",
            ""
        )
    )
)</f>
        <v/>
      </c>
      <c r="M9" s="198" t="str">
        <f>IF(
    INDEX($AB:$AB, COLUMN(K1)+1) = "1a. Input organisatieniveau",
        INDEX('2. Output kostprijs'!$A:$Z, 27,
            5 + 2 * (INDEX($AC:$AC, COLUMN(K1)+1) - 1)
        ),
    IF(
        INDEX($AB:$AB, COLUMN(K1)+1) = "3. Gezinshuis producten",
            "",
        IF(
            INDEX($AB:$AB, COLUMN(K1)+1) = "4. Pleegzorg producten",
                 "",
            ""
        )
    )
)</f>
        <v/>
      </c>
      <c r="N9" s="198" t="str">
        <f>IF(
    INDEX($AB:$AB, COLUMN(L1)+1) = "1a. Input organisatieniveau",
        INDEX('2. Output kostprijs'!$A:$Z, 27,
            5 + 2 * (INDEX($AC:$AC, COLUMN(L1)+1) - 1)
        ),
    IF(
        INDEX($AB:$AB, COLUMN(L1)+1) = "3. Gezinshuis producten",
            "",
        IF(
            INDEX($AB:$AB, COLUMN(L1)+1) = "4. Pleegzorg producten",
                 "",
            ""
        )
    )
)</f>
        <v/>
      </c>
      <c r="O9" s="198" t="str">
        <f>IF(
    INDEX($AB:$AB, COLUMN(M1)+1) = "1a. Input organisatieniveau",
        INDEX('2. Output kostprijs'!$A:$Z, 27,
            5 + 2 * (INDEX($AC:$AC, COLUMN(M1)+1) - 1)
        ),
    IF(
        INDEX($AB:$AB, COLUMN(M1)+1) = "3. Gezinshuis producten",
            "",
        IF(
            INDEX($AB:$AB, COLUMN(M1)+1) = "4. Pleegzorg producten",
                 "",
            ""
        )
    )
)</f>
        <v/>
      </c>
      <c r="P9" s="198" t="str">
        <f>IF(
    INDEX($AB:$AB, COLUMN(N1)+1) = "1a. Input organisatieniveau",
        INDEX('2. Output kostprijs'!$A:$Z, 27,
            5 + 2 * (INDEX($AC:$AC, COLUMN(N1)+1) - 1)
        ),
    IF(
        INDEX($AB:$AB, COLUMN(N1)+1) = "3. Gezinshuis producten",
            "",
        IF(
            INDEX($AB:$AB, COLUMN(N1)+1) = "4. Pleegzorg producten",
                 "",
            ""
        )
    )
)</f>
        <v/>
      </c>
      <c r="Q9" s="198" t="str">
        <f>IF(
    INDEX($AB:$AB, COLUMN(O1)+1) = "1a. Input organisatieniveau",
        INDEX('2. Output kostprijs'!$A:$Z, 27,
            5 + 2 * (INDEX($AC:$AC, COLUMN(O1)+1) - 1)
        ),
    IF(
        INDEX($AB:$AB, COLUMN(O1)+1) = "3. Gezinshuis producten",
            "",
        IF(
            INDEX($AB:$AB, COLUMN(O1)+1) = "4. Pleegzorg producten",
                 "",
            ""
        )
    )
)</f>
        <v/>
      </c>
      <c r="R9" s="198" t="str">
        <f>IF(
    INDEX($AB:$AB, COLUMN(P1)+1) = "1a. Input organisatieniveau",
        INDEX('2. Output kostprijs'!$A:$Z, 27,
            5 + 2 * (INDEX($AC:$AC, COLUMN(P1)+1) - 1)
        ),
    IF(
        INDEX($AB:$AB, COLUMN(P1)+1) = "3. Gezinshuis producten",
            "",
        IF(
            INDEX($AB:$AB, COLUMN(P1)+1) = "4. Pleegzorg producten",
                 "",
            ""
        )
    )
)</f>
        <v/>
      </c>
      <c r="S9" s="233" t="str">
        <f>IF(
    INDEX($AB:$AB, COLUMN(Q1)+1) = "1a. Input organisatieniveau",
        INDEX('2. Output kostprijs'!$A:$Z, 27,
            5 + 2 * (INDEX($AC:$AC, COLUMN(Q1)+1) - 1)
        ),
    IF(
        INDEX($AB:$AB, COLUMN(Q1)+1) = "3. Gezinshuis producten",
            "",
        IF(
            INDEX($AB:$AB, COLUMN(Q1)+1) = "4. Pleegzorg producten",
                 "",
            ""
        )
    )
)</f>
        <v/>
      </c>
      <c r="AA9" t="str">
        <f t="array" ref="AA9">IFERROR(
  IF(
    ROW(A8) &lt;= SUMPRODUCT(--('Hulp (control forms)'!$G$13:$G$52)),
      IF(
        INDEX(Initialisatie!B$10:B$49,
          SMALL(
            IF('Hulp (control forms)'!$G$13:$G$52=TRUE,
               ROW(Initialisatie!B$10:B$49)-ROW(Initialisatie!B$10)+1),
            ROW(A8)
          )
        )="","",
        INDEX(Initialisatie!B$10:B$49,
          SMALL(
            IF('Hulp (control forms)'!$G$13:$G$52=TRUE,
               ROW(Initialisatie!B$10:B$49)-ROW(Initialisatie!B$10)+1),
            ROW(A8)
          )
        )
      ),
    IFERROR(
      INDEX(
        '3. Gezinshuis producten'!E$7:E$9,
        SMALL(
          IF('Hulp (control forms)'!$F$6:$F$8=TRUE,
             ROW('3. Gezinshuis producten'!E$7:E$9)-ROW('3. Gezinshuis producten'!E$7)+1),
          ROW(A8) - SUMPRODUCT(--('Hulp (control forms)'!$G$13:$G$52))
        )
      ),
      IF(
        ROW(A8)
         - SUMPRODUCT(--('Hulp (control forms)'!$G$13:$G$52))
         - SUMPRODUCT(--('Hulp (control forms)'!$F$6:$F$8)) = 1,
        IF('4. Pleegzorg producten'!$M$26&lt;&gt;"",
           "Voltijd",
           IF('4. Pleegzorg producten'!$P$26&lt;&gt;"","Deeltijd","")
        ),
        IF(
          ROW(A8)
           - SUMPRODUCT(--('Hulp (control forms)'!$G$13:$G$52))
           - SUMPRODUCT(--('Hulp (control forms)'!$F$6:$F$8)) = 2,
          IF( AND('4. Pleegzorg producten'!$M$26&lt;&gt;"", '4. Pleegzorg producten'!$P$26&lt;&gt;"" ),
             "Deeltijd",
             ""
          ),
          ""
        )
      )
    )
  ),
"")</f>
        <v/>
      </c>
      <c r="AB9" t="str">
        <f t="array" ref="AB9">IF(
  ROW(A8) &lt;= SUMPRODUCT(--('Hulp (control forms)'!$G$13:$G$52)),
      "1a. Input organisatieniveau",
  IF(
    ROW(A8) - SUMPRODUCT(--('Hulp (control forms)'!$G$13:$G$52))
      &lt;= SUMPRODUCT(--('Hulp (control forms)'!$F$6:$F$8)),
        "3. Gezinshuis producten",
    IF(
      (ROW(A8)
        - SUMPRODUCT(--('Hulp (control forms)'!$G$13:$G$52))
        - SUMPRODUCT(--('Hulp (control forms)'!$F$6:$F$8)))
        &lt;= SUMPRODUCT(--('4. Pleegzorg producten'!$M$26&lt;&gt;"") + --('4. Pleegzorg producten'!$P$26&lt;&gt;"")),
          "4. Pleegzorg producten",
          ""
    )
  )
)</f>
        <v/>
      </c>
      <c r="AC9" t="str">
        <f t="array" ref="AC9">IF(
  ROW(A8) &lt;= SUMPRODUCT(--('Hulp (control forms)'!$G$13:$G$52)),
      ROW(A8),
  IF(
    ROW(A8) - SUMPRODUCT(--('Hulp (control forms)'!$G$13:$G$52))
      &lt;= SUMPRODUCT(--('Hulp (control forms)'!$F$6:$F$8)),
        ROW(A8) - SUMPRODUCT(--('Hulp (control forms)'!$G$13:$G$52)),
    IF(
      (ROW(A8)
        - SUMPRODUCT(--('Hulp (control forms)'!$G$13:$G$52))
        - SUMPRODUCT(--('Hulp (control forms)'!$F$6:$F$8)))
        &lt;= SUMPRODUCT(--('4. Pleegzorg producten'!$M$26&lt;&gt;"") + --('4. Pleegzorg producten'!$P$26&lt;&gt;"")),
        ROW(A8)
        - SUMPRODUCT(--('Hulp (control forms)'!$G$13:$G$52))
        - SUMPRODUCT(--('Hulp (control forms)'!$F$6:$F$8)),
        ""
    )
  )
)</f>
        <v/>
      </c>
    </row>
    <row r="10" spans="2:29" x14ac:dyDescent="0.45">
      <c r="B10" s="23" t="s">
        <v>768</v>
      </c>
      <c r="C10" s="198" t="str">
        <f>IF(
    INDEX($AB:$AB, COLUMN(A1)+1) = "1a. Input organisatieniveau",
        INDEX('2. Output kostprijs'!$A:$Z, 31,
            5 + 2 * (INDEX($AC:$AC, COLUMN(A1)+1) - 1)
        ),
    IF(
        INDEX($AB:$AB, COLUMN(A1)+1) = "3. Gezinshuis producten",
            "",
        IF(
            INDEX($AB:$AB, COLUMN(A1)+1) = "4. Pleegzorg producten",
                 "",
            ""
        )
    )
)</f>
        <v/>
      </c>
      <c r="D10" s="198" t="str">
        <f>IF(
    INDEX($AB:$AB, COLUMN(B1)+1) = "1a. Input organisatieniveau",
        INDEX('2. Output kostprijs'!$A:$Z, 31,
            5 + 2 * (INDEX($AC:$AC, COLUMN(B1)+1) - 1)
        ),
    IF(
        INDEX($AB:$AB, COLUMN(B1)+1) = "3. Gezinshuis producten",
            "",
        IF(
            INDEX($AB:$AB, COLUMN(B1)+1) = "4. Pleegzorg producten",
                 "",
            ""
        )
    )
)</f>
        <v/>
      </c>
      <c r="E10" s="198" t="str">
        <f>IF(
    INDEX($AB:$AB, COLUMN(C1)+1) = "1a. Input organisatieniveau",
        INDEX('2. Output kostprijs'!$A:$Z, 31,
            5 + 2 * (INDEX($AC:$AC, COLUMN(C1)+1) - 1)
        ),
    IF(
        INDEX($AB:$AB, COLUMN(C1)+1) = "3. Gezinshuis producten",
            "",
        IF(
            INDEX($AB:$AB, COLUMN(C1)+1) = "4. Pleegzorg producten",
                 "",
            ""
        )
    )
)</f>
        <v/>
      </c>
      <c r="F10" s="198" t="str">
        <f>IF(
    INDEX($AB:$AB, COLUMN(D1)+1) = "1a. Input organisatieniveau",
        INDEX('2. Output kostprijs'!$A:$Z, 31,
            5 + 2 * (INDEX($AC:$AC, COLUMN(D1)+1) - 1)
        ),
    IF(
        INDEX($AB:$AB, COLUMN(D1)+1) = "3. Gezinshuis producten",
            "",
        IF(
            INDEX($AB:$AB, COLUMN(D1)+1) = "4. Pleegzorg producten",
                 "",
            ""
        )
    )
)</f>
        <v/>
      </c>
      <c r="G10" s="198" t="str">
        <f>IF(
    INDEX($AB:$AB, COLUMN(E1)+1) = "1a. Input organisatieniveau",
        INDEX('2. Output kostprijs'!$A:$Z, 31,
            5 + 2 * (INDEX($AC:$AC, COLUMN(E1)+1) - 1)
        ),
    IF(
        INDEX($AB:$AB, COLUMN(E1)+1) = "3. Gezinshuis producten",
            "",
        IF(
            INDEX($AB:$AB, COLUMN(E1)+1) = "4. Pleegzorg producten",
                 "",
            ""
        )
    )
)</f>
        <v/>
      </c>
      <c r="H10" s="198" t="str">
        <f>IF(
    INDEX($AB:$AB, COLUMN(F1)+1) = "1a. Input organisatieniveau",
        INDEX('2. Output kostprijs'!$A:$Z, 31,
            5 + 2 * (INDEX($AC:$AC, COLUMN(F1)+1) - 1)
        ),
    IF(
        INDEX($AB:$AB, COLUMN(F1)+1) = "3. Gezinshuis producten",
            "",
        IF(
            INDEX($AB:$AB, COLUMN(F1)+1) = "4. Pleegzorg producten",
                 "",
            ""
        )
    )
)</f>
        <v/>
      </c>
      <c r="I10" s="198" t="str">
        <f>IF(
    INDEX($AB:$AB, COLUMN(G1)+1) = "1a. Input organisatieniveau",
        INDEX('2. Output kostprijs'!$A:$Z, 31,
            5 + 2 * (INDEX($AC:$AC, COLUMN(G1)+1) - 1)
        ),
    IF(
        INDEX($AB:$AB, COLUMN(G1)+1) = "3. Gezinshuis producten",
            "",
        IF(
            INDEX($AB:$AB, COLUMN(G1)+1) = "4. Pleegzorg producten",
                 "",
            ""
        )
    )
)</f>
        <v/>
      </c>
      <c r="J10" s="198" t="str">
        <f>IF(
    INDEX($AB:$AB, COLUMN(H1)+1) = "1a. Input organisatieniveau",
        INDEX('2. Output kostprijs'!$A:$Z, 31,
            5 + 2 * (INDEX($AC:$AC, COLUMN(H1)+1) - 1)
        ),
    IF(
        INDEX($AB:$AB, COLUMN(H1)+1) = "3. Gezinshuis producten",
            "",
        IF(
            INDEX($AB:$AB, COLUMN(H1)+1) = "4. Pleegzorg producten",
                 "",
            ""
        )
    )
)</f>
        <v/>
      </c>
      <c r="K10" s="198" t="str">
        <f>IF(
    INDEX($AB:$AB, COLUMN(I1)+1) = "1a. Input organisatieniveau",
        INDEX('2. Output kostprijs'!$A:$Z, 31,
            5 + 2 * (INDEX($AC:$AC, COLUMN(I1)+1) - 1)
        ),
    IF(
        INDEX($AB:$AB, COLUMN(I1)+1) = "3. Gezinshuis producten",
            "",
        IF(
            INDEX($AB:$AB, COLUMN(I1)+1) = "4. Pleegzorg producten",
                 "",
            ""
        )
    )
)</f>
        <v/>
      </c>
      <c r="L10" s="198" t="str">
        <f>IF(
    INDEX($AB:$AB, COLUMN(J1)+1) = "1a. Input organisatieniveau",
        INDEX('2. Output kostprijs'!$A:$Z, 31,
            5 + 2 * (INDEX($AC:$AC, COLUMN(J1)+1) - 1)
        ),
    IF(
        INDEX($AB:$AB, COLUMN(J1)+1) = "3. Gezinshuis producten",
            "",
        IF(
            INDEX($AB:$AB, COLUMN(J1)+1) = "4. Pleegzorg producten",
                 "",
            ""
        )
    )
)</f>
        <v/>
      </c>
      <c r="M10" s="198" t="str">
        <f>IF(
    INDEX($AB:$AB, COLUMN(K1)+1) = "1a. Input organisatieniveau",
        INDEX('2. Output kostprijs'!$A:$Z, 31,
            5 + 2 * (INDEX($AC:$AC, COLUMN(K1)+1) - 1)
        ),
    IF(
        INDEX($AB:$AB, COLUMN(K1)+1) = "3. Gezinshuis producten",
            "",
        IF(
            INDEX($AB:$AB, COLUMN(K1)+1) = "4. Pleegzorg producten",
                 "",
            ""
        )
    )
)</f>
        <v/>
      </c>
      <c r="N10" s="198" t="str">
        <f>IF(
    INDEX($AB:$AB, COLUMN(L1)+1) = "1a. Input organisatieniveau",
        INDEX('2. Output kostprijs'!$A:$Z, 31,
            5 + 2 * (INDEX($AC:$AC, COLUMN(L1)+1) - 1)
        ),
    IF(
        INDEX($AB:$AB, COLUMN(L1)+1) = "3. Gezinshuis producten",
            "",
        IF(
            INDEX($AB:$AB, COLUMN(L1)+1) = "4. Pleegzorg producten",
                 "",
            ""
        )
    )
)</f>
        <v/>
      </c>
      <c r="O10" s="198" t="str">
        <f>IF(
    INDEX($AB:$AB, COLUMN(M1)+1) = "1a. Input organisatieniveau",
        INDEX('2. Output kostprijs'!$A:$Z, 31,
            5 + 2 * (INDEX($AC:$AC, COLUMN(M1)+1) - 1)
        ),
    IF(
        INDEX($AB:$AB, COLUMN(M1)+1) = "3. Gezinshuis producten",
            "",
        IF(
            INDEX($AB:$AB, COLUMN(M1)+1) = "4. Pleegzorg producten",
                 "",
            ""
        )
    )
)</f>
        <v/>
      </c>
      <c r="P10" s="198" t="str">
        <f>IF(
    INDEX($AB:$AB, COLUMN(N1)+1) = "1a. Input organisatieniveau",
        INDEX('2. Output kostprijs'!$A:$Z, 31,
            5 + 2 * (INDEX($AC:$AC, COLUMN(N1)+1) - 1)
        ),
    IF(
        INDEX($AB:$AB, COLUMN(N1)+1) = "3. Gezinshuis producten",
            "",
        IF(
            INDEX($AB:$AB, COLUMN(N1)+1) = "4. Pleegzorg producten",
                 "",
            ""
        )
    )
)</f>
        <v/>
      </c>
      <c r="Q10" s="198" t="str">
        <f>IF(
    INDEX($AB:$AB, COLUMN(O1)+1) = "1a. Input organisatieniveau",
        INDEX('2. Output kostprijs'!$A:$Z, 31,
            5 + 2 * (INDEX($AC:$AC, COLUMN(O1)+1) - 1)
        ),
    IF(
        INDEX($AB:$AB, COLUMN(O1)+1) = "3. Gezinshuis producten",
            "",
        IF(
            INDEX($AB:$AB, COLUMN(O1)+1) = "4. Pleegzorg producten",
                 "",
            ""
        )
    )
)</f>
        <v/>
      </c>
      <c r="R10" s="198" t="str">
        <f>IF(
    INDEX($AB:$AB, COLUMN(P1)+1) = "1a. Input organisatieniveau",
        INDEX('2. Output kostprijs'!$A:$Z, 31,
            5 + 2 * (INDEX($AC:$AC, COLUMN(P1)+1) - 1)
        ),
    IF(
        INDEX($AB:$AB, COLUMN(P1)+1) = "3. Gezinshuis producten",
            "",
        IF(
            INDEX($AB:$AB, COLUMN(P1)+1) = "4. Pleegzorg producten",
                 "",
            ""
        )
    )
)</f>
        <v/>
      </c>
      <c r="S10" s="233" t="str">
        <f>IF(
    INDEX($AB:$AB, COLUMN(Q1)+1) = "1a. Input organisatieniveau",
        INDEX('2. Output kostprijs'!$A:$Z, 31,
            5 + 2 * (INDEX($AC:$AC, COLUMN(Q1)+1) - 1)
        ),
    IF(
        INDEX($AB:$AB, COLUMN(Q1)+1) = "3. Gezinshuis producten",
            "",
        IF(
            INDEX($AB:$AB, COLUMN(Q1)+1) = "4. Pleegzorg producten",
                 "",
            ""
        )
    )
)</f>
        <v/>
      </c>
      <c r="AA10" t="str">
        <f t="array" ref="AA10">IFERROR(
  IF(
    ROW(A9) &lt;= SUMPRODUCT(--('Hulp (control forms)'!$G$13:$G$52)),
      IF(
        INDEX(Initialisatie!B$10:B$49,
          SMALL(
            IF('Hulp (control forms)'!$G$13:$G$52=TRUE,
               ROW(Initialisatie!B$10:B$49)-ROW(Initialisatie!B$10)+1),
            ROW(A9)
          )
        )="","",
        INDEX(Initialisatie!B$10:B$49,
          SMALL(
            IF('Hulp (control forms)'!$G$13:$G$52=TRUE,
               ROW(Initialisatie!B$10:B$49)-ROW(Initialisatie!B$10)+1),
            ROW(A9)
          )
        )
      ),
    IFERROR(
      INDEX(
        '3. Gezinshuis producten'!E$7:E$9,
        SMALL(
          IF('Hulp (control forms)'!$F$6:$F$8=TRUE,
             ROW('3. Gezinshuis producten'!E$7:E$9)-ROW('3. Gezinshuis producten'!E$7)+1),
          ROW(A9) - SUMPRODUCT(--('Hulp (control forms)'!$G$13:$G$52))
        )
      ),
      IF(
        ROW(A9)
         - SUMPRODUCT(--('Hulp (control forms)'!$G$13:$G$52))
         - SUMPRODUCT(--('Hulp (control forms)'!$F$6:$F$8)) = 1,
        IF('4. Pleegzorg producten'!$M$26&lt;&gt;"",
           "Voltijd",
           IF('4. Pleegzorg producten'!$P$26&lt;&gt;"","Deeltijd","")
        ),
        IF(
          ROW(A9)
           - SUMPRODUCT(--('Hulp (control forms)'!$G$13:$G$52))
           - SUMPRODUCT(--('Hulp (control forms)'!$F$6:$F$8)) = 2,
          IF( AND('4. Pleegzorg producten'!$M$26&lt;&gt;"", '4. Pleegzorg producten'!$P$26&lt;&gt;"" ),
             "Deeltijd",
             ""
          ),
          ""
        )
      )
    )
  ),
"")</f>
        <v/>
      </c>
      <c r="AB10" t="str">
        <f t="array" ref="AB10">IF(
  ROW(A9) &lt;= SUMPRODUCT(--('Hulp (control forms)'!$G$13:$G$52)),
      "1a. Input organisatieniveau",
  IF(
    ROW(A9) - SUMPRODUCT(--('Hulp (control forms)'!$G$13:$G$52))
      &lt;= SUMPRODUCT(--('Hulp (control forms)'!$F$6:$F$8)),
        "3. Gezinshuis producten",
    IF(
      (ROW(A9)
        - SUMPRODUCT(--('Hulp (control forms)'!$G$13:$G$52))
        - SUMPRODUCT(--('Hulp (control forms)'!$F$6:$F$8)))
        &lt;= SUMPRODUCT(--('4. Pleegzorg producten'!$M$26&lt;&gt;"") + --('4. Pleegzorg producten'!$P$26&lt;&gt;"")),
          "4. Pleegzorg producten",
          ""
    )
  )
)</f>
        <v/>
      </c>
      <c r="AC10" t="str">
        <f t="array" ref="AC10">IF(
  ROW(A9) &lt;= SUMPRODUCT(--('Hulp (control forms)'!$G$13:$G$52)),
      ROW(A9),
  IF(
    ROW(A9) - SUMPRODUCT(--('Hulp (control forms)'!$G$13:$G$52))
      &lt;= SUMPRODUCT(--('Hulp (control forms)'!$F$6:$F$8)),
        ROW(A9) - SUMPRODUCT(--('Hulp (control forms)'!$G$13:$G$52)),
    IF(
      (ROW(A9)
        - SUMPRODUCT(--('Hulp (control forms)'!$G$13:$G$52))
        - SUMPRODUCT(--('Hulp (control forms)'!$F$6:$F$8)))
        &lt;= SUMPRODUCT(--('4. Pleegzorg producten'!$M$26&lt;&gt;"") + --('4. Pleegzorg producten'!$P$26&lt;&gt;"")),
        ROW(A9)
        - SUMPRODUCT(--('Hulp (control forms)'!$G$13:$G$52))
        - SUMPRODUCT(--('Hulp (control forms)'!$F$6:$F$8)),
        ""
    )
  )
)</f>
        <v/>
      </c>
    </row>
    <row r="11" spans="2:29" x14ac:dyDescent="0.45">
      <c r="B11" s="23" t="s">
        <v>10</v>
      </c>
      <c r="C11" s="198" t="str">
        <f>IF(
    INDEX($AB:$AB, COLUMN(A1)+1) = "1a. Input organisatieniveau",
        INDEX('2. Output kostprijs'!$A:$Z, 32,
            5 + 2 * (INDEX($AC:$AC, COLUMN(A1)+1) - 1)
        ),
    IF(
        INDEX($AB:$AB, COLUMN(A1)+1) = "3. Gezinshuis producten",
            INDEX('3. Gezinshuis producten'!$N$22:$Z$22, MATCH(INDEX($AA:$AA, COLUMN(A1)+1),
                    '3. Gezinshuis producten'!$N$15:$S$15, 0) + 1
            ),
        IF(
            INDEX($AB:$AB, COLUMN(A1)+1) = "4. Pleegzorg producten",
                 INDEX('4. Pleegzorg producten'!$A:$Y, 24,
            13 + 3 * (INDEX($AC:$AC, COLUMN(A1)+1) - 1)) +
                 INDEX('4. Pleegzorg producten'!$A:$Y, 25,
            13 + 3 * (INDEX($AC:$AC, COLUMN(A1)+1) - 1)),
            ""
        )
    )
)</f>
        <v/>
      </c>
      <c r="D11" s="198" t="str">
        <f>IF(
    INDEX($AB:$AB, COLUMN(B1)+1) = "1a. Input organisatieniveau",
        INDEX('2. Output kostprijs'!$A:$Z, 32,
            5 + 2 * (INDEX($AC:$AC, COLUMN(B1)+1) - 1)
        ),
    IF(
        INDEX($AB:$AB, COLUMN(B1)+1) = "3. Gezinshuis producten",
            INDEX('3. Gezinshuis producten'!$N$22:$Z$22, MATCH(INDEX($AA:$AA, COLUMN(B1)+1),
                    '3. Gezinshuis producten'!$N$15:$S$15, 0) + 1
            ),
        IF(
            INDEX($AB:$AB, COLUMN(B1)+1) = "4. Pleegzorg producten",
                 INDEX('4. Pleegzorg producten'!$A:$Y, 24,
            13 + 3 * (INDEX($AC:$AC, COLUMN(B1)+1) - 1)) +
                 INDEX('4. Pleegzorg producten'!$A:$Y, 25,
            13 + 3 * (INDEX($AC:$AC, COLUMN(B1)+1) - 1)),
            ""
        )
    )
)</f>
        <v/>
      </c>
      <c r="E11" s="198" t="str">
        <f>IF(
    INDEX($AB:$AB, COLUMN(C1)+1) = "1a. Input organisatieniveau",
        INDEX('2. Output kostprijs'!$A:$Z, 32,
            5 + 2 * (INDEX($AC:$AC, COLUMN(C1)+1) - 1)
        ),
    IF(
        INDEX($AB:$AB, COLUMN(C1)+1) = "3. Gezinshuis producten",
            INDEX('3. Gezinshuis producten'!$N$22:$Z$22, MATCH(INDEX($AA:$AA, COLUMN(C1)+1),
                    '3. Gezinshuis producten'!$N$15:$S$15, 0) + 1
            ),
        IF(
            INDEX($AB:$AB, COLUMN(C1)+1) = "4. Pleegzorg producten",
                 INDEX('4. Pleegzorg producten'!$A:$Y, 24,
            13 + 3 * (INDEX($AC:$AC, COLUMN(C1)+1) - 1)) +
                 INDEX('4. Pleegzorg producten'!$A:$Y, 25,
            13 + 3 * (INDEX($AC:$AC, COLUMN(C1)+1) - 1)),
            ""
        )
    )
)</f>
        <v/>
      </c>
      <c r="F11" s="198" t="str">
        <f>IF(
    INDEX($AB:$AB, COLUMN(D1)+1) = "1a. Input organisatieniveau",
        INDEX('2. Output kostprijs'!$A:$Z, 32,
            5 + 2 * (INDEX($AC:$AC, COLUMN(D1)+1) - 1)
        ),
    IF(
        INDEX($AB:$AB, COLUMN(D1)+1) = "3. Gezinshuis producten",
            INDEX('3. Gezinshuis producten'!$N$22:$Z$22, MATCH(INDEX($AA:$AA, COLUMN(D1)+1),
                    '3. Gezinshuis producten'!$N$15:$S$15, 0) + 1
            ),
        IF(
            INDEX($AB:$AB, COLUMN(D1)+1) = "4. Pleegzorg producten",
                 INDEX('4. Pleegzorg producten'!$A:$Y, 24,
            13 + 3 * (INDEX($AC:$AC, COLUMN(D1)+1) - 1)) +
                 INDEX('4. Pleegzorg producten'!$A:$Y, 25,
            13 + 3 * (INDEX($AC:$AC, COLUMN(D1)+1) - 1)),
            ""
        )
    )
)</f>
        <v/>
      </c>
      <c r="G11" s="198" t="str">
        <f>IF(
    INDEX($AB:$AB, COLUMN(E1)+1) = "1a. Input organisatieniveau",
        INDEX('2. Output kostprijs'!$A:$Z, 32,
            5 + 2 * (INDEX($AC:$AC, COLUMN(E1)+1) - 1)
        ),
    IF(
        INDEX($AB:$AB, COLUMN(E1)+1) = "3. Gezinshuis producten",
            INDEX('3. Gezinshuis producten'!$N$22:$Z$22, MATCH(INDEX($AA:$AA, COLUMN(E1)+1),
                    '3. Gezinshuis producten'!$N$15:$S$15, 0) + 1
            ),
        IF(
            INDEX($AB:$AB, COLUMN(E1)+1) = "4. Pleegzorg producten",
                 INDEX('4. Pleegzorg producten'!$A:$Y, 24,
            13 + 3 * (INDEX($AC:$AC, COLUMN(E1)+1) - 1)) +
                 INDEX('4. Pleegzorg producten'!$A:$Y, 25,
            13 + 3 * (INDEX($AC:$AC, COLUMN(E1)+1) - 1)),
            ""
        )
    )
)</f>
        <v/>
      </c>
      <c r="H11" s="198" t="str">
        <f>IF(
    INDEX($AB:$AB, COLUMN(F1)+1) = "1a. Input organisatieniveau",
        INDEX('2. Output kostprijs'!$A:$Z, 32,
            5 + 2 * (INDEX($AC:$AC, COLUMN(F1)+1) - 1)
        ),
    IF(
        INDEX($AB:$AB, COLUMN(F1)+1) = "3. Gezinshuis producten",
            INDEX('3. Gezinshuis producten'!$N$22:$Z$22, MATCH(INDEX($AA:$AA, COLUMN(F1)+1),
                    '3. Gezinshuis producten'!$N$15:$S$15, 0) + 1
            ),
        IF(
            INDEX($AB:$AB, COLUMN(F1)+1) = "4. Pleegzorg producten",
                 INDEX('4. Pleegzorg producten'!$A:$Y, 24,
            13 + 3 * (INDEX($AC:$AC, COLUMN(F1)+1) - 1)) +
                 INDEX('4. Pleegzorg producten'!$A:$Y, 25,
            13 + 3 * (INDEX($AC:$AC, COLUMN(F1)+1) - 1)),
            ""
        )
    )
)</f>
        <v/>
      </c>
      <c r="I11" s="198" t="str">
        <f>IF(
    INDEX($AB:$AB, COLUMN(G1)+1) = "1a. Input organisatieniveau",
        INDEX('2. Output kostprijs'!$A:$Z, 32,
            5 + 2 * (INDEX($AC:$AC, COLUMN(G1)+1) - 1)
        ),
    IF(
        INDEX($AB:$AB, COLUMN(G1)+1) = "3. Gezinshuis producten",
            INDEX('3. Gezinshuis producten'!$N$22:$Z$22, MATCH(INDEX($AA:$AA, COLUMN(G1)+1),
                    '3. Gezinshuis producten'!$N$15:$S$15, 0) + 1
            ),
        IF(
            INDEX($AB:$AB, COLUMN(G1)+1) = "4. Pleegzorg producten",
                 INDEX('4. Pleegzorg producten'!$A:$Y, 24,
            13 + 3 * (INDEX($AC:$AC, COLUMN(G1)+1) - 1)) +
                 INDEX('4. Pleegzorg producten'!$A:$Y, 25,
            13 + 3 * (INDEX($AC:$AC, COLUMN(G1)+1) - 1)),
            ""
        )
    )
)</f>
        <v/>
      </c>
      <c r="J11" s="198" t="str">
        <f>IF(
    INDEX($AB:$AB, COLUMN(H1)+1) = "1a. Input organisatieniveau",
        INDEX('2. Output kostprijs'!$A:$Z, 32,
            5 + 2 * (INDEX($AC:$AC, COLUMN(H1)+1) - 1)
        ),
    IF(
        INDEX($AB:$AB, COLUMN(H1)+1) = "3. Gezinshuis producten",
            INDEX('3. Gezinshuis producten'!$N$22:$Z$22, MATCH(INDEX($AA:$AA, COLUMN(H1)+1),
                    '3. Gezinshuis producten'!$N$15:$S$15, 0) + 1
            ),
        IF(
            INDEX($AB:$AB, COLUMN(H1)+1) = "4. Pleegzorg producten",
                 INDEX('4. Pleegzorg producten'!$A:$Y, 24,
            13 + 3 * (INDEX($AC:$AC, COLUMN(H1)+1) - 1)) +
                 INDEX('4. Pleegzorg producten'!$A:$Y, 25,
            13 + 3 * (INDEX($AC:$AC, COLUMN(H1)+1) - 1)),
            ""
        )
    )
)</f>
        <v/>
      </c>
      <c r="K11" s="198" t="str">
        <f>IF(
    INDEX($AB:$AB, COLUMN(I1)+1) = "1a. Input organisatieniveau",
        INDEX('2. Output kostprijs'!$A:$Z, 32,
            5 + 2 * (INDEX($AC:$AC, COLUMN(I1)+1) - 1)
        ),
    IF(
        INDEX($AB:$AB, COLUMN(I1)+1) = "3. Gezinshuis producten",
            INDEX('3. Gezinshuis producten'!$N$22:$Z$22, MATCH(INDEX($AA:$AA, COLUMN(I1)+1),
                    '3. Gezinshuis producten'!$N$15:$S$15, 0) + 1
            ),
        IF(
            INDEX($AB:$AB, COLUMN(I1)+1) = "4. Pleegzorg producten",
                 INDEX('4. Pleegzorg producten'!$A:$Y, 24,
            13 + 3 * (INDEX($AC:$AC, COLUMN(I1)+1) - 1)) +
                 INDEX('4. Pleegzorg producten'!$A:$Y, 25,
            13 + 3 * (INDEX($AC:$AC, COLUMN(I1)+1) - 1)),
            ""
        )
    )
)</f>
        <v/>
      </c>
      <c r="L11" s="198" t="str">
        <f>IF(
    INDEX($AB:$AB, COLUMN(J1)+1) = "1a. Input organisatieniveau",
        INDEX('2. Output kostprijs'!$A:$Z, 32,
            5 + 2 * (INDEX($AC:$AC, COLUMN(J1)+1) - 1)
        ),
    IF(
        INDEX($AB:$AB, COLUMN(J1)+1) = "3. Gezinshuis producten",
            INDEX('3. Gezinshuis producten'!$N$22:$Z$22, MATCH(INDEX($AA:$AA, COLUMN(J1)+1),
                    '3. Gezinshuis producten'!$N$15:$S$15, 0) + 1
            ),
        IF(
            INDEX($AB:$AB, COLUMN(J1)+1) = "4. Pleegzorg producten",
                 INDEX('4. Pleegzorg producten'!$A:$Y, 24,
            13 + 3 * (INDEX($AC:$AC, COLUMN(J1)+1) - 1)) +
                 INDEX('4. Pleegzorg producten'!$A:$Y, 25,
            13 + 3 * (INDEX($AC:$AC, COLUMN(J1)+1) - 1)),
            ""
        )
    )
)</f>
        <v/>
      </c>
      <c r="M11" s="198" t="str">
        <f>IF(
    INDEX($AB:$AB, COLUMN(K1)+1) = "1a. Input organisatieniveau",
        INDEX('2. Output kostprijs'!$A:$Z, 32,
            5 + 2 * (INDEX($AC:$AC, COLUMN(K1)+1) - 1)
        ),
    IF(
        INDEX($AB:$AB, COLUMN(K1)+1) = "3. Gezinshuis producten",
            INDEX('3. Gezinshuis producten'!$N$22:$Z$22, MATCH(INDEX($AA:$AA, COLUMN(K1)+1),
                    '3. Gezinshuis producten'!$N$15:$S$15, 0) + 1
            ),
        IF(
            INDEX($AB:$AB, COLUMN(K1)+1) = "4. Pleegzorg producten",
                 INDEX('4. Pleegzorg producten'!$A:$Y, 24,
            13 + 3 * (INDEX($AC:$AC, COLUMN(K1)+1) - 1)) +
                 INDEX('4. Pleegzorg producten'!$A:$Y, 25,
            13 + 3 * (INDEX($AC:$AC, COLUMN(K1)+1) - 1)),
            ""
        )
    )
)</f>
        <v/>
      </c>
      <c r="N11" s="198" t="str">
        <f>IF(
    INDEX($AB:$AB, COLUMN(L1)+1) = "1a. Input organisatieniveau",
        INDEX('2. Output kostprijs'!$A:$Z, 32,
            5 + 2 * (INDEX($AC:$AC, COLUMN(L1)+1) - 1)
        ),
    IF(
        INDEX($AB:$AB, COLUMN(L1)+1) = "3. Gezinshuis producten",
            INDEX('3. Gezinshuis producten'!$N$22:$Z$22, MATCH(INDEX($AA:$AA, COLUMN(L1)+1),
                    '3. Gezinshuis producten'!$N$15:$S$15, 0) + 1
            ),
        IF(
            INDEX($AB:$AB, COLUMN(L1)+1) = "4. Pleegzorg producten",
                 INDEX('4. Pleegzorg producten'!$A:$Y, 24,
            13 + 3 * (INDEX($AC:$AC, COLUMN(L1)+1) - 1)) +
                 INDEX('4. Pleegzorg producten'!$A:$Y, 25,
            13 + 3 * (INDEX($AC:$AC, COLUMN(L1)+1) - 1)),
            ""
        )
    )
)</f>
        <v/>
      </c>
      <c r="O11" s="198" t="str">
        <f>IF(
    INDEX($AB:$AB, COLUMN(M1)+1) = "1a. Input organisatieniveau",
        INDEX('2. Output kostprijs'!$A:$Z, 32,
            5 + 2 * (INDEX($AC:$AC, COLUMN(M1)+1) - 1)
        ),
    IF(
        INDEX($AB:$AB, COLUMN(M1)+1) = "3. Gezinshuis producten",
            INDEX('3. Gezinshuis producten'!$N$22:$Z$22, MATCH(INDEX($AA:$AA, COLUMN(M1)+1),
                    '3. Gezinshuis producten'!$N$15:$S$15, 0) + 1
            ),
        IF(
            INDEX($AB:$AB, COLUMN(M1)+1) = "4. Pleegzorg producten",
                 INDEX('4. Pleegzorg producten'!$A:$Y, 24,
            13 + 3 * (INDEX($AC:$AC, COLUMN(M1)+1) - 1)) +
                 INDEX('4. Pleegzorg producten'!$A:$Y, 25,
            13 + 3 * (INDEX($AC:$AC, COLUMN(M1)+1) - 1)),
            ""
        )
    )
)</f>
        <v/>
      </c>
      <c r="P11" s="198" t="str">
        <f>IF(
    INDEX($AB:$AB, COLUMN(N1)+1) = "1a. Input organisatieniveau",
        INDEX('2. Output kostprijs'!$A:$Z, 32,
            5 + 2 * (INDEX($AC:$AC, COLUMN(N1)+1) - 1)
        ),
    IF(
        INDEX($AB:$AB, COLUMN(N1)+1) = "3. Gezinshuis producten",
            INDEX('3. Gezinshuis producten'!$N$22:$Z$22, MATCH(INDEX($AA:$AA, COLUMN(N1)+1),
                    '3. Gezinshuis producten'!$N$15:$S$15, 0) + 1
            ),
        IF(
            INDEX($AB:$AB, COLUMN(N1)+1) = "4. Pleegzorg producten",
                 INDEX('4. Pleegzorg producten'!$A:$Y, 24,
            13 + 3 * (INDEX($AC:$AC, COLUMN(N1)+1) - 1)) +
                 INDEX('4. Pleegzorg producten'!$A:$Y, 25,
            13 + 3 * (INDEX($AC:$AC, COLUMN(N1)+1) - 1)),
            ""
        )
    )
)</f>
        <v/>
      </c>
      <c r="Q11" s="198" t="str">
        <f>IF(
    INDEX($AB:$AB, COLUMN(O1)+1) = "1a. Input organisatieniveau",
        INDEX('2. Output kostprijs'!$A:$Z, 32,
            5 + 2 * (INDEX($AC:$AC, COLUMN(O1)+1) - 1)
        ),
    IF(
        INDEX($AB:$AB, COLUMN(O1)+1) = "3. Gezinshuis producten",
            INDEX('3. Gezinshuis producten'!$N$22:$Z$22, MATCH(INDEX($AA:$AA, COLUMN(O1)+1),
                    '3. Gezinshuis producten'!$N$15:$S$15, 0) + 1
            ),
        IF(
            INDEX($AB:$AB, COLUMN(O1)+1) = "4. Pleegzorg producten",
                 INDEX('4. Pleegzorg producten'!$A:$Y, 24,
            13 + 3 * (INDEX($AC:$AC, COLUMN(O1)+1) - 1)) +
                 INDEX('4. Pleegzorg producten'!$A:$Y, 25,
            13 + 3 * (INDEX($AC:$AC, COLUMN(O1)+1) - 1)),
            ""
        )
    )
)</f>
        <v/>
      </c>
      <c r="R11" s="198" t="str">
        <f>IF(
    INDEX($AB:$AB, COLUMN(P1)+1) = "1a. Input organisatieniveau",
        INDEX('2. Output kostprijs'!$A:$Z, 32,
            5 + 2 * (INDEX($AC:$AC, COLUMN(P1)+1) - 1)
        ),
    IF(
        INDEX($AB:$AB, COLUMN(P1)+1) = "3. Gezinshuis producten",
            INDEX('3. Gezinshuis producten'!$N$22:$Z$22, MATCH(INDEX($AA:$AA, COLUMN(P1)+1),
                    '3. Gezinshuis producten'!$N$15:$S$15, 0) + 1
            ),
        IF(
            INDEX($AB:$AB, COLUMN(P1)+1) = "4. Pleegzorg producten",
                 INDEX('4. Pleegzorg producten'!$A:$Y, 24,
            13 + 3 * (INDEX($AC:$AC, COLUMN(P1)+1) - 1)) +
                 INDEX('4. Pleegzorg producten'!$A:$Y, 25,
            13 + 3 * (INDEX($AC:$AC, COLUMN(P1)+1) - 1)),
            ""
        )
    )
)</f>
        <v/>
      </c>
      <c r="S11" s="233" t="str">
        <f>IF(
    INDEX($AB:$AB, COLUMN(Q1)+1) = "1a. Input organisatieniveau",
        INDEX('2. Output kostprijs'!$A:$Z, 32,
            5 + 2 * (INDEX($AC:$AC, COLUMN(Q1)+1) - 1)
        ),
    IF(
        INDEX($AB:$AB, COLUMN(Q1)+1) = "3. Gezinshuis producten",
            INDEX('3. Gezinshuis producten'!$N$22:$Z$22, MATCH(INDEX($AA:$AA, COLUMN(Q1)+1),
                    '3. Gezinshuis producten'!$N$15:$S$15, 0) + 1
            ),
        IF(
            INDEX($AB:$AB, COLUMN(Q1)+1) = "4. Pleegzorg producten",
                 INDEX('4. Pleegzorg producten'!$A:$Y, 24,
            13 + 3 * (INDEX($AC:$AC, COLUMN(Q1)+1) - 1)) +
                 INDEX('4. Pleegzorg producten'!$A:$Y, 25,
            13 + 3 * (INDEX($AC:$AC, COLUMN(Q1)+1) - 1)),
            ""
        )
    )
)</f>
        <v/>
      </c>
      <c r="AA11" t="str">
        <f t="array" ref="AA11">IFERROR(
  IF(
    ROW(A10) &lt;= SUMPRODUCT(--('Hulp (control forms)'!$G$13:$G$52)),
      IF(
        INDEX(Initialisatie!B$10:B$49,
          SMALL(
            IF('Hulp (control forms)'!$G$13:$G$52=TRUE,
               ROW(Initialisatie!B$10:B$49)-ROW(Initialisatie!B$10)+1),
            ROW(A10)
          )
        )="","",
        INDEX(Initialisatie!B$10:B$49,
          SMALL(
            IF('Hulp (control forms)'!$G$13:$G$52=TRUE,
               ROW(Initialisatie!B$10:B$49)-ROW(Initialisatie!B$10)+1),
            ROW(A10)
          )
        )
      ),
    IFERROR(
      INDEX(
        '3. Gezinshuis producten'!E$7:E$9,
        SMALL(
          IF('Hulp (control forms)'!$F$6:$F$8=TRUE,
             ROW('3. Gezinshuis producten'!E$7:E$9)-ROW('3. Gezinshuis producten'!E$7)+1),
          ROW(A10) - SUMPRODUCT(--('Hulp (control forms)'!$G$13:$G$52))
        )
      ),
      IF(
        ROW(A10)
         - SUMPRODUCT(--('Hulp (control forms)'!$G$13:$G$52))
         - SUMPRODUCT(--('Hulp (control forms)'!$F$6:$F$8)) = 1,
        IF('4. Pleegzorg producten'!$M$26&lt;&gt;"",
           "Voltijd",
           IF('4. Pleegzorg producten'!$P$26&lt;&gt;"","Deeltijd","")
        ),
        IF(
          ROW(A10)
           - SUMPRODUCT(--('Hulp (control forms)'!$G$13:$G$52))
           - SUMPRODUCT(--('Hulp (control forms)'!$F$6:$F$8)) = 2,
          IF( AND('4. Pleegzorg producten'!$M$26&lt;&gt;"", '4. Pleegzorg producten'!$P$26&lt;&gt;"" ),
             "Deeltijd",
             ""
          ),
          ""
        )
      )
    )
  ),
"")</f>
        <v/>
      </c>
      <c r="AB11" t="str">
        <f t="array" ref="AB11">IF(
  ROW(A10) &lt;= SUMPRODUCT(--('Hulp (control forms)'!$G$13:$G$52)),
      "1a. Input organisatieniveau",
  IF(
    ROW(A10) - SUMPRODUCT(--('Hulp (control forms)'!$G$13:$G$52))
      &lt;= SUMPRODUCT(--('Hulp (control forms)'!$F$6:$F$8)),
        "3. Gezinshuis producten",
    IF(
      (ROW(A10)
        - SUMPRODUCT(--('Hulp (control forms)'!$G$13:$G$52))
        - SUMPRODUCT(--('Hulp (control forms)'!$F$6:$F$8)))
        &lt;= SUMPRODUCT(--('4. Pleegzorg producten'!$M$26&lt;&gt;"") + --('4. Pleegzorg producten'!$P$26&lt;&gt;"")),
          "4. Pleegzorg producten",
          ""
    )
  )
)</f>
        <v/>
      </c>
      <c r="AC11" t="str">
        <f t="array" ref="AC11">IF(
  ROW(A10) &lt;= SUMPRODUCT(--('Hulp (control forms)'!$G$13:$G$52)),
      ROW(A10),
  IF(
    ROW(A10) - SUMPRODUCT(--('Hulp (control forms)'!$G$13:$G$52))
      &lt;= SUMPRODUCT(--('Hulp (control forms)'!$F$6:$F$8)),
        ROW(A10) - SUMPRODUCT(--('Hulp (control forms)'!$G$13:$G$52)),
    IF(
      (ROW(A10)
        - SUMPRODUCT(--('Hulp (control forms)'!$G$13:$G$52))
        - SUMPRODUCT(--('Hulp (control forms)'!$F$6:$F$8)))
        &lt;= SUMPRODUCT(--('4. Pleegzorg producten'!$M$26&lt;&gt;"") + --('4. Pleegzorg producten'!$P$26&lt;&gt;"")),
        ROW(A10)
        - SUMPRODUCT(--('Hulp (control forms)'!$G$13:$G$52))
        - SUMPRODUCT(--('Hulp (control forms)'!$F$6:$F$8)),
        ""
    )
  )
)</f>
        <v/>
      </c>
    </row>
    <row r="12" spans="2:29" x14ac:dyDescent="0.45">
      <c r="B12" s="23" t="s">
        <v>769</v>
      </c>
      <c r="C12" s="198" t="str">
        <f>IF(
    INDEX($AB:$AB, COLUMN(A1)+1) = "1a. Input organisatieniveau",
        INDEX('2. Output kostprijs'!$A:$Z, 35,
            5 + 2 * (INDEX($AC:$AC, COLUMN(A1)+1) - 1)
        ),
    IF(
        INDEX($AB:$AB, COLUMN(A1)+1) = "3. Gezinshuis producten",
            "",
        IF(
            INDEX($AB:$AB, COLUMN(A1)+1) = "4. Pleegzorg producten",
                 "",
            ""
        )
    )
)</f>
        <v/>
      </c>
      <c r="D12" s="198" t="str">
        <f>IF(
    INDEX($AB:$AB, COLUMN(B1)+1) = "1a. Input organisatieniveau",
        INDEX('2. Output kostprijs'!$A:$Z, 35,
            5 + 2 * (INDEX($AC:$AC, COLUMN(B1)+1) - 1)
        ),
    IF(
        INDEX($AB:$AB, COLUMN(B1)+1) = "3. Gezinshuis producten",
            "",
        IF(
            INDEX($AB:$AB, COLUMN(B1)+1) = "4. Pleegzorg producten",
                 "",
            ""
        )
    )
)</f>
        <v/>
      </c>
      <c r="E12" s="198" t="str">
        <f>IF(
    INDEX($AB:$AB, COLUMN(C1)+1) = "1a. Input organisatieniveau",
        INDEX('2. Output kostprijs'!$A:$Z, 35,
            5 + 2 * (INDEX($AC:$AC, COLUMN(C1)+1) - 1)
        ),
    IF(
        INDEX($AB:$AB, COLUMN(C1)+1) = "3. Gezinshuis producten",
            "",
        IF(
            INDEX($AB:$AB, COLUMN(C1)+1) = "4. Pleegzorg producten",
                 "",
            ""
        )
    )
)</f>
        <v/>
      </c>
      <c r="F12" s="198" t="str">
        <f>IF(
    INDEX($AB:$AB, COLUMN(D1)+1) = "1a. Input organisatieniveau",
        INDEX('2. Output kostprijs'!$A:$Z, 35,
            5 + 2 * (INDEX($AC:$AC, COLUMN(D1)+1) - 1)
        ),
    IF(
        INDEX($AB:$AB, COLUMN(D1)+1) = "3. Gezinshuis producten",
            "",
        IF(
            INDEX($AB:$AB, COLUMN(D1)+1) = "4. Pleegzorg producten",
                 "",
            ""
        )
    )
)</f>
        <v/>
      </c>
      <c r="G12" s="198" t="str">
        <f>IF(
    INDEX($AB:$AB, COLUMN(E1)+1) = "1a. Input organisatieniveau",
        INDEX('2. Output kostprijs'!$A:$Z, 35,
            5 + 2 * (INDEX($AC:$AC, COLUMN(E1)+1) - 1)
        ),
    IF(
        INDEX($AB:$AB, COLUMN(E1)+1) = "3. Gezinshuis producten",
            "",
        IF(
            INDEX($AB:$AB, COLUMN(E1)+1) = "4. Pleegzorg producten",
                 "",
            ""
        )
    )
)</f>
        <v/>
      </c>
      <c r="H12" s="198" t="str">
        <f>IF(
    INDEX($AB:$AB, COLUMN(F1)+1) = "1a. Input organisatieniveau",
        INDEX('2. Output kostprijs'!$A:$Z, 35,
            5 + 2 * (INDEX($AC:$AC, COLUMN(F1)+1) - 1)
        ),
    IF(
        INDEX($AB:$AB, COLUMN(F1)+1) = "3. Gezinshuis producten",
            "",
        IF(
            INDEX($AB:$AB, COLUMN(F1)+1) = "4. Pleegzorg producten",
                 "",
            ""
        )
    )
)</f>
        <v/>
      </c>
      <c r="I12" s="198" t="str">
        <f>IF(
    INDEX($AB:$AB, COLUMN(G1)+1) = "1a. Input organisatieniveau",
        INDEX('2. Output kostprijs'!$A:$Z, 35,
            5 + 2 * (INDEX($AC:$AC, COLUMN(G1)+1) - 1)
        ),
    IF(
        INDEX($AB:$AB, COLUMN(G1)+1) = "3. Gezinshuis producten",
            "",
        IF(
            INDEX($AB:$AB, COLUMN(G1)+1) = "4. Pleegzorg producten",
                 "",
            ""
        )
    )
)</f>
        <v/>
      </c>
      <c r="J12" s="198" t="str">
        <f>IF(
    INDEX($AB:$AB, COLUMN(H1)+1) = "1a. Input organisatieniveau",
        INDEX('2. Output kostprijs'!$A:$Z, 35,
            5 + 2 * (INDEX($AC:$AC, COLUMN(H1)+1) - 1)
        ),
    IF(
        INDEX($AB:$AB, COLUMN(H1)+1) = "3. Gezinshuis producten",
            "",
        IF(
            INDEX($AB:$AB, COLUMN(H1)+1) = "4. Pleegzorg producten",
                 "",
            ""
        )
    )
)</f>
        <v/>
      </c>
      <c r="K12" s="198" t="str">
        <f>IF(
    INDEX($AB:$AB, COLUMN(I1)+1) = "1a. Input organisatieniveau",
        INDEX('2. Output kostprijs'!$A:$Z, 35,
            5 + 2 * (INDEX($AC:$AC, COLUMN(I1)+1) - 1)
        ),
    IF(
        INDEX($AB:$AB, COLUMN(I1)+1) = "3. Gezinshuis producten",
            "",
        IF(
            INDEX($AB:$AB, COLUMN(I1)+1) = "4. Pleegzorg producten",
                 "",
            ""
        )
    )
)</f>
        <v/>
      </c>
      <c r="L12" s="198" t="str">
        <f>IF(
    INDEX($AB:$AB, COLUMN(J1)+1) = "1a. Input organisatieniveau",
        INDEX('2. Output kostprijs'!$A:$Z, 35,
            5 + 2 * (INDEX($AC:$AC, COLUMN(J1)+1) - 1)
        ),
    IF(
        INDEX($AB:$AB, COLUMN(J1)+1) = "3. Gezinshuis producten",
            "",
        IF(
            INDEX($AB:$AB, COLUMN(J1)+1) = "4. Pleegzorg producten",
                 "",
            ""
        )
    )
)</f>
        <v/>
      </c>
      <c r="M12" s="198" t="str">
        <f>IF(
    INDEX($AB:$AB, COLUMN(K1)+1) = "1a. Input organisatieniveau",
        INDEX('2. Output kostprijs'!$A:$Z, 35,
            5 + 2 * (INDEX($AC:$AC, COLUMN(K1)+1) - 1)
        ),
    IF(
        INDEX($AB:$AB, COLUMN(K1)+1) = "3. Gezinshuis producten",
            "",
        IF(
            INDEX($AB:$AB, COLUMN(K1)+1) = "4. Pleegzorg producten",
                 "",
            ""
        )
    )
)</f>
        <v/>
      </c>
      <c r="N12" s="198" t="str">
        <f>IF(
    INDEX($AB:$AB, COLUMN(L1)+1) = "1a. Input organisatieniveau",
        INDEX('2. Output kostprijs'!$A:$Z, 35,
            5 + 2 * (INDEX($AC:$AC, COLUMN(L1)+1) - 1)
        ),
    IF(
        INDEX($AB:$AB, COLUMN(L1)+1) = "3. Gezinshuis producten",
            "",
        IF(
            INDEX($AB:$AB, COLUMN(L1)+1) = "4. Pleegzorg producten",
                 "",
            ""
        )
    )
)</f>
        <v/>
      </c>
      <c r="O12" s="198" t="str">
        <f>IF(
    INDEX($AB:$AB, COLUMN(M1)+1) = "1a. Input organisatieniveau",
        INDEX('2. Output kostprijs'!$A:$Z, 35,
            5 + 2 * (INDEX($AC:$AC, COLUMN(M1)+1) - 1)
        ),
    IF(
        INDEX($AB:$AB, COLUMN(M1)+1) = "3. Gezinshuis producten",
            "",
        IF(
            INDEX($AB:$AB, COLUMN(M1)+1) = "4. Pleegzorg producten",
                 "",
            ""
        )
    )
)</f>
        <v/>
      </c>
      <c r="P12" s="198" t="str">
        <f>IF(
    INDEX($AB:$AB, COLUMN(N1)+1) = "1a. Input organisatieniveau",
        INDEX('2. Output kostprijs'!$A:$Z, 35,
            5 + 2 * (INDEX($AC:$AC, COLUMN(N1)+1) - 1)
        ),
    IF(
        INDEX($AB:$AB, COLUMN(N1)+1) = "3. Gezinshuis producten",
            "",
        IF(
            INDEX($AB:$AB, COLUMN(N1)+1) = "4. Pleegzorg producten",
                 "",
            ""
        )
    )
)</f>
        <v/>
      </c>
      <c r="Q12" s="198" t="str">
        <f>IF(
    INDEX($AB:$AB, COLUMN(O1)+1) = "1a. Input organisatieniveau",
        INDEX('2. Output kostprijs'!$A:$Z, 35,
            5 + 2 * (INDEX($AC:$AC, COLUMN(O1)+1) - 1)
        ),
    IF(
        INDEX($AB:$AB, COLUMN(O1)+1) = "3. Gezinshuis producten",
            "",
        IF(
            INDEX($AB:$AB, COLUMN(O1)+1) = "4. Pleegzorg producten",
                 "",
            ""
        )
    )
)</f>
        <v/>
      </c>
      <c r="R12" s="198" t="str">
        <f>IF(
    INDEX($AB:$AB, COLUMN(P1)+1) = "1a. Input organisatieniveau",
        INDEX('2. Output kostprijs'!$A:$Z, 35,
            5 + 2 * (INDEX($AC:$AC, COLUMN(P1)+1) - 1)
        ),
    IF(
        INDEX($AB:$AB, COLUMN(P1)+1) = "3. Gezinshuis producten",
            "",
        IF(
            INDEX($AB:$AB, COLUMN(P1)+1) = "4. Pleegzorg producten",
                 "",
            ""
        )
    )
)</f>
        <v/>
      </c>
      <c r="S12" s="233" t="str">
        <f>IF(
    INDEX($AB:$AB, COLUMN(Q1)+1) = "1a. Input organisatieniveau",
        INDEX('2. Output kostprijs'!$A:$Z, 35,
            5 + 2 * (INDEX($AC:$AC, COLUMN(Q1)+1) - 1)
        ),
    IF(
        INDEX($AB:$AB, COLUMN(Q1)+1) = "3. Gezinshuis producten",
            "",
        IF(
            INDEX($AB:$AB, COLUMN(Q1)+1) = "4. Pleegzorg producten",
                 "",
            ""
        )
    )
)</f>
        <v/>
      </c>
      <c r="AA12" t="str">
        <f t="array" ref="AA12">IFERROR(
  IF(
    ROW(A11) &lt;= SUMPRODUCT(--('Hulp (control forms)'!$G$13:$G$52)),
      IF(
        INDEX(Initialisatie!B$10:B$49,
          SMALL(
            IF('Hulp (control forms)'!$G$13:$G$52=TRUE,
               ROW(Initialisatie!B$10:B$49)-ROW(Initialisatie!B$10)+1),
            ROW(A11)
          )
        )="","",
        INDEX(Initialisatie!B$10:B$49,
          SMALL(
            IF('Hulp (control forms)'!$G$13:$G$52=TRUE,
               ROW(Initialisatie!B$10:B$49)-ROW(Initialisatie!B$10)+1),
            ROW(A11)
          )
        )
      ),
    IFERROR(
      INDEX(
        '3. Gezinshuis producten'!E$7:E$9,
        SMALL(
          IF('Hulp (control forms)'!$F$6:$F$8=TRUE,
             ROW('3. Gezinshuis producten'!E$7:E$9)-ROW('3. Gezinshuis producten'!E$7)+1),
          ROW(A11) - SUMPRODUCT(--('Hulp (control forms)'!$G$13:$G$52))
        )
      ),
      IF(
        ROW(A11)
         - SUMPRODUCT(--('Hulp (control forms)'!$G$13:$G$52))
         - SUMPRODUCT(--('Hulp (control forms)'!$F$6:$F$8)) = 1,
        IF('4. Pleegzorg producten'!$M$26&lt;&gt;"",
           "Voltijd",
           IF('4. Pleegzorg producten'!$P$26&lt;&gt;"","Deeltijd","")
        ),
        IF(
          ROW(A11)
           - SUMPRODUCT(--('Hulp (control forms)'!$G$13:$G$52))
           - SUMPRODUCT(--('Hulp (control forms)'!$F$6:$F$8)) = 2,
          IF( AND('4. Pleegzorg producten'!$M$26&lt;&gt;"", '4. Pleegzorg producten'!$P$26&lt;&gt;"" ),
             "Deeltijd",
             ""
          ),
          ""
        )
      )
    )
  ),
"")</f>
        <v/>
      </c>
      <c r="AB12" t="str">
        <f t="array" ref="AB12">IF(
  ROW(A11) &lt;= SUMPRODUCT(--('Hulp (control forms)'!$G$13:$G$52)),
      "1a. Input organisatieniveau",
  IF(
    ROW(A11) - SUMPRODUCT(--('Hulp (control forms)'!$G$13:$G$52))
      &lt;= SUMPRODUCT(--('Hulp (control forms)'!$F$6:$F$8)),
        "3. Gezinshuis producten",
    IF(
      (ROW(A11)
        - SUMPRODUCT(--('Hulp (control forms)'!$G$13:$G$52))
        - SUMPRODUCT(--('Hulp (control forms)'!$F$6:$F$8)))
        &lt;= SUMPRODUCT(--('4. Pleegzorg producten'!$M$26&lt;&gt;"") + --('4. Pleegzorg producten'!$P$26&lt;&gt;"")),
          "4. Pleegzorg producten",
          ""
    )
  )
)</f>
        <v/>
      </c>
      <c r="AC12" t="str">
        <f t="array" ref="AC12">IF(
  ROW(A11) &lt;= SUMPRODUCT(--('Hulp (control forms)'!$G$13:$G$52)),
      ROW(A11),
  IF(
    ROW(A11) - SUMPRODUCT(--('Hulp (control forms)'!$G$13:$G$52))
      &lt;= SUMPRODUCT(--('Hulp (control forms)'!$F$6:$F$8)),
        ROW(A11) - SUMPRODUCT(--('Hulp (control forms)'!$G$13:$G$52)),
    IF(
      (ROW(A11)
        - SUMPRODUCT(--('Hulp (control forms)'!$G$13:$G$52))
        - SUMPRODUCT(--('Hulp (control forms)'!$F$6:$F$8)))
        &lt;= SUMPRODUCT(--('4. Pleegzorg producten'!$M$26&lt;&gt;"") + --('4. Pleegzorg producten'!$P$26&lt;&gt;"")),
        ROW(A11)
        - SUMPRODUCT(--('Hulp (control forms)'!$G$13:$G$52))
        - SUMPRODUCT(--('Hulp (control forms)'!$F$6:$F$8)),
        ""
    )
  )
)</f>
        <v/>
      </c>
    </row>
    <row r="13" spans="2:29" x14ac:dyDescent="0.45">
      <c r="B13" s="23" t="s">
        <v>797</v>
      </c>
      <c r="C13" s="198" t="str">
        <f>IF(
    INDEX($AB:$AB, COLUMN(A1)+1) = "1a. Input organisatieniveau",
        INDEX('2. Output kostprijs'!$A:$Z, 40,
            5 + 2 * (INDEX($AC:$AC, COLUMN(A1)+1) - 1)
        ),
    IF(
        INDEX($AB:$AB, COLUMN(A1)+1) = "3. Gezinshuis producten",
            "",
        IF(
            INDEX($AB:$AB, COLUMN(A1)+1) = "4. Pleegzorg producten",
                 "",
            ""
        )
    )
)</f>
        <v/>
      </c>
      <c r="D13" s="198" t="str">
        <f>IF(
    INDEX($AB:$AB, COLUMN(B1)+1) = "1a. Input organisatieniveau",
        INDEX('2. Output kostprijs'!$A:$Z, 40,
            5 + 2 * (INDEX($AC:$AC, COLUMN(B1)+1) - 1)
        ),
    IF(
        INDEX($AB:$AB, COLUMN(B1)+1) = "3. Gezinshuis producten",
            "",
        IF(
            INDEX($AB:$AB, COLUMN(B1)+1) = "4. Pleegzorg producten",
                 "",
            ""
        )
    )
)</f>
        <v/>
      </c>
      <c r="E13" s="198" t="str">
        <f>IF(
    INDEX($AB:$AB, COLUMN(C1)+1) = "1a. Input organisatieniveau",
        INDEX('2. Output kostprijs'!$A:$Z, 40,
            5 + 2 * (INDEX($AC:$AC, COLUMN(C1)+1) - 1)
        ),
    IF(
        INDEX($AB:$AB, COLUMN(C1)+1) = "3. Gezinshuis producten",
            "",
        IF(
            INDEX($AB:$AB, COLUMN(C1)+1) = "4. Pleegzorg producten",
                 "",
            ""
        )
    )
)</f>
        <v/>
      </c>
      <c r="F13" s="198" t="str">
        <f>IF(
    INDEX($AB:$AB, COLUMN(D1)+1) = "1a. Input organisatieniveau",
        INDEX('2. Output kostprijs'!$A:$Z, 40,
            5 + 2 * (INDEX($AC:$AC, COLUMN(D1)+1) - 1)
        ),
    IF(
        INDEX($AB:$AB, COLUMN(D1)+1) = "3. Gezinshuis producten",
            "",
        IF(
            INDEX($AB:$AB, COLUMN(D1)+1) = "4. Pleegzorg producten",
                 "",
            ""
        )
    )
)</f>
        <v/>
      </c>
      <c r="G13" s="198" t="str">
        <f>IF(
    INDEX($AB:$AB, COLUMN(E1)+1) = "1a. Input organisatieniveau",
        INDEX('2. Output kostprijs'!$A:$Z, 40,
            5 + 2 * (INDEX($AC:$AC, COLUMN(E1)+1) - 1)
        ),
    IF(
        INDEX($AB:$AB, COLUMN(E1)+1) = "3. Gezinshuis producten",
            "",
        IF(
            INDEX($AB:$AB, COLUMN(E1)+1) = "4. Pleegzorg producten",
                 "",
            ""
        )
    )
)</f>
        <v/>
      </c>
      <c r="H13" s="198" t="str">
        <f>IF(
    INDEX($AB:$AB, COLUMN(F1)+1) = "1a. Input organisatieniveau",
        INDEX('2. Output kostprijs'!$A:$Z, 40,
            5 + 2 * (INDEX($AC:$AC, COLUMN(F1)+1) - 1)
        ),
    IF(
        INDEX($AB:$AB, COLUMN(F1)+1) = "3. Gezinshuis producten",
            "",
        IF(
            INDEX($AB:$AB, COLUMN(F1)+1) = "4. Pleegzorg producten",
                 "",
            ""
        )
    )
)</f>
        <v/>
      </c>
      <c r="I13" s="198" t="str">
        <f>IF(
    INDEX($AB:$AB, COLUMN(G1)+1) = "1a. Input organisatieniveau",
        INDEX('2. Output kostprijs'!$A:$Z, 40,
            5 + 2 * (INDEX($AC:$AC, COLUMN(G1)+1) - 1)
        ),
    IF(
        INDEX($AB:$AB, COLUMN(G1)+1) = "3. Gezinshuis producten",
            "",
        IF(
            INDEX($AB:$AB, COLUMN(G1)+1) = "4. Pleegzorg producten",
                 "",
            ""
        )
    )
)</f>
        <v/>
      </c>
      <c r="J13" s="198" t="str">
        <f>IF(
    INDEX($AB:$AB, COLUMN(H1)+1) = "1a. Input organisatieniveau",
        INDEX('2. Output kostprijs'!$A:$Z, 40,
            5 + 2 * (INDEX($AC:$AC, COLUMN(H1)+1) - 1)
        ),
    IF(
        INDEX($AB:$AB, COLUMN(H1)+1) = "3. Gezinshuis producten",
            "",
        IF(
            INDEX($AB:$AB, COLUMN(H1)+1) = "4. Pleegzorg producten",
                 "",
            ""
        )
    )
)</f>
        <v/>
      </c>
      <c r="K13" s="198" t="str">
        <f>IF(
    INDEX($AB:$AB, COLUMN(I1)+1) = "1a. Input organisatieniveau",
        INDEX('2. Output kostprijs'!$A:$Z, 40,
            5 + 2 * (INDEX($AC:$AC, COLUMN(I1)+1) - 1)
        ),
    IF(
        INDEX($AB:$AB, COLUMN(I1)+1) = "3. Gezinshuis producten",
            "",
        IF(
            INDEX($AB:$AB, COLUMN(I1)+1) = "4. Pleegzorg producten",
                 "",
            ""
        )
    )
)</f>
        <v/>
      </c>
      <c r="L13" s="198" t="str">
        <f>IF(
    INDEX($AB:$AB, COLUMN(J1)+1) = "1a. Input organisatieniveau",
        INDEX('2. Output kostprijs'!$A:$Z, 40,
            5 + 2 * (INDEX($AC:$AC, COLUMN(J1)+1) - 1)
        ),
    IF(
        INDEX($AB:$AB, COLUMN(J1)+1) = "3. Gezinshuis producten",
            "",
        IF(
            INDEX($AB:$AB, COLUMN(J1)+1) = "4. Pleegzorg producten",
                 "",
            ""
        )
    )
)</f>
        <v/>
      </c>
      <c r="M13" s="198" t="str">
        <f>IF(
    INDEX($AB:$AB, COLUMN(K1)+1) = "1a. Input organisatieniveau",
        INDEX('2. Output kostprijs'!$A:$Z, 40,
            5 + 2 * (INDEX($AC:$AC, COLUMN(K1)+1) - 1)
        ),
    IF(
        INDEX($AB:$AB, COLUMN(K1)+1) = "3. Gezinshuis producten",
            "",
        IF(
            INDEX($AB:$AB, COLUMN(K1)+1) = "4. Pleegzorg producten",
                 "",
            ""
        )
    )
)</f>
        <v/>
      </c>
      <c r="N13" s="198" t="str">
        <f>IF(
    INDEX($AB:$AB, COLUMN(L1)+1) = "1a. Input organisatieniveau",
        INDEX('2. Output kostprijs'!$A:$Z, 40,
            5 + 2 * (INDEX($AC:$AC, COLUMN(L1)+1) - 1)
        ),
    IF(
        INDEX($AB:$AB, COLUMN(L1)+1) = "3. Gezinshuis producten",
            "",
        IF(
            INDEX($AB:$AB, COLUMN(L1)+1) = "4. Pleegzorg producten",
                 "",
            ""
        )
    )
)</f>
        <v/>
      </c>
      <c r="O13" s="198" t="str">
        <f>IF(
    INDEX($AB:$AB, COLUMN(M1)+1) = "1a. Input organisatieniveau",
        INDEX('2. Output kostprijs'!$A:$Z, 40,
            5 + 2 * (INDEX($AC:$AC, COLUMN(M1)+1) - 1)
        ),
    IF(
        INDEX($AB:$AB, COLUMN(M1)+1) = "3. Gezinshuis producten",
            "",
        IF(
            INDEX($AB:$AB, COLUMN(M1)+1) = "4. Pleegzorg producten",
                 "",
            ""
        )
    )
)</f>
        <v/>
      </c>
      <c r="P13" s="198" t="str">
        <f>IF(
    INDEX($AB:$AB, COLUMN(N1)+1) = "1a. Input organisatieniveau",
        INDEX('2. Output kostprijs'!$A:$Z, 40,
            5 + 2 * (INDEX($AC:$AC, COLUMN(N1)+1) - 1)
        ),
    IF(
        INDEX($AB:$AB, COLUMN(N1)+1) = "3. Gezinshuis producten",
            "",
        IF(
            INDEX($AB:$AB, COLUMN(N1)+1) = "4. Pleegzorg producten",
                 "",
            ""
        )
    )
)</f>
        <v/>
      </c>
      <c r="Q13" s="198" t="str">
        <f>IF(
    INDEX($AB:$AB, COLUMN(O1)+1) = "1a. Input organisatieniveau",
        INDEX('2. Output kostprijs'!$A:$Z, 40,
            5 + 2 * (INDEX($AC:$AC, COLUMN(O1)+1) - 1)
        ),
    IF(
        INDEX($AB:$AB, COLUMN(O1)+1) = "3. Gezinshuis producten",
            "",
        IF(
            INDEX($AB:$AB, COLUMN(O1)+1) = "4. Pleegzorg producten",
                 "",
            ""
        )
    )
)</f>
        <v/>
      </c>
      <c r="R13" s="198" t="str">
        <f>IF(
    INDEX($AB:$AB, COLUMN(P1)+1) = "1a. Input organisatieniveau",
        INDEX('2. Output kostprijs'!$A:$Z, 40,
            5 + 2 * (INDEX($AC:$AC, COLUMN(P1)+1) - 1)
        ),
    IF(
        INDEX($AB:$AB, COLUMN(P1)+1) = "3. Gezinshuis producten",
            "",
        IF(
            INDEX($AB:$AB, COLUMN(P1)+1) = "4. Pleegzorg producten",
                 "",
            ""
        )
    )
)</f>
        <v/>
      </c>
      <c r="S13" s="233" t="str">
        <f>IF(
    INDEX($AB:$AB, COLUMN(Q1)+1) = "1a. Input organisatieniveau",
        INDEX('2. Output kostprijs'!$A:$Z, 40,
            5 + 2 * (INDEX($AC:$AC, COLUMN(Q1)+1) - 1)
        ),
    IF(
        INDEX($AB:$AB, COLUMN(Q1)+1) = "3. Gezinshuis producten",
            "",
        IF(
            INDEX($AB:$AB, COLUMN(Q1)+1) = "4. Pleegzorg producten",
                 "",
            ""
        )
    )
)</f>
        <v/>
      </c>
      <c r="AA13" t="str">
        <f t="array" ref="AA13">IFERROR(
  IF(
    ROW(A12) &lt;= SUMPRODUCT(--('Hulp (control forms)'!$G$13:$G$52)),
      IF(
        INDEX(Initialisatie!B$10:B$49,
          SMALL(
            IF('Hulp (control forms)'!$G$13:$G$52=TRUE,
               ROW(Initialisatie!B$10:B$49)-ROW(Initialisatie!B$10)+1),
            ROW(A12)
          )
        )="","",
        INDEX(Initialisatie!B$10:B$49,
          SMALL(
            IF('Hulp (control forms)'!$G$13:$G$52=TRUE,
               ROW(Initialisatie!B$10:B$49)-ROW(Initialisatie!B$10)+1),
            ROW(A12)
          )
        )
      ),
    IFERROR(
      INDEX(
        '3. Gezinshuis producten'!E$7:E$9,
        SMALL(
          IF('Hulp (control forms)'!$F$6:$F$8=TRUE,
             ROW('3. Gezinshuis producten'!E$7:E$9)-ROW('3. Gezinshuis producten'!E$7)+1),
          ROW(A12) - SUMPRODUCT(--('Hulp (control forms)'!$G$13:$G$52))
        )
      ),
      IF(
        ROW(A12)
         - SUMPRODUCT(--('Hulp (control forms)'!$G$13:$G$52))
         - SUMPRODUCT(--('Hulp (control forms)'!$F$6:$F$8)) = 1,
        IF('4. Pleegzorg producten'!$M$26&lt;&gt;"",
           "Voltijd",
           IF('4. Pleegzorg producten'!$P$26&lt;&gt;"","Deeltijd","")
        ),
        IF(
          ROW(A12)
           - SUMPRODUCT(--('Hulp (control forms)'!$G$13:$G$52))
           - SUMPRODUCT(--('Hulp (control forms)'!$F$6:$F$8)) = 2,
          IF( AND('4. Pleegzorg producten'!$M$26&lt;&gt;"", '4. Pleegzorg producten'!$P$26&lt;&gt;"" ),
             "Deeltijd",
             ""
          ),
          ""
        )
      )
    )
  ),
"")</f>
        <v/>
      </c>
      <c r="AB13" t="str">
        <f t="array" ref="AB13">IF(
  ROW(A12) &lt;= SUMPRODUCT(--('Hulp (control forms)'!$G$13:$G$52)),
      "1a. Input organisatieniveau",
  IF(
    ROW(A12) - SUMPRODUCT(--('Hulp (control forms)'!$G$13:$G$52))
      &lt;= SUMPRODUCT(--('Hulp (control forms)'!$F$6:$F$8)),
        "3. Gezinshuis producten",
    IF(
      (ROW(A12)
        - SUMPRODUCT(--('Hulp (control forms)'!$G$13:$G$52))
        - SUMPRODUCT(--('Hulp (control forms)'!$F$6:$F$8)))
        &lt;= SUMPRODUCT(--('4. Pleegzorg producten'!$M$26&lt;&gt;"") + --('4. Pleegzorg producten'!$P$26&lt;&gt;"")),
          "4. Pleegzorg producten",
          ""
    )
  )
)</f>
        <v/>
      </c>
      <c r="AC13" t="str">
        <f t="array" ref="AC13">IF(
  ROW(A12) &lt;= SUMPRODUCT(--('Hulp (control forms)'!$G$13:$G$52)),
      ROW(A12),
  IF(
    ROW(A12) - SUMPRODUCT(--('Hulp (control forms)'!$G$13:$G$52))
      &lt;= SUMPRODUCT(--('Hulp (control forms)'!$F$6:$F$8)),
        ROW(A12) - SUMPRODUCT(--('Hulp (control forms)'!$G$13:$G$52)),
    IF(
      (ROW(A12)
        - SUMPRODUCT(--('Hulp (control forms)'!$G$13:$G$52))
        - SUMPRODUCT(--('Hulp (control forms)'!$F$6:$F$8)))
        &lt;= SUMPRODUCT(--('4. Pleegzorg producten'!$M$26&lt;&gt;"") + --('4. Pleegzorg producten'!$P$26&lt;&gt;"")),
        ROW(A12)
        - SUMPRODUCT(--('Hulp (control forms)'!$G$13:$G$52))
        - SUMPRODUCT(--('Hulp (control forms)'!$F$6:$F$8)),
        ""
    )
  )
)</f>
        <v/>
      </c>
    </row>
    <row r="14" spans="2:29" x14ac:dyDescent="0.45">
      <c r="B14" s="23" t="s">
        <v>783</v>
      </c>
      <c r="C14" s="198" t="str">
        <f>IF(
    INDEX($AB:$AB, COLUMN(A1)+1) = "1a. Input organisatieniveau",
        INDEX('2. Output kostprijs'!$A:$Z, 47,
            4 + 2 * (INDEX($AC:$AC, COLUMN(A1)+1) - 1)
        ),
    IF(
        INDEX($AB:$AB, COLUMN(A1)+1) = "3. Gezinshuis producten",
            INDEX('3. Gezinshuis producten'!$N$29:$Z$29, MATCH(INDEX($AA:$AA, COLUMN(A1)+1),
                    '3. Gezinshuis producten'!$N$15:$S$15, 0)
            ),
        IF(
            INDEX($AB:$AB, COLUMN(A1)+1) = "4. Pleegzorg producten",
                 INDEX('4. Pleegzorg producten'!$A:$Y, 26,
            13 + 3 * (INDEX($AC:$AC, COLUMN(A1)+1) - 1)),
            ""
        )
    )
)</f>
        <v/>
      </c>
      <c r="D14" s="198" t="str">
        <f>IF(
    INDEX($AB:$AB, COLUMN(B1)+1) = "1a. Input organisatieniveau",
        INDEX('2. Output kostprijs'!$A:$Z, 47,
            4 + 2 * (INDEX($AC:$AC, COLUMN(B1)+1) - 1)
        ),
    IF(
        INDEX($AB:$AB, COLUMN(B1)+1) = "3. Gezinshuis producten",
            INDEX('3. Gezinshuis producten'!$N$29:$Z$29, MATCH(INDEX($AA:$AA, COLUMN(B1)+1),
                    '3. Gezinshuis producten'!$N$15:$S$15, 0)
            ),
        IF(
            INDEX($AB:$AB, COLUMN(B1)+1) = "4. Pleegzorg producten",
                 INDEX('4. Pleegzorg producten'!$A:$Y, 26,
            13 + 3 * (INDEX($AC:$AC, COLUMN(B1)+1) - 1)),
            ""
        )
    )
)</f>
        <v/>
      </c>
      <c r="E14" s="198" t="str">
        <f>IF(
    INDEX($AB:$AB, COLUMN(C1)+1) = "1a. Input organisatieniveau",
        INDEX('2. Output kostprijs'!$A:$Z, 47,
            4 + 2 * (INDEX($AC:$AC, COLUMN(C1)+1) - 1)
        ),
    IF(
        INDEX($AB:$AB, COLUMN(C1)+1) = "3. Gezinshuis producten",
            INDEX('3. Gezinshuis producten'!$N$29:$Z$29, MATCH(INDEX($AA:$AA, COLUMN(C1)+1),
                    '3. Gezinshuis producten'!$N$15:$S$15, 0)
            ),
        IF(
            INDEX($AB:$AB, COLUMN(C1)+1) = "4. Pleegzorg producten",
                 INDEX('4. Pleegzorg producten'!$A:$Y, 26,
            13 + 3 * (INDEX($AC:$AC, COLUMN(C1)+1) - 1)),
            ""
        )
    )
)</f>
        <v/>
      </c>
      <c r="F14" s="198" t="str">
        <f>IF(
    INDEX($AB:$AB, COLUMN(D1)+1) = "1a. Input organisatieniveau",
        INDEX('2. Output kostprijs'!$A:$Z, 47,
            4 + 2 * (INDEX($AC:$AC, COLUMN(D1)+1) - 1)
        ),
    IF(
        INDEX($AB:$AB, COLUMN(D1)+1) = "3. Gezinshuis producten",
            INDEX('3. Gezinshuis producten'!$N$29:$Z$29, MATCH(INDEX($AA:$AA, COLUMN(D1)+1),
                    '3. Gezinshuis producten'!$N$15:$S$15, 0)
            ),
        IF(
            INDEX($AB:$AB, COLUMN(D1)+1) = "4. Pleegzorg producten",
                 INDEX('4. Pleegzorg producten'!$A:$Y, 26,
            13 + 3 * (INDEX($AC:$AC, COLUMN(D1)+1) - 1)),
            ""
        )
    )
)</f>
        <v/>
      </c>
      <c r="G14" s="198" t="str">
        <f>IF(
    INDEX($AB:$AB, COLUMN(E1)+1) = "1a. Input organisatieniveau",
        INDEX('2. Output kostprijs'!$A:$Z, 47,
            4 + 2 * (INDEX($AC:$AC, COLUMN(E1)+1) - 1)
        ),
    IF(
        INDEX($AB:$AB, COLUMN(E1)+1) = "3. Gezinshuis producten",
            INDEX('3. Gezinshuis producten'!$N$29:$Z$29, MATCH(INDEX($AA:$AA, COLUMN(E1)+1),
                    '3. Gezinshuis producten'!$N$15:$S$15, 0)
            ),
        IF(
            INDEX($AB:$AB, COLUMN(E1)+1) = "4. Pleegzorg producten",
                 INDEX('4. Pleegzorg producten'!$A:$Y, 26,
            13 + 3 * (INDEX($AC:$AC, COLUMN(E1)+1) - 1)),
            ""
        )
    )
)</f>
        <v/>
      </c>
      <c r="H14" s="198" t="str">
        <f>IF(
    INDEX($AB:$AB, COLUMN(F1)+1) = "1a. Input organisatieniveau",
        INDEX('2. Output kostprijs'!$A:$Z, 47,
            4 + 2 * (INDEX($AC:$AC, COLUMN(F1)+1) - 1)
        ),
    IF(
        INDEX($AB:$AB, COLUMN(F1)+1) = "3. Gezinshuis producten",
            INDEX('3. Gezinshuis producten'!$N$29:$Z$29, MATCH(INDEX($AA:$AA, COLUMN(F1)+1),
                    '3. Gezinshuis producten'!$N$15:$S$15, 0)
            ),
        IF(
            INDEX($AB:$AB, COLUMN(F1)+1) = "4. Pleegzorg producten",
                 INDEX('4. Pleegzorg producten'!$A:$Y, 26,
            13 + 3 * (INDEX($AC:$AC, COLUMN(F1)+1) - 1)),
            ""
        )
    )
)</f>
        <v/>
      </c>
      <c r="I14" s="198" t="str">
        <f>IF(
    INDEX($AB:$AB, COLUMN(G1)+1) = "1a. Input organisatieniveau",
        INDEX('2. Output kostprijs'!$A:$Z, 47,
            4 + 2 * (INDEX($AC:$AC, COLUMN(G1)+1) - 1)
        ),
    IF(
        INDEX($AB:$AB, COLUMN(G1)+1) = "3. Gezinshuis producten",
            INDEX('3. Gezinshuis producten'!$N$29:$Z$29, MATCH(INDEX($AA:$AA, COLUMN(G1)+1),
                    '3. Gezinshuis producten'!$N$15:$S$15, 0)
            ),
        IF(
            INDEX($AB:$AB, COLUMN(G1)+1) = "4. Pleegzorg producten",
                 INDEX('4. Pleegzorg producten'!$A:$Y, 26,
            13 + 3 * (INDEX($AC:$AC, COLUMN(G1)+1) - 1)),
            ""
        )
    )
)</f>
        <v/>
      </c>
      <c r="J14" s="198" t="str">
        <f>IF(
    INDEX($AB:$AB, COLUMN(H1)+1) = "1a. Input organisatieniveau",
        INDEX('2. Output kostprijs'!$A:$Z, 47,
            4 + 2 * (INDEX($AC:$AC, COLUMN(H1)+1) - 1)
        ),
    IF(
        INDEX($AB:$AB, COLUMN(H1)+1) = "3. Gezinshuis producten",
            INDEX('3. Gezinshuis producten'!$N$29:$Z$29, MATCH(INDEX($AA:$AA, COLUMN(H1)+1),
                    '3. Gezinshuis producten'!$N$15:$S$15, 0)
            ),
        IF(
            INDEX($AB:$AB, COLUMN(H1)+1) = "4. Pleegzorg producten",
                 INDEX('4. Pleegzorg producten'!$A:$Y, 26,
            13 + 3 * (INDEX($AC:$AC, COLUMN(H1)+1) - 1)),
            ""
        )
    )
)</f>
        <v/>
      </c>
      <c r="K14" s="198" t="str">
        <f>IF(
    INDEX($AB:$AB, COLUMN(I1)+1) = "1a. Input organisatieniveau",
        INDEX('2. Output kostprijs'!$A:$Z, 47,
            4 + 2 * (INDEX($AC:$AC, COLUMN(I1)+1) - 1)
        ),
    IF(
        INDEX($AB:$AB, COLUMN(I1)+1) = "3. Gezinshuis producten",
            INDEX('3. Gezinshuis producten'!$N$29:$Z$29, MATCH(INDEX($AA:$AA, COLUMN(I1)+1),
                    '3. Gezinshuis producten'!$N$15:$S$15, 0)
            ),
        IF(
            INDEX($AB:$AB, COLUMN(I1)+1) = "4. Pleegzorg producten",
                 INDEX('4. Pleegzorg producten'!$A:$Y, 26,
            13 + 3 * (INDEX($AC:$AC, COLUMN(I1)+1) - 1)),
            ""
        )
    )
)</f>
        <v/>
      </c>
      <c r="L14" s="198" t="str">
        <f>IF(
    INDEX($AB:$AB, COLUMN(J1)+1) = "1a. Input organisatieniveau",
        INDEX('2. Output kostprijs'!$A:$Z, 47,
            4 + 2 * (INDEX($AC:$AC, COLUMN(J1)+1) - 1)
        ),
    IF(
        INDEX($AB:$AB, COLUMN(J1)+1) = "3. Gezinshuis producten",
            INDEX('3. Gezinshuis producten'!$N$29:$Z$29, MATCH(INDEX($AA:$AA, COLUMN(J1)+1),
                    '3. Gezinshuis producten'!$N$15:$S$15, 0)
            ),
        IF(
            INDEX($AB:$AB, COLUMN(J1)+1) = "4. Pleegzorg producten",
                 INDEX('4. Pleegzorg producten'!$A:$Y, 26,
            13 + 3 * (INDEX($AC:$AC, COLUMN(J1)+1) - 1)),
            ""
        )
    )
)</f>
        <v/>
      </c>
      <c r="M14" s="198" t="str">
        <f>IF(
    INDEX($AB:$AB, COLUMN(K1)+1) = "1a. Input organisatieniveau",
        INDEX('2. Output kostprijs'!$A:$Z, 47,
            4 + 2 * (INDEX($AC:$AC, COLUMN(K1)+1) - 1)
        ),
    IF(
        INDEX($AB:$AB, COLUMN(K1)+1) = "3. Gezinshuis producten",
            INDEX('3. Gezinshuis producten'!$N$29:$Z$29, MATCH(INDEX($AA:$AA, COLUMN(K1)+1),
                    '3. Gezinshuis producten'!$N$15:$S$15, 0)
            ),
        IF(
            INDEX($AB:$AB, COLUMN(K1)+1) = "4. Pleegzorg producten",
                 INDEX('4. Pleegzorg producten'!$A:$Y, 26,
            13 + 3 * (INDEX($AC:$AC, COLUMN(K1)+1) - 1)),
            ""
        )
    )
)</f>
        <v/>
      </c>
      <c r="N14" s="198" t="str">
        <f>IF(
    INDEX($AB:$AB, COLUMN(L1)+1) = "1a. Input organisatieniveau",
        INDEX('2. Output kostprijs'!$A:$Z, 47,
            4 + 2 * (INDEX($AC:$AC, COLUMN(L1)+1) - 1)
        ),
    IF(
        INDEX($AB:$AB, COLUMN(L1)+1) = "3. Gezinshuis producten",
            INDEX('3. Gezinshuis producten'!$N$29:$Z$29, MATCH(INDEX($AA:$AA, COLUMN(L1)+1),
                    '3. Gezinshuis producten'!$N$15:$S$15, 0)
            ),
        IF(
            INDEX($AB:$AB, COLUMN(L1)+1) = "4. Pleegzorg producten",
                 INDEX('4. Pleegzorg producten'!$A:$Y, 26,
            13 + 3 * (INDEX($AC:$AC, COLUMN(L1)+1) - 1)),
            ""
        )
    )
)</f>
        <v/>
      </c>
      <c r="O14" s="198" t="str">
        <f>IF(
    INDEX($AB:$AB, COLUMN(M1)+1) = "1a. Input organisatieniveau",
        INDEX('2. Output kostprijs'!$A:$Z, 47,
            4 + 2 * (INDEX($AC:$AC, COLUMN(M1)+1) - 1)
        ),
    IF(
        INDEX($AB:$AB, COLUMN(M1)+1) = "3. Gezinshuis producten",
            INDEX('3. Gezinshuis producten'!$N$29:$Z$29, MATCH(INDEX($AA:$AA, COLUMN(M1)+1),
                    '3. Gezinshuis producten'!$N$15:$S$15, 0)
            ),
        IF(
            INDEX($AB:$AB, COLUMN(M1)+1) = "4. Pleegzorg producten",
                 INDEX('4. Pleegzorg producten'!$A:$Y, 26,
            13 + 3 * (INDEX($AC:$AC, COLUMN(M1)+1) - 1)),
            ""
        )
    )
)</f>
        <v/>
      </c>
      <c r="P14" s="198" t="str">
        <f>IF(
    INDEX($AB:$AB, COLUMN(N1)+1) = "1a. Input organisatieniveau",
        INDEX('2. Output kostprijs'!$A:$Z, 47,
            4 + 2 * (INDEX($AC:$AC, COLUMN(N1)+1) - 1)
        ),
    IF(
        INDEX($AB:$AB, COLUMN(N1)+1) = "3. Gezinshuis producten",
            INDEX('3. Gezinshuis producten'!$N$29:$Z$29, MATCH(INDEX($AA:$AA, COLUMN(N1)+1),
                    '3. Gezinshuis producten'!$N$15:$S$15, 0)
            ),
        IF(
            INDEX($AB:$AB, COLUMN(N1)+1) = "4. Pleegzorg producten",
                 INDEX('4. Pleegzorg producten'!$A:$Y, 26,
            13 + 3 * (INDEX($AC:$AC, COLUMN(N1)+1) - 1)),
            ""
        )
    )
)</f>
        <v/>
      </c>
      <c r="Q14" s="198" t="str">
        <f>IF(
    INDEX($AB:$AB, COLUMN(O1)+1) = "1a. Input organisatieniveau",
        INDEX('2. Output kostprijs'!$A:$Z, 47,
            4 + 2 * (INDEX($AC:$AC, COLUMN(O1)+1) - 1)
        ),
    IF(
        INDEX($AB:$AB, COLUMN(O1)+1) = "3. Gezinshuis producten",
            INDEX('3. Gezinshuis producten'!$N$29:$Z$29, MATCH(INDEX($AA:$AA, COLUMN(O1)+1),
                    '3. Gezinshuis producten'!$N$15:$S$15, 0)
            ),
        IF(
            INDEX($AB:$AB, COLUMN(O1)+1) = "4. Pleegzorg producten",
                 INDEX('4. Pleegzorg producten'!$A:$Y, 26,
            13 + 3 * (INDEX($AC:$AC, COLUMN(O1)+1) - 1)),
            ""
        )
    )
)</f>
        <v/>
      </c>
      <c r="R14" s="198" t="str">
        <f>IF(
    INDEX($AB:$AB, COLUMN(P1)+1) = "1a. Input organisatieniveau",
        INDEX('2. Output kostprijs'!$A:$Z, 47,
            4 + 2 * (INDEX($AC:$AC, COLUMN(P1)+1) - 1)
        ),
    IF(
        INDEX($AB:$AB, COLUMN(P1)+1) = "3. Gezinshuis producten",
            INDEX('3. Gezinshuis producten'!$N$29:$Z$29, MATCH(INDEX($AA:$AA, COLUMN(P1)+1),
                    '3. Gezinshuis producten'!$N$15:$S$15, 0)
            ),
        IF(
            INDEX($AB:$AB, COLUMN(P1)+1) = "4. Pleegzorg producten",
                 INDEX('4. Pleegzorg producten'!$A:$Y, 26,
            13 + 3 * (INDEX($AC:$AC, COLUMN(P1)+1) - 1)),
            ""
        )
    )
)</f>
        <v/>
      </c>
      <c r="S14" s="233" t="str">
        <f>IF(
    INDEX($AB:$AB, COLUMN(Q1)+1) = "1a. Input organisatieniveau",
        INDEX('2. Output kostprijs'!$A:$Z, 47,
            4 + 2 * (INDEX($AC:$AC, COLUMN(Q1)+1) - 1)
        ),
    IF(
        INDEX($AB:$AB, COLUMN(Q1)+1) = "3. Gezinshuis producten",
            INDEX('3. Gezinshuis producten'!$N$29:$Z$29, MATCH(INDEX($AA:$AA, COLUMN(Q1)+1),
                    '3. Gezinshuis producten'!$N$15:$S$15, 0)
            ),
        IF(
            INDEX($AB:$AB, COLUMN(Q1)+1) = "4. Pleegzorg producten",
                 INDEX('4. Pleegzorg producten'!$A:$Y, 26,
            13 + 3 * (INDEX($AC:$AC, COLUMN(Q1)+1) - 1)),
            ""
        )
    )
)</f>
        <v/>
      </c>
      <c r="AA14" t="str">
        <f t="array" ref="AA14">IFERROR(
  IF(
    ROW(A13) &lt;= SUMPRODUCT(--('Hulp (control forms)'!$G$13:$G$52)),
      IF(
        INDEX(Initialisatie!B$10:B$49,
          SMALL(
            IF('Hulp (control forms)'!$G$13:$G$52=TRUE,
               ROW(Initialisatie!B$10:B$49)-ROW(Initialisatie!B$10)+1),
            ROW(A13)
          )
        )="","",
        INDEX(Initialisatie!B$10:B$49,
          SMALL(
            IF('Hulp (control forms)'!$G$13:$G$52=TRUE,
               ROW(Initialisatie!B$10:B$49)-ROW(Initialisatie!B$10)+1),
            ROW(A13)
          )
        )
      ),
    IFERROR(
      INDEX(
        '3. Gezinshuis producten'!E$7:E$9,
        SMALL(
          IF('Hulp (control forms)'!$F$6:$F$8=TRUE,
             ROW('3. Gezinshuis producten'!E$7:E$9)-ROW('3. Gezinshuis producten'!E$7)+1),
          ROW(A13) - SUMPRODUCT(--('Hulp (control forms)'!$G$13:$G$52))
        )
      ),
      IF(
        ROW(A13)
         - SUMPRODUCT(--('Hulp (control forms)'!$G$13:$G$52))
         - SUMPRODUCT(--('Hulp (control forms)'!$F$6:$F$8)) = 1,
        IF('4. Pleegzorg producten'!$M$26&lt;&gt;"",
           "Voltijd",
           IF('4. Pleegzorg producten'!$P$26&lt;&gt;"","Deeltijd","")
        ),
        IF(
          ROW(A13)
           - SUMPRODUCT(--('Hulp (control forms)'!$G$13:$G$52))
           - SUMPRODUCT(--('Hulp (control forms)'!$F$6:$F$8)) = 2,
          IF( AND('4. Pleegzorg producten'!$M$26&lt;&gt;"", '4. Pleegzorg producten'!$P$26&lt;&gt;"" ),
             "Deeltijd",
             ""
          ),
          ""
        )
      )
    )
  ),
"")</f>
        <v/>
      </c>
      <c r="AB14" t="str">
        <f t="array" ref="AB14">IF(
  ROW(A13) &lt;= SUMPRODUCT(--('Hulp (control forms)'!$G$13:$G$52)),
      "1a. Input organisatieniveau",
  IF(
    ROW(A13) - SUMPRODUCT(--('Hulp (control forms)'!$G$13:$G$52))
      &lt;= SUMPRODUCT(--('Hulp (control forms)'!$F$6:$F$8)),
        "3. Gezinshuis producten",
    IF(
      (ROW(A13)
        - SUMPRODUCT(--('Hulp (control forms)'!$G$13:$G$52))
        - SUMPRODUCT(--('Hulp (control forms)'!$F$6:$F$8)))
        &lt;= SUMPRODUCT(--('4. Pleegzorg producten'!$M$26&lt;&gt;"") + --('4. Pleegzorg producten'!$P$26&lt;&gt;"")),
          "4. Pleegzorg producten",
          ""
    )
  )
)</f>
        <v/>
      </c>
      <c r="AC14" t="str">
        <f t="array" ref="AC14">IF(
  ROW(A13) &lt;= SUMPRODUCT(--('Hulp (control forms)'!$G$13:$G$52)),
      ROW(A13),
  IF(
    ROW(A13) - SUMPRODUCT(--('Hulp (control forms)'!$G$13:$G$52))
      &lt;= SUMPRODUCT(--('Hulp (control forms)'!$F$6:$F$8)),
        ROW(A13) - SUMPRODUCT(--('Hulp (control forms)'!$G$13:$G$52)),
    IF(
      (ROW(A13)
        - SUMPRODUCT(--('Hulp (control forms)'!$G$13:$G$52))
        - SUMPRODUCT(--('Hulp (control forms)'!$F$6:$F$8)))
        &lt;= SUMPRODUCT(--('4. Pleegzorg producten'!$M$26&lt;&gt;"") + --('4. Pleegzorg producten'!$P$26&lt;&gt;"")),
        ROW(A13)
        - SUMPRODUCT(--('Hulp (control forms)'!$G$13:$G$52))
        - SUMPRODUCT(--('Hulp (control forms)'!$F$6:$F$8)),
        ""
    )
  )
)</f>
        <v/>
      </c>
    </row>
    <row r="15" spans="2:29" x14ac:dyDescent="0.45">
      <c r="B15" s="23" t="s">
        <v>831</v>
      </c>
      <c r="C15" s="198" t="str">
        <f>IF(
    INDEX($AB:$AB, COLUMN(A1)+1) = "1a. Input organisatieniveau",
        "",
    IF(
        INDEX($AB:$AB, COLUMN(A1)+1) = "3. Gezinshuis producten",
            INDEX('3. Gezinshuis producten'!$N$16:$Z$16, MATCH(INDEX($AA:$AA, COLUMN(A1)+1),
                    '3. Gezinshuis producten'!$N$15:$S$15, 0) +1
            ),
        IF(
            INDEX($AB:$AB, COLUMN(A1)+1) = "4. Pleegzorg producten",
                  "",
            ""
        )
    )
)</f>
        <v/>
      </c>
      <c r="D15" s="198" t="str">
        <f>IF(
    INDEX($AB:$AB, COLUMN(B1)+1) = "1a. Input organisatieniveau",
        "",
    IF(
        INDEX($AB:$AB, COLUMN(B1)+1) = "3. Gezinshuis producten",
            INDEX('3. Gezinshuis producten'!$N$16:$Z$16, MATCH(INDEX($AA:$AA, COLUMN(B1)+1),
                    '3. Gezinshuis producten'!$N$15:$S$15, 0) +1
            ),
        IF(
            INDEX($AB:$AB, COLUMN(B1)+1) = "4. Pleegzorg producten",
                  "",
            ""
        )
    )
)</f>
        <v/>
      </c>
      <c r="E15" s="198" t="str">
        <f>IF(
    INDEX($AB:$AB, COLUMN(C1)+1) = "1a. Input organisatieniveau",
        "",
    IF(
        INDEX($AB:$AB, COLUMN(C1)+1) = "3. Gezinshuis producten",
            INDEX('3. Gezinshuis producten'!$N$16:$Z$16, MATCH(INDEX($AA:$AA, COLUMN(C1)+1),
                    '3. Gezinshuis producten'!$N$15:$S$15, 0) +1
            ),
        IF(
            INDEX($AB:$AB, COLUMN(C1)+1) = "4. Pleegzorg producten",
                  "",
            ""
        )
    )
)</f>
        <v/>
      </c>
      <c r="F15" s="198" t="str">
        <f>IF(
    INDEX($AB:$AB, COLUMN(D1)+1) = "1a. Input organisatieniveau",
        "",
    IF(
        INDEX($AB:$AB, COLUMN(D1)+1) = "3. Gezinshuis producten",
            INDEX('3. Gezinshuis producten'!$N$16:$Z$16, MATCH(INDEX($AA:$AA, COLUMN(D1)+1),
                    '3. Gezinshuis producten'!$N$15:$S$15, 0) +1
            ),
        IF(
            INDEX($AB:$AB, COLUMN(D1)+1) = "4. Pleegzorg producten",
                  "",
            ""
        )
    )
)</f>
        <v/>
      </c>
      <c r="G15" s="198" t="str">
        <f>IF(
    INDEX($AB:$AB, COLUMN(E1)+1) = "1a. Input organisatieniveau",
        "",
    IF(
        INDEX($AB:$AB, COLUMN(E1)+1) = "3. Gezinshuis producten",
            INDEX('3. Gezinshuis producten'!$N$16:$Z$16, MATCH(INDEX($AA:$AA, COLUMN(E1)+1),
                    '3. Gezinshuis producten'!$N$15:$S$15, 0) +1
            ),
        IF(
            INDEX($AB:$AB, COLUMN(E1)+1) = "4. Pleegzorg producten",
                  "",
            ""
        )
    )
)</f>
        <v/>
      </c>
      <c r="H15" s="198" t="str">
        <f>IF(
    INDEX($AB:$AB, COLUMN(F1)+1) = "1a. Input organisatieniveau",
        "",
    IF(
        INDEX($AB:$AB, COLUMN(F1)+1) = "3. Gezinshuis producten",
            INDEX('3. Gezinshuis producten'!$N$16:$Z$16, MATCH(INDEX($AA:$AA, COLUMN(F1)+1),
                    '3. Gezinshuis producten'!$N$15:$S$15, 0) +1
            ),
        IF(
            INDEX($AB:$AB, COLUMN(F1)+1) = "4. Pleegzorg producten",
                  "",
            ""
        )
    )
)</f>
        <v/>
      </c>
      <c r="I15" s="198" t="str">
        <f>IF(
    INDEX($AB:$AB, COLUMN(G1)+1) = "1a. Input organisatieniveau",
        "",
    IF(
        INDEX($AB:$AB, COLUMN(G1)+1) = "3. Gezinshuis producten",
            INDEX('3. Gezinshuis producten'!$N$16:$Z$16, MATCH(INDEX($AA:$AA, COLUMN(G1)+1),
                    '3. Gezinshuis producten'!$N$15:$S$15, 0) +1
            ),
        IF(
            INDEX($AB:$AB, COLUMN(G1)+1) = "4. Pleegzorg producten",
                  "",
            ""
        )
    )
)</f>
        <v/>
      </c>
      <c r="J15" s="198" t="str">
        <f>IF(
    INDEX($AB:$AB, COLUMN(H1)+1) = "1a. Input organisatieniveau",
        "",
    IF(
        INDEX($AB:$AB, COLUMN(H1)+1) = "3. Gezinshuis producten",
            INDEX('3. Gezinshuis producten'!$N$16:$Z$16, MATCH(INDEX($AA:$AA, COLUMN(H1)+1),
                    '3. Gezinshuis producten'!$N$15:$S$15, 0) +1
            ),
        IF(
            INDEX($AB:$AB, COLUMN(H1)+1) = "4. Pleegzorg producten",
                  "",
            ""
        )
    )
)</f>
        <v/>
      </c>
      <c r="K15" s="198" t="str">
        <f>IF(
    INDEX($AB:$AB, COLUMN(I1)+1) = "1a. Input organisatieniveau",
        "",
    IF(
        INDEX($AB:$AB, COLUMN(I1)+1) = "3. Gezinshuis producten",
            INDEX('3. Gezinshuis producten'!$N$16:$Z$16, MATCH(INDEX($AA:$AA, COLUMN(I1)+1),
                    '3. Gezinshuis producten'!$N$15:$S$15, 0) +1
            ),
        IF(
            INDEX($AB:$AB, COLUMN(I1)+1) = "4. Pleegzorg producten",
                  "",
            ""
        )
    )
)</f>
        <v/>
      </c>
      <c r="L15" s="198" t="str">
        <f>IF(
    INDEX($AB:$AB, COLUMN(J1)+1) = "1a. Input organisatieniveau",
        "",
    IF(
        INDEX($AB:$AB, COLUMN(J1)+1) = "3. Gezinshuis producten",
            INDEX('3. Gezinshuis producten'!$N$16:$Z$16, MATCH(INDEX($AA:$AA, COLUMN(J1)+1),
                    '3. Gezinshuis producten'!$N$15:$S$15, 0) +1
            ),
        IF(
            INDEX($AB:$AB, COLUMN(J1)+1) = "4. Pleegzorg producten",
                  "",
            ""
        )
    )
)</f>
        <v/>
      </c>
      <c r="M15" s="198" t="str">
        <f>IF(
    INDEX($AB:$AB, COLUMN(K1)+1) = "1a. Input organisatieniveau",
        "",
    IF(
        INDEX($AB:$AB, COLUMN(K1)+1) = "3. Gezinshuis producten",
            INDEX('3. Gezinshuis producten'!$N$16:$Z$16, MATCH(INDEX($AA:$AA, COLUMN(K1)+1),
                    '3. Gezinshuis producten'!$N$15:$S$15, 0) +1
            ),
        IF(
            INDEX($AB:$AB, COLUMN(K1)+1) = "4. Pleegzorg producten",
                  "",
            ""
        )
    )
)</f>
        <v/>
      </c>
      <c r="N15" s="198" t="str">
        <f>IF(
    INDEX($AB:$AB, COLUMN(L1)+1) = "1a. Input organisatieniveau",
        "",
    IF(
        INDEX($AB:$AB, COLUMN(L1)+1) = "3. Gezinshuis producten",
            INDEX('3. Gezinshuis producten'!$N$16:$Z$16, MATCH(INDEX($AA:$AA, COLUMN(L1)+1),
                    '3. Gezinshuis producten'!$N$15:$S$15, 0) +1
            ),
        IF(
            INDEX($AB:$AB, COLUMN(L1)+1) = "4. Pleegzorg producten",
                  "",
            ""
        )
    )
)</f>
        <v/>
      </c>
      <c r="O15" s="198" t="str">
        <f>IF(
    INDEX($AB:$AB, COLUMN(M1)+1) = "1a. Input organisatieniveau",
        "",
    IF(
        INDEX($AB:$AB, COLUMN(M1)+1) = "3. Gezinshuis producten",
            INDEX('3. Gezinshuis producten'!$N$16:$Z$16, MATCH(INDEX($AA:$AA, COLUMN(M1)+1),
                    '3. Gezinshuis producten'!$N$15:$S$15, 0) +1
            ),
        IF(
            INDEX($AB:$AB, COLUMN(M1)+1) = "4. Pleegzorg producten",
                  "",
            ""
        )
    )
)</f>
        <v/>
      </c>
      <c r="P15" s="198" t="str">
        <f>IF(
    INDEX($AB:$AB, COLUMN(N1)+1) = "1a. Input organisatieniveau",
        "",
    IF(
        INDEX($AB:$AB, COLUMN(N1)+1) = "3. Gezinshuis producten",
            INDEX('3. Gezinshuis producten'!$N$16:$Z$16, MATCH(INDEX($AA:$AA, COLUMN(N1)+1),
                    '3. Gezinshuis producten'!$N$15:$S$15, 0) +1
            ),
        IF(
            INDEX($AB:$AB, COLUMN(N1)+1) = "4. Pleegzorg producten",
                  "",
            ""
        )
    )
)</f>
        <v/>
      </c>
      <c r="Q15" s="198" t="str">
        <f>IF(
    INDEX($AB:$AB, COLUMN(O1)+1) = "1a. Input organisatieniveau",
        "",
    IF(
        INDEX($AB:$AB, COLUMN(O1)+1) = "3. Gezinshuis producten",
            INDEX('3. Gezinshuis producten'!$N$16:$Z$16, MATCH(INDEX($AA:$AA, COLUMN(O1)+1),
                    '3. Gezinshuis producten'!$N$15:$S$15, 0) +1
            ),
        IF(
            INDEX($AB:$AB, COLUMN(O1)+1) = "4. Pleegzorg producten",
                  "",
            ""
        )
    )
)</f>
        <v/>
      </c>
      <c r="R15" s="198" t="str">
        <f>IF(
    INDEX($AB:$AB, COLUMN(P1)+1) = "1a. Input organisatieniveau",
        "",
    IF(
        INDEX($AB:$AB, COLUMN(P1)+1) = "3. Gezinshuis producten",
            INDEX('3. Gezinshuis producten'!$N$16:$Z$16, MATCH(INDEX($AA:$AA, COLUMN(P1)+1),
                    '3. Gezinshuis producten'!$N$15:$S$15, 0) +1
            ),
        IF(
            INDEX($AB:$AB, COLUMN(P1)+1) = "4. Pleegzorg producten",
                  "",
            ""
        )
    )
)</f>
        <v/>
      </c>
      <c r="S15" s="233" t="str">
        <f>IF(
    INDEX($AB:$AB, COLUMN(Q1)+1) = "1a. Input organisatieniveau",
        "",
    IF(
        INDEX($AB:$AB, COLUMN(Q1)+1) = "3. Gezinshuis producten",
            INDEX('3. Gezinshuis producten'!$N$16:$Z$16, MATCH(INDEX($AA:$AA, COLUMN(Q1)+1),
                    '3. Gezinshuis producten'!$N$15:$S$15, 0) +1
            ),
        IF(
            INDEX($AB:$AB, COLUMN(Q1)+1) = "4. Pleegzorg producten",
                  "",
            ""
        )
    )
)</f>
        <v/>
      </c>
      <c r="AA15" t="str">
        <f t="array" ref="AA15">IFERROR(
  IF(
    ROW(A14) &lt;= SUMPRODUCT(--('Hulp (control forms)'!$G$13:$G$52)),
      IF(
        INDEX(Initialisatie!B$10:B$49,
          SMALL(
            IF('Hulp (control forms)'!$G$13:$G$52=TRUE,
               ROW(Initialisatie!B$10:B$49)-ROW(Initialisatie!B$10)+1),
            ROW(A14)
          )
        )="","",
        INDEX(Initialisatie!B$10:B$49,
          SMALL(
            IF('Hulp (control forms)'!$G$13:$G$52=TRUE,
               ROW(Initialisatie!B$10:B$49)-ROW(Initialisatie!B$10)+1),
            ROW(A14)
          )
        )
      ),
    IFERROR(
      INDEX(
        '3. Gezinshuis producten'!E$7:E$9,
        SMALL(
          IF('Hulp (control forms)'!$F$6:$F$8=TRUE,
             ROW('3. Gezinshuis producten'!E$7:E$9)-ROW('3. Gezinshuis producten'!E$7)+1),
          ROW(A14) - SUMPRODUCT(--('Hulp (control forms)'!$G$13:$G$52))
        )
      ),
      IF(
        ROW(A14)
         - SUMPRODUCT(--('Hulp (control forms)'!$G$13:$G$52))
         - SUMPRODUCT(--('Hulp (control forms)'!$F$6:$F$8)) = 1,
        IF('4. Pleegzorg producten'!$M$26&lt;&gt;"",
           "Voltijd",
           IF('4. Pleegzorg producten'!$P$26&lt;&gt;"","Deeltijd","")
        ),
        IF(
          ROW(A14)
           - SUMPRODUCT(--('Hulp (control forms)'!$G$13:$G$52))
           - SUMPRODUCT(--('Hulp (control forms)'!$F$6:$F$8)) = 2,
          IF( AND('4. Pleegzorg producten'!$M$26&lt;&gt;"", '4. Pleegzorg producten'!$P$26&lt;&gt;"" ),
             "Deeltijd",
             ""
          ),
          ""
        )
      )
    )
  ),
"")</f>
        <v/>
      </c>
      <c r="AB15" t="str">
        <f t="array" ref="AB15">IF(
  ROW(A14) &lt;= SUMPRODUCT(--('Hulp (control forms)'!$G$13:$G$52)),
      "1a. Input organisatieniveau",
  IF(
    ROW(A14) - SUMPRODUCT(--('Hulp (control forms)'!$G$13:$G$52))
      &lt;= SUMPRODUCT(--('Hulp (control forms)'!$F$6:$F$8)),
        "3. Gezinshuis producten",
    IF(
      (ROW(A14)
        - SUMPRODUCT(--('Hulp (control forms)'!$G$13:$G$52))
        - SUMPRODUCT(--('Hulp (control forms)'!$F$6:$F$8)))
        &lt;= SUMPRODUCT(--('4. Pleegzorg producten'!$M$26&lt;&gt;"") + --('4. Pleegzorg producten'!$P$26&lt;&gt;"")),
          "4. Pleegzorg producten",
          ""
    )
  )
)</f>
        <v/>
      </c>
      <c r="AC15" t="str">
        <f t="array" ref="AC15">IF(
  ROW(A14) &lt;= SUMPRODUCT(--('Hulp (control forms)'!$G$13:$G$52)),
      ROW(A14),
  IF(
    ROW(A14) - SUMPRODUCT(--('Hulp (control forms)'!$G$13:$G$52))
      &lt;= SUMPRODUCT(--('Hulp (control forms)'!$F$6:$F$8)),
        ROW(A14) - SUMPRODUCT(--('Hulp (control forms)'!$G$13:$G$52)),
    IF(
      (ROW(A14)
        - SUMPRODUCT(--('Hulp (control forms)'!$G$13:$G$52))
        - SUMPRODUCT(--('Hulp (control forms)'!$F$6:$F$8)))
        &lt;= SUMPRODUCT(--('4. Pleegzorg producten'!$M$26&lt;&gt;"") + --('4. Pleegzorg producten'!$P$26&lt;&gt;"")),
        ROW(A14)
        - SUMPRODUCT(--('Hulp (control forms)'!$G$13:$G$52))
        - SUMPRODUCT(--('Hulp (control forms)'!$F$6:$F$8)),
        ""
    )
  )
)</f>
        <v/>
      </c>
    </row>
    <row r="16" spans="2:29" x14ac:dyDescent="0.45">
      <c r="B16" s="23" t="s">
        <v>830</v>
      </c>
      <c r="C16" s="198" t="str">
        <f>IF(
    INDEX($AB:$AB, COLUMN(A1)+1) = "1a. Input organisatieniveau",
        "",
    IF(
        INDEX($AB:$AB, COLUMN(A1)+1) = "3. Gezinshuis producten",
            INDEX('3. Gezinshuis producten'!$N$17:$Z$17, MATCH(INDEX($AA:$AA, COLUMN(A1)+1),
                    '3. Gezinshuis producten'!$N$15:$S$15, 0) +1
            ),
        IF(
            INDEX($AB:$AB, COLUMN(A1)+1) = "4. Pleegzorg producten",
                  "",
            ""
        )
    )
)</f>
        <v/>
      </c>
      <c r="D16" s="198" t="str">
        <f>IF(
    INDEX($AB:$AB, COLUMN(B1)+1) = "1a. Input organisatieniveau",
        "",
    IF(
        INDEX($AB:$AB, COLUMN(B1)+1) = "3. Gezinshuis producten",
            INDEX('3. Gezinshuis producten'!$N$17:$Z$17, MATCH(INDEX($AA:$AA, COLUMN(B1)+1),
                    '3. Gezinshuis producten'!$N$15:$S$15, 0) +1
            ),
        IF(
            INDEX($AB:$AB, COLUMN(B1)+1) = "4. Pleegzorg producten",
                  "",
            ""
        )
    )
)</f>
        <v/>
      </c>
      <c r="E16" s="198" t="str">
        <f>IF(
    INDEX($AB:$AB, COLUMN(C1)+1) = "1a. Input organisatieniveau",
        "",
    IF(
        INDEX($AB:$AB, COLUMN(C1)+1) = "3. Gezinshuis producten",
            INDEX('3. Gezinshuis producten'!$N$17:$Z$17, MATCH(INDEX($AA:$AA, COLUMN(C1)+1),
                    '3. Gezinshuis producten'!$N$15:$S$15, 0) +1
            ),
        IF(
            INDEX($AB:$AB, COLUMN(C1)+1) = "4. Pleegzorg producten",
                  "",
            ""
        )
    )
)</f>
        <v/>
      </c>
      <c r="F16" s="198" t="str">
        <f>IF(
    INDEX($AB:$AB, COLUMN(D1)+1) = "1a. Input organisatieniveau",
        "",
    IF(
        INDEX($AB:$AB, COLUMN(D1)+1) = "3. Gezinshuis producten",
            INDEX('3. Gezinshuis producten'!$N$17:$Z$17, MATCH(INDEX($AA:$AA, COLUMN(D1)+1),
                    '3. Gezinshuis producten'!$N$15:$S$15, 0) +1
            ),
        IF(
            INDEX($AB:$AB, COLUMN(D1)+1) = "4. Pleegzorg producten",
                  "",
            ""
        )
    )
)</f>
        <v/>
      </c>
      <c r="G16" s="198" t="str">
        <f>IF(
    INDEX($AB:$AB, COLUMN(E1)+1) = "1a. Input organisatieniveau",
        "",
    IF(
        INDEX($AB:$AB, COLUMN(E1)+1) = "3. Gezinshuis producten",
            INDEX('3. Gezinshuis producten'!$N$17:$Z$17, MATCH(INDEX($AA:$AA, COLUMN(E1)+1),
                    '3. Gezinshuis producten'!$N$15:$S$15, 0) +1
            ),
        IF(
            INDEX($AB:$AB, COLUMN(E1)+1) = "4. Pleegzorg producten",
                  "",
            ""
        )
    )
)</f>
        <v/>
      </c>
      <c r="H16" s="198" t="str">
        <f>IF(
    INDEX($AB:$AB, COLUMN(F1)+1) = "1a. Input organisatieniveau",
        "",
    IF(
        INDEX($AB:$AB, COLUMN(F1)+1) = "3. Gezinshuis producten",
            INDEX('3. Gezinshuis producten'!$N$17:$Z$17, MATCH(INDEX($AA:$AA, COLUMN(F1)+1),
                    '3. Gezinshuis producten'!$N$15:$S$15, 0) +1
            ),
        IF(
            INDEX($AB:$AB, COLUMN(F1)+1) = "4. Pleegzorg producten",
                  "",
            ""
        )
    )
)</f>
        <v/>
      </c>
      <c r="I16" s="198" t="str">
        <f>IF(
    INDEX($AB:$AB, COLUMN(G1)+1) = "1a. Input organisatieniveau",
        "",
    IF(
        INDEX($AB:$AB, COLUMN(G1)+1) = "3. Gezinshuis producten",
            INDEX('3. Gezinshuis producten'!$N$17:$Z$17, MATCH(INDEX($AA:$AA, COLUMN(G1)+1),
                    '3. Gezinshuis producten'!$N$15:$S$15, 0) +1
            ),
        IF(
            INDEX($AB:$AB, COLUMN(G1)+1) = "4. Pleegzorg producten",
                  "",
            ""
        )
    )
)</f>
        <v/>
      </c>
      <c r="J16" s="198" t="str">
        <f>IF(
    INDEX($AB:$AB, COLUMN(H1)+1) = "1a. Input organisatieniveau",
        "",
    IF(
        INDEX($AB:$AB, COLUMN(H1)+1) = "3. Gezinshuis producten",
            INDEX('3. Gezinshuis producten'!$N$17:$Z$17, MATCH(INDEX($AA:$AA, COLUMN(H1)+1),
                    '3. Gezinshuis producten'!$N$15:$S$15, 0) +1
            ),
        IF(
            INDEX($AB:$AB, COLUMN(H1)+1) = "4. Pleegzorg producten",
                  "",
            ""
        )
    )
)</f>
        <v/>
      </c>
      <c r="K16" s="198" t="str">
        <f>IF(
    INDEX($AB:$AB, COLUMN(I1)+1) = "1a. Input organisatieniveau",
        "",
    IF(
        INDEX($AB:$AB, COLUMN(I1)+1) = "3. Gezinshuis producten",
            INDEX('3. Gezinshuis producten'!$N$17:$Z$17, MATCH(INDEX($AA:$AA, COLUMN(I1)+1),
                    '3. Gezinshuis producten'!$N$15:$S$15, 0) +1
            ),
        IF(
            INDEX($AB:$AB, COLUMN(I1)+1) = "4. Pleegzorg producten",
                  "",
            ""
        )
    )
)</f>
        <v/>
      </c>
      <c r="L16" s="198" t="str">
        <f>IF(
    INDEX($AB:$AB, COLUMN(J1)+1) = "1a. Input organisatieniveau",
        "",
    IF(
        INDEX($AB:$AB, COLUMN(J1)+1) = "3. Gezinshuis producten",
            INDEX('3. Gezinshuis producten'!$N$17:$Z$17, MATCH(INDEX($AA:$AA, COLUMN(J1)+1),
                    '3. Gezinshuis producten'!$N$15:$S$15, 0) +1
            ),
        IF(
            INDEX($AB:$AB, COLUMN(J1)+1) = "4. Pleegzorg producten",
                  "",
            ""
        )
    )
)</f>
        <v/>
      </c>
      <c r="M16" s="198" t="str">
        <f>IF(
    INDEX($AB:$AB, COLUMN(K1)+1) = "1a. Input organisatieniveau",
        "",
    IF(
        INDEX($AB:$AB, COLUMN(K1)+1) = "3. Gezinshuis producten",
            INDEX('3. Gezinshuis producten'!$N$17:$Z$17, MATCH(INDEX($AA:$AA, COLUMN(K1)+1),
                    '3. Gezinshuis producten'!$N$15:$S$15, 0) +1
            ),
        IF(
            INDEX($AB:$AB, COLUMN(K1)+1) = "4. Pleegzorg producten",
                  "",
            ""
        )
    )
)</f>
        <v/>
      </c>
      <c r="N16" s="198" t="str">
        <f>IF(
    INDEX($AB:$AB, COLUMN(L1)+1) = "1a. Input organisatieniveau",
        "",
    IF(
        INDEX($AB:$AB, COLUMN(L1)+1) = "3. Gezinshuis producten",
            INDEX('3. Gezinshuis producten'!$N$17:$Z$17, MATCH(INDEX($AA:$AA, COLUMN(L1)+1),
                    '3. Gezinshuis producten'!$N$15:$S$15, 0) +1
            ),
        IF(
            INDEX($AB:$AB, COLUMN(L1)+1) = "4. Pleegzorg producten",
                  "",
            ""
        )
    )
)</f>
        <v/>
      </c>
      <c r="O16" s="198" t="str">
        <f>IF(
    INDEX($AB:$AB, COLUMN(M1)+1) = "1a. Input organisatieniveau",
        "",
    IF(
        INDEX($AB:$AB, COLUMN(M1)+1) = "3. Gezinshuis producten",
            INDEX('3. Gezinshuis producten'!$N$17:$Z$17, MATCH(INDEX($AA:$AA, COLUMN(M1)+1),
                    '3. Gezinshuis producten'!$N$15:$S$15, 0) +1
            ),
        IF(
            INDEX($AB:$AB, COLUMN(M1)+1) = "4. Pleegzorg producten",
                  "",
            ""
        )
    )
)</f>
        <v/>
      </c>
      <c r="P16" s="198" t="str">
        <f>IF(
    INDEX($AB:$AB, COLUMN(N1)+1) = "1a. Input organisatieniveau",
        "",
    IF(
        INDEX($AB:$AB, COLUMN(N1)+1) = "3. Gezinshuis producten",
            INDEX('3. Gezinshuis producten'!$N$17:$Z$17, MATCH(INDEX($AA:$AA, COLUMN(N1)+1),
                    '3. Gezinshuis producten'!$N$15:$S$15, 0) +1
            ),
        IF(
            INDEX($AB:$AB, COLUMN(N1)+1) = "4. Pleegzorg producten",
                  "",
            ""
        )
    )
)</f>
        <v/>
      </c>
      <c r="Q16" s="198" t="str">
        <f>IF(
    INDEX($AB:$AB, COLUMN(O1)+1) = "1a. Input organisatieniveau",
        "",
    IF(
        INDEX($AB:$AB, COLUMN(O1)+1) = "3. Gezinshuis producten",
            INDEX('3. Gezinshuis producten'!$N$17:$Z$17, MATCH(INDEX($AA:$AA, COLUMN(O1)+1),
                    '3. Gezinshuis producten'!$N$15:$S$15, 0) +1
            ),
        IF(
            INDEX($AB:$AB, COLUMN(O1)+1) = "4. Pleegzorg producten",
                  "",
            ""
        )
    )
)</f>
        <v/>
      </c>
      <c r="R16" s="198" t="str">
        <f>IF(
    INDEX($AB:$AB, COLUMN(P1)+1) = "1a. Input organisatieniveau",
        "",
    IF(
        INDEX($AB:$AB, COLUMN(P1)+1) = "3. Gezinshuis producten",
            INDEX('3. Gezinshuis producten'!$N$17:$Z$17, MATCH(INDEX($AA:$AA, COLUMN(P1)+1),
                    '3. Gezinshuis producten'!$N$15:$S$15, 0) +1
            ),
        IF(
            INDEX($AB:$AB, COLUMN(P1)+1) = "4. Pleegzorg producten",
                  "",
            ""
        )
    )
)</f>
        <v/>
      </c>
      <c r="S16" s="233" t="str">
        <f>IF(
    INDEX($AB:$AB, COLUMN(Q1)+1) = "1a. Input organisatieniveau",
        "",
    IF(
        INDEX($AB:$AB, COLUMN(Q1)+1) = "3. Gezinshuis producten",
            INDEX('3. Gezinshuis producten'!$N$17:$Z$17, MATCH(INDEX($AA:$AA, COLUMN(Q1)+1),
                    '3. Gezinshuis producten'!$N$15:$S$15, 0) +1
            ),
        IF(
            INDEX($AB:$AB, COLUMN(Q1)+1) = "4. Pleegzorg producten",
                  "",
            ""
        )
    )
)</f>
        <v/>
      </c>
      <c r="AA16" t="str">
        <f t="array" ref="AA16">IFERROR(
  IF(
    ROW(A15) &lt;= SUMPRODUCT(--('Hulp (control forms)'!$G$13:$G$52)),
      IF(
        INDEX(Initialisatie!B$10:B$49,
          SMALL(
            IF('Hulp (control forms)'!$G$13:$G$52=TRUE,
               ROW(Initialisatie!B$10:B$49)-ROW(Initialisatie!B$10)+1),
            ROW(A15)
          )
        )="","",
        INDEX(Initialisatie!B$10:B$49,
          SMALL(
            IF('Hulp (control forms)'!$G$13:$G$52=TRUE,
               ROW(Initialisatie!B$10:B$49)-ROW(Initialisatie!B$10)+1),
            ROW(A15)
          )
        )
      ),
    IFERROR(
      INDEX(
        '3. Gezinshuis producten'!E$7:E$9,
        SMALL(
          IF('Hulp (control forms)'!$F$6:$F$8=TRUE,
             ROW('3. Gezinshuis producten'!E$7:E$9)-ROW('3. Gezinshuis producten'!E$7)+1),
          ROW(A15) - SUMPRODUCT(--('Hulp (control forms)'!$G$13:$G$52))
        )
      ),
      IF(
        ROW(A15)
         - SUMPRODUCT(--('Hulp (control forms)'!$G$13:$G$52))
         - SUMPRODUCT(--('Hulp (control forms)'!$F$6:$F$8)) = 1,
        IF('4. Pleegzorg producten'!$M$26&lt;&gt;"",
           "Voltijd",
           IF('4. Pleegzorg producten'!$P$26&lt;&gt;"","Deeltijd","")
        ),
        IF(
          ROW(A15)
           - SUMPRODUCT(--('Hulp (control forms)'!$G$13:$G$52))
           - SUMPRODUCT(--('Hulp (control forms)'!$F$6:$F$8)) = 2,
          IF( AND('4. Pleegzorg producten'!$M$26&lt;&gt;"", '4. Pleegzorg producten'!$P$26&lt;&gt;"" ),
             "Deeltijd",
             ""
          ),
          ""
        )
      )
    )
  ),
"")</f>
        <v/>
      </c>
      <c r="AB16" t="str">
        <f t="array" ref="AB16">IF(
  ROW(A15) &lt;= SUMPRODUCT(--('Hulp (control forms)'!$G$13:$G$52)),
      "1a. Input organisatieniveau",
  IF(
    ROW(A15) - SUMPRODUCT(--('Hulp (control forms)'!$G$13:$G$52))
      &lt;= SUMPRODUCT(--('Hulp (control forms)'!$F$6:$F$8)),
        "3. Gezinshuis producten",
    IF(
      (ROW(A15)
        - SUMPRODUCT(--('Hulp (control forms)'!$G$13:$G$52))
        - SUMPRODUCT(--('Hulp (control forms)'!$F$6:$F$8)))
        &lt;= SUMPRODUCT(--('4. Pleegzorg producten'!$M$26&lt;&gt;"") + --('4. Pleegzorg producten'!$P$26&lt;&gt;"")),
          "4. Pleegzorg producten",
          ""
    )
  )
)</f>
        <v/>
      </c>
      <c r="AC16" t="str">
        <f t="array" ref="AC16">IF(
  ROW(A15) &lt;= SUMPRODUCT(--('Hulp (control forms)'!$G$13:$G$52)),
      ROW(A15),
  IF(
    ROW(A15) - SUMPRODUCT(--('Hulp (control forms)'!$G$13:$G$52))
      &lt;= SUMPRODUCT(--('Hulp (control forms)'!$F$6:$F$8)),
        ROW(A15) - SUMPRODUCT(--('Hulp (control forms)'!$G$13:$G$52)),
    IF(
      (ROW(A15)
        - SUMPRODUCT(--('Hulp (control forms)'!$G$13:$G$52))
        - SUMPRODUCT(--('Hulp (control forms)'!$F$6:$F$8)))
        &lt;= SUMPRODUCT(--('4. Pleegzorg producten'!$M$26&lt;&gt;"") + --('4. Pleegzorg producten'!$P$26&lt;&gt;"")),
        ROW(A15)
        - SUMPRODUCT(--('Hulp (control forms)'!$G$13:$G$52))
        - SUMPRODUCT(--('Hulp (control forms)'!$F$6:$F$8)),
        ""
    )
  )
)</f>
        <v/>
      </c>
    </row>
    <row r="17" spans="2:29" x14ac:dyDescent="0.45">
      <c r="B17" s="23" t="s">
        <v>827</v>
      </c>
      <c r="C17" s="198" t="str">
        <f>IF(
    INDEX($AB:$AB, COLUMN(A1)+1) = "1a. Input organisatieniveau",
        "",
    IF(
        INDEX($AB:$AB, COLUMN(A1)+1) = "3. Gezinshuis producten",
            INDEX('3. Gezinshuis producten'!$N$18:$Z$18, MATCH(INDEX($AA:$AA, COLUMN(A1)+1),
                    '3. Gezinshuis producten'!$N$15:$S$15, 0) +1
            ),
        IF(
            INDEX($AB:$AB, COLUMN(A1)+1) = "4. Pleegzorg producten",
                  "",
            ""
        )
    )
)</f>
        <v/>
      </c>
      <c r="D17" s="198" t="str">
        <f>IF(
    INDEX($AB:$AB, COLUMN(B1)+1) = "1a. Input organisatieniveau",
        "",
    IF(
        INDEX($AB:$AB, COLUMN(B1)+1) = "3. Gezinshuis producten",
            INDEX('3. Gezinshuis producten'!$N$18:$Z$18, MATCH(INDEX($AA:$AA, COLUMN(B1)+1),
                    '3. Gezinshuis producten'!$N$15:$S$15, 0) +1
            ),
        IF(
            INDEX($AB:$AB, COLUMN(B1)+1) = "4. Pleegzorg producten",
                  "",
            ""
        )
    )
)</f>
        <v/>
      </c>
      <c r="E17" s="198" t="str">
        <f>IF(
    INDEX($AB:$AB, COLUMN(C1)+1) = "1a. Input organisatieniveau",
        "",
    IF(
        INDEX($AB:$AB, COLUMN(C1)+1) = "3. Gezinshuis producten",
            INDEX('3. Gezinshuis producten'!$N$18:$Z$18, MATCH(INDEX($AA:$AA, COLUMN(C1)+1),
                    '3. Gezinshuis producten'!$N$15:$S$15, 0) +1
            ),
        IF(
            INDEX($AB:$AB, COLUMN(C1)+1) = "4. Pleegzorg producten",
                  "",
            ""
        )
    )
)</f>
        <v/>
      </c>
      <c r="F17" s="198" t="str">
        <f>IF(
    INDEX($AB:$AB, COLUMN(D1)+1) = "1a. Input organisatieniveau",
        "",
    IF(
        INDEX($AB:$AB, COLUMN(D1)+1) = "3. Gezinshuis producten",
            INDEX('3. Gezinshuis producten'!$N$18:$Z$18, MATCH(INDEX($AA:$AA, COLUMN(D1)+1),
                    '3. Gezinshuis producten'!$N$15:$S$15, 0) +1
            ),
        IF(
            INDEX($AB:$AB, COLUMN(D1)+1) = "4. Pleegzorg producten",
                  "",
            ""
        )
    )
)</f>
        <v/>
      </c>
      <c r="G17" s="198" t="str">
        <f>IF(
    INDEX($AB:$AB, COLUMN(E1)+1) = "1a. Input organisatieniveau",
        "",
    IF(
        INDEX($AB:$AB, COLUMN(E1)+1) = "3. Gezinshuis producten",
            INDEX('3. Gezinshuis producten'!$N$18:$Z$18, MATCH(INDEX($AA:$AA, COLUMN(E1)+1),
                    '3. Gezinshuis producten'!$N$15:$S$15, 0) +1
            ),
        IF(
            INDEX($AB:$AB, COLUMN(E1)+1) = "4. Pleegzorg producten",
                  "",
            ""
        )
    )
)</f>
        <v/>
      </c>
      <c r="H17" s="198" t="str">
        <f>IF(
    INDEX($AB:$AB, COLUMN(F1)+1) = "1a. Input organisatieniveau",
        "",
    IF(
        INDEX($AB:$AB, COLUMN(F1)+1) = "3. Gezinshuis producten",
            INDEX('3. Gezinshuis producten'!$N$18:$Z$18, MATCH(INDEX($AA:$AA, COLUMN(F1)+1),
                    '3. Gezinshuis producten'!$N$15:$S$15, 0) +1
            ),
        IF(
            INDEX($AB:$AB, COLUMN(F1)+1) = "4. Pleegzorg producten",
                  "",
            ""
        )
    )
)</f>
        <v/>
      </c>
      <c r="I17" s="198" t="str">
        <f>IF(
    INDEX($AB:$AB, COLUMN(G1)+1) = "1a. Input organisatieniveau",
        "",
    IF(
        INDEX($AB:$AB, COLUMN(G1)+1) = "3. Gezinshuis producten",
            INDEX('3. Gezinshuis producten'!$N$18:$Z$18, MATCH(INDEX($AA:$AA, COLUMN(G1)+1),
                    '3. Gezinshuis producten'!$N$15:$S$15, 0) +1
            ),
        IF(
            INDEX($AB:$AB, COLUMN(G1)+1) = "4. Pleegzorg producten",
                  "",
            ""
        )
    )
)</f>
        <v/>
      </c>
      <c r="J17" s="198" t="str">
        <f>IF(
    INDEX($AB:$AB, COLUMN(H1)+1) = "1a. Input organisatieniveau",
        "",
    IF(
        INDEX($AB:$AB, COLUMN(H1)+1) = "3. Gezinshuis producten",
            INDEX('3. Gezinshuis producten'!$N$18:$Z$18, MATCH(INDEX($AA:$AA, COLUMN(H1)+1),
                    '3. Gezinshuis producten'!$N$15:$S$15, 0) +1
            ),
        IF(
            INDEX($AB:$AB, COLUMN(H1)+1) = "4. Pleegzorg producten",
                  "",
            ""
        )
    )
)</f>
        <v/>
      </c>
      <c r="K17" s="198" t="str">
        <f>IF(
    INDEX($AB:$AB, COLUMN(I1)+1) = "1a. Input organisatieniveau",
        "",
    IF(
        INDEX($AB:$AB, COLUMN(I1)+1) = "3. Gezinshuis producten",
            INDEX('3. Gezinshuis producten'!$N$18:$Z$18, MATCH(INDEX($AA:$AA, COLUMN(I1)+1),
                    '3. Gezinshuis producten'!$N$15:$S$15, 0) +1
            ),
        IF(
            INDEX($AB:$AB, COLUMN(I1)+1) = "4. Pleegzorg producten",
                  "",
            ""
        )
    )
)</f>
        <v/>
      </c>
      <c r="L17" s="198" t="str">
        <f>IF(
    INDEX($AB:$AB, COLUMN(J1)+1) = "1a. Input organisatieniveau",
        "",
    IF(
        INDEX($AB:$AB, COLUMN(J1)+1) = "3. Gezinshuis producten",
            INDEX('3. Gezinshuis producten'!$N$18:$Z$18, MATCH(INDEX($AA:$AA, COLUMN(J1)+1),
                    '3. Gezinshuis producten'!$N$15:$S$15, 0) +1
            ),
        IF(
            INDEX($AB:$AB, COLUMN(J1)+1) = "4. Pleegzorg producten",
                  "",
            ""
        )
    )
)</f>
        <v/>
      </c>
      <c r="M17" s="198" t="str">
        <f>IF(
    INDEX($AB:$AB, COLUMN(K1)+1) = "1a. Input organisatieniveau",
        "",
    IF(
        INDEX($AB:$AB, COLUMN(K1)+1) = "3. Gezinshuis producten",
            INDEX('3. Gezinshuis producten'!$N$18:$Z$18, MATCH(INDEX($AA:$AA, COLUMN(K1)+1),
                    '3. Gezinshuis producten'!$N$15:$S$15, 0) +1
            ),
        IF(
            INDEX($AB:$AB, COLUMN(K1)+1) = "4. Pleegzorg producten",
                  "",
            ""
        )
    )
)</f>
        <v/>
      </c>
      <c r="N17" s="198" t="str">
        <f>IF(
    INDEX($AB:$AB, COLUMN(L1)+1) = "1a. Input organisatieniveau",
        "",
    IF(
        INDEX($AB:$AB, COLUMN(L1)+1) = "3. Gezinshuis producten",
            INDEX('3. Gezinshuis producten'!$N$18:$Z$18, MATCH(INDEX($AA:$AA, COLUMN(L1)+1),
                    '3. Gezinshuis producten'!$N$15:$S$15, 0) +1
            ),
        IF(
            INDEX($AB:$AB, COLUMN(L1)+1) = "4. Pleegzorg producten",
                  "",
            ""
        )
    )
)</f>
        <v/>
      </c>
      <c r="O17" s="198" t="str">
        <f>IF(
    INDEX($AB:$AB, COLUMN(M1)+1) = "1a. Input organisatieniveau",
        "",
    IF(
        INDEX($AB:$AB, COLUMN(M1)+1) = "3. Gezinshuis producten",
            INDEX('3. Gezinshuis producten'!$N$18:$Z$18, MATCH(INDEX($AA:$AA, COLUMN(M1)+1),
                    '3. Gezinshuis producten'!$N$15:$S$15, 0) +1
            ),
        IF(
            INDEX($AB:$AB, COLUMN(M1)+1) = "4. Pleegzorg producten",
                  "",
            ""
        )
    )
)</f>
        <v/>
      </c>
      <c r="P17" s="198" t="str">
        <f>IF(
    INDEX($AB:$AB, COLUMN(N1)+1) = "1a. Input organisatieniveau",
        "",
    IF(
        INDEX($AB:$AB, COLUMN(N1)+1) = "3. Gezinshuis producten",
            INDEX('3. Gezinshuis producten'!$N$18:$Z$18, MATCH(INDEX($AA:$AA, COLUMN(N1)+1),
                    '3. Gezinshuis producten'!$N$15:$S$15, 0) +1
            ),
        IF(
            INDEX($AB:$AB, COLUMN(N1)+1) = "4. Pleegzorg producten",
                  "",
            ""
        )
    )
)</f>
        <v/>
      </c>
      <c r="Q17" s="198" t="str">
        <f>IF(
    INDEX($AB:$AB, COLUMN(O1)+1) = "1a. Input organisatieniveau",
        "",
    IF(
        INDEX($AB:$AB, COLUMN(O1)+1) = "3. Gezinshuis producten",
            INDEX('3. Gezinshuis producten'!$N$18:$Z$18, MATCH(INDEX($AA:$AA, COLUMN(O1)+1),
                    '3. Gezinshuis producten'!$N$15:$S$15, 0) +1
            ),
        IF(
            INDEX($AB:$AB, COLUMN(O1)+1) = "4. Pleegzorg producten",
                  "",
            ""
        )
    )
)</f>
        <v/>
      </c>
      <c r="R17" s="198" t="str">
        <f>IF(
    INDEX($AB:$AB, COLUMN(P1)+1) = "1a. Input organisatieniveau",
        "",
    IF(
        INDEX($AB:$AB, COLUMN(P1)+1) = "3. Gezinshuis producten",
            INDEX('3. Gezinshuis producten'!$N$18:$Z$18, MATCH(INDEX($AA:$AA, COLUMN(P1)+1),
                    '3. Gezinshuis producten'!$N$15:$S$15, 0) +1
            ),
        IF(
            INDEX($AB:$AB, COLUMN(P1)+1) = "4. Pleegzorg producten",
                  "",
            ""
        )
    )
)</f>
        <v/>
      </c>
      <c r="S17" s="233" t="str">
        <f>IF(
    INDEX($AB:$AB, COLUMN(Q1)+1) = "1a. Input organisatieniveau",
        "",
    IF(
        INDEX($AB:$AB, COLUMN(Q1)+1) = "3. Gezinshuis producten",
            INDEX('3. Gezinshuis producten'!$N$18:$Z$18, MATCH(INDEX($AA:$AA, COLUMN(Q1)+1),
                    '3. Gezinshuis producten'!$N$15:$S$15, 0) +1
            ),
        IF(
            INDEX($AB:$AB, COLUMN(Q1)+1) = "4. Pleegzorg producten",
                  "",
            ""
        )
    )
)</f>
        <v/>
      </c>
      <c r="AA17" t="str">
        <f t="array" ref="AA17">IFERROR(
  IF(
    ROW(A16) &lt;= SUMPRODUCT(--('Hulp (control forms)'!$G$13:$G$52)),
      IF(
        INDEX(Initialisatie!B$10:B$49,
          SMALL(
            IF('Hulp (control forms)'!$G$13:$G$52=TRUE,
               ROW(Initialisatie!B$10:B$49)-ROW(Initialisatie!B$10)+1),
            ROW(A16)
          )
        )="","",
        INDEX(Initialisatie!B$10:B$49,
          SMALL(
            IF('Hulp (control forms)'!$G$13:$G$52=TRUE,
               ROW(Initialisatie!B$10:B$49)-ROW(Initialisatie!B$10)+1),
            ROW(A16)
          )
        )
      ),
    IFERROR(
      INDEX(
        '3. Gezinshuis producten'!E$7:E$9,
        SMALL(
          IF('Hulp (control forms)'!$F$6:$F$8=TRUE,
             ROW('3. Gezinshuis producten'!E$7:E$9)-ROW('3. Gezinshuis producten'!E$7)+1),
          ROW(A16) - SUMPRODUCT(--('Hulp (control forms)'!$G$13:$G$52))
        )
      ),
      IF(
        ROW(A16)
         - SUMPRODUCT(--('Hulp (control forms)'!$G$13:$G$52))
         - SUMPRODUCT(--('Hulp (control forms)'!$F$6:$F$8)) = 1,
        IF('4. Pleegzorg producten'!$M$26&lt;&gt;"",
           "Voltijd",
           IF('4. Pleegzorg producten'!$P$26&lt;&gt;"","Deeltijd","")
        ),
        IF(
          ROW(A16)
           - SUMPRODUCT(--('Hulp (control forms)'!$G$13:$G$52))
           - SUMPRODUCT(--('Hulp (control forms)'!$F$6:$F$8)) = 2,
          IF( AND('4. Pleegzorg producten'!$M$26&lt;&gt;"", '4. Pleegzorg producten'!$P$26&lt;&gt;"" ),
             "Deeltijd",
             ""
          ),
          ""
        )
      )
    )
  ),
"")</f>
        <v/>
      </c>
      <c r="AB17" t="str">
        <f t="array" ref="AB17">IF(
  ROW(A16) &lt;= SUMPRODUCT(--('Hulp (control forms)'!$G$13:$G$52)),
      "1a. Input organisatieniveau",
  IF(
    ROW(A16) - SUMPRODUCT(--('Hulp (control forms)'!$G$13:$G$52))
      &lt;= SUMPRODUCT(--('Hulp (control forms)'!$F$6:$F$8)),
        "3. Gezinshuis producten",
    IF(
      (ROW(A16)
        - SUMPRODUCT(--('Hulp (control forms)'!$G$13:$G$52))
        - SUMPRODUCT(--('Hulp (control forms)'!$F$6:$F$8)))
        &lt;= SUMPRODUCT(--('4. Pleegzorg producten'!$M$26&lt;&gt;"") + --('4. Pleegzorg producten'!$P$26&lt;&gt;"")),
          "4. Pleegzorg producten",
          ""
    )
  )
)</f>
        <v/>
      </c>
      <c r="AC17" t="str">
        <f t="array" ref="AC17">IF(
  ROW(A16) &lt;= SUMPRODUCT(--('Hulp (control forms)'!$G$13:$G$52)),
      ROW(A16),
  IF(
    ROW(A16) - SUMPRODUCT(--('Hulp (control forms)'!$G$13:$G$52))
      &lt;= SUMPRODUCT(--('Hulp (control forms)'!$F$6:$F$8)),
        ROW(A16) - SUMPRODUCT(--('Hulp (control forms)'!$G$13:$G$52)),
    IF(
      (ROW(A16)
        - SUMPRODUCT(--('Hulp (control forms)'!$G$13:$G$52))
        - SUMPRODUCT(--('Hulp (control forms)'!$F$6:$F$8)))
        &lt;= SUMPRODUCT(--('4. Pleegzorg producten'!$M$26&lt;&gt;"") + --('4. Pleegzorg producten'!$P$26&lt;&gt;"")),
        ROW(A16)
        - SUMPRODUCT(--('Hulp (control forms)'!$G$13:$G$52))
        - SUMPRODUCT(--('Hulp (control forms)'!$F$6:$F$8)),
        ""
    )
  )
)</f>
        <v/>
      </c>
    </row>
    <row r="18" spans="2:29" x14ac:dyDescent="0.45">
      <c r="B18" s="23" t="s">
        <v>829</v>
      </c>
      <c r="C18" s="198" t="str">
        <f>IF(
    INDEX($AB:$AB, COLUMN(A1)+1) = "1a. Input organisatieniveau",
        "",
    IF(
        INDEX($AB:$AB, COLUMN(A1)+1) = "3. Gezinshuis producten",
            INDEX('3. Gezinshuis producten'!$N$19:$Z$19, MATCH(INDEX($AA:$AA, COLUMN(A1)+1),
                    '3. Gezinshuis producten'!$N$15:$S$15, 0) +1
            ),
        IF(
            INDEX($AB:$AB, COLUMN(A1)+1) = "4. Pleegzorg producten",
                  "",
            ""
        )
    )
)</f>
        <v/>
      </c>
      <c r="D18" s="198" t="str">
        <f>IF(
    INDEX($AB:$AB, COLUMN(B1)+1) = "1a. Input organisatieniveau",
        "",
    IF(
        INDEX($AB:$AB, COLUMN(B1)+1) = "3. Gezinshuis producten",
            INDEX('3. Gezinshuis producten'!$N$19:$Z$19, MATCH(INDEX($AA:$AA, COLUMN(B1)+1),
                    '3. Gezinshuis producten'!$N$15:$S$15, 0) +1
            ),
        IF(
            INDEX($AB:$AB, COLUMN(B1)+1) = "4. Pleegzorg producten",
                  "",
            ""
        )
    )
)</f>
        <v/>
      </c>
      <c r="E18" s="198" t="str">
        <f>IF(
    INDEX($AB:$AB, COLUMN(C1)+1) = "1a. Input organisatieniveau",
        "",
    IF(
        INDEX($AB:$AB, COLUMN(C1)+1) = "3. Gezinshuis producten",
            INDEX('3. Gezinshuis producten'!$N$19:$Z$19, MATCH(INDEX($AA:$AA, COLUMN(C1)+1),
                    '3. Gezinshuis producten'!$N$15:$S$15, 0) +1
            ),
        IF(
            INDEX($AB:$AB, COLUMN(C1)+1) = "4. Pleegzorg producten",
                  "",
            ""
        )
    )
)</f>
        <v/>
      </c>
      <c r="F18" s="198" t="str">
        <f>IF(
    INDEX($AB:$AB, COLUMN(D1)+1) = "1a. Input organisatieniveau",
        "",
    IF(
        INDEX($AB:$AB, COLUMN(D1)+1) = "3. Gezinshuis producten",
            INDEX('3. Gezinshuis producten'!$N$19:$Z$19, MATCH(INDEX($AA:$AA, COLUMN(D1)+1),
                    '3. Gezinshuis producten'!$N$15:$S$15, 0) +1
            ),
        IF(
            INDEX($AB:$AB, COLUMN(D1)+1) = "4. Pleegzorg producten",
                  "",
            ""
        )
    )
)</f>
        <v/>
      </c>
      <c r="G18" s="198" t="str">
        <f>IF(
    INDEX($AB:$AB, COLUMN(E1)+1) = "1a. Input organisatieniveau",
        "",
    IF(
        INDEX($AB:$AB, COLUMN(E1)+1) = "3. Gezinshuis producten",
            INDEX('3. Gezinshuis producten'!$N$19:$Z$19, MATCH(INDEX($AA:$AA, COLUMN(E1)+1),
                    '3. Gezinshuis producten'!$N$15:$S$15, 0) +1
            ),
        IF(
            INDEX($AB:$AB, COLUMN(E1)+1) = "4. Pleegzorg producten",
                  "",
            ""
        )
    )
)</f>
        <v/>
      </c>
      <c r="H18" s="198" t="str">
        <f>IF(
    INDEX($AB:$AB, COLUMN(F1)+1) = "1a. Input organisatieniveau",
        "",
    IF(
        INDEX($AB:$AB, COLUMN(F1)+1) = "3. Gezinshuis producten",
            INDEX('3. Gezinshuis producten'!$N$19:$Z$19, MATCH(INDEX($AA:$AA, COLUMN(F1)+1),
                    '3. Gezinshuis producten'!$N$15:$S$15, 0) +1
            ),
        IF(
            INDEX($AB:$AB, COLUMN(F1)+1) = "4. Pleegzorg producten",
                  "",
            ""
        )
    )
)</f>
        <v/>
      </c>
      <c r="I18" s="198" t="str">
        <f>IF(
    INDEX($AB:$AB, COLUMN(G1)+1) = "1a. Input organisatieniveau",
        "",
    IF(
        INDEX($AB:$AB, COLUMN(G1)+1) = "3. Gezinshuis producten",
            INDEX('3. Gezinshuis producten'!$N$19:$Z$19, MATCH(INDEX($AA:$AA, COLUMN(G1)+1),
                    '3. Gezinshuis producten'!$N$15:$S$15, 0) +1
            ),
        IF(
            INDEX($AB:$AB, COLUMN(G1)+1) = "4. Pleegzorg producten",
                  "",
            ""
        )
    )
)</f>
        <v/>
      </c>
      <c r="J18" s="198" t="str">
        <f>IF(
    INDEX($AB:$AB, COLUMN(H1)+1) = "1a. Input organisatieniveau",
        "",
    IF(
        INDEX($AB:$AB, COLUMN(H1)+1) = "3. Gezinshuis producten",
            INDEX('3. Gezinshuis producten'!$N$19:$Z$19, MATCH(INDEX($AA:$AA, COLUMN(H1)+1),
                    '3. Gezinshuis producten'!$N$15:$S$15, 0) +1
            ),
        IF(
            INDEX($AB:$AB, COLUMN(H1)+1) = "4. Pleegzorg producten",
                  "",
            ""
        )
    )
)</f>
        <v/>
      </c>
      <c r="K18" s="198" t="str">
        <f>IF(
    INDEX($AB:$AB, COLUMN(I1)+1) = "1a. Input organisatieniveau",
        "",
    IF(
        INDEX($AB:$AB, COLUMN(I1)+1) = "3. Gezinshuis producten",
            INDEX('3. Gezinshuis producten'!$N$19:$Z$19, MATCH(INDEX($AA:$AA, COLUMN(I1)+1),
                    '3. Gezinshuis producten'!$N$15:$S$15, 0) +1
            ),
        IF(
            INDEX($AB:$AB, COLUMN(I1)+1) = "4. Pleegzorg producten",
                  "",
            ""
        )
    )
)</f>
        <v/>
      </c>
      <c r="L18" s="198" t="str">
        <f>IF(
    INDEX($AB:$AB, COLUMN(J1)+1) = "1a. Input organisatieniveau",
        "",
    IF(
        INDEX($AB:$AB, COLUMN(J1)+1) = "3. Gezinshuis producten",
            INDEX('3. Gezinshuis producten'!$N$19:$Z$19, MATCH(INDEX($AA:$AA, COLUMN(J1)+1),
                    '3. Gezinshuis producten'!$N$15:$S$15, 0) +1
            ),
        IF(
            INDEX($AB:$AB, COLUMN(J1)+1) = "4. Pleegzorg producten",
                  "",
            ""
        )
    )
)</f>
        <v/>
      </c>
      <c r="M18" s="198" t="str">
        <f>IF(
    INDEX($AB:$AB, COLUMN(K1)+1) = "1a. Input organisatieniveau",
        "",
    IF(
        INDEX($AB:$AB, COLUMN(K1)+1) = "3. Gezinshuis producten",
            INDEX('3. Gezinshuis producten'!$N$19:$Z$19, MATCH(INDEX($AA:$AA, COLUMN(K1)+1),
                    '3. Gezinshuis producten'!$N$15:$S$15, 0) +1
            ),
        IF(
            INDEX($AB:$AB, COLUMN(K1)+1) = "4. Pleegzorg producten",
                  "",
            ""
        )
    )
)</f>
        <v/>
      </c>
      <c r="N18" s="198" t="str">
        <f>IF(
    INDEX($AB:$AB, COLUMN(L1)+1) = "1a. Input organisatieniveau",
        "",
    IF(
        INDEX($AB:$AB, COLUMN(L1)+1) = "3. Gezinshuis producten",
            INDEX('3. Gezinshuis producten'!$N$19:$Z$19, MATCH(INDEX($AA:$AA, COLUMN(L1)+1),
                    '3. Gezinshuis producten'!$N$15:$S$15, 0) +1
            ),
        IF(
            INDEX($AB:$AB, COLUMN(L1)+1) = "4. Pleegzorg producten",
                  "",
            ""
        )
    )
)</f>
        <v/>
      </c>
      <c r="O18" s="198" t="str">
        <f>IF(
    INDEX($AB:$AB, COLUMN(M1)+1) = "1a. Input organisatieniveau",
        "",
    IF(
        INDEX($AB:$AB, COLUMN(M1)+1) = "3. Gezinshuis producten",
            INDEX('3. Gezinshuis producten'!$N$19:$Z$19, MATCH(INDEX($AA:$AA, COLUMN(M1)+1),
                    '3. Gezinshuis producten'!$N$15:$S$15, 0) +1
            ),
        IF(
            INDEX($AB:$AB, COLUMN(M1)+1) = "4. Pleegzorg producten",
                  "",
            ""
        )
    )
)</f>
        <v/>
      </c>
      <c r="P18" s="198" t="str">
        <f>IF(
    INDEX($AB:$AB, COLUMN(N1)+1) = "1a. Input organisatieniveau",
        "",
    IF(
        INDEX($AB:$AB, COLUMN(N1)+1) = "3. Gezinshuis producten",
            INDEX('3. Gezinshuis producten'!$N$19:$Z$19, MATCH(INDEX($AA:$AA, COLUMN(N1)+1),
                    '3. Gezinshuis producten'!$N$15:$S$15, 0) +1
            ),
        IF(
            INDEX($AB:$AB, COLUMN(N1)+1) = "4. Pleegzorg producten",
                  "",
            ""
        )
    )
)</f>
        <v/>
      </c>
      <c r="Q18" s="198" t="str">
        <f>IF(
    INDEX($AB:$AB, COLUMN(O1)+1) = "1a. Input organisatieniveau",
        "",
    IF(
        INDEX($AB:$AB, COLUMN(O1)+1) = "3. Gezinshuis producten",
            INDEX('3. Gezinshuis producten'!$N$19:$Z$19, MATCH(INDEX($AA:$AA, COLUMN(O1)+1),
                    '3. Gezinshuis producten'!$N$15:$S$15, 0) +1
            ),
        IF(
            INDEX($AB:$AB, COLUMN(O1)+1) = "4. Pleegzorg producten",
                  "",
            ""
        )
    )
)</f>
        <v/>
      </c>
      <c r="R18" s="198" t="str">
        <f>IF(
    INDEX($AB:$AB, COLUMN(P1)+1) = "1a. Input organisatieniveau",
        "",
    IF(
        INDEX($AB:$AB, COLUMN(P1)+1) = "3. Gezinshuis producten",
            INDEX('3. Gezinshuis producten'!$N$19:$Z$19, MATCH(INDEX($AA:$AA, COLUMN(P1)+1),
                    '3. Gezinshuis producten'!$N$15:$S$15, 0) +1
            ),
        IF(
            INDEX($AB:$AB, COLUMN(P1)+1) = "4. Pleegzorg producten",
                  "",
            ""
        )
    )
)</f>
        <v/>
      </c>
      <c r="S18" s="233" t="str">
        <f>IF(
    INDEX($AB:$AB, COLUMN(Q1)+1) = "1a. Input organisatieniveau",
        "",
    IF(
        INDEX($AB:$AB, COLUMN(Q1)+1) = "3. Gezinshuis producten",
            INDEX('3. Gezinshuis producten'!$N$19:$Z$19, MATCH(INDEX($AA:$AA, COLUMN(Q1)+1),
                    '3. Gezinshuis producten'!$N$15:$S$15, 0) +1
            ),
        IF(
            INDEX($AB:$AB, COLUMN(Q1)+1) = "4. Pleegzorg producten",
                  "",
            ""
        )
    )
)</f>
        <v/>
      </c>
      <c r="AA18" t="str">
        <f t="array" ref="AA18">IFERROR(
  IF(
    ROW(A17) &lt;= SUMPRODUCT(--('Hulp (control forms)'!$G$13:$G$52)),
      IF(
        INDEX(Initialisatie!B$10:B$49,
          SMALL(
            IF('Hulp (control forms)'!$G$13:$G$52=TRUE,
               ROW(Initialisatie!B$10:B$49)-ROW(Initialisatie!B$10)+1),
            ROW(A17)
          )
        )="","",
        INDEX(Initialisatie!B$10:B$49,
          SMALL(
            IF('Hulp (control forms)'!$G$13:$G$52=TRUE,
               ROW(Initialisatie!B$10:B$49)-ROW(Initialisatie!B$10)+1),
            ROW(A17)
          )
        )
      ),
    IFERROR(
      INDEX(
        '3. Gezinshuis producten'!E$7:E$9,
        SMALL(
          IF('Hulp (control forms)'!$F$6:$F$8=TRUE,
             ROW('3. Gezinshuis producten'!E$7:E$9)-ROW('3. Gezinshuis producten'!E$7)+1),
          ROW(A17) - SUMPRODUCT(--('Hulp (control forms)'!$G$13:$G$52))
        )
      ),
      IF(
        ROW(A17)
         - SUMPRODUCT(--('Hulp (control forms)'!$G$13:$G$52))
         - SUMPRODUCT(--('Hulp (control forms)'!$F$6:$F$8)) = 1,
        IF('4. Pleegzorg producten'!$M$26&lt;&gt;"",
           "Voltijd",
           IF('4. Pleegzorg producten'!$P$26&lt;&gt;"","Deeltijd","")
        ),
        IF(
          ROW(A17)
           - SUMPRODUCT(--('Hulp (control forms)'!$G$13:$G$52))
           - SUMPRODUCT(--('Hulp (control forms)'!$F$6:$F$8)) = 2,
          IF( AND('4. Pleegzorg producten'!$M$26&lt;&gt;"", '4. Pleegzorg producten'!$P$26&lt;&gt;"" ),
             "Deeltijd",
             ""
          ),
          ""
        )
      )
    )
  ),
"")</f>
        <v/>
      </c>
      <c r="AB18" t="str">
        <f t="array" ref="AB18">IF(
  ROW(A17) &lt;= SUMPRODUCT(--('Hulp (control forms)'!$G$13:$G$52)),
      "1a. Input organisatieniveau",
  IF(
    ROW(A17) - SUMPRODUCT(--('Hulp (control forms)'!$G$13:$G$52))
      &lt;= SUMPRODUCT(--('Hulp (control forms)'!$F$6:$F$8)),
        "3. Gezinshuis producten",
    IF(
      (ROW(A17)
        - SUMPRODUCT(--('Hulp (control forms)'!$G$13:$G$52))
        - SUMPRODUCT(--('Hulp (control forms)'!$F$6:$F$8)))
        &lt;= SUMPRODUCT(--('4. Pleegzorg producten'!$M$26&lt;&gt;"") + --('4. Pleegzorg producten'!$P$26&lt;&gt;"")),
          "4. Pleegzorg producten",
          ""
    )
  )
)</f>
        <v/>
      </c>
      <c r="AC18" t="str">
        <f t="array" ref="AC18">IF(
  ROW(A17) &lt;= SUMPRODUCT(--('Hulp (control forms)'!$G$13:$G$52)),
      ROW(A17),
  IF(
    ROW(A17) - SUMPRODUCT(--('Hulp (control forms)'!$G$13:$G$52))
      &lt;= SUMPRODUCT(--('Hulp (control forms)'!$F$6:$F$8)),
        ROW(A17) - SUMPRODUCT(--('Hulp (control forms)'!$G$13:$G$52)),
    IF(
      (ROW(A17)
        - SUMPRODUCT(--('Hulp (control forms)'!$G$13:$G$52))
        - SUMPRODUCT(--('Hulp (control forms)'!$F$6:$F$8)))
        &lt;= SUMPRODUCT(--('4. Pleegzorg producten'!$M$26&lt;&gt;"") + --('4. Pleegzorg producten'!$P$26&lt;&gt;"")),
        ROW(A17)
        - SUMPRODUCT(--('Hulp (control forms)'!$G$13:$G$52))
        - SUMPRODUCT(--('Hulp (control forms)'!$F$6:$F$8)),
        ""
    )
  )
)</f>
        <v/>
      </c>
    </row>
    <row r="19" spans="2:29" x14ac:dyDescent="0.45">
      <c r="B19" s="23" t="s">
        <v>828</v>
      </c>
      <c r="C19" s="198" t="str">
        <f>IF(
    INDEX($AB:$AB, COLUMN(A1)+1) = "1a. Input organisatieniveau",
        "",
    IF(
        INDEX($AB:$AB, COLUMN(A1)+1) = "3. Gezinshuis producten",
            INDEX('3. Gezinshuis producten'!$N$20:$Z$20, MATCH(INDEX($AA:$AA, COLUMN(A1)+1),
                    '3. Gezinshuis producten'!$N$15:$S$15, 0) +1
            ),
        IF(
            INDEX($AB:$AB, COLUMN(A1)+1) = "4. Pleegzorg producten",
                  "",
            ""
        )
    )
)</f>
        <v/>
      </c>
      <c r="D19" s="198" t="str">
        <f>IF(
    INDEX($AB:$AB, COLUMN(B1)+1) = "1a. Input organisatieniveau",
        "",
    IF(
        INDEX($AB:$AB, COLUMN(B1)+1) = "3. Gezinshuis producten",
            INDEX('3. Gezinshuis producten'!$N$20:$Z$20, MATCH(INDEX($AA:$AA, COLUMN(B1)+1),
                    '3. Gezinshuis producten'!$N$15:$S$15, 0) +1
            ),
        IF(
            INDEX($AB:$AB, COLUMN(B1)+1) = "4. Pleegzorg producten",
                  "",
            ""
        )
    )
)</f>
        <v/>
      </c>
      <c r="E19" s="198" t="str">
        <f>IF(
    INDEX($AB:$AB, COLUMN(C1)+1) = "1a. Input organisatieniveau",
        "",
    IF(
        INDEX($AB:$AB, COLUMN(C1)+1) = "3. Gezinshuis producten",
            INDEX('3. Gezinshuis producten'!$N$20:$Z$20, MATCH(INDEX($AA:$AA, COLUMN(C1)+1),
                    '3. Gezinshuis producten'!$N$15:$S$15, 0) +1
            ),
        IF(
            INDEX($AB:$AB, COLUMN(C1)+1) = "4. Pleegzorg producten",
                  "",
            ""
        )
    )
)</f>
        <v/>
      </c>
      <c r="F19" s="198" t="str">
        <f>IF(
    INDEX($AB:$AB, COLUMN(D1)+1) = "1a. Input organisatieniveau",
        "",
    IF(
        INDEX($AB:$AB, COLUMN(D1)+1) = "3. Gezinshuis producten",
            INDEX('3. Gezinshuis producten'!$N$20:$Z$20, MATCH(INDEX($AA:$AA, COLUMN(D1)+1),
                    '3. Gezinshuis producten'!$N$15:$S$15, 0) +1
            ),
        IF(
            INDEX($AB:$AB, COLUMN(D1)+1) = "4. Pleegzorg producten",
                  "",
            ""
        )
    )
)</f>
        <v/>
      </c>
      <c r="G19" s="198" t="str">
        <f>IF(
    INDEX($AB:$AB, COLUMN(E1)+1) = "1a. Input organisatieniveau",
        "",
    IF(
        INDEX($AB:$AB, COLUMN(E1)+1) = "3. Gezinshuis producten",
            INDEX('3. Gezinshuis producten'!$N$20:$Z$20, MATCH(INDEX($AA:$AA, COLUMN(E1)+1),
                    '3. Gezinshuis producten'!$N$15:$S$15, 0) +1
            ),
        IF(
            INDEX($AB:$AB, COLUMN(E1)+1) = "4. Pleegzorg producten",
                  "",
            ""
        )
    )
)</f>
        <v/>
      </c>
      <c r="H19" s="198" t="str">
        <f>IF(
    INDEX($AB:$AB, COLUMN(F1)+1) = "1a. Input organisatieniveau",
        "",
    IF(
        INDEX($AB:$AB, COLUMN(F1)+1) = "3. Gezinshuis producten",
            INDEX('3. Gezinshuis producten'!$N$20:$Z$20, MATCH(INDEX($AA:$AA, COLUMN(F1)+1),
                    '3. Gezinshuis producten'!$N$15:$S$15, 0) +1
            ),
        IF(
            INDEX($AB:$AB, COLUMN(F1)+1) = "4. Pleegzorg producten",
                  "",
            ""
        )
    )
)</f>
        <v/>
      </c>
      <c r="I19" s="198" t="str">
        <f>IF(
    INDEX($AB:$AB, COLUMN(G1)+1) = "1a. Input organisatieniveau",
        "",
    IF(
        INDEX($AB:$AB, COLUMN(G1)+1) = "3. Gezinshuis producten",
            INDEX('3. Gezinshuis producten'!$N$20:$Z$20, MATCH(INDEX($AA:$AA, COLUMN(G1)+1),
                    '3. Gezinshuis producten'!$N$15:$S$15, 0) +1
            ),
        IF(
            INDEX($AB:$AB, COLUMN(G1)+1) = "4. Pleegzorg producten",
                  "",
            ""
        )
    )
)</f>
        <v/>
      </c>
      <c r="J19" s="198" t="str">
        <f>IF(
    INDEX($AB:$AB, COLUMN(H1)+1) = "1a. Input organisatieniveau",
        "",
    IF(
        INDEX($AB:$AB, COLUMN(H1)+1) = "3. Gezinshuis producten",
            INDEX('3. Gezinshuis producten'!$N$20:$Z$20, MATCH(INDEX($AA:$AA, COLUMN(H1)+1),
                    '3. Gezinshuis producten'!$N$15:$S$15, 0) +1
            ),
        IF(
            INDEX($AB:$AB, COLUMN(H1)+1) = "4. Pleegzorg producten",
                  "",
            ""
        )
    )
)</f>
        <v/>
      </c>
      <c r="K19" s="198" t="str">
        <f>IF(
    INDEX($AB:$AB, COLUMN(I1)+1) = "1a. Input organisatieniveau",
        "",
    IF(
        INDEX($AB:$AB, COLUMN(I1)+1) = "3. Gezinshuis producten",
            INDEX('3. Gezinshuis producten'!$N$20:$Z$20, MATCH(INDEX($AA:$AA, COLUMN(I1)+1),
                    '3. Gezinshuis producten'!$N$15:$S$15, 0) +1
            ),
        IF(
            INDEX($AB:$AB, COLUMN(I1)+1) = "4. Pleegzorg producten",
                  "",
            ""
        )
    )
)</f>
        <v/>
      </c>
      <c r="L19" s="198" t="str">
        <f>IF(
    INDEX($AB:$AB, COLUMN(J1)+1) = "1a. Input organisatieniveau",
        "",
    IF(
        INDEX($AB:$AB, COLUMN(J1)+1) = "3. Gezinshuis producten",
            INDEX('3. Gezinshuis producten'!$N$20:$Z$20, MATCH(INDEX($AA:$AA, COLUMN(J1)+1),
                    '3. Gezinshuis producten'!$N$15:$S$15, 0) +1
            ),
        IF(
            INDEX($AB:$AB, COLUMN(J1)+1) = "4. Pleegzorg producten",
                  "",
            ""
        )
    )
)</f>
        <v/>
      </c>
      <c r="M19" s="198" t="str">
        <f>IF(
    INDEX($AB:$AB, COLUMN(K1)+1) = "1a. Input organisatieniveau",
        "",
    IF(
        INDEX($AB:$AB, COLUMN(K1)+1) = "3. Gezinshuis producten",
            INDEX('3. Gezinshuis producten'!$N$20:$Z$20, MATCH(INDEX($AA:$AA, COLUMN(K1)+1),
                    '3. Gezinshuis producten'!$N$15:$S$15, 0) +1
            ),
        IF(
            INDEX($AB:$AB, COLUMN(K1)+1) = "4. Pleegzorg producten",
                  "",
            ""
        )
    )
)</f>
        <v/>
      </c>
      <c r="N19" s="198" t="str">
        <f>IF(
    INDEX($AB:$AB, COLUMN(L1)+1) = "1a. Input organisatieniveau",
        "",
    IF(
        INDEX($AB:$AB, COLUMN(L1)+1) = "3. Gezinshuis producten",
            INDEX('3. Gezinshuis producten'!$N$20:$Z$20, MATCH(INDEX($AA:$AA, COLUMN(L1)+1),
                    '3. Gezinshuis producten'!$N$15:$S$15, 0) +1
            ),
        IF(
            INDEX($AB:$AB, COLUMN(L1)+1) = "4. Pleegzorg producten",
                  "",
            ""
        )
    )
)</f>
        <v/>
      </c>
      <c r="O19" s="198" t="str">
        <f>IF(
    INDEX($AB:$AB, COLUMN(M1)+1) = "1a. Input organisatieniveau",
        "",
    IF(
        INDEX($AB:$AB, COLUMN(M1)+1) = "3. Gezinshuis producten",
            INDEX('3. Gezinshuis producten'!$N$20:$Z$20, MATCH(INDEX($AA:$AA, COLUMN(M1)+1),
                    '3. Gezinshuis producten'!$N$15:$S$15, 0) +1
            ),
        IF(
            INDEX($AB:$AB, COLUMN(M1)+1) = "4. Pleegzorg producten",
                  "",
            ""
        )
    )
)</f>
        <v/>
      </c>
      <c r="P19" s="198" t="str">
        <f>IF(
    INDEX($AB:$AB, COLUMN(N1)+1) = "1a. Input organisatieniveau",
        "",
    IF(
        INDEX($AB:$AB, COLUMN(N1)+1) = "3. Gezinshuis producten",
            INDEX('3. Gezinshuis producten'!$N$20:$Z$20, MATCH(INDEX($AA:$AA, COLUMN(N1)+1),
                    '3. Gezinshuis producten'!$N$15:$S$15, 0) +1
            ),
        IF(
            INDEX($AB:$AB, COLUMN(N1)+1) = "4. Pleegzorg producten",
                  "",
            ""
        )
    )
)</f>
        <v/>
      </c>
      <c r="Q19" s="198" t="str">
        <f>IF(
    INDEX($AB:$AB, COLUMN(O1)+1) = "1a. Input organisatieniveau",
        "",
    IF(
        INDEX($AB:$AB, COLUMN(O1)+1) = "3. Gezinshuis producten",
            INDEX('3. Gezinshuis producten'!$N$20:$Z$20, MATCH(INDEX($AA:$AA, COLUMN(O1)+1),
                    '3. Gezinshuis producten'!$N$15:$S$15, 0) +1
            ),
        IF(
            INDEX($AB:$AB, COLUMN(O1)+1) = "4. Pleegzorg producten",
                  "",
            ""
        )
    )
)</f>
        <v/>
      </c>
      <c r="R19" s="198" t="str">
        <f>IF(
    INDEX($AB:$AB, COLUMN(P1)+1) = "1a. Input organisatieniveau",
        "",
    IF(
        INDEX($AB:$AB, COLUMN(P1)+1) = "3. Gezinshuis producten",
            INDEX('3. Gezinshuis producten'!$N$20:$Z$20, MATCH(INDEX($AA:$AA, COLUMN(P1)+1),
                    '3. Gezinshuis producten'!$N$15:$S$15, 0) +1
            ),
        IF(
            INDEX($AB:$AB, COLUMN(P1)+1) = "4. Pleegzorg producten",
                  "",
            ""
        )
    )
)</f>
        <v/>
      </c>
      <c r="S19" s="233" t="str">
        <f>IF(
    INDEX($AB:$AB, COLUMN(Q1)+1) = "1a. Input organisatieniveau",
        "",
    IF(
        INDEX($AB:$AB, COLUMN(Q1)+1) = "3. Gezinshuis producten",
            INDEX('3. Gezinshuis producten'!$N$20:$Z$20, MATCH(INDEX($AA:$AA, COLUMN(Q1)+1),
                    '3. Gezinshuis producten'!$N$15:$S$15, 0) +1
            ),
        IF(
            INDEX($AB:$AB, COLUMN(Q1)+1) = "4. Pleegzorg producten",
                  "",
            ""
        )
    )
)</f>
        <v/>
      </c>
    </row>
    <row r="20" spans="2:29" x14ac:dyDescent="0.45">
      <c r="B20" s="23" t="s">
        <v>834</v>
      </c>
      <c r="C20" s="198" t="str">
        <f>IF(
    INDEX($AB:$AB, COLUMN(A1)+1) = "1a. Input organisatieniveau",
        "",
    IF(
        INDEX($AB:$AB, COLUMN(A1)+1) = "3. Gezinshuis producten",
            INDEX('3. Gezinshuis producten'!$N$23:$Z$23, MATCH(INDEX($AA:$AA, COLUMN(A1)+1),
                    '3. Gezinshuis producten'!$N$15:$S$15, 0) +1
            ),
        IF(
            INDEX($AB:$AB, COLUMN(A1)+1) = "4. Pleegzorg producten",
                  "",
            ""
        )
    )
)</f>
        <v/>
      </c>
      <c r="D20" s="198" t="str">
        <f>IF(
    INDEX($AB:$AB, COLUMN(B1)+1) = "1a. Input organisatieniveau",
        "",
    IF(
        INDEX($AB:$AB, COLUMN(B1)+1) = "3. Gezinshuis producten",
            INDEX('3. Gezinshuis producten'!$N$23:$Z$23, MATCH(INDEX($AA:$AA, COLUMN(B1)+1),
                    '3. Gezinshuis producten'!$N$15:$S$15, 0) +1
            ),
        IF(
            INDEX($AB:$AB, COLUMN(B1)+1) = "4. Pleegzorg producten",
                  "",
            ""
        )
    )
)</f>
        <v/>
      </c>
      <c r="E20" s="198" t="str">
        <f>IF(
    INDEX($AB:$AB, COLUMN(C1)+1) = "1a. Input organisatieniveau",
        "",
    IF(
        INDEX($AB:$AB, COLUMN(C1)+1) = "3. Gezinshuis producten",
            INDEX('3. Gezinshuis producten'!$N$23:$Z$23, MATCH(INDEX($AA:$AA, COLUMN(C1)+1),
                    '3. Gezinshuis producten'!$N$15:$S$15, 0) +1
            ),
        IF(
            INDEX($AB:$AB, COLUMN(C1)+1) = "4. Pleegzorg producten",
                  "",
            ""
        )
    )
)</f>
        <v/>
      </c>
      <c r="F20" s="198" t="str">
        <f>IF(
    INDEX($AB:$AB, COLUMN(D1)+1) = "1a. Input organisatieniveau",
        "",
    IF(
        INDEX($AB:$AB, COLUMN(D1)+1) = "3. Gezinshuis producten",
            INDEX('3. Gezinshuis producten'!$N$23:$Z$23, MATCH(INDEX($AA:$AA, COLUMN(D1)+1),
                    '3. Gezinshuis producten'!$N$15:$S$15, 0) +1
            ),
        IF(
            INDEX($AB:$AB, COLUMN(D1)+1) = "4. Pleegzorg producten",
                  "",
            ""
        )
    )
)</f>
        <v/>
      </c>
      <c r="G20" s="198" t="str">
        <f>IF(
    INDEX($AB:$AB, COLUMN(E1)+1) = "1a. Input organisatieniveau",
        "",
    IF(
        INDEX($AB:$AB, COLUMN(E1)+1) = "3. Gezinshuis producten",
            INDEX('3. Gezinshuis producten'!$N$23:$Z$23, MATCH(INDEX($AA:$AA, COLUMN(E1)+1),
                    '3. Gezinshuis producten'!$N$15:$S$15, 0) +1
            ),
        IF(
            INDEX($AB:$AB, COLUMN(E1)+1) = "4. Pleegzorg producten",
                  "",
            ""
        )
    )
)</f>
        <v/>
      </c>
      <c r="H20" s="198" t="str">
        <f>IF(
    INDEX($AB:$AB, COLUMN(F1)+1) = "1a. Input organisatieniveau",
        "",
    IF(
        INDEX($AB:$AB, COLUMN(F1)+1) = "3. Gezinshuis producten",
            INDEX('3. Gezinshuis producten'!$N$23:$Z$23, MATCH(INDEX($AA:$AA, COLUMN(F1)+1),
                    '3. Gezinshuis producten'!$N$15:$S$15, 0) +1
            ),
        IF(
            INDEX($AB:$AB, COLUMN(F1)+1) = "4. Pleegzorg producten",
                  "",
            ""
        )
    )
)</f>
        <v/>
      </c>
      <c r="I20" s="198" t="str">
        <f>IF(
    INDEX($AB:$AB, COLUMN(G1)+1) = "1a. Input organisatieniveau",
        "",
    IF(
        INDEX($AB:$AB, COLUMN(G1)+1) = "3. Gezinshuis producten",
            INDEX('3. Gezinshuis producten'!$N$23:$Z$23, MATCH(INDEX($AA:$AA, COLUMN(G1)+1),
                    '3. Gezinshuis producten'!$N$15:$S$15, 0) +1
            ),
        IF(
            INDEX($AB:$AB, COLUMN(G1)+1) = "4. Pleegzorg producten",
                  "",
            ""
        )
    )
)</f>
        <v/>
      </c>
      <c r="J20" s="198" t="str">
        <f>IF(
    INDEX($AB:$AB, COLUMN(H1)+1) = "1a. Input organisatieniveau",
        "",
    IF(
        INDEX($AB:$AB, COLUMN(H1)+1) = "3. Gezinshuis producten",
            INDEX('3. Gezinshuis producten'!$N$23:$Z$23, MATCH(INDEX($AA:$AA, COLUMN(H1)+1),
                    '3. Gezinshuis producten'!$N$15:$S$15, 0) +1
            ),
        IF(
            INDEX($AB:$AB, COLUMN(H1)+1) = "4. Pleegzorg producten",
                  "",
            ""
        )
    )
)</f>
        <v/>
      </c>
      <c r="K20" s="198" t="str">
        <f>IF(
    INDEX($AB:$AB, COLUMN(I1)+1) = "1a. Input organisatieniveau",
        "",
    IF(
        INDEX($AB:$AB, COLUMN(I1)+1) = "3. Gezinshuis producten",
            INDEX('3. Gezinshuis producten'!$N$23:$Z$23, MATCH(INDEX($AA:$AA, COLUMN(I1)+1),
                    '3. Gezinshuis producten'!$N$15:$S$15, 0) +1
            ),
        IF(
            INDEX($AB:$AB, COLUMN(I1)+1) = "4. Pleegzorg producten",
                  "",
            ""
        )
    )
)</f>
        <v/>
      </c>
      <c r="L20" s="198" t="str">
        <f>IF(
    INDEX($AB:$AB, COLUMN(J1)+1) = "1a. Input organisatieniveau",
        "",
    IF(
        INDEX($AB:$AB, COLUMN(J1)+1) = "3. Gezinshuis producten",
            INDEX('3. Gezinshuis producten'!$N$23:$Z$23, MATCH(INDEX($AA:$AA, COLUMN(J1)+1),
                    '3. Gezinshuis producten'!$N$15:$S$15, 0) +1
            ),
        IF(
            INDEX($AB:$AB, COLUMN(J1)+1) = "4. Pleegzorg producten",
                  "",
            ""
        )
    )
)</f>
        <v/>
      </c>
      <c r="M20" s="198" t="str">
        <f>IF(
    INDEX($AB:$AB, COLUMN(K1)+1) = "1a. Input organisatieniveau",
        "",
    IF(
        INDEX($AB:$AB, COLUMN(K1)+1) = "3. Gezinshuis producten",
            INDEX('3. Gezinshuis producten'!$N$23:$Z$23, MATCH(INDEX($AA:$AA, COLUMN(K1)+1),
                    '3. Gezinshuis producten'!$N$15:$S$15, 0) +1
            ),
        IF(
            INDEX($AB:$AB, COLUMN(K1)+1) = "4. Pleegzorg producten",
                  "",
            ""
        )
    )
)</f>
        <v/>
      </c>
      <c r="N20" s="198" t="str">
        <f>IF(
    INDEX($AB:$AB, COLUMN(L1)+1) = "1a. Input organisatieniveau",
        "",
    IF(
        INDEX($AB:$AB, COLUMN(L1)+1) = "3. Gezinshuis producten",
            INDEX('3. Gezinshuis producten'!$N$23:$Z$23, MATCH(INDEX($AA:$AA, COLUMN(L1)+1),
                    '3. Gezinshuis producten'!$N$15:$S$15, 0) +1
            ),
        IF(
            INDEX($AB:$AB, COLUMN(L1)+1) = "4. Pleegzorg producten",
                  "",
            ""
        )
    )
)</f>
        <v/>
      </c>
      <c r="O20" s="198" t="str">
        <f>IF(
    INDEX($AB:$AB, COLUMN(M1)+1) = "1a. Input organisatieniveau",
        "",
    IF(
        INDEX($AB:$AB, COLUMN(M1)+1) = "3. Gezinshuis producten",
            INDEX('3. Gezinshuis producten'!$N$23:$Z$23, MATCH(INDEX($AA:$AA, COLUMN(M1)+1),
                    '3. Gezinshuis producten'!$N$15:$S$15, 0) +1
            ),
        IF(
            INDEX($AB:$AB, COLUMN(M1)+1) = "4. Pleegzorg producten",
                  "",
            ""
        )
    )
)</f>
        <v/>
      </c>
      <c r="P20" s="198" t="str">
        <f>IF(
    INDEX($AB:$AB, COLUMN(N1)+1) = "1a. Input organisatieniveau",
        "",
    IF(
        INDEX($AB:$AB, COLUMN(N1)+1) = "3. Gezinshuis producten",
            INDEX('3. Gezinshuis producten'!$N$23:$Z$23, MATCH(INDEX($AA:$AA, COLUMN(N1)+1),
                    '3. Gezinshuis producten'!$N$15:$S$15, 0) +1
            ),
        IF(
            INDEX($AB:$AB, COLUMN(N1)+1) = "4. Pleegzorg producten",
                  "",
            ""
        )
    )
)</f>
        <v/>
      </c>
      <c r="Q20" s="198" t="str">
        <f>IF(
    INDEX($AB:$AB, COLUMN(O1)+1) = "1a. Input organisatieniveau",
        "",
    IF(
        INDEX($AB:$AB, COLUMN(O1)+1) = "3. Gezinshuis producten",
            INDEX('3. Gezinshuis producten'!$N$23:$Z$23, MATCH(INDEX($AA:$AA, COLUMN(O1)+1),
                    '3. Gezinshuis producten'!$N$15:$S$15, 0) +1
            ),
        IF(
            INDEX($AB:$AB, COLUMN(O1)+1) = "4. Pleegzorg producten",
                  "",
            ""
        )
    )
)</f>
        <v/>
      </c>
      <c r="R20" s="198" t="str">
        <f>IF(
    INDEX($AB:$AB, COLUMN(P1)+1) = "1a. Input organisatieniveau",
        "",
    IF(
        INDEX($AB:$AB, COLUMN(P1)+1) = "3. Gezinshuis producten",
            INDEX('3. Gezinshuis producten'!$N$23:$Z$23, MATCH(INDEX($AA:$AA, COLUMN(P1)+1),
                    '3. Gezinshuis producten'!$N$15:$S$15, 0) +1
            ),
        IF(
            INDEX($AB:$AB, COLUMN(P1)+1) = "4. Pleegzorg producten",
                  "",
            ""
        )
    )
)</f>
        <v/>
      </c>
      <c r="S20" s="233" t="str">
        <f>IF(
    INDEX($AB:$AB, COLUMN(Q1)+1) = "1a. Input organisatieniveau",
        "",
    IF(
        INDEX($AB:$AB, COLUMN(Q1)+1) = "3. Gezinshuis producten",
            INDEX('3. Gezinshuis producten'!$N$23:$Z$23, MATCH(INDEX($AA:$AA, COLUMN(Q1)+1),
                    '3. Gezinshuis producten'!$N$15:$S$15, 0) +1
            ),
        IF(
            INDEX($AB:$AB, COLUMN(Q1)+1) = "4. Pleegzorg producten",
                  "",
            ""
        )
    )
)</f>
        <v/>
      </c>
    </row>
    <row r="21" spans="2:29" x14ac:dyDescent="0.45">
      <c r="B21" s="23" t="s">
        <v>835</v>
      </c>
      <c r="C21" s="198" t="str">
        <f>IF(
    INDEX($AB:$AB, COLUMN(A1)+1) = "1a. Input organisatieniveau",
        "",
    IF(
        INDEX($AB:$AB, COLUMN(A1)+1) = "3. Gezinshuis producten",
            INDEX('3. Gezinshuis producten'!$N$25:$Z$25, MATCH(INDEX($AA:$AA, COLUMN(A1)+1),
                    '3. Gezinshuis producten'!$N$15:$S$15, 0) +1
            ),
        IF(
            INDEX($AB:$AB, COLUMN(A1)+1) = "4. Pleegzorg producten",
                  "",
            ""
        )
    )
)</f>
        <v/>
      </c>
      <c r="D21" s="198" t="str">
        <f>IF(
    INDEX($AB:$AB, COLUMN(B1)+1) = "1a. Input organisatieniveau",
        "",
    IF(
        INDEX($AB:$AB, COLUMN(B1)+1) = "3. Gezinshuis producten",
            INDEX('3. Gezinshuis producten'!$N$25:$Z$25, MATCH(INDEX($AA:$AA, COLUMN(B1)+1),
                    '3. Gezinshuis producten'!$N$15:$S$15, 0) +1
            ),
        IF(
            INDEX($AB:$AB, COLUMN(B1)+1) = "4. Pleegzorg producten",
                  "",
            ""
        )
    )
)</f>
        <v/>
      </c>
      <c r="E21" s="198" t="str">
        <f>IF(
    INDEX($AB:$AB, COLUMN(C1)+1) = "1a. Input organisatieniveau",
        "",
    IF(
        INDEX($AB:$AB, COLUMN(C1)+1) = "3. Gezinshuis producten",
            INDEX('3. Gezinshuis producten'!$N$25:$Z$25, MATCH(INDEX($AA:$AA, COLUMN(C1)+1),
                    '3. Gezinshuis producten'!$N$15:$S$15, 0) +1
            ),
        IF(
            INDEX($AB:$AB, COLUMN(C1)+1) = "4. Pleegzorg producten",
                  "",
            ""
        )
    )
)</f>
        <v/>
      </c>
      <c r="F21" s="198" t="str">
        <f>IF(
    INDEX($AB:$AB, COLUMN(D1)+1) = "1a. Input organisatieniveau",
        "",
    IF(
        INDEX($AB:$AB, COLUMN(D1)+1) = "3. Gezinshuis producten",
            INDEX('3. Gezinshuis producten'!$N$25:$Z$25, MATCH(INDEX($AA:$AA, COLUMN(D1)+1),
                    '3. Gezinshuis producten'!$N$15:$S$15, 0) +1
            ),
        IF(
            INDEX($AB:$AB, COLUMN(D1)+1) = "4. Pleegzorg producten",
                  "",
            ""
        )
    )
)</f>
        <v/>
      </c>
      <c r="G21" s="198" t="str">
        <f>IF(
    INDEX($AB:$AB, COLUMN(E1)+1) = "1a. Input organisatieniveau",
        "",
    IF(
        INDEX($AB:$AB, COLUMN(E1)+1) = "3. Gezinshuis producten",
            INDEX('3. Gezinshuis producten'!$N$25:$Z$25, MATCH(INDEX($AA:$AA, COLUMN(E1)+1),
                    '3. Gezinshuis producten'!$N$15:$S$15, 0) +1
            ),
        IF(
            INDEX($AB:$AB, COLUMN(E1)+1) = "4. Pleegzorg producten",
                  "",
            ""
        )
    )
)</f>
        <v/>
      </c>
      <c r="H21" s="198" t="str">
        <f>IF(
    INDEX($AB:$AB, COLUMN(F1)+1) = "1a. Input organisatieniveau",
        "",
    IF(
        INDEX($AB:$AB, COLUMN(F1)+1) = "3. Gezinshuis producten",
            INDEX('3. Gezinshuis producten'!$N$25:$Z$25, MATCH(INDEX($AA:$AA, COLUMN(F1)+1),
                    '3. Gezinshuis producten'!$N$15:$S$15, 0) +1
            ),
        IF(
            INDEX($AB:$AB, COLUMN(F1)+1) = "4. Pleegzorg producten",
                  "",
            ""
        )
    )
)</f>
        <v/>
      </c>
      <c r="I21" s="198" t="str">
        <f>IF(
    INDEX($AB:$AB, COLUMN(G1)+1) = "1a. Input organisatieniveau",
        "",
    IF(
        INDEX($AB:$AB, COLUMN(G1)+1) = "3. Gezinshuis producten",
            INDEX('3. Gezinshuis producten'!$N$25:$Z$25, MATCH(INDEX($AA:$AA, COLUMN(G1)+1),
                    '3. Gezinshuis producten'!$N$15:$S$15, 0) +1
            ),
        IF(
            INDEX($AB:$AB, COLUMN(G1)+1) = "4. Pleegzorg producten",
                  "",
            ""
        )
    )
)</f>
        <v/>
      </c>
      <c r="J21" s="198" t="str">
        <f>IF(
    INDEX($AB:$AB, COLUMN(H1)+1) = "1a. Input organisatieniveau",
        "",
    IF(
        INDEX($AB:$AB, COLUMN(H1)+1) = "3. Gezinshuis producten",
            INDEX('3. Gezinshuis producten'!$N$25:$Z$25, MATCH(INDEX($AA:$AA, COLUMN(H1)+1),
                    '3. Gezinshuis producten'!$N$15:$S$15, 0) +1
            ),
        IF(
            INDEX($AB:$AB, COLUMN(H1)+1) = "4. Pleegzorg producten",
                  "",
            ""
        )
    )
)</f>
        <v/>
      </c>
      <c r="K21" s="198" t="str">
        <f>IF(
    INDEX($AB:$AB, COLUMN(I1)+1) = "1a. Input organisatieniveau",
        "",
    IF(
        INDEX($AB:$AB, COLUMN(I1)+1) = "3. Gezinshuis producten",
            INDEX('3. Gezinshuis producten'!$N$25:$Z$25, MATCH(INDEX($AA:$AA, COLUMN(I1)+1),
                    '3. Gezinshuis producten'!$N$15:$S$15, 0) +1
            ),
        IF(
            INDEX($AB:$AB, COLUMN(I1)+1) = "4. Pleegzorg producten",
                  "",
            ""
        )
    )
)</f>
        <v/>
      </c>
      <c r="L21" s="198" t="str">
        <f>IF(
    INDEX($AB:$AB, COLUMN(J1)+1) = "1a. Input organisatieniveau",
        "",
    IF(
        INDEX($AB:$AB, COLUMN(J1)+1) = "3. Gezinshuis producten",
            INDEX('3. Gezinshuis producten'!$N$25:$Z$25, MATCH(INDEX($AA:$AA, COLUMN(J1)+1),
                    '3. Gezinshuis producten'!$N$15:$S$15, 0) +1
            ),
        IF(
            INDEX($AB:$AB, COLUMN(J1)+1) = "4. Pleegzorg producten",
                  "",
            ""
        )
    )
)</f>
        <v/>
      </c>
      <c r="M21" s="198" t="str">
        <f>IF(
    INDEX($AB:$AB, COLUMN(K1)+1) = "1a. Input organisatieniveau",
        "",
    IF(
        INDEX($AB:$AB, COLUMN(K1)+1) = "3. Gezinshuis producten",
            INDEX('3. Gezinshuis producten'!$N$25:$Z$25, MATCH(INDEX($AA:$AA, COLUMN(K1)+1),
                    '3. Gezinshuis producten'!$N$15:$S$15, 0) +1
            ),
        IF(
            INDEX($AB:$AB, COLUMN(K1)+1) = "4. Pleegzorg producten",
                  "",
            ""
        )
    )
)</f>
        <v/>
      </c>
      <c r="N21" s="198" t="str">
        <f>IF(
    INDEX($AB:$AB, COLUMN(L1)+1) = "1a. Input organisatieniveau",
        "",
    IF(
        INDEX($AB:$AB, COLUMN(L1)+1) = "3. Gezinshuis producten",
            INDEX('3. Gezinshuis producten'!$N$25:$Z$25, MATCH(INDEX($AA:$AA, COLUMN(L1)+1),
                    '3. Gezinshuis producten'!$N$15:$S$15, 0) +1
            ),
        IF(
            INDEX($AB:$AB, COLUMN(L1)+1) = "4. Pleegzorg producten",
                  "",
            ""
        )
    )
)</f>
        <v/>
      </c>
      <c r="O21" s="198" t="str">
        <f>IF(
    INDEX($AB:$AB, COLUMN(M1)+1) = "1a. Input organisatieniveau",
        "",
    IF(
        INDEX($AB:$AB, COLUMN(M1)+1) = "3. Gezinshuis producten",
            INDEX('3. Gezinshuis producten'!$N$25:$Z$25, MATCH(INDEX($AA:$AA, COLUMN(M1)+1),
                    '3. Gezinshuis producten'!$N$15:$S$15, 0) +1
            ),
        IF(
            INDEX($AB:$AB, COLUMN(M1)+1) = "4. Pleegzorg producten",
                  "",
            ""
        )
    )
)</f>
        <v/>
      </c>
      <c r="P21" s="198" t="str">
        <f>IF(
    INDEX($AB:$AB, COLUMN(N1)+1) = "1a. Input organisatieniveau",
        "",
    IF(
        INDEX($AB:$AB, COLUMN(N1)+1) = "3. Gezinshuis producten",
            INDEX('3. Gezinshuis producten'!$N$25:$Z$25, MATCH(INDEX($AA:$AA, COLUMN(N1)+1),
                    '3. Gezinshuis producten'!$N$15:$S$15, 0) +1
            ),
        IF(
            INDEX($AB:$AB, COLUMN(N1)+1) = "4. Pleegzorg producten",
                  "",
            ""
        )
    )
)</f>
        <v/>
      </c>
      <c r="Q21" s="198" t="str">
        <f>IF(
    INDEX($AB:$AB, COLUMN(O1)+1) = "1a. Input organisatieniveau",
        "",
    IF(
        INDEX($AB:$AB, COLUMN(O1)+1) = "3. Gezinshuis producten",
            INDEX('3. Gezinshuis producten'!$N$25:$Z$25, MATCH(INDEX($AA:$AA, COLUMN(O1)+1),
                    '3. Gezinshuis producten'!$N$15:$S$15, 0) +1
            ),
        IF(
            INDEX($AB:$AB, COLUMN(O1)+1) = "4. Pleegzorg producten",
                  "",
            ""
        )
    )
)</f>
        <v/>
      </c>
      <c r="R21" s="198" t="str">
        <f>IF(
    INDEX($AB:$AB, COLUMN(P1)+1) = "1a. Input organisatieniveau",
        "",
    IF(
        INDEX($AB:$AB, COLUMN(P1)+1) = "3. Gezinshuis producten",
            INDEX('3. Gezinshuis producten'!$N$25:$Z$25, MATCH(INDEX($AA:$AA, COLUMN(P1)+1),
                    '3. Gezinshuis producten'!$N$15:$S$15, 0) +1
            ),
        IF(
            INDEX($AB:$AB, COLUMN(P1)+1) = "4. Pleegzorg producten",
                  "",
            ""
        )
    )
)</f>
        <v/>
      </c>
      <c r="S21" s="233" t="str">
        <f>IF(
    INDEX($AB:$AB, COLUMN(Q1)+1) = "1a. Input organisatieniveau",
        "",
    IF(
        INDEX($AB:$AB, COLUMN(Q1)+1) = "3. Gezinshuis producten",
            INDEX('3. Gezinshuis producten'!$N$25:$Z$25, MATCH(INDEX($AA:$AA, COLUMN(Q1)+1),
                    '3. Gezinshuis producten'!$N$15:$S$15, 0) +1
            ),
        IF(
            INDEX($AB:$AB, COLUMN(Q1)+1) = "4. Pleegzorg producten",
                  "",
            ""
        )
    )
)</f>
        <v/>
      </c>
    </row>
    <row r="22" spans="2:29" x14ac:dyDescent="0.45">
      <c r="B22" s="23" t="s">
        <v>837</v>
      </c>
      <c r="C22" s="198" t="str">
        <f>IF(
    INDEX($AB:$AB, COLUMN(A1)+1) = "1a. Input organisatieniveau",
        "",
    IF(
        INDEX($AB:$AB, COLUMN(A1)+1) = "3. Gezinshuis producten",
            INDEX('3. Gezinshuis producten'!$N$28:$Z$28, MATCH(INDEX($AA:$AA, COLUMN(A1)+1),
                    '3. Gezinshuis producten'!$N$15:$S$15, 0) +1
            ),
        IF(
            INDEX($AB:$AB, COLUMN(A1)+1) = "4. Pleegzorg producten",
                  "",
            ""
        )
    )
)</f>
        <v/>
      </c>
      <c r="D22" s="198" t="str">
        <f>IF(
    INDEX($AB:$AB, COLUMN(B1)+1) = "1a. Input organisatieniveau",
        "",
    IF(
        INDEX($AB:$AB, COLUMN(B1)+1) = "3. Gezinshuis producten",
            INDEX('3. Gezinshuis producten'!$N$28:$Z$28, MATCH(INDEX($AA:$AA, COLUMN(B1)+1),
                    '3. Gezinshuis producten'!$N$15:$S$15, 0) +1
            ),
        IF(
            INDEX($AB:$AB, COLUMN(B1)+1) = "4. Pleegzorg producten",
                  "",
            ""
        )
    )
)</f>
        <v/>
      </c>
      <c r="E22" s="198" t="str">
        <f>IF(
    INDEX($AB:$AB, COLUMN(C1)+1) = "1a. Input organisatieniveau",
        "",
    IF(
        INDEX($AB:$AB, COLUMN(C1)+1) = "3. Gezinshuis producten",
            INDEX('3. Gezinshuis producten'!$N$28:$Z$28, MATCH(INDEX($AA:$AA, COLUMN(C1)+1),
                    '3. Gezinshuis producten'!$N$15:$S$15, 0) +1
            ),
        IF(
            INDEX($AB:$AB, COLUMN(C1)+1) = "4. Pleegzorg producten",
                  "",
            ""
        )
    )
)</f>
        <v/>
      </c>
      <c r="F22" s="198" t="str">
        <f>IF(
    INDEX($AB:$AB, COLUMN(D1)+1) = "1a. Input organisatieniveau",
        "",
    IF(
        INDEX($AB:$AB, COLUMN(D1)+1) = "3. Gezinshuis producten",
            INDEX('3. Gezinshuis producten'!$N$28:$Z$28, MATCH(INDEX($AA:$AA, COLUMN(D1)+1),
                    '3. Gezinshuis producten'!$N$15:$S$15, 0) +1
            ),
        IF(
            INDEX($AB:$AB, COLUMN(D1)+1) = "4. Pleegzorg producten",
                  "",
            ""
        )
    )
)</f>
        <v/>
      </c>
      <c r="G22" s="198" t="str">
        <f>IF(
    INDEX($AB:$AB, COLUMN(E1)+1) = "1a. Input organisatieniveau",
        "",
    IF(
        INDEX($AB:$AB, COLUMN(E1)+1) = "3. Gezinshuis producten",
            INDEX('3. Gezinshuis producten'!$N$28:$Z$28, MATCH(INDEX($AA:$AA, COLUMN(E1)+1),
                    '3. Gezinshuis producten'!$N$15:$S$15, 0) +1
            ),
        IF(
            INDEX($AB:$AB, COLUMN(E1)+1) = "4. Pleegzorg producten",
                  "",
            ""
        )
    )
)</f>
        <v/>
      </c>
      <c r="H22" s="198" t="str">
        <f>IF(
    INDEX($AB:$AB, COLUMN(F1)+1) = "1a. Input organisatieniveau",
        "",
    IF(
        INDEX($AB:$AB, COLUMN(F1)+1) = "3. Gezinshuis producten",
            INDEX('3. Gezinshuis producten'!$N$28:$Z$28, MATCH(INDEX($AA:$AA, COLUMN(F1)+1),
                    '3. Gezinshuis producten'!$N$15:$S$15, 0) +1
            ),
        IF(
            INDEX($AB:$AB, COLUMN(F1)+1) = "4. Pleegzorg producten",
                  "",
            ""
        )
    )
)</f>
        <v/>
      </c>
      <c r="I22" s="198" t="str">
        <f>IF(
    INDEX($AB:$AB, COLUMN(G1)+1) = "1a. Input organisatieniveau",
        "",
    IF(
        INDEX($AB:$AB, COLUMN(G1)+1) = "3. Gezinshuis producten",
            INDEX('3. Gezinshuis producten'!$N$28:$Z$28, MATCH(INDEX($AA:$AA, COLUMN(G1)+1),
                    '3. Gezinshuis producten'!$N$15:$S$15, 0) +1
            ),
        IF(
            INDEX($AB:$AB, COLUMN(G1)+1) = "4. Pleegzorg producten",
                  "",
            ""
        )
    )
)</f>
        <v/>
      </c>
      <c r="J22" s="198" t="str">
        <f>IF(
    INDEX($AB:$AB, COLUMN(H1)+1) = "1a. Input organisatieniveau",
        "",
    IF(
        INDEX($AB:$AB, COLUMN(H1)+1) = "3. Gezinshuis producten",
            INDEX('3. Gezinshuis producten'!$N$28:$Z$28, MATCH(INDEX($AA:$AA, COLUMN(H1)+1),
                    '3. Gezinshuis producten'!$N$15:$S$15, 0) +1
            ),
        IF(
            INDEX($AB:$AB, COLUMN(H1)+1) = "4. Pleegzorg producten",
                  "",
            ""
        )
    )
)</f>
        <v/>
      </c>
      <c r="K22" s="198" t="str">
        <f>IF(
    INDEX($AB:$AB, COLUMN(I1)+1) = "1a. Input organisatieniveau",
        "",
    IF(
        INDEX($AB:$AB, COLUMN(I1)+1) = "3. Gezinshuis producten",
            INDEX('3. Gezinshuis producten'!$N$28:$Z$28, MATCH(INDEX($AA:$AA, COLUMN(I1)+1),
                    '3. Gezinshuis producten'!$N$15:$S$15, 0) +1
            ),
        IF(
            INDEX($AB:$AB, COLUMN(I1)+1) = "4. Pleegzorg producten",
                  "",
            ""
        )
    )
)</f>
        <v/>
      </c>
      <c r="L22" s="198" t="str">
        <f>IF(
    INDEX($AB:$AB, COLUMN(J1)+1) = "1a. Input organisatieniveau",
        "",
    IF(
        INDEX($AB:$AB, COLUMN(J1)+1) = "3. Gezinshuis producten",
            INDEX('3. Gezinshuis producten'!$N$28:$Z$28, MATCH(INDEX($AA:$AA, COLUMN(J1)+1),
                    '3. Gezinshuis producten'!$N$15:$S$15, 0) +1
            ),
        IF(
            INDEX($AB:$AB, COLUMN(J1)+1) = "4. Pleegzorg producten",
                  "",
            ""
        )
    )
)</f>
        <v/>
      </c>
      <c r="M22" s="198" t="str">
        <f>IF(
    INDEX($AB:$AB, COLUMN(K1)+1) = "1a. Input organisatieniveau",
        "",
    IF(
        INDEX($AB:$AB, COLUMN(K1)+1) = "3. Gezinshuis producten",
            INDEX('3. Gezinshuis producten'!$N$28:$Z$28, MATCH(INDEX($AA:$AA, COLUMN(K1)+1),
                    '3. Gezinshuis producten'!$N$15:$S$15, 0) +1
            ),
        IF(
            INDEX($AB:$AB, COLUMN(K1)+1) = "4. Pleegzorg producten",
                  "",
            ""
        )
    )
)</f>
        <v/>
      </c>
      <c r="N22" s="198" t="str">
        <f>IF(
    INDEX($AB:$AB, COLUMN(L1)+1) = "1a. Input organisatieniveau",
        "",
    IF(
        INDEX($AB:$AB, COLUMN(L1)+1) = "3. Gezinshuis producten",
            INDEX('3. Gezinshuis producten'!$N$28:$Z$28, MATCH(INDEX($AA:$AA, COLUMN(L1)+1),
                    '3. Gezinshuis producten'!$N$15:$S$15, 0) +1
            ),
        IF(
            INDEX($AB:$AB, COLUMN(L1)+1) = "4. Pleegzorg producten",
                  "",
            ""
        )
    )
)</f>
        <v/>
      </c>
      <c r="O22" s="198" t="str">
        <f>IF(
    INDEX($AB:$AB, COLUMN(M1)+1) = "1a. Input organisatieniveau",
        "",
    IF(
        INDEX($AB:$AB, COLUMN(M1)+1) = "3. Gezinshuis producten",
            INDEX('3. Gezinshuis producten'!$N$28:$Z$28, MATCH(INDEX($AA:$AA, COLUMN(M1)+1),
                    '3. Gezinshuis producten'!$N$15:$S$15, 0) +1
            ),
        IF(
            INDEX($AB:$AB, COLUMN(M1)+1) = "4. Pleegzorg producten",
                  "",
            ""
        )
    )
)</f>
        <v/>
      </c>
      <c r="P22" s="198" t="str">
        <f>IF(
    INDEX($AB:$AB, COLUMN(N1)+1) = "1a. Input organisatieniveau",
        "",
    IF(
        INDEX($AB:$AB, COLUMN(N1)+1) = "3. Gezinshuis producten",
            INDEX('3. Gezinshuis producten'!$N$28:$Z$28, MATCH(INDEX($AA:$AA, COLUMN(N1)+1),
                    '3. Gezinshuis producten'!$N$15:$S$15, 0) +1
            ),
        IF(
            INDEX($AB:$AB, COLUMN(N1)+1) = "4. Pleegzorg producten",
                  "",
            ""
        )
    )
)</f>
        <v/>
      </c>
      <c r="Q22" s="198" t="str">
        <f>IF(
    INDEX($AB:$AB, COLUMN(O1)+1) = "1a. Input organisatieniveau",
        "",
    IF(
        INDEX($AB:$AB, COLUMN(O1)+1) = "3. Gezinshuis producten",
            INDEX('3. Gezinshuis producten'!$N$28:$Z$28, MATCH(INDEX($AA:$AA, COLUMN(O1)+1),
                    '3. Gezinshuis producten'!$N$15:$S$15, 0) +1
            ),
        IF(
            INDEX($AB:$AB, COLUMN(O1)+1) = "4. Pleegzorg producten",
                  "",
            ""
        )
    )
)</f>
        <v/>
      </c>
      <c r="R22" s="198" t="str">
        <f>IF(
    INDEX($AB:$AB, COLUMN(P1)+1) = "1a. Input organisatieniveau",
        "",
    IF(
        INDEX($AB:$AB, COLUMN(P1)+1) = "3. Gezinshuis producten",
            INDEX('3. Gezinshuis producten'!$N$28:$Z$28, MATCH(INDEX($AA:$AA, COLUMN(P1)+1),
                    '3. Gezinshuis producten'!$N$15:$S$15, 0) +1
            ),
        IF(
            INDEX($AB:$AB, COLUMN(P1)+1) = "4. Pleegzorg producten",
                  "",
            ""
        )
    )
)</f>
        <v/>
      </c>
      <c r="S22" s="233" t="str">
        <f>IF(
    INDEX($AB:$AB, COLUMN(Q1)+1) = "1a. Input organisatieniveau",
        "",
    IF(
        INDEX($AB:$AB, COLUMN(Q1)+1) = "3. Gezinshuis producten",
            INDEX('3. Gezinshuis producten'!$N$28:$Z$28, MATCH(INDEX($AA:$AA, COLUMN(Q1)+1),
                    '3. Gezinshuis producten'!$N$15:$S$15, 0) +1
            ),
        IF(
            INDEX($AB:$AB, COLUMN(Q1)+1) = "4. Pleegzorg producten",
                  "",
            ""
        )
    )
)</f>
        <v/>
      </c>
    </row>
    <row r="23" spans="2:29" x14ac:dyDescent="0.45">
      <c r="B23" s="23" t="s">
        <v>936</v>
      </c>
      <c r="C23" s="198" t="str">
        <f>IF(
    INDEX($AB:$AB, COLUMN(A1)+1) = "1a. Input organisatieniveau",
        "",
    IF(
        INDEX($AB:$AB, COLUMN(A1)+1) = "3. Gezinshuis producten",
            "",
        IF(
            INDEX($AB:$AB, COLUMN(A1)+1) = "4. Pleegzorg producten",
                 INDEX('4. Pleegzorg producten'!$A:$Y, 18,
            13 + 3 * (INDEX($AC:$AC, COLUMN(A1)+1) - 1)),
            ""
        )
    )
)</f>
        <v/>
      </c>
      <c r="D23" s="198" t="str">
        <f>IF(
    INDEX($AB:$AB, COLUMN(B1)+1) = "1a. Input organisatieniveau",
        "",
    IF(
        INDEX($AB:$AB, COLUMN(B1)+1) = "3. Gezinshuis producten",
            "",
        IF(
            INDEX($AB:$AB, COLUMN(B1)+1) = "4. Pleegzorg producten",
                 INDEX('4. Pleegzorg producten'!$A:$Y, 18,
            13 + 3 * (INDEX($AC:$AC, COLUMN(B1)+1) - 1)),
            ""
        )
    )
)</f>
        <v/>
      </c>
      <c r="E23" s="198" t="str">
        <f>IF(
    INDEX($AB:$AB, COLUMN(C1)+1) = "1a. Input organisatieniveau",
        "",
    IF(
        INDEX($AB:$AB, COLUMN(C1)+1) = "3. Gezinshuis producten",
            "",
        IF(
            INDEX($AB:$AB, COLUMN(C1)+1) = "4. Pleegzorg producten",
                 INDEX('4. Pleegzorg producten'!$A:$Y, 18,
            13 + 3 * (INDEX($AC:$AC, COLUMN(C1)+1) - 1)),
            ""
        )
    )
)</f>
        <v/>
      </c>
      <c r="F23" s="198" t="str">
        <f>IF(
    INDEX($AB:$AB, COLUMN(D1)+1) = "1a. Input organisatieniveau",
        "",
    IF(
        INDEX($AB:$AB, COLUMN(D1)+1) = "3. Gezinshuis producten",
            "",
        IF(
            INDEX($AB:$AB, COLUMN(D1)+1) = "4. Pleegzorg producten",
                 INDEX('4. Pleegzorg producten'!$A:$Y, 18,
            13 + 3 * (INDEX($AC:$AC, COLUMN(D1)+1) - 1)),
            ""
        )
    )
)</f>
        <v/>
      </c>
      <c r="G23" s="198" t="str">
        <f>IF(
    INDEX($AB:$AB, COLUMN(E1)+1) = "1a. Input organisatieniveau",
        "",
    IF(
        INDEX($AB:$AB, COLUMN(E1)+1) = "3. Gezinshuis producten",
            "",
        IF(
            INDEX($AB:$AB, COLUMN(E1)+1) = "4. Pleegzorg producten",
                 INDEX('4. Pleegzorg producten'!$A:$Y, 18,
            13 + 3 * (INDEX($AC:$AC, COLUMN(E1)+1) - 1)),
            ""
        )
    )
)</f>
        <v/>
      </c>
      <c r="H23" s="198" t="str">
        <f>IF(
    INDEX($AB:$AB, COLUMN(F1)+1) = "1a. Input organisatieniveau",
        "",
    IF(
        INDEX($AB:$AB, COLUMN(F1)+1) = "3. Gezinshuis producten",
            "",
        IF(
            INDEX($AB:$AB, COLUMN(F1)+1) = "4. Pleegzorg producten",
                 INDEX('4. Pleegzorg producten'!$A:$Y, 18,
            13 + 3 * (INDEX($AC:$AC, COLUMN(F1)+1) - 1)),
            ""
        )
    )
)</f>
        <v/>
      </c>
      <c r="I23" s="198" t="str">
        <f>IF(
    INDEX($AB:$AB, COLUMN(G1)+1) = "1a. Input organisatieniveau",
        "",
    IF(
        INDEX($AB:$AB, COLUMN(G1)+1) = "3. Gezinshuis producten",
            "",
        IF(
            INDEX($AB:$AB, COLUMN(G1)+1) = "4. Pleegzorg producten",
                 INDEX('4. Pleegzorg producten'!$A:$Y, 18,
            13 + 3 * (INDEX($AC:$AC, COLUMN(G1)+1) - 1)),
            ""
        )
    )
)</f>
        <v/>
      </c>
      <c r="J23" s="198" t="str">
        <f>IF(
    INDEX($AB:$AB, COLUMN(H1)+1) = "1a. Input organisatieniveau",
        "",
    IF(
        INDEX($AB:$AB, COLUMN(H1)+1) = "3. Gezinshuis producten",
            "",
        IF(
            INDEX($AB:$AB, COLUMN(H1)+1) = "4. Pleegzorg producten",
                 INDEX('4. Pleegzorg producten'!$A:$Y, 18,
            13 + 3 * (INDEX($AC:$AC, COLUMN(H1)+1) - 1)),
            ""
        )
    )
)</f>
        <v/>
      </c>
      <c r="K23" s="198" t="str">
        <f>IF(
    INDEX($AB:$AB, COLUMN(I1)+1) = "1a. Input organisatieniveau",
        "",
    IF(
        INDEX($AB:$AB, COLUMN(I1)+1) = "3. Gezinshuis producten",
            "",
        IF(
            INDEX($AB:$AB, COLUMN(I1)+1) = "4. Pleegzorg producten",
                 INDEX('4. Pleegzorg producten'!$A:$Y, 18,
            13 + 3 * (INDEX($AC:$AC, COLUMN(I1)+1) - 1)),
            ""
        )
    )
)</f>
        <v/>
      </c>
      <c r="L23" s="198" t="str">
        <f>IF(
    INDEX($AB:$AB, COLUMN(J1)+1) = "1a. Input organisatieniveau",
        "",
    IF(
        INDEX($AB:$AB, COLUMN(J1)+1) = "3. Gezinshuis producten",
            "",
        IF(
            INDEX($AB:$AB, COLUMN(J1)+1) = "4. Pleegzorg producten",
                 INDEX('4. Pleegzorg producten'!$A:$Y, 18,
            13 + 3 * (INDEX($AC:$AC, COLUMN(J1)+1) - 1)),
            ""
        )
    )
)</f>
        <v/>
      </c>
      <c r="M23" s="198" t="str">
        <f>IF(
    INDEX($AB:$AB, COLUMN(K1)+1) = "1a. Input organisatieniveau",
        "",
    IF(
        INDEX($AB:$AB, COLUMN(K1)+1) = "3. Gezinshuis producten",
            "",
        IF(
            INDEX($AB:$AB, COLUMN(K1)+1) = "4. Pleegzorg producten",
                 INDEX('4. Pleegzorg producten'!$A:$Y, 18,
            13 + 3 * (INDEX($AC:$AC, COLUMN(K1)+1) - 1)),
            ""
        )
    )
)</f>
        <v/>
      </c>
      <c r="N23" s="198" t="str">
        <f>IF(
    INDEX($AB:$AB, COLUMN(L1)+1) = "1a. Input organisatieniveau",
        "",
    IF(
        INDEX($AB:$AB, COLUMN(L1)+1) = "3. Gezinshuis producten",
            "",
        IF(
            INDEX($AB:$AB, COLUMN(L1)+1) = "4. Pleegzorg producten",
                 INDEX('4. Pleegzorg producten'!$A:$Y, 18,
            13 + 3 * (INDEX($AC:$AC, COLUMN(L1)+1) - 1)),
            ""
        )
    )
)</f>
        <v/>
      </c>
      <c r="O23" s="198" t="str">
        <f>IF(
    INDEX($AB:$AB, COLUMN(M1)+1) = "1a. Input organisatieniveau",
        "",
    IF(
        INDEX($AB:$AB, COLUMN(M1)+1) = "3. Gezinshuis producten",
            "",
        IF(
            INDEX($AB:$AB, COLUMN(M1)+1) = "4. Pleegzorg producten",
                 INDEX('4. Pleegzorg producten'!$A:$Y, 18,
            13 + 3 * (INDEX($AC:$AC, COLUMN(M1)+1) - 1)),
            ""
        )
    )
)</f>
        <v/>
      </c>
      <c r="P23" s="198" t="str">
        <f>IF(
    INDEX($AB:$AB, COLUMN(N1)+1) = "1a. Input organisatieniveau",
        "",
    IF(
        INDEX($AB:$AB, COLUMN(N1)+1) = "3. Gezinshuis producten",
            "",
        IF(
            INDEX($AB:$AB, COLUMN(N1)+1) = "4. Pleegzorg producten",
                 INDEX('4. Pleegzorg producten'!$A:$Y, 18,
            13 + 3 * (INDEX($AC:$AC, COLUMN(N1)+1) - 1)),
            ""
        )
    )
)</f>
        <v/>
      </c>
      <c r="Q23" s="198" t="str">
        <f>IF(
    INDEX($AB:$AB, COLUMN(O1)+1) = "1a. Input organisatieniveau",
        "",
    IF(
        INDEX($AB:$AB, COLUMN(O1)+1) = "3. Gezinshuis producten",
            "",
        IF(
            INDEX($AB:$AB, COLUMN(O1)+1) = "4. Pleegzorg producten",
                 INDEX('4. Pleegzorg producten'!$A:$Y, 18,
            13 + 3 * (INDEX($AC:$AC, COLUMN(O1)+1) - 1)),
            ""
        )
    )
)</f>
        <v/>
      </c>
      <c r="R23" s="198" t="str">
        <f>IF(
    INDEX($AB:$AB, COLUMN(P1)+1) = "1a. Input organisatieniveau",
        "",
    IF(
        INDEX($AB:$AB, COLUMN(P1)+1) = "3. Gezinshuis producten",
            "",
        IF(
            INDEX($AB:$AB, COLUMN(P1)+1) = "4. Pleegzorg producten",
                 INDEX('4. Pleegzorg producten'!$A:$Y, 18,
            13 + 3 * (INDEX($AC:$AC, COLUMN(P1)+1) - 1)),
            ""
        )
    )
)</f>
        <v/>
      </c>
      <c r="S23" s="233" t="str">
        <f>IF(
    INDEX($AB:$AB, COLUMN(Q1)+1) = "1a. Input organisatieniveau",
        "",
    IF(
        INDEX($AB:$AB, COLUMN(Q1)+1) = "3. Gezinshuis producten",
            "",
        IF(
            INDEX($AB:$AB, COLUMN(Q1)+1) = "4. Pleegzorg producten",
                 INDEX('4. Pleegzorg producten'!$A:$Y, 18,
            13 + 3 * (INDEX($AC:$AC, COLUMN(Q1)+1) - 1)),
            ""
        )
    )
)</f>
        <v/>
      </c>
    </row>
    <row r="24" spans="2:29" x14ac:dyDescent="0.45">
      <c r="B24" s="23" t="s">
        <v>930</v>
      </c>
      <c r="C24" s="283" t="str">
        <f>IF(
    INDEX($AB:$AB, COLUMN(A1)+1) = "1a. Input organisatieniveau",
        "",
    IF(
        INDEX($AB:$AB, COLUMN(A1)+1) = "3. Gezinshuis producten",
            "",
        IF(
            INDEX($AB:$AB, COLUMN(A1)+1) = "4. Pleegzorg producten",
                 '4. Pleegzorg producten'!$L$33,
            ""
        )
    )
)</f>
        <v/>
      </c>
      <c r="D24" s="283" t="str">
        <f>IF(
    INDEX($AB:$AB, COLUMN(B1)+1) = "1a. Input organisatieniveau",
        "",
    IF(
        INDEX($AB:$AB, COLUMN(B1)+1) = "3. Gezinshuis producten",
            "",
        IF(
            INDEX($AB:$AB, COLUMN(B1)+1) = "4. Pleegzorg producten",
                 '4. Pleegzorg producten'!$L$33,
            ""
        )
    )
)</f>
        <v/>
      </c>
      <c r="E24" s="283" t="str">
        <f>IF(
    INDEX($AB:$AB, COLUMN(C1)+1) = "1a. Input organisatieniveau",
        "",
    IF(
        INDEX($AB:$AB, COLUMN(C1)+1) = "3. Gezinshuis producten",
            "",
        IF(
            INDEX($AB:$AB, COLUMN(C1)+1) = "4. Pleegzorg producten",
                 '4. Pleegzorg producten'!$L$33,
            ""
        )
    )
)</f>
        <v/>
      </c>
      <c r="F24" s="283" t="str">
        <f>IF(
    INDEX($AB:$AB, COLUMN(D1)+1) = "1a. Input organisatieniveau",
        "",
    IF(
        INDEX($AB:$AB, COLUMN(D1)+1) = "3. Gezinshuis producten",
            "",
        IF(
            INDEX($AB:$AB, COLUMN(D1)+1) = "4. Pleegzorg producten",
                 '4. Pleegzorg producten'!$L$33,
            ""
        )
    )
)</f>
        <v/>
      </c>
      <c r="G24" s="283" t="str">
        <f>IF(
    INDEX($AB:$AB, COLUMN(E1)+1) = "1a. Input organisatieniveau",
        "",
    IF(
        INDEX($AB:$AB, COLUMN(E1)+1) = "3. Gezinshuis producten",
            "",
        IF(
            INDEX($AB:$AB, COLUMN(E1)+1) = "4. Pleegzorg producten",
                 '4. Pleegzorg producten'!$L$33,
            ""
        )
    )
)</f>
        <v/>
      </c>
      <c r="H24" s="283" t="str">
        <f>IF(
    INDEX($AB:$AB, COLUMN(F1)+1) = "1a. Input organisatieniveau",
        "",
    IF(
        INDEX($AB:$AB, COLUMN(F1)+1) = "3. Gezinshuis producten",
            "",
        IF(
            INDEX($AB:$AB, COLUMN(F1)+1) = "4. Pleegzorg producten",
                 '4. Pleegzorg producten'!$L$33,
            ""
        )
    )
)</f>
        <v/>
      </c>
      <c r="I24" s="283" t="str">
        <f>IF(
    INDEX($AB:$AB, COLUMN(G1)+1) = "1a. Input organisatieniveau",
        "",
    IF(
        INDEX($AB:$AB, COLUMN(G1)+1) = "3. Gezinshuis producten",
            "",
        IF(
            INDEX($AB:$AB, COLUMN(G1)+1) = "4. Pleegzorg producten",
                 '4. Pleegzorg producten'!$L$33,
            ""
        )
    )
)</f>
        <v/>
      </c>
      <c r="J24" s="283" t="str">
        <f>IF(
    INDEX($AB:$AB, COLUMN(H1)+1) = "1a. Input organisatieniveau",
        "",
    IF(
        INDEX($AB:$AB, COLUMN(H1)+1) = "3. Gezinshuis producten",
            "",
        IF(
            INDEX($AB:$AB, COLUMN(H1)+1) = "4. Pleegzorg producten",
                 '4. Pleegzorg producten'!$L$33,
            ""
        )
    )
)</f>
        <v/>
      </c>
      <c r="K24" s="283" t="str">
        <f>IF(
    INDEX($AB:$AB, COLUMN(I1)+1) = "1a. Input organisatieniveau",
        "",
    IF(
        INDEX($AB:$AB, COLUMN(I1)+1) = "3. Gezinshuis producten",
            "",
        IF(
            INDEX($AB:$AB, COLUMN(I1)+1) = "4. Pleegzorg producten",
                 '4. Pleegzorg producten'!$L$33,
            ""
        )
    )
)</f>
        <v/>
      </c>
      <c r="L24" s="283" t="str">
        <f>IF(
    INDEX($AB:$AB, COLUMN(J1)+1) = "1a. Input organisatieniveau",
        "",
    IF(
        INDEX($AB:$AB, COLUMN(J1)+1) = "3. Gezinshuis producten",
            "",
        IF(
            INDEX($AB:$AB, COLUMN(J1)+1) = "4. Pleegzorg producten",
                 '4. Pleegzorg producten'!$L$33,
            ""
        )
    )
)</f>
        <v/>
      </c>
      <c r="M24" s="283" t="str">
        <f>IF(
    INDEX($AB:$AB, COLUMN(K1)+1) = "1a. Input organisatieniveau",
        "",
    IF(
        INDEX($AB:$AB, COLUMN(K1)+1) = "3. Gezinshuis producten",
            "",
        IF(
            INDEX($AB:$AB, COLUMN(K1)+1) = "4. Pleegzorg producten",
                 '4. Pleegzorg producten'!$L$33,
            ""
        )
    )
)</f>
        <v/>
      </c>
      <c r="N24" s="283" t="str">
        <f>IF(
    INDEX($AB:$AB, COLUMN(L1)+1) = "1a. Input organisatieniveau",
        "",
    IF(
        INDEX($AB:$AB, COLUMN(L1)+1) = "3. Gezinshuis producten",
            "",
        IF(
            INDEX($AB:$AB, COLUMN(L1)+1) = "4. Pleegzorg producten",
                 '4. Pleegzorg producten'!$L$33,
            ""
        )
    )
)</f>
        <v/>
      </c>
      <c r="O24" s="283" t="str">
        <f>IF(
    INDEX($AB:$AB, COLUMN(M1)+1) = "1a. Input organisatieniveau",
        "",
    IF(
        INDEX($AB:$AB, COLUMN(M1)+1) = "3. Gezinshuis producten",
            "",
        IF(
            INDEX($AB:$AB, COLUMN(M1)+1) = "4. Pleegzorg producten",
                 '4. Pleegzorg producten'!$L$33,
            ""
        )
    )
)</f>
        <v/>
      </c>
      <c r="P24" s="283" t="str">
        <f>IF(
    INDEX($AB:$AB, COLUMN(N1)+1) = "1a. Input organisatieniveau",
        "",
    IF(
        INDEX($AB:$AB, COLUMN(N1)+1) = "3. Gezinshuis producten",
            "",
        IF(
            INDEX($AB:$AB, COLUMN(N1)+1) = "4. Pleegzorg producten",
                 '4. Pleegzorg producten'!$L$33,
            ""
        )
    )
)</f>
        <v/>
      </c>
      <c r="Q24" s="283" t="str">
        <f>IF(
    INDEX($AB:$AB, COLUMN(O1)+1) = "1a. Input organisatieniveau",
        "",
    IF(
        INDEX($AB:$AB, COLUMN(O1)+1) = "3. Gezinshuis producten",
            "",
        IF(
            INDEX($AB:$AB, COLUMN(O1)+1) = "4. Pleegzorg producten",
                 '4. Pleegzorg producten'!$L$33,
            ""
        )
    )
)</f>
        <v/>
      </c>
      <c r="R24" s="283" t="str">
        <f>IF(
    INDEX($AB:$AB, COLUMN(P1)+1) = "1a. Input organisatieniveau",
        "",
    IF(
        INDEX($AB:$AB, COLUMN(P1)+1) = "3. Gezinshuis producten",
            "",
        IF(
            INDEX($AB:$AB, COLUMN(P1)+1) = "4. Pleegzorg producten",
                 '4. Pleegzorg producten'!$L$33,
            ""
        )
    )
)</f>
        <v/>
      </c>
      <c r="S24" s="284" t="str">
        <f>IF(
    INDEX($AB:$AB, COLUMN(Q1)+1) = "1a. Input organisatieniveau",
        "",
    IF(
        INDEX($AB:$AB, COLUMN(Q1)+1) = "3. Gezinshuis producten",
            "",
        IF(
            INDEX($AB:$AB, COLUMN(Q1)+1) = "4. Pleegzorg producten",
                 '4. Pleegzorg producten'!$L$33,
            ""
        )
    )
)</f>
        <v/>
      </c>
    </row>
    <row r="25" spans="2:29" x14ac:dyDescent="0.45">
      <c r="B25" s="23" t="s">
        <v>927</v>
      </c>
      <c r="C25" s="283" t="str">
        <f>IF(
    INDEX($AB:$AB, COLUMN(A1)+1) = "1a. Input organisatieniveau",
        "",
    IF(
        INDEX($AB:$AB, COLUMN(A1)+1) = "3. Gezinshuis producten",
            "",
        IF(
            INDEX($AB:$AB, COLUMN(A1)+1) = "4. Pleegzorg producten",
                 '4. Pleegzorg producten'!$L$34,
            ""
        )
    )
)</f>
        <v/>
      </c>
      <c r="D25" s="283" t="str">
        <f>IF(
    INDEX($AB:$AB, COLUMN(B1)+1) = "1a. Input organisatieniveau",
        "",
    IF(
        INDEX($AB:$AB, COLUMN(B1)+1) = "3. Gezinshuis producten",
            "",
        IF(
            INDEX($AB:$AB, COLUMN(B1)+1) = "4. Pleegzorg producten",
                 '4. Pleegzorg producten'!$L$34,
            ""
        )
    )
)</f>
        <v/>
      </c>
      <c r="E25" s="283" t="str">
        <f>IF(
    INDEX($AB:$AB, COLUMN(C1)+1) = "1a. Input organisatieniveau",
        "",
    IF(
        INDEX($AB:$AB, COLUMN(C1)+1) = "3. Gezinshuis producten",
            "",
        IF(
            INDEX($AB:$AB, COLUMN(C1)+1) = "4. Pleegzorg producten",
                 '4. Pleegzorg producten'!$L$34,
            ""
        )
    )
)</f>
        <v/>
      </c>
      <c r="F25" s="283" t="str">
        <f>IF(
    INDEX($AB:$AB, COLUMN(D1)+1) = "1a. Input organisatieniveau",
        "",
    IF(
        INDEX($AB:$AB, COLUMN(D1)+1) = "3. Gezinshuis producten",
            "",
        IF(
            INDEX($AB:$AB, COLUMN(D1)+1) = "4. Pleegzorg producten",
                 '4. Pleegzorg producten'!$L$34,
            ""
        )
    )
)</f>
        <v/>
      </c>
      <c r="G25" s="283" t="str">
        <f>IF(
    INDEX($AB:$AB, COLUMN(E1)+1) = "1a. Input organisatieniveau",
        "",
    IF(
        INDEX($AB:$AB, COLUMN(E1)+1) = "3. Gezinshuis producten",
            "",
        IF(
            INDEX($AB:$AB, COLUMN(E1)+1) = "4. Pleegzorg producten",
                 '4. Pleegzorg producten'!$L$34,
            ""
        )
    )
)</f>
        <v/>
      </c>
      <c r="H25" s="283" t="str">
        <f>IF(
    INDEX($AB:$AB, COLUMN(F1)+1) = "1a. Input organisatieniveau",
        "",
    IF(
        INDEX($AB:$AB, COLUMN(F1)+1) = "3. Gezinshuis producten",
            "",
        IF(
            INDEX($AB:$AB, COLUMN(F1)+1) = "4. Pleegzorg producten",
                 '4. Pleegzorg producten'!$L$34,
            ""
        )
    )
)</f>
        <v/>
      </c>
      <c r="I25" s="283" t="str">
        <f>IF(
    INDEX($AB:$AB, COLUMN(G1)+1) = "1a. Input organisatieniveau",
        "",
    IF(
        INDEX($AB:$AB, COLUMN(G1)+1) = "3. Gezinshuis producten",
            "",
        IF(
            INDEX($AB:$AB, COLUMN(G1)+1) = "4. Pleegzorg producten",
                 '4. Pleegzorg producten'!$L$34,
            ""
        )
    )
)</f>
        <v/>
      </c>
      <c r="J25" s="283" t="str">
        <f>IF(
    INDEX($AB:$AB, COLUMN(H1)+1) = "1a. Input organisatieniveau",
        "",
    IF(
        INDEX($AB:$AB, COLUMN(H1)+1) = "3. Gezinshuis producten",
            "",
        IF(
            INDEX($AB:$AB, COLUMN(H1)+1) = "4. Pleegzorg producten",
                 '4. Pleegzorg producten'!$L$34,
            ""
        )
    )
)</f>
        <v/>
      </c>
      <c r="K25" s="283" t="str">
        <f>IF(
    INDEX($AB:$AB, COLUMN(I1)+1) = "1a. Input organisatieniveau",
        "",
    IF(
        INDEX($AB:$AB, COLUMN(I1)+1) = "3. Gezinshuis producten",
            "",
        IF(
            INDEX($AB:$AB, COLUMN(I1)+1) = "4. Pleegzorg producten",
                 '4. Pleegzorg producten'!$L$34,
            ""
        )
    )
)</f>
        <v/>
      </c>
      <c r="L25" s="283" t="str">
        <f>IF(
    INDEX($AB:$AB, COLUMN(J1)+1) = "1a. Input organisatieniveau",
        "",
    IF(
        INDEX($AB:$AB, COLUMN(J1)+1) = "3. Gezinshuis producten",
            "",
        IF(
            INDEX($AB:$AB, COLUMN(J1)+1) = "4. Pleegzorg producten",
                 '4. Pleegzorg producten'!$L$34,
            ""
        )
    )
)</f>
        <v/>
      </c>
      <c r="M25" s="283" t="str">
        <f>IF(
    INDEX($AB:$AB, COLUMN(K1)+1) = "1a. Input organisatieniveau",
        "",
    IF(
        INDEX($AB:$AB, COLUMN(K1)+1) = "3. Gezinshuis producten",
            "",
        IF(
            INDEX($AB:$AB, COLUMN(K1)+1) = "4. Pleegzorg producten",
                 '4. Pleegzorg producten'!$L$34,
            ""
        )
    )
)</f>
        <v/>
      </c>
      <c r="N25" s="283" t="str">
        <f>IF(
    INDEX($AB:$AB, COLUMN(L1)+1) = "1a. Input organisatieniveau",
        "",
    IF(
        INDEX($AB:$AB, COLUMN(L1)+1) = "3. Gezinshuis producten",
            "",
        IF(
            INDEX($AB:$AB, COLUMN(L1)+1) = "4. Pleegzorg producten",
                 '4. Pleegzorg producten'!$L$34,
            ""
        )
    )
)</f>
        <v/>
      </c>
      <c r="O25" s="283" t="str">
        <f>IF(
    INDEX($AB:$AB, COLUMN(M1)+1) = "1a. Input organisatieniveau",
        "",
    IF(
        INDEX($AB:$AB, COLUMN(M1)+1) = "3. Gezinshuis producten",
            "",
        IF(
            INDEX($AB:$AB, COLUMN(M1)+1) = "4. Pleegzorg producten",
                 '4. Pleegzorg producten'!$L$34,
            ""
        )
    )
)</f>
        <v/>
      </c>
      <c r="P25" s="283" t="str">
        <f>IF(
    INDEX($AB:$AB, COLUMN(N1)+1) = "1a. Input organisatieniveau",
        "",
    IF(
        INDEX($AB:$AB, COLUMN(N1)+1) = "3. Gezinshuis producten",
            "",
        IF(
            INDEX($AB:$AB, COLUMN(N1)+1) = "4. Pleegzorg producten",
                 '4. Pleegzorg producten'!$L$34,
            ""
        )
    )
)</f>
        <v/>
      </c>
      <c r="Q25" s="283" t="str">
        <f>IF(
    INDEX($AB:$AB, COLUMN(O1)+1) = "1a. Input organisatieniveau",
        "",
    IF(
        INDEX($AB:$AB, COLUMN(O1)+1) = "3. Gezinshuis producten",
            "",
        IF(
            INDEX($AB:$AB, COLUMN(O1)+1) = "4. Pleegzorg producten",
                 '4. Pleegzorg producten'!$L$34,
            ""
        )
    )
)</f>
        <v/>
      </c>
      <c r="R25" s="283" t="str">
        <f>IF(
    INDEX($AB:$AB, COLUMN(P1)+1) = "1a. Input organisatieniveau",
        "",
    IF(
        INDEX($AB:$AB, COLUMN(P1)+1) = "3. Gezinshuis producten",
            "",
        IF(
            INDEX($AB:$AB, COLUMN(P1)+1) = "4. Pleegzorg producten",
                 '4. Pleegzorg producten'!$L$34,
            ""
        )
    )
)</f>
        <v/>
      </c>
      <c r="S25" s="284" t="str">
        <f>IF(
    INDEX($AB:$AB, COLUMN(Q1)+1) = "1a. Input organisatieniveau",
        "",
    IF(
        INDEX($AB:$AB, COLUMN(Q1)+1) = "3. Gezinshuis producten",
            "",
        IF(
            INDEX($AB:$AB, COLUMN(Q1)+1) = "4. Pleegzorg producten",
                 '4. Pleegzorg producten'!$L$34,
            ""
        )
    )
)</f>
        <v/>
      </c>
    </row>
    <row r="26" spans="2:29" x14ac:dyDescent="0.45">
      <c r="B26" s="23" t="s">
        <v>928</v>
      </c>
      <c r="C26" s="283" t="str">
        <f>IF(
    INDEX($AB:$AB, COLUMN(A1)+1) = "1a. Input organisatieniveau",
        "",
    IF(
        INDEX($AB:$AB, COLUMN(A1)+1) = "3. Gezinshuis producten",
            "",
        IF(
            INDEX($AB:$AB, COLUMN(A1)+1) = "4. Pleegzorg producten",
                 '4. Pleegzorg producten'!$L$35,
            ""
        )
    )
)</f>
        <v/>
      </c>
      <c r="D26" s="283" t="str">
        <f>IF(
    INDEX($AB:$AB, COLUMN(B1)+1) = "1a. Input organisatieniveau",
        "",
    IF(
        INDEX($AB:$AB, COLUMN(B1)+1) = "3. Gezinshuis producten",
            "",
        IF(
            INDEX($AB:$AB, COLUMN(B1)+1) = "4. Pleegzorg producten",
                 '4. Pleegzorg producten'!$L$35,
            ""
        )
    )
)</f>
        <v/>
      </c>
      <c r="E26" s="283" t="str">
        <f>IF(
    INDEX($AB:$AB, COLUMN(C1)+1) = "1a. Input organisatieniveau",
        "",
    IF(
        INDEX($AB:$AB, COLUMN(C1)+1) = "3. Gezinshuis producten",
            "",
        IF(
            INDEX($AB:$AB, COLUMN(C1)+1) = "4. Pleegzorg producten",
                 '4. Pleegzorg producten'!$L$35,
            ""
        )
    )
)</f>
        <v/>
      </c>
      <c r="F26" s="283" t="str">
        <f>IF(
    INDEX($AB:$AB, COLUMN(D1)+1) = "1a. Input organisatieniveau",
        "",
    IF(
        INDEX($AB:$AB, COLUMN(D1)+1) = "3. Gezinshuis producten",
            "",
        IF(
            INDEX($AB:$AB, COLUMN(D1)+1) = "4. Pleegzorg producten",
                 '4. Pleegzorg producten'!$L$35,
            ""
        )
    )
)</f>
        <v/>
      </c>
      <c r="G26" s="283" t="str">
        <f>IF(
    INDEX($AB:$AB, COLUMN(E1)+1) = "1a. Input organisatieniveau",
        "",
    IF(
        INDEX($AB:$AB, COLUMN(E1)+1) = "3. Gezinshuis producten",
            "",
        IF(
            INDEX($AB:$AB, COLUMN(E1)+1) = "4. Pleegzorg producten",
                 '4. Pleegzorg producten'!$L$35,
            ""
        )
    )
)</f>
        <v/>
      </c>
      <c r="H26" s="283" t="str">
        <f>IF(
    INDEX($AB:$AB, COLUMN(F1)+1) = "1a. Input organisatieniveau",
        "",
    IF(
        INDEX($AB:$AB, COLUMN(F1)+1) = "3. Gezinshuis producten",
            "",
        IF(
            INDEX($AB:$AB, COLUMN(F1)+1) = "4. Pleegzorg producten",
                 '4. Pleegzorg producten'!$L$35,
            ""
        )
    )
)</f>
        <v/>
      </c>
      <c r="I26" s="283" t="str">
        <f>IF(
    INDEX($AB:$AB, COLUMN(G1)+1) = "1a. Input organisatieniveau",
        "",
    IF(
        INDEX($AB:$AB, COLUMN(G1)+1) = "3. Gezinshuis producten",
            "",
        IF(
            INDEX($AB:$AB, COLUMN(G1)+1) = "4. Pleegzorg producten",
                 '4. Pleegzorg producten'!$L$35,
            ""
        )
    )
)</f>
        <v/>
      </c>
      <c r="J26" s="283" t="str">
        <f>IF(
    INDEX($AB:$AB, COLUMN(H1)+1) = "1a. Input organisatieniveau",
        "",
    IF(
        INDEX($AB:$AB, COLUMN(H1)+1) = "3. Gezinshuis producten",
            "",
        IF(
            INDEX($AB:$AB, COLUMN(H1)+1) = "4. Pleegzorg producten",
                 '4. Pleegzorg producten'!$L$35,
            ""
        )
    )
)</f>
        <v/>
      </c>
      <c r="K26" s="283" t="str">
        <f>IF(
    INDEX($AB:$AB, COLUMN(I1)+1) = "1a. Input organisatieniveau",
        "",
    IF(
        INDEX($AB:$AB, COLUMN(I1)+1) = "3. Gezinshuis producten",
            "",
        IF(
            INDEX($AB:$AB, COLUMN(I1)+1) = "4. Pleegzorg producten",
                 '4. Pleegzorg producten'!$L$35,
            ""
        )
    )
)</f>
        <v/>
      </c>
      <c r="L26" s="283" t="str">
        <f>IF(
    INDEX($AB:$AB, COLUMN(J1)+1) = "1a. Input organisatieniveau",
        "",
    IF(
        INDEX($AB:$AB, COLUMN(J1)+1) = "3. Gezinshuis producten",
            "",
        IF(
            INDEX($AB:$AB, COLUMN(J1)+1) = "4. Pleegzorg producten",
                 '4. Pleegzorg producten'!$L$35,
            ""
        )
    )
)</f>
        <v/>
      </c>
      <c r="M26" s="283" t="str">
        <f>IF(
    INDEX($AB:$AB, COLUMN(K1)+1) = "1a. Input organisatieniveau",
        "",
    IF(
        INDEX($AB:$AB, COLUMN(K1)+1) = "3. Gezinshuis producten",
            "",
        IF(
            INDEX($AB:$AB, COLUMN(K1)+1) = "4. Pleegzorg producten",
                 '4. Pleegzorg producten'!$L$35,
            ""
        )
    )
)</f>
        <v/>
      </c>
      <c r="N26" s="283" t="str">
        <f>IF(
    INDEX($AB:$AB, COLUMN(L1)+1) = "1a. Input organisatieniveau",
        "",
    IF(
        INDEX($AB:$AB, COLUMN(L1)+1) = "3. Gezinshuis producten",
            "",
        IF(
            INDEX($AB:$AB, COLUMN(L1)+1) = "4. Pleegzorg producten",
                 '4. Pleegzorg producten'!$L$35,
            ""
        )
    )
)</f>
        <v/>
      </c>
      <c r="O26" s="283" t="str">
        <f>IF(
    INDEX($AB:$AB, COLUMN(M1)+1) = "1a. Input organisatieniveau",
        "",
    IF(
        INDEX($AB:$AB, COLUMN(M1)+1) = "3. Gezinshuis producten",
            "",
        IF(
            INDEX($AB:$AB, COLUMN(M1)+1) = "4. Pleegzorg producten",
                 '4. Pleegzorg producten'!$L$35,
            ""
        )
    )
)</f>
        <v/>
      </c>
      <c r="P26" s="283" t="str">
        <f>IF(
    INDEX($AB:$AB, COLUMN(N1)+1) = "1a. Input organisatieniveau",
        "",
    IF(
        INDEX($AB:$AB, COLUMN(N1)+1) = "3. Gezinshuis producten",
            "",
        IF(
            INDEX($AB:$AB, COLUMN(N1)+1) = "4. Pleegzorg producten",
                 '4. Pleegzorg producten'!$L$35,
            ""
        )
    )
)</f>
        <v/>
      </c>
      <c r="Q26" s="283" t="str">
        <f>IF(
    INDEX($AB:$AB, COLUMN(O1)+1) = "1a. Input organisatieniveau",
        "",
    IF(
        INDEX($AB:$AB, COLUMN(O1)+1) = "3. Gezinshuis producten",
            "",
        IF(
            INDEX($AB:$AB, COLUMN(O1)+1) = "4. Pleegzorg producten",
                 '4. Pleegzorg producten'!$L$35,
            ""
        )
    )
)</f>
        <v/>
      </c>
      <c r="R26" s="283" t="str">
        <f>IF(
    INDEX($AB:$AB, COLUMN(P1)+1) = "1a. Input organisatieniveau",
        "",
    IF(
        INDEX($AB:$AB, COLUMN(P1)+1) = "3. Gezinshuis producten",
            "",
        IF(
            INDEX($AB:$AB, COLUMN(P1)+1) = "4. Pleegzorg producten",
                 '4. Pleegzorg producten'!$L$35,
            ""
        )
    )
)</f>
        <v/>
      </c>
      <c r="S26" s="284" t="str">
        <f>IF(
    INDEX($AB:$AB, COLUMN(Q1)+1) = "1a. Input organisatieniveau",
        "",
    IF(
        INDEX($AB:$AB, COLUMN(Q1)+1) = "3. Gezinshuis producten",
            "",
        IF(
            INDEX($AB:$AB, COLUMN(Q1)+1) = "4. Pleegzorg producten",
                 '4. Pleegzorg producten'!$L$35,
            ""
        )
    )
)</f>
        <v/>
      </c>
    </row>
    <row r="27" spans="2:29" x14ac:dyDescent="0.45">
      <c r="B27" s="23" t="s">
        <v>929</v>
      </c>
      <c r="C27" s="283" t="str">
        <f>IF(
    INDEX($AB:$AB, COLUMN(A1)+1) = "1a. Input organisatieniveau",
        "",
    IF(
        INDEX($AB:$AB, COLUMN(A1)+1) = "3. Gezinshuis producten",
            "",
        IF(
            INDEX($AB:$AB, COLUMN(A1)+1) = "4. Pleegzorg producten",
                 '4. Pleegzorg producten'!$L$36,
            ""
        )
    )
)</f>
        <v/>
      </c>
      <c r="D27" s="283" t="str">
        <f>IF(
    INDEX($AB:$AB, COLUMN(B1)+1) = "1a. Input organisatieniveau",
        "",
    IF(
        INDEX($AB:$AB, COLUMN(B1)+1) = "3. Gezinshuis producten",
            "",
        IF(
            INDEX($AB:$AB, COLUMN(B1)+1) = "4. Pleegzorg producten",
                 '4. Pleegzorg producten'!$L$36,
            ""
        )
    )
)</f>
        <v/>
      </c>
      <c r="E27" s="283" t="str">
        <f>IF(
    INDEX($AB:$AB, COLUMN(C1)+1) = "1a. Input organisatieniveau",
        "",
    IF(
        INDEX($AB:$AB, COLUMN(C1)+1) = "3. Gezinshuis producten",
            "",
        IF(
            INDEX($AB:$AB, COLUMN(C1)+1) = "4. Pleegzorg producten",
                 '4. Pleegzorg producten'!$L$36,
            ""
        )
    )
)</f>
        <v/>
      </c>
      <c r="F27" s="283" t="str">
        <f>IF(
    INDEX($AB:$AB, COLUMN(D1)+1) = "1a. Input organisatieniveau",
        "",
    IF(
        INDEX($AB:$AB, COLUMN(D1)+1) = "3. Gezinshuis producten",
            "",
        IF(
            INDEX($AB:$AB, COLUMN(D1)+1) = "4. Pleegzorg producten",
                 '4. Pleegzorg producten'!$L$36,
            ""
        )
    )
)</f>
        <v/>
      </c>
      <c r="G27" s="283" t="str">
        <f>IF(
    INDEX($AB:$AB, COLUMN(E1)+1) = "1a. Input organisatieniveau",
        "",
    IF(
        INDEX($AB:$AB, COLUMN(E1)+1) = "3. Gezinshuis producten",
            "",
        IF(
            INDEX($AB:$AB, COLUMN(E1)+1) = "4. Pleegzorg producten",
                 '4. Pleegzorg producten'!$L$36,
            ""
        )
    )
)</f>
        <v/>
      </c>
      <c r="H27" s="283" t="str">
        <f>IF(
    INDEX($AB:$AB, COLUMN(F1)+1) = "1a. Input organisatieniveau",
        "",
    IF(
        INDEX($AB:$AB, COLUMN(F1)+1) = "3. Gezinshuis producten",
            "",
        IF(
            INDEX($AB:$AB, COLUMN(F1)+1) = "4. Pleegzorg producten",
                 '4. Pleegzorg producten'!$L$36,
            ""
        )
    )
)</f>
        <v/>
      </c>
      <c r="I27" s="283" t="str">
        <f>IF(
    INDEX($AB:$AB, COLUMN(G1)+1) = "1a. Input organisatieniveau",
        "",
    IF(
        INDEX($AB:$AB, COLUMN(G1)+1) = "3. Gezinshuis producten",
            "",
        IF(
            INDEX($AB:$AB, COLUMN(G1)+1) = "4. Pleegzorg producten",
                 '4. Pleegzorg producten'!$L$36,
            ""
        )
    )
)</f>
        <v/>
      </c>
      <c r="J27" s="283" t="str">
        <f>IF(
    INDEX($AB:$AB, COLUMN(H1)+1) = "1a. Input organisatieniveau",
        "",
    IF(
        INDEX($AB:$AB, COLUMN(H1)+1) = "3. Gezinshuis producten",
            "",
        IF(
            INDEX($AB:$AB, COLUMN(H1)+1) = "4. Pleegzorg producten",
                 '4. Pleegzorg producten'!$L$36,
            ""
        )
    )
)</f>
        <v/>
      </c>
      <c r="K27" s="283" t="str">
        <f>IF(
    INDEX($AB:$AB, COLUMN(I1)+1) = "1a. Input organisatieniveau",
        "",
    IF(
        INDEX($AB:$AB, COLUMN(I1)+1) = "3. Gezinshuis producten",
            "",
        IF(
            INDEX($AB:$AB, COLUMN(I1)+1) = "4. Pleegzorg producten",
                 '4. Pleegzorg producten'!$L$36,
            ""
        )
    )
)</f>
        <v/>
      </c>
      <c r="L27" s="283" t="str">
        <f>IF(
    INDEX($AB:$AB, COLUMN(J1)+1) = "1a. Input organisatieniveau",
        "",
    IF(
        INDEX($AB:$AB, COLUMN(J1)+1) = "3. Gezinshuis producten",
            "",
        IF(
            INDEX($AB:$AB, COLUMN(J1)+1) = "4. Pleegzorg producten",
                 '4. Pleegzorg producten'!$L$36,
            ""
        )
    )
)</f>
        <v/>
      </c>
      <c r="M27" s="283" t="str">
        <f>IF(
    INDEX($AB:$AB, COLUMN(K1)+1) = "1a. Input organisatieniveau",
        "",
    IF(
        INDEX($AB:$AB, COLUMN(K1)+1) = "3. Gezinshuis producten",
            "",
        IF(
            INDEX($AB:$AB, COLUMN(K1)+1) = "4. Pleegzorg producten",
                 '4. Pleegzorg producten'!$L$36,
            ""
        )
    )
)</f>
        <v/>
      </c>
      <c r="N27" s="283" t="str">
        <f>IF(
    INDEX($AB:$AB, COLUMN(L1)+1) = "1a. Input organisatieniveau",
        "",
    IF(
        INDEX($AB:$AB, COLUMN(L1)+1) = "3. Gezinshuis producten",
            "",
        IF(
            INDEX($AB:$AB, COLUMN(L1)+1) = "4. Pleegzorg producten",
                 '4. Pleegzorg producten'!$L$36,
            ""
        )
    )
)</f>
        <v/>
      </c>
      <c r="O27" s="283" t="str">
        <f>IF(
    INDEX($AB:$AB, COLUMN(M1)+1) = "1a. Input organisatieniveau",
        "",
    IF(
        INDEX($AB:$AB, COLUMN(M1)+1) = "3. Gezinshuis producten",
            "",
        IF(
            INDEX($AB:$AB, COLUMN(M1)+1) = "4. Pleegzorg producten",
                 '4. Pleegzorg producten'!$L$36,
            ""
        )
    )
)</f>
        <v/>
      </c>
      <c r="P27" s="283" t="str">
        <f>IF(
    INDEX($AB:$AB, COLUMN(N1)+1) = "1a. Input organisatieniveau",
        "",
    IF(
        INDEX($AB:$AB, COLUMN(N1)+1) = "3. Gezinshuis producten",
            "",
        IF(
            INDEX($AB:$AB, COLUMN(N1)+1) = "4. Pleegzorg producten",
                 '4. Pleegzorg producten'!$L$36,
            ""
        )
    )
)</f>
        <v/>
      </c>
      <c r="Q27" s="283" t="str">
        <f>IF(
    INDEX($AB:$AB, COLUMN(O1)+1) = "1a. Input organisatieniveau",
        "",
    IF(
        INDEX($AB:$AB, COLUMN(O1)+1) = "3. Gezinshuis producten",
            "",
        IF(
            INDEX($AB:$AB, COLUMN(O1)+1) = "4. Pleegzorg producten",
                 '4. Pleegzorg producten'!$L$36,
            ""
        )
    )
)</f>
        <v/>
      </c>
      <c r="R27" s="283" t="str">
        <f>IF(
    INDEX($AB:$AB, COLUMN(P1)+1) = "1a. Input organisatieniveau",
        "",
    IF(
        INDEX($AB:$AB, COLUMN(P1)+1) = "3. Gezinshuis producten",
            "",
        IF(
            INDEX($AB:$AB, COLUMN(P1)+1) = "4. Pleegzorg producten",
                 '4. Pleegzorg producten'!$L$36,
            ""
        )
    )
)</f>
        <v/>
      </c>
      <c r="S27" s="284" t="str">
        <f>IF(
    INDEX($AB:$AB, COLUMN(Q1)+1) = "1a. Input organisatieniveau",
        "",
    IF(
        INDEX($AB:$AB, COLUMN(Q1)+1) = "3. Gezinshuis producten",
            "",
        IF(
            INDEX($AB:$AB, COLUMN(Q1)+1) = "4. Pleegzorg producten",
                 '4. Pleegzorg producten'!$L$36,
            ""
        )
    )
)</f>
        <v/>
      </c>
    </row>
    <row r="28" spans="2:29" x14ac:dyDescent="0.45">
      <c r="B28" s="23" t="s">
        <v>897</v>
      </c>
      <c r="C28" s="283" t="str">
        <f>IF(
    INDEX($AB:$AB, COLUMN(A1)+1) = "1a. Input organisatieniveau",
        "",
    IF(
        INDEX($AB:$AB, COLUMN(A1)+1) = "3. Gezinshuis producten",
            "",
        IF(
            INDEX($AB:$AB, COLUMN(A1)+1) = "4. Pleegzorg producten",
                 '4. Pleegzorg producten'!$L$37,
            ""
        )
    )
)</f>
        <v/>
      </c>
      <c r="D28" s="283" t="str">
        <f>IF(
    INDEX($AB:$AB, COLUMN(B1)+1) = "1a. Input organisatieniveau",
        "",
    IF(
        INDEX($AB:$AB, COLUMN(B1)+1) = "3. Gezinshuis producten",
            "",
        IF(
            INDEX($AB:$AB, COLUMN(B1)+1) = "4. Pleegzorg producten",
                 '4. Pleegzorg producten'!$L$37,
            ""
        )
    )
)</f>
        <v/>
      </c>
      <c r="E28" s="283" t="str">
        <f>IF(
    INDEX($AB:$AB, COLUMN(C1)+1) = "1a. Input organisatieniveau",
        "",
    IF(
        INDEX($AB:$AB, COLUMN(C1)+1) = "3. Gezinshuis producten",
            "",
        IF(
            INDEX($AB:$AB, COLUMN(C1)+1) = "4. Pleegzorg producten",
                 '4. Pleegzorg producten'!$L$37,
            ""
        )
    )
)</f>
        <v/>
      </c>
      <c r="F28" s="283" t="str">
        <f>IF(
    INDEX($AB:$AB, COLUMN(D1)+1) = "1a. Input organisatieniveau",
        "",
    IF(
        INDEX($AB:$AB, COLUMN(D1)+1) = "3. Gezinshuis producten",
            "",
        IF(
            INDEX($AB:$AB, COLUMN(D1)+1) = "4. Pleegzorg producten",
                 '4. Pleegzorg producten'!$L$37,
            ""
        )
    )
)</f>
        <v/>
      </c>
      <c r="G28" s="283" t="str">
        <f>IF(
    INDEX($AB:$AB, COLUMN(E1)+1) = "1a. Input organisatieniveau",
        "",
    IF(
        INDEX($AB:$AB, COLUMN(E1)+1) = "3. Gezinshuis producten",
            "",
        IF(
            INDEX($AB:$AB, COLUMN(E1)+1) = "4. Pleegzorg producten",
                 '4. Pleegzorg producten'!$L$37,
            ""
        )
    )
)</f>
        <v/>
      </c>
      <c r="H28" s="283" t="str">
        <f>IF(
    INDEX($AB:$AB, COLUMN(F1)+1) = "1a. Input organisatieniveau",
        "",
    IF(
        INDEX($AB:$AB, COLUMN(F1)+1) = "3. Gezinshuis producten",
            "",
        IF(
            INDEX($AB:$AB, COLUMN(F1)+1) = "4. Pleegzorg producten",
                 '4. Pleegzorg producten'!$L$37,
            ""
        )
    )
)</f>
        <v/>
      </c>
      <c r="I28" s="283" t="str">
        <f>IF(
    INDEX($AB:$AB, COLUMN(G1)+1) = "1a. Input organisatieniveau",
        "",
    IF(
        INDEX($AB:$AB, COLUMN(G1)+1) = "3. Gezinshuis producten",
            "",
        IF(
            INDEX($AB:$AB, COLUMN(G1)+1) = "4. Pleegzorg producten",
                 '4. Pleegzorg producten'!$L$37,
            ""
        )
    )
)</f>
        <v/>
      </c>
      <c r="J28" s="283" t="str">
        <f>IF(
    INDEX($AB:$AB, COLUMN(H1)+1) = "1a. Input organisatieniveau",
        "",
    IF(
        INDEX($AB:$AB, COLUMN(H1)+1) = "3. Gezinshuis producten",
            "",
        IF(
            INDEX($AB:$AB, COLUMN(H1)+1) = "4. Pleegzorg producten",
                 '4. Pleegzorg producten'!$L$37,
            ""
        )
    )
)</f>
        <v/>
      </c>
      <c r="K28" s="283" t="str">
        <f>IF(
    INDEX($AB:$AB, COLUMN(I1)+1) = "1a. Input organisatieniveau",
        "",
    IF(
        INDEX($AB:$AB, COLUMN(I1)+1) = "3. Gezinshuis producten",
            "",
        IF(
            INDEX($AB:$AB, COLUMN(I1)+1) = "4. Pleegzorg producten",
                 '4. Pleegzorg producten'!$L$37,
            ""
        )
    )
)</f>
        <v/>
      </c>
      <c r="L28" s="283" t="str">
        <f>IF(
    INDEX($AB:$AB, COLUMN(J1)+1) = "1a. Input organisatieniveau",
        "",
    IF(
        INDEX($AB:$AB, COLUMN(J1)+1) = "3. Gezinshuis producten",
            "",
        IF(
            INDEX($AB:$AB, COLUMN(J1)+1) = "4. Pleegzorg producten",
                 '4. Pleegzorg producten'!$L$37,
            ""
        )
    )
)</f>
        <v/>
      </c>
      <c r="M28" s="283" t="str">
        <f>IF(
    INDEX($AB:$AB, COLUMN(K1)+1) = "1a. Input organisatieniveau",
        "",
    IF(
        INDEX($AB:$AB, COLUMN(K1)+1) = "3. Gezinshuis producten",
            "",
        IF(
            INDEX($AB:$AB, COLUMN(K1)+1) = "4. Pleegzorg producten",
                 '4. Pleegzorg producten'!$L$37,
            ""
        )
    )
)</f>
        <v/>
      </c>
      <c r="N28" s="283" t="str">
        <f>IF(
    INDEX($AB:$AB, COLUMN(L1)+1) = "1a. Input organisatieniveau",
        "",
    IF(
        INDEX($AB:$AB, COLUMN(L1)+1) = "3. Gezinshuis producten",
            "",
        IF(
            INDEX($AB:$AB, COLUMN(L1)+1) = "4. Pleegzorg producten",
                 '4. Pleegzorg producten'!$L$37,
            ""
        )
    )
)</f>
        <v/>
      </c>
      <c r="O28" s="283" t="str">
        <f>IF(
    INDEX($AB:$AB, COLUMN(M1)+1) = "1a. Input organisatieniveau",
        "",
    IF(
        INDEX($AB:$AB, COLUMN(M1)+1) = "3. Gezinshuis producten",
            "",
        IF(
            INDEX($AB:$AB, COLUMN(M1)+1) = "4. Pleegzorg producten",
                 '4. Pleegzorg producten'!$L$37,
            ""
        )
    )
)</f>
        <v/>
      </c>
      <c r="P28" s="283" t="str">
        <f>IF(
    INDEX($AB:$AB, COLUMN(N1)+1) = "1a. Input organisatieniveau",
        "",
    IF(
        INDEX($AB:$AB, COLUMN(N1)+1) = "3. Gezinshuis producten",
            "",
        IF(
            INDEX($AB:$AB, COLUMN(N1)+1) = "4. Pleegzorg producten",
                 '4. Pleegzorg producten'!$L$37,
            ""
        )
    )
)</f>
        <v/>
      </c>
      <c r="Q28" s="283" t="str">
        <f>IF(
    INDEX($AB:$AB, COLUMN(O1)+1) = "1a. Input organisatieniveau",
        "",
    IF(
        INDEX($AB:$AB, COLUMN(O1)+1) = "3. Gezinshuis producten",
            "",
        IF(
            INDEX($AB:$AB, COLUMN(O1)+1) = "4. Pleegzorg producten",
                 '4. Pleegzorg producten'!$L$37,
            ""
        )
    )
)</f>
        <v/>
      </c>
      <c r="R28" s="283" t="str">
        <f>IF(
    INDEX($AB:$AB, COLUMN(P1)+1) = "1a. Input organisatieniveau",
        "",
    IF(
        INDEX($AB:$AB, COLUMN(P1)+1) = "3. Gezinshuis producten",
            "",
        IF(
            INDEX($AB:$AB, COLUMN(P1)+1) = "4. Pleegzorg producten",
                 '4. Pleegzorg producten'!$L$37,
            ""
        )
    )
)</f>
        <v/>
      </c>
      <c r="S28" s="284" t="str">
        <f>IF(
    INDEX($AB:$AB, COLUMN(Q1)+1) = "1a. Input organisatieniveau",
        "",
    IF(
        INDEX($AB:$AB, COLUMN(Q1)+1) = "3. Gezinshuis producten",
            "",
        IF(
            INDEX($AB:$AB, COLUMN(Q1)+1) = "4. Pleegzorg producten",
                 '4. Pleegzorg producten'!$L$37,
            ""
        )
    )
)</f>
        <v/>
      </c>
    </row>
    <row r="29" spans="2:29" x14ac:dyDescent="0.45">
      <c r="B29" s="23" t="s">
        <v>898</v>
      </c>
      <c r="C29" s="198" t="str">
        <f>IF(
    INDEX($AB:$AB, COLUMN(A1)+1) = "1a. Input organisatieniveau",
        "",
    IF(
        INDEX($AB:$AB, COLUMN(A1)+1) = "3. Gezinshuis producten",
            "",
        IF(
            INDEX($AB:$AB, COLUMN(A1)+1) = "4. Pleegzorg producten",
                 INDEX('4. Pleegzorg producten'!$A:$Y, 19,
            13 + 3 * (INDEX($AC:$AC, COLUMN(A1)+1) - 1)),
            ""
        )
    )
)</f>
        <v/>
      </c>
      <c r="D29" s="198" t="str">
        <f>IF(
    INDEX($AB:$AB, COLUMN(B1)+1) = "1a. Input organisatieniveau",
        "",
    IF(
        INDEX($AB:$AB, COLUMN(B1)+1) = "3. Gezinshuis producten",
            "",
        IF(
            INDEX($AB:$AB, COLUMN(B1)+1) = "4. Pleegzorg producten",
                 INDEX('4. Pleegzorg producten'!$A:$Y, 19,
            13 + 3 * (INDEX($AC:$AC, COLUMN(B1)+1) - 1)),
            ""
        )
    )
)</f>
        <v/>
      </c>
      <c r="E29" s="198" t="str">
        <f>IF(
    INDEX($AB:$AB, COLUMN(C1)+1) = "1a. Input organisatieniveau",
        "",
    IF(
        INDEX($AB:$AB, COLUMN(C1)+1) = "3. Gezinshuis producten",
            "",
        IF(
            INDEX($AB:$AB, COLUMN(C1)+1) = "4. Pleegzorg producten",
                 INDEX('4. Pleegzorg producten'!$A:$Y, 19,
            13 + 3 * (INDEX($AC:$AC, COLUMN(C1)+1) - 1)),
            ""
        )
    )
)</f>
        <v/>
      </c>
      <c r="F29" s="198" t="str">
        <f>IF(
    INDEX($AB:$AB, COLUMN(D1)+1) = "1a. Input organisatieniveau",
        "",
    IF(
        INDEX($AB:$AB, COLUMN(D1)+1) = "3. Gezinshuis producten",
            "",
        IF(
            INDEX($AB:$AB, COLUMN(D1)+1) = "4. Pleegzorg producten",
                 INDEX('4. Pleegzorg producten'!$A:$Y, 19,
            13 + 3 * (INDEX($AC:$AC, COLUMN(D1)+1) - 1)),
            ""
        )
    )
)</f>
        <v/>
      </c>
      <c r="G29" s="198" t="str">
        <f>IF(
    INDEX($AB:$AB, COLUMN(E1)+1) = "1a. Input organisatieniveau",
        "",
    IF(
        INDEX($AB:$AB, COLUMN(E1)+1) = "3. Gezinshuis producten",
            "",
        IF(
            INDEX($AB:$AB, COLUMN(E1)+1) = "4. Pleegzorg producten",
                 INDEX('4. Pleegzorg producten'!$A:$Y, 19,
            13 + 3 * (INDEX($AC:$AC, COLUMN(E1)+1) - 1)),
            ""
        )
    )
)</f>
        <v/>
      </c>
      <c r="H29" s="198" t="str">
        <f>IF(
    INDEX($AB:$AB, COLUMN(F1)+1) = "1a. Input organisatieniveau",
        "",
    IF(
        INDEX($AB:$AB, COLUMN(F1)+1) = "3. Gezinshuis producten",
            "",
        IF(
            INDEX($AB:$AB, COLUMN(F1)+1) = "4. Pleegzorg producten",
                 INDEX('4. Pleegzorg producten'!$A:$Y, 19,
            13 + 3 * (INDEX($AC:$AC, COLUMN(F1)+1) - 1)),
            ""
        )
    )
)</f>
        <v/>
      </c>
      <c r="I29" s="198" t="str">
        <f>IF(
    INDEX($AB:$AB, COLUMN(G1)+1) = "1a. Input organisatieniveau",
        "",
    IF(
        INDEX($AB:$AB, COLUMN(G1)+1) = "3. Gezinshuis producten",
            "",
        IF(
            INDEX($AB:$AB, COLUMN(G1)+1) = "4. Pleegzorg producten",
                 INDEX('4. Pleegzorg producten'!$A:$Y, 19,
            13 + 3 * (INDEX($AC:$AC, COLUMN(G1)+1) - 1)),
            ""
        )
    )
)</f>
        <v/>
      </c>
      <c r="J29" s="198" t="str">
        <f>IF(
    INDEX($AB:$AB, COLUMN(H1)+1) = "1a. Input organisatieniveau",
        "",
    IF(
        INDEX($AB:$AB, COLUMN(H1)+1) = "3. Gezinshuis producten",
            "",
        IF(
            INDEX($AB:$AB, COLUMN(H1)+1) = "4. Pleegzorg producten",
                 INDEX('4. Pleegzorg producten'!$A:$Y, 19,
            13 + 3 * (INDEX($AC:$AC, COLUMN(H1)+1) - 1)),
            ""
        )
    )
)</f>
        <v/>
      </c>
      <c r="K29" s="198" t="str">
        <f>IF(
    INDEX($AB:$AB, COLUMN(I1)+1) = "1a. Input organisatieniveau",
        "",
    IF(
        INDEX($AB:$AB, COLUMN(I1)+1) = "3. Gezinshuis producten",
            "",
        IF(
            INDEX($AB:$AB, COLUMN(I1)+1) = "4. Pleegzorg producten",
                 INDEX('4. Pleegzorg producten'!$A:$Y, 19,
            13 + 3 * (INDEX($AC:$AC, COLUMN(I1)+1) - 1)),
            ""
        )
    )
)</f>
        <v/>
      </c>
      <c r="L29" s="198" t="str">
        <f>IF(
    INDEX($AB:$AB, COLUMN(J1)+1) = "1a. Input organisatieniveau",
        "",
    IF(
        INDEX($AB:$AB, COLUMN(J1)+1) = "3. Gezinshuis producten",
            "",
        IF(
            INDEX($AB:$AB, COLUMN(J1)+1) = "4. Pleegzorg producten",
                 INDEX('4. Pleegzorg producten'!$A:$Y, 19,
            13 + 3 * (INDEX($AC:$AC, COLUMN(J1)+1) - 1)),
            ""
        )
    )
)</f>
        <v/>
      </c>
      <c r="M29" s="198" t="str">
        <f>IF(
    INDEX($AB:$AB, COLUMN(K1)+1) = "1a. Input organisatieniveau",
        "",
    IF(
        INDEX($AB:$AB, COLUMN(K1)+1) = "3. Gezinshuis producten",
            "",
        IF(
            INDEX($AB:$AB, COLUMN(K1)+1) = "4. Pleegzorg producten",
                 INDEX('4. Pleegzorg producten'!$A:$Y, 19,
            13 + 3 * (INDEX($AC:$AC, COLUMN(K1)+1) - 1)),
            ""
        )
    )
)</f>
        <v/>
      </c>
      <c r="N29" s="198" t="str">
        <f>IF(
    INDEX($AB:$AB, COLUMN(L1)+1) = "1a. Input organisatieniveau",
        "",
    IF(
        INDEX($AB:$AB, COLUMN(L1)+1) = "3. Gezinshuis producten",
            "",
        IF(
            INDEX($AB:$AB, COLUMN(L1)+1) = "4. Pleegzorg producten",
                 INDEX('4. Pleegzorg producten'!$A:$Y, 19,
            13 + 3 * (INDEX($AC:$AC, COLUMN(L1)+1) - 1)),
            ""
        )
    )
)</f>
        <v/>
      </c>
      <c r="O29" s="198" t="str">
        <f>IF(
    INDEX($AB:$AB, COLUMN(M1)+1) = "1a. Input organisatieniveau",
        "",
    IF(
        INDEX($AB:$AB, COLUMN(M1)+1) = "3. Gezinshuis producten",
            "",
        IF(
            INDEX($AB:$AB, COLUMN(M1)+1) = "4. Pleegzorg producten",
                 INDEX('4. Pleegzorg producten'!$A:$Y, 19,
            13 + 3 * (INDEX($AC:$AC, COLUMN(M1)+1) - 1)),
            ""
        )
    )
)</f>
        <v/>
      </c>
      <c r="P29" s="198" t="str">
        <f>IF(
    INDEX($AB:$AB, COLUMN(N1)+1) = "1a. Input organisatieniveau",
        "",
    IF(
        INDEX($AB:$AB, COLUMN(N1)+1) = "3. Gezinshuis producten",
            "",
        IF(
            INDEX($AB:$AB, COLUMN(N1)+1) = "4. Pleegzorg producten",
                 INDEX('4. Pleegzorg producten'!$A:$Y, 19,
            13 + 3 * (INDEX($AC:$AC, COLUMN(N1)+1) - 1)),
            ""
        )
    )
)</f>
        <v/>
      </c>
      <c r="Q29" s="198" t="str">
        <f>IF(
    INDEX($AB:$AB, COLUMN(O1)+1) = "1a. Input organisatieniveau",
        "",
    IF(
        INDEX($AB:$AB, COLUMN(O1)+1) = "3. Gezinshuis producten",
            "",
        IF(
            INDEX($AB:$AB, COLUMN(O1)+1) = "4. Pleegzorg producten",
                 INDEX('4. Pleegzorg producten'!$A:$Y, 19,
            13 + 3 * (INDEX($AC:$AC, COLUMN(O1)+1) - 1)),
            ""
        )
    )
)</f>
        <v/>
      </c>
      <c r="R29" s="198" t="str">
        <f>IF(
    INDEX($AB:$AB, COLUMN(P1)+1) = "1a. Input organisatieniveau",
        "",
    IF(
        INDEX($AB:$AB, COLUMN(P1)+1) = "3. Gezinshuis producten",
            "",
        IF(
            INDEX($AB:$AB, COLUMN(P1)+1) = "4. Pleegzorg producten",
                 INDEX('4. Pleegzorg producten'!$A:$Y, 19,
            13 + 3 * (INDEX($AC:$AC, COLUMN(P1)+1) - 1)),
            ""
        )
    )
)</f>
        <v/>
      </c>
      <c r="S29" s="233" t="str">
        <f>IF(
    INDEX($AB:$AB, COLUMN(Q1)+1) = "1a. Input organisatieniveau",
        "",
    IF(
        INDEX($AB:$AB, COLUMN(Q1)+1) = "3. Gezinshuis producten",
            "",
        IF(
            INDEX($AB:$AB, COLUMN(Q1)+1) = "4. Pleegzorg producten",
                 INDEX('4. Pleegzorg producten'!$A:$Y, 19,
            13 + 3 * (INDEX($AC:$AC, COLUMN(Q1)+1) - 1)),
            ""
        )
    )
)</f>
        <v/>
      </c>
    </row>
    <row r="30" spans="2:29" ht="14.65" thickBot="1" x14ac:dyDescent="0.5">
      <c r="B30" s="24" t="s">
        <v>938</v>
      </c>
      <c r="C30" s="281" t="str">
        <f>IF(
    INDEX($AB:$AB, COLUMN(A1)+1) = "1a. Input organisatieniveau",
        "",
    IF(
        INDEX($AB:$AB, COLUMN(A1)+1) = "3. Gezinshuis producten",
            "",
        IF(
            INDEX($AB:$AB, COLUMN(A1)+1) = "4. Pleegzorg producten",
                 INDEX('4. Pleegzorg producten'!$A:$Y, 23,
            13 + 3 * (INDEX($AC:$AC, COLUMN(A1)+1) - 1)),
            ""
        )
    )
)</f>
        <v/>
      </c>
      <c r="D30" s="281" t="str">
        <f>IF(
    INDEX($AB:$AB, COLUMN(B1)+1) = "1a. Input organisatieniveau",
        "",
    IF(
        INDEX($AB:$AB, COLUMN(B1)+1) = "3. Gezinshuis producten",
            "",
        IF(
            INDEX($AB:$AB, COLUMN(B1)+1) = "4. Pleegzorg producten",
                 INDEX('4. Pleegzorg producten'!$A:$Y, 23,
            13 + 3 * (INDEX($AC:$AC, COLUMN(B1)+1) - 1)),
            ""
        )
    )
)</f>
        <v/>
      </c>
      <c r="E30" s="281" t="str">
        <f>IF(
    INDEX($AB:$AB, COLUMN(C1)+1) = "1a. Input organisatieniveau",
        "",
    IF(
        INDEX($AB:$AB, COLUMN(C1)+1) = "3. Gezinshuis producten",
            "",
        IF(
            INDEX($AB:$AB, COLUMN(C1)+1) = "4. Pleegzorg producten",
                 INDEX('4. Pleegzorg producten'!$A:$Y, 23,
            13 + 3 * (INDEX($AC:$AC, COLUMN(C1)+1) - 1)),
            ""
        )
    )
)</f>
        <v/>
      </c>
      <c r="F30" s="281" t="str">
        <f>IF(
    INDEX($AB:$AB, COLUMN(D1)+1) = "1a. Input organisatieniveau",
        "",
    IF(
        INDEX($AB:$AB, COLUMN(D1)+1) = "3. Gezinshuis producten",
            "",
        IF(
            INDEX($AB:$AB, COLUMN(D1)+1) = "4. Pleegzorg producten",
                 INDEX('4. Pleegzorg producten'!$A:$Y, 23,
            13 + 3 * (INDEX($AC:$AC, COLUMN(D1)+1) - 1)),
            ""
        )
    )
)</f>
        <v/>
      </c>
      <c r="G30" s="281" t="str">
        <f>IF(
    INDEX($AB:$AB, COLUMN(E1)+1) = "1a. Input organisatieniveau",
        "",
    IF(
        INDEX($AB:$AB, COLUMN(E1)+1) = "3. Gezinshuis producten",
            "",
        IF(
            INDEX($AB:$AB, COLUMN(E1)+1) = "4. Pleegzorg producten",
                 INDEX('4. Pleegzorg producten'!$A:$Y, 23,
            13 + 3 * (INDEX($AC:$AC, COLUMN(E1)+1) - 1)),
            ""
        )
    )
)</f>
        <v/>
      </c>
      <c r="H30" s="281" t="str">
        <f>IF(
    INDEX($AB:$AB, COLUMN(F1)+1) = "1a. Input organisatieniveau",
        "",
    IF(
        INDEX($AB:$AB, COLUMN(F1)+1) = "3. Gezinshuis producten",
            "",
        IF(
            INDEX($AB:$AB, COLUMN(F1)+1) = "4. Pleegzorg producten",
                 INDEX('4. Pleegzorg producten'!$A:$Y, 23,
            13 + 3 * (INDEX($AC:$AC, COLUMN(F1)+1) - 1)),
            ""
        )
    )
)</f>
        <v/>
      </c>
      <c r="I30" s="281" t="str">
        <f>IF(
    INDEX($AB:$AB, COLUMN(G1)+1) = "1a. Input organisatieniveau",
        "",
    IF(
        INDEX($AB:$AB, COLUMN(G1)+1) = "3. Gezinshuis producten",
            "",
        IF(
            INDEX($AB:$AB, COLUMN(G1)+1) = "4. Pleegzorg producten",
                 INDEX('4. Pleegzorg producten'!$A:$Y, 23,
            13 + 3 * (INDEX($AC:$AC, COLUMN(G1)+1) - 1)),
            ""
        )
    )
)</f>
        <v/>
      </c>
      <c r="J30" s="281" t="str">
        <f>IF(
    INDEX($AB:$AB, COLUMN(H1)+1) = "1a. Input organisatieniveau",
        "",
    IF(
        INDEX($AB:$AB, COLUMN(H1)+1) = "3. Gezinshuis producten",
            "",
        IF(
            INDEX($AB:$AB, COLUMN(H1)+1) = "4. Pleegzorg producten",
                 INDEX('4. Pleegzorg producten'!$A:$Y, 23,
            13 + 3 * (INDEX($AC:$AC, COLUMN(H1)+1) - 1)),
            ""
        )
    )
)</f>
        <v/>
      </c>
      <c r="K30" s="281" t="str">
        <f>IF(
    INDEX($AB:$AB, COLUMN(I1)+1) = "1a. Input organisatieniveau",
        "",
    IF(
        INDEX($AB:$AB, COLUMN(I1)+1) = "3. Gezinshuis producten",
            "",
        IF(
            INDEX($AB:$AB, COLUMN(I1)+1) = "4. Pleegzorg producten",
                 INDEX('4. Pleegzorg producten'!$A:$Y, 23,
            13 + 3 * (INDEX($AC:$AC, COLUMN(I1)+1) - 1)),
            ""
        )
    )
)</f>
        <v/>
      </c>
      <c r="L30" s="281" t="str">
        <f>IF(
    INDEX($AB:$AB, COLUMN(J1)+1) = "1a. Input organisatieniveau",
        "",
    IF(
        INDEX($AB:$AB, COLUMN(J1)+1) = "3. Gezinshuis producten",
            "",
        IF(
            INDEX($AB:$AB, COLUMN(J1)+1) = "4. Pleegzorg producten",
                 INDEX('4. Pleegzorg producten'!$A:$Y, 23,
            13 + 3 * (INDEX($AC:$AC, COLUMN(J1)+1) - 1)),
            ""
        )
    )
)</f>
        <v/>
      </c>
      <c r="M30" s="281" t="str">
        <f>IF(
    INDEX($AB:$AB, COLUMN(K1)+1) = "1a. Input organisatieniveau",
        "",
    IF(
        INDEX($AB:$AB, COLUMN(K1)+1) = "3. Gezinshuis producten",
            "",
        IF(
            INDEX($AB:$AB, COLUMN(K1)+1) = "4. Pleegzorg producten",
                 INDEX('4. Pleegzorg producten'!$A:$Y, 23,
            13 + 3 * (INDEX($AC:$AC, COLUMN(K1)+1) - 1)),
            ""
        )
    )
)</f>
        <v/>
      </c>
      <c r="N30" s="281" t="str">
        <f>IF(
    INDEX($AB:$AB, COLUMN(L1)+1) = "1a. Input organisatieniveau",
        "",
    IF(
        INDEX($AB:$AB, COLUMN(L1)+1) = "3. Gezinshuis producten",
            "",
        IF(
            INDEX($AB:$AB, COLUMN(L1)+1) = "4. Pleegzorg producten",
                 INDEX('4. Pleegzorg producten'!$A:$Y, 23,
            13 + 3 * (INDEX($AC:$AC, COLUMN(L1)+1) - 1)),
            ""
        )
    )
)</f>
        <v/>
      </c>
      <c r="O30" s="281" t="str">
        <f>IF(
    INDEX($AB:$AB, COLUMN(M1)+1) = "1a. Input organisatieniveau",
        "",
    IF(
        INDEX($AB:$AB, COLUMN(M1)+1) = "3. Gezinshuis producten",
            "",
        IF(
            INDEX($AB:$AB, COLUMN(M1)+1) = "4. Pleegzorg producten",
                 INDEX('4. Pleegzorg producten'!$A:$Y, 23,
            13 + 3 * (INDEX($AC:$AC, COLUMN(M1)+1) - 1)),
            ""
        )
    )
)</f>
        <v/>
      </c>
      <c r="P30" s="281" t="str">
        <f>IF(
    INDEX($AB:$AB, COLUMN(N1)+1) = "1a. Input organisatieniveau",
        "",
    IF(
        INDEX($AB:$AB, COLUMN(N1)+1) = "3. Gezinshuis producten",
            "",
        IF(
            INDEX($AB:$AB, COLUMN(N1)+1) = "4. Pleegzorg producten",
                 INDEX('4. Pleegzorg producten'!$A:$Y, 23,
            13 + 3 * (INDEX($AC:$AC, COLUMN(N1)+1) - 1)),
            ""
        )
    )
)</f>
        <v/>
      </c>
      <c r="Q30" s="281" t="str">
        <f>IF(
    INDEX($AB:$AB, COLUMN(O1)+1) = "1a. Input organisatieniveau",
        "",
    IF(
        INDEX($AB:$AB, COLUMN(O1)+1) = "3. Gezinshuis producten",
            "",
        IF(
            INDEX($AB:$AB, COLUMN(O1)+1) = "4. Pleegzorg producten",
                 INDEX('4. Pleegzorg producten'!$A:$Y, 23,
            13 + 3 * (INDEX($AC:$AC, COLUMN(O1)+1) - 1)),
            ""
        )
    )
)</f>
        <v/>
      </c>
      <c r="R30" s="281" t="str">
        <f>IF(
    INDEX($AB:$AB, COLUMN(P1)+1) = "1a. Input organisatieniveau",
        "",
    IF(
        INDEX($AB:$AB, COLUMN(P1)+1) = "3. Gezinshuis producten",
            "",
        IF(
            INDEX($AB:$AB, COLUMN(P1)+1) = "4. Pleegzorg producten",
                 INDEX('4. Pleegzorg producten'!$A:$Y, 23,
            13 + 3 * (INDEX($AC:$AC, COLUMN(P1)+1) - 1)),
            ""
        )
    )
)</f>
        <v/>
      </c>
      <c r="S30" s="282" t="str">
        <f>IF(
    INDEX($AB:$AB, COLUMN(Q1)+1) = "1a. Input organisatieniveau",
        "",
    IF(
        INDEX($AB:$AB, COLUMN(Q1)+1) = "3. Gezinshuis producten",
            "",
        IF(
            INDEX($AB:$AB, COLUMN(Q1)+1) = "4. Pleegzorg producten",
                 INDEX('4. Pleegzorg producten'!$A:$Y, 23,
            13 + 3 * (INDEX($AC:$AC, COLUMN(Q1)+1) - 1)),
            ""
        )
    )
)</f>
        <v/>
      </c>
    </row>
  </sheetData>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pageSetUpPr autoPageBreaks="0"/>
  </sheetPr>
  <dimension ref="A2:AO27"/>
  <sheetViews>
    <sheetView zoomScaleNormal="100" workbookViewId="0">
      <selection activeCell="AO17" sqref="AO17"/>
    </sheetView>
  </sheetViews>
  <sheetFormatPr defaultRowHeight="14.25" x14ac:dyDescent="0.45"/>
  <cols>
    <col min="2" max="2" width="14.796875" customWidth="1"/>
    <col min="3" max="3" width="26.46484375" customWidth="1"/>
    <col min="4" max="4" width="17" customWidth="1"/>
    <col min="5" max="5" width="24" customWidth="1"/>
    <col min="6" max="6" width="18.265625" customWidth="1"/>
    <col min="7" max="7" width="28.796875" customWidth="1"/>
    <col min="8" max="8" width="21.46484375" customWidth="1"/>
    <col min="9" max="9" width="20.59765625" customWidth="1"/>
    <col min="26" max="26" width="20.9296875" customWidth="1"/>
    <col min="27" max="27" width="13.9296875" customWidth="1"/>
    <col min="28" max="28" width="21.53125" customWidth="1"/>
    <col min="29" max="29" width="14.265625" customWidth="1"/>
    <col min="30" max="30" width="21.46484375" customWidth="1"/>
    <col min="31" max="31" width="25.33203125" customWidth="1"/>
    <col min="32" max="32" width="20.53125" customWidth="1"/>
    <col min="33" max="33" width="23.9296875" customWidth="1"/>
    <col min="34" max="34" width="25.796875" customWidth="1"/>
    <col min="35" max="35" width="20.796875" customWidth="1"/>
    <col min="36" max="36" width="18.06640625" customWidth="1"/>
    <col min="37" max="37" width="20.265625" customWidth="1"/>
    <col min="38" max="38" width="20.59765625" customWidth="1"/>
    <col min="39" max="39" width="28.46484375" customWidth="1"/>
    <col min="40" max="40" width="29.9296875" customWidth="1"/>
    <col min="41" max="41" width="27.796875" customWidth="1"/>
  </cols>
  <sheetData>
    <row r="2" spans="1:41" s="5" customFormat="1" x14ac:dyDescent="0.45">
      <c r="B2" s="5" t="s">
        <v>1223</v>
      </c>
      <c r="C2" s="5" t="s">
        <v>707</v>
      </c>
      <c r="D2" s="5" t="s">
        <v>711</v>
      </c>
      <c r="E2" s="5" t="s">
        <v>1088</v>
      </c>
      <c r="F2" s="5" t="s">
        <v>1089</v>
      </c>
      <c r="G2" s="5" t="s">
        <v>1090</v>
      </c>
      <c r="H2" s="5" t="s">
        <v>713</v>
      </c>
      <c r="I2" s="5" t="s">
        <v>1091</v>
      </c>
      <c r="J2" s="5" t="s">
        <v>712</v>
      </c>
      <c r="Z2" s="5" t="s">
        <v>1087</v>
      </c>
      <c r="AA2" s="5" t="s">
        <v>1072</v>
      </c>
      <c r="AB2" s="5" t="s">
        <v>1073</v>
      </c>
      <c r="AC2" s="5" t="s">
        <v>1074</v>
      </c>
      <c r="AD2" s="5" t="s">
        <v>1075</v>
      </c>
      <c r="AE2" s="5" t="s">
        <v>1219</v>
      </c>
      <c r="AF2" s="5" t="s">
        <v>2140</v>
      </c>
      <c r="AG2" s="5" t="s">
        <v>2141</v>
      </c>
      <c r="AH2" s="5" t="s">
        <v>2159</v>
      </c>
      <c r="AI2" s="5" t="s">
        <v>2160</v>
      </c>
      <c r="AJ2" s="5" t="s">
        <v>2161</v>
      </c>
      <c r="AK2" s="5" t="s">
        <v>2162</v>
      </c>
      <c r="AL2" s="5" t="s">
        <v>2163</v>
      </c>
      <c r="AM2" s="5" t="s">
        <v>2164</v>
      </c>
      <c r="AN2" s="5" t="s">
        <v>2197</v>
      </c>
      <c r="AO2" s="5" t="s">
        <v>2198</v>
      </c>
    </row>
    <row r="3" spans="1:41" x14ac:dyDescent="0.45">
      <c r="B3" s="41" t="s">
        <v>1218</v>
      </c>
      <c r="C3" s="41" t="s">
        <v>1230</v>
      </c>
      <c r="D3" s="41" t="b">
        <f>IF('1a. Input organisatieniveau'!$C$8=B3, TRUE, FALSE)</f>
        <v>0</v>
      </c>
      <c r="E3" s="696">
        <v>8.3299999999999999E-2</v>
      </c>
      <c r="F3" s="696">
        <v>0.08</v>
      </c>
      <c r="G3" s="697"/>
      <c r="H3" s="41" t="s">
        <v>2244</v>
      </c>
      <c r="I3" s="41" t="s">
        <v>721</v>
      </c>
      <c r="J3" s="41">
        <f t="array" aca="1" ref="J3" ca="1">IFERROR(
   INDEX(
      INDIRECT("'" &amp; $AE$3 &amp; "'!A1:A1000"),
      SMALL(
         IF(ISNUMBER(INDIRECT("'" &amp; $AE$3 &amp; "'!A1:A1000")), ROW(INDIRECT("'" &amp; $AE$3 &amp; "'!A1:A1000"))),
         COLUMNS($A1:A1)
      )
   ),
   ""
)</f>
        <v>4</v>
      </c>
      <c r="K3" s="41">
        <f t="array" aca="1" ref="K3" ca="1">IFERROR(
   INDEX(
      INDIRECT("'" &amp; $AE$3 &amp; "'!A1:A1000"),
      SMALL(
         IF(ISNUMBER(INDIRECT("'" &amp; $AE$3 &amp; "'!A1:A1000")), ROW(INDIRECT("'" &amp; $AE$3 &amp; "'!A1:A1000"))),
         COLUMNS($A1:B1)
      )
   ),
   ""
)</f>
        <v>5</v>
      </c>
      <c r="L3" s="41">
        <f t="array" aca="1" ref="L3" ca="1">IFERROR(
   INDEX(
      INDIRECT("'" &amp; $AE$3 &amp; "'!A1:A1000"),
      SMALL(
         IF(ISNUMBER(INDIRECT("'" &amp; $AE$3 &amp; "'!A1:A1000")), ROW(INDIRECT("'" &amp; $AE$3 &amp; "'!A1:A1000"))),
         COLUMNS($A1:C1)
      )
   ),
   ""
)</f>
        <v>6</v>
      </c>
      <c r="M3" s="41">
        <f t="array" aca="1" ref="M3" ca="1">IFERROR(
   INDEX(
      INDIRECT("'" &amp; $AE$3 &amp; "'!A1:A1000"),
      SMALL(
         IF(ISNUMBER(INDIRECT("'" &amp; $AE$3 &amp; "'!A1:A1000")), ROW(INDIRECT("'" &amp; $AE$3 &amp; "'!A1:A1000"))),
         COLUMNS($A1:D1)
      )
   ),
   ""
)</f>
        <v>7</v>
      </c>
      <c r="N3" s="41">
        <f t="array" aca="1" ref="N3" ca="1">IFERROR(
   INDEX(
      INDIRECT("'" &amp; $AE$3 &amp; "'!A1:A1000"),
      SMALL(
         IF(ISNUMBER(INDIRECT("'" &amp; $AE$3 &amp; "'!A1:A1000")), ROW(INDIRECT("'" &amp; $AE$3 &amp; "'!A1:A1000"))),
         COLUMNS($A1:E1)
      )
   ),
   ""
)</f>
        <v>8</v>
      </c>
      <c r="O3" s="41">
        <f t="array" aca="1" ref="O3" ca="1">IFERROR(
   INDEX(
      INDIRECT("'" &amp; $AE$3 &amp; "'!A1:A1000"),
      SMALL(
         IF(ISNUMBER(INDIRECT("'" &amp; $AE$3 &amp; "'!A1:A1000")), ROW(INDIRECT("'" &amp; $AE$3 &amp; "'!A1:A1000"))),
         COLUMNS($A1:F1)
      )
   ),
   ""
)</f>
        <v>9</v>
      </c>
      <c r="P3" s="41">
        <f t="array" aca="1" ref="P3" ca="1">IFERROR(
   INDEX(
      INDIRECT("'" &amp; $AE$3 &amp; "'!A1:A1000"),
      SMALL(
         IF(ISNUMBER(INDIRECT("'" &amp; $AE$3 &amp; "'!A1:A1000")), ROW(INDIRECT("'" &amp; $AE$3 &amp; "'!A1:A1000"))),
         COLUMNS($A1:G1)
      )
   ),
   ""
)</f>
        <v>10</v>
      </c>
      <c r="Q3" s="41">
        <f t="array" aca="1" ref="Q3" ca="1">IFERROR(
   INDEX(
      INDIRECT("'" &amp; $AE$3 &amp; "'!A1:A1000"),
      SMALL(
         IF(ISNUMBER(INDIRECT("'" &amp; $AE$3 &amp; "'!A1:A1000")), ROW(INDIRECT("'" &amp; $AE$3 &amp; "'!A1:A1000"))),
         COLUMNS($A1:H1)
      )
   ),
   ""
)</f>
        <v>11</v>
      </c>
      <c r="R3" s="41">
        <f t="array" aca="1" ref="R3" ca="1">IFERROR(
   INDEX(
      INDIRECT("'" &amp; $AE$3 &amp; "'!A1:A1000"),
      SMALL(
         IF(ISNUMBER(INDIRECT("'" &amp; $AE$3 &amp; "'!A1:A1000")), ROW(INDIRECT("'" &amp; $AE$3 &amp; "'!A1:A1000"))),
         COLUMNS($A1:I1)
      )
   ),
   ""
)</f>
        <v>12</v>
      </c>
      <c r="S3" s="41">
        <f t="array" aca="1" ref="S3" ca="1">IFERROR(
   INDEX(
      INDIRECT("'" &amp; $AE$3 &amp; "'!A1:A1000"),
      SMALL(
         IF(ISNUMBER(INDIRECT("'" &amp; $AE$3 &amp; "'!A1:A1000")), ROW(INDIRECT("'" &amp; $AE$3 &amp; "'!A1:A1000"))),
         COLUMNS($A1:J1)
      )
   ),
   ""
)</f>
        <v>13</v>
      </c>
      <c r="T3" s="41">
        <f t="array" aca="1" ref="T3" ca="1">IFERROR(
   INDEX(
      INDIRECT("'" &amp; $AE$3 &amp; "'!A1:A1000"),
      SMALL(
         IF(ISNUMBER(INDIRECT("'" &amp; $AE$3 &amp; "'!A1:A1000")), ROW(INDIRECT("'" &amp; $AE$3 &amp; "'!A1:A1000"))),
         COLUMNS($A1:K1)
      )
   ),
   ""
)</f>
        <v>14</v>
      </c>
      <c r="U3" s="41">
        <f t="array" aca="1" ref="U3" ca="1">IFERROR(
   INDEX(
      INDIRECT("'" &amp; $AE$3 &amp; "'!A1:A1000"),
      SMALL(
         IF(ISNUMBER(INDIRECT("'" &amp; $AE$3 &amp; "'!A1:A1000")), ROW(INDIRECT("'" &amp; $AE$3 &amp; "'!A1:A1000"))),
         COLUMNS($A1:L1)
      )
   ),
   ""
)</f>
        <v>15</v>
      </c>
      <c r="V3" s="41" t="str">
        <f t="array" aca="1" ref="V3" ca="1">IFERROR(
   INDEX(
      INDIRECT("'" &amp; $AE$3 &amp; "'!A1:A1000"),
      SMALL(
         IF(ISNUMBER(INDIRECT("'" &amp; $AE$3 &amp; "'!A1:A1000")), ROW(INDIRECT("'" &amp; $AE$3 &amp; "'!A1:A1000"))),
         COLUMNS($A1:M1)
      )
   ),
   ""
)</f>
        <v/>
      </c>
      <c r="W3" s="41" t="str">
        <f t="array" aca="1" ref="W3" ca="1">IFERROR(
   INDEX(
      INDIRECT("'" &amp; $AE$3 &amp; "'!A1:A1000"),
      SMALL(
         IF(ISNUMBER(INDIRECT("'" &amp; $AE$3 &amp; "'!A1:A1000")), ROW(INDIRECT("'" &amp; $AE$3 &amp; "'!A1:A1000"))),
         COLUMNS($A1:N1)
      )
   ),
   ""
)</f>
        <v/>
      </c>
      <c r="X3" s="41" t="str">
        <f t="array" aca="1" ref="X3" ca="1">IFERROR(
   INDEX(
      INDIRECT("'" &amp; $AE$3 &amp; "'!A1:A1000"),
      SMALL(
         IF(ISNUMBER(INDIRECT("'" &amp; $AE$3 &amp; "'!A1:A1000")), ROW(INDIRECT("'" &amp; $AE$3 &amp; "'!A1:A1000"))),
         COLUMNS($A1:O1)
      )
   ),
   ""
)</f>
        <v/>
      </c>
      <c r="Y3" s="41" t="str">
        <f t="array" aca="1" ref="Y3" ca="1">IFERROR(
   INDEX(
      INDIRECT("'" &amp; $AE$3 &amp; "'!A1:A1000"),
      SMALL(
         IF(ISNUMBER(INDIRECT("'" &amp; $AE$3 &amp; "'!A1:A1000")), ROW(INDIRECT("'" &amp; $AE$3 &amp; "'!A1:A1000"))),
         COLUMNS($A1:P1)
      )
   ),
   ""
)</f>
        <v/>
      </c>
      <c r="Z3" s="41">
        <v>1872</v>
      </c>
      <c r="AA3" s="696">
        <v>0.25800000000000001</v>
      </c>
      <c r="AB3" s="696">
        <v>0.5232</v>
      </c>
      <c r="AC3" s="696">
        <v>5.0000000000000001E-3</v>
      </c>
      <c r="AD3" s="696">
        <v>1</v>
      </c>
      <c r="AE3" s="41" t="s">
        <v>1231</v>
      </c>
      <c r="AF3" s="696">
        <v>0.25900000000000001</v>
      </c>
      <c r="AG3" s="696">
        <v>0</v>
      </c>
      <c r="AH3" s="696">
        <v>0</v>
      </c>
      <c r="AI3" s="696">
        <v>8.3299999999999999E-2</v>
      </c>
      <c r="AJ3" s="696">
        <v>0.08</v>
      </c>
      <c r="AK3" s="696">
        <v>0.5232</v>
      </c>
      <c r="AL3" s="41">
        <v>1872</v>
      </c>
      <c r="AM3" s="697"/>
      <c r="AN3" s="41">
        <v>1.4530000000000001</v>
      </c>
      <c r="AO3" s="697"/>
    </row>
    <row r="4" spans="1:41" x14ac:dyDescent="0.45">
      <c r="B4" s="21" t="s">
        <v>2</v>
      </c>
      <c r="C4" s="21" t="s">
        <v>708</v>
      </c>
      <c r="D4" s="21" t="b">
        <f>IF('1a. Input organisatieniveau'!$C$8=B4, TRUE, FALSE)</f>
        <v>1</v>
      </c>
      <c r="E4" s="42">
        <v>8.3299999999999999E-2</v>
      </c>
      <c r="F4" s="42">
        <v>8.3299999999999999E-2</v>
      </c>
      <c r="G4" s="43" t="str">
        <f>TEXT(1000,"€ #,##0") &amp; " / fte"</f>
        <v>€ 1,000 / fte</v>
      </c>
      <c r="H4" s="21" t="s">
        <v>2211</v>
      </c>
      <c r="I4" s="21" t="s">
        <v>721</v>
      </c>
      <c r="J4" s="21">
        <f t="array" aca="1" ref="J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COLUMNS($A1:A1)
    )
  ),
  ""
)</f>
        <v>10</v>
      </c>
      <c r="K4" s="21">
        <f t="array" aca="1" ref="K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COLUMNS($A1:B1)
    )
  ),
  ""
)</f>
        <v>15</v>
      </c>
      <c r="L4" s="21">
        <f t="array" aca="1" ref="L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COLUMNS($A1:C1)
    )
  ),
  ""
)</f>
        <v>20</v>
      </c>
      <c r="M4" s="21">
        <f t="array" aca="1" ref="M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COLUMNS($A1:D1)
    )
  ),
  ""
)</f>
        <v>25</v>
      </c>
      <c r="N4" s="21">
        <f t="array" aca="1" ref="N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COLUMNS($A1:E1)
    )
  ),
  ""
)</f>
        <v>30</v>
      </c>
      <c r="O4" s="21">
        <f t="array" aca="1" ref="O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COLUMNS($A1:F1)
    )
  ),
  ""
)</f>
        <v>35</v>
      </c>
      <c r="P4" s="21">
        <f t="array" aca="1" ref="P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COLUMNS($A1:G1)
    )
  ),
  ""
)</f>
        <v>40</v>
      </c>
      <c r="Q4" s="21">
        <f t="array" aca="1" ref="Q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COLUMNS($A1:H1)
    )
  ),
  ""
)</f>
        <v>45</v>
      </c>
      <c r="R4" s="21">
        <f t="array" aca="1" ref="R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COLUMNS($A1:I1)
    )
  ),
  ""
)</f>
        <v>50</v>
      </c>
      <c r="S4" s="21">
        <f t="array" aca="1" ref="S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COLUMNS($A1:J1)
    )
  ),
  ""
)</f>
        <v>55</v>
      </c>
      <c r="T4" s="21">
        <f t="array" aca="1" ref="T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COLUMNS($A1:K1)
    )
  ),
  ""
)</f>
        <v>60</v>
      </c>
      <c r="U4" s="21">
        <f t="array" aca="1" ref="U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COLUMNS($A1:L1)
    )
  ),
  ""
)</f>
        <v>65</v>
      </c>
      <c r="V4" s="21">
        <f t="array" aca="1" ref="V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COLUMNS($A1:M1)
    )
  ),
  ""
)</f>
        <v>70</v>
      </c>
      <c r="W4" s="21">
        <f t="array" aca="1" ref="W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COLUMNS($A1:N1)
    )
  ),
  ""
)</f>
        <v>75</v>
      </c>
      <c r="X4" s="21">
        <f t="array" aca="1" ref="X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COLUMNS($A1:O1)
    )
  ),
  ""
)</f>
        <v>80</v>
      </c>
      <c r="Y4" s="21" t="str">
        <f t="array" aca="1" ref="Y4" ca="1">IFERROR(
  INDEX(
    INDIRECT("'" &amp; $AE$4 &amp; "'!A1:A1000"),
    SMALL(
      IF(
        ISNUMBER(INDIRECT("'" &amp; $AE$4 &amp; "'!A1:A1000")),
        IF(
          MOD(INDIRECT("'" &amp; $AE$4 &amp; "'!A1:A1000"),5)=0,
          ROW(INDIRECT("'" &amp; $AE$4 &amp; "'!A1:A1000"))-ROW(INDIRECT("'" &amp; $AE$4 &amp; "'!A1"))+1
        ),
        IF(
          ISTEXT(INDIRECT("'" &amp; $AE$4 &amp; "'!A1:A1000")) *
          (LEN(INDIRECT("'" &amp; $AE$4 &amp; "'!A1:A1000"))&lt;=5),
          ROW(INDIRECT("'" &amp; $AE$4 &amp; "'!A1:A1000"))-ROW(INDIRECT("'" &amp; $AE$4 &amp; "'!A1"))+1
        )
      ),
      COLUMNS($A1:P1)
    )
  ),
  ""
)</f>
        <v>MS</v>
      </c>
      <c r="Z4" s="21">
        <v>1878</v>
      </c>
      <c r="AA4" s="42">
        <v>0.25800000000000001</v>
      </c>
      <c r="AB4" s="42">
        <v>0.5</v>
      </c>
      <c r="AC4" s="42">
        <v>5.0000000000000001E-3</v>
      </c>
      <c r="AD4" s="42">
        <v>0.5</v>
      </c>
      <c r="AE4" s="21" t="s">
        <v>1220</v>
      </c>
      <c r="AF4" s="42">
        <v>0.25900000000000001</v>
      </c>
      <c r="AG4" s="42">
        <v>0</v>
      </c>
      <c r="AH4" s="42">
        <v>0</v>
      </c>
      <c r="AI4" s="42">
        <v>8.3299999999999999E-2</v>
      </c>
      <c r="AJ4" s="42">
        <v>8.3299999999999999E-2</v>
      </c>
      <c r="AK4" s="42">
        <v>0.5</v>
      </c>
      <c r="AL4" s="21">
        <v>1878</v>
      </c>
      <c r="AM4" s="43" t="str">
        <f>TEXT(1000,"€ #,##0") &amp; " / fte"</f>
        <v>€ 1,000 / fte</v>
      </c>
      <c r="AN4" s="21"/>
      <c r="AO4" s="43"/>
    </row>
    <row r="5" spans="1:41" x14ac:dyDescent="0.45">
      <c r="B5" s="21" t="s">
        <v>705</v>
      </c>
      <c r="C5" s="21" t="s">
        <v>709</v>
      </c>
      <c r="D5" s="21" t="b">
        <f>IF('1a. Input organisatieniveau'!$C$8=B5, TRUE, FALSE)</f>
        <v>0</v>
      </c>
      <c r="E5" s="42">
        <v>8.9599999999999999E-2</v>
      </c>
      <c r="F5" s="42">
        <v>0.08</v>
      </c>
      <c r="G5" s="355" t="str">
        <f>TEXT(0.015, "0.0%")</f>
        <v>1.5%</v>
      </c>
      <c r="H5" s="21" t="s">
        <v>2212</v>
      </c>
      <c r="I5" s="21" t="s">
        <v>721</v>
      </c>
      <c r="J5" s="21">
        <f t="array" aca="1" ref="J5" ca="1">IFERROR(
   INDEX(
      INDIRECT("'" &amp; $AE$5 &amp; "'!A1:A1000"),
      SMALL(
         IF(ISNUMBER(INDIRECT("'" &amp; $AE$5 &amp; "'!A1:A1000")), ROW(INDIRECT("'" &amp; $AE$5 &amp; "'!A1:A1000"))),
         COLUMNS($A1:A1)
      )
   ),
   ""
)</f>
        <v>1</v>
      </c>
      <c r="K5" s="21">
        <f t="array" aca="1" ref="K5" ca="1">IFERROR(
   INDEX(
      INDIRECT("'" &amp; $AE$5 &amp; "'!A1:A1000"),
      SMALL(
         IF(ISNUMBER(INDIRECT("'" &amp; $AE$5 &amp; "'!A1:A1000")), ROW(INDIRECT("'" &amp; $AE$5 &amp; "'!A1:A1000"))),
         COLUMNS($A1:B1)
      )
   ),
   ""
)</f>
        <v>2</v>
      </c>
      <c r="L5" s="21">
        <f t="array" aca="1" ref="L5" ca="1">IFERROR(
   INDEX(
      INDIRECT("'" &amp; $AE$5 &amp; "'!A1:A1000"),
      SMALL(
         IF(ISNUMBER(INDIRECT("'" &amp; $AE$5 &amp; "'!A1:A1000")), ROW(INDIRECT("'" &amp; $AE$5 &amp; "'!A1:A1000"))),
         COLUMNS($A1:C1)
      )
   ),
   ""
)</f>
        <v>3</v>
      </c>
      <c r="M5" s="21">
        <f t="array" aca="1" ref="M5" ca="1">IFERROR(
   INDEX(
      INDIRECT("'" &amp; $AE$5 &amp; "'!A1:A1000"),
      SMALL(
         IF(ISNUMBER(INDIRECT("'" &amp; $AE$5 &amp; "'!A1:A1000")), ROW(INDIRECT("'" &amp; $AE$5 &amp; "'!A1:A1000"))),
         COLUMNS($A1:D1)
      )
   ),
   ""
)</f>
        <v>4</v>
      </c>
      <c r="N5" s="21">
        <f t="array" aca="1" ref="N5" ca="1">IFERROR(
   INDEX(
      INDIRECT("'" &amp; $AE$5 &amp; "'!A1:A1000"),
      SMALL(
         IF(ISNUMBER(INDIRECT("'" &amp; $AE$5 &amp; "'!A1:A1000")), ROW(INDIRECT("'" &amp; $AE$5 &amp; "'!A1:A1000"))),
         COLUMNS($A1:E1)
      )
   ),
   ""
)</f>
        <v>5</v>
      </c>
      <c r="O5" s="21">
        <f t="array" aca="1" ref="O5" ca="1">IFERROR(
   INDEX(
      INDIRECT("'" &amp; $AE$5 &amp; "'!A1:A1000"),
      SMALL(
         IF(ISNUMBER(INDIRECT("'" &amp; $AE$5 &amp; "'!A1:A1000")), ROW(INDIRECT("'" &amp; $AE$5 &amp; "'!A1:A1000"))),
         COLUMNS($A1:F1)
      )
   ),
   ""
)</f>
        <v>6</v>
      </c>
      <c r="P5" s="21">
        <f t="array" aca="1" ref="P5" ca="1">IFERROR(
   INDEX(
      INDIRECT("'" &amp; $AE$5 &amp; "'!A1:A1000"),
      SMALL(
         IF(ISNUMBER(INDIRECT("'" &amp; $AE$5 &amp; "'!A1:A1000")), ROW(INDIRECT("'" &amp; $AE$5 &amp; "'!A1:A1000"))),
         COLUMNS($A1:G1)
      )
   ),
   ""
)</f>
        <v>7</v>
      </c>
      <c r="Q5" s="21">
        <f t="array" aca="1" ref="Q5" ca="1">IFERROR(
   INDEX(
      INDIRECT("'" &amp; $AE$5 &amp; "'!A1:A1000"),
      SMALL(
         IF(ISNUMBER(INDIRECT("'" &amp; $AE$5 &amp; "'!A1:A1000")), ROW(INDIRECT("'" &amp; $AE$5 &amp; "'!A1:A1000"))),
         COLUMNS($A1:H1)
      )
   ),
   ""
)</f>
        <v>8</v>
      </c>
      <c r="R5" s="21">
        <f t="array" aca="1" ref="R5" ca="1">IFERROR(
   INDEX(
      INDIRECT("'" &amp; $AE$5 &amp; "'!A1:A1000"),
      SMALL(
         IF(ISNUMBER(INDIRECT("'" &amp; $AE$5 &amp; "'!A1:A1000")), ROW(INDIRECT("'" &amp; $AE$5 &amp; "'!A1:A1000"))),
         COLUMNS($A1:I1)
      )
   ),
   ""
)</f>
        <v>9</v>
      </c>
      <c r="S5" s="21">
        <f t="array" aca="1" ref="S5" ca="1">IFERROR(
   INDEX(
      INDIRECT("'" &amp; $AE$5 &amp; "'!A1:A1000"),
      SMALL(
         IF(ISNUMBER(INDIRECT("'" &amp; $AE$5 &amp; "'!A1:A1000")), ROW(INDIRECT("'" &amp; $AE$5 &amp; "'!A1:A1000"))),
         COLUMNS($A1:J1)
      )
   ),
   ""
)</f>
        <v>10</v>
      </c>
      <c r="T5" s="21">
        <f t="array" aca="1" ref="T5" ca="1">IFERROR(
   INDEX(
      INDIRECT("'" &amp; $AE$5 &amp; "'!A1:A1000"),
      SMALL(
         IF(ISNUMBER(INDIRECT("'" &amp; $AE$5 &amp; "'!A1:A1000")), ROW(INDIRECT("'" &amp; $AE$5 &amp; "'!A1:A1000"))),
         COLUMNS($A1:K1)
      )
   ),
   ""
)</f>
        <v>11</v>
      </c>
      <c r="U5" s="21">
        <f t="array" aca="1" ref="U5" ca="1">IFERROR(
   INDEX(
      INDIRECT("'" &amp; $AE$5 &amp; "'!A1:A1000"),
      SMALL(
         IF(ISNUMBER(INDIRECT("'" &amp; $AE$5 &amp; "'!A1:A1000")), ROW(INDIRECT("'" &amp; $AE$5 &amp; "'!A1:A1000"))),
         COLUMNS($A1:L1)
      )
   ),
   ""
)</f>
        <v>12</v>
      </c>
      <c r="V5" s="21">
        <f t="array" aca="1" ref="V5" ca="1">IFERROR(
   INDEX(
      INDIRECT("'" &amp; $AE$5 &amp; "'!A1:A1000"),
      SMALL(
         IF(ISNUMBER(INDIRECT("'" &amp; $AE$5 &amp; "'!A1:A1000")), ROW(INDIRECT("'" &amp; $AE$5 &amp; "'!A1:A1000"))),
         COLUMNS($A1:M1)
      )
   ),
   ""
)</f>
        <v>13</v>
      </c>
      <c r="W5" s="21">
        <f t="array" aca="1" ref="W5" ca="1">IFERROR(
   INDEX(
      INDIRECT("'" &amp; $AE$5 &amp; "'!A1:A1000"),
      SMALL(
         IF(ISNUMBER(INDIRECT("'" &amp; $AE$5 &amp; "'!A1:A1000")), ROW(INDIRECT("'" &amp; $AE$5 &amp; "'!A1:A1000"))),
         COLUMNS($A1:N1)
      )
   ),
   ""
)</f>
        <v>14</v>
      </c>
      <c r="X5" s="21">
        <f t="array" aca="1" ref="X5" ca="1">IFERROR(
   INDEX(
      INDIRECT("'" &amp; $AE$5 &amp; "'!A1:A1000"),
      SMALL(
         IF(ISNUMBER(INDIRECT("'" &amp; $AE$5 &amp; "'!A1:A1000")), ROW(INDIRECT("'" &amp; $AE$5 &amp; "'!A1:A1000"))),
         COLUMNS($A1:O1)
      )
   ),
   ""
)</f>
        <v>15</v>
      </c>
      <c r="Y5" s="21" t="str">
        <f t="array" aca="1" ref="Y5" ca="1">IFERROR(
   INDEX(
      INDIRECT("'" &amp; $AE$5 &amp; "'!A1:A1000"),
      SMALL(
         IF(ISNUMBER(INDIRECT("'" &amp; $AE$5 &amp; "'!A1:A1000")), ROW(INDIRECT("'" &amp; $AE$5 &amp; "'!A1:A1000"))),
         COLUMNS($A1:P1)
      )
   ),
   ""
)</f>
        <v/>
      </c>
      <c r="Z5" s="21">
        <v>1878</v>
      </c>
      <c r="AA5" s="42">
        <v>0.25800000000000001</v>
      </c>
      <c r="AB5" s="42">
        <v>0.5</v>
      </c>
      <c r="AC5" s="42">
        <v>5.0000000000000001E-3</v>
      </c>
      <c r="AD5" s="42">
        <v>1</v>
      </c>
      <c r="AE5" s="21" t="s">
        <v>1221</v>
      </c>
      <c r="AF5" s="42">
        <v>0.25900000000000001</v>
      </c>
      <c r="AG5" s="42">
        <v>0</v>
      </c>
      <c r="AH5" s="42">
        <v>0</v>
      </c>
      <c r="AI5" s="42">
        <v>8.9599999999999999E-2</v>
      </c>
      <c r="AJ5" s="42">
        <v>0.08</v>
      </c>
      <c r="AK5" s="42">
        <v>0.5</v>
      </c>
      <c r="AL5" s="21">
        <v>1878</v>
      </c>
      <c r="AM5" s="355" t="str">
        <f>TEXT(0.015, "0.0%")</f>
        <v>1.5%</v>
      </c>
      <c r="AN5" s="21"/>
      <c r="AO5" s="355"/>
    </row>
    <row r="6" spans="1:41" x14ac:dyDescent="0.45">
      <c r="B6" s="21" t="s">
        <v>706</v>
      </c>
      <c r="C6" s="21" t="s">
        <v>710</v>
      </c>
      <c r="D6" s="21" t="b">
        <f>IF('1a. Input organisatieniveau'!$C$8=B6, TRUE, FALSE)</f>
        <v>0</v>
      </c>
      <c r="E6" s="42">
        <v>8.3299999999999999E-2</v>
      </c>
      <c r="F6" s="42">
        <v>0.08</v>
      </c>
      <c r="G6" s="43"/>
      <c r="H6" s="21" t="s">
        <v>1210</v>
      </c>
      <c r="I6" s="21" t="s">
        <v>721</v>
      </c>
      <c r="J6" s="21">
        <f t="array" aca="1" ref="J6" ca="1">IFERROR(
   INDEX(
      INDIRECT("'" &amp; $AE$6 &amp; "'!A1:A1000"),
      SMALL(
         IF(ISNUMBER(INDIRECT("'" &amp; $AE$6 &amp; "'!A1:A1000")), ROW(INDIRECT("'" &amp; $AE$6 &amp; "'!A1:A1000"))),
         COLUMNS($A1:A1)
      )
   ),
   ""
)</f>
        <v>5</v>
      </c>
      <c r="K6" s="21">
        <f t="array" aca="1" ref="K6" ca="1">IFERROR(
   INDEX(
      INDIRECT("'" &amp; $AE$6 &amp; "'!A1:A1000"),
      SMALL(
         IF(ISNUMBER(INDIRECT("'" &amp; $AE$6 &amp; "'!A1:A1000")), ROW(INDIRECT("'" &amp; $AE$6 &amp; "'!A1:A1000"))),
         COLUMNS($A1:B1)
      )
   ),
   ""
)</f>
        <v>10</v>
      </c>
      <c r="L6" s="21">
        <f t="array" aca="1" ref="L6" ca="1">IFERROR(
   INDEX(
      INDIRECT("'" &amp; $AE$6 &amp; "'!A1:A1000"),
      SMALL(
         IF(ISNUMBER(INDIRECT("'" &amp; $AE$6 &amp; "'!A1:A1000")), ROW(INDIRECT("'" &amp; $AE$6 &amp; "'!A1:A1000"))),
         COLUMNS($A1:C1)
      )
   ),
   ""
)</f>
        <v>15</v>
      </c>
      <c r="M6" s="21">
        <f t="array" aca="1" ref="M6" ca="1">IFERROR(
   INDEX(
      INDIRECT("'" &amp; $AE$6 &amp; "'!A1:A1000"),
      SMALL(
         IF(ISNUMBER(INDIRECT("'" &amp; $AE$6 &amp; "'!A1:A1000")), ROW(INDIRECT("'" &amp; $AE$6 &amp; "'!A1:A1000"))),
         COLUMNS($A1:D1)
      )
   ),
   ""
)</f>
        <v>20</v>
      </c>
      <c r="N6" s="21">
        <f t="array" aca="1" ref="N6" ca="1">IFERROR(
   INDEX(
      INDIRECT("'" &amp; $AE$6 &amp; "'!A1:A1000"),
      SMALL(
         IF(ISNUMBER(INDIRECT("'" &amp; $AE$6 &amp; "'!A1:A1000")), ROW(INDIRECT("'" &amp; $AE$6 &amp; "'!A1:A1000"))),
         COLUMNS($A1:E1)
      )
   ),
   ""
)</f>
        <v>25</v>
      </c>
      <c r="O6" s="21">
        <f t="array" aca="1" ref="O6" ca="1">IFERROR(
   INDEX(
      INDIRECT("'" &amp; $AE$6 &amp; "'!A1:A1000"),
      SMALL(
         IF(ISNUMBER(INDIRECT("'" &amp; $AE$6 &amp; "'!A1:A1000")), ROW(INDIRECT("'" &amp; $AE$6 &amp; "'!A1:A1000"))),
         COLUMNS($A1:F1)
      )
   ),
   ""
)</f>
        <v>30</v>
      </c>
      <c r="P6" s="21">
        <f t="array" aca="1" ref="P6" ca="1">IFERROR(
   INDEX(
      INDIRECT("'" &amp; $AE$6 &amp; "'!A1:A1000"),
      SMALL(
         IF(ISNUMBER(INDIRECT("'" &amp; $AE$6 &amp; "'!A1:A1000")), ROW(INDIRECT("'" &amp; $AE$6 &amp; "'!A1:A1000"))),
         COLUMNS($A1:G1)
      )
   ),
   ""
)</f>
        <v>35</v>
      </c>
      <c r="Q6" s="21">
        <f t="array" aca="1" ref="Q6" ca="1">IFERROR(
   INDEX(
      INDIRECT("'" &amp; $AE$6 &amp; "'!A1:A1000"),
      SMALL(
         IF(ISNUMBER(INDIRECT("'" &amp; $AE$6 &amp; "'!A1:A1000")), ROW(INDIRECT("'" &amp; $AE$6 &amp; "'!A1:A1000"))),
         COLUMNS($A1:H1)
      )
   ),
   ""
)</f>
        <v>40</v>
      </c>
      <c r="R6" s="21">
        <f t="array" aca="1" ref="R6" ca="1">IFERROR(
   INDEX(
      INDIRECT("'" &amp; $AE$6 &amp; "'!A1:A1000"),
      SMALL(
         IF(ISNUMBER(INDIRECT("'" &amp; $AE$6 &amp; "'!A1:A1000")), ROW(INDIRECT("'" &amp; $AE$6 &amp; "'!A1:A1000"))),
         COLUMNS($A1:I1)
      )
   ),
   ""
)</f>
        <v>45</v>
      </c>
      <c r="S6" s="21">
        <f t="array" aca="1" ref="S6" ca="1">IFERROR(
   INDEX(
      INDIRECT("'" &amp; $AE$6 &amp; "'!A1:A1000"),
      SMALL(
         IF(ISNUMBER(INDIRECT("'" &amp; $AE$6 &amp; "'!A1:A1000")), ROW(INDIRECT("'" &amp; $AE$6 &amp; "'!A1:A1000"))),
         COLUMNS($A1:J1)
      )
   ),
   ""
)</f>
        <v>50</v>
      </c>
      <c r="T6" s="21">
        <f t="array" aca="1" ref="T6" ca="1">IFERROR(
   INDEX(
      INDIRECT("'" &amp; $AE$6 &amp; "'!A1:A1000"),
      SMALL(
         IF(ISNUMBER(INDIRECT("'" &amp; $AE$6 &amp; "'!A1:A1000")), ROW(INDIRECT("'" &amp; $AE$6 &amp; "'!A1:A1000"))),
         COLUMNS($A1:K1)
      )
   ),
   ""
)</f>
        <v>55</v>
      </c>
      <c r="U6" s="21">
        <f t="array" aca="1" ref="U6" ca="1">IFERROR(
   INDEX(
      INDIRECT("'" &amp; $AE$6 &amp; "'!A1:A1000"),
      SMALL(
         IF(ISNUMBER(INDIRECT("'" &amp; $AE$6 &amp; "'!A1:A1000")), ROW(INDIRECT("'" &amp; $AE$6 &amp; "'!A1:A1000"))),
         COLUMNS($A1:L1)
      )
   ),
   ""
)</f>
        <v>60</v>
      </c>
      <c r="V6" s="21">
        <f t="array" aca="1" ref="V6" ca="1">IFERROR(
   INDEX(
      INDIRECT("'" &amp; $AE$6 &amp; "'!A1:A1000"),
      SMALL(
         IF(ISNUMBER(INDIRECT("'" &amp; $AE$6 &amp; "'!A1:A1000")), ROW(INDIRECT("'" &amp; $AE$6 &amp; "'!A1:A1000"))),
         COLUMNS($A1:M1)
      )
   ),
   ""
)</f>
        <v>65</v>
      </c>
      <c r="W6" s="21">
        <f t="array" aca="1" ref="W6" ca="1">IFERROR(
   INDEX(
      INDIRECT("'" &amp; $AE$6 &amp; "'!A1:A1000"),
      SMALL(
         IF(ISNUMBER(INDIRECT("'" &amp; $AE$6 &amp; "'!A1:A1000")), ROW(INDIRECT("'" &amp; $AE$6 &amp; "'!A1:A1000"))),
         COLUMNS($A1:N1)
      )
   ),
   ""
)</f>
        <v>70</v>
      </c>
      <c r="X6" s="21">
        <f t="array" aca="1" ref="X6" ca="1">IFERROR(
   INDEX(
      INDIRECT("'" &amp; $AE$6 &amp; "'!A1:A1000"),
      SMALL(
         IF(ISNUMBER(INDIRECT("'" &amp; $AE$6 &amp; "'!A1:A1000")), ROW(INDIRECT("'" &amp; $AE$6 &amp; "'!A1:A1000"))),
         COLUMNS($A1:O1)
      )
   ),
   ""
)</f>
        <v>75</v>
      </c>
      <c r="Y6" s="21">
        <f t="array" aca="1" ref="Y6" ca="1">IFERROR(
   INDEX(
      INDIRECT("'" &amp; $AE$6 &amp; "'!A1:A1000"),
      SMALL(
         IF(ISNUMBER(INDIRECT("'" &amp; $AE$6 &amp; "'!A1:A1000")), ROW(INDIRECT("'" &amp; $AE$6 &amp; "'!A1:A1000"))),
         COLUMNS($A1:P1)
      )
   ),
   ""
)</f>
        <v>80</v>
      </c>
      <c r="Z6" s="21">
        <v>1878</v>
      </c>
      <c r="AA6" s="42">
        <v>0.25800000000000001</v>
      </c>
      <c r="AB6" s="42">
        <v>0.5</v>
      </c>
      <c r="AC6" s="42">
        <v>5.0000000000000001E-3</v>
      </c>
      <c r="AD6" s="42">
        <v>0.5</v>
      </c>
      <c r="AE6" s="21" t="s">
        <v>1222</v>
      </c>
      <c r="AF6" s="42">
        <v>0.25900000000000001</v>
      </c>
      <c r="AG6" s="42">
        <v>0</v>
      </c>
      <c r="AH6" s="42">
        <v>0</v>
      </c>
      <c r="AI6" s="42">
        <v>8.3299999999999999E-2</v>
      </c>
      <c r="AJ6" s="42">
        <v>0.08</v>
      </c>
      <c r="AK6" s="42">
        <v>0.5</v>
      </c>
      <c r="AL6" s="21">
        <v>1878</v>
      </c>
      <c r="AM6" s="43"/>
      <c r="AN6" s="21"/>
      <c r="AO6" s="43"/>
    </row>
    <row r="7" spans="1:41" x14ac:dyDescent="0.45">
      <c r="B7" s="36" t="s">
        <v>2192</v>
      </c>
      <c r="C7" s="36" t="s">
        <v>2193</v>
      </c>
      <c r="D7" s="36" t="b">
        <f>IF('1a. Input organisatieniveau'!$C$8=B7, TRUE, FALSE)</f>
        <v>0</v>
      </c>
      <c r="E7" s="695">
        <v>8.3299999999999999E-2</v>
      </c>
      <c r="F7" s="695">
        <v>0.08</v>
      </c>
      <c r="G7" s="376"/>
      <c r="H7" s="36" t="s">
        <v>1210</v>
      </c>
      <c r="I7" s="36" t="s">
        <v>721</v>
      </c>
      <c r="J7" s="36" cm="1">
        <f t="array" aca="1" ref="J7" ca="1">IFERROR(
   INDEX(
      INDIRECT("'" &amp; $AE$7 &amp; "'!A1:A1000"),
      SMALL(
         IF(ISNUMBER(INDIRECT("'" &amp; $AE$7 &amp; "'!A1:A1000")), ROW(INDIRECT("'" &amp; $AE$7 &amp; "'!A1:A1000"))),
         COLUMNS($A1:A1)
      )
   ),
   ""
)</f>
        <v>15</v>
      </c>
      <c r="K7" s="36" cm="1">
        <f t="array" aca="1" ref="K7" ca="1">IFERROR(
   INDEX(
      INDIRECT("'" &amp; $AE$7 &amp; "'!A1:A1000"),
      SMALL(
         IF(ISNUMBER(INDIRECT("'" &amp; $AE$7 &amp; "'!A1:A1000")), ROW(INDIRECT("'" &amp; $AE$7 &amp; "'!A1:A1000"))),
         COLUMNS($A1:B1)
      )
   ),
   ""
)</f>
        <v>20</v>
      </c>
      <c r="L7" s="36" cm="1">
        <f t="array" aca="1" ref="L7" ca="1">IFERROR(
   INDEX(
      INDIRECT("'" &amp; $AE$7 &amp; "'!A1:A1000"),
      SMALL(
         IF(ISNUMBER(INDIRECT("'" &amp; $AE$7 &amp; "'!A1:A1000")), ROW(INDIRECT("'" &amp; $AE$7 &amp; "'!A1:A1000"))),
         COLUMNS($A1:C1)
      )
   ),
   ""
)</f>
        <v>25</v>
      </c>
      <c r="M7" s="36" cm="1">
        <f t="array" aca="1" ref="M7" ca="1">IFERROR(
   INDEX(
      INDIRECT("'" &amp; $AE$7 &amp; "'!A1:A1000"),
      SMALL(
         IF(ISNUMBER(INDIRECT("'" &amp; $AE$7 &amp; "'!A1:A1000")), ROW(INDIRECT("'" &amp; $AE$7 &amp; "'!A1:A1000"))),
         COLUMNS($A1:D1)
      )
   ),
   ""
)</f>
        <v>30</v>
      </c>
      <c r="N7" s="36" cm="1">
        <f t="array" aca="1" ref="N7" ca="1">IFERROR(
   INDEX(
      INDIRECT("'" &amp; $AE$7 &amp; "'!A1:A1000"),
      SMALL(
         IF(ISNUMBER(INDIRECT("'" &amp; $AE$7 &amp; "'!A1:A1000")), ROW(INDIRECT("'" &amp; $AE$7 &amp; "'!A1:A1000"))),
         COLUMNS($A1:E1)
      )
   ),
   ""
)</f>
        <v>35</v>
      </c>
      <c r="O7" s="36" cm="1">
        <f t="array" aca="1" ref="O7" ca="1">IFERROR(
   INDEX(
      INDIRECT("'" &amp; $AE$7 &amp; "'!A1:A1000"),
      SMALL(
         IF(ISNUMBER(INDIRECT("'" &amp; $AE$7 &amp; "'!A1:A1000")), ROW(INDIRECT("'" &amp; $AE$7 &amp; "'!A1:A1000"))),
         COLUMNS($A1:F1)
      )
   ),
   ""
)</f>
        <v>40</v>
      </c>
      <c r="P7" s="36" cm="1">
        <f t="array" aca="1" ref="P7" ca="1">IFERROR(
   INDEX(
      INDIRECT("'" &amp; $AE$7 &amp; "'!A1:A1000"),
      SMALL(
         IF(ISNUMBER(INDIRECT("'" &amp; $AE$7 &amp; "'!A1:A1000")), ROW(INDIRECT("'" &amp; $AE$7 &amp; "'!A1:A1000"))),
         COLUMNS($A1:G1)
      )
   ),
   ""
)</f>
        <v>45</v>
      </c>
      <c r="Q7" s="36" cm="1">
        <f t="array" aca="1" ref="Q7" ca="1">IFERROR(
   INDEX(
      INDIRECT("'" &amp; $AE$7 &amp; "'!A1:A1000"),
      SMALL(
         IF(ISNUMBER(INDIRECT("'" &amp; $AE$7 &amp; "'!A1:A1000")), ROW(INDIRECT("'" &amp; $AE$7 &amp; "'!A1:A1000"))),
         COLUMNS($A1:H1)
      )
   ),
   ""
)</f>
        <v>50</v>
      </c>
      <c r="R7" s="36" cm="1">
        <f t="array" aca="1" ref="R7" ca="1">IFERROR(
   INDEX(
      INDIRECT("'" &amp; $AE$7 &amp; "'!A1:A1000"),
      SMALL(
         IF(ISNUMBER(INDIRECT("'" &amp; $AE$7 &amp; "'!A1:A1000")), ROW(INDIRECT("'" &amp; $AE$7 &amp; "'!A1:A1000"))),
         COLUMNS($A1:I1)
      )
   ),
   ""
)</f>
        <v>55</v>
      </c>
      <c r="S7" s="36" cm="1">
        <f t="array" aca="1" ref="S7" ca="1">IFERROR(
   INDEX(
      INDIRECT("'" &amp; $AE$7 &amp; "'!A1:A1000"),
      SMALL(
         IF(ISNUMBER(INDIRECT("'" &amp; $AE$7 &amp; "'!A1:A1000")), ROW(INDIRECT("'" &amp; $AE$7 &amp; "'!A1:A1000"))),
         COLUMNS($A1:J1)
      )
   ),
   ""
)</f>
        <v>60</v>
      </c>
      <c r="T7" s="36" cm="1">
        <f t="array" aca="1" ref="T7" ca="1">IFERROR(
   INDEX(
      INDIRECT("'" &amp; $AE$7 &amp; "'!A1:A1000"),
      SMALL(
         IF(ISNUMBER(INDIRECT("'" &amp; $AE$7 &amp; "'!A1:A1000")), ROW(INDIRECT("'" &amp; $AE$7 &amp; "'!A1:A1000"))),
         COLUMNS($A1:K1)
      )
   ),
   ""
)</f>
        <v>65</v>
      </c>
      <c r="U7" s="36" cm="1">
        <f t="array" aca="1" ref="U7" ca="1">IFERROR(
   INDEX(
      INDIRECT("'" &amp; $AE$7 &amp; "'!A1:A1000"),
      SMALL(
         IF(ISNUMBER(INDIRECT("'" &amp; $AE$7 &amp; "'!A1:A1000")), ROW(INDIRECT("'" &amp; $AE$7 &amp; "'!A1:A1000"))),
         COLUMNS($A1:L1)
      )
   ),
   ""
)</f>
        <v>70</v>
      </c>
      <c r="V7" s="36" cm="1">
        <f t="array" aca="1" ref="V7" ca="1">IFERROR(
   INDEX(
      INDIRECT("'" &amp; $AE$7 &amp; "'!A1:A1000"),
      SMALL(
         IF(ISNUMBER(INDIRECT("'" &amp; $AE$7 &amp; "'!A1:A1000")), ROW(INDIRECT("'" &amp; $AE$7 &amp; "'!A1:A1000"))),
         COLUMNS($A1:M1)
      )
   ),
   ""
)</f>
        <v>75</v>
      </c>
      <c r="W7" s="36" cm="1">
        <f t="array" aca="1" ref="W7" ca="1">IFERROR(
   INDEX(
      INDIRECT("'" &amp; $AE$7 &amp; "'!A1:A1000"),
      SMALL(
         IF(ISNUMBER(INDIRECT("'" &amp; $AE$7 &amp; "'!A1:A1000")), ROW(INDIRECT("'" &amp; $AE$7 &amp; "'!A1:A1000"))),
         COLUMNS($A1:N1)
      )
   ),
   ""
)</f>
        <v>80</v>
      </c>
      <c r="X7" s="36" t="str" cm="1">
        <f t="array" aca="1" ref="X7" ca="1">IFERROR(
   INDEX(
      INDIRECT("'" &amp; $AE$7 &amp; "'!A1:A1000"),
      SMALL(
         IF(ISNUMBER(INDIRECT("'" &amp; $AE$7 &amp; "'!A1:A1000")), ROW(INDIRECT("'" &amp; $AE$7 &amp; "'!A1:A1000"))),
         COLUMNS($A1:O1)
      )
   ),
   ""
)</f>
        <v/>
      </c>
      <c r="Y7" s="36" t="str" cm="1">
        <f t="array" aca="1" ref="Y7" ca="1">IFERROR(
   INDEX(
      INDIRECT("'" &amp; $AE$7 &amp; "'!A1:A1000"),
      SMALL(
         IF(ISNUMBER(INDIRECT("'" &amp; $AE$7 &amp; "'!A1:A1000")), ROW(INDIRECT("'" &amp; $AE$7 &amp; "'!A1:A1000"))),
         COLUMNS($A1:P1)
      )
   ),
   ""
)</f>
        <v/>
      </c>
      <c r="Z7" s="36">
        <v>1878</v>
      </c>
      <c r="AA7" s="695">
        <v>0.25800000000000001</v>
      </c>
      <c r="AB7" s="695">
        <v>0.5</v>
      </c>
      <c r="AC7" s="695">
        <v>5.0000000000000001E-3</v>
      </c>
      <c r="AD7" s="695">
        <v>0.5</v>
      </c>
      <c r="AE7" s="36" t="s">
        <v>2194</v>
      </c>
      <c r="AF7" s="695">
        <v>0.25900000000000001</v>
      </c>
      <c r="AG7" s="695">
        <v>0</v>
      </c>
      <c r="AH7" s="695">
        <v>0</v>
      </c>
      <c r="AI7" s="695">
        <v>8.3299999999999999E-2</v>
      </c>
      <c r="AJ7" s="695">
        <v>0.08</v>
      </c>
      <c r="AK7" s="695">
        <v>0.5</v>
      </c>
      <c r="AL7" s="36">
        <v>1878</v>
      </c>
      <c r="AM7" s="376"/>
      <c r="AN7" s="36">
        <v>1.39</v>
      </c>
      <c r="AO7" s="376">
        <v>1.47</v>
      </c>
    </row>
    <row r="8" spans="1:41" x14ac:dyDescent="0.45">
      <c r="A8" s="5"/>
      <c r="J8" s="359">
        <f t="array" aca="1" ref="J8" ca="1">IFERROR(
   INDEX(
      INDIRECT("'" &amp; $AE$8 &amp; "'!A1:A1000"),
      SMALL(
         IF(ISNUMBER(INDIRECT("'" &amp; $AE$8 &amp; "'!A1:A1000")), ROW(INDIRECT("'" &amp; $AE$8 &amp; "'!A1:A1000"))),
         COLUMNS($A1:A1)
      )
   ),
   ""
)</f>
        <v>0</v>
      </c>
      <c r="K8" s="359">
        <f t="array" aca="1" ref="K8" ca="1">IFERROR(
   INDEX(
      INDIRECT("'" &amp; $AE$8 &amp; "'!A1:A1000"),
      SMALL(
         IF(ISNUMBER(INDIRECT("'" &amp; $AE$8 &amp; "'!A1:A1000")), ROW(INDIRECT("'" &amp; $AE$8 &amp; "'!A1:A1000"))),
         COLUMNS($A1:B1)
      )
   ),
   ""
)</f>
        <v>1</v>
      </c>
      <c r="L8" s="359">
        <f t="array" aca="1" ref="L8" ca="1">IFERROR(
   INDEX(
      INDIRECT("'" &amp; $AE$8 &amp; "'!A1:A1000"),
      SMALL(
         IF(ISNUMBER(INDIRECT("'" &amp; $AE$8 &amp; "'!A1:A1000")), ROW(INDIRECT("'" &amp; $AE$8 &amp; "'!A1:A1000"))),
         COLUMNS($A1:C1)
      )
   ),
   ""
)</f>
        <v>2</v>
      </c>
      <c r="M8" s="359">
        <f t="array" aca="1" ref="M8" ca="1">IFERROR(
   INDEX(
      INDIRECT("'" &amp; $AE$8 &amp; "'!A1:A1000"),
      SMALL(
         IF(ISNUMBER(INDIRECT("'" &amp; $AE$8 &amp; "'!A1:A1000")), ROW(INDIRECT("'" &amp; $AE$8 &amp; "'!A1:A1000"))),
         COLUMNS($A1:D1)
      )
   ),
   ""
)</f>
        <v>3</v>
      </c>
      <c r="N8" s="359">
        <f t="array" aca="1" ref="N8" ca="1">IFERROR(
   INDEX(
      INDIRECT("'" &amp; $AE$8 &amp; "'!A1:A1000"),
      SMALL(
         IF(ISNUMBER(INDIRECT("'" &amp; $AE$8 &amp; "'!A1:A1000")), ROW(INDIRECT("'" &amp; $AE$8 &amp; "'!A1:A1000"))),
         COLUMNS($A1:E1)
      )
   ),
   ""
)</f>
        <v>4</v>
      </c>
      <c r="O8" s="359">
        <f t="array" aca="1" ref="O8" ca="1">IFERROR(
   INDEX(
      INDIRECT("'" &amp; $AE$8 &amp; "'!A1:A1000"),
      SMALL(
         IF(ISNUMBER(INDIRECT("'" &amp; $AE$8 &amp; "'!A1:A1000")), ROW(INDIRECT("'" &amp; $AE$8 &amp; "'!A1:A1000"))),
         COLUMNS($A1:F1)
      )
   ),
   ""
)</f>
        <v>5</v>
      </c>
      <c r="P8" s="28"/>
      <c r="AE8" s="36" t="s">
        <v>2196</v>
      </c>
    </row>
    <row r="10" spans="1:41" s="5" customFormat="1" x14ac:dyDescent="0.45">
      <c r="A10"/>
      <c r="B10"/>
      <c r="C10"/>
      <c r="D10"/>
      <c r="E10"/>
      <c r="F10"/>
      <c r="G10"/>
    </row>
    <row r="27" spans="2:2" ht="14.55" customHeight="1" x14ac:dyDescent="0.45">
      <c r="B27" s="287"/>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pageSetUpPr autoPageBreaks="0"/>
  </sheetPr>
  <dimension ref="A1:AZ300"/>
  <sheetViews>
    <sheetView zoomScaleNormal="100" workbookViewId="0"/>
  </sheetViews>
  <sheetFormatPr defaultColWidth="8.796875" defaultRowHeight="15.75" x14ac:dyDescent="0.45"/>
  <cols>
    <col min="1" max="1" width="15.59765625" customWidth="1"/>
    <col min="2" max="2" width="36.59765625" style="399" customWidth="1"/>
    <col min="3" max="3" width="6.59765625" style="396" customWidth="1"/>
    <col min="4" max="4" width="32.59765625" style="396" customWidth="1"/>
    <col min="5" max="5" width="8.59765625" style="612" customWidth="1"/>
    <col min="6" max="6" width="6.59765625" style="496" customWidth="1"/>
    <col min="7" max="7" width="44.59765625" style="396" customWidth="1"/>
    <col min="8" max="8" width="8.59765625" style="614" customWidth="1"/>
    <col min="9" max="9" width="6.59765625" style="497" customWidth="1"/>
    <col min="10" max="12" width="6.59765625" style="687" customWidth="1"/>
    <col min="13" max="13" width="8.796875" customWidth="1"/>
    <col min="14" max="14" width="20.59765625" style="347" customWidth="1"/>
    <col min="15" max="15" width="44.59765625" customWidth="1"/>
    <col min="30" max="31" width="8.796875" hidden="1" customWidth="1"/>
  </cols>
  <sheetData>
    <row r="1" spans="1:52" x14ac:dyDescent="0.45">
      <c r="A1" s="289"/>
      <c r="B1" s="435"/>
      <c r="C1" s="294"/>
      <c r="D1" s="294"/>
      <c r="E1" s="610"/>
      <c r="F1" s="339"/>
      <c r="G1" s="294"/>
      <c r="H1" s="613"/>
      <c r="I1" s="383"/>
      <c r="J1" s="679"/>
      <c r="K1" s="679"/>
      <c r="L1" s="679"/>
      <c r="M1" s="289"/>
      <c r="N1" s="346"/>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ht="18" x14ac:dyDescent="0.45">
      <c r="A2" s="289"/>
      <c r="B2" s="435" t="s">
        <v>1</v>
      </c>
      <c r="C2" s="401"/>
      <c r="D2" s="388" t="s">
        <v>971</v>
      </c>
      <c r="E2" s="610"/>
      <c r="F2" s="339"/>
      <c r="G2" s="388" t="s">
        <v>972</v>
      </c>
      <c r="H2" s="613"/>
      <c r="I2" s="383"/>
      <c r="J2" s="679"/>
      <c r="K2" s="679"/>
      <c r="L2" s="679"/>
      <c r="M2" s="289"/>
      <c r="N2" s="346"/>
      <c r="O2" s="388" t="s">
        <v>2047</v>
      </c>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16.149999999999999" thickBot="1" x14ac:dyDescent="0.5">
      <c r="A3" s="289"/>
      <c r="B3" s="435"/>
      <c r="C3" s="294"/>
      <c r="D3" s="294"/>
      <c r="E3" s="610"/>
      <c r="F3" s="339"/>
      <c r="G3" s="343"/>
      <c r="H3" s="613"/>
      <c r="I3" s="383"/>
      <c r="J3" s="679"/>
      <c r="K3" s="679"/>
      <c r="L3" s="679"/>
      <c r="M3" s="289"/>
      <c r="N3" s="346"/>
      <c r="O3" s="294"/>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16.149999999999999" thickBot="1" x14ac:dyDescent="0.5">
      <c r="A4" s="289"/>
      <c r="B4" s="582" t="str">
        <f ca="1">IF(B5="","",
IF(
   OR(
      INDIRECT("'1a. Input organisatieniveau'!AC" &amp; (7 + INT((ROW()-4)/7)))="",
      INDIRECT("'1a. Input organisatieniveau'!AC" &amp; (7 + INT((ROW()-4)/7)))=0
   ),
   "",
   INDIRECT("'1a. Input organisatieniveau'!AC" &amp; (7 + INT((ROW()-4)/7)))
))</f>
        <v/>
      </c>
      <c r="C4" s="661" t="s">
        <v>779</v>
      </c>
      <c r="D4" s="428"/>
      <c r="E4" s="668"/>
      <c r="F4" s="662"/>
      <c r="G4" s="428"/>
      <c r="H4" s="671"/>
      <c r="I4" s="675"/>
      <c r="J4" s="680"/>
      <c r="K4" s="680"/>
      <c r="L4" s="681"/>
      <c r="M4" s="289"/>
      <c r="N4" s="346"/>
      <c r="O4" s="547" t="str">
        <f>HYPERLINK(
  "#'6. Definities'!" &amp;
  INDEX('Hulp (definities)'!E:E,
        MATCH("Opleidingstijd (in uren)",'Hulp (definities)'!A:A,0)
  ),
  "Opleidingstijd (in uren)"
)</f>
        <v>Opleidingstijd (in uren)</v>
      </c>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16.149999999999999" thickBot="1" x14ac:dyDescent="0.5">
      <c r="A5" s="289"/>
      <c r="B5" s="583" t="str">
        <f ca="1">IF(
   OR(
      INDIRECT("'1a. Input organisatieniveau'!AA" &amp; (7 + INT((ROW()-4)/7)))="",
      INDIRECT("'1a. Input organisatieniveau'!AA" &amp; (7 + INT((ROW()-4)/7)))=0
   ),
   "",
   INDIRECT("'1a. Input organisatieniveau'!AA" &amp; (7 + INT((ROW()-4)/7)))
)</f>
        <v/>
      </c>
      <c r="C5" s="663" t="s">
        <v>779</v>
      </c>
      <c r="D5" s="429" t="s">
        <v>72</v>
      </c>
      <c r="E5" s="599"/>
      <c r="F5" s="339" t="s">
        <v>767</v>
      </c>
      <c r="G5" s="429" t="s">
        <v>923</v>
      </c>
      <c r="H5" s="606"/>
      <c r="I5" s="339" t="s">
        <v>767</v>
      </c>
      <c r="J5" s="682"/>
      <c r="K5" s="682"/>
      <c r="L5" s="683"/>
      <c r="M5" s="289"/>
      <c r="N5" s="346"/>
      <c r="O5" s="548" t="str">
        <f>HYPERLINK(
  "#'6. Definities'!" &amp;
  INDEX('Hulp (definities)'!E:E,
        MATCH("Zakelijke reistijd",'Hulp (definities)'!A:A,0)
  ),
  "Zakelijke reistijd (%)"
)</f>
        <v>Zakelijke reistijd (%)</v>
      </c>
      <c r="P5" s="289"/>
      <c r="Q5" s="289"/>
      <c r="R5" s="289"/>
      <c r="S5" s="289"/>
      <c r="T5" s="289"/>
      <c r="U5" s="289"/>
      <c r="V5" s="289"/>
      <c r="W5" s="289"/>
      <c r="X5" s="289"/>
      <c r="Y5" s="289"/>
      <c r="Z5" s="289"/>
      <c r="AA5" s="289"/>
      <c r="AB5" s="289"/>
      <c r="AC5" s="289"/>
      <c r="AD5" s="289" t="s">
        <v>2154</v>
      </c>
      <c r="AE5" s="289" t="s">
        <v>2155</v>
      </c>
      <c r="AF5" s="289"/>
      <c r="AG5" s="289"/>
      <c r="AH5" s="289"/>
      <c r="AI5" s="289"/>
      <c r="AJ5" s="289"/>
      <c r="AK5" s="289"/>
      <c r="AL5" s="289"/>
      <c r="AM5" s="289"/>
      <c r="AN5" s="289"/>
      <c r="AO5" s="289"/>
      <c r="AP5" s="289"/>
      <c r="AQ5" s="289"/>
      <c r="AR5" s="289"/>
      <c r="AS5" s="289"/>
      <c r="AT5" s="289"/>
      <c r="AU5" s="289"/>
      <c r="AV5" s="289"/>
      <c r="AW5" s="289"/>
      <c r="AX5" s="289"/>
      <c r="AY5" s="289"/>
      <c r="AZ5" s="289"/>
    </row>
    <row r="6" spans="1:52" ht="15.5" customHeight="1" x14ac:dyDescent="0.45">
      <c r="A6" s="289"/>
      <c r="B6" s="343"/>
      <c r="C6" s="663" t="s">
        <v>779</v>
      </c>
      <c r="D6" s="666" t="s">
        <v>2238</v>
      </c>
      <c r="E6" s="605"/>
      <c r="F6" s="339" t="s">
        <v>767</v>
      </c>
      <c r="G6"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6" s="729"/>
      <c r="I6" s="339" t="s">
        <v>767</v>
      </c>
      <c r="J6" s="757" t="s">
        <v>2142</v>
      </c>
      <c r="K6" s="765"/>
      <c r="L6" s="683"/>
      <c r="M6" s="746" t="s">
        <v>780</v>
      </c>
      <c r="N6" s="770" t="s">
        <v>1079</v>
      </c>
      <c r="O6" s="548" t="str">
        <f>HYPERLINK(
  "#'6. Definities'!" &amp;
  INDEX('Hulp (definities)'!E:E,
        MATCH("Indirect cliëntgebonden tijd",'Hulp (definities)'!A:A,0)
  ),
  "Indirect cliëntgebonden tijd (%)"
)</f>
        <v>Indirect cliëntgebonden tijd (%)</v>
      </c>
      <c r="P6" s="321"/>
      <c r="Q6" s="289"/>
      <c r="R6" s="289"/>
      <c r="S6" s="289"/>
      <c r="T6" s="289"/>
      <c r="U6" s="289"/>
      <c r="V6" s="289"/>
      <c r="W6" s="289"/>
      <c r="X6" s="289"/>
      <c r="Y6" s="289"/>
      <c r="Z6" s="289"/>
      <c r="AA6" s="289"/>
      <c r="AB6" s="289"/>
      <c r="AC6" s="289"/>
      <c r="AD6" s="289" t="b">
        <f ca="1">AND(
    NOT(
        AND(H7 = "", B5 &lt;&gt; "", OR(B4 = "Verblijf", B4 = "Daghulp"))
    ),
    NOT(
        AND(E9 = "", B5 &lt;&gt; "")
    ),
    NOT(
        AND(H9 = "", B5 &lt;&gt; "", OR(B4 = "Verblijf", B4 = "Daghulp"))
    ),
    NOT(
        AND(H8 = "", B5 &lt;&gt; "", OR(B4 = "Verblijf", B4 = "Daghulp"))
    ),
    NOT(
        AND(H5 = "", B5 &lt;&gt; "")
    ),
    NOT(
        AND(E8 = "", B5 &lt;&gt; "")
    ),
    NOT(
        AND(E7 = "", B5 &lt;&gt; "", Initialisatie!$C$6 &lt;&gt; "Ja")
    ),
    NOT(
        AND(E6 = "", B5 &lt;&gt; "", B4 = "Ambulant")
    ),
    NOT(
        AND(E5 = "", B5 &lt;&gt; "")
    ),
    NOT(
        AND(H6 = "", B5 &lt;&gt; "", OR(B4 = "Verblijf", B4 = "Daghulp"))
    )
)</f>
        <v>1</v>
      </c>
      <c r="AE6" s="289" t="b">
        <f ca="1">AND(
    NOT(
        AND(E9 = "", B5 &lt;&gt; "")
    ),
    NOT(
        AND(E8 = "", B5 &lt;&gt; "")
    ),
    NOT(
        AND(E7 = "", B5 &lt;&gt; "", Initialisatie!$C$6 &lt;&gt; "Ja")
    ),
    NOT(
        AND(E6 = "", B5 &lt;&gt; "", B4 = "Ambulant")
    ),
    NOT(
        AND(E5 = "", B5 &lt;&gt; "")
    )
)</f>
        <v>1</v>
      </c>
      <c r="AF6" s="289"/>
      <c r="AG6" s="289"/>
      <c r="AH6" s="289"/>
      <c r="AI6" s="289"/>
      <c r="AJ6" s="289"/>
      <c r="AK6" s="289"/>
      <c r="AL6" s="289"/>
      <c r="AM6" s="289"/>
      <c r="AN6" s="289"/>
      <c r="AO6" s="289"/>
      <c r="AP6" s="289"/>
      <c r="AQ6" s="289"/>
      <c r="AR6" s="289"/>
      <c r="AS6" s="289"/>
      <c r="AT6" s="289"/>
      <c r="AU6" s="289"/>
      <c r="AV6" s="289"/>
      <c r="AW6" s="289"/>
      <c r="AX6" s="289"/>
      <c r="AY6" s="289"/>
      <c r="AZ6" s="289"/>
    </row>
    <row r="7" spans="1:52" ht="15.5" customHeight="1" thickBot="1" x14ac:dyDescent="0.5">
      <c r="A7" s="289"/>
      <c r="B7" s="343"/>
      <c r="C7" s="663" t="s">
        <v>779</v>
      </c>
      <c r="D7" s="666" t="s">
        <v>2239</v>
      </c>
      <c r="E7" s="605"/>
      <c r="F7" s="339" t="s">
        <v>767</v>
      </c>
      <c r="G7" s="666" t="s">
        <v>781</v>
      </c>
      <c r="H7" s="729"/>
      <c r="I7" s="339" t="s">
        <v>767</v>
      </c>
      <c r="J7" s="766"/>
      <c r="K7" s="767"/>
      <c r="L7" s="683"/>
      <c r="M7" s="746"/>
      <c r="N7" s="770"/>
      <c r="O7" s="548" t="str">
        <f>HYPERLINK(
  "#'6. Definities'!" &amp;
  INDEX('Hulp (definities)'!E:E,
        MATCH("Niet-cliëntgebonden tijd",'Hulp (definities)'!A:A,0)
  ),
  "Niet-cliëntgebonden tijd (%)"
)</f>
        <v>Niet-cliëntgebonden tijd (%)</v>
      </c>
      <c r="P7" s="321"/>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15.5" customHeight="1" x14ac:dyDescent="0.45">
      <c r="A8" s="289"/>
      <c r="B8" s="343"/>
      <c r="C8" s="663" t="s">
        <v>779</v>
      </c>
      <c r="D8" s="666" t="s">
        <v>2240</v>
      </c>
      <c r="E8" s="605"/>
      <c r="F8" s="339" t="s">
        <v>767</v>
      </c>
      <c r="G8"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8" s="672"/>
      <c r="I8" s="339" t="s">
        <v>767</v>
      </c>
      <c r="J8" s="761" t="str" cm="1">
        <f t="array" aca="1" ref="J8" ca="1">IF(
    B5="",
    "",
    IF(
        AND(
            INDEX('2. Output kostprijs'!$77:$77, 1, 5 + (ROW()-5)/7*2)&lt;&gt;"",
            INDEX('2. Output kostprijs'!$78:$78, 1, 5 + (ROW()-5)/7*2)&lt;&gt;""
        ),
        ROUND(
            INDEX('2. Output kostprijs'!$77:$77, 1, 5 + (ROW()-5)/7*2),
            0
        )
        &amp; " uren" &amp; CHAR(10) &amp; "("
        &amp; ROUND( 100 *
            INDEX('2. Output kostprijs'!$78:$78, 1, 5 + (ROW()-5)/7*2),
            1
        )
        &amp; "%)",
        "-"
    )
)</f>
        <v/>
      </c>
      <c r="K8" s="762"/>
      <c r="L8" s="683"/>
      <c r="M8" s="746"/>
      <c r="N8" s="770"/>
      <c r="O8" s="548" t="str">
        <f>HYPERLINK(
  "#'6. Definities'!" &amp;
  INDEX('Hulp (definities)'!E:E,
        MATCH("No show",'Hulp (definities)'!A:A,0)
  ),
  "No show (%)"
)</f>
        <v>No show (%)</v>
      </c>
      <c r="P8" s="321"/>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ht="16.149999999999999" thickBot="1" x14ac:dyDescent="0.5">
      <c r="A9" s="289"/>
      <c r="B9" s="343"/>
      <c r="C9" s="663" t="s">
        <v>779</v>
      </c>
      <c r="D9" s="667" t="str">
        <f ca="1">IF(B4="Verblijf", "Bezettingsgraad (%)", "No show (%)")</f>
        <v>No show (%)</v>
      </c>
      <c r="E9" s="669"/>
      <c r="F9" s="339" t="s">
        <v>767</v>
      </c>
      <c r="G9"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9" s="673"/>
      <c r="I9" s="339" t="s">
        <v>767</v>
      </c>
      <c r="J9" s="763"/>
      <c r="K9" s="764"/>
      <c r="L9" s="683"/>
      <c r="M9" s="289"/>
      <c r="N9" s="346"/>
      <c r="O9" s="548" t="str">
        <f>HYPERLINK(
  "#'6. Definities'!" &amp;
  INDEX('Hulp (definities)'!E:E,
        MATCH("Bezettingsgraad",'Hulp (definities)'!A:A,0)
  ),
  "Bezettingsgraad (%)"
)</f>
        <v>Bezettingsgraad (%)</v>
      </c>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t="16.149999999999999" thickBot="1" x14ac:dyDescent="0.5">
      <c r="A10" s="289"/>
      <c r="B10" s="421"/>
      <c r="C10" s="664" t="s">
        <v>779</v>
      </c>
      <c r="D10" s="660"/>
      <c r="E10" s="670"/>
      <c r="F10" s="665"/>
      <c r="G10" s="426"/>
      <c r="H10" s="674"/>
      <c r="I10" s="676"/>
      <c r="J10" s="684"/>
      <c r="K10" s="684"/>
      <c r="L10" s="685"/>
      <c r="M10" s="289"/>
      <c r="N10" s="346"/>
      <c r="O10" s="548" t="str">
        <f>HYPERLINK(
  "#'6. Definities'!" &amp;
  INDEX('Hulp (definities)'!E:E,
        MATCH("Onregelmatigheidstoeslag",'Hulp (definities)'!A:A,0)
  ),
  "Onregelmatigheidstoeslag (%)"
)</f>
        <v>Onregelmatigheidstoeslag (%)</v>
      </c>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16.149999999999999" thickBot="1" x14ac:dyDescent="0.55000000000000004">
      <c r="A11" s="289"/>
      <c r="B11" s="582" t="str">
        <f ca="1">IF(B12="","",
IF(
   OR(
      INDIRECT("'1a. Input organisatieniveau'!AC" &amp; (7 + INT((ROW()-4)/7)))="",
      INDIRECT("'1a. Input organisatieniveau'!AC" &amp; (7 + INT((ROW()-4)/7)))=0
   ),
   "",
   INDIRECT("'1a. Input organisatieniveau'!AC" &amp; (7 + INT((ROW()-4)/7)))
))</f>
        <v/>
      </c>
      <c r="C11" s="661" t="s">
        <v>779</v>
      </c>
      <c r="D11" s="428"/>
      <c r="E11" s="668"/>
      <c r="F11" s="662"/>
      <c r="G11" s="428"/>
      <c r="H11" s="671"/>
      <c r="I11" s="675"/>
      <c r="J11" s="680"/>
      <c r="K11" s="680"/>
      <c r="L11" s="681"/>
      <c r="M11" s="12"/>
      <c r="N11" s="346"/>
      <c r="O11" s="548" t="str">
        <f>HYPERLINK(
  "#'6. Definities'!" &amp;
  INDEX('Hulp (definities)'!E:E,
        MATCH("Personeelsuren per declaratieeenheid",'Hulp (definities)'!A:A,0)
  ),
  "Personeelsuren per declaratieeenheid"
)</f>
        <v>Personeelsuren per declaratieeenheid</v>
      </c>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ht="16.149999999999999" thickBot="1" x14ac:dyDescent="0.5">
      <c r="A12" s="289"/>
      <c r="B12" s="583" t="str">
        <f ca="1">IF(
   OR(
      INDIRECT("'1a. Input organisatieniveau'!AA" &amp; (7 + INT((ROW()-4)/7)))="",
      INDIRECT("'1a. Input organisatieniveau'!AA" &amp; (7 + INT((ROW()-4)/7)))=0
   ),
   "",
   INDIRECT("'1a. Input organisatieniveau'!AA" &amp; (7 + INT((ROW()-4)/7)))
)</f>
        <v/>
      </c>
      <c r="C12" s="663" t="s">
        <v>779</v>
      </c>
      <c r="D12" s="429" t="s">
        <v>72</v>
      </c>
      <c r="E12" s="599"/>
      <c r="F12" s="339" t="s">
        <v>767</v>
      </c>
      <c r="G12" s="429" t="s">
        <v>923</v>
      </c>
      <c r="H12" s="606"/>
      <c r="I12" s="339" t="s">
        <v>767</v>
      </c>
      <c r="J12" s="682"/>
      <c r="K12" s="682"/>
      <c r="L12" s="683"/>
      <c r="M12" s="289"/>
      <c r="N12" s="346"/>
      <c r="O12" s="548" t="str">
        <f>HYPERLINK(
  "#'6. Definities'!" &amp;
  INDEX('Hulp (definities)'!E:E,
        MATCH("Groepsgrootte (input)",'Hulp (definities)'!A:A,0)
  ),
  "Groepsgrootte"
)</f>
        <v>Groepsgrootte</v>
      </c>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ht="15.5" customHeight="1" x14ac:dyDescent="0.45">
      <c r="A13" s="289"/>
      <c r="B13" s="343"/>
      <c r="C13" s="663" t="s">
        <v>779</v>
      </c>
      <c r="D13" s="666" t="s">
        <v>2238</v>
      </c>
      <c r="E13" s="605"/>
      <c r="F13" s="339" t="s">
        <v>767</v>
      </c>
      <c r="G13"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3" s="729"/>
      <c r="I13" s="339" t="s">
        <v>767</v>
      </c>
      <c r="J13" s="757" t="s">
        <v>2142</v>
      </c>
      <c r="K13" s="765"/>
      <c r="L13" s="683"/>
      <c r="M13" s="746" t="s">
        <v>780</v>
      </c>
      <c r="N13" s="770" t="s">
        <v>1079</v>
      </c>
      <c r="O13" s="548" t="str">
        <f>HYPERLINK(
  "#'6. Definities'!" &amp;
  INDEX('Hulp (definities)'!E:E,
        MATCH("Huisvestingskosten per declaratieeenheid",'Hulp (definities)'!A:A,0)
  ),
  "Huisvestingskosten per declaratieeenheid (€)"
)</f>
        <v>Huisvestingskosten per declaratieeenheid (€)</v>
      </c>
      <c r="P13" s="321"/>
      <c r="Q13" s="289"/>
      <c r="R13" s="289"/>
      <c r="S13" s="289"/>
      <c r="T13" s="289"/>
      <c r="U13" s="289"/>
      <c r="V13" s="289"/>
      <c r="W13" s="289"/>
      <c r="X13" s="289"/>
      <c r="Y13" s="289"/>
      <c r="Z13" s="289"/>
      <c r="AA13" s="289"/>
      <c r="AB13" s="289"/>
      <c r="AC13" s="289"/>
      <c r="AD13" s="289" t="b">
        <f ca="1">AND(
    NOT(
        AND(H14 = "", B12 &lt;&gt; "", OR(B11 = "Verblijf", B11 = "Daghulp"))
    ),
    NOT(
        AND(E16 = "", B12 &lt;&gt; "")
    ),
    NOT(
        AND(H16 = "", B12 &lt;&gt; "", OR(B11 = "Verblijf", B11 = "Daghulp"))
    ),
    NOT(
        AND(H15 = "", B12 &lt;&gt; "", OR(B11 = "Verblijf", B11 = "Daghulp"))
    ),
    NOT(
        AND(H12 = "", B12 &lt;&gt; "")
    ),
    NOT(
        AND(E15 = "", B12 &lt;&gt; "")
    ),
    NOT(
        AND(E14 = "", B12 &lt;&gt; "", Initialisatie!$C$6 &lt;&gt; "Ja")
    ),
    NOT(
        AND(E13 = "", B12 &lt;&gt; "", B11 = "Ambulant")
    ),
    NOT(
        AND(E12 = "", B12 &lt;&gt; "")
    ),
    NOT(
        AND(H13 = "", B12 &lt;&gt; "", OR(B11 = "Verblijf", B11 = "Daghulp"))
    )
)</f>
        <v>1</v>
      </c>
      <c r="AE13" s="289" t="b">
        <f ca="1">AND(
    NOT(
        AND(E16 = "", B12 &lt;&gt; "")
    ),
    NOT(
        AND(E15 = "", B12 &lt;&gt; "")
    ),
    NOT(
        AND(E14 = "", B12 &lt;&gt; "", Initialisatie!$C$6 &lt;&gt; "Ja")
    ),
    NOT(
        AND(E13 = "", B12 &lt;&gt; "", B11 = "Ambulant")
    ),
    NOT(
        AND(E12 = "", B12 &lt;&gt; "")
    )
)</f>
        <v>1</v>
      </c>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15.5" customHeight="1" thickBot="1" x14ac:dyDescent="0.5">
      <c r="A14" s="289"/>
      <c r="B14" s="343"/>
      <c r="C14" s="663" t="s">
        <v>779</v>
      </c>
      <c r="D14" s="666" t="s">
        <v>2239</v>
      </c>
      <c r="E14" s="605"/>
      <c r="F14" s="339" t="s">
        <v>767</v>
      </c>
      <c r="G14" s="666" t="s">
        <v>781</v>
      </c>
      <c r="H14" s="729"/>
      <c r="I14" s="339" t="s">
        <v>767</v>
      </c>
      <c r="J14" s="768"/>
      <c r="K14" s="769"/>
      <c r="L14" s="683"/>
      <c r="M14" s="746"/>
      <c r="N14" s="770"/>
      <c r="O14" s="549" t="str">
        <f>HYPERLINK(
  "#'6. Definities'!" &amp;
  INDEX('Hulp (definities)'!E:E,
        MATCH("Cliëntgebonden kosten per declaratieeenheid",'Hulp (definities)'!A:A,0)
  ),
  "Cliëntgebonden kosten per declaratieeenheid (€)"
)</f>
        <v>Cliëntgebonden kosten per declaratieeenheid (€)</v>
      </c>
      <c r="P14" s="321"/>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ht="15.5" customHeight="1" x14ac:dyDescent="0.45">
      <c r="A15" s="289"/>
      <c r="B15" s="343"/>
      <c r="C15" s="663" t="s">
        <v>779</v>
      </c>
      <c r="D15" s="666" t="s">
        <v>2240</v>
      </c>
      <c r="E15" s="605"/>
      <c r="F15" s="339" t="s">
        <v>767</v>
      </c>
      <c r="G15"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5" s="672"/>
      <c r="I15" s="339" t="s">
        <v>767</v>
      </c>
      <c r="J15" s="753" t="str" cm="1">
        <f t="array" aca="1" ref="J15" ca="1">IF(
    B12="",
    "",
    IF(
        AND(
            INDEX('2. Output kostprijs'!$77:$77, 1, 5 + (ROW()-5)/7*2)&lt;&gt;"",
            INDEX('2. Output kostprijs'!$78:$78, 1, 5 + (ROW()-5)/7*2)&lt;&gt;""
        ),
        ROUND(
            INDEX('2. Output kostprijs'!$77:$77, 1, 5 + (ROW()-5)/7*2),
            0
        )
        &amp; " uren" &amp; CHAR(10) &amp; "("
        &amp; ROUND( 100 *
            INDEX('2. Output kostprijs'!$78:$78, 1, 5 + (ROW()-5)/7*2),
            1
        )
        &amp; "%)",
        "-"
    )
)</f>
        <v/>
      </c>
      <c r="K15" s="754"/>
      <c r="L15" s="683"/>
      <c r="M15" s="746"/>
      <c r="N15" s="770"/>
      <c r="O15" s="584"/>
      <c r="P15" s="321"/>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ht="16.149999999999999" thickBot="1" x14ac:dyDescent="0.5">
      <c r="A16" s="289"/>
      <c r="B16" s="343"/>
      <c r="C16" s="663" t="s">
        <v>779</v>
      </c>
      <c r="D16" s="667" t="str">
        <f ca="1">IF(B11="Verblijf", "Bezettingsgraad (%)", "No show (%)")</f>
        <v>No show (%)</v>
      </c>
      <c r="E16" s="669"/>
      <c r="F16" s="339" t="s">
        <v>767</v>
      </c>
      <c r="G16"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6" s="673"/>
      <c r="I16" s="339" t="s">
        <v>767</v>
      </c>
      <c r="J16" s="755"/>
      <c r="K16" s="756"/>
      <c r="L16" s="683"/>
      <c r="M16" s="289"/>
      <c r="N16" s="346"/>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ht="16.149999999999999" thickBot="1" x14ac:dyDescent="0.5">
      <c r="A17" s="289"/>
      <c r="B17" s="421"/>
      <c r="C17" s="663" t="s">
        <v>779</v>
      </c>
      <c r="D17" s="313"/>
      <c r="E17" s="678"/>
      <c r="F17" s="339"/>
      <c r="G17" s="294"/>
      <c r="H17" s="677"/>
      <c r="I17" s="383"/>
      <c r="J17" s="679"/>
      <c r="K17" s="679"/>
      <c r="L17" s="686"/>
      <c r="M17" s="289"/>
      <c r="N17" s="346"/>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ht="16.149999999999999" thickBot="1" x14ac:dyDescent="0.55000000000000004">
      <c r="A18" s="289"/>
      <c r="B18" s="582" t="str">
        <f ca="1">IF(B19="","",
IF(
   OR(
      INDIRECT("'1a. Input organisatieniveau'!AC" &amp; (7 + INT((ROW()-4)/7)))="",
      INDIRECT("'1a. Input organisatieniveau'!AC" &amp; (7 + INT((ROW()-4)/7)))=0
   ),
   "",
   INDIRECT("'1a. Input organisatieniveau'!AC" &amp; (7 + INT((ROW()-4)/7)))
))</f>
        <v/>
      </c>
      <c r="C18" s="661" t="s">
        <v>779</v>
      </c>
      <c r="D18" s="428"/>
      <c r="E18" s="668"/>
      <c r="F18" s="662"/>
      <c r="G18" s="428"/>
      <c r="H18" s="671"/>
      <c r="I18" s="675"/>
      <c r="J18" s="680"/>
      <c r="K18" s="680"/>
      <c r="L18" s="681"/>
      <c r="M18" s="12"/>
      <c r="N18" s="346"/>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t="16.149999999999999" thickBot="1" x14ac:dyDescent="0.5">
      <c r="A19" s="289"/>
      <c r="B19" s="583" t="str">
        <f ca="1">IF(
   OR(
      INDIRECT("'1a. Input organisatieniveau'!AA" &amp; (7 + INT((ROW()-4)/7)))="",
      INDIRECT("'1a. Input organisatieniveau'!AA" &amp; (7 + INT((ROW()-4)/7)))=0
   ),
   "",
   INDIRECT("'1a. Input organisatieniveau'!AA" &amp; (7 + INT((ROW()-4)/7)))
)</f>
        <v/>
      </c>
      <c r="C19" s="663" t="s">
        <v>779</v>
      </c>
      <c r="D19" s="429" t="s">
        <v>72</v>
      </c>
      <c r="E19" s="599"/>
      <c r="F19" s="339" t="s">
        <v>767</v>
      </c>
      <c r="G19" s="429" t="s">
        <v>923</v>
      </c>
      <c r="H19" s="606"/>
      <c r="I19" s="339" t="s">
        <v>767</v>
      </c>
      <c r="J19" s="682"/>
      <c r="K19" s="682"/>
      <c r="L19" s="683"/>
      <c r="M19" s="289"/>
      <c r="N19" s="346"/>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ht="15.5" customHeight="1" x14ac:dyDescent="0.45">
      <c r="A20" s="289"/>
      <c r="B20" s="343"/>
      <c r="C20" s="663" t="s">
        <v>779</v>
      </c>
      <c r="D20" s="666" t="s">
        <v>2238</v>
      </c>
      <c r="E20" s="605"/>
      <c r="F20" s="339" t="s">
        <v>767</v>
      </c>
      <c r="G20"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0" s="729"/>
      <c r="I20" s="339" t="s">
        <v>767</v>
      </c>
      <c r="J20" s="757" t="s">
        <v>2142</v>
      </c>
      <c r="K20" s="758"/>
      <c r="L20" s="683"/>
      <c r="M20" s="746" t="s">
        <v>780</v>
      </c>
      <c r="N20" s="770" t="s">
        <v>1079</v>
      </c>
      <c r="O20" s="584"/>
      <c r="P20" s="321"/>
      <c r="Q20" s="289"/>
      <c r="R20" s="289"/>
      <c r="S20" s="289"/>
      <c r="T20" s="289"/>
      <c r="U20" s="289"/>
      <c r="V20" s="289"/>
      <c r="W20" s="289"/>
      <c r="X20" s="289"/>
      <c r="Y20" s="289"/>
      <c r="Z20" s="289"/>
      <c r="AA20" s="289"/>
      <c r="AB20" s="289"/>
      <c r="AC20" s="289"/>
      <c r="AD20" s="289" t="b">
        <f ca="1">AND(
    NOT(
        AND(H21 = "", B19 &lt;&gt; "", OR(B18 = "Verblijf", B18 = "Daghulp"))
    ),
    NOT(
        AND(E23 = "", B19 &lt;&gt; "")
    ),
    NOT(
        AND(H23 = "", B19 &lt;&gt; "", OR(B18 = "Verblijf", B18 = "Daghulp"))
    ),
    NOT(
        AND(H22 = "", B19 &lt;&gt; "", OR(B18 = "Verblijf", B18 = "Daghulp"))
    ),
    NOT(
        AND(H19 = "", B19 &lt;&gt; "")
    ),
    NOT(
        AND(E22 = "", B19 &lt;&gt; "")
    ),
    NOT(
        AND(E21 = "", B19 &lt;&gt; "", Initialisatie!$C$6 &lt;&gt; "Ja")
    ),
    NOT(
        AND(E20 = "", B19 &lt;&gt; "", B18 = "Ambulant")
    ),
    NOT(
        AND(E19 = "", B19 &lt;&gt; "")
    ),
    NOT(
        AND(H20 = "", B19 &lt;&gt; "", OR(B18 = "Verblijf", B18 = "Daghulp"))
    )
)</f>
        <v>1</v>
      </c>
      <c r="AE20" s="289" t="b">
        <f ca="1">AND(
    NOT(
        AND(E23 = "", B19 &lt;&gt; "")
    ),
    NOT(
        AND(E22 = "", B19 &lt;&gt; "")
    ),
    NOT(
        AND(E21 = "", B19 &lt;&gt; "", Initialisatie!$C$6 &lt;&gt; "Ja")
    ),
    NOT(
        AND(E20 = "", B19 &lt;&gt; "", B18 = "Ambulant")
    ),
    NOT(
        AND(E19 = "", B19 &lt;&gt; "")
    )
)</f>
        <v>1</v>
      </c>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ht="15.5" customHeight="1" thickBot="1" x14ac:dyDescent="0.5">
      <c r="A21" s="289"/>
      <c r="B21" s="343"/>
      <c r="C21" s="663" t="s">
        <v>779</v>
      </c>
      <c r="D21" s="666" t="s">
        <v>2239</v>
      </c>
      <c r="E21" s="605"/>
      <c r="F21" s="339" t="s">
        <v>767</v>
      </c>
      <c r="G21" s="666" t="s">
        <v>781</v>
      </c>
      <c r="H21" s="729"/>
      <c r="I21" s="339" t="s">
        <v>767</v>
      </c>
      <c r="J21" s="759"/>
      <c r="K21" s="760"/>
      <c r="L21" s="683"/>
      <c r="M21" s="746"/>
      <c r="N21" s="770"/>
      <c r="O21" s="584"/>
      <c r="P21" s="321"/>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ht="15.5" customHeight="1" x14ac:dyDescent="0.45">
      <c r="A22" s="289"/>
      <c r="B22" s="343"/>
      <c r="C22" s="663" t="s">
        <v>779</v>
      </c>
      <c r="D22" s="666" t="s">
        <v>2240</v>
      </c>
      <c r="E22" s="605"/>
      <c r="F22" s="339" t="s">
        <v>767</v>
      </c>
      <c r="G22"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2" s="672"/>
      <c r="I22" s="339" t="s">
        <v>767</v>
      </c>
      <c r="J22" s="753" t="str" cm="1">
        <f t="array" aca="1" ref="J22" ca="1">IF(
    B19="",
    "",
    IF(
        AND(
            INDEX('2. Output kostprijs'!$77:$77, 1, 5 + (ROW()-5)/7*2)&lt;&gt;"",
            INDEX('2. Output kostprijs'!$78:$78, 1, 5 + (ROW()-5)/7*2)&lt;&gt;""
        ),
        ROUND(
            INDEX('2. Output kostprijs'!$77:$77, 1, 5 + (ROW()-5)/7*2),
            0
        )
        &amp; " uren" &amp; CHAR(10) &amp; "("
        &amp; ROUND( 100 *
            INDEX('2. Output kostprijs'!$78:$78, 1, 5 + (ROW()-5)/7*2),
            1
        )
        &amp; "%)",
        "-"
    )
)</f>
        <v/>
      </c>
      <c r="K22" s="754"/>
      <c r="L22" s="683"/>
      <c r="M22" s="746"/>
      <c r="N22" s="770"/>
      <c r="O22" s="584"/>
      <c r="P22" s="321"/>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ht="16.149999999999999" thickBot="1" x14ac:dyDescent="0.5">
      <c r="A23" s="289"/>
      <c r="B23" s="343"/>
      <c r="C23" s="663" t="s">
        <v>779</v>
      </c>
      <c r="D23" s="667" t="str">
        <f ca="1">IF(B18="Verblijf", "Bezettingsgraad (%)", "No show (%)")</f>
        <v>No show (%)</v>
      </c>
      <c r="E23" s="669"/>
      <c r="F23" s="339" t="s">
        <v>767</v>
      </c>
      <c r="G23"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3" s="673"/>
      <c r="I23" s="339" t="s">
        <v>767</v>
      </c>
      <c r="J23" s="755"/>
      <c r="K23" s="756"/>
      <c r="L23" s="683"/>
      <c r="M23" s="289"/>
      <c r="N23" s="346"/>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ht="16.149999999999999" thickBot="1" x14ac:dyDescent="0.5">
      <c r="A24" s="289"/>
      <c r="B24" s="421"/>
      <c r="C24" s="664" t="s">
        <v>779</v>
      </c>
      <c r="D24" s="660"/>
      <c r="E24" s="670"/>
      <c r="F24" s="665"/>
      <c r="G24" s="426"/>
      <c r="H24" s="674"/>
      <c r="I24" s="676"/>
      <c r="J24" s="684"/>
      <c r="K24" s="684"/>
      <c r="L24" s="685"/>
      <c r="M24" s="289"/>
      <c r="N24" s="346"/>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16.149999999999999" thickBot="1" x14ac:dyDescent="0.55000000000000004">
      <c r="A25" s="289"/>
      <c r="B25" s="582" t="str">
        <f ca="1">IF(B26="","",
IF(
   OR(
      INDIRECT("'1a. Input organisatieniveau'!AC" &amp; (7 + INT((ROW()-4)/7)))="",
      INDIRECT("'1a. Input organisatieniveau'!AC" &amp; (7 + INT((ROW()-4)/7)))=0
   ),
   "",
   INDIRECT("'1a. Input organisatieniveau'!AC" &amp; (7 + INT((ROW()-4)/7)))
))</f>
        <v/>
      </c>
      <c r="C25" s="661" t="s">
        <v>779</v>
      </c>
      <c r="D25" s="428"/>
      <c r="E25" s="668"/>
      <c r="F25" s="662"/>
      <c r="G25" s="428"/>
      <c r="H25" s="671"/>
      <c r="I25" s="675"/>
      <c r="J25" s="680"/>
      <c r="K25" s="680"/>
      <c r="L25" s="681"/>
      <c r="M25" s="12"/>
      <c r="N25" s="346"/>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ht="16.149999999999999" thickBot="1" x14ac:dyDescent="0.5">
      <c r="A26" s="289"/>
      <c r="B26" s="583" t="str">
        <f ca="1">IF(
   OR(
      INDIRECT("'1a. Input organisatieniveau'!AA" &amp; (7 + INT((ROW()-4)/7)))="",
      INDIRECT("'1a. Input organisatieniveau'!AA" &amp; (7 + INT((ROW()-4)/7)))=0
   ),
   "",
   INDIRECT("'1a. Input organisatieniveau'!AA" &amp; (7 + INT((ROW()-4)/7)))
)</f>
        <v/>
      </c>
      <c r="C26" s="663" t="s">
        <v>779</v>
      </c>
      <c r="D26" s="429" t="s">
        <v>72</v>
      </c>
      <c r="E26" s="599"/>
      <c r="F26" s="339" t="s">
        <v>767</v>
      </c>
      <c r="G26" s="429" t="s">
        <v>923</v>
      </c>
      <c r="H26" s="606"/>
      <c r="I26" s="339" t="s">
        <v>767</v>
      </c>
      <c r="J26" s="682"/>
      <c r="K26" s="682"/>
      <c r="L26" s="683"/>
      <c r="M26" s="289"/>
      <c r="N26" s="346"/>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ht="15.5" customHeight="1" x14ac:dyDescent="0.45">
      <c r="A27" s="289"/>
      <c r="B27" s="343"/>
      <c r="C27" s="663" t="s">
        <v>779</v>
      </c>
      <c r="D27" s="666" t="s">
        <v>2238</v>
      </c>
      <c r="E27" s="605"/>
      <c r="F27" s="339" t="s">
        <v>767</v>
      </c>
      <c r="G27"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7" s="729"/>
      <c r="I27" s="339" t="s">
        <v>767</v>
      </c>
      <c r="J27" s="757" t="s">
        <v>2142</v>
      </c>
      <c r="K27" s="758"/>
      <c r="L27" s="683"/>
      <c r="M27" s="746" t="s">
        <v>780</v>
      </c>
      <c r="N27" s="770" t="s">
        <v>1079</v>
      </c>
      <c r="O27" s="584"/>
      <c r="P27" s="321"/>
      <c r="Q27" s="289"/>
      <c r="R27" s="289"/>
      <c r="S27" s="289"/>
      <c r="T27" s="289"/>
      <c r="U27" s="289"/>
      <c r="V27" s="289"/>
      <c r="W27" s="289"/>
      <c r="X27" s="289"/>
      <c r="Y27" s="289"/>
      <c r="Z27" s="289"/>
      <c r="AA27" s="289"/>
      <c r="AB27" s="289"/>
      <c r="AC27" s="289"/>
      <c r="AD27" s="289" t="b">
        <f ca="1">AND(
    NOT(
        AND(H28 = "", B26 &lt;&gt; "", OR(B25 = "Verblijf", B25 = "Daghulp"))
    ),
    NOT(
        AND(E30 = "", B26 &lt;&gt; "")
    ),
    NOT(
        AND(H30 = "", B26 &lt;&gt; "", OR(B25 = "Verblijf", B25 = "Daghulp"))
    ),
    NOT(
        AND(H29 = "", B26 &lt;&gt; "", OR(B25 = "Verblijf", B25 = "Daghulp"))
    ),
    NOT(
        AND(H26 = "", B26 &lt;&gt; "")
    ),
    NOT(
        AND(E29 = "", B26 &lt;&gt; "")
    ),
    NOT(
        AND(E28 = "", B26 &lt;&gt; "", Initialisatie!$C$6 &lt;&gt; "Ja")
    ),
    NOT(
        AND(E27 = "", B26 &lt;&gt; "", B25 = "Ambulant")
    ),
    NOT(
        AND(E26 = "", B26 &lt;&gt; "")
    ),
    NOT(
        AND(H27 = "", B26 &lt;&gt; "", OR(B25 = "Verblijf", B25 = "Daghulp"))
    )
)</f>
        <v>1</v>
      </c>
      <c r="AE27" s="289" t="b">
        <f ca="1">AND(
    NOT(
        AND(E30 = "", B26 &lt;&gt; "")
    ),
    NOT(
        AND(E29 = "", B26 &lt;&gt; "")
    ),
    NOT(
        AND(E28 = "", B26 &lt;&gt; "", Initialisatie!$C$6 &lt;&gt; "Ja")
    ),
    NOT(
        AND(E27 = "", B26 &lt;&gt; "", B25 = "Ambulant")
    ),
    NOT(
        AND(E26 = "", B26 &lt;&gt; "")
    )
)</f>
        <v>1</v>
      </c>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ht="15.5" customHeight="1" thickBot="1" x14ac:dyDescent="0.5">
      <c r="A28" s="289"/>
      <c r="B28" s="343"/>
      <c r="C28" s="663" t="s">
        <v>779</v>
      </c>
      <c r="D28" s="666" t="s">
        <v>2239</v>
      </c>
      <c r="E28" s="605"/>
      <c r="F28" s="339" t="s">
        <v>767</v>
      </c>
      <c r="G28" s="666" t="s">
        <v>781</v>
      </c>
      <c r="H28" s="729"/>
      <c r="I28" s="339" t="s">
        <v>767</v>
      </c>
      <c r="J28" s="759"/>
      <c r="K28" s="760"/>
      <c r="L28" s="683"/>
      <c r="M28" s="746"/>
      <c r="N28" s="770"/>
      <c r="O28" s="584"/>
      <c r="P28" s="321"/>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ht="15.5" customHeight="1" x14ac:dyDescent="0.45">
      <c r="A29" s="289"/>
      <c r="B29" s="343"/>
      <c r="C29" s="663" t="s">
        <v>779</v>
      </c>
      <c r="D29" s="666" t="s">
        <v>2240</v>
      </c>
      <c r="E29" s="605"/>
      <c r="F29" s="339" t="s">
        <v>767</v>
      </c>
      <c r="G29"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9" s="672"/>
      <c r="I29" s="339" t="s">
        <v>767</v>
      </c>
      <c r="J29" s="753" t="str" cm="1">
        <f t="array" aca="1" ref="J29" ca="1">IF(
    B26="",
    "",
    IF(
        AND(
            INDEX('2. Output kostprijs'!$77:$77, 1, 5 + (ROW()-5)/7*2)&lt;&gt;"",
            INDEX('2. Output kostprijs'!$78:$78, 1, 5 + (ROW()-5)/7*2)&lt;&gt;""
        ),
        ROUND(
            INDEX('2. Output kostprijs'!$77:$77, 1, 5 + (ROW()-5)/7*2),
            0
        )
        &amp; " uren" &amp; CHAR(10) &amp; "("
        &amp; ROUND( 100 *
            INDEX('2. Output kostprijs'!$78:$78, 1, 5 + (ROW()-5)/7*2),
            1
        )
        &amp; "%)",
        "-"
    )
)</f>
        <v/>
      </c>
      <c r="K29" s="754"/>
      <c r="L29" s="683"/>
      <c r="M29" s="746"/>
      <c r="N29" s="770"/>
      <c r="O29" s="584"/>
      <c r="P29" s="321"/>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ht="16.149999999999999" thickBot="1" x14ac:dyDescent="0.5">
      <c r="A30" s="289"/>
      <c r="B30" s="343"/>
      <c r="C30" s="663" t="s">
        <v>779</v>
      </c>
      <c r="D30" s="667" t="str">
        <f ca="1">IF(B25="Verblijf", "Bezettingsgraad (%)", "No show (%)")</f>
        <v>No show (%)</v>
      </c>
      <c r="E30" s="669"/>
      <c r="F30" s="339" t="s">
        <v>767</v>
      </c>
      <c r="G30"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30" s="673"/>
      <c r="I30" s="339" t="s">
        <v>767</v>
      </c>
      <c r="J30" s="755"/>
      <c r="K30" s="756"/>
      <c r="L30" s="683"/>
      <c r="M30" s="289"/>
      <c r="N30" s="346"/>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ht="16.149999999999999" thickBot="1" x14ac:dyDescent="0.5">
      <c r="A31" s="289"/>
      <c r="B31" s="421"/>
      <c r="C31" s="664" t="s">
        <v>779</v>
      </c>
      <c r="D31" s="660"/>
      <c r="E31" s="670"/>
      <c r="F31" s="665"/>
      <c r="G31" s="426"/>
      <c r="H31" s="674"/>
      <c r="I31" s="676"/>
      <c r="J31" s="684"/>
      <c r="K31" s="684"/>
      <c r="L31" s="685"/>
      <c r="M31" s="289"/>
      <c r="N31" s="346"/>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ht="16.149999999999999" thickBot="1" x14ac:dyDescent="0.55000000000000004">
      <c r="A32" s="289"/>
      <c r="B32" s="582" t="str">
        <f ca="1">IF(B33="","",
IF(
   OR(
      INDIRECT("'1a. Input organisatieniveau'!AC" &amp; (7 + INT((ROW()-4)/7)))="",
      INDIRECT("'1a. Input organisatieniveau'!AC" &amp; (7 + INT((ROW()-4)/7)))=0
   ),
   "",
   INDIRECT("'1a. Input organisatieniveau'!AC" &amp; (7 + INT((ROW()-4)/7)))
))</f>
        <v/>
      </c>
      <c r="C32" s="661" t="s">
        <v>779</v>
      </c>
      <c r="D32" s="428"/>
      <c r="E32" s="668"/>
      <c r="F32" s="662"/>
      <c r="G32" s="428"/>
      <c r="H32" s="671"/>
      <c r="I32" s="675"/>
      <c r="J32" s="680"/>
      <c r="K32" s="680"/>
      <c r="L32" s="681"/>
      <c r="M32" s="12"/>
      <c r="N32" s="346"/>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ht="16.149999999999999" thickBot="1" x14ac:dyDescent="0.5">
      <c r="A33" s="289"/>
      <c r="B33" s="583" t="str">
        <f ca="1">IF(
   OR(
      INDIRECT("'1a. Input organisatieniveau'!AA" &amp; (7 + INT((ROW()-4)/7)))="",
      INDIRECT("'1a. Input organisatieniveau'!AA" &amp; (7 + INT((ROW()-4)/7)))=0
   ),
   "",
   INDIRECT("'1a. Input organisatieniveau'!AA" &amp; (7 + INT((ROW()-4)/7)))
)</f>
        <v/>
      </c>
      <c r="C33" s="663" t="s">
        <v>779</v>
      </c>
      <c r="D33" s="429" t="s">
        <v>72</v>
      </c>
      <c r="E33" s="599"/>
      <c r="F33" s="339" t="s">
        <v>767</v>
      </c>
      <c r="G33" s="429" t="s">
        <v>923</v>
      </c>
      <c r="H33" s="606"/>
      <c r="I33" s="339" t="s">
        <v>767</v>
      </c>
      <c r="J33" s="682"/>
      <c r="K33" s="682"/>
      <c r="L33" s="683"/>
      <c r="M33" s="289"/>
      <c r="N33" s="346"/>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ht="15.5" customHeight="1" x14ac:dyDescent="0.45">
      <c r="A34" s="289"/>
      <c r="B34" s="343"/>
      <c r="C34" s="663" t="s">
        <v>779</v>
      </c>
      <c r="D34" s="666" t="s">
        <v>2238</v>
      </c>
      <c r="E34" s="605"/>
      <c r="F34" s="339" t="s">
        <v>767</v>
      </c>
      <c r="G34"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34" s="729"/>
      <c r="I34" s="339" t="s">
        <v>767</v>
      </c>
      <c r="J34" s="757" t="s">
        <v>2142</v>
      </c>
      <c r="K34" s="758"/>
      <c r="L34" s="683"/>
      <c r="M34" s="746" t="s">
        <v>780</v>
      </c>
      <c r="N34" s="770" t="s">
        <v>1079</v>
      </c>
      <c r="O34" s="584"/>
      <c r="P34" s="321"/>
      <c r="Q34" s="289"/>
      <c r="R34" s="289"/>
      <c r="S34" s="289"/>
      <c r="T34" s="289"/>
      <c r="U34" s="289"/>
      <c r="V34" s="289"/>
      <c r="W34" s="289"/>
      <c r="X34" s="289"/>
      <c r="Y34" s="289"/>
      <c r="Z34" s="289"/>
      <c r="AA34" s="289"/>
      <c r="AB34" s="289"/>
      <c r="AC34" s="289"/>
      <c r="AD34" s="289" t="b">
        <f ca="1">AND(
    NOT(
        AND(H35 = "", B33 &lt;&gt; "", OR(B32 = "Verblijf", B32 = "Daghulp"))
    ),
    NOT(
        AND(E37 = "", B33 &lt;&gt; "")
    ),
    NOT(
        AND(H37 = "", B33 &lt;&gt; "", OR(B32 = "Verblijf", B32 = "Daghulp"))
    ),
    NOT(
        AND(H36 = "", B33 &lt;&gt; "", OR(B32 = "Verblijf", B32 = "Daghulp"))
    ),
    NOT(
        AND(H33 = "", B33 &lt;&gt; "")
    ),
    NOT(
        AND(E36 = "", B33 &lt;&gt; "")
    ),
    NOT(
        AND(E35 = "", B33 &lt;&gt; "", Initialisatie!$C$6 &lt;&gt; "Ja")
    ),
    NOT(
        AND(E34 = "", B33 &lt;&gt; "", B32 = "Ambulant")
    ),
    NOT(
        AND(E33 = "", B33 &lt;&gt; "")
    ),
    NOT(
        AND(H34 = "", B33 &lt;&gt; "", OR(B32 = "Verblijf", B32 = "Daghulp"))
    )
)</f>
        <v>1</v>
      </c>
      <c r="AE34" s="289" t="b">
        <f ca="1">AND(
    NOT(
        AND(E37 = "", B33 &lt;&gt; "")
    ),
    NOT(
        AND(E36 = "", B33 &lt;&gt; "")
    ),
    NOT(
        AND(E35 = "", B33 &lt;&gt; "", Initialisatie!$C$6 &lt;&gt; "Ja")
    ),
    NOT(
        AND(E34 = "", B33 &lt;&gt; "", B32 = "Ambulant")
    ),
    NOT(
        AND(E33 = "", B33 &lt;&gt; "")
    )
)</f>
        <v>1</v>
      </c>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ht="15.5" customHeight="1" thickBot="1" x14ac:dyDescent="0.5">
      <c r="A35" s="289"/>
      <c r="B35" s="343"/>
      <c r="C35" s="663" t="s">
        <v>779</v>
      </c>
      <c r="D35" s="666" t="s">
        <v>2239</v>
      </c>
      <c r="E35" s="605"/>
      <c r="F35" s="339" t="s">
        <v>767</v>
      </c>
      <c r="G35" s="666" t="s">
        <v>781</v>
      </c>
      <c r="H35" s="729"/>
      <c r="I35" s="339" t="s">
        <v>767</v>
      </c>
      <c r="J35" s="759"/>
      <c r="K35" s="760"/>
      <c r="L35" s="683"/>
      <c r="M35" s="746"/>
      <c r="N35" s="770"/>
      <c r="O35" s="584"/>
      <c r="P35" s="321"/>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ht="15.5" customHeight="1" x14ac:dyDescent="0.45">
      <c r="A36" s="289"/>
      <c r="B36" s="343"/>
      <c r="C36" s="663" t="s">
        <v>779</v>
      </c>
      <c r="D36" s="666" t="s">
        <v>2240</v>
      </c>
      <c r="E36" s="605"/>
      <c r="F36" s="339" t="s">
        <v>767</v>
      </c>
      <c r="G36"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36" s="672"/>
      <c r="I36" s="339" t="s">
        <v>767</v>
      </c>
      <c r="J36" s="753" t="str" cm="1">
        <f t="array" aca="1" ref="J36" ca="1">IF(
    B33="",
    "",
    IF(
        AND(
            INDEX('2. Output kostprijs'!$77:$77, 1, 5 + (ROW()-5)/7*2)&lt;&gt;"",
            INDEX('2. Output kostprijs'!$78:$78, 1, 5 + (ROW()-5)/7*2)&lt;&gt;""
        ),
        ROUND(
            INDEX('2. Output kostprijs'!$77:$77, 1, 5 + (ROW()-5)/7*2),
            0
        )
        &amp; " uren" &amp; CHAR(10) &amp; "("
        &amp; ROUND( 100 *
            INDEX('2. Output kostprijs'!$78:$78, 1, 5 + (ROW()-5)/7*2),
            1
        )
        &amp; "%)",
        "-"
    )
)</f>
        <v/>
      </c>
      <c r="K36" s="754"/>
      <c r="L36" s="683"/>
      <c r="M36" s="746"/>
      <c r="N36" s="770"/>
      <c r="O36" s="584"/>
      <c r="P36" s="321"/>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ht="16.149999999999999" thickBot="1" x14ac:dyDescent="0.5">
      <c r="A37" s="289"/>
      <c r="B37" s="343"/>
      <c r="C37" s="663" t="s">
        <v>779</v>
      </c>
      <c r="D37" s="667" t="str">
        <f ca="1">IF(B32="Verblijf", "Bezettingsgraad (%)", "No show (%)")</f>
        <v>No show (%)</v>
      </c>
      <c r="E37" s="669"/>
      <c r="F37" s="339" t="s">
        <v>767</v>
      </c>
      <c r="G37"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37" s="673"/>
      <c r="I37" s="339" t="s">
        <v>767</v>
      </c>
      <c r="J37" s="755"/>
      <c r="K37" s="756"/>
      <c r="L37" s="683"/>
      <c r="M37" s="289"/>
      <c r="N37" s="346"/>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ht="16.149999999999999" thickBot="1" x14ac:dyDescent="0.5">
      <c r="A38" s="289"/>
      <c r="B38" s="421"/>
      <c r="C38" s="664" t="s">
        <v>779</v>
      </c>
      <c r="D38" s="660"/>
      <c r="E38" s="670"/>
      <c r="F38" s="665"/>
      <c r="G38" s="426"/>
      <c r="H38" s="674"/>
      <c r="I38" s="676"/>
      <c r="J38" s="684"/>
      <c r="K38" s="684"/>
      <c r="L38" s="685"/>
      <c r="M38" s="289"/>
      <c r="N38" s="346"/>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ht="16.149999999999999" thickBot="1" x14ac:dyDescent="0.55000000000000004">
      <c r="A39" s="289"/>
      <c r="B39" s="582" t="str">
        <f ca="1">IF(B40="","",
IF(
   OR(
      INDIRECT("'1a. Input organisatieniveau'!AC" &amp; (7 + INT((ROW()-4)/7)))="",
      INDIRECT("'1a. Input organisatieniveau'!AC" &amp; (7 + INT((ROW()-4)/7)))=0
   ),
   "",
   INDIRECT("'1a. Input organisatieniveau'!AC" &amp; (7 + INT((ROW()-4)/7)))
))</f>
        <v/>
      </c>
      <c r="C39" s="661" t="s">
        <v>779</v>
      </c>
      <c r="D39" s="428"/>
      <c r="E39" s="668"/>
      <c r="F39" s="662"/>
      <c r="G39" s="428"/>
      <c r="H39" s="671"/>
      <c r="I39" s="675"/>
      <c r="J39" s="680"/>
      <c r="K39" s="680"/>
      <c r="L39" s="681"/>
      <c r="M39" s="12"/>
      <c r="N39" s="346"/>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ht="16.149999999999999" thickBot="1" x14ac:dyDescent="0.5">
      <c r="A40" s="289"/>
      <c r="B40" s="583" t="str">
        <f ca="1">IF(
   OR(
      INDIRECT("'1a. Input organisatieniveau'!AA" &amp; (7 + INT((ROW()-4)/7)))="",
      INDIRECT("'1a. Input organisatieniveau'!AA" &amp; (7 + INT((ROW()-4)/7)))=0
   ),
   "",
   INDIRECT("'1a. Input organisatieniveau'!AA" &amp; (7 + INT((ROW()-4)/7)))
)</f>
        <v/>
      </c>
      <c r="C40" s="663" t="s">
        <v>779</v>
      </c>
      <c r="D40" s="429" t="s">
        <v>72</v>
      </c>
      <c r="E40" s="599"/>
      <c r="F40" s="339" t="s">
        <v>767</v>
      </c>
      <c r="G40" s="429" t="s">
        <v>923</v>
      </c>
      <c r="H40" s="606"/>
      <c r="I40" s="339" t="s">
        <v>767</v>
      </c>
      <c r="J40" s="682"/>
      <c r="K40" s="682"/>
      <c r="L40" s="683"/>
      <c r="M40" s="289"/>
      <c r="N40" s="346"/>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ht="15.5" customHeight="1" x14ac:dyDescent="0.45">
      <c r="A41" s="289"/>
      <c r="B41" s="343"/>
      <c r="C41" s="663" t="s">
        <v>779</v>
      </c>
      <c r="D41" s="666" t="s">
        <v>2238</v>
      </c>
      <c r="E41" s="605"/>
      <c r="F41" s="339" t="s">
        <v>767</v>
      </c>
      <c r="G41"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41" s="729"/>
      <c r="I41" s="339" t="s">
        <v>767</v>
      </c>
      <c r="J41" s="757" t="s">
        <v>2142</v>
      </c>
      <c r="K41" s="758"/>
      <c r="L41" s="683"/>
      <c r="M41" s="746" t="s">
        <v>780</v>
      </c>
      <c r="N41" s="770" t="s">
        <v>1079</v>
      </c>
      <c r="O41" s="584"/>
      <c r="P41" s="321"/>
      <c r="Q41" s="289"/>
      <c r="R41" s="289"/>
      <c r="S41" s="289"/>
      <c r="T41" s="289"/>
      <c r="U41" s="289"/>
      <c r="V41" s="289"/>
      <c r="W41" s="289"/>
      <c r="X41" s="289"/>
      <c r="Y41" s="289"/>
      <c r="Z41" s="289"/>
      <c r="AA41" s="289"/>
      <c r="AB41" s="289"/>
      <c r="AC41" s="289"/>
      <c r="AD41" s="289" t="b">
        <f ca="1">AND(
    NOT(
        AND(H42 = "", B40 &lt;&gt; "", OR(B39 = "Verblijf", B39 = "Daghulp"))
    ),
    NOT(
        AND(E44 = "", B40 &lt;&gt; "")
    ),
    NOT(
        AND(H44 = "", B40 &lt;&gt; "", OR(B39 = "Verblijf", B39 = "Daghulp"))
    ),
    NOT(
        AND(H43 = "", B40 &lt;&gt; "", OR(B39 = "Verblijf", B39 = "Daghulp"))
    ),
    NOT(
        AND(H40 = "", B40 &lt;&gt; "")
    ),
    NOT(
        AND(E43 = "", B40 &lt;&gt; "")
    ),
    NOT(
        AND(E42 = "", B40 &lt;&gt; "", Initialisatie!$C$6 &lt;&gt; "Ja")
    ),
    NOT(
        AND(E41 = "", B40 &lt;&gt; "", B39 = "Ambulant")
    ),
    NOT(
        AND(E40 = "", B40 &lt;&gt; "")
    ),
    NOT(
        AND(H41 = "", B40 &lt;&gt; "", OR(B39 = "Verblijf", B39 = "Daghulp"))
    )
)</f>
        <v>1</v>
      </c>
      <c r="AE41" s="289" t="b">
        <f ca="1">AND(
    NOT(
        AND(E44 = "", B40 &lt;&gt; "")
    ),
    NOT(
        AND(E43 = "", B40 &lt;&gt; "")
    ),
    NOT(
        AND(E42 = "", B40 &lt;&gt; "", Initialisatie!$C$6 &lt;&gt; "Ja")
    ),
    NOT(
        AND(E41 = "", B40 &lt;&gt; "", B39 = "Ambulant")
    ),
    NOT(
        AND(E40 = "", B40 &lt;&gt; "")
    )
)</f>
        <v>1</v>
      </c>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ht="15.5" customHeight="1" thickBot="1" x14ac:dyDescent="0.5">
      <c r="A42" s="289"/>
      <c r="B42" s="343"/>
      <c r="C42" s="663" t="s">
        <v>779</v>
      </c>
      <c r="D42" s="666" t="s">
        <v>2239</v>
      </c>
      <c r="E42" s="605"/>
      <c r="F42" s="339" t="s">
        <v>767</v>
      </c>
      <c r="G42" s="666" t="s">
        <v>781</v>
      </c>
      <c r="H42" s="729"/>
      <c r="I42" s="339" t="s">
        <v>767</v>
      </c>
      <c r="J42" s="759"/>
      <c r="K42" s="760"/>
      <c r="L42" s="683"/>
      <c r="M42" s="746"/>
      <c r="N42" s="770"/>
      <c r="O42" s="584"/>
      <c r="P42" s="321"/>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ht="15.5" customHeight="1" x14ac:dyDescent="0.45">
      <c r="A43" s="289"/>
      <c r="B43" s="343"/>
      <c r="C43" s="663" t="s">
        <v>779</v>
      </c>
      <c r="D43" s="666" t="s">
        <v>2240</v>
      </c>
      <c r="E43" s="605"/>
      <c r="F43" s="339" t="s">
        <v>767</v>
      </c>
      <c r="G43"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43" s="672"/>
      <c r="I43" s="339" t="s">
        <v>767</v>
      </c>
      <c r="J43" s="753" t="str" cm="1">
        <f t="array" aca="1" ref="J43" ca="1">IF(
    B40="",
    "",
    IF(
        AND(
            INDEX('2. Output kostprijs'!$77:$77, 1, 5 + (ROW()-5)/7*2)&lt;&gt;"",
            INDEX('2. Output kostprijs'!$78:$78, 1, 5 + (ROW()-5)/7*2)&lt;&gt;""
        ),
        ROUND(
            INDEX('2. Output kostprijs'!$77:$77, 1, 5 + (ROW()-5)/7*2),
            0
        )
        &amp; " uren" &amp; CHAR(10) &amp; "("
        &amp; ROUND( 100 *
            INDEX('2. Output kostprijs'!$78:$78, 1, 5 + (ROW()-5)/7*2),
            1
        )
        &amp; "%)",
        "-"
    )
)</f>
        <v/>
      </c>
      <c r="K43" s="754"/>
      <c r="L43" s="683"/>
      <c r="M43" s="746"/>
      <c r="N43" s="770"/>
      <c r="O43" s="584"/>
      <c r="P43" s="321"/>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ht="16.149999999999999" thickBot="1" x14ac:dyDescent="0.5">
      <c r="A44" s="289"/>
      <c r="B44" s="343"/>
      <c r="C44" s="663" t="s">
        <v>779</v>
      </c>
      <c r="D44" s="667" t="str">
        <f ca="1">IF(B39="Verblijf", "Bezettingsgraad (%)", "No show (%)")</f>
        <v>No show (%)</v>
      </c>
      <c r="E44" s="669"/>
      <c r="F44" s="339" t="s">
        <v>767</v>
      </c>
      <c r="G44"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44" s="673"/>
      <c r="I44" s="339" t="s">
        <v>767</v>
      </c>
      <c r="J44" s="755"/>
      <c r="K44" s="756"/>
      <c r="L44" s="683"/>
      <c r="M44" s="289"/>
      <c r="N44" s="346"/>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ht="16.149999999999999" thickBot="1" x14ac:dyDescent="0.5">
      <c r="A45" s="289"/>
      <c r="B45" s="421"/>
      <c r="C45" s="664" t="s">
        <v>779</v>
      </c>
      <c r="D45" s="660"/>
      <c r="E45" s="670"/>
      <c r="F45" s="665"/>
      <c r="G45" s="426"/>
      <c r="H45" s="674"/>
      <c r="I45" s="676"/>
      <c r="J45" s="684"/>
      <c r="K45" s="684"/>
      <c r="L45" s="685"/>
      <c r="M45" s="289"/>
      <c r="N45" s="346"/>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ht="16.149999999999999" thickBot="1" x14ac:dyDescent="0.55000000000000004">
      <c r="A46" s="289"/>
      <c r="B46" s="582" t="str">
        <f ca="1">IF(B47="","",
IF(
   OR(
      INDIRECT("'1a. Input organisatieniveau'!AC" &amp; (7 + INT((ROW()-4)/7)))="",
      INDIRECT("'1a. Input organisatieniveau'!AC" &amp; (7 + INT((ROW()-4)/7)))=0
   ),
   "",
   INDIRECT("'1a. Input organisatieniveau'!AC" &amp; (7 + INT((ROW()-4)/7)))
))</f>
        <v/>
      </c>
      <c r="C46" s="661" t="s">
        <v>779</v>
      </c>
      <c r="D46" s="428"/>
      <c r="E46" s="668"/>
      <c r="F46" s="662"/>
      <c r="G46" s="428"/>
      <c r="H46" s="671"/>
      <c r="I46" s="675"/>
      <c r="J46" s="680"/>
      <c r="K46" s="680"/>
      <c r="L46" s="681"/>
      <c r="M46" s="12"/>
      <c r="N46" s="346"/>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ht="16.149999999999999" thickBot="1" x14ac:dyDescent="0.5">
      <c r="A47" s="289"/>
      <c r="B47" s="583" t="str">
        <f ca="1">IF(
   OR(
      INDIRECT("'1a. Input organisatieniveau'!AA" &amp; (7 + INT((ROW()-4)/7)))="",
      INDIRECT("'1a. Input organisatieniveau'!AA" &amp; (7 + INT((ROW()-4)/7)))=0
   ),
   "",
   INDIRECT("'1a. Input organisatieniveau'!AA" &amp; (7 + INT((ROW()-4)/7)))
)</f>
        <v/>
      </c>
      <c r="C47" s="663" t="s">
        <v>779</v>
      </c>
      <c r="D47" s="429" t="s">
        <v>72</v>
      </c>
      <c r="E47" s="599"/>
      <c r="F47" s="339" t="s">
        <v>767</v>
      </c>
      <c r="G47" s="429" t="s">
        <v>923</v>
      </c>
      <c r="H47" s="606"/>
      <c r="I47" s="339" t="s">
        <v>767</v>
      </c>
      <c r="J47" s="682"/>
      <c r="K47" s="682"/>
      <c r="L47" s="683"/>
      <c r="M47" s="289"/>
      <c r="N47" s="346"/>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ht="15.5" customHeight="1" x14ac:dyDescent="0.45">
      <c r="A48" s="289"/>
      <c r="B48" s="343"/>
      <c r="C48" s="663" t="s">
        <v>779</v>
      </c>
      <c r="D48" s="666" t="s">
        <v>2238</v>
      </c>
      <c r="E48" s="605"/>
      <c r="F48" s="339" t="s">
        <v>767</v>
      </c>
      <c r="G48"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48" s="729"/>
      <c r="I48" s="339" t="s">
        <v>767</v>
      </c>
      <c r="J48" s="757" t="s">
        <v>2142</v>
      </c>
      <c r="K48" s="758"/>
      <c r="L48" s="683"/>
      <c r="M48" s="746" t="s">
        <v>780</v>
      </c>
      <c r="N48" s="770" t="s">
        <v>1079</v>
      </c>
      <c r="O48" s="584"/>
      <c r="P48" s="321"/>
      <c r="Q48" s="289"/>
      <c r="R48" s="289"/>
      <c r="S48" s="289"/>
      <c r="T48" s="289"/>
      <c r="U48" s="289"/>
      <c r="V48" s="289"/>
      <c r="W48" s="289"/>
      <c r="X48" s="289"/>
      <c r="Y48" s="289"/>
      <c r="Z48" s="289"/>
      <c r="AA48" s="289"/>
      <c r="AB48" s="289"/>
      <c r="AC48" s="289"/>
      <c r="AD48" s="289" t="b">
        <f ca="1">AND(
    NOT(
        AND(H49 = "", B47 &lt;&gt; "", OR(B46 = "Verblijf", B46 = "Daghulp"))
    ),
    NOT(
        AND(E51 = "", B47 &lt;&gt; "")
    ),
    NOT(
        AND(H51 = "", B47 &lt;&gt; "", OR(B46 = "Verblijf", B46 = "Daghulp"))
    ),
    NOT(
        AND(H50 = "", B47 &lt;&gt; "", OR(B46 = "Verblijf", B46 = "Daghulp"))
    ),
    NOT(
        AND(H47 = "", B47 &lt;&gt; "")
    ),
    NOT(
        AND(E50 = "", B47 &lt;&gt; "")
    ),
    NOT(
        AND(E49 = "", B47 &lt;&gt; "", Initialisatie!$C$6 &lt;&gt; "Ja")
    ),
    NOT(
        AND(E48 = "", B47 &lt;&gt; "", B46 = "Ambulant")
    ),
    NOT(
        AND(E47 = "", B47 &lt;&gt; "")
    ),
    NOT(
        AND(H48 = "", B47 &lt;&gt; "", OR(B46 = "Verblijf", B46 = "Daghulp"))
    )
)</f>
        <v>1</v>
      </c>
      <c r="AE48" s="289" t="b">
        <f ca="1">AND(
    NOT(
        AND(E51 = "", B47 &lt;&gt; "")
    ),
    NOT(
        AND(E50 = "", B47 &lt;&gt; "")
    ),
    NOT(
        AND(E49 = "", B47 &lt;&gt; "", Initialisatie!$C$6 &lt;&gt; "Ja")
    ),
    NOT(
        AND(E48 = "", B47 &lt;&gt; "", B46 = "Ambulant")
    ),
    NOT(
        AND(E47 = "", B47 &lt;&gt; "")
    )
)</f>
        <v>1</v>
      </c>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ht="15.5" customHeight="1" thickBot="1" x14ac:dyDescent="0.5">
      <c r="A49" s="289"/>
      <c r="B49" s="343"/>
      <c r="C49" s="663" t="s">
        <v>779</v>
      </c>
      <c r="D49" s="666" t="s">
        <v>2239</v>
      </c>
      <c r="E49" s="605"/>
      <c r="F49" s="339" t="s">
        <v>767</v>
      </c>
      <c r="G49" s="666" t="s">
        <v>781</v>
      </c>
      <c r="H49" s="729"/>
      <c r="I49" s="339" t="s">
        <v>767</v>
      </c>
      <c r="J49" s="759"/>
      <c r="K49" s="760"/>
      <c r="L49" s="683"/>
      <c r="M49" s="746"/>
      <c r="N49" s="770"/>
      <c r="O49" s="584"/>
      <c r="P49" s="321"/>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ht="15.5" customHeight="1" x14ac:dyDescent="0.45">
      <c r="A50" s="289"/>
      <c r="B50" s="343"/>
      <c r="C50" s="663" t="s">
        <v>779</v>
      </c>
      <c r="D50" s="666" t="s">
        <v>2240</v>
      </c>
      <c r="E50" s="605"/>
      <c r="F50" s="339" t="s">
        <v>767</v>
      </c>
      <c r="G50"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50" s="672"/>
      <c r="I50" s="339" t="s">
        <v>767</v>
      </c>
      <c r="J50" s="753" t="str" cm="1">
        <f t="array" aca="1" ref="J50" ca="1">IF(
    B47="",
    "",
    IF(
        AND(
            INDEX('2. Output kostprijs'!$77:$77, 1, 5 + (ROW()-5)/7*2)&lt;&gt;"",
            INDEX('2. Output kostprijs'!$78:$78, 1, 5 + (ROW()-5)/7*2)&lt;&gt;""
        ),
        ROUND(
            INDEX('2. Output kostprijs'!$77:$77, 1, 5 + (ROW()-5)/7*2),
            0
        )
        &amp; " uren" &amp; CHAR(10) &amp; "("
        &amp; ROUND( 100 *
            INDEX('2. Output kostprijs'!$78:$78, 1, 5 + (ROW()-5)/7*2),
            1
        )
        &amp; "%)",
        "-"
    )
)</f>
        <v/>
      </c>
      <c r="K50" s="754"/>
      <c r="L50" s="683"/>
      <c r="M50" s="746"/>
      <c r="N50" s="770"/>
      <c r="O50" s="584"/>
      <c r="P50" s="321"/>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ht="16.149999999999999" thickBot="1" x14ac:dyDescent="0.5">
      <c r="A51" s="289"/>
      <c r="B51" s="343"/>
      <c r="C51" s="663" t="s">
        <v>779</v>
      </c>
      <c r="D51" s="667" t="str">
        <f ca="1">IF(B46="Verblijf", "Bezettingsgraad (%)", "No show (%)")</f>
        <v>No show (%)</v>
      </c>
      <c r="E51" s="669"/>
      <c r="F51" s="339" t="s">
        <v>767</v>
      </c>
      <c r="G51"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51" s="673"/>
      <c r="I51" s="339" t="s">
        <v>767</v>
      </c>
      <c r="J51" s="755"/>
      <c r="K51" s="756"/>
      <c r="L51" s="683"/>
      <c r="M51" s="289"/>
      <c r="N51" s="346"/>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ht="16.149999999999999" thickBot="1" x14ac:dyDescent="0.5">
      <c r="A52" s="289"/>
      <c r="B52" s="421"/>
      <c r="C52" s="664" t="s">
        <v>779</v>
      </c>
      <c r="D52" s="660"/>
      <c r="E52" s="670"/>
      <c r="F52" s="665"/>
      <c r="G52" s="426"/>
      <c r="H52" s="674"/>
      <c r="I52" s="676"/>
      <c r="J52" s="684"/>
      <c r="K52" s="684"/>
      <c r="L52" s="685"/>
      <c r="M52" s="289"/>
      <c r="N52" s="346"/>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ht="16.149999999999999" thickBot="1" x14ac:dyDescent="0.55000000000000004">
      <c r="A53" s="289"/>
      <c r="B53" s="582" t="str">
        <f ca="1">IF(B54="","",
IF(
   OR(
      INDIRECT("'1a. Input organisatieniveau'!AC" &amp; (7 + INT((ROW()-4)/7)))="",
      INDIRECT("'1a. Input organisatieniveau'!AC" &amp; (7 + INT((ROW()-4)/7)))=0
   ),
   "",
   INDIRECT("'1a. Input organisatieniveau'!AC" &amp; (7 + INT((ROW()-4)/7)))
))</f>
        <v/>
      </c>
      <c r="C53" s="661" t="s">
        <v>779</v>
      </c>
      <c r="D53" s="428"/>
      <c r="E53" s="668"/>
      <c r="F53" s="662"/>
      <c r="G53" s="428"/>
      <c r="H53" s="671"/>
      <c r="I53" s="675"/>
      <c r="J53" s="680"/>
      <c r="K53" s="680"/>
      <c r="L53" s="681"/>
      <c r="M53" s="12"/>
      <c r="N53" s="346"/>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ht="16.149999999999999" thickBot="1" x14ac:dyDescent="0.5">
      <c r="A54" s="289"/>
      <c r="B54" s="583" t="str">
        <f ca="1">IF(
   OR(
      INDIRECT("'1a. Input organisatieniveau'!AA" &amp; (7 + INT((ROW()-4)/7)))="",
      INDIRECT("'1a. Input organisatieniveau'!AA" &amp; (7 + INT((ROW()-4)/7)))=0
   ),
   "",
   INDIRECT("'1a. Input organisatieniveau'!AA" &amp; (7 + INT((ROW()-4)/7)))
)</f>
        <v/>
      </c>
      <c r="C54" s="663" t="s">
        <v>779</v>
      </c>
      <c r="D54" s="429" t="s">
        <v>72</v>
      </c>
      <c r="E54" s="599"/>
      <c r="F54" s="339" t="s">
        <v>767</v>
      </c>
      <c r="G54" s="429" t="s">
        <v>923</v>
      </c>
      <c r="H54" s="606"/>
      <c r="I54" s="339" t="s">
        <v>767</v>
      </c>
      <c r="J54" s="682"/>
      <c r="K54" s="682"/>
      <c r="L54" s="683"/>
      <c r="M54" s="289"/>
      <c r="N54" s="346"/>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ht="15.5" customHeight="1" x14ac:dyDescent="0.45">
      <c r="A55" s="289"/>
      <c r="B55" s="343"/>
      <c r="C55" s="663" t="s">
        <v>779</v>
      </c>
      <c r="D55" s="666" t="s">
        <v>2238</v>
      </c>
      <c r="E55" s="605"/>
      <c r="F55" s="339" t="s">
        <v>767</v>
      </c>
      <c r="G55"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55" s="729"/>
      <c r="I55" s="339" t="s">
        <v>767</v>
      </c>
      <c r="J55" s="757" t="s">
        <v>2142</v>
      </c>
      <c r="K55" s="758"/>
      <c r="L55" s="683"/>
      <c r="M55" s="746" t="s">
        <v>780</v>
      </c>
      <c r="N55" s="770" t="s">
        <v>1079</v>
      </c>
      <c r="O55" s="584"/>
      <c r="P55" s="321"/>
      <c r="Q55" s="289"/>
      <c r="R55" s="289"/>
      <c r="S55" s="289"/>
      <c r="T55" s="289"/>
      <c r="U55" s="289"/>
      <c r="V55" s="289"/>
      <c r="W55" s="289"/>
      <c r="X55" s="289"/>
      <c r="Y55" s="289"/>
      <c r="Z55" s="289"/>
      <c r="AA55" s="289"/>
      <c r="AB55" s="289"/>
      <c r="AC55" s="289"/>
      <c r="AD55" s="289" t="b">
        <f ca="1">AND(
    NOT(
        AND(H56 = "", B54 &lt;&gt; "", OR(B53 = "Verblijf", B53 = "Daghulp"))
    ),
    NOT(
        AND(E58 = "", B54 &lt;&gt; "")
    ),
    NOT(
        AND(H58 = "", B54 &lt;&gt; "", OR(B53 = "Verblijf", B53 = "Daghulp"))
    ),
    NOT(
        AND(H57 = "", B54 &lt;&gt; "", OR(B53 = "Verblijf", B53 = "Daghulp"))
    ),
    NOT(
        AND(H54 = "", B54 &lt;&gt; "")
    ),
    NOT(
        AND(E57 = "", B54 &lt;&gt; "")
    ),
    NOT(
        AND(E56 = "", B54 &lt;&gt; "", Initialisatie!$C$6 &lt;&gt; "Ja")
    ),
    NOT(
        AND(E55 = "", B54 &lt;&gt; "", B53 = "Ambulant")
    ),
    NOT(
        AND(E54 = "", B54 &lt;&gt; "")
    ),
    NOT(
        AND(H55 = "", B54 &lt;&gt; "", OR(B53 = "Verblijf", B53 = "Daghulp"))
    )
)</f>
        <v>1</v>
      </c>
      <c r="AE55" s="289" t="b">
        <f ca="1">AND(
    NOT(
        AND(E58 = "", B54 &lt;&gt; "")
    ),
    NOT(
        AND(E57 = "", B54 &lt;&gt; "")
    ),
    NOT(
        AND(E56 = "", B54 &lt;&gt; "", Initialisatie!$C$6 &lt;&gt; "Ja")
    ),
    NOT(
        AND(E55 = "", B54 &lt;&gt; "", B53 = "Ambulant")
    ),
    NOT(
        AND(E54 = "", B54 &lt;&gt; "")
    )
)</f>
        <v>1</v>
      </c>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ht="15.5" customHeight="1" thickBot="1" x14ac:dyDescent="0.5">
      <c r="A56" s="289"/>
      <c r="B56" s="343"/>
      <c r="C56" s="663" t="s">
        <v>779</v>
      </c>
      <c r="D56" s="666" t="s">
        <v>2239</v>
      </c>
      <c r="E56" s="605"/>
      <c r="F56" s="339" t="s">
        <v>767</v>
      </c>
      <c r="G56" s="666" t="s">
        <v>781</v>
      </c>
      <c r="H56" s="729"/>
      <c r="I56" s="339" t="s">
        <v>767</v>
      </c>
      <c r="J56" s="759"/>
      <c r="K56" s="760"/>
      <c r="L56" s="683"/>
      <c r="M56" s="746"/>
      <c r="N56" s="770"/>
      <c r="O56" s="584"/>
      <c r="P56" s="321"/>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ht="15.5" customHeight="1" x14ac:dyDescent="0.45">
      <c r="A57" s="289"/>
      <c r="B57" s="343"/>
      <c r="C57" s="663" t="s">
        <v>779</v>
      </c>
      <c r="D57" s="666" t="s">
        <v>2240</v>
      </c>
      <c r="E57" s="605"/>
      <c r="F57" s="339" t="s">
        <v>767</v>
      </c>
      <c r="G57"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57" s="672"/>
      <c r="I57" s="339" t="s">
        <v>767</v>
      </c>
      <c r="J57" s="753" t="str" cm="1">
        <f t="array" aca="1" ref="J57" ca="1">IF(
    B54="",
    "",
    IF(
        AND(
            INDEX('2. Output kostprijs'!$77:$77, 1, 5 + (ROW()-5)/7*2)&lt;&gt;"",
            INDEX('2. Output kostprijs'!$78:$78, 1, 5 + (ROW()-5)/7*2)&lt;&gt;""
        ),
        ROUND(
            INDEX('2. Output kostprijs'!$77:$77, 1, 5 + (ROW()-5)/7*2),
            0
        )
        &amp; " uren" &amp; CHAR(10) &amp; "("
        &amp; ROUND( 100 *
            INDEX('2. Output kostprijs'!$78:$78, 1, 5 + (ROW()-5)/7*2),
            1
        )
        &amp; "%)",
        "-"
    )
)</f>
        <v/>
      </c>
      <c r="K57" s="754"/>
      <c r="L57" s="683"/>
      <c r="M57" s="746"/>
      <c r="N57" s="770"/>
      <c r="O57" s="584"/>
      <c r="P57" s="321"/>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ht="16.149999999999999" thickBot="1" x14ac:dyDescent="0.5">
      <c r="A58" s="289"/>
      <c r="B58" s="343"/>
      <c r="C58" s="663" t="s">
        <v>779</v>
      </c>
      <c r="D58" s="667" t="str">
        <f ca="1">IF(B53="Verblijf", "Bezettingsgraad (%)", "No show (%)")</f>
        <v>No show (%)</v>
      </c>
      <c r="E58" s="669"/>
      <c r="F58" s="339" t="s">
        <v>767</v>
      </c>
      <c r="G58"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58" s="673"/>
      <c r="I58" s="339" t="s">
        <v>767</v>
      </c>
      <c r="J58" s="755"/>
      <c r="K58" s="756"/>
      <c r="L58" s="683"/>
      <c r="M58" s="289"/>
      <c r="N58" s="346"/>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ht="16.149999999999999" thickBot="1" x14ac:dyDescent="0.5">
      <c r="A59" s="289"/>
      <c r="B59" s="421"/>
      <c r="C59" s="664" t="s">
        <v>779</v>
      </c>
      <c r="D59" s="660"/>
      <c r="E59" s="670"/>
      <c r="F59" s="665"/>
      <c r="G59" s="426"/>
      <c r="H59" s="674"/>
      <c r="I59" s="676"/>
      <c r="J59" s="684"/>
      <c r="K59" s="684"/>
      <c r="L59" s="685"/>
      <c r="M59" s="289"/>
      <c r="N59" s="346"/>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ht="16.149999999999999" thickBot="1" x14ac:dyDescent="0.55000000000000004">
      <c r="A60" s="289"/>
      <c r="B60" s="582" t="str">
        <f ca="1">IF(B61="","",
IF(
   OR(
      INDIRECT("'1a. Input organisatieniveau'!AC" &amp; (7 + INT((ROW()-4)/7)))="",
      INDIRECT("'1a. Input organisatieniveau'!AC" &amp; (7 + INT((ROW()-4)/7)))=0
   ),
   "",
   INDIRECT("'1a. Input organisatieniveau'!AC" &amp; (7 + INT((ROW()-4)/7)))
))</f>
        <v/>
      </c>
      <c r="C60" s="661" t="s">
        <v>779</v>
      </c>
      <c r="D60" s="428"/>
      <c r="E60" s="668"/>
      <c r="F60" s="662"/>
      <c r="G60" s="428"/>
      <c r="H60" s="671"/>
      <c r="I60" s="675"/>
      <c r="J60" s="680"/>
      <c r="K60" s="680"/>
      <c r="L60" s="681"/>
      <c r="M60" s="12"/>
      <c r="N60" s="346"/>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ht="16.149999999999999" thickBot="1" x14ac:dyDescent="0.5">
      <c r="A61" s="289"/>
      <c r="B61" s="583" t="str">
        <f ca="1">IF(
   OR(
      INDIRECT("'1a. Input organisatieniveau'!AA" &amp; (7 + INT((ROW()-4)/7)))="",
      INDIRECT("'1a. Input organisatieniveau'!AA" &amp; (7 + INT((ROW()-4)/7)))=0
   ),
   "",
   INDIRECT("'1a. Input organisatieniveau'!AA" &amp; (7 + INT((ROW()-4)/7)))
)</f>
        <v/>
      </c>
      <c r="C61" s="663" t="s">
        <v>779</v>
      </c>
      <c r="D61" s="429" t="s">
        <v>72</v>
      </c>
      <c r="E61" s="599"/>
      <c r="F61" s="339" t="s">
        <v>767</v>
      </c>
      <c r="G61" s="429" t="s">
        <v>923</v>
      </c>
      <c r="H61" s="606"/>
      <c r="I61" s="339" t="s">
        <v>767</v>
      </c>
      <c r="J61" s="682"/>
      <c r="K61" s="682"/>
      <c r="L61" s="683"/>
      <c r="M61" s="289"/>
      <c r="N61" s="346"/>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ht="15.5" customHeight="1" x14ac:dyDescent="0.45">
      <c r="A62" s="289"/>
      <c r="B62" s="343"/>
      <c r="C62" s="663" t="s">
        <v>779</v>
      </c>
      <c r="D62" s="666" t="s">
        <v>2238</v>
      </c>
      <c r="E62" s="605"/>
      <c r="F62" s="339" t="s">
        <v>767</v>
      </c>
      <c r="G62"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62" s="729"/>
      <c r="I62" s="339" t="s">
        <v>767</v>
      </c>
      <c r="J62" s="757" t="s">
        <v>2142</v>
      </c>
      <c r="K62" s="758"/>
      <c r="L62" s="683"/>
      <c r="M62" s="746" t="s">
        <v>780</v>
      </c>
      <c r="N62" s="770" t="s">
        <v>1079</v>
      </c>
      <c r="O62" s="584"/>
      <c r="P62" s="321"/>
      <c r="Q62" s="289"/>
      <c r="R62" s="289"/>
      <c r="S62" s="289"/>
      <c r="T62" s="289"/>
      <c r="U62" s="289"/>
      <c r="V62" s="289"/>
      <c r="W62" s="289"/>
      <c r="X62" s="289"/>
      <c r="Y62" s="289"/>
      <c r="Z62" s="289"/>
      <c r="AA62" s="289"/>
      <c r="AB62" s="289"/>
      <c r="AC62" s="289"/>
      <c r="AD62" s="289" t="b">
        <f ca="1">AND(
    NOT(
        AND(H63 = "", B61 &lt;&gt; "", OR(B60 = "Verblijf", B60 = "Daghulp"))
    ),
    NOT(
        AND(E65 = "", B61 &lt;&gt; "")
    ),
    NOT(
        AND(H65 = "", B61 &lt;&gt; "", OR(B60 = "Verblijf", B60 = "Daghulp"))
    ),
    NOT(
        AND(H64 = "", B61 &lt;&gt; "", OR(B60 = "Verblijf", B60 = "Daghulp"))
    ),
    NOT(
        AND(H61 = "", B61 &lt;&gt; "")
    ),
    NOT(
        AND(E64 = "", B61 &lt;&gt; "")
    ),
    NOT(
        AND(E63 = "", B61 &lt;&gt; "", Initialisatie!$C$6 &lt;&gt; "Ja")
    ),
    NOT(
        AND(E62 = "", B61 &lt;&gt; "", B60 = "Ambulant")
    ),
    NOT(
        AND(E61 = "", B61 &lt;&gt; "")
    ),
    NOT(
        AND(H62 = "", B61 &lt;&gt; "", OR(B60 = "Verblijf", B60 = "Daghulp"))
    )
)</f>
        <v>1</v>
      </c>
      <c r="AE62" s="289" t="b">
        <f ca="1">AND(
    NOT(
        AND(E65 = "", B61 &lt;&gt; "")
    ),
    NOT(
        AND(E64 = "", B61 &lt;&gt; "")
    ),
    NOT(
        AND(E63 = "", B61 &lt;&gt; "", Initialisatie!$C$6 &lt;&gt; "Ja")
    ),
    NOT(
        AND(E62 = "", B61 &lt;&gt; "", B60 = "Ambulant")
    ),
    NOT(
        AND(E61 = "", B61 &lt;&gt; "")
    )
)</f>
        <v>1</v>
      </c>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ht="15.5" customHeight="1" thickBot="1" x14ac:dyDescent="0.5">
      <c r="A63" s="289"/>
      <c r="B63" s="343"/>
      <c r="C63" s="663" t="s">
        <v>779</v>
      </c>
      <c r="D63" s="666" t="s">
        <v>2239</v>
      </c>
      <c r="E63" s="605"/>
      <c r="F63" s="339" t="s">
        <v>767</v>
      </c>
      <c r="G63" s="666" t="s">
        <v>781</v>
      </c>
      <c r="H63" s="729"/>
      <c r="I63" s="339" t="s">
        <v>767</v>
      </c>
      <c r="J63" s="759"/>
      <c r="K63" s="760"/>
      <c r="L63" s="683"/>
      <c r="M63" s="746"/>
      <c r="N63" s="770"/>
      <c r="O63" s="584"/>
      <c r="P63" s="321"/>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ht="15.5" customHeight="1" x14ac:dyDescent="0.45">
      <c r="A64" s="289"/>
      <c r="B64" s="343"/>
      <c r="C64" s="663" t="s">
        <v>779</v>
      </c>
      <c r="D64" s="666" t="s">
        <v>2240</v>
      </c>
      <c r="E64" s="605"/>
      <c r="F64" s="339" t="s">
        <v>767</v>
      </c>
      <c r="G64"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64" s="672"/>
      <c r="I64" s="339" t="s">
        <v>767</v>
      </c>
      <c r="J64" s="753" t="str" cm="1">
        <f t="array" aca="1" ref="J64" ca="1">IF(
    B61="",
    "",
    IF(
        AND(
            INDEX('2. Output kostprijs'!$77:$77, 1, 5 + (ROW()-5)/7*2)&lt;&gt;"",
            INDEX('2. Output kostprijs'!$78:$78, 1, 5 + (ROW()-5)/7*2)&lt;&gt;""
        ),
        ROUND(
            INDEX('2. Output kostprijs'!$77:$77, 1, 5 + (ROW()-5)/7*2),
            0
        )
        &amp; " uren" &amp; CHAR(10) &amp; "("
        &amp; ROUND( 100 *
            INDEX('2. Output kostprijs'!$78:$78, 1, 5 + (ROW()-5)/7*2),
            1
        )
        &amp; "%)",
        "-"
    )
)</f>
        <v/>
      </c>
      <c r="K64" s="754"/>
      <c r="L64" s="683"/>
      <c r="M64" s="746"/>
      <c r="N64" s="770"/>
      <c r="O64" s="584"/>
      <c r="P64" s="321"/>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ht="16.149999999999999" thickBot="1" x14ac:dyDescent="0.5">
      <c r="A65" s="289"/>
      <c r="B65" s="343"/>
      <c r="C65" s="663" t="s">
        <v>779</v>
      </c>
      <c r="D65" s="667" t="str">
        <f ca="1">IF(B60="Verblijf", "Bezettingsgraad (%)", "No show (%)")</f>
        <v>No show (%)</v>
      </c>
      <c r="E65" s="669"/>
      <c r="F65" s="339" t="s">
        <v>767</v>
      </c>
      <c r="G65"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65" s="673"/>
      <c r="I65" s="339" t="s">
        <v>767</v>
      </c>
      <c r="J65" s="755"/>
      <c r="K65" s="756"/>
      <c r="L65" s="683"/>
      <c r="M65" s="289"/>
      <c r="N65" s="346"/>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ht="16.149999999999999" thickBot="1" x14ac:dyDescent="0.5">
      <c r="A66" s="289"/>
      <c r="B66" s="421"/>
      <c r="C66" s="664" t="s">
        <v>779</v>
      </c>
      <c r="D66" s="660"/>
      <c r="E66" s="670"/>
      <c r="F66" s="665"/>
      <c r="G66" s="426"/>
      <c r="H66" s="674"/>
      <c r="I66" s="676"/>
      <c r="J66" s="684"/>
      <c r="K66" s="684"/>
      <c r="L66" s="685"/>
      <c r="M66" s="289"/>
      <c r="N66" s="346"/>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ht="16.149999999999999" thickBot="1" x14ac:dyDescent="0.55000000000000004">
      <c r="A67" s="289"/>
      <c r="B67" s="582" t="str">
        <f ca="1">IF(B68="","",
IF(
   OR(
      INDIRECT("'1a. Input organisatieniveau'!AC" &amp; (7 + INT((ROW()-4)/7)))="",
      INDIRECT("'1a. Input organisatieniveau'!AC" &amp; (7 + INT((ROW()-4)/7)))=0
   ),
   "",
   INDIRECT("'1a. Input organisatieniveau'!AC" &amp; (7 + INT((ROW()-4)/7)))
))</f>
        <v/>
      </c>
      <c r="C67" s="661" t="s">
        <v>779</v>
      </c>
      <c r="D67" s="428"/>
      <c r="E67" s="668"/>
      <c r="F67" s="662"/>
      <c r="G67" s="428"/>
      <c r="H67" s="671"/>
      <c r="I67" s="675"/>
      <c r="J67" s="680"/>
      <c r="K67" s="680"/>
      <c r="L67" s="681"/>
      <c r="M67" s="12"/>
      <c r="N67" s="346"/>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ht="16.149999999999999" thickBot="1" x14ac:dyDescent="0.5">
      <c r="A68" s="289"/>
      <c r="B68" s="583" t="str">
        <f ca="1">IF(
   OR(
      INDIRECT("'1a. Input organisatieniveau'!AA" &amp; (7 + INT((ROW()-4)/7)))="",
      INDIRECT("'1a. Input organisatieniveau'!AA" &amp; (7 + INT((ROW()-4)/7)))=0
   ),
   "",
   INDIRECT("'1a. Input organisatieniveau'!AA" &amp; (7 + INT((ROW()-4)/7)))
)</f>
        <v/>
      </c>
      <c r="C68" s="663" t="s">
        <v>779</v>
      </c>
      <c r="D68" s="429" t="s">
        <v>72</v>
      </c>
      <c r="E68" s="599"/>
      <c r="F68" s="339" t="s">
        <v>767</v>
      </c>
      <c r="G68" s="429" t="s">
        <v>923</v>
      </c>
      <c r="H68" s="606"/>
      <c r="I68" s="339" t="s">
        <v>767</v>
      </c>
      <c r="J68" s="682"/>
      <c r="K68" s="682"/>
      <c r="L68" s="683"/>
      <c r="M68" s="289"/>
      <c r="N68" s="346"/>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ht="15.5" customHeight="1" x14ac:dyDescent="0.45">
      <c r="A69" s="289"/>
      <c r="B69" s="343"/>
      <c r="C69" s="663" t="s">
        <v>779</v>
      </c>
      <c r="D69" s="666" t="s">
        <v>2238</v>
      </c>
      <c r="E69" s="605"/>
      <c r="F69" s="339" t="s">
        <v>767</v>
      </c>
      <c r="G69"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69" s="729"/>
      <c r="I69" s="339" t="s">
        <v>767</v>
      </c>
      <c r="J69" s="757" t="s">
        <v>2142</v>
      </c>
      <c r="K69" s="758"/>
      <c r="L69" s="683"/>
      <c r="M69" s="746" t="s">
        <v>780</v>
      </c>
      <c r="N69" s="770" t="s">
        <v>1079</v>
      </c>
      <c r="O69" s="584"/>
      <c r="P69" s="321"/>
      <c r="Q69" s="289"/>
      <c r="R69" s="289"/>
      <c r="S69" s="289"/>
      <c r="T69" s="289"/>
      <c r="U69" s="289"/>
      <c r="V69" s="289"/>
      <c r="W69" s="289"/>
      <c r="X69" s="289"/>
      <c r="Y69" s="289"/>
      <c r="Z69" s="289"/>
      <c r="AA69" s="289"/>
      <c r="AB69" s="289"/>
      <c r="AC69" s="289"/>
      <c r="AD69" s="289" t="b">
        <f ca="1">AND(
    NOT(
        AND(H70 = "", B68 &lt;&gt; "", OR(B67 = "Verblijf", B67 = "Daghulp"))
    ),
    NOT(
        AND(E72 = "", B68 &lt;&gt; "")
    ),
    NOT(
        AND(H72 = "", B68 &lt;&gt; "", OR(B67 = "Verblijf", B67 = "Daghulp"))
    ),
    NOT(
        AND(H71 = "", B68 &lt;&gt; "", OR(B67 = "Verblijf", B67 = "Daghulp"))
    ),
    NOT(
        AND(H68 = "", B68 &lt;&gt; "")
    ),
    NOT(
        AND(E71 = "", B68 &lt;&gt; "")
    ),
    NOT(
        AND(E70 = "", B68 &lt;&gt; "", Initialisatie!$C$6 &lt;&gt; "Ja")
    ),
    NOT(
        AND(E69 = "", B68 &lt;&gt; "", B67 = "Ambulant")
    ),
    NOT(
        AND(E68 = "", B68 &lt;&gt; "")
    ),
    NOT(
        AND(H69 = "", B68 &lt;&gt; "", OR(B67 = "Verblijf", B67 = "Daghulp"))
    )
)</f>
        <v>1</v>
      </c>
      <c r="AE69" s="289" t="b">
        <f ca="1">AND(
    NOT(
        AND(E72 = "", B68 &lt;&gt; "")
    ),
    NOT(
        AND(E71 = "", B68 &lt;&gt; "")
    ),
    NOT(
        AND(E70 = "", B68 &lt;&gt; "", Initialisatie!$C$6 &lt;&gt; "Ja")
    ),
    NOT(
        AND(E69 = "", B68 &lt;&gt; "", B67 = "Ambulant")
    ),
    NOT(
        AND(E68 = "", B68 &lt;&gt; "")
    )
)</f>
        <v>1</v>
      </c>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ht="15.5" customHeight="1" thickBot="1" x14ac:dyDescent="0.5">
      <c r="A70" s="289"/>
      <c r="B70" s="343"/>
      <c r="C70" s="663" t="s">
        <v>779</v>
      </c>
      <c r="D70" s="666" t="s">
        <v>2239</v>
      </c>
      <c r="E70" s="605"/>
      <c r="F70" s="339" t="s">
        <v>767</v>
      </c>
      <c r="G70" s="666" t="s">
        <v>781</v>
      </c>
      <c r="H70" s="729"/>
      <c r="I70" s="339" t="s">
        <v>767</v>
      </c>
      <c r="J70" s="759"/>
      <c r="K70" s="760"/>
      <c r="L70" s="683"/>
      <c r="M70" s="746"/>
      <c r="N70" s="770"/>
      <c r="O70" s="584"/>
      <c r="P70" s="321"/>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ht="15.5" customHeight="1" x14ac:dyDescent="0.45">
      <c r="A71" s="289"/>
      <c r="B71" s="343"/>
      <c r="C71" s="663" t="s">
        <v>779</v>
      </c>
      <c r="D71" s="666" t="s">
        <v>2240</v>
      </c>
      <c r="E71" s="605"/>
      <c r="F71" s="339" t="s">
        <v>767</v>
      </c>
      <c r="G71"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71" s="672"/>
      <c r="I71" s="339" t="s">
        <v>767</v>
      </c>
      <c r="J71" s="753" t="str" cm="1">
        <f t="array" aca="1" ref="J71" ca="1">IF(
    B68="",
    "",
    IF(
        AND(
            INDEX('2. Output kostprijs'!$77:$77, 1, 5 + (ROW()-5)/7*2)&lt;&gt;"",
            INDEX('2. Output kostprijs'!$78:$78, 1, 5 + (ROW()-5)/7*2)&lt;&gt;""
        ),
        ROUND(
            INDEX('2. Output kostprijs'!$77:$77, 1, 5 + (ROW()-5)/7*2),
            0
        )
        &amp; " uren" &amp; CHAR(10) &amp; "("
        &amp; ROUND( 100 *
            INDEX('2. Output kostprijs'!$78:$78, 1, 5 + (ROW()-5)/7*2),
            1
        )
        &amp; "%)",
        "-"
    )
)</f>
        <v/>
      </c>
      <c r="K71" s="754"/>
      <c r="L71" s="683"/>
      <c r="M71" s="746"/>
      <c r="N71" s="770"/>
      <c r="O71" s="584"/>
      <c r="P71" s="321"/>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ht="16.149999999999999" thickBot="1" x14ac:dyDescent="0.5">
      <c r="A72" s="289"/>
      <c r="B72" s="343"/>
      <c r="C72" s="663" t="s">
        <v>779</v>
      </c>
      <c r="D72" s="667" t="str">
        <f ca="1">IF(B67="Verblijf", "Bezettingsgraad (%)", "No show (%)")</f>
        <v>No show (%)</v>
      </c>
      <c r="E72" s="669"/>
      <c r="F72" s="339" t="s">
        <v>767</v>
      </c>
      <c r="G72"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72" s="673"/>
      <c r="I72" s="339" t="s">
        <v>767</v>
      </c>
      <c r="J72" s="755"/>
      <c r="K72" s="756"/>
      <c r="L72" s="683"/>
      <c r="M72" s="289"/>
      <c r="N72" s="346"/>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ht="16.149999999999999" thickBot="1" x14ac:dyDescent="0.5">
      <c r="A73" s="289"/>
      <c r="B73" s="421"/>
      <c r="C73" s="664" t="s">
        <v>779</v>
      </c>
      <c r="D73" s="660"/>
      <c r="E73" s="670"/>
      <c r="F73" s="665"/>
      <c r="G73" s="426"/>
      <c r="H73" s="674"/>
      <c r="I73" s="676"/>
      <c r="J73" s="684"/>
      <c r="K73" s="684"/>
      <c r="L73" s="685"/>
      <c r="M73" s="289"/>
      <c r="N73" s="346"/>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ht="16.149999999999999" thickBot="1" x14ac:dyDescent="0.55000000000000004">
      <c r="A74" s="289"/>
      <c r="B74" s="582" t="str">
        <f ca="1">IF(B75="","",
IF(
   OR(
      INDIRECT("'1a. Input organisatieniveau'!AC" &amp; (7 + INT((ROW()-4)/7)))="",
      INDIRECT("'1a. Input organisatieniveau'!AC" &amp; (7 + INT((ROW()-4)/7)))=0
   ),
   "",
   INDIRECT("'1a. Input organisatieniveau'!AC" &amp; (7 + INT((ROW()-4)/7)))
))</f>
        <v/>
      </c>
      <c r="C74" s="661" t="s">
        <v>779</v>
      </c>
      <c r="D74" s="428"/>
      <c r="E74" s="668"/>
      <c r="F74" s="662"/>
      <c r="G74" s="428"/>
      <c r="H74" s="671"/>
      <c r="I74" s="675"/>
      <c r="J74" s="680"/>
      <c r="K74" s="680"/>
      <c r="L74" s="681"/>
      <c r="M74" s="12"/>
      <c r="N74" s="346"/>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ht="16.149999999999999" thickBot="1" x14ac:dyDescent="0.5">
      <c r="A75" s="289"/>
      <c r="B75" s="583" t="str">
        <f ca="1">IF(
   OR(
      INDIRECT("'1a. Input organisatieniveau'!AA" &amp; (7 + INT((ROW()-4)/7)))="",
      INDIRECT("'1a. Input organisatieniveau'!AA" &amp; (7 + INT((ROW()-4)/7)))=0
   ),
   "",
   INDIRECT("'1a. Input organisatieniveau'!AA" &amp; (7 + INT((ROW()-4)/7)))
)</f>
        <v/>
      </c>
      <c r="C75" s="663" t="s">
        <v>779</v>
      </c>
      <c r="D75" s="429" t="s">
        <v>72</v>
      </c>
      <c r="E75" s="599"/>
      <c r="F75" s="339" t="s">
        <v>767</v>
      </c>
      <c r="G75" s="429" t="s">
        <v>923</v>
      </c>
      <c r="H75" s="606"/>
      <c r="I75" s="339" t="s">
        <v>767</v>
      </c>
      <c r="J75" s="682"/>
      <c r="K75" s="682"/>
      <c r="L75" s="683"/>
      <c r="M75" s="289"/>
      <c r="N75" s="346"/>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ht="15.5" customHeight="1" x14ac:dyDescent="0.45">
      <c r="A76" s="289"/>
      <c r="B76" s="343"/>
      <c r="C76" s="663" t="s">
        <v>779</v>
      </c>
      <c r="D76" s="666" t="s">
        <v>2238</v>
      </c>
      <c r="E76" s="605"/>
      <c r="F76" s="339" t="s">
        <v>767</v>
      </c>
      <c r="G76"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76" s="729"/>
      <c r="I76" s="339" t="s">
        <v>767</v>
      </c>
      <c r="J76" s="757" t="s">
        <v>2142</v>
      </c>
      <c r="K76" s="758"/>
      <c r="L76" s="683"/>
      <c r="M76" s="746" t="s">
        <v>780</v>
      </c>
      <c r="N76" s="770" t="s">
        <v>1079</v>
      </c>
      <c r="O76" s="584"/>
      <c r="P76" s="321"/>
      <c r="Q76" s="289"/>
      <c r="R76" s="289"/>
      <c r="S76" s="289"/>
      <c r="T76" s="289"/>
      <c r="U76" s="289"/>
      <c r="V76" s="289"/>
      <c r="W76" s="289"/>
      <c r="X76" s="289"/>
      <c r="Y76" s="289"/>
      <c r="Z76" s="289"/>
      <c r="AA76" s="289"/>
      <c r="AB76" s="289"/>
      <c r="AC76" s="289"/>
      <c r="AD76" s="289" t="b">
        <f ca="1">AND(
    NOT(
        AND(H77 = "", B75 &lt;&gt; "", OR(B74 = "Verblijf", B74 = "Daghulp"))
    ),
    NOT(
        AND(E79 = "", B75 &lt;&gt; "")
    ),
    NOT(
        AND(H79 = "", B75 &lt;&gt; "", OR(B74 = "Verblijf", B74 = "Daghulp"))
    ),
    NOT(
        AND(H78 = "", B75 &lt;&gt; "", OR(B74 = "Verblijf", B74 = "Daghulp"))
    ),
    NOT(
        AND(H75 = "", B75 &lt;&gt; "")
    ),
    NOT(
        AND(E78 = "", B75 &lt;&gt; "")
    ),
    NOT(
        AND(E77 = "", B75 &lt;&gt; "", Initialisatie!$C$6 &lt;&gt; "Ja")
    ),
    NOT(
        AND(E76 = "", B75 &lt;&gt; "", B74 = "Ambulant")
    ),
    NOT(
        AND(E75 = "", B75 &lt;&gt; "")
    ),
    NOT(
        AND(H76 = "", B75 &lt;&gt; "", OR(B74 = "Verblijf", B74 = "Daghulp"))
    )
)</f>
        <v>1</v>
      </c>
      <c r="AE76" s="289" t="b">
        <f ca="1">AND(
    NOT(
        AND(E79 = "", B75 &lt;&gt; "")
    ),
    NOT(
        AND(E78 = "", B75 &lt;&gt; "")
    ),
    NOT(
        AND(E77 = "", B75 &lt;&gt; "", Initialisatie!$C$6 &lt;&gt; "Ja")
    ),
    NOT(
        AND(E76 = "", B75 &lt;&gt; "", B74 = "Ambulant")
    ),
    NOT(
        AND(E75 = "", B75 &lt;&gt; "")
    )
)</f>
        <v>1</v>
      </c>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ht="15.5" customHeight="1" thickBot="1" x14ac:dyDescent="0.5">
      <c r="A77" s="289"/>
      <c r="B77" s="343"/>
      <c r="C77" s="663" t="s">
        <v>779</v>
      </c>
      <c r="D77" s="666" t="s">
        <v>2239</v>
      </c>
      <c r="E77" s="605"/>
      <c r="F77" s="339" t="s">
        <v>767</v>
      </c>
      <c r="G77" s="666" t="s">
        <v>781</v>
      </c>
      <c r="H77" s="729"/>
      <c r="I77" s="339" t="s">
        <v>767</v>
      </c>
      <c r="J77" s="759"/>
      <c r="K77" s="760"/>
      <c r="L77" s="683"/>
      <c r="M77" s="746"/>
      <c r="N77" s="770"/>
      <c r="O77" s="584"/>
      <c r="P77" s="321"/>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ht="15.5" customHeight="1" x14ac:dyDescent="0.45">
      <c r="A78" s="289"/>
      <c r="B78" s="343"/>
      <c r="C78" s="663" t="s">
        <v>779</v>
      </c>
      <c r="D78" s="666" t="s">
        <v>2240</v>
      </c>
      <c r="E78" s="605"/>
      <c r="F78" s="339" t="s">
        <v>767</v>
      </c>
      <c r="G78"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78" s="672"/>
      <c r="I78" s="339" t="s">
        <v>767</v>
      </c>
      <c r="J78" s="753" t="str" cm="1">
        <f t="array" aca="1" ref="J78" ca="1">IF(
    B75="",
    "",
    IF(
        AND(
            INDEX('2. Output kostprijs'!$77:$77, 1, 5 + (ROW()-5)/7*2)&lt;&gt;"",
            INDEX('2. Output kostprijs'!$78:$78, 1, 5 + (ROW()-5)/7*2)&lt;&gt;""
        ),
        ROUND(
            INDEX('2. Output kostprijs'!$77:$77, 1, 5 + (ROW()-5)/7*2),
            0
        )
        &amp; " uren" &amp; CHAR(10) &amp; "("
        &amp; ROUND( 100 *
            INDEX('2. Output kostprijs'!$78:$78, 1, 5 + (ROW()-5)/7*2),
            1
        )
        &amp; "%)",
        "-"
    )
)</f>
        <v/>
      </c>
      <c r="K78" s="754"/>
      <c r="L78" s="683"/>
      <c r="M78" s="746"/>
      <c r="N78" s="770"/>
      <c r="O78" s="584"/>
      <c r="P78" s="321"/>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ht="16.149999999999999" thickBot="1" x14ac:dyDescent="0.5">
      <c r="A79" s="289"/>
      <c r="B79" s="343"/>
      <c r="C79" s="663" t="s">
        <v>779</v>
      </c>
      <c r="D79" s="667" t="str">
        <f ca="1">IF(B74="Verblijf", "Bezettingsgraad (%)", "No show (%)")</f>
        <v>No show (%)</v>
      </c>
      <c r="E79" s="669"/>
      <c r="F79" s="339" t="s">
        <v>767</v>
      </c>
      <c r="G79"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79" s="673"/>
      <c r="I79" s="339" t="s">
        <v>767</v>
      </c>
      <c r="J79" s="755"/>
      <c r="K79" s="756"/>
      <c r="L79" s="683"/>
      <c r="M79" s="289"/>
      <c r="N79" s="346"/>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ht="16.149999999999999" thickBot="1" x14ac:dyDescent="0.5">
      <c r="A80" s="289"/>
      <c r="B80" s="421"/>
      <c r="C80" s="664" t="s">
        <v>779</v>
      </c>
      <c r="D80" s="660"/>
      <c r="E80" s="670"/>
      <c r="F80" s="665"/>
      <c r="G80" s="426"/>
      <c r="H80" s="674"/>
      <c r="I80" s="676"/>
      <c r="J80" s="684"/>
      <c r="K80" s="684"/>
      <c r="L80" s="685"/>
      <c r="M80" s="289"/>
      <c r="N80" s="346"/>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ht="16.149999999999999" thickBot="1" x14ac:dyDescent="0.55000000000000004">
      <c r="A81" s="289"/>
      <c r="B81" s="582" t="str">
        <f ca="1">IF(B82="","",
IF(
   OR(
      INDIRECT("'1a. Input organisatieniveau'!AC" &amp; (7 + INT((ROW()-4)/7)))="",
      INDIRECT("'1a. Input organisatieniveau'!AC" &amp; (7 + INT((ROW()-4)/7)))=0
   ),
   "",
   INDIRECT("'1a. Input organisatieniveau'!AC" &amp; (7 + INT((ROW()-4)/7)))
))</f>
        <v/>
      </c>
      <c r="C81" s="661" t="s">
        <v>779</v>
      </c>
      <c r="D81" s="428"/>
      <c r="E81" s="668"/>
      <c r="F81" s="662"/>
      <c r="G81" s="428"/>
      <c r="H81" s="671"/>
      <c r="I81" s="675"/>
      <c r="J81" s="680"/>
      <c r="K81" s="680"/>
      <c r="L81" s="681"/>
      <c r="M81" s="12"/>
      <c r="N81" s="346"/>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ht="16.149999999999999" thickBot="1" x14ac:dyDescent="0.5">
      <c r="A82" s="289"/>
      <c r="B82" s="583" t="str">
        <f ca="1">IF(
   OR(
      INDIRECT("'1a. Input organisatieniveau'!AA" &amp; (7 + INT((ROW()-4)/7)))="",
      INDIRECT("'1a. Input organisatieniveau'!AA" &amp; (7 + INT((ROW()-4)/7)))=0
   ),
   "",
   INDIRECT("'1a. Input organisatieniveau'!AA" &amp; (7 + INT((ROW()-4)/7)))
)</f>
        <v/>
      </c>
      <c r="C82" s="663" t="s">
        <v>779</v>
      </c>
      <c r="D82" s="429" t="s">
        <v>72</v>
      </c>
      <c r="E82" s="599"/>
      <c r="F82" s="339" t="s">
        <v>767</v>
      </c>
      <c r="G82" s="429" t="s">
        <v>923</v>
      </c>
      <c r="H82" s="606"/>
      <c r="I82" s="339" t="s">
        <v>767</v>
      </c>
      <c r="J82" s="682"/>
      <c r="K82" s="682"/>
      <c r="L82" s="683"/>
      <c r="M82" s="289"/>
      <c r="N82" s="346"/>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ht="15.5" customHeight="1" x14ac:dyDescent="0.45">
      <c r="A83" s="289"/>
      <c r="B83" s="343"/>
      <c r="C83" s="663" t="s">
        <v>779</v>
      </c>
      <c r="D83" s="666" t="s">
        <v>2238</v>
      </c>
      <c r="E83" s="605"/>
      <c r="F83" s="339" t="s">
        <v>767</v>
      </c>
      <c r="G83"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83" s="729"/>
      <c r="I83" s="339" t="s">
        <v>767</v>
      </c>
      <c r="J83" s="757" t="s">
        <v>2142</v>
      </c>
      <c r="K83" s="758"/>
      <c r="L83" s="683"/>
      <c r="M83" s="746" t="s">
        <v>780</v>
      </c>
      <c r="N83" s="770" t="s">
        <v>1079</v>
      </c>
      <c r="O83" s="584"/>
      <c r="P83" s="321"/>
      <c r="Q83" s="289"/>
      <c r="R83" s="289"/>
      <c r="S83" s="289"/>
      <c r="T83" s="289"/>
      <c r="U83" s="289"/>
      <c r="V83" s="289"/>
      <c r="W83" s="289"/>
      <c r="X83" s="289"/>
      <c r="Y83" s="289"/>
      <c r="Z83" s="289"/>
      <c r="AA83" s="289"/>
      <c r="AB83" s="289"/>
      <c r="AC83" s="289"/>
      <c r="AD83" s="289" t="b">
        <f ca="1">AND(
    NOT(
        AND(H84 = "", B82 &lt;&gt; "", OR(B81 = "Verblijf", B81 = "Daghulp"))
    ),
    NOT(
        AND(E86 = "", B82 &lt;&gt; "")
    ),
    NOT(
        AND(H86 = "", B82 &lt;&gt; "", OR(B81 = "Verblijf", B81 = "Daghulp"))
    ),
    NOT(
        AND(H85 = "", B82 &lt;&gt; "", OR(B81 = "Verblijf", B81 = "Daghulp"))
    ),
    NOT(
        AND(H82 = "", B82 &lt;&gt; "")
    ),
    NOT(
        AND(E85 = "", B82 &lt;&gt; "")
    ),
    NOT(
        AND(E84 = "", B82 &lt;&gt; "", Initialisatie!$C$6 &lt;&gt; "Ja")
    ),
    NOT(
        AND(E83 = "", B82 &lt;&gt; "", B81 = "Ambulant")
    ),
    NOT(
        AND(E82 = "", B82 &lt;&gt; "")
    ),
    NOT(
        AND(H83 = "", B82 &lt;&gt; "", OR(B81 = "Verblijf", B81 = "Daghulp"))
    )
)</f>
        <v>1</v>
      </c>
      <c r="AE83" s="289" t="b">
        <f ca="1">AND(
    NOT(
        AND(E86 = "", B82 &lt;&gt; "")
    ),
    NOT(
        AND(E85 = "", B82 &lt;&gt; "")
    ),
    NOT(
        AND(E84 = "", B82 &lt;&gt; "", Initialisatie!$C$6 &lt;&gt; "Ja")
    ),
    NOT(
        AND(E83 = "", B82 &lt;&gt; "", B81 = "Ambulant")
    ),
    NOT(
        AND(E82 = "", B82 &lt;&gt; "")
    )
)</f>
        <v>1</v>
      </c>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ht="15.5" customHeight="1" thickBot="1" x14ac:dyDescent="0.5">
      <c r="A84" s="289"/>
      <c r="B84" s="343"/>
      <c r="C84" s="663" t="s">
        <v>779</v>
      </c>
      <c r="D84" s="666" t="s">
        <v>2239</v>
      </c>
      <c r="E84" s="605"/>
      <c r="F84" s="339" t="s">
        <v>767</v>
      </c>
      <c r="G84" s="666" t="s">
        <v>781</v>
      </c>
      <c r="H84" s="729"/>
      <c r="I84" s="339" t="s">
        <v>767</v>
      </c>
      <c r="J84" s="759"/>
      <c r="K84" s="760"/>
      <c r="L84" s="683"/>
      <c r="M84" s="746"/>
      <c r="N84" s="770"/>
      <c r="O84" s="584"/>
      <c r="P84" s="321"/>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ht="15.5" customHeight="1" x14ac:dyDescent="0.45">
      <c r="A85" s="289"/>
      <c r="B85" s="343"/>
      <c r="C85" s="663" t="s">
        <v>779</v>
      </c>
      <c r="D85" s="666" t="s">
        <v>2240</v>
      </c>
      <c r="E85" s="605"/>
      <c r="F85" s="339" t="s">
        <v>767</v>
      </c>
      <c r="G85"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85" s="672"/>
      <c r="I85" s="339" t="s">
        <v>767</v>
      </c>
      <c r="J85" s="753" t="str" cm="1">
        <f t="array" aca="1" ref="J85" ca="1">IF(
    B82="",
    "",
    IF(
        AND(
            INDEX('2. Output kostprijs'!$77:$77, 1, 5 + (ROW()-5)/7*2)&lt;&gt;"",
            INDEX('2. Output kostprijs'!$78:$78, 1, 5 + (ROW()-5)/7*2)&lt;&gt;""
        ),
        ROUND(
            INDEX('2. Output kostprijs'!$77:$77, 1, 5 + (ROW()-5)/7*2),
            0
        )
        &amp; " uren" &amp; CHAR(10) &amp; "("
        &amp; ROUND( 100 *
            INDEX('2. Output kostprijs'!$78:$78, 1, 5 + (ROW()-5)/7*2),
            1
        )
        &amp; "%)",
        "-"
    )
)</f>
        <v/>
      </c>
      <c r="K85" s="754"/>
      <c r="L85" s="683"/>
      <c r="M85" s="746"/>
      <c r="N85" s="770"/>
      <c r="O85" s="584"/>
      <c r="P85" s="321"/>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ht="16.149999999999999" thickBot="1" x14ac:dyDescent="0.5">
      <c r="A86" s="289"/>
      <c r="B86" s="343"/>
      <c r="C86" s="663" t="s">
        <v>779</v>
      </c>
      <c r="D86" s="667" t="str">
        <f ca="1">IF(B81="Verblijf", "Bezettingsgraad (%)", "No show (%)")</f>
        <v>No show (%)</v>
      </c>
      <c r="E86" s="669"/>
      <c r="F86" s="339" t="s">
        <v>767</v>
      </c>
      <c r="G86"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86" s="673"/>
      <c r="I86" s="339" t="s">
        <v>767</v>
      </c>
      <c r="J86" s="755"/>
      <c r="K86" s="756"/>
      <c r="L86" s="683"/>
      <c r="M86" s="289"/>
      <c r="N86" s="346"/>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ht="16.149999999999999" thickBot="1" x14ac:dyDescent="0.5">
      <c r="A87" s="289"/>
      <c r="B87" s="421"/>
      <c r="C87" s="664" t="s">
        <v>779</v>
      </c>
      <c r="D87" s="660"/>
      <c r="E87" s="670"/>
      <c r="F87" s="665"/>
      <c r="G87" s="426"/>
      <c r="H87" s="674"/>
      <c r="I87" s="676"/>
      <c r="J87" s="684"/>
      <c r="K87" s="684"/>
      <c r="L87" s="685"/>
      <c r="M87" s="289"/>
      <c r="N87" s="346"/>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ht="16.149999999999999" thickBot="1" x14ac:dyDescent="0.55000000000000004">
      <c r="A88" s="289"/>
      <c r="B88" s="582" t="str">
        <f ca="1">IF(B89="","",
IF(
   OR(
      INDIRECT("'1a. Input organisatieniveau'!AC" &amp; (7 + INT((ROW()-4)/7)))="",
      INDIRECT("'1a. Input organisatieniveau'!AC" &amp; (7 + INT((ROW()-4)/7)))=0
   ),
   "",
   INDIRECT("'1a. Input organisatieniveau'!AC" &amp; (7 + INT((ROW()-4)/7)))
))</f>
        <v/>
      </c>
      <c r="C88" s="661" t="s">
        <v>779</v>
      </c>
      <c r="D88" s="428"/>
      <c r="E88" s="668"/>
      <c r="F88" s="662"/>
      <c r="G88" s="428"/>
      <c r="H88" s="671"/>
      <c r="I88" s="675"/>
      <c r="J88" s="680"/>
      <c r="K88" s="680"/>
      <c r="L88" s="681"/>
      <c r="M88" s="12"/>
      <c r="N88" s="346"/>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ht="16.149999999999999" thickBot="1" x14ac:dyDescent="0.5">
      <c r="A89" s="289"/>
      <c r="B89" s="583" t="str">
        <f ca="1">IF(
   OR(
      INDIRECT("'1a. Input organisatieniveau'!AA" &amp; (7 + INT((ROW()-4)/7)))="",
      INDIRECT("'1a. Input organisatieniveau'!AA" &amp; (7 + INT((ROW()-4)/7)))=0
   ),
   "",
   INDIRECT("'1a. Input organisatieniveau'!AA" &amp; (7 + INT((ROW()-4)/7)))
)</f>
        <v/>
      </c>
      <c r="C89" s="663" t="s">
        <v>779</v>
      </c>
      <c r="D89" s="429" t="s">
        <v>72</v>
      </c>
      <c r="E89" s="599"/>
      <c r="F89" s="339" t="s">
        <v>767</v>
      </c>
      <c r="G89" s="429" t="s">
        <v>923</v>
      </c>
      <c r="H89" s="606"/>
      <c r="I89" s="339" t="s">
        <v>767</v>
      </c>
      <c r="J89" s="682"/>
      <c r="K89" s="682"/>
      <c r="L89" s="683"/>
      <c r="M89" s="289"/>
      <c r="N89" s="346"/>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ht="15.5" customHeight="1" x14ac:dyDescent="0.45">
      <c r="A90" s="289"/>
      <c r="B90" s="343"/>
      <c r="C90" s="663" t="s">
        <v>779</v>
      </c>
      <c r="D90" s="666" t="s">
        <v>2238</v>
      </c>
      <c r="E90" s="605"/>
      <c r="F90" s="339" t="s">
        <v>767</v>
      </c>
      <c r="G90"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90" s="729"/>
      <c r="I90" s="339" t="s">
        <v>767</v>
      </c>
      <c r="J90" s="757" t="s">
        <v>2142</v>
      </c>
      <c r="K90" s="758"/>
      <c r="L90" s="683"/>
      <c r="M90" s="746" t="s">
        <v>780</v>
      </c>
      <c r="N90" s="770" t="s">
        <v>1079</v>
      </c>
      <c r="O90" s="584"/>
      <c r="P90" s="321"/>
      <c r="Q90" s="289"/>
      <c r="R90" s="289"/>
      <c r="S90" s="289"/>
      <c r="T90" s="289"/>
      <c r="U90" s="289"/>
      <c r="V90" s="289"/>
      <c r="W90" s="289"/>
      <c r="X90" s="289"/>
      <c r="Y90" s="289"/>
      <c r="Z90" s="289"/>
      <c r="AA90" s="289"/>
      <c r="AB90" s="289"/>
      <c r="AC90" s="289"/>
      <c r="AD90" s="289" t="b">
        <f ca="1">AND(
    NOT(
        AND(H91 = "", B89 &lt;&gt; "", OR(B88 = "Verblijf", B88 = "Daghulp"))
    ),
    NOT(
        AND(E93 = "", B89 &lt;&gt; "")
    ),
    NOT(
        AND(H93 = "", B89 &lt;&gt; "", OR(B88 = "Verblijf", B88 = "Daghulp"))
    ),
    NOT(
        AND(H92 = "", B89 &lt;&gt; "", OR(B88 = "Verblijf", B88 = "Daghulp"))
    ),
    NOT(
        AND(H89 = "", B89 &lt;&gt; "")
    ),
    NOT(
        AND(E92 = "", B89 &lt;&gt; "")
    ),
    NOT(
        AND(E91 = "", B89 &lt;&gt; "", Initialisatie!$C$6 &lt;&gt; "Ja")
    ),
    NOT(
        AND(E90 = "", B89 &lt;&gt; "", B88 = "Ambulant")
    ),
    NOT(
        AND(E89 = "", B89 &lt;&gt; "")
    ),
    NOT(
        AND(H90 = "", B89 &lt;&gt; "", OR(B88 = "Verblijf", B88 = "Daghulp"))
    )
)</f>
        <v>1</v>
      </c>
      <c r="AE90" s="289" t="b">
        <f ca="1">AND(
    NOT(
        AND(E93 = "", B89 &lt;&gt; "")
    ),
    NOT(
        AND(E92 = "", B89 &lt;&gt; "")
    ),
    NOT(
        AND(E91 = "", B89 &lt;&gt; "", Initialisatie!$C$6 &lt;&gt; "Ja")
    ),
    NOT(
        AND(E90 = "", B89 &lt;&gt; "", B88 = "Ambulant")
    ),
    NOT(
        AND(E89 = "", B89 &lt;&gt; "")
    )
)</f>
        <v>1</v>
      </c>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ht="15.5" customHeight="1" thickBot="1" x14ac:dyDescent="0.5">
      <c r="A91" s="289"/>
      <c r="B91" s="343"/>
      <c r="C91" s="663" t="s">
        <v>779</v>
      </c>
      <c r="D91" s="666" t="s">
        <v>2239</v>
      </c>
      <c r="E91" s="605"/>
      <c r="F91" s="339" t="s">
        <v>767</v>
      </c>
      <c r="G91" s="666" t="s">
        <v>781</v>
      </c>
      <c r="H91" s="729"/>
      <c r="I91" s="339" t="s">
        <v>767</v>
      </c>
      <c r="J91" s="759"/>
      <c r="K91" s="760"/>
      <c r="L91" s="683"/>
      <c r="M91" s="746"/>
      <c r="N91" s="770"/>
      <c r="O91" s="584"/>
      <c r="P91" s="321"/>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ht="15.5" customHeight="1" x14ac:dyDescent="0.45">
      <c r="A92" s="289"/>
      <c r="B92" s="343"/>
      <c r="C92" s="663" t="s">
        <v>779</v>
      </c>
      <c r="D92" s="666" t="s">
        <v>2240</v>
      </c>
      <c r="E92" s="605"/>
      <c r="F92" s="339" t="s">
        <v>767</v>
      </c>
      <c r="G92"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92" s="672"/>
      <c r="I92" s="339" t="s">
        <v>767</v>
      </c>
      <c r="J92" s="753" t="str" cm="1">
        <f t="array" aca="1" ref="J92" ca="1">IF(
    B89="",
    "",
    IF(
        AND(
            INDEX('2. Output kostprijs'!$77:$77, 1, 5 + (ROW()-5)/7*2)&lt;&gt;"",
            INDEX('2. Output kostprijs'!$78:$78, 1, 5 + (ROW()-5)/7*2)&lt;&gt;""
        ),
        ROUND(
            INDEX('2. Output kostprijs'!$77:$77, 1, 5 + (ROW()-5)/7*2),
            0
        )
        &amp; " uren" &amp; CHAR(10) &amp; "("
        &amp; ROUND( 100 *
            INDEX('2. Output kostprijs'!$78:$78, 1, 5 + (ROW()-5)/7*2),
            1
        )
        &amp; "%)",
        "-"
    )
)</f>
        <v/>
      </c>
      <c r="K92" s="754"/>
      <c r="L92" s="683"/>
      <c r="M92" s="746"/>
      <c r="N92" s="770"/>
      <c r="O92" s="584"/>
      <c r="P92" s="321"/>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ht="16.149999999999999" thickBot="1" x14ac:dyDescent="0.5">
      <c r="A93" s="289"/>
      <c r="B93" s="343"/>
      <c r="C93" s="663" t="s">
        <v>779</v>
      </c>
      <c r="D93" s="667" t="str">
        <f ca="1">IF(B88="Verblijf", "Bezettingsgraad (%)", "No show (%)")</f>
        <v>No show (%)</v>
      </c>
      <c r="E93" s="669"/>
      <c r="F93" s="339" t="s">
        <v>767</v>
      </c>
      <c r="G93"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93" s="673"/>
      <c r="I93" s="339" t="s">
        <v>767</v>
      </c>
      <c r="J93" s="755"/>
      <c r="K93" s="756"/>
      <c r="L93" s="683"/>
      <c r="M93" s="289"/>
      <c r="N93" s="346"/>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ht="16.149999999999999" thickBot="1" x14ac:dyDescent="0.5">
      <c r="A94" s="289"/>
      <c r="B94" s="421"/>
      <c r="C94" s="664" t="s">
        <v>779</v>
      </c>
      <c r="D94" s="660"/>
      <c r="E94" s="670"/>
      <c r="F94" s="665"/>
      <c r="G94" s="426"/>
      <c r="H94" s="674"/>
      <c r="I94" s="676"/>
      <c r="J94" s="684"/>
      <c r="K94" s="684"/>
      <c r="L94" s="685"/>
      <c r="M94" s="289"/>
      <c r="N94" s="346"/>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ht="16.149999999999999" thickBot="1" x14ac:dyDescent="0.55000000000000004">
      <c r="A95" s="289"/>
      <c r="B95" s="582" t="str">
        <f ca="1">IF(B96="","",
IF(
   OR(
      INDIRECT("'1a. Input organisatieniveau'!AC" &amp; (7 + INT((ROW()-4)/7)))="",
      INDIRECT("'1a. Input organisatieniveau'!AC" &amp; (7 + INT((ROW()-4)/7)))=0
   ),
   "",
   INDIRECT("'1a. Input organisatieniveau'!AC" &amp; (7 + INT((ROW()-4)/7)))
))</f>
        <v/>
      </c>
      <c r="C95" s="661" t="s">
        <v>779</v>
      </c>
      <c r="D95" s="428"/>
      <c r="E95" s="668"/>
      <c r="F95" s="662"/>
      <c r="G95" s="428"/>
      <c r="H95" s="671"/>
      <c r="I95" s="675"/>
      <c r="J95" s="680"/>
      <c r="K95" s="680"/>
      <c r="L95" s="681"/>
      <c r="M95" s="12"/>
      <c r="N95" s="346"/>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ht="16.149999999999999" thickBot="1" x14ac:dyDescent="0.5">
      <c r="A96" s="289"/>
      <c r="B96" s="583" t="str">
        <f ca="1">IF(
   OR(
      INDIRECT("'1a. Input organisatieniveau'!AA" &amp; (7 + INT((ROW()-4)/7)))="",
      INDIRECT("'1a. Input organisatieniveau'!AA" &amp; (7 + INT((ROW()-4)/7)))=0
   ),
   "",
   INDIRECT("'1a. Input organisatieniveau'!AA" &amp; (7 + INT((ROW()-4)/7)))
)</f>
        <v/>
      </c>
      <c r="C96" s="663" t="s">
        <v>779</v>
      </c>
      <c r="D96" s="429" t="s">
        <v>72</v>
      </c>
      <c r="E96" s="599"/>
      <c r="F96" s="339" t="s">
        <v>767</v>
      </c>
      <c r="G96" s="429" t="s">
        <v>923</v>
      </c>
      <c r="H96" s="606"/>
      <c r="I96" s="339" t="s">
        <v>767</v>
      </c>
      <c r="J96" s="682"/>
      <c r="K96" s="682"/>
      <c r="L96" s="683"/>
      <c r="M96" s="289"/>
      <c r="N96" s="346"/>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2" ht="15.5" customHeight="1" x14ac:dyDescent="0.45">
      <c r="A97" s="289"/>
      <c r="B97" s="343"/>
      <c r="C97" s="663" t="s">
        <v>779</v>
      </c>
      <c r="D97" s="666" t="s">
        <v>2238</v>
      </c>
      <c r="E97" s="605"/>
      <c r="F97" s="339" t="s">
        <v>767</v>
      </c>
      <c r="G97"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97" s="729"/>
      <c r="I97" s="339" t="s">
        <v>767</v>
      </c>
      <c r="J97" s="757" t="s">
        <v>2142</v>
      </c>
      <c r="K97" s="758"/>
      <c r="L97" s="683"/>
      <c r="M97" s="746" t="s">
        <v>780</v>
      </c>
      <c r="N97" s="770" t="s">
        <v>1079</v>
      </c>
      <c r="O97" s="584"/>
      <c r="P97" s="321"/>
      <c r="Q97" s="289"/>
      <c r="R97" s="289"/>
      <c r="S97" s="289"/>
      <c r="T97" s="289"/>
      <c r="U97" s="289"/>
      <c r="V97" s="289"/>
      <c r="W97" s="289"/>
      <c r="X97" s="289"/>
      <c r="Y97" s="289"/>
      <c r="Z97" s="289"/>
      <c r="AA97" s="289"/>
      <c r="AB97" s="289"/>
      <c r="AC97" s="289"/>
      <c r="AD97" s="289" t="b">
        <f ca="1">AND(
    NOT(
        AND(H98 = "", B96 &lt;&gt; "", OR(B95 = "Verblijf", B95 = "Daghulp"))
    ),
    NOT(
        AND(E100 = "", B96 &lt;&gt; "")
    ),
    NOT(
        AND(H100 = "", B96 &lt;&gt; "", OR(B95 = "Verblijf", B95 = "Daghulp"))
    ),
    NOT(
        AND(H99 = "", B96 &lt;&gt; "", OR(B95 = "Verblijf", B95 = "Daghulp"))
    ),
    NOT(
        AND(H96 = "", B96 &lt;&gt; "")
    ),
    NOT(
        AND(E99 = "", B96 &lt;&gt; "")
    ),
    NOT(
        AND(E98 = "", B96 &lt;&gt; "", Initialisatie!$C$6 &lt;&gt; "Ja")
    ),
    NOT(
        AND(E97 = "", B96 &lt;&gt; "", B95 = "Ambulant")
    ),
    NOT(
        AND(E96 = "", B96 &lt;&gt; "")
    ),
    NOT(
        AND(H97 = "", B96 &lt;&gt; "", OR(B95 = "Verblijf", B95 = "Daghulp"))
    )
)</f>
        <v>1</v>
      </c>
      <c r="AE97" s="289" t="b">
        <f ca="1">AND(
    NOT(
        AND(E100 = "", B96 &lt;&gt; "")
    ),
    NOT(
        AND(E99 = "", B96 &lt;&gt; "")
    ),
    NOT(
        AND(E98 = "", B96 &lt;&gt; "", Initialisatie!$C$6 &lt;&gt; "Ja")
    ),
    NOT(
        AND(E97 = "", B96 &lt;&gt; "", B95 = "Ambulant")
    ),
    NOT(
        AND(E96 = "", B96 &lt;&gt; "")
    )
)</f>
        <v>1</v>
      </c>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2" ht="15.5" customHeight="1" thickBot="1" x14ac:dyDescent="0.5">
      <c r="A98" s="289"/>
      <c r="B98" s="343"/>
      <c r="C98" s="663" t="s">
        <v>779</v>
      </c>
      <c r="D98" s="666" t="s">
        <v>2239</v>
      </c>
      <c r="E98" s="605"/>
      <c r="F98" s="339" t="s">
        <v>767</v>
      </c>
      <c r="G98" s="666" t="s">
        <v>781</v>
      </c>
      <c r="H98" s="729"/>
      <c r="I98" s="339" t="s">
        <v>767</v>
      </c>
      <c r="J98" s="759"/>
      <c r="K98" s="760"/>
      <c r="L98" s="683"/>
      <c r="M98" s="746"/>
      <c r="N98" s="770"/>
      <c r="O98" s="584"/>
      <c r="P98" s="321"/>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2" ht="15.5" customHeight="1" x14ac:dyDescent="0.45">
      <c r="A99" s="289"/>
      <c r="B99" s="343"/>
      <c r="C99" s="663" t="s">
        <v>779</v>
      </c>
      <c r="D99" s="666" t="s">
        <v>2240</v>
      </c>
      <c r="E99" s="605"/>
      <c r="F99" s="339" t="s">
        <v>767</v>
      </c>
      <c r="G99"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99" s="672"/>
      <c r="I99" s="339" t="s">
        <v>767</v>
      </c>
      <c r="J99" s="753" t="str" cm="1">
        <f t="array" aca="1" ref="J99" ca="1">IF(
    B96="",
    "",
    IF(
        AND(
            INDEX('2. Output kostprijs'!$77:$77, 1, 5 + (ROW()-5)/7*2)&lt;&gt;"",
            INDEX('2. Output kostprijs'!$78:$78, 1, 5 + (ROW()-5)/7*2)&lt;&gt;""
        ),
        ROUND(
            INDEX('2. Output kostprijs'!$77:$77, 1, 5 + (ROW()-5)/7*2),
            0
        )
        &amp; " uren" &amp; CHAR(10) &amp; "("
        &amp; ROUND( 100 *
            INDEX('2. Output kostprijs'!$78:$78, 1, 5 + (ROW()-5)/7*2),
            1
        )
        &amp; "%)",
        "-"
    )
)</f>
        <v/>
      </c>
      <c r="K99" s="754"/>
      <c r="L99" s="683"/>
      <c r="M99" s="746"/>
      <c r="N99" s="770"/>
      <c r="O99" s="584"/>
      <c r="P99" s="321"/>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row>
    <row r="100" spans="1:52" ht="16.149999999999999" thickBot="1" x14ac:dyDescent="0.5">
      <c r="A100" s="289"/>
      <c r="B100" s="343"/>
      <c r="C100" s="663" t="s">
        <v>779</v>
      </c>
      <c r="D100" s="667" t="str">
        <f ca="1">IF(B95="Verblijf", "Bezettingsgraad (%)", "No show (%)")</f>
        <v>No show (%)</v>
      </c>
      <c r="E100" s="669"/>
      <c r="F100" s="339" t="s">
        <v>767</v>
      </c>
      <c r="G100"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00" s="673"/>
      <c r="I100" s="339" t="s">
        <v>767</v>
      </c>
      <c r="J100" s="755"/>
      <c r="K100" s="756"/>
      <c r="L100" s="683"/>
      <c r="M100" s="289"/>
      <c r="N100" s="346"/>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row r="101" spans="1:52" ht="16.149999999999999" thickBot="1" x14ac:dyDescent="0.5">
      <c r="A101" s="289"/>
      <c r="B101" s="421"/>
      <c r="C101" s="664" t="s">
        <v>779</v>
      </c>
      <c r="D101" s="660"/>
      <c r="E101" s="670"/>
      <c r="F101" s="665"/>
      <c r="G101" s="426"/>
      <c r="H101" s="674"/>
      <c r="I101" s="676"/>
      <c r="J101" s="684"/>
      <c r="K101" s="684"/>
      <c r="L101" s="685"/>
      <c r="M101" s="289"/>
      <c r="N101" s="346"/>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row>
    <row r="102" spans="1:52" ht="16.149999999999999" thickBot="1" x14ac:dyDescent="0.55000000000000004">
      <c r="A102" s="289"/>
      <c r="B102" s="582" t="str">
        <f ca="1">IF(B103="","",
IF(
   OR(
      INDIRECT("'1a. Input organisatieniveau'!AC" &amp; (7 + INT((ROW()-4)/7)))="",
      INDIRECT("'1a. Input organisatieniveau'!AC" &amp; (7 + INT((ROW()-4)/7)))=0
   ),
   "",
   INDIRECT("'1a. Input organisatieniveau'!AC" &amp; (7 + INT((ROW()-4)/7)))
))</f>
        <v/>
      </c>
      <c r="C102" s="661" t="s">
        <v>779</v>
      </c>
      <c r="D102" s="428"/>
      <c r="E102" s="668"/>
      <c r="F102" s="662"/>
      <c r="G102" s="428"/>
      <c r="H102" s="671"/>
      <c r="I102" s="675"/>
      <c r="J102" s="680"/>
      <c r="K102" s="680"/>
      <c r="L102" s="681"/>
      <c r="M102" s="12"/>
      <c r="N102" s="346"/>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row>
    <row r="103" spans="1:52" ht="16.149999999999999" thickBot="1" x14ac:dyDescent="0.5">
      <c r="A103" s="289"/>
      <c r="B103" s="583" t="str">
        <f ca="1">IF(
   OR(
      INDIRECT("'1a. Input organisatieniveau'!AA" &amp; (7 + INT((ROW()-4)/7)))="",
      INDIRECT("'1a. Input organisatieniveau'!AA" &amp; (7 + INT((ROW()-4)/7)))=0
   ),
   "",
   INDIRECT("'1a. Input organisatieniveau'!AA" &amp; (7 + INT((ROW()-4)/7)))
)</f>
        <v/>
      </c>
      <c r="C103" s="663" t="s">
        <v>779</v>
      </c>
      <c r="D103" s="429" t="s">
        <v>72</v>
      </c>
      <c r="E103" s="599"/>
      <c r="F103" s="339" t="s">
        <v>767</v>
      </c>
      <c r="G103" s="429" t="s">
        <v>923</v>
      </c>
      <c r="H103" s="606"/>
      <c r="I103" s="339" t="s">
        <v>767</v>
      </c>
      <c r="J103" s="682"/>
      <c r="K103" s="682"/>
      <c r="L103" s="683"/>
      <c r="M103" s="289"/>
      <c r="N103" s="346"/>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row>
    <row r="104" spans="1:52" ht="15.5" customHeight="1" x14ac:dyDescent="0.45">
      <c r="A104" s="289"/>
      <c r="B104" s="343"/>
      <c r="C104" s="663" t="s">
        <v>779</v>
      </c>
      <c r="D104" s="666" t="s">
        <v>2238</v>
      </c>
      <c r="E104" s="605"/>
      <c r="F104" s="339" t="s">
        <v>767</v>
      </c>
      <c r="G104"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04" s="729"/>
      <c r="I104" s="339" t="s">
        <v>767</v>
      </c>
      <c r="J104" s="757" t="s">
        <v>2142</v>
      </c>
      <c r="K104" s="758"/>
      <c r="L104" s="683"/>
      <c r="M104" s="746" t="s">
        <v>780</v>
      </c>
      <c r="N104" s="770" t="s">
        <v>1079</v>
      </c>
      <c r="O104" s="584"/>
      <c r="P104" s="321"/>
      <c r="Q104" s="289"/>
      <c r="R104" s="289"/>
      <c r="S104" s="289"/>
      <c r="T104" s="289"/>
      <c r="U104" s="289"/>
      <c r="V104" s="289"/>
      <c r="W104" s="289"/>
      <c r="X104" s="289"/>
      <c r="Y104" s="289"/>
      <c r="Z104" s="289"/>
      <c r="AA104" s="289"/>
      <c r="AB104" s="289"/>
      <c r="AC104" s="289"/>
      <c r="AD104" s="289" t="b">
        <f ca="1">AND(
    NOT(
        AND(H105 = "", B103 &lt;&gt; "", OR(B102 = "Verblijf", B102 = "Daghulp"))
    ),
    NOT(
        AND(E107 = "", B103 &lt;&gt; "")
    ),
    NOT(
        AND(H107 = "", B103 &lt;&gt; "", OR(B102 = "Verblijf", B102 = "Daghulp"))
    ),
    NOT(
        AND(H106 = "", B103 &lt;&gt; "", OR(B102 = "Verblijf", B102 = "Daghulp"))
    ),
    NOT(
        AND(H103 = "", B103 &lt;&gt; "")
    ),
    NOT(
        AND(E106 = "", B103 &lt;&gt; "")
    ),
    NOT(
        AND(E105 = "", B103 &lt;&gt; "", Initialisatie!$C$6 &lt;&gt; "Ja")
    ),
    NOT(
        AND(E104 = "", B103 &lt;&gt; "", B102 = "Ambulant")
    ),
    NOT(
        AND(E103 = "", B103 &lt;&gt; "")
    ),
    NOT(
        AND(H104 = "", B103 &lt;&gt; "", OR(B102 = "Verblijf", B102 = "Daghulp"))
    )
)</f>
        <v>1</v>
      </c>
      <c r="AE104" s="289" t="b">
        <f ca="1">AND(
    NOT(
        AND(E107 = "", B103 &lt;&gt; "")
    ),
    NOT(
        AND(E106 = "", B103 &lt;&gt; "")
    ),
    NOT(
        AND(E105 = "", B103 &lt;&gt; "", Initialisatie!$C$6 &lt;&gt; "Ja")
    ),
    NOT(
        AND(E104 = "", B103 &lt;&gt; "", B102 = "Ambulant")
    ),
    NOT(
        AND(E103 = "", B103 &lt;&gt; "")
    )
)</f>
        <v>1</v>
      </c>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row>
    <row r="105" spans="1:52" ht="15.5" customHeight="1" thickBot="1" x14ac:dyDescent="0.5">
      <c r="A105" s="289"/>
      <c r="B105" s="343"/>
      <c r="C105" s="663" t="s">
        <v>779</v>
      </c>
      <c r="D105" s="666" t="s">
        <v>2239</v>
      </c>
      <c r="E105" s="605"/>
      <c r="F105" s="339" t="s">
        <v>767</v>
      </c>
      <c r="G105" s="666" t="s">
        <v>781</v>
      </c>
      <c r="H105" s="729"/>
      <c r="I105" s="339" t="s">
        <v>767</v>
      </c>
      <c r="J105" s="759"/>
      <c r="K105" s="760"/>
      <c r="L105" s="683"/>
      <c r="M105" s="746"/>
      <c r="N105" s="770"/>
      <c r="O105" s="584"/>
      <c r="P105" s="321"/>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row>
    <row r="106" spans="1:52" ht="15.5" customHeight="1" x14ac:dyDescent="0.45">
      <c r="A106" s="289"/>
      <c r="B106" s="343"/>
      <c r="C106" s="663" t="s">
        <v>779</v>
      </c>
      <c r="D106" s="666" t="s">
        <v>2240</v>
      </c>
      <c r="E106" s="605"/>
      <c r="F106" s="339" t="s">
        <v>767</v>
      </c>
      <c r="G106"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06" s="672"/>
      <c r="I106" s="339" t="s">
        <v>767</v>
      </c>
      <c r="J106" s="753" t="str" cm="1">
        <f t="array" aca="1" ref="J106" ca="1">IF(
    B103="",
    "",
    IF(
        AND(
            INDEX('2. Output kostprijs'!$77:$77, 1, 5 + (ROW()-5)/7*2)&lt;&gt;"",
            INDEX('2. Output kostprijs'!$78:$78, 1, 5 + (ROW()-5)/7*2)&lt;&gt;""
        ),
        ROUND(
            INDEX('2. Output kostprijs'!$77:$77, 1, 5 + (ROW()-5)/7*2),
            0
        )
        &amp; " uren" &amp; CHAR(10) &amp; "("
        &amp; ROUND( 100 *
            INDEX('2. Output kostprijs'!$78:$78, 1, 5 + (ROW()-5)/7*2),
            1
        )
        &amp; "%)",
        "-"
    )
)</f>
        <v/>
      </c>
      <c r="K106" s="754"/>
      <c r="L106" s="683"/>
      <c r="M106" s="746"/>
      <c r="N106" s="770"/>
      <c r="O106" s="584"/>
      <c r="P106" s="321"/>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row>
    <row r="107" spans="1:52" ht="16.149999999999999" thickBot="1" x14ac:dyDescent="0.5">
      <c r="A107" s="289"/>
      <c r="B107" s="343"/>
      <c r="C107" s="663" t="s">
        <v>779</v>
      </c>
      <c r="D107" s="667" t="str">
        <f ca="1">IF(B102="Verblijf", "Bezettingsgraad (%)", "No show (%)")</f>
        <v>No show (%)</v>
      </c>
      <c r="E107" s="669"/>
      <c r="F107" s="339" t="s">
        <v>767</v>
      </c>
      <c r="G107"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07" s="673"/>
      <c r="I107" s="339" t="s">
        <v>767</v>
      </c>
      <c r="J107" s="755"/>
      <c r="K107" s="756"/>
      <c r="L107" s="683"/>
      <c r="M107" s="289"/>
      <c r="N107" s="346"/>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row>
    <row r="108" spans="1:52" ht="16.149999999999999" thickBot="1" x14ac:dyDescent="0.5">
      <c r="A108" s="289"/>
      <c r="B108" s="421"/>
      <c r="C108" s="664" t="s">
        <v>779</v>
      </c>
      <c r="D108" s="660"/>
      <c r="E108" s="670"/>
      <c r="F108" s="665"/>
      <c r="G108" s="426"/>
      <c r="H108" s="674"/>
      <c r="I108" s="676"/>
      <c r="J108" s="684"/>
      <c r="K108" s="684"/>
      <c r="L108" s="685"/>
      <c r="M108" s="289"/>
      <c r="N108" s="346"/>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row>
    <row r="109" spans="1:52" ht="16.149999999999999" thickBot="1" x14ac:dyDescent="0.55000000000000004">
      <c r="A109" s="289"/>
      <c r="B109" s="582" t="str">
        <f ca="1">IF(B110="","",
IF(
   OR(
      INDIRECT("'1a. Input organisatieniveau'!AC" &amp; (7 + INT((ROW()-4)/7)))="",
      INDIRECT("'1a. Input organisatieniveau'!AC" &amp; (7 + INT((ROW()-4)/7)))=0
   ),
   "",
   INDIRECT("'1a. Input organisatieniveau'!AC" &amp; (7 + INT((ROW()-4)/7)))
))</f>
        <v/>
      </c>
      <c r="C109" s="661" t="s">
        <v>779</v>
      </c>
      <c r="D109" s="428"/>
      <c r="E109" s="668"/>
      <c r="F109" s="662"/>
      <c r="G109" s="428"/>
      <c r="H109" s="671"/>
      <c r="I109" s="675"/>
      <c r="J109" s="680"/>
      <c r="K109" s="680"/>
      <c r="L109" s="681"/>
      <c r="M109" s="12"/>
      <c r="N109" s="346"/>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row>
    <row r="110" spans="1:52" ht="16.149999999999999" thickBot="1" x14ac:dyDescent="0.5">
      <c r="A110" s="289"/>
      <c r="B110" s="583" t="str">
        <f ca="1">IF(
   OR(
      INDIRECT("'1a. Input organisatieniveau'!AA" &amp; (7 + INT((ROW()-4)/7)))="",
      INDIRECT("'1a. Input organisatieniveau'!AA" &amp; (7 + INT((ROW()-4)/7)))=0
   ),
   "",
   INDIRECT("'1a. Input organisatieniveau'!AA" &amp; (7 + INT((ROW()-4)/7)))
)</f>
        <v/>
      </c>
      <c r="C110" s="663" t="s">
        <v>779</v>
      </c>
      <c r="D110" s="429" t="s">
        <v>72</v>
      </c>
      <c r="E110" s="599"/>
      <c r="F110" s="339" t="s">
        <v>767</v>
      </c>
      <c r="G110" s="429" t="s">
        <v>923</v>
      </c>
      <c r="H110" s="606"/>
      <c r="I110" s="339" t="s">
        <v>767</v>
      </c>
      <c r="J110" s="682"/>
      <c r="K110" s="682"/>
      <c r="L110" s="683"/>
      <c r="M110" s="289"/>
      <c r="N110" s="346"/>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row>
    <row r="111" spans="1:52" ht="15.5" customHeight="1" x14ac:dyDescent="0.45">
      <c r="A111" s="289"/>
      <c r="B111" s="343"/>
      <c r="C111" s="663" t="s">
        <v>779</v>
      </c>
      <c r="D111" s="666" t="s">
        <v>2238</v>
      </c>
      <c r="E111" s="605"/>
      <c r="F111" s="339" t="s">
        <v>767</v>
      </c>
      <c r="G111"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11" s="729"/>
      <c r="I111" s="339" t="s">
        <v>767</v>
      </c>
      <c r="J111" s="757" t="s">
        <v>2142</v>
      </c>
      <c r="K111" s="758"/>
      <c r="L111" s="683"/>
      <c r="M111" s="746" t="s">
        <v>780</v>
      </c>
      <c r="N111" s="770" t="s">
        <v>1079</v>
      </c>
      <c r="O111" s="584"/>
      <c r="P111" s="321"/>
      <c r="Q111" s="289"/>
      <c r="R111" s="289"/>
      <c r="S111" s="289"/>
      <c r="T111" s="289"/>
      <c r="U111" s="289"/>
      <c r="V111" s="289"/>
      <c r="W111" s="289"/>
      <c r="X111" s="289"/>
      <c r="Y111" s="289"/>
      <c r="Z111" s="289"/>
      <c r="AA111" s="289"/>
      <c r="AB111" s="289"/>
      <c r="AC111" s="289"/>
      <c r="AD111" s="289" t="b">
        <f ca="1">AND(
    NOT(
        AND(H112 = "", B110 &lt;&gt; "", OR(B109 = "Verblijf", B109 = "Daghulp"))
    ),
    NOT(
        AND(E114 = "", B110 &lt;&gt; "")
    ),
    NOT(
        AND(H114 = "", B110 &lt;&gt; "", OR(B109 = "Verblijf", B109 = "Daghulp"))
    ),
    NOT(
        AND(H113 = "", B110 &lt;&gt; "", OR(B109 = "Verblijf", B109 = "Daghulp"))
    ),
    NOT(
        AND(H110 = "", B110 &lt;&gt; "")
    ),
    NOT(
        AND(E113 = "", B110 &lt;&gt; "")
    ),
    NOT(
        AND(E112 = "", B110 &lt;&gt; "", Initialisatie!$C$6 &lt;&gt; "Ja")
    ),
    NOT(
        AND(E111 = "", B110 &lt;&gt; "", B109 = "Ambulant")
    ),
    NOT(
        AND(E110 = "", B110 &lt;&gt; "")
    ),
    NOT(
        AND(H111 = "", B110 &lt;&gt; "", OR(B109 = "Verblijf", B109 = "Daghulp"))
    )
)</f>
        <v>1</v>
      </c>
      <c r="AE111" s="289" t="b">
        <f ca="1">AND(
    NOT(
        AND(E114 = "", B110 &lt;&gt; "")
    ),
    NOT(
        AND(E113 = "", B110 &lt;&gt; "")
    ),
    NOT(
        AND(E112 = "", B110 &lt;&gt; "", Initialisatie!$C$6 &lt;&gt; "Ja")
    ),
    NOT(
        AND(E111 = "", B110 &lt;&gt; "", B109 = "Ambulant")
    ),
    NOT(
        AND(E110 = "", B110 &lt;&gt; "")
    )
)</f>
        <v>1</v>
      </c>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row>
    <row r="112" spans="1:52" ht="15.5" customHeight="1" thickBot="1" x14ac:dyDescent="0.5">
      <c r="A112" s="289"/>
      <c r="B112" s="343"/>
      <c r="C112" s="663" t="s">
        <v>779</v>
      </c>
      <c r="D112" s="666" t="s">
        <v>2239</v>
      </c>
      <c r="E112" s="605"/>
      <c r="F112" s="339" t="s">
        <v>767</v>
      </c>
      <c r="G112" s="666" t="s">
        <v>781</v>
      </c>
      <c r="H112" s="729"/>
      <c r="I112" s="339" t="s">
        <v>767</v>
      </c>
      <c r="J112" s="759"/>
      <c r="K112" s="760"/>
      <c r="L112" s="683"/>
      <c r="M112" s="746"/>
      <c r="N112" s="770"/>
      <c r="O112" s="584"/>
      <c r="P112" s="321"/>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row>
    <row r="113" spans="1:52" ht="15.5" customHeight="1" x14ac:dyDescent="0.45">
      <c r="A113" s="289"/>
      <c r="B113" s="343"/>
      <c r="C113" s="663" t="s">
        <v>779</v>
      </c>
      <c r="D113" s="666" t="s">
        <v>2240</v>
      </c>
      <c r="E113" s="605"/>
      <c r="F113" s="339" t="s">
        <v>767</v>
      </c>
      <c r="G113"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13" s="672"/>
      <c r="I113" s="339" t="s">
        <v>767</v>
      </c>
      <c r="J113" s="753" t="str" cm="1">
        <f t="array" aca="1" ref="J113" ca="1">IF(
    B110="",
    "",
    IF(
        AND(
            INDEX('2. Output kostprijs'!$77:$77, 1, 5 + (ROW()-5)/7*2)&lt;&gt;"",
            INDEX('2. Output kostprijs'!$78:$78, 1, 5 + (ROW()-5)/7*2)&lt;&gt;""
        ),
        ROUND(
            INDEX('2. Output kostprijs'!$77:$77, 1, 5 + (ROW()-5)/7*2),
            0
        )
        &amp; " uren" &amp; CHAR(10) &amp; "("
        &amp; ROUND( 100 *
            INDEX('2. Output kostprijs'!$78:$78, 1, 5 + (ROW()-5)/7*2),
            1
        )
        &amp; "%)",
        "-"
    )
)</f>
        <v/>
      </c>
      <c r="K113" s="754"/>
      <c r="L113" s="683"/>
      <c r="M113" s="746"/>
      <c r="N113" s="770"/>
      <c r="O113" s="584"/>
      <c r="P113" s="321"/>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row>
    <row r="114" spans="1:52" ht="16.149999999999999" thickBot="1" x14ac:dyDescent="0.5">
      <c r="A114" s="289"/>
      <c r="B114" s="343"/>
      <c r="C114" s="663" t="s">
        <v>779</v>
      </c>
      <c r="D114" s="667" t="str">
        <f ca="1">IF(B109="Verblijf", "Bezettingsgraad (%)", "No show (%)")</f>
        <v>No show (%)</v>
      </c>
      <c r="E114" s="669"/>
      <c r="F114" s="339" t="s">
        <v>767</v>
      </c>
      <c r="G114"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14" s="673"/>
      <c r="I114" s="339" t="s">
        <v>767</v>
      </c>
      <c r="J114" s="755"/>
      <c r="K114" s="756"/>
      <c r="L114" s="683"/>
      <c r="M114" s="289"/>
      <c r="N114" s="346"/>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row>
    <row r="115" spans="1:52" ht="16.149999999999999" thickBot="1" x14ac:dyDescent="0.5">
      <c r="A115" s="289"/>
      <c r="B115" s="421"/>
      <c r="C115" s="664" t="s">
        <v>779</v>
      </c>
      <c r="D115" s="660"/>
      <c r="E115" s="670"/>
      <c r="F115" s="665"/>
      <c r="G115" s="426"/>
      <c r="H115" s="674"/>
      <c r="I115" s="676"/>
      <c r="J115" s="684"/>
      <c r="K115" s="684"/>
      <c r="L115" s="685"/>
      <c r="M115" s="289"/>
      <c r="N115" s="346"/>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row>
    <row r="116" spans="1:52" ht="16.149999999999999" thickBot="1" x14ac:dyDescent="0.55000000000000004">
      <c r="A116" s="289"/>
      <c r="B116" s="582" t="str">
        <f ca="1">IF(B117="","",
IF(
   OR(
      INDIRECT("'1a. Input organisatieniveau'!AC" &amp; (7 + INT((ROW()-4)/7)))="",
      INDIRECT("'1a. Input organisatieniveau'!AC" &amp; (7 + INT((ROW()-4)/7)))=0
   ),
   "",
   INDIRECT("'1a. Input organisatieniveau'!AC" &amp; (7 + INT((ROW()-4)/7)))
))</f>
        <v/>
      </c>
      <c r="C116" s="661" t="s">
        <v>779</v>
      </c>
      <c r="D116" s="428"/>
      <c r="E116" s="668"/>
      <c r="F116" s="662"/>
      <c r="G116" s="428"/>
      <c r="H116" s="671"/>
      <c r="I116" s="675"/>
      <c r="J116" s="680"/>
      <c r="K116" s="680"/>
      <c r="L116" s="681"/>
      <c r="M116" s="12"/>
      <c r="N116" s="346"/>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row>
    <row r="117" spans="1:52" ht="16.149999999999999" thickBot="1" x14ac:dyDescent="0.5">
      <c r="A117" s="289"/>
      <c r="B117" s="583" t="str">
        <f ca="1">IF(
   OR(
      INDIRECT("'1a. Input organisatieniveau'!AA" &amp; (7 + INT((ROW()-4)/7)))="",
      INDIRECT("'1a. Input organisatieniveau'!AA" &amp; (7 + INT((ROW()-4)/7)))=0
   ),
   "",
   INDIRECT("'1a. Input organisatieniveau'!AA" &amp; (7 + INT((ROW()-4)/7)))
)</f>
        <v/>
      </c>
      <c r="C117" s="663" t="s">
        <v>779</v>
      </c>
      <c r="D117" s="429" t="s">
        <v>72</v>
      </c>
      <c r="E117" s="599"/>
      <c r="F117" s="339" t="s">
        <v>767</v>
      </c>
      <c r="G117" s="429" t="s">
        <v>923</v>
      </c>
      <c r="H117" s="606"/>
      <c r="I117" s="339" t="s">
        <v>767</v>
      </c>
      <c r="J117" s="682"/>
      <c r="K117" s="682"/>
      <c r="L117" s="683"/>
      <c r="M117" s="289"/>
      <c r="N117" s="346"/>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row>
    <row r="118" spans="1:52" ht="15.5" customHeight="1" x14ac:dyDescent="0.45">
      <c r="A118" s="289"/>
      <c r="B118" s="343"/>
      <c r="C118" s="663" t="s">
        <v>779</v>
      </c>
      <c r="D118" s="666" t="s">
        <v>2238</v>
      </c>
      <c r="E118" s="605"/>
      <c r="F118" s="339" t="s">
        <v>767</v>
      </c>
      <c r="G118"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18" s="729"/>
      <c r="I118" s="339" t="s">
        <v>767</v>
      </c>
      <c r="J118" s="757" t="s">
        <v>2142</v>
      </c>
      <c r="K118" s="758"/>
      <c r="L118" s="683"/>
      <c r="M118" s="746" t="s">
        <v>780</v>
      </c>
      <c r="N118" s="770" t="s">
        <v>1079</v>
      </c>
      <c r="O118" s="584"/>
      <c r="P118" s="321"/>
      <c r="Q118" s="289"/>
      <c r="R118" s="289"/>
      <c r="S118" s="289"/>
      <c r="T118" s="289"/>
      <c r="U118" s="289"/>
      <c r="V118" s="289"/>
      <c r="W118" s="289"/>
      <c r="X118" s="289"/>
      <c r="Y118" s="289"/>
      <c r="Z118" s="289"/>
      <c r="AA118" s="289"/>
      <c r="AB118" s="289"/>
      <c r="AC118" s="289"/>
      <c r="AD118" s="289" t="b">
        <f ca="1">AND(
    NOT(
        AND(H119 = "", B117 &lt;&gt; "", OR(B116 = "Verblijf", B116 = "Daghulp"))
    ),
    NOT(
        AND(E121 = "", B117 &lt;&gt; "")
    ),
    NOT(
        AND(H121 = "", B117 &lt;&gt; "", OR(B116 = "Verblijf", B116 = "Daghulp"))
    ),
    NOT(
        AND(H120 = "", B117 &lt;&gt; "", OR(B116 = "Verblijf", B116 = "Daghulp"))
    ),
    NOT(
        AND(H117 = "", B117 &lt;&gt; "")
    ),
    NOT(
        AND(E120 = "", B117 &lt;&gt; "")
    ),
    NOT(
        AND(E119 = "", B117 &lt;&gt; "", Initialisatie!$C$6 &lt;&gt; "Ja")
    ),
    NOT(
        AND(E118 = "", B117 &lt;&gt; "", B116 = "Ambulant")
    ),
    NOT(
        AND(E117 = "", B117 &lt;&gt; "")
    ),
    NOT(
        AND(H118 = "", B117 &lt;&gt; "", OR(B116 = "Verblijf", B116 = "Daghulp"))
    )
)</f>
        <v>1</v>
      </c>
      <c r="AE118" s="289" t="b">
        <f ca="1">AND(
    NOT(
        AND(E121 = "", B117 &lt;&gt; "")
    ),
    NOT(
        AND(E120 = "", B117 &lt;&gt; "")
    ),
    NOT(
        AND(E119 = "", B117 &lt;&gt; "", Initialisatie!$C$6 &lt;&gt; "Ja")
    ),
    NOT(
        AND(E118 = "", B117 &lt;&gt; "", B116 = "Ambulant")
    ),
    NOT(
        AND(E117 = "", B117 &lt;&gt; "")
    )
)</f>
        <v>1</v>
      </c>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row>
    <row r="119" spans="1:52" ht="15.5" customHeight="1" thickBot="1" x14ac:dyDescent="0.5">
      <c r="A119" s="289"/>
      <c r="B119" s="343"/>
      <c r="C119" s="663" t="s">
        <v>779</v>
      </c>
      <c r="D119" s="666" t="s">
        <v>2239</v>
      </c>
      <c r="E119" s="605"/>
      <c r="F119" s="339" t="s">
        <v>767</v>
      </c>
      <c r="G119" s="666" t="s">
        <v>781</v>
      </c>
      <c r="H119" s="729"/>
      <c r="I119" s="339" t="s">
        <v>767</v>
      </c>
      <c r="J119" s="759"/>
      <c r="K119" s="760"/>
      <c r="L119" s="683"/>
      <c r="M119" s="746"/>
      <c r="N119" s="770"/>
      <c r="O119" s="584"/>
      <c r="P119" s="321"/>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row>
    <row r="120" spans="1:52" ht="15.5" customHeight="1" x14ac:dyDescent="0.45">
      <c r="A120" s="289"/>
      <c r="B120" s="343"/>
      <c r="C120" s="663" t="s">
        <v>779</v>
      </c>
      <c r="D120" s="666" t="s">
        <v>2240</v>
      </c>
      <c r="E120" s="605"/>
      <c r="F120" s="339" t="s">
        <v>767</v>
      </c>
      <c r="G120"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20" s="672"/>
      <c r="I120" s="339" t="s">
        <v>767</v>
      </c>
      <c r="J120" s="753" t="str" cm="1">
        <f t="array" aca="1" ref="J120" ca="1">IF(
    B117="",
    "",
    IF(
        AND(
            INDEX('2. Output kostprijs'!$77:$77, 1, 5 + (ROW()-5)/7*2)&lt;&gt;"",
            INDEX('2. Output kostprijs'!$78:$78, 1, 5 + (ROW()-5)/7*2)&lt;&gt;""
        ),
        ROUND(
            INDEX('2. Output kostprijs'!$77:$77, 1, 5 + (ROW()-5)/7*2),
            0
        )
        &amp; " uren" &amp; CHAR(10) &amp; "("
        &amp; ROUND( 100 *
            INDEX('2. Output kostprijs'!$78:$78, 1, 5 + (ROW()-5)/7*2),
            1
        )
        &amp; "%)",
        "-"
    )
)</f>
        <v/>
      </c>
      <c r="K120" s="754"/>
      <c r="L120" s="683"/>
      <c r="M120" s="746"/>
      <c r="N120" s="770"/>
      <c r="O120" s="584"/>
      <c r="P120" s="321"/>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row>
    <row r="121" spans="1:52" ht="16.149999999999999" thickBot="1" x14ac:dyDescent="0.5">
      <c r="A121" s="289"/>
      <c r="B121" s="343"/>
      <c r="C121" s="663" t="s">
        <v>779</v>
      </c>
      <c r="D121" s="667" t="str">
        <f ca="1">IF(B116="Verblijf", "Bezettingsgraad (%)", "No show (%)")</f>
        <v>No show (%)</v>
      </c>
      <c r="E121" s="669"/>
      <c r="F121" s="339" t="s">
        <v>767</v>
      </c>
      <c r="G121"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21" s="673"/>
      <c r="I121" s="339" t="s">
        <v>767</v>
      </c>
      <c r="J121" s="755"/>
      <c r="K121" s="756"/>
      <c r="L121" s="683"/>
      <c r="M121" s="289"/>
      <c r="N121" s="346"/>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row>
    <row r="122" spans="1:52" ht="16.149999999999999" thickBot="1" x14ac:dyDescent="0.5">
      <c r="A122" s="289"/>
      <c r="B122" s="421"/>
      <c r="C122" s="664" t="s">
        <v>779</v>
      </c>
      <c r="D122" s="660"/>
      <c r="E122" s="670"/>
      <c r="F122" s="665"/>
      <c r="G122" s="426"/>
      <c r="H122" s="674"/>
      <c r="I122" s="676"/>
      <c r="J122" s="684"/>
      <c r="K122" s="684"/>
      <c r="L122" s="685"/>
      <c r="M122" s="289"/>
      <c r="N122" s="346"/>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row>
    <row r="123" spans="1:52" ht="16.149999999999999" thickBot="1" x14ac:dyDescent="0.55000000000000004">
      <c r="A123" s="289"/>
      <c r="B123" s="582" t="str">
        <f ca="1">IF(B124="","",
IF(
   OR(
      INDIRECT("'1a. Input organisatieniveau'!AC" &amp; (7 + INT((ROW()-4)/7)))="",
      INDIRECT("'1a. Input organisatieniveau'!AC" &amp; (7 + INT((ROW()-4)/7)))=0
   ),
   "",
   INDIRECT("'1a. Input organisatieniveau'!AC" &amp; (7 + INT((ROW()-4)/7)))
))</f>
        <v/>
      </c>
      <c r="C123" s="661" t="s">
        <v>779</v>
      </c>
      <c r="D123" s="428"/>
      <c r="E123" s="668"/>
      <c r="F123" s="662"/>
      <c r="G123" s="428"/>
      <c r="H123" s="671"/>
      <c r="I123" s="675"/>
      <c r="J123" s="680"/>
      <c r="K123" s="680"/>
      <c r="L123" s="681"/>
      <c r="M123" s="12"/>
      <c r="N123" s="346"/>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row>
    <row r="124" spans="1:52" ht="16.149999999999999" thickBot="1" x14ac:dyDescent="0.5">
      <c r="A124" s="289"/>
      <c r="B124" s="583" t="str">
        <f ca="1">IF(
   OR(
      INDIRECT("'1a. Input organisatieniveau'!AA" &amp; (7 + INT((ROW()-4)/7)))="",
      INDIRECT("'1a. Input organisatieniveau'!AA" &amp; (7 + INT((ROW()-4)/7)))=0
   ),
   "",
   INDIRECT("'1a. Input organisatieniveau'!AA" &amp; (7 + INT((ROW()-4)/7)))
)</f>
        <v/>
      </c>
      <c r="C124" s="663" t="s">
        <v>779</v>
      </c>
      <c r="D124" s="429" t="s">
        <v>72</v>
      </c>
      <c r="E124" s="599"/>
      <c r="F124" s="339" t="s">
        <v>767</v>
      </c>
      <c r="G124" s="429" t="s">
        <v>923</v>
      </c>
      <c r="H124" s="606"/>
      <c r="I124" s="339" t="s">
        <v>767</v>
      </c>
      <c r="J124" s="682"/>
      <c r="K124" s="682"/>
      <c r="L124" s="683"/>
      <c r="M124" s="289"/>
      <c r="N124" s="346"/>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row>
    <row r="125" spans="1:52" ht="15.5" customHeight="1" x14ac:dyDescent="0.45">
      <c r="A125" s="289"/>
      <c r="B125" s="343"/>
      <c r="C125" s="663" t="s">
        <v>779</v>
      </c>
      <c r="D125" s="666" t="s">
        <v>2238</v>
      </c>
      <c r="E125" s="605"/>
      <c r="F125" s="339" t="s">
        <v>767</v>
      </c>
      <c r="G125"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25" s="729"/>
      <c r="I125" s="339" t="s">
        <v>767</v>
      </c>
      <c r="J125" s="757" t="s">
        <v>2142</v>
      </c>
      <c r="K125" s="758"/>
      <c r="L125" s="683"/>
      <c r="M125" s="746" t="s">
        <v>780</v>
      </c>
      <c r="N125" s="770" t="s">
        <v>1079</v>
      </c>
      <c r="O125" s="584"/>
      <c r="P125" s="321"/>
      <c r="Q125" s="289"/>
      <c r="R125" s="289"/>
      <c r="S125" s="289"/>
      <c r="T125" s="289"/>
      <c r="U125" s="289"/>
      <c r="V125" s="289"/>
      <c r="W125" s="289"/>
      <c r="X125" s="289"/>
      <c r="Y125" s="289"/>
      <c r="Z125" s="289"/>
      <c r="AA125" s="289"/>
      <c r="AB125" s="289"/>
      <c r="AC125" s="289"/>
      <c r="AD125" s="289" t="b">
        <f ca="1">AND(
    NOT(
        AND(H126 = "", B124 &lt;&gt; "", OR(B123 = "Verblijf", B123 = "Daghulp"))
    ),
    NOT(
        AND(E128 = "", B124 &lt;&gt; "")
    ),
    NOT(
        AND(H128 = "", B124 &lt;&gt; "", OR(B123 = "Verblijf", B123 = "Daghulp"))
    ),
    NOT(
        AND(H127 = "", B124 &lt;&gt; "", OR(B123 = "Verblijf", B123 = "Daghulp"))
    ),
    NOT(
        AND(H124 = "", B124 &lt;&gt; "")
    ),
    NOT(
        AND(E127 = "", B124 &lt;&gt; "")
    ),
    NOT(
        AND(E126 = "", B124 &lt;&gt; "", Initialisatie!$C$6 &lt;&gt; "Ja")
    ),
    NOT(
        AND(E125 = "", B124 &lt;&gt; "", B123 = "Ambulant")
    ),
    NOT(
        AND(E124 = "", B124 &lt;&gt; "")
    ),
    NOT(
        AND(H125 = "", B124 &lt;&gt; "", OR(B123 = "Verblijf", B123 = "Daghulp"))
    )
)</f>
        <v>1</v>
      </c>
      <c r="AE125" s="289" t="b">
        <f ca="1">AND(
    NOT(
        AND(E128 = "", B124 &lt;&gt; "")
    ),
    NOT(
        AND(E127 = "", B124 &lt;&gt; "")
    ),
    NOT(
        AND(E126 = "", B124 &lt;&gt; "", Initialisatie!$C$6 &lt;&gt; "Ja")
    ),
    NOT(
        AND(E125 = "", B124 &lt;&gt; "", B123 = "Ambulant")
    ),
    NOT(
        AND(E124 = "", B124 &lt;&gt; "")
    )
)</f>
        <v>1</v>
      </c>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row>
    <row r="126" spans="1:52" ht="15.5" customHeight="1" thickBot="1" x14ac:dyDescent="0.5">
      <c r="A126" s="289"/>
      <c r="B126" s="343"/>
      <c r="C126" s="663" t="s">
        <v>779</v>
      </c>
      <c r="D126" s="666" t="s">
        <v>2239</v>
      </c>
      <c r="E126" s="605"/>
      <c r="F126" s="339" t="s">
        <v>767</v>
      </c>
      <c r="G126" s="666" t="s">
        <v>781</v>
      </c>
      <c r="H126" s="729"/>
      <c r="I126" s="339" t="s">
        <v>767</v>
      </c>
      <c r="J126" s="759"/>
      <c r="K126" s="760"/>
      <c r="L126" s="683"/>
      <c r="M126" s="746"/>
      <c r="N126" s="770"/>
      <c r="O126" s="584"/>
      <c r="P126" s="321"/>
      <c r="Q126" s="289"/>
      <c r="R126" s="289"/>
      <c r="S126" s="289"/>
      <c r="T126" s="289"/>
      <c r="U126" s="289"/>
      <c r="V126" s="289"/>
      <c r="W126" s="289"/>
      <c r="X126" s="289"/>
      <c r="Y126" s="289"/>
      <c r="Z126" s="289"/>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row>
    <row r="127" spans="1:52" ht="15.5" customHeight="1" x14ac:dyDescent="0.45">
      <c r="A127" s="289"/>
      <c r="B127" s="343"/>
      <c r="C127" s="663" t="s">
        <v>779</v>
      </c>
      <c r="D127" s="666" t="s">
        <v>2240</v>
      </c>
      <c r="E127" s="605"/>
      <c r="F127" s="339" t="s">
        <v>767</v>
      </c>
      <c r="G127"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27" s="672"/>
      <c r="I127" s="339" t="s">
        <v>767</v>
      </c>
      <c r="J127" s="753" t="str" cm="1">
        <f t="array" aca="1" ref="J127" ca="1">IF(
    B124="",
    "",
    IF(
        AND(
            INDEX('2. Output kostprijs'!$77:$77, 1, 5 + (ROW()-5)/7*2)&lt;&gt;"",
            INDEX('2. Output kostprijs'!$78:$78, 1, 5 + (ROW()-5)/7*2)&lt;&gt;""
        ),
        ROUND(
            INDEX('2. Output kostprijs'!$77:$77, 1, 5 + (ROW()-5)/7*2),
            0
        )
        &amp; " uren" &amp; CHAR(10) &amp; "("
        &amp; ROUND( 100 *
            INDEX('2. Output kostprijs'!$78:$78, 1, 5 + (ROW()-5)/7*2),
            1
        )
        &amp; "%)",
        "-"
    )
)</f>
        <v/>
      </c>
      <c r="K127" s="754"/>
      <c r="L127" s="683"/>
      <c r="M127" s="746"/>
      <c r="N127" s="770"/>
      <c r="O127" s="584"/>
      <c r="P127" s="321"/>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row>
    <row r="128" spans="1:52" ht="16.149999999999999" thickBot="1" x14ac:dyDescent="0.5">
      <c r="A128" s="289"/>
      <c r="B128" s="343"/>
      <c r="C128" s="663" t="s">
        <v>779</v>
      </c>
      <c r="D128" s="667" t="str">
        <f ca="1">IF(B123="Verblijf", "Bezettingsgraad (%)", "No show (%)")</f>
        <v>No show (%)</v>
      </c>
      <c r="E128" s="669"/>
      <c r="F128" s="339" t="s">
        <v>767</v>
      </c>
      <c r="G128"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28" s="673"/>
      <c r="I128" s="339" t="s">
        <v>767</v>
      </c>
      <c r="J128" s="755"/>
      <c r="K128" s="756"/>
      <c r="L128" s="683"/>
      <c r="M128" s="289"/>
      <c r="N128" s="346"/>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row>
    <row r="129" spans="1:52" ht="16.149999999999999" thickBot="1" x14ac:dyDescent="0.5">
      <c r="A129" s="289"/>
      <c r="B129" s="421"/>
      <c r="C129" s="664" t="s">
        <v>779</v>
      </c>
      <c r="D129" s="660"/>
      <c r="E129" s="670"/>
      <c r="F129" s="665"/>
      <c r="G129" s="426"/>
      <c r="H129" s="674"/>
      <c r="I129" s="676"/>
      <c r="J129" s="684"/>
      <c r="K129" s="684"/>
      <c r="L129" s="685"/>
      <c r="M129" s="289"/>
      <c r="N129" s="346"/>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row>
    <row r="130" spans="1:52" ht="16.149999999999999" thickBot="1" x14ac:dyDescent="0.55000000000000004">
      <c r="A130" s="289"/>
      <c r="B130" s="582" t="str">
        <f ca="1">IF(B131="","",
IF(
   OR(
      INDIRECT("'1a. Input organisatieniveau'!AC" &amp; (7 + INT((ROW()-4)/7)))="",
      INDIRECT("'1a. Input organisatieniveau'!AC" &amp; (7 + INT((ROW()-4)/7)))=0
   ),
   "",
   INDIRECT("'1a. Input organisatieniveau'!AC" &amp; (7 + INT((ROW()-4)/7)))
))</f>
        <v/>
      </c>
      <c r="C130" s="661" t="s">
        <v>779</v>
      </c>
      <c r="D130" s="428"/>
      <c r="E130" s="668"/>
      <c r="F130" s="662"/>
      <c r="G130" s="428"/>
      <c r="H130" s="671"/>
      <c r="I130" s="675"/>
      <c r="J130" s="680"/>
      <c r="K130" s="680"/>
      <c r="L130" s="681"/>
      <c r="M130" s="12"/>
      <c r="N130" s="346"/>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row>
    <row r="131" spans="1:52" ht="16.149999999999999" thickBot="1" x14ac:dyDescent="0.5">
      <c r="A131" s="289"/>
      <c r="B131" s="583" t="str">
        <f ca="1">IF(
   OR(
      INDIRECT("'1a. Input organisatieniveau'!AA" &amp; (7 + INT((ROW()-4)/7)))="",
      INDIRECT("'1a. Input organisatieniveau'!AA" &amp; (7 + INT((ROW()-4)/7)))=0
   ),
   "",
   INDIRECT("'1a. Input organisatieniveau'!AA" &amp; (7 + INT((ROW()-4)/7)))
)</f>
        <v/>
      </c>
      <c r="C131" s="663" t="s">
        <v>779</v>
      </c>
      <c r="D131" s="429" t="s">
        <v>72</v>
      </c>
      <c r="E131" s="599"/>
      <c r="F131" s="339" t="s">
        <v>767</v>
      </c>
      <c r="G131" s="429" t="s">
        <v>923</v>
      </c>
      <c r="H131" s="606"/>
      <c r="I131" s="339" t="s">
        <v>767</v>
      </c>
      <c r="J131" s="682"/>
      <c r="K131" s="682"/>
      <c r="L131" s="683"/>
      <c r="M131" s="289"/>
      <c r="N131" s="346"/>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row>
    <row r="132" spans="1:52" ht="15.5" customHeight="1" x14ac:dyDescent="0.45">
      <c r="A132" s="289"/>
      <c r="B132" s="343"/>
      <c r="C132" s="663" t="s">
        <v>779</v>
      </c>
      <c r="D132" s="666" t="s">
        <v>2238</v>
      </c>
      <c r="E132" s="605"/>
      <c r="F132" s="339" t="s">
        <v>767</v>
      </c>
      <c r="G132"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32" s="729"/>
      <c r="I132" s="339" t="s">
        <v>767</v>
      </c>
      <c r="J132" s="757" t="s">
        <v>2142</v>
      </c>
      <c r="K132" s="758"/>
      <c r="L132" s="683"/>
      <c r="M132" s="746" t="s">
        <v>780</v>
      </c>
      <c r="N132" s="770" t="s">
        <v>1079</v>
      </c>
      <c r="O132" s="584"/>
      <c r="P132" s="321"/>
      <c r="Q132" s="289"/>
      <c r="R132" s="289"/>
      <c r="S132" s="289"/>
      <c r="T132" s="289"/>
      <c r="U132" s="289"/>
      <c r="V132" s="289"/>
      <c r="W132" s="289"/>
      <c r="X132" s="289"/>
      <c r="Y132" s="289"/>
      <c r="Z132" s="289"/>
      <c r="AA132" s="289"/>
      <c r="AB132" s="289"/>
      <c r="AC132" s="289"/>
      <c r="AD132" s="289" t="b">
        <f ca="1">AND(
    NOT(
        AND(H133 = "", B131 &lt;&gt; "", OR(B130 = "Verblijf", B130 = "Daghulp"))
    ),
    NOT(
        AND(E135 = "", B131 &lt;&gt; "")
    ),
    NOT(
        AND(H135 = "", B131 &lt;&gt; "", OR(B130 = "Verblijf", B130 = "Daghulp"))
    ),
    NOT(
        AND(H134 = "", B131 &lt;&gt; "", OR(B130 = "Verblijf", B130 = "Daghulp"))
    ),
    NOT(
        AND(H131 = "", B131 &lt;&gt; "")
    ),
    NOT(
        AND(E134 = "", B131 &lt;&gt; "")
    ),
    NOT(
        AND(E133 = "", B131 &lt;&gt; "", Initialisatie!$C$6 &lt;&gt; "Ja")
    ),
    NOT(
        AND(E132 = "", B131 &lt;&gt; "", B130 = "Ambulant")
    ),
    NOT(
        AND(E131 = "", B131 &lt;&gt; "")
    ),
    NOT(
        AND(H132 = "", B131 &lt;&gt; "", OR(B130 = "Verblijf", B130 = "Daghulp"))
    )
)</f>
        <v>1</v>
      </c>
      <c r="AE132" s="289" t="b">
        <f ca="1">AND(
    NOT(
        AND(E135 = "", B131 &lt;&gt; "")
    ),
    NOT(
        AND(E134 = "", B131 &lt;&gt; "")
    ),
    NOT(
        AND(E133 = "", B131 &lt;&gt; "", Initialisatie!$C$6 &lt;&gt; "Ja")
    ),
    NOT(
        AND(E132 = "", B131 &lt;&gt; "", B130 = "Ambulant")
    ),
    NOT(
        AND(E131 = "", B131 &lt;&gt; "")
    )
)</f>
        <v>1</v>
      </c>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row>
    <row r="133" spans="1:52" ht="15.5" customHeight="1" thickBot="1" x14ac:dyDescent="0.5">
      <c r="A133" s="289"/>
      <c r="B133" s="343"/>
      <c r="C133" s="663" t="s">
        <v>779</v>
      </c>
      <c r="D133" s="666" t="s">
        <v>2239</v>
      </c>
      <c r="E133" s="605"/>
      <c r="F133" s="339" t="s">
        <v>767</v>
      </c>
      <c r="G133" s="666" t="s">
        <v>781</v>
      </c>
      <c r="H133" s="729"/>
      <c r="I133" s="339" t="s">
        <v>767</v>
      </c>
      <c r="J133" s="759"/>
      <c r="K133" s="760"/>
      <c r="L133" s="683"/>
      <c r="M133" s="746"/>
      <c r="N133" s="770"/>
      <c r="O133" s="584"/>
      <c r="P133" s="321"/>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row>
    <row r="134" spans="1:52" ht="15.5" customHeight="1" x14ac:dyDescent="0.45">
      <c r="A134" s="289"/>
      <c r="B134" s="343"/>
      <c r="C134" s="663" t="s">
        <v>779</v>
      </c>
      <c r="D134" s="666" t="s">
        <v>2240</v>
      </c>
      <c r="E134" s="605"/>
      <c r="F134" s="339" t="s">
        <v>767</v>
      </c>
      <c r="G134"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34" s="672"/>
      <c r="I134" s="339" t="s">
        <v>767</v>
      </c>
      <c r="J134" s="753" t="str" cm="1">
        <f t="array" aca="1" ref="J134" ca="1">IF(
    B131="",
    "",
    IF(
        AND(
            INDEX('2. Output kostprijs'!$77:$77, 1, 5 + (ROW()-5)/7*2)&lt;&gt;"",
            INDEX('2. Output kostprijs'!$78:$78, 1, 5 + (ROW()-5)/7*2)&lt;&gt;""
        ),
        ROUND(
            INDEX('2. Output kostprijs'!$77:$77, 1, 5 + (ROW()-5)/7*2),
            0
        )
        &amp; " uren" &amp; CHAR(10) &amp; "("
        &amp; ROUND( 100 *
            INDEX('2. Output kostprijs'!$78:$78, 1, 5 + (ROW()-5)/7*2),
            1
        )
        &amp; "%)",
        "-"
    )
)</f>
        <v/>
      </c>
      <c r="K134" s="754"/>
      <c r="L134" s="683"/>
      <c r="M134" s="746"/>
      <c r="N134" s="770"/>
      <c r="O134" s="584"/>
      <c r="P134" s="321"/>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row>
    <row r="135" spans="1:52" ht="16.149999999999999" thickBot="1" x14ac:dyDescent="0.5">
      <c r="A135" s="289"/>
      <c r="B135" s="343"/>
      <c r="C135" s="663" t="s">
        <v>779</v>
      </c>
      <c r="D135" s="667" t="str">
        <f ca="1">IF(B130="Verblijf", "Bezettingsgraad (%)", "No show (%)")</f>
        <v>No show (%)</v>
      </c>
      <c r="E135" s="669"/>
      <c r="F135" s="339" t="s">
        <v>767</v>
      </c>
      <c r="G135"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35" s="673"/>
      <c r="I135" s="339" t="s">
        <v>767</v>
      </c>
      <c r="J135" s="755"/>
      <c r="K135" s="756"/>
      <c r="L135" s="683"/>
      <c r="M135" s="289"/>
      <c r="N135" s="346"/>
      <c r="O135" s="289"/>
      <c r="P135" s="289"/>
      <c r="Q135" s="289"/>
      <c r="R135" s="289"/>
      <c r="S135" s="289"/>
      <c r="T135" s="289"/>
      <c r="U135" s="289"/>
      <c r="V135" s="289"/>
      <c r="W135" s="289"/>
      <c r="X135" s="289"/>
      <c r="Y135" s="289"/>
      <c r="Z135" s="28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row>
    <row r="136" spans="1:52" ht="16.149999999999999" thickBot="1" x14ac:dyDescent="0.5">
      <c r="A136" s="289"/>
      <c r="B136" s="421"/>
      <c r="C136" s="664" t="s">
        <v>779</v>
      </c>
      <c r="D136" s="660"/>
      <c r="E136" s="670"/>
      <c r="F136" s="665"/>
      <c r="G136" s="426"/>
      <c r="H136" s="674"/>
      <c r="I136" s="676"/>
      <c r="J136" s="684"/>
      <c r="K136" s="684"/>
      <c r="L136" s="685"/>
      <c r="M136" s="289"/>
      <c r="N136" s="346"/>
      <c r="O136" s="289"/>
      <c r="P136" s="289"/>
      <c r="Q136" s="289"/>
      <c r="R136" s="289"/>
      <c r="S136" s="289"/>
      <c r="T136" s="289"/>
      <c r="U136" s="289"/>
      <c r="V136" s="289"/>
      <c r="W136" s="289"/>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row>
    <row r="137" spans="1:52" ht="16.149999999999999" thickBot="1" x14ac:dyDescent="0.55000000000000004">
      <c r="A137" s="289"/>
      <c r="B137" s="582" t="str">
        <f ca="1">IF(B138="","",
IF(
   OR(
      INDIRECT("'1a. Input organisatieniveau'!AC" &amp; (7 + INT((ROW()-4)/7)))="",
      INDIRECT("'1a. Input organisatieniveau'!AC" &amp; (7 + INT((ROW()-4)/7)))=0
   ),
   "",
   INDIRECT("'1a. Input organisatieniveau'!AC" &amp; (7 + INT((ROW()-4)/7)))
))</f>
        <v/>
      </c>
      <c r="C137" s="661" t="s">
        <v>779</v>
      </c>
      <c r="D137" s="428"/>
      <c r="E137" s="668"/>
      <c r="F137" s="662"/>
      <c r="G137" s="428"/>
      <c r="H137" s="671"/>
      <c r="I137" s="675"/>
      <c r="J137" s="680"/>
      <c r="K137" s="680"/>
      <c r="L137" s="681"/>
      <c r="M137" s="12"/>
      <c r="N137" s="346"/>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row>
    <row r="138" spans="1:52" ht="16.149999999999999" thickBot="1" x14ac:dyDescent="0.5">
      <c r="A138" s="289"/>
      <c r="B138" s="583" t="str">
        <f ca="1">IF(
   OR(
      INDIRECT("'1a. Input organisatieniveau'!AA" &amp; (7 + INT((ROW()-4)/7)))="",
      INDIRECT("'1a. Input organisatieniveau'!AA" &amp; (7 + INT((ROW()-4)/7)))=0
   ),
   "",
   INDIRECT("'1a. Input organisatieniveau'!AA" &amp; (7 + INT((ROW()-4)/7)))
)</f>
        <v/>
      </c>
      <c r="C138" s="663" t="s">
        <v>779</v>
      </c>
      <c r="D138" s="429" t="s">
        <v>72</v>
      </c>
      <c r="E138" s="599"/>
      <c r="F138" s="339" t="s">
        <v>767</v>
      </c>
      <c r="G138" s="429" t="s">
        <v>923</v>
      </c>
      <c r="H138" s="606"/>
      <c r="I138" s="339" t="s">
        <v>767</v>
      </c>
      <c r="J138" s="682"/>
      <c r="K138" s="682"/>
      <c r="L138" s="683"/>
      <c r="M138" s="289"/>
      <c r="N138" s="346"/>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row>
    <row r="139" spans="1:52" ht="15.5" customHeight="1" x14ac:dyDescent="0.45">
      <c r="A139" s="289"/>
      <c r="B139" s="343"/>
      <c r="C139" s="663" t="s">
        <v>779</v>
      </c>
      <c r="D139" s="666" t="s">
        <v>2238</v>
      </c>
      <c r="E139" s="605"/>
      <c r="F139" s="339" t="s">
        <v>767</v>
      </c>
      <c r="G139"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39" s="729"/>
      <c r="I139" s="339" t="s">
        <v>767</v>
      </c>
      <c r="J139" s="757" t="s">
        <v>2142</v>
      </c>
      <c r="K139" s="758"/>
      <c r="L139" s="683"/>
      <c r="M139" s="746" t="s">
        <v>780</v>
      </c>
      <c r="N139" s="770" t="s">
        <v>1079</v>
      </c>
      <c r="O139" s="584"/>
      <c r="P139" s="321"/>
      <c r="Q139" s="289"/>
      <c r="R139" s="289"/>
      <c r="S139" s="289"/>
      <c r="T139" s="289"/>
      <c r="U139" s="289"/>
      <c r="V139" s="289"/>
      <c r="W139" s="289"/>
      <c r="X139" s="289"/>
      <c r="Y139" s="289"/>
      <c r="Z139" s="289"/>
      <c r="AA139" s="289"/>
      <c r="AB139" s="289"/>
      <c r="AC139" s="289"/>
      <c r="AD139" s="289" t="b">
        <f ca="1">AND(
    NOT(
        AND(H140 = "", B138 &lt;&gt; "", OR(B137 = "Verblijf", B137 = "Daghulp"))
    ),
    NOT(
        AND(E142 = "", B138 &lt;&gt; "")
    ),
    NOT(
        AND(H142 = "", B138 &lt;&gt; "", OR(B137 = "Verblijf", B137 = "Daghulp"))
    ),
    NOT(
        AND(H141 = "", B138 &lt;&gt; "", OR(B137 = "Verblijf", B137 = "Daghulp"))
    ),
    NOT(
        AND(H138 = "", B138 &lt;&gt; "")
    ),
    NOT(
        AND(E141 = "", B138 &lt;&gt; "")
    ),
    NOT(
        AND(E140 = "", B138 &lt;&gt; "", Initialisatie!$C$6 &lt;&gt; "Ja")
    ),
    NOT(
        AND(E139 = "", B138 &lt;&gt; "", B137 = "Ambulant")
    ),
    NOT(
        AND(E138 = "", B138 &lt;&gt; "")
    ),
    NOT(
        AND(H139 = "", B138 &lt;&gt; "", OR(B137 = "Verblijf", B137 = "Daghulp"))
    )
)</f>
        <v>1</v>
      </c>
      <c r="AE139" s="289" t="b">
        <f ca="1">AND(
    NOT(
        AND(E142 = "", B138 &lt;&gt; "")
    ),
    NOT(
        AND(E141 = "", B138 &lt;&gt; "")
    ),
    NOT(
        AND(E140 = "", B138 &lt;&gt; "", Initialisatie!$C$6 &lt;&gt; "Ja")
    ),
    NOT(
        AND(E139 = "", B138 &lt;&gt; "", B137 = "Ambulant")
    ),
    NOT(
        AND(E138 = "", B138 &lt;&gt; "")
    )
)</f>
        <v>1</v>
      </c>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row>
    <row r="140" spans="1:52" ht="15.5" customHeight="1" thickBot="1" x14ac:dyDescent="0.5">
      <c r="A140" s="289"/>
      <c r="B140" s="343"/>
      <c r="C140" s="663" t="s">
        <v>779</v>
      </c>
      <c r="D140" s="666" t="s">
        <v>2239</v>
      </c>
      <c r="E140" s="605"/>
      <c r="F140" s="339" t="s">
        <v>767</v>
      </c>
      <c r="G140" s="666" t="s">
        <v>781</v>
      </c>
      <c r="H140" s="729"/>
      <c r="I140" s="339" t="s">
        <v>767</v>
      </c>
      <c r="J140" s="759"/>
      <c r="K140" s="760"/>
      <c r="L140" s="683"/>
      <c r="M140" s="746"/>
      <c r="N140" s="770"/>
      <c r="O140" s="584"/>
      <c r="P140" s="321"/>
      <c r="Q140" s="289"/>
      <c r="R140" s="289"/>
      <c r="S140" s="289"/>
      <c r="T140" s="289"/>
      <c r="U140" s="289"/>
      <c r="V140" s="289"/>
      <c r="W140" s="289"/>
      <c r="X140" s="289"/>
      <c r="Y140" s="289"/>
      <c r="Z140" s="289"/>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row>
    <row r="141" spans="1:52" ht="15.5" customHeight="1" x14ac:dyDescent="0.45">
      <c r="A141" s="289"/>
      <c r="B141" s="343"/>
      <c r="C141" s="663" t="s">
        <v>779</v>
      </c>
      <c r="D141" s="666" t="s">
        <v>2240</v>
      </c>
      <c r="E141" s="605"/>
      <c r="F141" s="339" t="s">
        <v>767</v>
      </c>
      <c r="G141"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41" s="672"/>
      <c r="I141" s="339" t="s">
        <v>767</v>
      </c>
      <c r="J141" s="753" t="str" cm="1">
        <f t="array" aca="1" ref="J141" ca="1">IF(
    B138="",
    "",
    IF(
        AND(
            INDEX('2. Output kostprijs'!$77:$77, 1, 5 + (ROW()-5)/7*2)&lt;&gt;"",
            INDEX('2. Output kostprijs'!$78:$78, 1, 5 + (ROW()-5)/7*2)&lt;&gt;""
        ),
        ROUND(
            INDEX('2. Output kostprijs'!$77:$77, 1, 5 + (ROW()-5)/7*2),
            0
        )
        &amp; " uren" &amp; CHAR(10) &amp; "("
        &amp; ROUND( 100 *
            INDEX('2. Output kostprijs'!$78:$78, 1, 5 + (ROW()-5)/7*2),
            1
        )
        &amp; "%)",
        "-"
    )
)</f>
        <v/>
      </c>
      <c r="K141" s="754"/>
      <c r="L141" s="683"/>
      <c r="M141" s="746"/>
      <c r="N141" s="770"/>
      <c r="O141" s="584"/>
      <c r="P141" s="321"/>
      <c r="Q141" s="289"/>
      <c r="R141" s="289"/>
      <c r="S141" s="289"/>
      <c r="T141" s="289"/>
      <c r="U141" s="289"/>
      <c r="V141" s="289"/>
      <c r="W141" s="289"/>
      <c r="X141" s="289"/>
      <c r="Y141" s="289"/>
      <c r="Z141" s="289"/>
      <c r="AA141" s="289"/>
      <c r="AB141" s="289"/>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row>
    <row r="142" spans="1:52" ht="16.149999999999999" thickBot="1" x14ac:dyDescent="0.5">
      <c r="A142" s="289"/>
      <c r="B142" s="343"/>
      <c r="C142" s="663" t="s">
        <v>779</v>
      </c>
      <c r="D142" s="667" t="str">
        <f ca="1">IF(B137="Verblijf", "Bezettingsgraad (%)", "No show (%)")</f>
        <v>No show (%)</v>
      </c>
      <c r="E142" s="669"/>
      <c r="F142" s="339" t="s">
        <v>767</v>
      </c>
      <c r="G142"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42" s="673"/>
      <c r="I142" s="339" t="s">
        <v>767</v>
      </c>
      <c r="J142" s="755"/>
      <c r="K142" s="756"/>
      <c r="L142" s="683"/>
      <c r="M142" s="289"/>
      <c r="N142" s="346"/>
      <c r="O142" s="289"/>
      <c r="P142" s="289"/>
      <c r="Q142" s="289"/>
      <c r="R142" s="289"/>
      <c r="S142" s="289"/>
      <c r="T142" s="289"/>
      <c r="U142" s="289"/>
      <c r="V142" s="289"/>
      <c r="W142" s="289"/>
      <c r="X142" s="289"/>
      <c r="Y142" s="289"/>
      <c r="Z142" s="289"/>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row>
    <row r="143" spans="1:52" ht="16.149999999999999" thickBot="1" x14ac:dyDescent="0.5">
      <c r="A143" s="289"/>
      <c r="B143" s="421"/>
      <c r="C143" s="664" t="s">
        <v>779</v>
      </c>
      <c r="D143" s="660"/>
      <c r="E143" s="670"/>
      <c r="F143" s="665"/>
      <c r="G143" s="426"/>
      <c r="H143" s="674"/>
      <c r="I143" s="676"/>
      <c r="J143" s="684"/>
      <c r="K143" s="684"/>
      <c r="L143" s="685"/>
      <c r="M143" s="289"/>
      <c r="N143" s="346"/>
      <c r="O143" s="289"/>
      <c r="P143" s="289"/>
      <c r="Q143" s="289"/>
      <c r="R143" s="289"/>
      <c r="S143" s="289"/>
      <c r="T143" s="289"/>
      <c r="U143" s="289"/>
      <c r="V143" s="289"/>
      <c r="W143" s="289"/>
      <c r="X143" s="289"/>
      <c r="Y143" s="289"/>
      <c r="Z143" s="289"/>
      <c r="AA143" s="289"/>
      <c r="AB143" s="289"/>
      <c r="AC143" s="289"/>
      <c r="AD143" s="289"/>
      <c r="AE143" s="289"/>
      <c r="AF143" s="289"/>
      <c r="AG143" s="289"/>
      <c r="AH143" s="289"/>
      <c r="AI143" s="289"/>
      <c r="AJ143" s="289"/>
      <c r="AK143" s="289"/>
      <c r="AL143" s="289"/>
      <c r="AM143" s="289"/>
      <c r="AN143" s="289"/>
      <c r="AO143" s="289"/>
      <c r="AP143" s="289"/>
      <c r="AQ143" s="289"/>
      <c r="AR143" s="289"/>
      <c r="AS143" s="289"/>
      <c r="AT143" s="289"/>
      <c r="AU143" s="289"/>
      <c r="AV143" s="289"/>
      <c r="AW143" s="289"/>
      <c r="AX143" s="289"/>
      <c r="AY143" s="289"/>
      <c r="AZ143" s="289"/>
    </row>
    <row r="144" spans="1:52" ht="16.149999999999999" thickBot="1" x14ac:dyDescent="0.55000000000000004">
      <c r="A144" s="289"/>
      <c r="B144" s="582" t="str">
        <f ca="1">IF(B145="","",
IF(
   OR(
      INDIRECT("'1a. Input organisatieniveau'!AC" &amp; (7 + INT((ROW()-4)/7)))="",
      INDIRECT("'1a. Input organisatieniveau'!AC" &amp; (7 + INT((ROW()-4)/7)))=0
   ),
   "",
   INDIRECT("'1a. Input organisatieniveau'!AC" &amp; (7 + INT((ROW()-4)/7)))
))</f>
        <v/>
      </c>
      <c r="C144" s="661" t="s">
        <v>779</v>
      </c>
      <c r="D144" s="428"/>
      <c r="E144" s="668"/>
      <c r="F144" s="662"/>
      <c r="G144" s="428"/>
      <c r="H144" s="671"/>
      <c r="I144" s="675"/>
      <c r="J144" s="680"/>
      <c r="K144" s="680"/>
      <c r="L144" s="681"/>
      <c r="M144" s="12"/>
      <c r="N144" s="346"/>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row>
    <row r="145" spans="1:52" ht="16.149999999999999" thickBot="1" x14ac:dyDescent="0.5">
      <c r="A145" s="289"/>
      <c r="B145" s="583" t="str">
        <f ca="1">IF(
   OR(
      INDIRECT("'1a. Input organisatieniveau'!AA" &amp; (7 + INT((ROW()-4)/7)))="",
      INDIRECT("'1a. Input organisatieniveau'!AA" &amp; (7 + INT((ROW()-4)/7)))=0
   ),
   "",
   INDIRECT("'1a. Input organisatieniveau'!AA" &amp; (7 + INT((ROW()-4)/7)))
)</f>
        <v/>
      </c>
      <c r="C145" s="663" t="s">
        <v>779</v>
      </c>
      <c r="D145" s="429" t="s">
        <v>72</v>
      </c>
      <c r="E145" s="599"/>
      <c r="F145" s="339" t="s">
        <v>767</v>
      </c>
      <c r="G145" s="429" t="s">
        <v>923</v>
      </c>
      <c r="H145" s="606"/>
      <c r="I145" s="339" t="s">
        <v>767</v>
      </c>
      <c r="J145" s="682"/>
      <c r="K145" s="682"/>
      <c r="L145" s="683"/>
      <c r="M145" s="289"/>
      <c r="N145" s="346"/>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row>
    <row r="146" spans="1:52" ht="15.5" customHeight="1" x14ac:dyDescent="0.45">
      <c r="A146" s="289"/>
      <c r="B146" s="343"/>
      <c r="C146" s="663" t="s">
        <v>779</v>
      </c>
      <c r="D146" s="666" t="s">
        <v>2238</v>
      </c>
      <c r="E146" s="605"/>
      <c r="F146" s="339" t="s">
        <v>767</v>
      </c>
      <c r="G146"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46" s="729"/>
      <c r="I146" s="339" t="s">
        <v>767</v>
      </c>
      <c r="J146" s="757" t="s">
        <v>2142</v>
      </c>
      <c r="K146" s="758"/>
      <c r="L146" s="683"/>
      <c r="M146" s="746" t="s">
        <v>780</v>
      </c>
      <c r="N146" s="770" t="s">
        <v>1079</v>
      </c>
      <c r="O146" s="584"/>
      <c r="P146" s="321"/>
      <c r="Q146" s="289"/>
      <c r="R146" s="289"/>
      <c r="S146" s="289"/>
      <c r="T146" s="289"/>
      <c r="U146" s="289"/>
      <c r="V146" s="289"/>
      <c r="W146" s="289"/>
      <c r="X146" s="289"/>
      <c r="Y146" s="289"/>
      <c r="Z146" s="289"/>
      <c r="AA146" s="289"/>
      <c r="AB146" s="289"/>
      <c r="AC146" s="289"/>
      <c r="AD146" s="289" t="b">
        <f ca="1">AND(
    NOT(
        AND(H147 = "", B145 &lt;&gt; "", OR(B144 = "Verblijf", B144 = "Daghulp"))
    ),
    NOT(
        AND(E149 = "", B145 &lt;&gt; "")
    ),
    NOT(
        AND(H149 = "", B145 &lt;&gt; "", OR(B144 = "Verblijf", B144 = "Daghulp"))
    ),
    NOT(
        AND(H148 = "", B145 &lt;&gt; "", OR(B144 = "Verblijf", B144 = "Daghulp"))
    ),
    NOT(
        AND(H145 = "", B145 &lt;&gt; "")
    ),
    NOT(
        AND(E148 = "", B145 &lt;&gt; "")
    ),
    NOT(
        AND(E147 = "", B145 &lt;&gt; "", Initialisatie!$C$6 &lt;&gt; "Ja")
    ),
    NOT(
        AND(E146 = "", B145 &lt;&gt; "", B144 = "Ambulant")
    ),
    NOT(
        AND(E145 = "", B145 &lt;&gt; "")
    ),
    NOT(
        AND(H146 = "", B145 &lt;&gt; "", OR(B144 = "Verblijf", B144 = "Daghulp"))
    )
)</f>
        <v>1</v>
      </c>
      <c r="AE146" s="289" t="b">
        <f ca="1">AND(
    NOT(
        AND(E149 = "", B145 &lt;&gt; "")
    ),
    NOT(
        AND(E148 = "", B145 &lt;&gt; "")
    ),
    NOT(
        AND(E147 = "", B145 &lt;&gt; "", Initialisatie!$C$6 &lt;&gt; "Ja")
    ),
    NOT(
        AND(E146 = "", B145 &lt;&gt; "", B144 = "Ambulant")
    ),
    NOT(
        AND(E145 = "", B145 &lt;&gt; "")
    )
)</f>
        <v>1</v>
      </c>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row>
    <row r="147" spans="1:52" ht="15.5" customHeight="1" thickBot="1" x14ac:dyDescent="0.5">
      <c r="A147" s="289"/>
      <c r="B147" s="343"/>
      <c r="C147" s="663" t="s">
        <v>779</v>
      </c>
      <c r="D147" s="666" t="s">
        <v>2239</v>
      </c>
      <c r="E147" s="605"/>
      <c r="F147" s="339" t="s">
        <v>767</v>
      </c>
      <c r="G147" s="666" t="s">
        <v>781</v>
      </c>
      <c r="H147" s="729"/>
      <c r="I147" s="339" t="s">
        <v>767</v>
      </c>
      <c r="J147" s="759"/>
      <c r="K147" s="760"/>
      <c r="L147" s="683"/>
      <c r="M147" s="746"/>
      <c r="N147" s="770"/>
      <c r="O147" s="584"/>
      <c r="P147" s="321"/>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row>
    <row r="148" spans="1:52" ht="15.5" customHeight="1" x14ac:dyDescent="0.45">
      <c r="A148" s="289"/>
      <c r="B148" s="343"/>
      <c r="C148" s="663" t="s">
        <v>779</v>
      </c>
      <c r="D148" s="666" t="s">
        <v>2240</v>
      </c>
      <c r="E148" s="605"/>
      <c r="F148" s="339" t="s">
        <v>767</v>
      </c>
      <c r="G148"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48" s="672"/>
      <c r="I148" s="339" t="s">
        <v>767</v>
      </c>
      <c r="J148" s="753" t="str" cm="1">
        <f t="array" aca="1" ref="J148" ca="1">IF(
    B145="",
    "",
    IF(
        AND(
            INDEX('2. Output kostprijs'!$77:$77, 1, 5 + (ROW()-5)/7*2)&lt;&gt;"",
            INDEX('2. Output kostprijs'!$78:$78, 1, 5 + (ROW()-5)/7*2)&lt;&gt;""
        ),
        ROUND(
            INDEX('2. Output kostprijs'!$77:$77, 1, 5 + (ROW()-5)/7*2),
            0
        )
        &amp; " uren" &amp; CHAR(10) &amp; "("
        &amp; ROUND( 100 *
            INDEX('2. Output kostprijs'!$78:$78, 1, 5 + (ROW()-5)/7*2),
            1
        )
        &amp; "%)",
        "-"
    )
)</f>
        <v/>
      </c>
      <c r="K148" s="754"/>
      <c r="L148" s="683"/>
      <c r="M148" s="746"/>
      <c r="N148" s="770"/>
      <c r="O148" s="584"/>
      <c r="P148" s="321"/>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row>
    <row r="149" spans="1:52" ht="16.149999999999999" thickBot="1" x14ac:dyDescent="0.5">
      <c r="A149" s="289"/>
      <c r="B149" s="343"/>
      <c r="C149" s="663" t="s">
        <v>779</v>
      </c>
      <c r="D149" s="667" t="str">
        <f ca="1">IF(B144="Verblijf", "Bezettingsgraad (%)", "No show (%)")</f>
        <v>No show (%)</v>
      </c>
      <c r="E149" s="669"/>
      <c r="F149" s="339" t="s">
        <v>767</v>
      </c>
      <c r="G149"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49" s="673"/>
      <c r="I149" s="339" t="s">
        <v>767</v>
      </c>
      <c r="J149" s="755"/>
      <c r="K149" s="756"/>
      <c r="L149" s="683"/>
      <c r="M149" s="289"/>
      <c r="N149" s="346"/>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row>
    <row r="150" spans="1:52" ht="16.149999999999999" thickBot="1" x14ac:dyDescent="0.5">
      <c r="A150" s="289"/>
      <c r="B150" s="421"/>
      <c r="C150" s="664" t="s">
        <v>779</v>
      </c>
      <c r="D150" s="660"/>
      <c r="E150" s="670"/>
      <c r="F150" s="665"/>
      <c r="G150" s="426"/>
      <c r="H150" s="674"/>
      <c r="I150" s="676"/>
      <c r="J150" s="684"/>
      <c r="K150" s="684"/>
      <c r="L150" s="685"/>
      <c r="M150" s="289"/>
      <c r="N150" s="346"/>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row>
    <row r="151" spans="1:52" ht="16.149999999999999" thickBot="1" x14ac:dyDescent="0.55000000000000004">
      <c r="A151" s="289"/>
      <c r="B151" s="582" t="str">
        <f ca="1">IF(B152="","",
IF(
   OR(
      INDIRECT("'1a. Input organisatieniveau'!AC" &amp; (7 + INT((ROW()-4)/7)))="",
      INDIRECT("'1a. Input organisatieniveau'!AC" &amp; (7 + INT((ROW()-4)/7)))=0
   ),
   "",
   INDIRECT("'1a. Input organisatieniveau'!AC" &amp; (7 + INT((ROW()-4)/7)))
))</f>
        <v/>
      </c>
      <c r="C151" s="661" t="s">
        <v>779</v>
      </c>
      <c r="D151" s="428"/>
      <c r="E151" s="668"/>
      <c r="F151" s="662"/>
      <c r="G151" s="428"/>
      <c r="H151" s="671"/>
      <c r="I151" s="675"/>
      <c r="J151" s="680"/>
      <c r="K151" s="680"/>
      <c r="L151" s="681"/>
      <c r="M151" s="12"/>
      <c r="N151" s="346"/>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row>
    <row r="152" spans="1:52" ht="16.149999999999999" thickBot="1" x14ac:dyDescent="0.5">
      <c r="A152" s="289"/>
      <c r="B152" s="583" t="str">
        <f ca="1">IF(
   OR(
      INDIRECT("'1a. Input organisatieniveau'!AA" &amp; (7 + INT((ROW()-4)/7)))="",
      INDIRECT("'1a. Input organisatieniveau'!AA" &amp; (7 + INT((ROW()-4)/7)))=0
   ),
   "",
   INDIRECT("'1a. Input organisatieniveau'!AA" &amp; (7 + INT((ROW()-4)/7)))
)</f>
        <v/>
      </c>
      <c r="C152" s="663" t="s">
        <v>779</v>
      </c>
      <c r="D152" s="429" t="s">
        <v>72</v>
      </c>
      <c r="E152" s="599"/>
      <c r="F152" s="339" t="s">
        <v>767</v>
      </c>
      <c r="G152" s="429" t="s">
        <v>923</v>
      </c>
      <c r="H152" s="606"/>
      <c r="I152" s="339" t="s">
        <v>767</v>
      </c>
      <c r="J152" s="682"/>
      <c r="K152" s="682"/>
      <c r="L152" s="683"/>
      <c r="M152" s="289"/>
      <c r="N152" s="346"/>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row>
    <row r="153" spans="1:52" ht="15.5" customHeight="1" x14ac:dyDescent="0.45">
      <c r="A153" s="289"/>
      <c r="B153" s="343"/>
      <c r="C153" s="663" t="s">
        <v>779</v>
      </c>
      <c r="D153" s="666" t="s">
        <v>2238</v>
      </c>
      <c r="E153" s="605"/>
      <c r="F153" s="339" t="s">
        <v>767</v>
      </c>
      <c r="G153"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53" s="729"/>
      <c r="I153" s="339" t="s">
        <v>767</v>
      </c>
      <c r="J153" s="757" t="s">
        <v>2142</v>
      </c>
      <c r="K153" s="758"/>
      <c r="L153" s="683"/>
      <c r="M153" s="746" t="s">
        <v>780</v>
      </c>
      <c r="N153" s="770" t="s">
        <v>1079</v>
      </c>
      <c r="O153" s="584"/>
      <c r="P153" s="321"/>
      <c r="Q153" s="289"/>
      <c r="R153" s="289"/>
      <c r="S153" s="289"/>
      <c r="T153" s="289"/>
      <c r="U153" s="289"/>
      <c r="V153" s="289"/>
      <c r="W153" s="289"/>
      <c r="X153" s="289"/>
      <c r="Y153" s="289"/>
      <c r="Z153" s="289"/>
      <c r="AA153" s="289"/>
      <c r="AB153" s="289"/>
      <c r="AC153" s="289"/>
      <c r="AD153" s="289" t="b">
        <f ca="1">AND(
    NOT(
        AND(H154 = "", B152 &lt;&gt; "", OR(B151 = "Verblijf", B151 = "Daghulp"))
    ),
    NOT(
        AND(E156 = "", B152 &lt;&gt; "")
    ),
    NOT(
        AND(H156 = "", B152 &lt;&gt; "", OR(B151 = "Verblijf", B151 = "Daghulp"))
    ),
    NOT(
        AND(H155 = "", B152 &lt;&gt; "", OR(B151 = "Verblijf", B151 = "Daghulp"))
    ),
    NOT(
        AND(H152 = "", B152 &lt;&gt; "")
    ),
    NOT(
        AND(E155 = "", B152 &lt;&gt; "")
    ),
    NOT(
        AND(E154 = "", B152 &lt;&gt; "", Initialisatie!$C$6 &lt;&gt; "Ja")
    ),
    NOT(
        AND(E153 = "", B152 &lt;&gt; "", B151 = "Ambulant")
    ),
    NOT(
        AND(E152 = "", B152 &lt;&gt; "")
    ),
    NOT(
        AND(H153 = "", B152 &lt;&gt; "", OR(B151 = "Verblijf", B151 = "Daghulp"))
    )
)</f>
        <v>1</v>
      </c>
      <c r="AE153" s="289" t="b">
        <f ca="1">AND(
    NOT(
        AND(E156 = "", B152 &lt;&gt; "")
    ),
    NOT(
        AND(E155 = "", B152 &lt;&gt; "")
    ),
    NOT(
        AND(E154 = "", B152 &lt;&gt; "", Initialisatie!$C$6 &lt;&gt; "Ja")
    ),
    NOT(
        AND(E153 = "", B152 &lt;&gt; "", B151 = "Ambulant")
    ),
    NOT(
        AND(E152 = "", B152 &lt;&gt; "")
    )
)</f>
        <v>1</v>
      </c>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row>
    <row r="154" spans="1:52" ht="15.5" customHeight="1" thickBot="1" x14ac:dyDescent="0.5">
      <c r="A154" s="289"/>
      <c r="B154" s="343"/>
      <c r="C154" s="663" t="s">
        <v>779</v>
      </c>
      <c r="D154" s="666" t="s">
        <v>2239</v>
      </c>
      <c r="E154" s="605"/>
      <c r="F154" s="339" t="s">
        <v>767</v>
      </c>
      <c r="G154" s="666" t="s">
        <v>781</v>
      </c>
      <c r="H154" s="729"/>
      <c r="I154" s="339" t="s">
        <v>767</v>
      </c>
      <c r="J154" s="759"/>
      <c r="K154" s="760"/>
      <c r="L154" s="683"/>
      <c r="M154" s="746"/>
      <c r="N154" s="770"/>
      <c r="O154" s="584"/>
      <c r="P154" s="321"/>
      <c r="Q154" s="289"/>
      <c r="R154" s="289"/>
      <c r="S154" s="289"/>
      <c r="T154" s="289"/>
      <c r="U154" s="289"/>
      <c r="V154" s="289"/>
      <c r="W154" s="289"/>
      <c r="X154" s="289"/>
      <c r="Y154" s="289"/>
      <c r="Z154" s="289"/>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row>
    <row r="155" spans="1:52" ht="15.5" customHeight="1" x14ac:dyDescent="0.45">
      <c r="A155" s="289"/>
      <c r="B155" s="343"/>
      <c r="C155" s="663" t="s">
        <v>779</v>
      </c>
      <c r="D155" s="666" t="s">
        <v>2240</v>
      </c>
      <c r="E155" s="605"/>
      <c r="F155" s="339" t="s">
        <v>767</v>
      </c>
      <c r="G155"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55" s="672"/>
      <c r="I155" s="339" t="s">
        <v>767</v>
      </c>
      <c r="J155" s="753" t="str" cm="1">
        <f t="array" aca="1" ref="J155" ca="1">IF(
    B152="",
    "",
    IF(
        AND(
            INDEX('2. Output kostprijs'!$77:$77, 1, 5 + (ROW()-5)/7*2)&lt;&gt;"",
            INDEX('2. Output kostprijs'!$78:$78, 1, 5 + (ROW()-5)/7*2)&lt;&gt;""
        ),
        ROUND(
            INDEX('2. Output kostprijs'!$77:$77, 1, 5 + (ROW()-5)/7*2),
            0
        )
        &amp; " uren" &amp; CHAR(10) &amp; "("
        &amp; ROUND( 100 *
            INDEX('2. Output kostprijs'!$78:$78, 1, 5 + (ROW()-5)/7*2),
            1
        )
        &amp; "%)",
        "-"
    )
)</f>
        <v/>
      </c>
      <c r="K155" s="754"/>
      <c r="L155" s="683"/>
      <c r="M155" s="746"/>
      <c r="N155" s="770"/>
      <c r="O155" s="584"/>
      <c r="P155" s="321"/>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row>
    <row r="156" spans="1:52" ht="16.149999999999999" thickBot="1" x14ac:dyDescent="0.5">
      <c r="A156" s="289"/>
      <c r="B156" s="343"/>
      <c r="C156" s="663" t="s">
        <v>779</v>
      </c>
      <c r="D156" s="667" t="str">
        <f ca="1">IF(B151="Verblijf", "Bezettingsgraad (%)", "No show (%)")</f>
        <v>No show (%)</v>
      </c>
      <c r="E156" s="669"/>
      <c r="F156" s="339" t="s">
        <v>767</v>
      </c>
      <c r="G156"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56" s="673"/>
      <c r="I156" s="339" t="s">
        <v>767</v>
      </c>
      <c r="J156" s="755"/>
      <c r="K156" s="756"/>
      <c r="L156" s="683"/>
      <c r="M156" s="289"/>
      <c r="N156" s="346"/>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row>
    <row r="157" spans="1:52" ht="16.149999999999999" thickBot="1" x14ac:dyDescent="0.5">
      <c r="A157" s="289"/>
      <c r="B157" s="421"/>
      <c r="C157" s="664" t="s">
        <v>779</v>
      </c>
      <c r="D157" s="660"/>
      <c r="E157" s="670"/>
      <c r="F157" s="665"/>
      <c r="G157" s="426"/>
      <c r="H157" s="674"/>
      <c r="I157" s="676"/>
      <c r="J157" s="684"/>
      <c r="K157" s="684"/>
      <c r="L157" s="685"/>
      <c r="M157" s="289"/>
      <c r="N157" s="346"/>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row>
    <row r="158" spans="1:52" ht="16.149999999999999" thickBot="1" x14ac:dyDescent="0.55000000000000004">
      <c r="A158" s="289"/>
      <c r="B158" s="582" t="str">
        <f ca="1">IF(B159="","",
IF(
   OR(
      INDIRECT("'1a. Input organisatieniveau'!AC" &amp; (7 + INT((ROW()-4)/7)))="",
      INDIRECT("'1a. Input organisatieniveau'!AC" &amp; (7 + INT((ROW()-4)/7)))=0
   ),
   "",
   INDIRECT("'1a. Input organisatieniveau'!AC" &amp; (7 + INT((ROW()-4)/7)))
))</f>
        <v/>
      </c>
      <c r="C158" s="661" t="s">
        <v>779</v>
      </c>
      <c r="D158" s="428"/>
      <c r="E158" s="668"/>
      <c r="F158" s="662"/>
      <c r="G158" s="428"/>
      <c r="H158" s="671"/>
      <c r="I158" s="675"/>
      <c r="J158" s="680"/>
      <c r="K158" s="680"/>
      <c r="L158" s="681"/>
      <c r="M158" s="12"/>
      <c r="N158" s="346"/>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row>
    <row r="159" spans="1:52" ht="16.149999999999999" thickBot="1" x14ac:dyDescent="0.5">
      <c r="A159" s="289"/>
      <c r="B159" s="583" t="str">
        <f ca="1">IF(
   OR(
      INDIRECT("'1a. Input organisatieniveau'!AA" &amp; (7 + INT((ROW()-4)/7)))="",
      INDIRECT("'1a. Input organisatieniveau'!AA" &amp; (7 + INT((ROW()-4)/7)))=0
   ),
   "",
   INDIRECT("'1a. Input organisatieniveau'!AA" &amp; (7 + INT((ROW()-4)/7)))
)</f>
        <v/>
      </c>
      <c r="C159" s="663" t="s">
        <v>779</v>
      </c>
      <c r="D159" s="429" t="s">
        <v>72</v>
      </c>
      <c r="E159" s="599"/>
      <c r="F159" s="339" t="s">
        <v>767</v>
      </c>
      <c r="G159" s="429" t="s">
        <v>923</v>
      </c>
      <c r="H159" s="606"/>
      <c r="I159" s="339" t="s">
        <v>767</v>
      </c>
      <c r="J159" s="682"/>
      <c r="K159" s="682"/>
      <c r="L159" s="683"/>
      <c r="M159" s="289"/>
      <c r="N159" s="346"/>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row>
    <row r="160" spans="1:52" ht="15.5" customHeight="1" x14ac:dyDescent="0.45">
      <c r="A160" s="289"/>
      <c r="B160" s="343"/>
      <c r="C160" s="663" t="s">
        <v>779</v>
      </c>
      <c r="D160" s="666" t="s">
        <v>2238</v>
      </c>
      <c r="E160" s="605"/>
      <c r="F160" s="339" t="s">
        <v>767</v>
      </c>
      <c r="G160"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60" s="729"/>
      <c r="I160" s="339" t="s">
        <v>767</v>
      </c>
      <c r="J160" s="757" t="s">
        <v>2142</v>
      </c>
      <c r="K160" s="758"/>
      <c r="L160" s="683"/>
      <c r="M160" s="746" t="s">
        <v>780</v>
      </c>
      <c r="N160" s="770" t="s">
        <v>1079</v>
      </c>
      <c r="O160" s="584"/>
      <c r="P160" s="321"/>
      <c r="Q160" s="289"/>
      <c r="R160" s="289"/>
      <c r="S160" s="289"/>
      <c r="T160" s="289"/>
      <c r="U160" s="289"/>
      <c r="V160" s="289"/>
      <c r="W160" s="289"/>
      <c r="X160" s="289"/>
      <c r="Y160" s="289"/>
      <c r="Z160" s="289"/>
      <c r="AA160" s="289"/>
      <c r="AB160" s="289"/>
      <c r="AC160" s="289"/>
      <c r="AD160" s="289" t="b">
        <f ca="1">AND(
    NOT(
        AND(H161 = "", B159 &lt;&gt; "", OR(B158 = "Verblijf", B158 = "Daghulp"))
    ),
    NOT(
        AND(E163 = "", B159 &lt;&gt; "")
    ),
    NOT(
        AND(H163 = "", B159 &lt;&gt; "", OR(B158 = "Verblijf", B158 = "Daghulp"))
    ),
    NOT(
        AND(H162 = "", B159 &lt;&gt; "", OR(B158 = "Verblijf", B158 = "Daghulp"))
    ),
    NOT(
        AND(H159 = "", B159 &lt;&gt; "")
    ),
    NOT(
        AND(E162 = "", B159 &lt;&gt; "")
    ),
    NOT(
        AND(E161 = "", B159 &lt;&gt; "", Initialisatie!$C$6 &lt;&gt; "Ja")
    ),
    NOT(
        AND(E160 = "", B159 &lt;&gt; "", B158 = "Ambulant")
    ),
    NOT(
        AND(E159 = "", B159 &lt;&gt; "")
    ),
    NOT(
        AND(H160 = "", B159 &lt;&gt; "", OR(B158 = "Verblijf", B158 = "Daghulp"))
    )
)</f>
        <v>1</v>
      </c>
      <c r="AE160" s="289" t="b">
        <f ca="1">AND(
    NOT(
        AND(E163 = "", B159 &lt;&gt; "")
    ),
    NOT(
        AND(E162 = "", B159 &lt;&gt; "")
    ),
    NOT(
        AND(E161 = "", B159 &lt;&gt; "", Initialisatie!$C$6 &lt;&gt; "Ja")
    ),
    NOT(
        AND(E160 = "", B159 &lt;&gt; "", B158 = "Ambulant")
    ),
    NOT(
        AND(E159 = "", B159 &lt;&gt; "")
    )
)</f>
        <v>1</v>
      </c>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row>
    <row r="161" spans="1:52" ht="15.5" customHeight="1" thickBot="1" x14ac:dyDescent="0.5">
      <c r="A161" s="289"/>
      <c r="B161" s="343"/>
      <c r="C161" s="663" t="s">
        <v>779</v>
      </c>
      <c r="D161" s="666" t="s">
        <v>2239</v>
      </c>
      <c r="E161" s="605"/>
      <c r="F161" s="339" t="s">
        <v>767</v>
      </c>
      <c r="G161" s="666" t="s">
        <v>781</v>
      </c>
      <c r="H161" s="729"/>
      <c r="I161" s="339" t="s">
        <v>767</v>
      </c>
      <c r="J161" s="759"/>
      <c r="K161" s="760"/>
      <c r="L161" s="683"/>
      <c r="M161" s="746"/>
      <c r="N161" s="770"/>
      <c r="O161" s="584"/>
      <c r="P161" s="321"/>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row>
    <row r="162" spans="1:52" ht="15.5" customHeight="1" x14ac:dyDescent="0.45">
      <c r="A162" s="289"/>
      <c r="B162" s="343"/>
      <c r="C162" s="663" t="s">
        <v>779</v>
      </c>
      <c r="D162" s="666" t="s">
        <v>2240</v>
      </c>
      <c r="E162" s="605"/>
      <c r="F162" s="339" t="s">
        <v>767</v>
      </c>
      <c r="G162"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62" s="672"/>
      <c r="I162" s="339" t="s">
        <v>767</v>
      </c>
      <c r="J162" s="753" t="str" cm="1">
        <f t="array" aca="1" ref="J162" ca="1">IF(
    B159="",
    "",
    IF(
        AND(
            INDEX('2. Output kostprijs'!$77:$77, 1, 5 + (ROW()-5)/7*2)&lt;&gt;"",
            INDEX('2. Output kostprijs'!$78:$78, 1, 5 + (ROW()-5)/7*2)&lt;&gt;""
        ),
        ROUND(
            INDEX('2. Output kostprijs'!$77:$77, 1, 5 + (ROW()-5)/7*2),
            0
        )
        &amp; " uren" &amp; CHAR(10) &amp; "("
        &amp; ROUND( 100 *
            INDEX('2. Output kostprijs'!$78:$78, 1, 5 + (ROW()-5)/7*2),
            1
        )
        &amp; "%)",
        "-"
    )
)</f>
        <v/>
      </c>
      <c r="K162" s="754"/>
      <c r="L162" s="683"/>
      <c r="M162" s="746"/>
      <c r="N162" s="770"/>
      <c r="O162" s="584"/>
      <c r="P162" s="321"/>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row>
    <row r="163" spans="1:52" ht="16.149999999999999" thickBot="1" x14ac:dyDescent="0.5">
      <c r="A163" s="289"/>
      <c r="B163" s="343"/>
      <c r="C163" s="663" t="s">
        <v>779</v>
      </c>
      <c r="D163" s="667" t="str">
        <f ca="1">IF(B158="Verblijf", "Bezettingsgraad (%)", "No show (%)")</f>
        <v>No show (%)</v>
      </c>
      <c r="E163" s="669"/>
      <c r="F163" s="339" t="s">
        <v>767</v>
      </c>
      <c r="G163"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63" s="673"/>
      <c r="I163" s="339" t="s">
        <v>767</v>
      </c>
      <c r="J163" s="755"/>
      <c r="K163" s="756"/>
      <c r="L163" s="683"/>
      <c r="M163" s="289"/>
      <c r="N163" s="346"/>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row>
    <row r="164" spans="1:52" ht="16.149999999999999" thickBot="1" x14ac:dyDescent="0.5">
      <c r="A164" s="289"/>
      <c r="B164" s="421"/>
      <c r="C164" s="664" t="s">
        <v>779</v>
      </c>
      <c r="D164" s="660"/>
      <c r="E164" s="670"/>
      <c r="F164" s="665"/>
      <c r="G164" s="426"/>
      <c r="H164" s="674"/>
      <c r="I164" s="676"/>
      <c r="J164" s="684"/>
      <c r="K164" s="684"/>
      <c r="L164" s="685"/>
      <c r="M164" s="289"/>
      <c r="N164" s="346"/>
      <c r="O164" s="289"/>
      <c r="P164" s="289"/>
      <c r="Q164" s="289"/>
      <c r="R164" s="289"/>
      <c r="S164" s="289"/>
      <c r="T164" s="289"/>
      <c r="U164" s="289"/>
      <c r="V164" s="289"/>
      <c r="W164" s="289"/>
      <c r="X164" s="289"/>
      <c r="Y164" s="289"/>
      <c r="Z164" s="289"/>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row>
    <row r="165" spans="1:52" ht="16.149999999999999" thickBot="1" x14ac:dyDescent="0.55000000000000004">
      <c r="A165" s="289"/>
      <c r="B165" s="582" t="str">
        <f ca="1">IF(B166="","",
IF(
   OR(
      INDIRECT("'1a. Input organisatieniveau'!AC" &amp; (7 + INT((ROW()-4)/7)))="",
      INDIRECT("'1a. Input organisatieniveau'!AC" &amp; (7 + INT((ROW()-4)/7)))=0
   ),
   "",
   INDIRECT("'1a. Input organisatieniveau'!AC" &amp; (7 + INT((ROW()-4)/7)))
))</f>
        <v/>
      </c>
      <c r="C165" s="661" t="s">
        <v>779</v>
      </c>
      <c r="D165" s="428"/>
      <c r="E165" s="668"/>
      <c r="F165" s="662"/>
      <c r="G165" s="428"/>
      <c r="H165" s="671"/>
      <c r="I165" s="675"/>
      <c r="J165" s="680"/>
      <c r="K165" s="680"/>
      <c r="L165" s="681"/>
      <c r="M165" s="12"/>
      <c r="N165" s="346"/>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row>
    <row r="166" spans="1:52" ht="16.149999999999999" thickBot="1" x14ac:dyDescent="0.5">
      <c r="A166" s="289"/>
      <c r="B166" s="583" t="str">
        <f ca="1">IF(
   OR(
      INDIRECT("'1a. Input organisatieniveau'!AA" &amp; (7 + INT((ROW()-4)/7)))="",
      INDIRECT("'1a. Input organisatieniveau'!AA" &amp; (7 + INT((ROW()-4)/7)))=0
   ),
   "",
   INDIRECT("'1a. Input organisatieniveau'!AA" &amp; (7 + INT((ROW()-4)/7)))
)</f>
        <v/>
      </c>
      <c r="C166" s="663" t="s">
        <v>779</v>
      </c>
      <c r="D166" s="429" t="s">
        <v>72</v>
      </c>
      <c r="E166" s="599"/>
      <c r="F166" s="339" t="s">
        <v>767</v>
      </c>
      <c r="G166" s="429" t="s">
        <v>923</v>
      </c>
      <c r="H166" s="606"/>
      <c r="I166" s="339" t="s">
        <v>767</v>
      </c>
      <c r="J166" s="682"/>
      <c r="K166" s="682"/>
      <c r="L166" s="683"/>
      <c r="M166" s="289"/>
      <c r="N166" s="346"/>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row>
    <row r="167" spans="1:52" ht="15.5" customHeight="1" x14ac:dyDescent="0.45">
      <c r="A167" s="289"/>
      <c r="B167" s="343"/>
      <c r="C167" s="663" t="s">
        <v>779</v>
      </c>
      <c r="D167" s="666" t="s">
        <v>2238</v>
      </c>
      <c r="E167" s="605"/>
      <c r="F167" s="339" t="s">
        <v>767</v>
      </c>
      <c r="G167"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67" s="729"/>
      <c r="I167" s="339" t="s">
        <v>767</v>
      </c>
      <c r="J167" s="757" t="s">
        <v>2142</v>
      </c>
      <c r="K167" s="758"/>
      <c r="L167" s="683"/>
      <c r="M167" s="746" t="s">
        <v>780</v>
      </c>
      <c r="N167" s="770" t="s">
        <v>1079</v>
      </c>
      <c r="O167" s="584"/>
      <c r="P167" s="321"/>
      <c r="Q167" s="289"/>
      <c r="R167" s="289"/>
      <c r="S167" s="289"/>
      <c r="T167" s="289"/>
      <c r="U167" s="289"/>
      <c r="V167" s="289"/>
      <c r="W167" s="289"/>
      <c r="X167" s="289"/>
      <c r="Y167" s="289"/>
      <c r="Z167" s="289"/>
      <c r="AA167" s="289"/>
      <c r="AB167" s="289"/>
      <c r="AC167" s="289"/>
      <c r="AD167" s="289" t="b">
        <f ca="1">AND(
    NOT(
        AND(H168 = "", B166 &lt;&gt; "", OR(B165 = "Verblijf", B165 = "Daghulp"))
    ),
    NOT(
        AND(E170 = "", B166 &lt;&gt; "")
    ),
    NOT(
        AND(H170 = "", B166 &lt;&gt; "", OR(B165 = "Verblijf", B165 = "Daghulp"))
    ),
    NOT(
        AND(H169 = "", B166 &lt;&gt; "", OR(B165 = "Verblijf", B165 = "Daghulp"))
    ),
    NOT(
        AND(H166 = "", B166 &lt;&gt; "")
    ),
    NOT(
        AND(E169 = "", B166 &lt;&gt; "")
    ),
    NOT(
        AND(E168 = "", B166 &lt;&gt; "", Initialisatie!$C$6 &lt;&gt; "Ja")
    ),
    NOT(
        AND(E167 = "", B166 &lt;&gt; "", B165 = "Ambulant")
    ),
    NOT(
        AND(E166 = "", B166 &lt;&gt; "")
    ),
    NOT(
        AND(H167 = "", B166 &lt;&gt; "", OR(B165 = "Verblijf", B165 = "Daghulp"))
    )
)</f>
        <v>1</v>
      </c>
      <c r="AE167" s="289" t="b">
        <f ca="1">AND(
    NOT(
        AND(E170 = "", B166 &lt;&gt; "")
    ),
    NOT(
        AND(E169 = "", B166 &lt;&gt; "")
    ),
    NOT(
        AND(E168 = "", B166 &lt;&gt; "", Initialisatie!$C$6 &lt;&gt; "Ja")
    ),
    NOT(
        AND(E167 = "", B166 &lt;&gt; "", B165 = "Ambulant")
    ),
    NOT(
        AND(E166 = "", B166 &lt;&gt; "")
    )
)</f>
        <v>1</v>
      </c>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row>
    <row r="168" spans="1:52" ht="15.5" customHeight="1" thickBot="1" x14ac:dyDescent="0.5">
      <c r="A168" s="289"/>
      <c r="B168" s="343"/>
      <c r="C168" s="663" t="s">
        <v>779</v>
      </c>
      <c r="D168" s="666" t="s">
        <v>2239</v>
      </c>
      <c r="E168" s="605"/>
      <c r="F168" s="339" t="s">
        <v>767</v>
      </c>
      <c r="G168" s="666" t="s">
        <v>781</v>
      </c>
      <c r="H168" s="729"/>
      <c r="I168" s="339" t="s">
        <v>767</v>
      </c>
      <c r="J168" s="759"/>
      <c r="K168" s="760"/>
      <c r="L168" s="683"/>
      <c r="M168" s="746"/>
      <c r="N168" s="770"/>
      <c r="O168" s="584"/>
      <c r="P168" s="321"/>
      <c r="Q168" s="289"/>
      <c r="R168" s="289"/>
      <c r="S168" s="289"/>
      <c r="T168" s="289"/>
      <c r="U168" s="289"/>
      <c r="V168" s="289"/>
      <c r="W168" s="289"/>
      <c r="X168" s="289"/>
      <c r="Y168" s="289"/>
      <c r="Z168" s="289"/>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row>
    <row r="169" spans="1:52" ht="15.5" customHeight="1" x14ac:dyDescent="0.45">
      <c r="A169" s="289"/>
      <c r="B169" s="343"/>
      <c r="C169" s="663" t="s">
        <v>779</v>
      </c>
      <c r="D169" s="666" t="s">
        <v>2240</v>
      </c>
      <c r="E169" s="605"/>
      <c r="F169" s="339" t="s">
        <v>767</v>
      </c>
      <c r="G169"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69" s="672"/>
      <c r="I169" s="339" t="s">
        <v>767</v>
      </c>
      <c r="J169" s="753" t="str" cm="1">
        <f t="array" aca="1" ref="J169" ca="1">IF(
    B166="",
    "",
    IF(
        AND(
            INDEX('2. Output kostprijs'!$77:$77, 1, 5 + (ROW()-5)/7*2)&lt;&gt;"",
            INDEX('2. Output kostprijs'!$78:$78, 1, 5 + (ROW()-5)/7*2)&lt;&gt;""
        ),
        ROUND(
            INDEX('2. Output kostprijs'!$77:$77, 1, 5 + (ROW()-5)/7*2),
            0
        )
        &amp; " uren" &amp; CHAR(10) &amp; "("
        &amp; ROUND( 100 *
            INDEX('2. Output kostprijs'!$78:$78, 1, 5 + (ROW()-5)/7*2),
            1
        )
        &amp; "%)",
        "-"
    )
)</f>
        <v/>
      </c>
      <c r="K169" s="754"/>
      <c r="L169" s="683"/>
      <c r="M169" s="746"/>
      <c r="N169" s="770"/>
      <c r="O169" s="584"/>
      <c r="P169" s="321"/>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row>
    <row r="170" spans="1:52" ht="16.149999999999999" thickBot="1" x14ac:dyDescent="0.5">
      <c r="A170" s="289"/>
      <c r="B170" s="343"/>
      <c r="C170" s="663" t="s">
        <v>779</v>
      </c>
      <c r="D170" s="667" t="str">
        <f ca="1">IF(B165="Verblijf", "Bezettingsgraad (%)", "No show (%)")</f>
        <v>No show (%)</v>
      </c>
      <c r="E170" s="669"/>
      <c r="F170" s="339" t="s">
        <v>767</v>
      </c>
      <c r="G170"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70" s="673"/>
      <c r="I170" s="339" t="s">
        <v>767</v>
      </c>
      <c r="J170" s="755"/>
      <c r="K170" s="756"/>
      <c r="L170" s="683"/>
      <c r="M170" s="289"/>
      <c r="N170" s="346"/>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row>
    <row r="171" spans="1:52" ht="16.149999999999999" thickBot="1" x14ac:dyDescent="0.5">
      <c r="A171" s="289"/>
      <c r="B171" s="421"/>
      <c r="C171" s="664" t="s">
        <v>779</v>
      </c>
      <c r="D171" s="660"/>
      <c r="E171" s="670"/>
      <c r="F171" s="665"/>
      <c r="G171" s="426"/>
      <c r="H171" s="674"/>
      <c r="I171" s="676"/>
      <c r="J171" s="684"/>
      <c r="K171" s="684"/>
      <c r="L171" s="685"/>
      <c r="M171" s="289"/>
      <c r="N171" s="346"/>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c r="AQ171" s="289"/>
      <c r="AR171" s="289"/>
      <c r="AS171" s="289"/>
      <c r="AT171" s="289"/>
      <c r="AU171" s="289"/>
      <c r="AV171" s="289"/>
      <c r="AW171" s="289"/>
      <c r="AX171" s="289"/>
      <c r="AY171" s="289"/>
      <c r="AZ171" s="289"/>
    </row>
    <row r="172" spans="1:52" ht="16.149999999999999" thickBot="1" x14ac:dyDescent="0.55000000000000004">
      <c r="A172" s="289"/>
      <c r="B172" s="582" t="str">
        <f ca="1">IF(B173="","",
IF(
   OR(
      INDIRECT("'1a. Input organisatieniveau'!AC" &amp; (7 + INT((ROW()-4)/7)))="",
      INDIRECT("'1a. Input organisatieniveau'!AC" &amp; (7 + INT((ROW()-4)/7)))=0
   ),
   "",
   INDIRECT("'1a. Input organisatieniveau'!AC" &amp; (7 + INT((ROW()-4)/7)))
))</f>
        <v/>
      </c>
      <c r="C172" s="661" t="s">
        <v>779</v>
      </c>
      <c r="D172" s="428"/>
      <c r="E172" s="668"/>
      <c r="F172" s="662"/>
      <c r="G172" s="428"/>
      <c r="H172" s="671"/>
      <c r="I172" s="675"/>
      <c r="J172" s="680"/>
      <c r="K172" s="680"/>
      <c r="L172" s="681"/>
      <c r="M172" s="12"/>
      <c r="N172" s="346"/>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row>
    <row r="173" spans="1:52" ht="16.149999999999999" thickBot="1" x14ac:dyDescent="0.5">
      <c r="A173" s="289"/>
      <c r="B173" s="583" t="str">
        <f ca="1">IF(
   OR(
      INDIRECT("'1a. Input organisatieniveau'!AA" &amp; (7 + INT((ROW()-4)/7)))="",
      INDIRECT("'1a. Input organisatieniveau'!AA" &amp; (7 + INT((ROW()-4)/7)))=0
   ),
   "",
   INDIRECT("'1a. Input organisatieniveau'!AA" &amp; (7 + INT((ROW()-4)/7)))
)</f>
        <v/>
      </c>
      <c r="C173" s="663" t="s">
        <v>779</v>
      </c>
      <c r="D173" s="429" t="s">
        <v>72</v>
      </c>
      <c r="E173" s="599"/>
      <c r="F173" s="339" t="s">
        <v>767</v>
      </c>
      <c r="G173" s="429" t="s">
        <v>923</v>
      </c>
      <c r="H173" s="606"/>
      <c r="I173" s="339" t="s">
        <v>767</v>
      </c>
      <c r="J173" s="682"/>
      <c r="K173" s="682"/>
      <c r="L173" s="683"/>
      <c r="M173" s="289"/>
      <c r="N173" s="346"/>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row>
    <row r="174" spans="1:52" ht="15.5" customHeight="1" x14ac:dyDescent="0.45">
      <c r="A174" s="289"/>
      <c r="B174" s="343"/>
      <c r="C174" s="663" t="s">
        <v>779</v>
      </c>
      <c r="D174" s="666" t="s">
        <v>2238</v>
      </c>
      <c r="E174" s="605"/>
      <c r="F174" s="339" t="s">
        <v>767</v>
      </c>
      <c r="G174"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74" s="729"/>
      <c r="I174" s="339" t="s">
        <v>767</v>
      </c>
      <c r="J174" s="757" t="s">
        <v>2142</v>
      </c>
      <c r="K174" s="758"/>
      <c r="L174" s="683"/>
      <c r="M174" s="746" t="s">
        <v>780</v>
      </c>
      <c r="N174" s="770" t="s">
        <v>1079</v>
      </c>
      <c r="O174" s="584"/>
      <c r="P174" s="321"/>
      <c r="Q174" s="289"/>
      <c r="R174" s="289"/>
      <c r="S174" s="289"/>
      <c r="T174" s="289"/>
      <c r="U174" s="289"/>
      <c r="V174" s="289"/>
      <c r="W174" s="289"/>
      <c r="X174" s="289"/>
      <c r="Y174" s="289"/>
      <c r="Z174" s="289"/>
      <c r="AA174" s="289"/>
      <c r="AB174" s="289"/>
      <c r="AC174" s="289"/>
      <c r="AD174" s="289" t="b">
        <f ca="1">AND(
    NOT(
        AND(H175 = "", B173 &lt;&gt; "", OR(B172 = "Verblijf", B172 = "Daghulp"))
    ),
    NOT(
        AND(E177 = "", B173 &lt;&gt; "")
    ),
    NOT(
        AND(H177 = "", B173 &lt;&gt; "", OR(B172 = "Verblijf", B172 = "Daghulp"))
    ),
    NOT(
        AND(H176 = "", B173 &lt;&gt; "", OR(B172 = "Verblijf", B172 = "Daghulp"))
    ),
    NOT(
        AND(H173 = "", B173 &lt;&gt; "")
    ),
    NOT(
        AND(E176 = "", B173 &lt;&gt; "")
    ),
    NOT(
        AND(E175 = "", B173 &lt;&gt; "", Initialisatie!$C$6 &lt;&gt; "Ja")
    ),
    NOT(
        AND(E174 = "", B173 &lt;&gt; "", B172 = "Ambulant")
    ),
    NOT(
        AND(E173 = "", B173 &lt;&gt; "")
    ),
    NOT(
        AND(H174 = "", B173 &lt;&gt; "", OR(B172 = "Verblijf", B172 = "Daghulp"))
    )
)</f>
        <v>1</v>
      </c>
      <c r="AE174" s="289" t="b">
        <f ca="1">AND(
    NOT(
        AND(E177 = "", B173 &lt;&gt; "")
    ),
    NOT(
        AND(E176 = "", B173 &lt;&gt; "")
    ),
    NOT(
        AND(E175 = "", B173 &lt;&gt; "", Initialisatie!$C$6 &lt;&gt; "Ja")
    ),
    NOT(
        AND(E174 = "", B173 &lt;&gt; "", B172 = "Ambulant")
    ),
    NOT(
        AND(E173 = "", B173 &lt;&gt; "")
    )
)</f>
        <v>1</v>
      </c>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row>
    <row r="175" spans="1:52" ht="15.5" customHeight="1" thickBot="1" x14ac:dyDescent="0.5">
      <c r="A175" s="289"/>
      <c r="B175" s="343"/>
      <c r="C175" s="663" t="s">
        <v>779</v>
      </c>
      <c r="D175" s="666" t="s">
        <v>2239</v>
      </c>
      <c r="E175" s="605"/>
      <c r="F175" s="339" t="s">
        <v>767</v>
      </c>
      <c r="G175" s="666" t="s">
        <v>781</v>
      </c>
      <c r="H175" s="729"/>
      <c r="I175" s="339" t="s">
        <v>767</v>
      </c>
      <c r="J175" s="759"/>
      <c r="K175" s="760"/>
      <c r="L175" s="683"/>
      <c r="M175" s="746"/>
      <c r="N175" s="770"/>
      <c r="O175" s="584"/>
      <c r="P175" s="321"/>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row>
    <row r="176" spans="1:52" ht="15.5" customHeight="1" x14ac:dyDescent="0.45">
      <c r="A176" s="289"/>
      <c r="B176" s="343"/>
      <c r="C176" s="663" t="s">
        <v>779</v>
      </c>
      <c r="D176" s="666" t="s">
        <v>2240</v>
      </c>
      <c r="E176" s="605"/>
      <c r="F176" s="339" t="s">
        <v>767</v>
      </c>
      <c r="G176"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76" s="672"/>
      <c r="I176" s="339" t="s">
        <v>767</v>
      </c>
      <c r="J176" s="753" t="str" cm="1">
        <f t="array" aca="1" ref="J176" ca="1">IF(
    B173="",
    "",
    IF(
        AND(
            INDEX('2. Output kostprijs'!$77:$77, 1, 5 + (ROW()-5)/7*2)&lt;&gt;"",
            INDEX('2. Output kostprijs'!$78:$78, 1, 5 + (ROW()-5)/7*2)&lt;&gt;""
        ),
        ROUND(
            INDEX('2. Output kostprijs'!$77:$77, 1, 5 + (ROW()-5)/7*2),
            0
        )
        &amp; " uren" &amp; CHAR(10) &amp; "("
        &amp; ROUND( 100 *
            INDEX('2. Output kostprijs'!$78:$78, 1, 5 + (ROW()-5)/7*2),
            1
        )
        &amp; "%)",
        "-"
    )
)</f>
        <v/>
      </c>
      <c r="K176" s="754"/>
      <c r="L176" s="683"/>
      <c r="M176" s="746"/>
      <c r="N176" s="770"/>
      <c r="O176" s="584"/>
      <c r="P176" s="321"/>
      <c r="Q176" s="289"/>
      <c r="R176" s="289"/>
      <c r="S176" s="289"/>
      <c r="T176" s="289"/>
      <c r="U176" s="289"/>
      <c r="V176" s="289"/>
      <c r="W176" s="289"/>
      <c r="X176" s="289"/>
      <c r="Y176" s="289"/>
      <c r="Z176" s="289"/>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row>
    <row r="177" spans="1:52" ht="16.149999999999999" thickBot="1" x14ac:dyDescent="0.5">
      <c r="A177" s="289"/>
      <c r="B177" s="343"/>
      <c r="C177" s="663" t="s">
        <v>779</v>
      </c>
      <c r="D177" s="667" t="str">
        <f ca="1">IF(B172="Verblijf", "Bezettingsgraad (%)", "No show (%)")</f>
        <v>No show (%)</v>
      </c>
      <c r="E177" s="669"/>
      <c r="F177" s="339" t="s">
        <v>767</v>
      </c>
      <c r="G177"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77" s="673"/>
      <c r="I177" s="339" t="s">
        <v>767</v>
      </c>
      <c r="J177" s="755"/>
      <c r="K177" s="756"/>
      <c r="L177" s="683"/>
      <c r="M177" s="289"/>
      <c r="N177" s="346"/>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row>
    <row r="178" spans="1:52" ht="16.149999999999999" thickBot="1" x14ac:dyDescent="0.5">
      <c r="A178" s="289"/>
      <c r="B178" s="421"/>
      <c r="C178" s="664" t="s">
        <v>779</v>
      </c>
      <c r="D178" s="660"/>
      <c r="E178" s="670"/>
      <c r="F178" s="665"/>
      <c r="G178" s="426"/>
      <c r="H178" s="674"/>
      <c r="I178" s="676"/>
      <c r="J178" s="684"/>
      <c r="K178" s="684"/>
      <c r="L178" s="685"/>
      <c r="M178" s="289"/>
      <c r="N178" s="346"/>
      <c r="O178" s="289"/>
      <c r="P178" s="289"/>
      <c r="Q178" s="289"/>
      <c r="R178" s="289"/>
      <c r="S178" s="289"/>
      <c r="T178" s="289"/>
      <c r="U178" s="289"/>
      <c r="V178" s="289"/>
      <c r="W178" s="289"/>
      <c r="X178" s="289"/>
      <c r="Y178" s="289"/>
      <c r="Z178" s="289"/>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row>
    <row r="179" spans="1:52" ht="16.149999999999999" thickBot="1" x14ac:dyDescent="0.55000000000000004">
      <c r="A179" s="289"/>
      <c r="B179" s="582" t="str">
        <f ca="1">IF(B180="","",
IF(
   OR(
      INDIRECT("'1a. Input organisatieniveau'!AC" &amp; (7 + INT((ROW()-4)/7)))="",
      INDIRECT("'1a. Input organisatieniveau'!AC" &amp; (7 + INT((ROW()-4)/7)))=0
   ),
   "",
   INDIRECT("'1a. Input organisatieniveau'!AC" &amp; (7 + INT((ROW()-4)/7)))
))</f>
        <v/>
      </c>
      <c r="C179" s="661" t="s">
        <v>779</v>
      </c>
      <c r="D179" s="428"/>
      <c r="E179" s="668"/>
      <c r="F179" s="662"/>
      <c r="G179" s="428"/>
      <c r="H179" s="671"/>
      <c r="I179" s="675"/>
      <c r="J179" s="680"/>
      <c r="K179" s="680"/>
      <c r="L179" s="681"/>
      <c r="M179" s="12"/>
      <c r="N179" s="346"/>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row>
    <row r="180" spans="1:52" ht="16.149999999999999" thickBot="1" x14ac:dyDescent="0.5">
      <c r="A180" s="289"/>
      <c r="B180" s="583" t="str">
        <f ca="1">IF(
   OR(
      INDIRECT("'1a. Input organisatieniveau'!AA" &amp; (7 + INT((ROW()-4)/7)))="",
      INDIRECT("'1a. Input organisatieniveau'!AA" &amp; (7 + INT((ROW()-4)/7)))=0
   ),
   "",
   INDIRECT("'1a. Input organisatieniveau'!AA" &amp; (7 + INT((ROW()-4)/7)))
)</f>
        <v/>
      </c>
      <c r="C180" s="663" t="s">
        <v>779</v>
      </c>
      <c r="D180" s="429" t="s">
        <v>72</v>
      </c>
      <c r="E180" s="599"/>
      <c r="F180" s="339" t="s">
        <v>767</v>
      </c>
      <c r="G180" s="429" t="s">
        <v>923</v>
      </c>
      <c r="H180" s="606"/>
      <c r="I180" s="339" t="s">
        <v>767</v>
      </c>
      <c r="J180" s="682"/>
      <c r="K180" s="682"/>
      <c r="L180" s="683"/>
      <c r="M180" s="289"/>
      <c r="N180" s="346"/>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row>
    <row r="181" spans="1:52" ht="15.5" customHeight="1" x14ac:dyDescent="0.45">
      <c r="A181" s="289"/>
      <c r="B181" s="343"/>
      <c r="C181" s="663" t="s">
        <v>779</v>
      </c>
      <c r="D181" s="666" t="s">
        <v>2238</v>
      </c>
      <c r="E181" s="605"/>
      <c r="F181" s="339" t="s">
        <v>767</v>
      </c>
      <c r="G181"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81" s="729"/>
      <c r="I181" s="339" t="s">
        <v>767</v>
      </c>
      <c r="J181" s="757" t="s">
        <v>2142</v>
      </c>
      <c r="K181" s="758"/>
      <c r="L181" s="683"/>
      <c r="M181" s="746" t="s">
        <v>780</v>
      </c>
      <c r="N181" s="770" t="s">
        <v>1079</v>
      </c>
      <c r="O181" s="584"/>
      <c r="P181" s="321"/>
      <c r="Q181" s="289"/>
      <c r="R181" s="289"/>
      <c r="S181" s="289"/>
      <c r="T181" s="289"/>
      <c r="U181" s="289"/>
      <c r="V181" s="289"/>
      <c r="W181" s="289"/>
      <c r="X181" s="289"/>
      <c r="Y181" s="289"/>
      <c r="Z181" s="289"/>
      <c r="AA181" s="289"/>
      <c r="AB181" s="289"/>
      <c r="AC181" s="289"/>
      <c r="AD181" s="289" t="b">
        <f ca="1">AND(
    NOT(
        AND(H182 = "", B180 &lt;&gt; "", OR(B179 = "Verblijf", B179 = "Daghulp"))
    ),
    NOT(
        AND(E184 = "", B180 &lt;&gt; "")
    ),
    NOT(
        AND(H184 = "", B180 &lt;&gt; "", OR(B179 = "Verblijf", B179 = "Daghulp"))
    ),
    NOT(
        AND(H183 = "", B180 &lt;&gt; "", OR(B179 = "Verblijf", B179 = "Daghulp"))
    ),
    NOT(
        AND(H180 = "", B180 &lt;&gt; "")
    ),
    NOT(
        AND(E183 = "", B180 &lt;&gt; "")
    ),
    NOT(
        AND(E182 = "", B180 &lt;&gt; "", Initialisatie!$C$6 &lt;&gt; "Ja")
    ),
    NOT(
        AND(E181 = "", B180 &lt;&gt; "", B179 = "Ambulant")
    ),
    NOT(
        AND(E180 = "", B180 &lt;&gt; "")
    ),
    NOT(
        AND(H181 = "", B180 &lt;&gt; "", OR(B179 = "Verblijf", B179 = "Daghulp"))
    )
)</f>
        <v>1</v>
      </c>
      <c r="AE181" s="289" t="b">
        <f ca="1">AND(
    NOT(
        AND(E184 = "", B180 &lt;&gt; "")
    ),
    NOT(
        AND(E183 = "", B180 &lt;&gt; "")
    ),
    NOT(
        AND(E182 = "", B180 &lt;&gt; "", Initialisatie!$C$6 &lt;&gt; "Ja")
    ),
    NOT(
        AND(E181 = "", B180 &lt;&gt; "", B179 = "Ambulant")
    ),
    NOT(
        AND(E180 = "", B180 &lt;&gt; "")
    )
)</f>
        <v>1</v>
      </c>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row>
    <row r="182" spans="1:52" ht="15.5" customHeight="1" thickBot="1" x14ac:dyDescent="0.5">
      <c r="A182" s="289"/>
      <c r="B182" s="343"/>
      <c r="C182" s="663" t="s">
        <v>779</v>
      </c>
      <c r="D182" s="666" t="s">
        <v>2239</v>
      </c>
      <c r="E182" s="605"/>
      <c r="F182" s="339" t="s">
        <v>767</v>
      </c>
      <c r="G182" s="666" t="s">
        <v>781</v>
      </c>
      <c r="H182" s="729"/>
      <c r="I182" s="339" t="s">
        <v>767</v>
      </c>
      <c r="J182" s="759"/>
      <c r="K182" s="760"/>
      <c r="L182" s="683"/>
      <c r="M182" s="746"/>
      <c r="N182" s="770"/>
      <c r="O182" s="584"/>
      <c r="P182" s="321"/>
      <c r="Q182" s="289"/>
      <c r="R182" s="289"/>
      <c r="S182" s="289"/>
      <c r="T182" s="289"/>
      <c r="U182" s="289"/>
      <c r="V182" s="289"/>
      <c r="W182" s="289"/>
      <c r="X182" s="289"/>
      <c r="Y182" s="289"/>
      <c r="Z182" s="289"/>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row>
    <row r="183" spans="1:52" ht="15.5" customHeight="1" x14ac:dyDescent="0.45">
      <c r="A183" s="289"/>
      <c r="B183" s="343"/>
      <c r="C183" s="663" t="s">
        <v>779</v>
      </c>
      <c r="D183" s="666" t="s">
        <v>2240</v>
      </c>
      <c r="E183" s="605"/>
      <c r="F183" s="339" t="s">
        <v>767</v>
      </c>
      <c r="G183"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83" s="672"/>
      <c r="I183" s="339" t="s">
        <v>767</v>
      </c>
      <c r="J183" s="753" t="str" cm="1">
        <f t="array" aca="1" ref="J183" ca="1">IF(
    B180="",
    "",
    IF(
        AND(
            INDEX('2. Output kostprijs'!$77:$77, 1, 5 + (ROW()-5)/7*2)&lt;&gt;"",
            INDEX('2. Output kostprijs'!$78:$78, 1, 5 + (ROW()-5)/7*2)&lt;&gt;""
        ),
        ROUND(
            INDEX('2. Output kostprijs'!$77:$77, 1, 5 + (ROW()-5)/7*2),
            0
        )
        &amp; " uren" &amp; CHAR(10) &amp; "("
        &amp; ROUND( 100 *
            INDEX('2. Output kostprijs'!$78:$78, 1, 5 + (ROW()-5)/7*2),
            1
        )
        &amp; "%)",
        "-"
    )
)</f>
        <v/>
      </c>
      <c r="K183" s="754"/>
      <c r="L183" s="683"/>
      <c r="M183" s="746"/>
      <c r="N183" s="770"/>
      <c r="O183" s="584"/>
      <c r="P183" s="321"/>
      <c r="Q183" s="289"/>
      <c r="R183" s="289"/>
      <c r="S183" s="289"/>
      <c r="T183" s="289"/>
      <c r="U183" s="289"/>
      <c r="V183" s="289"/>
      <c r="W183" s="289"/>
      <c r="X183" s="289"/>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row>
    <row r="184" spans="1:52" ht="16.149999999999999" thickBot="1" x14ac:dyDescent="0.5">
      <c r="A184" s="289"/>
      <c r="B184" s="343"/>
      <c r="C184" s="663" t="s">
        <v>779</v>
      </c>
      <c r="D184" s="667" t="str">
        <f ca="1">IF(B179="Verblijf", "Bezettingsgraad (%)", "No show (%)")</f>
        <v>No show (%)</v>
      </c>
      <c r="E184" s="669"/>
      <c r="F184" s="339" t="s">
        <v>767</v>
      </c>
      <c r="G184"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84" s="673"/>
      <c r="I184" s="339" t="s">
        <v>767</v>
      </c>
      <c r="J184" s="755"/>
      <c r="K184" s="756"/>
      <c r="L184" s="683"/>
      <c r="M184" s="289"/>
      <c r="N184" s="346"/>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row>
    <row r="185" spans="1:52" ht="16.149999999999999" thickBot="1" x14ac:dyDescent="0.5">
      <c r="A185" s="289"/>
      <c r="B185" s="421"/>
      <c r="C185" s="664" t="s">
        <v>779</v>
      </c>
      <c r="D185" s="660"/>
      <c r="E185" s="670"/>
      <c r="F185" s="665"/>
      <c r="G185" s="426"/>
      <c r="H185" s="674"/>
      <c r="I185" s="676"/>
      <c r="J185" s="684"/>
      <c r="K185" s="684"/>
      <c r="L185" s="685"/>
      <c r="M185" s="289"/>
      <c r="N185" s="346"/>
      <c r="O185" s="289"/>
      <c r="P185" s="289"/>
      <c r="Q185" s="289"/>
      <c r="R185" s="289"/>
      <c r="S185" s="289"/>
      <c r="T185" s="289"/>
      <c r="U185" s="289"/>
      <c r="V185" s="289"/>
      <c r="W185" s="289"/>
      <c r="X185" s="289"/>
      <c r="Y185" s="289"/>
      <c r="Z185" s="289"/>
      <c r="AA185" s="289"/>
      <c r="AB185" s="289"/>
      <c r="AC185" s="289"/>
      <c r="AD185" s="289"/>
      <c r="AE185" s="289"/>
      <c r="AF185" s="289"/>
      <c r="AG185" s="289"/>
      <c r="AH185" s="289"/>
      <c r="AI185" s="289"/>
      <c r="AJ185" s="289"/>
      <c r="AK185" s="289"/>
      <c r="AL185" s="289"/>
      <c r="AM185" s="289"/>
      <c r="AN185" s="289"/>
      <c r="AO185" s="289"/>
      <c r="AP185" s="289"/>
      <c r="AQ185" s="289"/>
      <c r="AR185" s="289"/>
      <c r="AS185" s="289"/>
      <c r="AT185" s="289"/>
      <c r="AU185" s="289"/>
      <c r="AV185" s="289"/>
      <c r="AW185" s="289"/>
      <c r="AX185" s="289"/>
      <c r="AY185" s="289"/>
      <c r="AZ185" s="289"/>
    </row>
    <row r="186" spans="1:52" ht="16.149999999999999" thickBot="1" x14ac:dyDescent="0.55000000000000004">
      <c r="A186" s="289"/>
      <c r="B186" s="582" t="str">
        <f ca="1">IF(B187="","",
IF(
   OR(
      INDIRECT("'1a. Input organisatieniveau'!AC" &amp; (7 + INT((ROW()-4)/7)))="",
      INDIRECT("'1a. Input organisatieniveau'!AC" &amp; (7 + INT((ROW()-4)/7)))=0
   ),
   "",
   INDIRECT("'1a. Input organisatieniveau'!AC" &amp; (7 + INT((ROW()-4)/7)))
))</f>
        <v/>
      </c>
      <c r="C186" s="661" t="s">
        <v>779</v>
      </c>
      <c r="D186" s="428"/>
      <c r="E186" s="668"/>
      <c r="F186" s="662"/>
      <c r="G186" s="428"/>
      <c r="H186" s="671"/>
      <c r="I186" s="675"/>
      <c r="J186" s="680"/>
      <c r="K186" s="680"/>
      <c r="L186" s="681"/>
      <c r="M186" s="12"/>
      <c r="N186" s="346"/>
      <c r="O186" s="289"/>
      <c r="P186" s="289"/>
      <c r="Q186" s="289"/>
      <c r="R186" s="289"/>
      <c r="S186" s="289"/>
      <c r="T186" s="289"/>
      <c r="U186" s="289"/>
      <c r="V186" s="289"/>
      <c r="W186" s="289"/>
      <c r="X186" s="289"/>
      <c r="Y186" s="289"/>
      <c r="Z186" s="289"/>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row>
    <row r="187" spans="1:52" ht="16.149999999999999" thickBot="1" x14ac:dyDescent="0.5">
      <c r="A187" s="289"/>
      <c r="B187" s="583" t="str">
        <f ca="1">IF(
   OR(
      INDIRECT("'1a. Input organisatieniveau'!AA" &amp; (7 + INT((ROW()-4)/7)))="",
      INDIRECT("'1a. Input organisatieniveau'!AA" &amp; (7 + INT((ROW()-4)/7)))=0
   ),
   "",
   INDIRECT("'1a. Input organisatieniveau'!AA" &amp; (7 + INT((ROW()-4)/7)))
)</f>
        <v/>
      </c>
      <c r="C187" s="663" t="s">
        <v>779</v>
      </c>
      <c r="D187" s="429" t="s">
        <v>72</v>
      </c>
      <c r="E187" s="599"/>
      <c r="F187" s="339" t="s">
        <v>767</v>
      </c>
      <c r="G187" s="429" t="s">
        <v>923</v>
      </c>
      <c r="H187" s="606"/>
      <c r="I187" s="339" t="s">
        <v>767</v>
      </c>
      <c r="J187" s="682"/>
      <c r="K187" s="682"/>
      <c r="L187" s="683"/>
      <c r="M187" s="289"/>
      <c r="N187" s="346"/>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row>
    <row r="188" spans="1:52" ht="15.5" customHeight="1" x14ac:dyDescent="0.45">
      <c r="A188" s="289"/>
      <c r="B188" s="343"/>
      <c r="C188" s="663" t="s">
        <v>779</v>
      </c>
      <c r="D188" s="666" t="s">
        <v>2238</v>
      </c>
      <c r="E188" s="605"/>
      <c r="F188" s="339" t="s">
        <v>767</v>
      </c>
      <c r="G188"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88" s="729"/>
      <c r="I188" s="339" t="s">
        <v>767</v>
      </c>
      <c r="J188" s="757" t="s">
        <v>2142</v>
      </c>
      <c r="K188" s="758"/>
      <c r="L188" s="683"/>
      <c r="M188" s="746" t="s">
        <v>780</v>
      </c>
      <c r="N188" s="770" t="s">
        <v>1079</v>
      </c>
      <c r="O188" s="584"/>
      <c r="P188" s="321"/>
      <c r="Q188" s="289"/>
      <c r="R188" s="289"/>
      <c r="S188" s="289"/>
      <c r="T188" s="289"/>
      <c r="U188" s="289"/>
      <c r="V188" s="289"/>
      <c r="W188" s="289"/>
      <c r="X188" s="289"/>
      <c r="Y188" s="289"/>
      <c r="Z188" s="289"/>
      <c r="AA188" s="289"/>
      <c r="AB188" s="289"/>
      <c r="AC188" s="289"/>
      <c r="AD188" s="289" t="b">
        <f ca="1">AND(
    NOT(
        AND(H189 = "", B187 &lt;&gt; "", OR(B186 = "Verblijf", B186 = "Daghulp"))
    ),
    NOT(
        AND(E191 = "", B187 &lt;&gt; "")
    ),
    NOT(
        AND(H191 = "", B187 &lt;&gt; "", OR(B186 = "Verblijf", B186 = "Daghulp"))
    ),
    NOT(
        AND(H190 = "", B187 &lt;&gt; "", OR(B186 = "Verblijf", B186 = "Daghulp"))
    ),
    NOT(
        AND(H187 = "", B187 &lt;&gt; "")
    ),
    NOT(
        AND(E190 = "", B187 &lt;&gt; "")
    ),
    NOT(
        AND(E189 = "", B187 &lt;&gt; "", Initialisatie!$C$6 &lt;&gt; "Ja")
    ),
    NOT(
        AND(E188 = "", B187 &lt;&gt; "", B186 = "Ambulant")
    ),
    NOT(
        AND(E187 = "", B187 &lt;&gt; "")
    ),
    NOT(
        AND(H188 = "", B187 &lt;&gt; "", OR(B186 = "Verblijf", B186 = "Daghulp"))
    )
)</f>
        <v>1</v>
      </c>
      <c r="AE188" s="289" t="b">
        <f ca="1">AND(
    NOT(
        AND(E191 = "", B187 &lt;&gt; "")
    ),
    NOT(
        AND(E190 = "", B187 &lt;&gt; "")
    ),
    NOT(
        AND(E189 = "", B187 &lt;&gt; "", Initialisatie!$C$6 &lt;&gt; "Ja")
    ),
    NOT(
        AND(E188 = "", B187 &lt;&gt; "", B186 = "Ambulant")
    ),
    NOT(
        AND(E187 = "", B187 &lt;&gt; "")
    )
)</f>
        <v>1</v>
      </c>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row>
    <row r="189" spans="1:52" ht="15.5" customHeight="1" thickBot="1" x14ac:dyDescent="0.5">
      <c r="A189" s="289"/>
      <c r="B189" s="343"/>
      <c r="C189" s="663" t="s">
        <v>779</v>
      </c>
      <c r="D189" s="666" t="s">
        <v>2239</v>
      </c>
      <c r="E189" s="605"/>
      <c r="F189" s="339" t="s">
        <v>767</v>
      </c>
      <c r="G189" s="666" t="s">
        <v>781</v>
      </c>
      <c r="H189" s="729"/>
      <c r="I189" s="339" t="s">
        <v>767</v>
      </c>
      <c r="J189" s="759"/>
      <c r="K189" s="760"/>
      <c r="L189" s="683"/>
      <c r="M189" s="746"/>
      <c r="N189" s="770"/>
      <c r="O189" s="584"/>
      <c r="P189" s="321"/>
      <c r="Q189" s="289"/>
      <c r="R189" s="289"/>
      <c r="S189" s="289"/>
      <c r="T189" s="289"/>
      <c r="U189" s="289"/>
      <c r="V189" s="289"/>
      <c r="W189" s="289"/>
      <c r="X189" s="289"/>
      <c r="Y189" s="289"/>
      <c r="Z189" s="289"/>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row>
    <row r="190" spans="1:52" ht="15.5" customHeight="1" x14ac:dyDescent="0.45">
      <c r="A190" s="289"/>
      <c r="B190" s="343"/>
      <c r="C190" s="663" t="s">
        <v>779</v>
      </c>
      <c r="D190" s="666" t="s">
        <v>2240</v>
      </c>
      <c r="E190" s="605"/>
      <c r="F190" s="339" t="s">
        <v>767</v>
      </c>
      <c r="G190"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90" s="672"/>
      <c r="I190" s="339" t="s">
        <v>767</v>
      </c>
      <c r="J190" s="753" t="str" cm="1">
        <f t="array" aca="1" ref="J190" ca="1">IF(
    B187="",
    "",
    IF(
        AND(
            INDEX('2. Output kostprijs'!$77:$77, 1, 5 + (ROW()-5)/7*2)&lt;&gt;"",
            INDEX('2. Output kostprijs'!$78:$78, 1, 5 + (ROW()-5)/7*2)&lt;&gt;""
        ),
        ROUND(
            INDEX('2. Output kostprijs'!$77:$77, 1, 5 + (ROW()-5)/7*2),
            0
        )
        &amp; " uren" &amp; CHAR(10) &amp; "("
        &amp; ROUND( 100 *
            INDEX('2. Output kostprijs'!$78:$78, 1, 5 + (ROW()-5)/7*2),
            1
        )
        &amp; "%)",
        "-"
    )
)</f>
        <v/>
      </c>
      <c r="K190" s="754"/>
      <c r="L190" s="683"/>
      <c r="M190" s="746"/>
      <c r="N190" s="770"/>
      <c r="O190" s="584"/>
      <c r="P190" s="321"/>
      <c r="Q190" s="289"/>
      <c r="R190" s="289"/>
      <c r="S190" s="289"/>
      <c r="T190" s="289"/>
      <c r="U190" s="289"/>
      <c r="V190" s="289"/>
      <c r="W190" s="289"/>
      <c r="X190" s="289"/>
      <c r="Y190" s="289"/>
      <c r="Z190" s="289"/>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row>
    <row r="191" spans="1:52" ht="16.149999999999999" thickBot="1" x14ac:dyDescent="0.5">
      <c r="A191" s="289"/>
      <c r="B191" s="343"/>
      <c r="C191" s="663" t="s">
        <v>779</v>
      </c>
      <c r="D191" s="667" t="str">
        <f ca="1">IF(B186="Verblijf", "Bezettingsgraad (%)", "No show (%)")</f>
        <v>No show (%)</v>
      </c>
      <c r="E191" s="669"/>
      <c r="F191" s="339" t="s">
        <v>767</v>
      </c>
      <c r="G191"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91" s="673"/>
      <c r="I191" s="339" t="s">
        <v>767</v>
      </c>
      <c r="J191" s="755"/>
      <c r="K191" s="756"/>
      <c r="L191" s="683"/>
      <c r="M191" s="289"/>
      <c r="N191" s="346"/>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row>
    <row r="192" spans="1:52" ht="16.149999999999999" thickBot="1" x14ac:dyDescent="0.5">
      <c r="A192" s="289"/>
      <c r="B192" s="421"/>
      <c r="C192" s="664" t="s">
        <v>779</v>
      </c>
      <c r="D192" s="660"/>
      <c r="E192" s="670"/>
      <c r="F192" s="665"/>
      <c r="G192" s="426"/>
      <c r="H192" s="674"/>
      <c r="I192" s="676"/>
      <c r="J192" s="684"/>
      <c r="K192" s="684"/>
      <c r="L192" s="685"/>
      <c r="M192" s="289"/>
      <c r="N192" s="346"/>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row>
    <row r="193" spans="1:52" ht="16.149999999999999" thickBot="1" x14ac:dyDescent="0.55000000000000004">
      <c r="A193" s="289"/>
      <c r="B193" s="582" t="str">
        <f ca="1">IF(B194="","",
IF(
   OR(
      INDIRECT("'1a. Input organisatieniveau'!AC" &amp; (7 + INT((ROW()-4)/7)))="",
      INDIRECT("'1a. Input organisatieniveau'!AC" &amp; (7 + INT((ROW()-4)/7)))=0
   ),
   "",
   INDIRECT("'1a. Input organisatieniveau'!AC" &amp; (7 + INT((ROW()-4)/7)))
))</f>
        <v/>
      </c>
      <c r="C193" s="661" t="s">
        <v>779</v>
      </c>
      <c r="D193" s="428"/>
      <c r="E193" s="668"/>
      <c r="F193" s="662"/>
      <c r="G193" s="428"/>
      <c r="H193" s="671"/>
      <c r="I193" s="675"/>
      <c r="J193" s="680"/>
      <c r="K193" s="680"/>
      <c r="L193" s="681"/>
      <c r="M193" s="12"/>
      <c r="N193" s="346"/>
      <c r="O193" s="289"/>
      <c r="P193" s="289"/>
      <c r="Q193" s="289"/>
      <c r="R193" s="289"/>
      <c r="S193" s="289"/>
      <c r="T193" s="289"/>
      <c r="U193" s="289"/>
      <c r="V193" s="289"/>
      <c r="W193" s="289"/>
      <c r="X193" s="289"/>
      <c r="Y193" s="289"/>
      <c r="Z193" s="289"/>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row>
    <row r="194" spans="1:52" ht="16.149999999999999" thickBot="1" x14ac:dyDescent="0.5">
      <c r="A194" s="289"/>
      <c r="B194" s="583" t="str">
        <f ca="1">IF(
   OR(
      INDIRECT("'1a. Input organisatieniveau'!AA" &amp; (7 + INT((ROW()-4)/7)))="",
      INDIRECT("'1a. Input organisatieniveau'!AA" &amp; (7 + INT((ROW()-4)/7)))=0
   ),
   "",
   INDIRECT("'1a. Input organisatieniveau'!AA" &amp; (7 + INT((ROW()-4)/7)))
)</f>
        <v/>
      </c>
      <c r="C194" s="663" t="s">
        <v>779</v>
      </c>
      <c r="D194" s="429" t="s">
        <v>72</v>
      </c>
      <c r="E194" s="599"/>
      <c r="F194" s="339" t="s">
        <v>767</v>
      </c>
      <c r="G194" s="429" t="s">
        <v>923</v>
      </c>
      <c r="H194" s="606"/>
      <c r="I194" s="339" t="s">
        <v>767</v>
      </c>
      <c r="J194" s="682"/>
      <c r="K194" s="682"/>
      <c r="L194" s="683"/>
      <c r="M194" s="289"/>
      <c r="N194" s="346"/>
      <c r="O194" s="289"/>
      <c r="P194" s="289"/>
      <c r="Q194" s="289"/>
      <c r="R194" s="289"/>
      <c r="S194" s="289"/>
      <c r="T194" s="289"/>
      <c r="U194" s="289"/>
      <c r="V194" s="289"/>
      <c r="W194" s="289"/>
      <c r="X194" s="289"/>
      <c r="Y194" s="289"/>
      <c r="Z194" s="289"/>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row>
    <row r="195" spans="1:52" ht="15.5" customHeight="1" x14ac:dyDescent="0.45">
      <c r="A195" s="289"/>
      <c r="B195" s="343"/>
      <c r="C195" s="663" t="s">
        <v>779</v>
      </c>
      <c r="D195" s="666" t="s">
        <v>2238</v>
      </c>
      <c r="E195" s="605"/>
      <c r="F195" s="339" t="s">
        <v>767</v>
      </c>
      <c r="G195"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195" s="729"/>
      <c r="I195" s="339" t="s">
        <v>767</v>
      </c>
      <c r="J195" s="757" t="s">
        <v>2142</v>
      </c>
      <c r="K195" s="758"/>
      <c r="L195" s="683"/>
      <c r="M195" s="746" t="s">
        <v>780</v>
      </c>
      <c r="N195" s="770" t="s">
        <v>1079</v>
      </c>
      <c r="O195" s="584"/>
      <c r="P195" s="321"/>
      <c r="Q195" s="289"/>
      <c r="R195" s="289"/>
      <c r="S195" s="289"/>
      <c r="T195" s="289"/>
      <c r="U195" s="289"/>
      <c r="V195" s="289"/>
      <c r="W195" s="289"/>
      <c r="X195" s="289"/>
      <c r="Y195" s="289"/>
      <c r="Z195" s="289"/>
      <c r="AA195" s="289"/>
      <c r="AB195" s="289"/>
      <c r="AC195" s="289"/>
      <c r="AD195" s="289" t="b">
        <f ca="1">AND(
    NOT(
        AND(H196 = "", B194 &lt;&gt; "", OR(B193 = "Verblijf", B193 = "Daghulp"))
    ),
    NOT(
        AND(E198 = "", B194 &lt;&gt; "")
    ),
    NOT(
        AND(H198 = "", B194 &lt;&gt; "", OR(B193 = "Verblijf", B193 = "Daghulp"))
    ),
    NOT(
        AND(H197 = "", B194 &lt;&gt; "", OR(B193 = "Verblijf", B193 = "Daghulp"))
    ),
    NOT(
        AND(H194 = "", B194 &lt;&gt; "")
    ),
    NOT(
        AND(E197 = "", B194 &lt;&gt; "")
    ),
    NOT(
        AND(E196 = "", B194 &lt;&gt; "", Initialisatie!$C$6 &lt;&gt; "Ja")
    ),
    NOT(
        AND(E195 = "", B194 &lt;&gt; "", B193 = "Ambulant")
    ),
    NOT(
        AND(E194 = "", B194 &lt;&gt; "")
    ),
    NOT(
        AND(H195 = "", B194 &lt;&gt; "", OR(B193 = "Verblijf", B193 = "Daghulp"))
    )
)</f>
        <v>1</v>
      </c>
      <c r="AE195" s="289" t="b">
        <f ca="1">AND(
    NOT(
        AND(E198 = "", B194 &lt;&gt; "")
    ),
    NOT(
        AND(E197 = "", B194 &lt;&gt; "")
    ),
    NOT(
        AND(E196 = "", B194 &lt;&gt; "", Initialisatie!$C$6 &lt;&gt; "Ja")
    ),
    NOT(
        AND(E195 = "", B194 &lt;&gt; "", B193 = "Ambulant")
    ),
    NOT(
        AND(E194 = "", B194 &lt;&gt; "")
    )
)</f>
        <v>1</v>
      </c>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row>
    <row r="196" spans="1:52" ht="15.5" customHeight="1" thickBot="1" x14ac:dyDescent="0.5">
      <c r="A196" s="289"/>
      <c r="B196" s="343"/>
      <c r="C196" s="663" t="s">
        <v>779</v>
      </c>
      <c r="D196" s="666" t="s">
        <v>2239</v>
      </c>
      <c r="E196" s="605"/>
      <c r="F196" s="339" t="s">
        <v>767</v>
      </c>
      <c r="G196" s="666" t="s">
        <v>781</v>
      </c>
      <c r="H196" s="729"/>
      <c r="I196" s="339" t="s">
        <v>767</v>
      </c>
      <c r="J196" s="759"/>
      <c r="K196" s="760"/>
      <c r="L196" s="683"/>
      <c r="M196" s="746"/>
      <c r="N196" s="770"/>
      <c r="O196" s="584"/>
      <c r="P196" s="321"/>
      <c r="Q196" s="289"/>
      <c r="R196" s="289"/>
      <c r="S196" s="289"/>
      <c r="T196" s="289"/>
      <c r="U196" s="289"/>
      <c r="V196" s="289"/>
      <c r="W196" s="289"/>
      <c r="X196" s="289"/>
      <c r="Y196" s="289"/>
      <c r="Z196" s="289"/>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row>
    <row r="197" spans="1:52" ht="15.5" customHeight="1" x14ac:dyDescent="0.45">
      <c r="A197" s="289"/>
      <c r="B197" s="343"/>
      <c r="C197" s="663" t="s">
        <v>779</v>
      </c>
      <c r="D197" s="666" t="s">
        <v>2240</v>
      </c>
      <c r="E197" s="605"/>
      <c r="F197" s="339" t="s">
        <v>767</v>
      </c>
      <c r="G197"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197" s="672"/>
      <c r="I197" s="339" t="s">
        <v>767</v>
      </c>
      <c r="J197" s="753" t="str" cm="1">
        <f t="array" aca="1" ref="J197" ca="1">IF(
    B194="",
    "",
    IF(
        AND(
            INDEX('2. Output kostprijs'!$77:$77, 1, 5 + (ROW()-5)/7*2)&lt;&gt;"",
            INDEX('2. Output kostprijs'!$78:$78, 1, 5 + (ROW()-5)/7*2)&lt;&gt;""
        ),
        ROUND(
            INDEX('2. Output kostprijs'!$77:$77, 1, 5 + (ROW()-5)/7*2),
            0
        )
        &amp; " uren" &amp; CHAR(10) &amp; "("
        &amp; ROUND( 100 *
            INDEX('2. Output kostprijs'!$78:$78, 1, 5 + (ROW()-5)/7*2),
            1
        )
        &amp; "%)",
        "-"
    )
)</f>
        <v/>
      </c>
      <c r="K197" s="754"/>
      <c r="L197" s="683"/>
      <c r="M197" s="746"/>
      <c r="N197" s="770"/>
      <c r="O197" s="584"/>
      <c r="P197" s="321"/>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row>
    <row r="198" spans="1:52" ht="16.149999999999999" thickBot="1" x14ac:dyDescent="0.5">
      <c r="A198" s="289"/>
      <c r="B198" s="343"/>
      <c r="C198" s="663" t="s">
        <v>779</v>
      </c>
      <c r="D198" s="667" t="str">
        <f ca="1">IF(B193="Verblijf", "Bezettingsgraad (%)", "No show (%)")</f>
        <v>No show (%)</v>
      </c>
      <c r="E198" s="669"/>
      <c r="F198" s="339" t="s">
        <v>767</v>
      </c>
      <c r="G198"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198" s="673"/>
      <c r="I198" s="339" t="s">
        <v>767</v>
      </c>
      <c r="J198" s="755"/>
      <c r="K198" s="756"/>
      <c r="L198" s="683"/>
      <c r="M198" s="289"/>
      <c r="N198" s="346"/>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row>
    <row r="199" spans="1:52" ht="16.149999999999999" thickBot="1" x14ac:dyDescent="0.5">
      <c r="A199" s="289"/>
      <c r="B199" s="421"/>
      <c r="C199" s="664" t="s">
        <v>779</v>
      </c>
      <c r="D199" s="660"/>
      <c r="E199" s="670"/>
      <c r="F199" s="665"/>
      <c r="G199" s="426"/>
      <c r="H199" s="674"/>
      <c r="I199" s="676"/>
      <c r="J199" s="684"/>
      <c r="K199" s="684"/>
      <c r="L199" s="685"/>
      <c r="M199" s="289"/>
      <c r="N199" s="346"/>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row>
    <row r="200" spans="1:52" ht="16.149999999999999" thickBot="1" x14ac:dyDescent="0.55000000000000004">
      <c r="A200" s="289"/>
      <c r="B200" s="582" t="str">
        <f ca="1">IF(B201="","",
IF(
   OR(
      INDIRECT("'1a. Input organisatieniveau'!AC" &amp; (7 + INT((ROW()-4)/7)))="",
      INDIRECT("'1a. Input organisatieniveau'!AC" &amp; (7 + INT((ROW()-4)/7)))=0
   ),
   "",
   INDIRECT("'1a. Input organisatieniveau'!AC" &amp; (7 + INT((ROW()-4)/7)))
))</f>
        <v/>
      </c>
      <c r="C200" s="661" t="s">
        <v>779</v>
      </c>
      <c r="D200" s="428"/>
      <c r="E200" s="668"/>
      <c r="F200" s="662"/>
      <c r="G200" s="428"/>
      <c r="H200" s="671"/>
      <c r="I200" s="675"/>
      <c r="J200" s="680"/>
      <c r="K200" s="680"/>
      <c r="L200" s="681"/>
      <c r="M200" s="12"/>
      <c r="N200" s="346"/>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row>
    <row r="201" spans="1:52" ht="16.149999999999999" thickBot="1" x14ac:dyDescent="0.5">
      <c r="A201" s="289"/>
      <c r="B201" s="583" t="str">
        <f ca="1">IF(
   OR(
      INDIRECT("'1a. Input organisatieniveau'!AA" &amp; (7 + INT((ROW()-4)/7)))="",
      INDIRECT("'1a. Input organisatieniveau'!AA" &amp; (7 + INT((ROW()-4)/7)))=0
   ),
   "",
   INDIRECT("'1a. Input organisatieniveau'!AA" &amp; (7 + INT((ROW()-4)/7)))
)</f>
        <v/>
      </c>
      <c r="C201" s="663" t="s">
        <v>779</v>
      </c>
      <c r="D201" s="429" t="s">
        <v>72</v>
      </c>
      <c r="E201" s="599"/>
      <c r="F201" s="339" t="s">
        <v>767</v>
      </c>
      <c r="G201" s="429" t="s">
        <v>923</v>
      </c>
      <c r="H201" s="606"/>
      <c r="I201" s="339" t="s">
        <v>767</v>
      </c>
      <c r="J201" s="682"/>
      <c r="K201" s="682"/>
      <c r="L201" s="683"/>
      <c r="M201" s="289"/>
      <c r="N201" s="346"/>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c r="AW201" s="289"/>
      <c r="AX201" s="289"/>
      <c r="AY201" s="289"/>
      <c r="AZ201" s="289"/>
    </row>
    <row r="202" spans="1:52" ht="15.5" customHeight="1" x14ac:dyDescent="0.45">
      <c r="A202" s="289"/>
      <c r="B202" s="343"/>
      <c r="C202" s="663" t="s">
        <v>779</v>
      </c>
      <c r="D202" s="666" t="s">
        <v>2238</v>
      </c>
      <c r="E202" s="605"/>
      <c r="F202" s="339" t="s">
        <v>767</v>
      </c>
      <c r="G202"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02" s="729"/>
      <c r="I202" s="339" t="s">
        <v>767</v>
      </c>
      <c r="J202" s="757" t="s">
        <v>2142</v>
      </c>
      <c r="K202" s="758"/>
      <c r="L202" s="683"/>
      <c r="M202" s="746" t="s">
        <v>780</v>
      </c>
      <c r="N202" s="770" t="s">
        <v>1079</v>
      </c>
      <c r="O202" s="584"/>
      <c r="P202" s="321"/>
      <c r="Q202" s="289"/>
      <c r="R202" s="289"/>
      <c r="S202" s="289"/>
      <c r="T202" s="289"/>
      <c r="U202" s="289"/>
      <c r="V202" s="289"/>
      <c r="W202" s="289"/>
      <c r="X202" s="289"/>
      <c r="Y202" s="289"/>
      <c r="Z202" s="289"/>
      <c r="AA202" s="289"/>
      <c r="AB202" s="289"/>
      <c r="AC202" s="289"/>
      <c r="AD202" s="289" t="b">
        <f ca="1">AND(
    NOT(
        AND(H203 = "", B201 &lt;&gt; "", OR(B200 = "Verblijf", B200 = "Daghulp"))
    ),
    NOT(
        AND(E205 = "", B201 &lt;&gt; "")
    ),
    NOT(
        AND(H205 = "", B201 &lt;&gt; "", OR(B200 = "Verblijf", B200 = "Daghulp"))
    ),
    NOT(
        AND(H204 = "", B201 &lt;&gt; "", OR(B200 = "Verblijf", B200 = "Daghulp"))
    ),
    NOT(
        AND(H201 = "", B201 &lt;&gt; "")
    ),
    NOT(
        AND(E204 = "", B201 &lt;&gt; "")
    ),
    NOT(
        AND(E203 = "", B201 &lt;&gt; "", Initialisatie!$C$6 &lt;&gt; "Ja")
    ),
    NOT(
        AND(E202 = "", B201 &lt;&gt; "", B200 = "Ambulant")
    ),
    NOT(
        AND(E201 = "", B201 &lt;&gt; "")
    ),
    NOT(
        AND(H202 = "", B201 &lt;&gt; "", OR(B200 = "Verblijf", B200 = "Daghulp"))
    )
)</f>
        <v>1</v>
      </c>
      <c r="AE202" s="289" t="b">
        <f ca="1">AND(
    NOT(
        AND(E205 = "", B201 &lt;&gt; "")
    ),
    NOT(
        AND(E204 = "", B201 &lt;&gt; "")
    ),
    NOT(
        AND(E203 = "", B201 &lt;&gt; "", Initialisatie!$C$6 &lt;&gt; "Ja")
    ),
    NOT(
        AND(E202 = "", B201 &lt;&gt; "", B200 = "Ambulant")
    ),
    NOT(
        AND(E201 = "", B201 &lt;&gt; "")
    )
)</f>
        <v>1</v>
      </c>
      <c r="AF202" s="289"/>
      <c r="AG202" s="289"/>
      <c r="AH202" s="289"/>
      <c r="AI202" s="289"/>
      <c r="AJ202" s="289"/>
      <c r="AK202" s="289"/>
      <c r="AL202" s="289"/>
      <c r="AM202" s="289"/>
      <c r="AN202" s="289"/>
      <c r="AO202" s="289"/>
      <c r="AP202" s="289"/>
      <c r="AQ202" s="289"/>
      <c r="AR202" s="289"/>
      <c r="AS202" s="289"/>
      <c r="AT202" s="289"/>
      <c r="AU202" s="289"/>
      <c r="AV202" s="289"/>
      <c r="AW202" s="289"/>
      <c r="AX202" s="289"/>
      <c r="AY202" s="289"/>
      <c r="AZ202" s="289"/>
    </row>
    <row r="203" spans="1:52" ht="15.5" customHeight="1" thickBot="1" x14ac:dyDescent="0.5">
      <c r="A203" s="289"/>
      <c r="B203" s="343"/>
      <c r="C203" s="663" t="s">
        <v>779</v>
      </c>
      <c r="D203" s="666" t="s">
        <v>2239</v>
      </c>
      <c r="E203" s="605"/>
      <c r="F203" s="339" t="s">
        <v>767</v>
      </c>
      <c r="G203" s="666" t="s">
        <v>781</v>
      </c>
      <c r="H203" s="729"/>
      <c r="I203" s="339" t="s">
        <v>767</v>
      </c>
      <c r="J203" s="759"/>
      <c r="K203" s="760"/>
      <c r="L203" s="683"/>
      <c r="M203" s="746"/>
      <c r="N203" s="770"/>
      <c r="O203" s="584"/>
      <c r="P203" s="321"/>
      <c r="Q203" s="289"/>
      <c r="R203" s="289"/>
      <c r="S203" s="289"/>
      <c r="T203" s="289"/>
      <c r="U203" s="289"/>
      <c r="V203" s="289"/>
      <c r="W203" s="289"/>
      <c r="X203" s="289"/>
      <c r="Y203" s="289"/>
      <c r="Z203" s="289"/>
      <c r="AA203" s="289"/>
      <c r="AB203" s="289"/>
      <c r="AC203" s="289"/>
      <c r="AD203" s="289"/>
      <c r="AE203" s="289"/>
      <c r="AF203" s="289"/>
      <c r="AG203" s="289"/>
      <c r="AH203" s="289"/>
      <c r="AI203" s="289"/>
      <c r="AJ203" s="289"/>
      <c r="AK203" s="289"/>
      <c r="AL203" s="289"/>
      <c r="AM203" s="289"/>
      <c r="AN203" s="289"/>
      <c r="AO203" s="289"/>
      <c r="AP203" s="289"/>
      <c r="AQ203" s="289"/>
      <c r="AR203" s="289"/>
      <c r="AS203" s="289"/>
      <c r="AT203" s="289"/>
      <c r="AU203" s="289"/>
      <c r="AV203" s="289"/>
      <c r="AW203" s="289"/>
      <c r="AX203" s="289"/>
      <c r="AY203" s="289"/>
      <c r="AZ203" s="289"/>
    </row>
    <row r="204" spans="1:52" ht="15.5" customHeight="1" x14ac:dyDescent="0.45">
      <c r="A204" s="289"/>
      <c r="B204" s="343"/>
      <c r="C204" s="663" t="s">
        <v>779</v>
      </c>
      <c r="D204" s="666" t="s">
        <v>2240</v>
      </c>
      <c r="E204" s="605"/>
      <c r="F204" s="339" t="s">
        <v>767</v>
      </c>
      <c r="G204"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04" s="672"/>
      <c r="I204" s="339" t="s">
        <v>767</v>
      </c>
      <c r="J204" s="753" t="str" cm="1">
        <f t="array" aca="1" ref="J204" ca="1">IF(
    B201="",
    "",
    IF(
        AND(
            INDEX('2. Output kostprijs'!$77:$77, 1, 5 + (ROW()-5)/7*2)&lt;&gt;"",
            INDEX('2. Output kostprijs'!$78:$78, 1, 5 + (ROW()-5)/7*2)&lt;&gt;""
        ),
        ROUND(
            INDEX('2. Output kostprijs'!$77:$77, 1, 5 + (ROW()-5)/7*2),
            0
        )
        &amp; " uren" &amp; CHAR(10) &amp; "("
        &amp; ROUND( 100 *
            INDEX('2. Output kostprijs'!$78:$78, 1, 5 + (ROW()-5)/7*2),
            1
        )
        &amp; "%)",
        "-"
    )
)</f>
        <v/>
      </c>
      <c r="K204" s="754"/>
      <c r="L204" s="683"/>
      <c r="M204" s="746"/>
      <c r="N204" s="770"/>
      <c r="O204" s="584"/>
      <c r="P204" s="321"/>
      <c r="Q204" s="289"/>
      <c r="R204" s="289"/>
      <c r="S204" s="289"/>
      <c r="T204" s="289"/>
      <c r="U204" s="289"/>
      <c r="V204" s="289"/>
      <c r="W204" s="289"/>
      <c r="X204" s="289"/>
      <c r="Y204" s="289"/>
      <c r="Z204" s="289"/>
      <c r="AA204" s="289"/>
      <c r="AB204" s="289"/>
      <c r="AC204" s="289"/>
      <c r="AD204" s="289"/>
      <c r="AE204" s="289"/>
      <c r="AF204" s="289"/>
      <c r="AG204" s="289"/>
      <c r="AH204" s="289"/>
      <c r="AI204" s="289"/>
      <c r="AJ204" s="289"/>
      <c r="AK204" s="289"/>
      <c r="AL204" s="289"/>
      <c r="AM204" s="289"/>
      <c r="AN204" s="289"/>
      <c r="AO204" s="289"/>
      <c r="AP204" s="289"/>
      <c r="AQ204" s="289"/>
      <c r="AR204" s="289"/>
      <c r="AS204" s="289"/>
      <c r="AT204" s="289"/>
      <c r="AU204" s="289"/>
      <c r="AV204" s="289"/>
      <c r="AW204" s="289"/>
      <c r="AX204" s="289"/>
      <c r="AY204" s="289"/>
      <c r="AZ204" s="289"/>
    </row>
    <row r="205" spans="1:52" ht="16.149999999999999" thickBot="1" x14ac:dyDescent="0.5">
      <c r="A205" s="289"/>
      <c r="B205" s="343"/>
      <c r="C205" s="663" t="s">
        <v>779</v>
      </c>
      <c r="D205" s="667" t="str">
        <f ca="1">IF(B200="Verblijf", "Bezettingsgraad (%)", "No show (%)")</f>
        <v>No show (%)</v>
      </c>
      <c r="E205" s="669"/>
      <c r="F205" s="339" t="s">
        <v>767</v>
      </c>
      <c r="G205"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05" s="673"/>
      <c r="I205" s="339" t="s">
        <v>767</v>
      </c>
      <c r="J205" s="755"/>
      <c r="K205" s="756"/>
      <c r="L205" s="683"/>
      <c r="M205" s="289"/>
      <c r="N205" s="346"/>
      <c r="O205" s="289"/>
      <c r="P205" s="289"/>
      <c r="Q205" s="289"/>
      <c r="R205" s="289"/>
      <c r="S205" s="289"/>
      <c r="T205" s="289"/>
      <c r="U205" s="289"/>
      <c r="V205" s="289"/>
      <c r="W205" s="289"/>
      <c r="X205" s="289"/>
      <c r="Y205" s="289"/>
      <c r="Z205" s="289"/>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c r="AW205" s="289"/>
      <c r="AX205" s="289"/>
      <c r="AY205" s="289"/>
      <c r="AZ205" s="289"/>
    </row>
    <row r="206" spans="1:52" ht="16.149999999999999" thickBot="1" x14ac:dyDescent="0.5">
      <c r="A206" s="289"/>
      <c r="B206" s="421"/>
      <c r="C206" s="664" t="s">
        <v>779</v>
      </c>
      <c r="D206" s="660"/>
      <c r="E206" s="670"/>
      <c r="F206" s="665"/>
      <c r="G206" s="426"/>
      <c r="H206" s="674"/>
      <c r="I206" s="676"/>
      <c r="J206" s="684"/>
      <c r="K206" s="684"/>
      <c r="L206" s="685"/>
      <c r="M206" s="289"/>
      <c r="N206" s="346"/>
      <c r="O206" s="289"/>
      <c r="P206" s="289"/>
      <c r="Q206" s="289"/>
      <c r="R206" s="289"/>
      <c r="S206" s="289"/>
      <c r="T206" s="289"/>
      <c r="U206" s="289"/>
      <c r="V206" s="289"/>
      <c r="W206" s="289"/>
      <c r="X206" s="289"/>
      <c r="Y206" s="289"/>
      <c r="Z206" s="289"/>
      <c r="AA206" s="289"/>
      <c r="AB206" s="289"/>
      <c r="AC206" s="289"/>
      <c r="AD206" s="289"/>
      <c r="AE206" s="289"/>
      <c r="AF206" s="289"/>
      <c r="AG206" s="289"/>
      <c r="AH206" s="289"/>
      <c r="AI206" s="289"/>
      <c r="AJ206" s="289"/>
      <c r="AK206" s="289"/>
      <c r="AL206" s="289"/>
      <c r="AM206" s="289"/>
      <c r="AN206" s="289"/>
      <c r="AO206" s="289"/>
      <c r="AP206" s="289"/>
      <c r="AQ206" s="289"/>
      <c r="AR206" s="289"/>
      <c r="AS206" s="289"/>
      <c r="AT206" s="289"/>
      <c r="AU206" s="289"/>
      <c r="AV206" s="289"/>
      <c r="AW206" s="289"/>
      <c r="AX206" s="289"/>
      <c r="AY206" s="289"/>
      <c r="AZ206" s="289"/>
    </row>
    <row r="207" spans="1:52" ht="16.149999999999999" thickBot="1" x14ac:dyDescent="0.55000000000000004">
      <c r="A207" s="289"/>
      <c r="B207" s="582" t="str">
        <f ca="1">IF(B208="","",
IF(
   OR(
      INDIRECT("'1a. Input organisatieniveau'!AC" &amp; (7 + INT((ROW()-4)/7)))="",
      INDIRECT("'1a. Input organisatieniveau'!AC" &amp; (7 + INT((ROW()-4)/7)))=0
   ),
   "",
   INDIRECT("'1a. Input organisatieniveau'!AC" &amp; (7 + INT((ROW()-4)/7)))
))</f>
        <v/>
      </c>
      <c r="C207" s="661" t="s">
        <v>779</v>
      </c>
      <c r="D207" s="428"/>
      <c r="E207" s="668"/>
      <c r="F207" s="662"/>
      <c r="G207" s="428"/>
      <c r="H207" s="671"/>
      <c r="I207" s="675"/>
      <c r="J207" s="680"/>
      <c r="K207" s="680"/>
      <c r="L207" s="681"/>
      <c r="M207" s="12"/>
      <c r="N207" s="346"/>
      <c r="O207" s="289"/>
      <c r="P207" s="289"/>
      <c r="Q207" s="289"/>
      <c r="R207" s="289"/>
      <c r="S207" s="289"/>
      <c r="T207" s="289"/>
      <c r="U207" s="289"/>
      <c r="V207" s="289"/>
      <c r="W207" s="289"/>
      <c r="X207" s="289"/>
      <c r="Y207" s="289"/>
      <c r="Z207" s="289"/>
      <c r="AA207" s="289"/>
      <c r="AB207" s="289"/>
      <c r="AC207" s="289"/>
      <c r="AD207" s="289"/>
      <c r="AE207" s="289"/>
      <c r="AF207" s="289"/>
      <c r="AG207" s="289"/>
      <c r="AH207" s="289"/>
      <c r="AI207" s="289"/>
      <c r="AJ207" s="289"/>
      <c r="AK207" s="289"/>
      <c r="AL207" s="289"/>
      <c r="AM207" s="289"/>
      <c r="AN207" s="289"/>
      <c r="AO207" s="289"/>
      <c r="AP207" s="289"/>
      <c r="AQ207" s="289"/>
      <c r="AR207" s="289"/>
      <c r="AS207" s="289"/>
      <c r="AT207" s="289"/>
      <c r="AU207" s="289"/>
      <c r="AV207" s="289"/>
      <c r="AW207" s="289"/>
      <c r="AX207" s="289"/>
      <c r="AY207" s="289"/>
      <c r="AZ207" s="289"/>
    </row>
    <row r="208" spans="1:52" ht="16.149999999999999" thickBot="1" x14ac:dyDescent="0.5">
      <c r="A208" s="289"/>
      <c r="B208" s="583" t="str">
        <f ca="1">IF(
   OR(
      INDIRECT("'1a. Input organisatieniveau'!AA" &amp; (7 + INT((ROW()-4)/7)))="",
      INDIRECT("'1a. Input organisatieniveau'!AA" &amp; (7 + INT((ROW()-4)/7)))=0
   ),
   "",
   INDIRECT("'1a. Input organisatieniveau'!AA" &amp; (7 + INT((ROW()-4)/7)))
)</f>
        <v/>
      </c>
      <c r="C208" s="663" t="s">
        <v>779</v>
      </c>
      <c r="D208" s="429" t="s">
        <v>72</v>
      </c>
      <c r="E208" s="599"/>
      <c r="F208" s="339" t="s">
        <v>767</v>
      </c>
      <c r="G208" s="429" t="s">
        <v>923</v>
      </c>
      <c r="H208" s="606"/>
      <c r="I208" s="339" t="s">
        <v>767</v>
      </c>
      <c r="J208" s="682"/>
      <c r="K208" s="682"/>
      <c r="L208" s="683"/>
      <c r="M208" s="289"/>
      <c r="N208" s="346"/>
      <c r="O208" s="289"/>
      <c r="P208" s="289"/>
      <c r="Q208" s="289"/>
      <c r="R208" s="289"/>
      <c r="S208" s="289"/>
      <c r="T208" s="289"/>
      <c r="U208" s="289"/>
      <c r="V208" s="289"/>
      <c r="W208" s="289"/>
      <c r="X208" s="289"/>
      <c r="Y208" s="289"/>
      <c r="Z208" s="289"/>
      <c r="AA208" s="289"/>
      <c r="AB208" s="289"/>
      <c r="AC208" s="289"/>
      <c r="AD208" s="289"/>
      <c r="AE208" s="289"/>
      <c r="AF208" s="289"/>
      <c r="AG208" s="289"/>
      <c r="AH208" s="289"/>
      <c r="AI208" s="289"/>
      <c r="AJ208" s="289"/>
      <c r="AK208" s="289"/>
      <c r="AL208" s="289"/>
      <c r="AM208" s="289"/>
      <c r="AN208" s="289"/>
      <c r="AO208" s="289"/>
      <c r="AP208" s="289"/>
      <c r="AQ208" s="289"/>
      <c r="AR208" s="289"/>
      <c r="AS208" s="289"/>
      <c r="AT208" s="289"/>
      <c r="AU208" s="289"/>
      <c r="AV208" s="289"/>
      <c r="AW208" s="289"/>
      <c r="AX208" s="289"/>
      <c r="AY208" s="289"/>
      <c r="AZ208" s="289"/>
    </row>
    <row r="209" spans="1:52" ht="15.5" customHeight="1" x14ac:dyDescent="0.45">
      <c r="A209" s="289"/>
      <c r="B209" s="343"/>
      <c r="C209" s="663" t="s">
        <v>779</v>
      </c>
      <c r="D209" s="666" t="s">
        <v>2238</v>
      </c>
      <c r="E209" s="605"/>
      <c r="F209" s="339" t="s">
        <v>767</v>
      </c>
      <c r="G209"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09" s="729"/>
      <c r="I209" s="339" t="s">
        <v>767</v>
      </c>
      <c r="J209" s="757" t="s">
        <v>2142</v>
      </c>
      <c r="K209" s="758"/>
      <c r="L209" s="683"/>
      <c r="M209" s="746" t="s">
        <v>780</v>
      </c>
      <c r="N209" s="770" t="s">
        <v>1079</v>
      </c>
      <c r="O209" s="584"/>
      <c r="P209" s="321"/>
      <c r="Q209" s="289"/>
      <c r="R209" s="289"/>
      <c r="S209" s="289"/>
      <c r="T209" s="289"/>
      <c r="U209" s="289"/>
      <c r="V209" s="289"/>
      <c r="W209" s="289"/>
      <c r="X209" s="289"/>
      <c r="Y209" s="289"/>
      <c r="Z209" s="289"/>
      <c r="AA209" s="289"/>
      <c r="AB209" s="289"/>
      <c r="AC209" s="289"/>
      <c r="AD209" s="289" t="b">
        <f ca="1">AND(
    NOT(
        AND(H210 = "", B208 &lt;&gt; "", OR(B207 = "Verblijf", B207 = "Daghulp"))
    ),
    NOT(
        AND(E212 = "", B208 &lt;&gt; "")
    ),
    NOT(
        AND(H212 = "", B208 &lt;&gt; "", OR(B207 = "Verblijf", B207 = "Daghulp"))
    ),
    NOT(
        AND(H211 = "", B208 &lt;&gt; "", OR(B207 = "Verblijf", B207 = "Daghulp"))
    ),
    NOT(
        AND(H208 = "", B208 &lt;&gt; "")
    ),
    NOT(
        AND(E211 = "", B208 &lt;&gt; "")
    ),
    NOT(
        AND(E210 = "", B208 &lt;&gt; "", Initialisatie!$C$6 &lt;&gt; "Ja")
    ),
    NOT(
        AND(E209 = "", B208 &lt;&gt; "", B207 = "Ambulant")
    ),
    NOT(
        AND(E208 = "", B208 &lt;&gt; "")
    ),
    NOT(
        AND(H209 = "", B208 &lt;&gt; "", OR(B207 = "Verblijf", B207 = "Daghulp"))
    )
)</f>
        <v>1</v>
      </c>
      <c r="AE209" s="289" t="b">
        <f ca="1">AND(
    NOT(
        AND(E212 = "", B208 &lt;&gt; "")
    ),
    NOT(
        AND(E211 = "", B208 &lt;&gt; "")
    ),
    NOT(
        AND(E210 = "", B208 &lt;&gt; "", Initialisatie!$C$6 &lt;&gt; "Ja")
    ),
    NOT(
        AND(E209 = "", B208 &lt;&gt; "", B207 = "Ambulant")
    ),
    NOT(
        AND(E208 = "", B208 &lt;&gt; "")
    )
)</f>
        <v>1</v>
      </c>
      <c r="AF209" s="289"/>
      <c r="AG209" s="289"/>
      <c r="AH209" s="289"/>
      <c r="AI209" s="289"/>
      <c r="AJ209" s="289"/>
      <c r="AK209" s="289"/>
      <c r="AL209" s="289"/>
      <c r="AM209" s="289"/>
      <c r="AN209" s="289"/>
      <c r="AO209" s="289"/>
      <c r="AP209" s="289"/>
      <c r="AQ209" s="289"/>
      <c r="AR209" s="289"/>
      <c r="AS209" s="289"/>
      <c r="AT209" s="289"/>
      <c r="AU209" s="289"/>
      <c r="AV209" s="289"/>
      <c r="AW209" s="289"/>
      <c r="AX209" s="289"/>
      <c r="AY209" s="289"/>
      <c r="AZ209" s="289"/>
    </row>
    <row r="210" spans="1:52" ht="15.5" customHeight="1" thickBot="1" x14ac:dyDescent="0.5">
      <c r="A210" s="289"/>
      <c r="B210" s="343"/>
      <c r="C210" s="663" t="s">
        <v>779</v>
      </c>
      <c r="D210" s="666" t="s">
        <v>2239</v>
      </c>
      <c r="E210" s="605"/>
      <c r="F210" s="339" t="s">
        <v>767</v>
      </c>
      <c r="G210" s="666" t="s">
        <v>781</v>
      </c>
      <c r="H210" s="729"/>
      <c r="I210" s="339" t="s">
        <v>767</v>
      </c>
      <c r="J210" s="759"/>
      <c r="K210" s="760"/>
      <c r="L210" s="683"/>
      <c r="M210" s="746"/>
      <c r="N210" s="770"/>
      <c r="O210" s="584"/>
      <c r="P210" s="321"/>
      <c r="Q210" s="289"/>
      <c r="R210" s="289"/>
      <c r="S210" s="289"/>
      <c r="T210" s="289"/>
      <c r="U210" s="289"/>
      <c r="V210" s="289"/>
      <c r="W210" s="289"/>
      <c r="X210" s="289"/>
      <c r="Y210" s="289"/>
      <c r="Z210" s="289"/>
      <c r="AA210" s="289"/>
      <c r="AB210" s="289"/>
      <c r="AC210" s="289"/>
      <c r="AD210" s="289"/>
      <c r="AE210" s="289"/>
      <c r="AF210" s="289"/>
      <c r="AG210" s="289"/>
      <c r="AH210" s="289"/>
      <c r="AI210" s="289"/>
      <c r="AJ210" s="289"/>
      <c r="AK210" s="289"/>
      <c r="AL210" s="289"/>
      <c r="AM210" s="289"/>
      <c r="AN210" s="289"/>
      <c r="AO210" s="289"/>
      <c r="AP210" s="289"/>
      <c r="AQ210" s="289"/>
      <c r="AR210" s="289"/>
      <c r="AS210" s="289"/>
      <c r="AT210" s="289"/>
      <c r="AU210" s="289"/>
      <c r="AV210" s="289"/>
      <c r="AW210" s="289"/>
      <c r="AX210" s="289"/>
      <c r="AY210" s="289"/>
      <c r="AZ210" s="289"/>
    </row>
    <row r="211" spans="1:52" ht="15.5" customHeight="1" x14ac:dyDescent="0.45">
      <c r="A211" s="289"/>
      <c r="B211" s="343"/>
      <c r="C211" s="663" t="s">
        <v>779</v>
      </c>
      <c r="D211" s="666" t="s">
        <v>2240</v>
      </c>
      <c r="E211" s="605"/>
      <c r="F211" s="339" t="s">
        <v>767</v>
      </c>
      <c r="G211"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11" s="672"/>
      <c r="I211" s="339" t="s">
        <v>767</v>
      </c>
      <c r="J211" s="753" t="str" cm="1">
        <f t="array" aca="1" ref="J211" ca="1">IF(
    B208="",
    "",
    IF(
        AND(
            INDEX('2. Output kostprijs'!$77:$77, 1, 5 + (ROW()-5)/7*2)&lt;&gt;"",
            INDEX('2. Output kostprijs'!$78:$78, 1, 5 + (ROW()-5)/7*2)&lt;&gt;""
        ),
        ROUND(
            INDEX('2. Output kostprijs'!$77:$77, 1, 5 + (ROW()-5)/7*2),
            0
        )
        &amp; " uren" &amp; CHAR(10) &amp; "("
        &amp; ROUND( 100 *
            INDEX('2. Output kostprijs'!$78:$78, 1, 5 + (ROW()-5)/7*2),
            1
        )
        &amp; "%)",
        "-"
    )
)</f>
        <v/>
      </c>
      <c r="K211" s="754"/>
      <c r="L211" s="683"/>
      <c r="M211" s="746"/>
      <c r="N211" s="770"/>
      <c r="O211" s="584"/>
      <c r="P211" s="321"/>
      <c r="Q211" s="289"/>
      <c r="R211" s="289"/>
      <c r="S211" s="289"/>
      <c r="T211" s="289"/>
      <c r="U211" s="289"/>
      <c r="V211" s="289"/>
      <c r="W211" s="289"/>
      <c r="X211" s="289"/>
      <c r="Y211" s="289"/>
      <c r="Z211" s="289"/>
      <c r="AA211" s="289"/>
      <c r="AB211" s="289"/>
      <c r="AC211" s="289"/>
      <c r="AD211" s="289"/>
      <c r="AE211" s="289"/>
      <c r="AF211" s="289"/>
      <c r="AG211" s="289"/>
      <c r="AH211" s="289"/>
      <c r="AI211" s="289"/>
      <c r="AJ211" s="289"/>
      <c r="AK211" s="289"/>
      <c r="AL211" s="289"/>
      <c r="AM211" s="289"/>
      <c r="AN211" s="289"/>
      <c r="AO211" s="289"/>
      <c r="AP211" s="289"/>
      <c r="AQ211" s="289"/>
      <c r="AR211" s="289"/>
      <c r="AS211" s="289"/>
      <c r="AT211" s="289"/>
      <c r="AU211" s="289"/>
      <c r="AV211" s="289"/>
      <c r="AW211" s="289"/>
      <c r="AX211" s="289"/>
      <c r="AY211" s="289"/>
      <c r="AZ211" s="289"/>
    </row>
    <row r="212" spans="1:52" ht="16.149999999999999" thickBot="1" x14ac:dyDescent="0.5">
      <c r="A212" s="289"/>
      <c r="B212" s="343"/>
      <c r="C212" s="663" t="s">
        <v>779</v>
      </c>
      <c r="D212" s="667" t="str">
        <f ca="1">IF(B207="Verblijf", "Bezettingsgraad (%)", "No show (%)")</f>
        <v>No show (%)</v>
      </c>
      <c r="E212" s="669"/>
      <c r="F212" s="339" t="s">
        <v>767</v>
      </c>
      <c r="G212"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12" s="673"/>
      <c r="I212" s="339" t="s">
        <v>767</v>
      </c>
      <c r="J212" s="755"/>
      <c r="K212" s="756"/>
      <c r="L212" s="683"/>
      <c r="M212" s="289"/>
      <c r="N212" s="346"/>
      <c r="O212" s="289"/>
      <c r="P212" s="289"/>
      <c r="Q212" s="289"/>
      <c r="R212" s="289"/>
      <c r="S212" s="289"/>
      <c r="T212" s="289"/>
      <c r="U212" s="289"/>
      <c r="V212" s="289"/>
      <c r="W212" s="289"/>
      <c r="X212" s="289"/>
      <c r="Y212" s="289"/>
      <c r="Z212" s="289"/>
      <c r="AA212" s="289"/>
      <c r="AB212" s="289"/>
      <c r="AC212" s="289"/>
      <c r="AD212" s="289"/>
      <c r="AE212" s="289"/>
      <c r="AF212" s="289"/>
      <c r="AG212" s="289"/>
      <c r="AH212" s="289"/>
      <c r="AI212" s="289"/>
      <c r="AJ212" s="289"/>
      <c r="AK212" s="289"/>
      <c r="AL212" s="289"/>
      <c r="AM212" s="289"/>
      <c r="AN212" s="289"/>
      <c r="AO212" s="289"/>
      <c r="AP212" s="289"/>
      <c r="AQ212" s="289"/>
      <c r="AR212" s="289"/>
      <c r="AS212" s="289"/>
      <c r="AT212" s="289"/>
      <c r="AU212" s="289"/>
      <c r="AV212" s="289"/>
      <c r="AW212" s="289"/>
      <c r="AX212" s="289"/>
      <c r="AY212" s="289"/>
      <c r="AZ212" s="289"/>
    </row>
    <row r="213" spans="1:52" ht="16.149999999999999" thickBot="1" x14ac:dyDescent="0.5">
      <c r="A213" s="289"/>
      <c r="B213" s="421"/>
      <c r="C213" s="664" t="s">
        <v>779</v>
      </c>
      <c r="D213" s="660"/>
      <c r="E213" s="670"/>
      <c r="F213" s="665"/>
      <c r="G213" s="426"/>
      <c r="H213" s="674"/>
      <c r="I213" s="676"/>
      <c r="J213" s="684"/>
      <c r="K213" s="684"/>
      <c r="L213" s="685"/>
      <c r="M213" s="289"/>
      <c r="N213" s="346"/>
      <c r="O213" s="289"/>
      <c r="P213" s="289"/>
      <c r="Q213" s="289"/>
      <c r="R213" s="289"/>
      <c r="S213" s="289"/>
      <c r="T213" s="289"/>
      <c r="U213" s="289"/>
      <c r="V213" s="289"/>
      <c r="W213" s="289"/>
      <c r="X213" s="289"/>
      <c r="Y213" s="289"/>
      <c r="Z213" s="289"/>
      <c r="AA213" s="289"/>
      <c r="AB213" s="289"/>
      <c r="AC213" s="289"/>
      <c r="AD213" s="289"/>
      <c r="AE213" s="289"/>
      <c r="AF213" s="289"/>
      <c r="AG213" s="289"/>
      <c r="AH213" s="289"/>
      <c r="AI213" s="289"/>
      <c r="AJ213" s="289"/>
      <c r="AK213" s="289"/>
      <c r="AL213" s="289"/>
      <c r="AM213" s="289"/>
      <c r="AN213" s="289"/>
      <c r="AO213" s="289"/>
      <c r="AP213" s="289"/>
      <c r="AQ213" s="289"/>
      <c r="AR213" s="289"/>
      <c r="AS213" s="289"/>
      <c r="AT213" s="289"/>
      <c r="AU213" s="289"/>
      <c r="AV213" s="289"/>
      <c r="AW213" s="289"/>
      <c r="AX213" s="289"/>
      <c r="AY213" s="289"/>
      <c r="AZ213" s="289"/>
    </row>
    <row r="214" spans="1:52" ht="16.149999999999999" thickBot="1" x14ac:dyDescent="0.55000000000000004">
      <c r="A214" s="289"/>
      <c r="B214" s="582" t="str">
        <f ca="1">IF(B215="","",
IF(
   OR(
      INDIRECT("'1a. Input organisatieniveau'!AC" &amp; (7 + INT((ROW()-4)/7)))="",
      INDIRECT("'1a. Input organisatieniveau'!AC" &amp; (7 + INT((ROW()-4)/7)))=0
   ),
   "",
   INDIRECT("'1a. Input organisatieniveau'!AC" &amp; (7 + INT((ROW()-4)/7)))
))</f>
        <v/>
      </c>
      <c r="C214" s="661" t="s">
        <v>779</v>
      </c>
      <c r="D214" s="428"/>
      <c r="E214" s="668"/>
      <c r="F214" s="662"/>
      <c r="G214" s="428"/>
      <c r="H214" s="671"/>
      <c r="I214" s="675"/>
      <c r="J214" s="680"/>
      <c r="K214" s="680"/>
      <c r="L214" s="681"/>
      <c r="M214" s="12"/>
      <c r="N214" s="346"/>
      <c r="O214" s="289"/>
      <c r="P214" s="289"/>
      <c r="Q214" s="289"/>
      <c r="R214" s="289"/>
      <c r="S214" s="289"/>
      <c r="T214" s="289"/>
      <c r="U214" s="289"/>
      <c r="V214" s="289"/>
      <c r="W214" s="289"/>
      <c r="X214" s="289"/>
      <c r="Y214" s="289"/>
      <c r="Z214" s="289"/>
      <c r="AA214" s="289"/>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c r="AW214" s="289"/>
      <c r="AX214" s="289"/>
      <c r="AY214" s="289"/>
      <c r="AZ214" s="289"/>
    </row>
    <row r="215" spans="1:52" ht="16.149999999999999" thickBot="1" x14ac:dyDescent="0.5">
      <c r="A215" s="289"/>
      <c r="B215" s="583" t="str">
        <f ca="1">IF(
   OR(
      INDIRECT("'1a. Input organisatieniveau'!AA" &amp; (7 + INT((ROW()-4)/7)))="",
      INDIRECT("'1a. Input organisatieniveau'!AA" &amp; (7 + INT((ROW()-4)/7)))=0
   ),
   "",
   INDIRECT("'1a. Input organisatieniveau'!AA" &amp; (7 + INT((ROW()-4)/7)))
)</f>
        <v/>
      </c>
      <c r="C215" s="663" t="s">
        <v>779</v>
      </c>
      <c r="D215" s="429" t="s">
        <v>72</v>
      </c>
      <c r="E215" s="599"/>
      <c r="F215" s="339" t="s">
        <v>767</v>
      </c>
      <c r="G215" s="429" t="s">
        <v>923</v>
      </c>
      <c r="H215" s="606"/>
      <c r="I215" s="339" t="s">
        <v>767</v>
      </c>
      <c r="J215" s="682"/>
      <c r="K215" s="682"/>
      <c r="L215" s="683"/>
      <c r="M215" s="289"/>
      <c r="N215" s="346"/>
      <c r="O215" s="289"/>
      <c r="P215" s="289"/>
      <c r="Q215" s="289"/>
      <c r="R215" s="289"/>
      <c r="S215" s="289"/>
      <c r="T215" s="289"/>
      <c r="U215" s="289"/>
      <c r="V215" s="289"/>
      <c r="W215" s="289"/>
      <c r="X215" s="289"/>
      <c r="Y215" s="289"/>
      <c r="Z215" s="289"/>
      <c r="AA215" s="289"/>
      <c r="AB215" s="289"/>
      <c r="AC215" s="289"/>
      <c r="AD215" s="289"/>
      <c r="AE215" s="289"/>
      <c r="AF215" s="289"/>
      <c r="AG215" s="289"/>
      <c r="AH215" s="289"/>
      <c r="AI215" s="289"/>
      <c r="AJ215" s="289"/>
      <c r="AK215" s="289"/>
      <c r="AL215" s="289"/>
      <c r="AM215" s="289"/>
      <c r="AN215" s="289"/>
      <c r="AO215" s="289"/>
      <c r="AP215" s="289"/>
      <c r="AQ215" s="289"/>
      <c r="AR215" s="289"/>
      <c r="AS215" s="289"/>
      <c r="AT215" s="289"/>
      <c r="AU215" s="289"/>
      <c r="AV215" s="289"/>
      <c r="AW215" s="289"/>
      <c r="AX215" s="289"/>
      <c r="AY215" s="289"/>
      <c r="AZ215" s="289"/>
    </row>
    <row r="216" spans="1:52" ht="15.5" customHeight="1" x14ac:dyDescent="0.45">
      <c r="A216" s="289"/>
      <c r="B216" s="343"/>
      <c r="C216" s="663" t="s">
        <v>779</v>
      </c>
      <c r="D216" s="666" t="s">
        <v>2238</v>
      </c>
      <c r="E216" s="605"/>
      <c r="F216" s="339" t="s">
        <v>767</v>
      </c>
      <c r="G216"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16" s="729"/>
      <c r="I216" s="339" t="s">
        <v>767</v>
      </c>
      <c r="J216" s="757" t="s">
        <v>2142</v>
      </c>
      <c r="K216" s="758"/>
      <c r="L216" s="683"/>
      <c r="M216" s="746" t="s">
        <v>780</v>
      </c>
      <c r="N216" s="770" t="s">
        <v>1079</v>
      </c>
      <c r="O216" s="584"/>
      <c r="P216" s="321"/>
      <c r="Q216" s="289"/>
      <c r="R216" s="289"/>
      <c r="S216" s="289"/>
      <c r="T216" s="289"/>
      <c r="U216" s="289"/>
      <c r="V216" s="289"/>
      <c r="W216" s="289"/>
      <c r="X216" s="289"/>
      <c r="Y216" s="289"/>
      <c r="Z216" s="289"/>
      <c r="AA216" s="289"/>
      <c r="AB216" s="289"/>
      <c r="AC216" s="289"/>
      <c r="AD216" s="289" t="b">
        <f ca="1">AND(
    NOT(
        AND(H217 = "", B215 &lt;&gt; "", OR(B214 = "Verblijf", B214 = "Daghulp"))
    ),
    NOT(
        AND(E219 = "", B215 &lt;&gt; "")
    ),
    NOT(
        AND(H219 = "", B215 &lt;&gt; "", OR(B214 = "Verblijf", B214 = "Daghulp"))
    ),
    NOT(
        AND(H218 = "", B215 &lt;&gt; "", OR(B214 = "Verblijf", B214 = "Daghulp"))
    ),
    NOT(
        AND(H215 = "", B215 &lt;&gt; "")
    ),
    NOT(
        AND(E218 = "", B215 &lt;&gt; "")
    ),
    NOT(
        AND(E217 = "", B215 &lt;&gt; "", Initialisatie!$C$6 &lt;&gt; "Ja")
    ),
    NOT(
        AND(E216 = "", B215 &lt;&gt; "", B214 = "Ambulant")
    ),
    NOT(
        AND(E215 = "", B215 &lt;&gt; "")
    ),
    NOT(
        AND(H216 = "", B215 &lt;&gt; "", OR(B214 = "Verblijf", B214 = "Daghulp"))
    )
)</f>
        <v>1</v>
      </c>
      <c r="AE216" s="289" t="b">
        <f ca="1">AND(
    NOT(
        AND(E219 = "", B215 &lt;&gt; "")
    ),
    NOT(
        AND(E218 = "", B215 &lt;&gt; "")
    ),
    NOT(
        AND(E217 = "", B215 &lt;&gt; "", Initialisatie!$C$6 &lt;&gt; "Ja")
    ),
    NOT(
        AND(E216 = "", B215 &lt;&gt; "", B214 = "Ambulant")
    ),
    NOT(
        AND(E215 = "", B215 &lt;&gt; "")
    )
)</f>
        <v>1</v>
      </c>
      <c r="AF216" s="289"/>
      <c r="AG216" s="289"/>
      <c r="AH216" s="289"/>
      <c r="AI216" s="289"/>
      <c r="AJ216" s="289"/>
      <c r="AK216" s="289"/>
      <c r="AL216" s="289"/>
      <c r="AM216" s="289"/>
      <c r="AN216" s="289"/>
      <c r="AO216" s="289"/>
      <c r="AP216" s="289"/>
      <c r="AQ216" s="289"/>
      <c r="AR216" s="289"/>
      <c r="AS216" s="289"/>
      <c r="AT216" s="289"/>
      <c r="AU216" s="289"/>
      <c r="AV216" s="289"/>
      <c r="AW216" s="289"/>
      <c r="AX216" s="289"/>
      <c r="AY216" s="289"/>
      <c r="AZ216" s="289"/>
    </row>
    <row r="217" spans="1:52" ht="15.5" customHeight="1" thickBot="1" x14ac:dyDescent="0.5">
      <c r="A217" s="289"/>
      <c r="B217" s="343"/>
      <c r="C217" s="663" t="s">
        <v>779</v>
      </c>
      <c r="D217" s="666" t="s">
        <v>2239</v>
      </c>
      <c r="E217" s="605"/>
      <c r="F217" s="339" t="s">
        <v>767</v>
      </c>
      <c r="G217" s="666" t="s">
        <v>781</v>
      </c>
      <c r="H217" s="729"/>
      <c r="I217" s="339" t="s">
        <v>767</v>
      </c>
      <c r="J217" s="759"/>
      <c r="K217" s="760"/>
      <c r="L217" s="683"/>
      <c r="M217" s="746"/>
      <c r="N217" s="770"/>
      <c r="O217" s="584"/>
      <c r="P217" s="321"/>
      <c r="Q217" s="289"/>
      <c r="R217" s="289"/>
      <c r="S217" s="289"/>
      <c r="T217" s="289"/>
      <c r="U217" s="289"/>
      <c r="V217" s="289"/>
      <c r="W217" s="289"/>
      <c r="X217" s="289"/>
      <c r="Y217" s="289"/>
      <c r="Z217" s="289"/>
      <c r="AA217" s="289"/>
      <c r="AB217" s="289"/>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c r="AW217" s="289"/>
      <c r="AX217" s="289"/>
      <c r="AY217" s="289"/>
      <c r="AZ217" s="289"/>
    </row>
    <row r="218" spans="1:52" ht="15.5" customHeight="1" x14ac:dyDescent="0.45">
      <c r="A218" s="289"/>
      <c r="B218" s="343"/>
      <c r="C218" s="663" t="s">
        <v>779</v>
      </c>
      <c r="D218" s="666" t="s">
        <v>2240</v>
      </c>
      <c r="E218" s="605"/>
      <c r="F218" s="339" t="s">
        <v>767</v>
      </c>
      <c r="G218"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18" s="672"/>
      <c r="I218" s="339" t="s">
        <v>767</v>
      </c>
      <c r="J218" s="753" t="str" cm="1">
        <f t="array" aca="1" ref="J218" ca="1">IF(
    B215="",
    "",
    IF(
        AND(
            INDEX('2. Output kostprijs'!$77:$77, 1, 5 + (ROW()-5)/7*2)&lt;&gt;"",
            INDEX('2. Output kostprijs'!$78:$78, 1, 5 + (ROW()-5)/7*2)&lt;&gt;""
        ),
        ROUND(
            INDEX('2. Output kostprijs'!$77:$77, 1, 5 + (ROW()-5)/7*2),
            0
        )
        &amp; " uren" &amp; CHAR(10) &amp; "("
        &amp; ROUND( 100 *
            INDEX('2. Output kostprijs'!$78:$78, 1, 5 + (ROW()-5)/7*2),
            1
        )
        &amp; "%)",
        "-"
    )
)</f>
        <v/>
      </c>
      <c r="K218" s="754"/>
      <c r="L218" s="683"/>
      <c r="M218" s="746"/>
      <c r="N218" s="770"/>
      <c r="O218" s="584"/>
      <c r="P218" s="321"/>
      <c r="Q218" s="289"/>
      <c r="R218" s="289"/>
      <c r="S218" s="289"/>
      <c r="T218" s="289"/>
      <c r="U218" s="289"/>
      <c r="V218" s="289"/>
      <c r="W218" s="289"/>
      <c r="X218" s="289"/>
      <c r="Y218" s="289"/>
      <c r="Z218" s="289"/>
      <c r="AA218" s="289"/>
      <c r="AB218" s="289"/>
      <c r="AC218" s="289"/>
      <c r="AD218" s="289"/>
      <c r="AE218" s="289"/>
      <c r="AF218" s="289"/>
      <c r="AG218" s="289"/>
      <c r="AH218" s="289"/>
      <c r="AI218" s="289"/>
      <c r="AJ218" s="289"/>
      <c r="AK218" s="289"/>
      <c r="AL218" s="289"/>
      <c r="AM218" s="289"/>
      <c r="AN218" s="289"/>
      <c r="AO218" s="289"/>
      <c r="AP218" s="289"/>
      <c r="AQ218" s="289"/>
      <c r="AR218" s="289"/>
      <c r="AS218" s="289"/>
      <c r="AT218" s="289"/>
      <c r="AU218" s="289"/>
      <c r="AV218" s="289"/>
      <c r="AW218" s="289"/>
      <c r="AX218" s="289"/>
      <c r="AY218" s="289"/>
      <c r="AZ218" s="289"/>
    </row>
    <row r="219" spans="1:52" ht="16.149999999999999" thickBot="1" x14ac:dyDescent="0.5">
      <c r="A219" s="289"/>
      <c r="B219" s="343"/>
      <c r="C219" s="663" t="s">
        <v>779</v>
      </c>
      <c r="D219" s="667" t="str">
        <f ca="1">IF(B214="Verblijf", "Bezettingsgraad (%)", "No show (%)")</f>
        <v>No show (%)</v>
      </c>
      <c r="E219" s="669"/>
      <c r="F219" s="339" t="s">
        <v>767</v>
      </c>
      <c r="G219"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19" s="673"/>
      <c r="I219" s="339" t="s">
        <v>767</v>
      </c>
      <c r="J219" s="755"/>
      <c r="K219" s="756"/>
      <c r="L219" s="683"/>
      <c r="M219" s="289"/>
      <c r="N219" s="346"/>
      <c r="O219" s="289"/>
      <c r="P219" s="289"/>
      <c r="Q219" s="289"/>
      <c r="R219" s="289"/>
      <c r="S219" s="289"/>
      <c r="T219" s="289"/>
      <c r="U219" s="289"/>
      <c r="V219" s="289"/>
      <c r="W219" s="289"/>
      <c r="X219" s="289"/>
      <c r="Y219" s="289"/>
      <c r="Z219" s="289"/>
      <c r="AA219" s="289"/>
      <c r="AB219" s="289"/>
      <c r="AC219" s="289"/>
      <c r="AD219" s="289"/>
      <c r="AE219" s="289"/>
      <c r="AF219" s="289"/>
      <c r="AG219" s="289"/>
      <c r="AH219" s="289"/>
      <c r="AI219" s="289"/>
      <c r="AJ219" s="289"/>
      <c r="AK219" s="289"/>
      <c r="AL219" s="289"/>
      <c r="AM219" s="289"/>
      <c r="AN219" s="289"/>
      <c r="AO219" s="289"/>
      <c r="AP219" s="289"/>
      <c r="AQ219" s="289"/>
      <c r="AR219" s="289"/>
      <c r="AS219" s="289"/>
      <c r="AT219" s="289"/>
      <c r="AU219" s="289"/>
      <c r="AV219" s="289"/>
      <c r="AW219" s="289"/>
      <c r="AX219" s="289"/>
      <c r="AY219" s="289"/>
      <c r="AZ219" s="289"/>
    </row>
    <row r="220" spans="1:52" ht="16.149999999999999" thickBot="1" x14ac:dyDescent="0.5">
      <c r="A220" s="289"/>
      <c r="B220" s="421"/>
      <c r="C220" s="664" t="s">
        <v>779</v>
      </c>
      <c r="D220" s="660"/>
      <c r="E220" s="670"/>
      <c r="F220" s="665"/>
      <c r="G220" s="426"/>
      <c r="H220" s="674"/>
      <c r="I220" s="676"/>
      <c r="J220" s="684"/>
      <c r="K220" s="684"/>
      <c r="L220" s="685"/>
      <c r="M220" s="289"/>
      <c r="N220" s="346"/>
      <c r="O220" s="289"/>
      <c r="P220" s="289"/>
      <c r="Q220" s="289"/>
      <c r="R220" s="289"/>
      <c r="S220" s="289"/>
      <c r="T220" s="289"/>
      <c r="U220" s="289"/>
      <c r="V220" s="289"/>
      <c r="W220" s="289"/>
      <c r="X220" s="289"/>
      <c r="Y220" s="289"/>
      <c r="Z220" s="289"/>
      <c r="AA220" s="289"/>
      <c r="AB220" s="289"/>
      <c r="AC220" s="289"/>
      <c r="AD220" s="289"/>
      <c r="AE220" s="289"/>
      <c r="AF220" s="289"/>
      <c r="AG220" s="289"/>
      <c r="AH220" s="289"/>
      <c r="AI220" s="289"/>
      <c r="AJ220" s="289"/>
      <c r="AK220" s="289"/>
      <c r="AL220" s="289"/>
      <c r="AM220" s="289"/>
      <c r="AN220" s="289"/>
      <c r="AO220" s="289"/>
      <c r="AP220" s="289"/>
      <c r="AQ220" s="289"/>
      <c r="AR220" s="289"/>
      <c r="AS220" s="289"/>
      <c r="AT220" s="289"/>
      <c r="AU220" s="289"/>
      <c r="AV220" s="289"/>
      <c r="AW220" s="289"/>
      <c r="AX220" s="289"/>
      <c r="AY220" s="289"/>
      <c r="AZ220" s="289"/>
    </row>
    <row r="221" spans="1:52" ht="16.149999999999999" thickBot="1" x14ac:dyDescent="0.55000000000000004">
      <c r="A221" s="289"/>
      <c r="B221" s="582" t="str">
        <f ca="1">IF(B222="","",
IF(
   OR(
      INDIRECT("'1a. Input organisatieniveau'!AC" &amp; (7 + INT((ROW()-4)/7)))="",
      INDIRECT("'1a. Input organisatieniveau'!AC" &amp; (7 + INT((ROW()-4)/7)))=0
   ),
   "",
   INDIRECT("'1a. Input organisatieniveau'!AC" &amp; (7 + INT((ROW()-4)/7)))
))</f>
        <v/>
      </c>
      <c r="C221" s="661" t="s">
        <v>779</v>
      </c>
      <c r="D221" s="428"/>
      <c r="E221" s="668"/>
      <c r="F221" s="662"/>
      <c r="G221" s="428"/>
      <c r="H221" s="671"/>
      <c r="I221" s="675"/>
      <c r="J221" s="680"/>
      <c r="K221" s="680"/>
      <c r="L221" s="681"/>
      <c r="M221" s="12"/>
      <c r="N221" s="346"/>
      <c r="O221" s="289"/>
      <c r="P221" s="289"/>
      <c r="Q221" s="289"/>
      <c r="R221" s="289"/>
      <c r="S221" s="289"/>
      <c r="T221" s="289"/>
      <c r="U221" s="289"/>
      <c r="V221" s="289"/>
      <c r="W221" s="289"/>
      <c r="X221" s="289"/>
      <c r="Y221" s="289"/>
      <c r="Z221" s="289"/>
      <c r="AA221" s="289"/>
      <c r="AB221" s="289"/>
      <c r="AC221" s="289"/>
      <c r="AD221" s="289"/>
      <c r="AE221" s="289"/>
      <c r="AF221" s="289"/>
      <c r="AG221" s="289"/>
      <c r="AH221" s="289"/>
      <c r="AI221" s="289"/>
      <c r="AJ221" s="289"/>
      <c r="AK221" s="289"/>
      <c r="AL221" s="289"/>
      <c r="AM221" s="289"/>
      <c r="AN221" s="289"/>
      <c r="AO221" s="289"/>
      <c r="AP221" s="289"/>
      <c r="AQ221" s="289"/>
      <c r="AR221" s="289"/>
      <c r="AS221" s="289"/>
      <c r="AT221" s="289"/>
      <c r="AU221" s="289"/>
      <c r="AV221" s="289"/>
      <c r="AW221" s="289"/>
      <c r="AX221" s="289"/>
      <c r="AY221" s="289"/>
      <c r="AZ221" s="289"/>
    </row>
    <row r="222" spans="1:52" ht="16.149999999999999" thickBot="1" x14ac:dyDescent="0.5">
      <c r="A222" s="289"/>
      <c r="B222" s="583" t="str">
        <f ca="1">IF(
   OR(
      INDIRECT("'1a. Input organisatieniveau'!AA" &amp; (7 + INT((ROW()-4)/7)))="",
      INDIRECT("'1a. Input organisatieniveau'!AA" &amp; (7 + INT((ROW()-4)/7)))=0
   ),
   "",
   INDIRECT("'1a. Input organisatieniveau'!AA" &amp; (7 + INT((ROW()-4)/7)))
)</f>
        <v/>
      </c>
      <c r="C222" s="663" t="s">
        <v>779</v>
      </c>
      <c r="D222" s="429" t="s">
        <v>72</v>
      </c>
      <c r="E222" s="599"/>
      <c r="F222" s="339" t="s">
        <v>767</v>
      </c>
      <c r="G222" s="429" t="s">
        <v>923</v>
      </c>
      <c r="H222" s="606"/>
      <c r="I222" s="339" t="s">
        <v>767</v>
      </c>
      <c r="J222" s="682"/>
      <c r="K222" s="682"/>
      <c r="L222" s="683"/>
      <c r="M222" s="289"/>
      <c r="N222" s="346"/>
      <c r="O222" s="289"/>
      <c r="P222" s="289"/>
      <c r="Q222" s="289"/>
      <c r="R222" s="289"/>
      <c r="S222" s="289"/>
      <c r="T222" s="289"/>
      <c r="U222" s="289"/>
      <c r="V222" s="289"/>
      <c r="W222" s="289"/>
      <c r="X222" s="289"/>
      <c r="Y222" s="289"/>
      <c r="Z222" s="289"/>
      <c r="AA222" s="289"/>
      <c r="AB222" s="289"/>
      <c r="AC222" s="289"/>
      <c r="AD222" s="289"/>
      <c r="AE222" s="289"/>
      <c r="AF222" s="289"/>
      <c r="AG222" s="289"/>
      <c r="AH222" s="289"/>
      <c r="AI222" s="289"/>
      <c r="AJ222" s="289"/>
      <c r="AK222" s="289"/>
      <c r="AL222" s="289"/>
      <c r="AM222" s="289"/>
      <c r="AN222" s="289"/>
      <c r="AO222" s="289"/>
      <c r="AP222" s="289"/>
      <c r="AQ222" s="289"/>
      <c r="AR222" s="289"/>
      <c r="AS222" s="289"/>
      <c r="AT222" s="289"/>
      <c r="AU222" s="289"/>
      <c r="AV222" s="289"/>
      <c r="AW222" s="289"/>
      <c r="AX222" s="289"/>
      <c r="AY222" s="289"/>
      <c r="AZ222" s="289"/>
    </row>
    <row r="223" spans="1:52" ht="15.5" customHeight="1" x14ac:dyDescent="0.45">
      <c r="A223" s="289"/>
      <c r="B223" s="343"/>
      <c r="C223" s="663" t="s">
        <v>779</v>
      </c>
      <c r="D223" s="666" t="s">
        <v>2238</v>
      </c>
      <c r="E223" s="605"/>
      <c r="F223" s="339" t="s">
        <v>767</v>
      </c>
      <c r="G223"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23" s="729"/>
      <c r="I223" s="339" t="s">
        <v>767</v>
      </c>
      <c r="J223" s="757" t="s">
        <v>2142</v>
      </c>
      <c r="K223" s="758"/>
      <c r="L223" s="683"/>
      <c r="M223" s="746" t="s">
        <v>780</v>
      </c>
      <c r="N223" s="770" t="s">
        <v>1079</v>
      </c>
      <c r="O223" s="584"/>
      <c r="P223" s="321"/>
      <c r="Q223" s="289"/>
      <c r="R223" s="289"/>
      <c r="S223" s="289"/>
      <c r="T223" s="289"/>
      <c r="U223" s="289"/>
      <c r="V223" s="289"/>
      <c r="W223" s="289"/>
      <c r="X223" s="289"/>
      <c r="Y223" s="289"/>
      <c r="Z223" s="289"/>
      <c r="AA223" s="289"/>
      <c r="AB223" s="289"/>
      <c r="AC223" s="289"/>
      <c r="AD223" s="289" t="b">
        <f ca="1">AND(
    NOT(
        AND(H224 = "", B222 &lt;&gt; "", OR(B221 = "Verblijf", B221 = "Daghulp"))
    ),
    NOT(
        AND(E226 = "", B222 &lt;&gt; "")
    ),
    NOT(
        AND(H226 = "", B222 &lt;&gt; "", OR(B221 = "Verblijf", B221 = "Daghulp"))
    ),
    NOT(
        AND(H225 = "", B222 &lt;&gt; "", OR(B221 = "Verblijf", B221 = "Daghulp"))
    ),
    NOT(
        AND(H222 = "", B222 &lt;&gt; "")
    ),
    NOT(
        AND(E225 = "", B222 &lt;&gt; "")
    ),
    NOT(
        AND(E224 = "", B222 &lt;&gt; "", Initialisatie!$C$6 &lt;&gt; "Ja")
    ),
    NOT(
        AND(E223 = "", B222 &lt;&gt; "", B221 = "Ambulant")
    ),
    NOT(
        AND(E222 = "", B222 &lt;&gt; "")
    ),
    NOT(
        AND(H223 = "", B222 &lt;&gt; "", OR(B221 = "Verblijf", B221 = "Daghulp"))
    )
)</f>
        <v>1</v>
      </c>
      <c r="AE223" s="289" t="b">
        <f ca="1">AND(
    NOT(
        AND(E226 = "", B222 &lt;&gt; "")
    ),
    NOT(
        AND(E225 = "", B222 &lt;&gt; "")
    ),
    NOT(
        AND(E224 = "", B222 &lt;&gt; "", Initialisatie!$C$6 &lt;&gt; "Ja")
    ),
    NOT(
        AND(E223 = "", B222 &lt;&gt; "", B221 = "Ambulant")
    ),
    NOT(
        AND(E222 = "", B222 &lt;&gt; "")
    )
)</f>
        <v>1</v>
      </c>
      <c r="AF223" s="289"/>
      <c r="AG223" s="289"/>
      <c r="AH223" s="289"/>
      <c r="AI223" s="289"/>
      <c r="AJ223" s="289"/>
      <c r="AK223" s="289"/>
      <c r="AL223" s="289"/>
      <c r="AM223" s="289"/>
      <c r="AN223" s="289"/>
      <c r="AO223" s="289"/>
      <c r="AP223" s="289"/>
      <c r="AQ223" s="289"/>
      <c r="AR223" s="289"/>
      <c r="AS223" s="289"/>
      <c r="AT223" s="289"/>
      <c r="AU223" s="289"/>
      <c r="AV223" s="289"/>
      <c r="AW223" s="289"/>
      <c r="AX223" s="289"/>
      <c r="AY223" s="289"/>
      <c r="AZ223" s="289"/>
    </row>
    <row r="224" spans="1:52" ht="15.5" customHeight="1" thickBot="1" x14ac:dyDescent="0.5">
      <c r="A224" s="289"/>
      <c r="B224" s="343"/>
      <c r="C224" s="663" t="s">
        <v>779</v>
      </c>
      <c r="D224" s="666" t="s">
        <v>2239</v>
      </c>
      <c r="E224" s="605"/>
      <c r="F224" s="339" t="s">
        <v>767</v>
      </c>
      <c r="G224" s="666" t="s">
        <v>781</v>
      </c>
      <c r="H224" s="729"/>
      <c r="I224" s="339" t="s">
        <v>767</v>
      </c>
      <c r="J224" s="759"/>
      <c r="K224" s="760"/>
      <c r="L224" s="683"/>
      <c r="M224" s="746"/>
      <c r="N224" s="770"/>
      <c r="O224" s="584"/>
      <c r="P224" s="321"/>
      <c r="Q224" s="289"/>
      <c r="R224" s="289"/>
      <c r="S224" s="289"/>
      <c r="T224" s="289"/>
      <c r="U224" s="289"/>
      <c r="V224" s="289"/>
      <c r="W224" s="289"/>
      <c r="X224" s="289"/>
      <c r="Y224" s="289"/>
      <c r="Z224" s="289"/>
      <c r="AA224" s="289"/>
      <c r="AB224" s="289"/>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c r="AW224" s="289"/>
      <c r="AX224" s="289"/>
      <c r="AY224" s="289"/>
      <c r="AZ224" s="289"/>
    </row>
    <row r="225" spans="1:52" ht="15.5" customHeight="1" x14ac:dyDescent="0.45">
      <c r="A225" s="289"/>
      <c r="B225" s="343"/>
      <c r="C225" s="663" t="s">
        <v>779</v>
      </c>
      <c r="D225" s="666" t="s">
        <v>2240</v>
      </c>
      <c r="E225" s="605"/>
      <c r="F225" s="339" t="s">
        <v>767</v>
      </c>
      <c r="G225"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25" s="672"/>
      <c r="I225" s="339" t="s">
        <v>767</v>
      </c>
      <c r="J225" s="753" t="str" cm="1">
        <f t="array" aca="1" ref="J225" ca="1">IF(
    B222="",
    "",
    IF(
        AND(
            INDEX('2. Output kostprijs'!$77:$77, 1, 5 + (ROW()-5)/7*2)&lt;&gt;"",
            INDEX('2. Output kostprijs'!$78:$78, 1, 5 + (ROW()-5)/7*2)&lt;&gt;""
        ),
        ROUND(
            INDEX('2. Output kostprijs'!$77:$77, 1, 5 + (ROW()-5)/7*2),
            0
        )
        &amp; " uren" &amp; CHAR(10) &amp; "("
        &amp; ROUND( 100 *
            INDEX('2. Output kostprijs'!$78:$78, 1, 5 + (ROW()-5)/7*2),
            1
        )
        &amp; "%)",
        "-"
    )
)</f>
        <v/>
      </c>
      <c r="K225" s="754"/>
      <c r="L225" s="683"/>
      <c r="M225" s="746"/>
      <c r="N225" s="770"/>
      <c r="O225" s="584"/>
      <c r="P225" s="321"/>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row>
    <row r="226" spans="1:52" ht="16.149999999999999" thickBot="1" x14ac:dyDescent="0.5">
      <c r="A226" s="289"/>
      <c r="B226" s="343"/>
      <c r="C226" s="663" t="s">
        <v>779</v>
      </c>
      <c r="D226" s="667" t="str">
        <f ca="1">IF(B221="Verblijf", "Bezettingsgraad (%)", "No show (%)")</f>
        <v>No show (%)</v>
      </c>
      <c r="E226" s="669"/>
      <c r="F226" s="339" t="s">
        <v>767</v>
      </c>
      <c r="G226"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26" s="673"/>
      <c r="I226" s="339" t="s">
        <v>767</v>
      </c>
      <c r="J226" s="755"/>
      <c r="K226" s="756"/>
      <c r="L226" s="683"/>
      <c r="M226" s="289"/>
      <c r="N226" s="346"/>
      <c r="O226" s="289"/>
      <c r="P226" s="289"/>
      <c r="Q226" s="289"/>
      <c r="R226" s="289"/>
      <c r="S226" s="289"/>
      <c r="T226" s="289"/>
      <c r="U226" s="289"/>
      <c r="V226" s="289"/>
      <c r="W226" s="289"/>
      <c r="X226" s="289"/>
      <c r="Y226" s="289"/>
      <c r="Z226" s="289"/>
      <c r="AA226" s="289"/>
      <c r="AB226" s="289"/>
      <c r="AC226" s="289"/>
      <c r="AD226" s="289"/>
      <c r="AE226" s="289"/>
      <c r="AF226" s="289"/>
      <c r="AG226" s="289"/>
      <c r="AH226" s="289"/>
      <c r="AI226" s="289"/>
      <c r="AJ226" s="289"/>
      <c r="AK226" s="289"/>
      <c r="AL226" s="289"/>
      <c r="AM226" s="289"/>
      <c r="AN226" s="289"/>
      <c r="AO226" s="289"/>
      <c r="AP226" s="289"/>
      <c r="AQ226" s="289"/>
      <c r="AR226" s="289"/>
      <c r="AS226" s="289"/>
      <c r="AT226" s="289"/>
      <c r="AU226" s="289"/>
      <c r="AV226" s="289"/>
      <c r="AW226" s="289"/>
      <c r="AX226" s="289"/>
      <c r="AY226" s="289"/>
      <c r="AZ226" s="289"/>
    </row>
    <row r="227" spans="1:52" ht="16.149999999999999" thickBot="1" x14ac:dyDescent="0.5">
      <c r="A227" s="289"/>
      <c r="B227" s="421"/>
      <c r="C227" s="664" t="s">
        <v>779</v>
      </c>
      <c r="D227" s="660"/>
      <c r="E227" s="670"/>
      <c r="F227" s="665"/>
      <c r="G227" s="426"/>
      <c r="H227" s="674"/>
      <c r="I227" s="676"/>
      <c r="J227" s="684"/>
      <c r="K227" s="684"/>
      <c r="L227" s="685"/>
      <c r="M227" s="289"/>
      <c r="N227" s="346"/>
      <c r="O227" s="289"/>
      <c r="P227" s="289"/>
      <c r="Q227" s="289"/>
      <c r="R227" s="289"/>
      <c r="S227" s="289"/>
      <c r="T227" s="289"/>
      <c r="U227" s="289"/>
      <c r="V227" s="289"/>
      <c r="W227" s="289"/>
      <c r="X227" s="289"/>
      <c r="Y227" s="289"/>
      <c r="Z227" s="289"/>
      <c r="AA227" s="289"/>
      <c r="AB227" s="289"/>
      <c r="AC227" s="289"/>
      <c r="AD227" s="289"/>
      <c r="AE227" s="289"/>
      <c r="AF227" s="289"/>
      <c r="AG227" s="289"/>
      <c r="AH227" s="289"/>
      <c r="AI227" s="289"/>
      <c r="AJ227" s="289"/>
      <c r="AK227" s="289"/>
      <c r="AL227" s="289"/>
      <c r="AM227" s="289"/>
      <c r="AN227" s="289"/>
      <c r="AO227" s="289"/>
      <c r="AP227" s="289"/>
      <c r="AQ227" s="289"/>
      <c r="AR227" s="289"/>
      <c r="AS227" s="289"/>
      <c r="AT227" s="289"/>
      <c r="AU227" s="289"/>
      <c r="AV227" s="289"/>
      <c r="AW227" s="289"/>
      <c r="AX227" s="289"/>
      <c r="AY227" s="289"/>
      <c r="AZ227" s="289"/>
    </row>
    <row r="228" spans="1:52" ht="16.149999999999999" thickBot="1" x14ac:dyDescent="0.55000000000000004">
      <c r="A228" s="289"/>
      <c r="B228" s="582" t="str">
        <f ca="1">IF(B229="","",
IF(
   OR(
      INDIRECT("'1a. Input organisatieniveau'!AC" &amp; (7 + INT((ROW()-4)/7)))="",
      INDIRECT("'1a. Input organisatieniveau'!AC" &amp; (7 + INT((ROW()-4)/7)))=0
   ),
   "",
   INDIRECT("'1a. Input organisatieniveau'!AC" &amp; (7 + INT((ROW()-4)/7)))
))</f>
        <v/>
      </c>
      <c r="C228" s="661" t="s">
        <v>779</v>
      </c>
      <c r="D228" s="428"/>
      <c r="E228" s="668"/>
      <c r="F228" s="662"/>
      <c r="G228" s="428"/>
      <c r="H228" s="671"/>
      <c r="I228" s="675"/>
      <c r="J228" s="680"/>
      <c r="K228" s="680"/>
      <c r="L228" s="681"/>
      <c r="M228" s="12"/>
      <c r="N228" s="346"/>
      <c r="O228" s="289"/>
      <c r="P228" s="289"/>
      <c r="Q228" s="289"/>
      <c r="R228" s="289"/>
      <c r="S228" s="289"/>
      <c r="T228" s="289"/>
      <c r="U228" s="289"/>
      <c r="V228" s="289"/>
      <c r="W228" s="289"/>
      <c r="X228" s="289"/>
      <c r="Y228" s="289"/>
      <c r="Z228" s="289"/>
      <c r="AA228" s="289"/>
      <c r="AB228" s="289"/>
      <c r="AC228" s="289"/>
      <c r="AD228" s="289"/>
      <c r="AE228" s="289"/>
      <c r="AF228" s="289"/>
      <c r="AG228" s="289"/>
      <c r="AH228" s="289"/>
      <c r="AI228" s="289"/>
      <c r="AJ228" s="289"/>
      <c r="AK228" s="289"/>
      <c r="AL228" s="289"/>
      <c r="AM228" s="289"/>
      <c r="AN228" s="289"/>
      <c r="AO228" s="289"/>
      <c r="AP228" s="289"/>
      <c r="AQ228" s="289"/>
      <c r="AR228" s="289"/>
      <c r="AS228" s="289"/>
      <c r="AT228" s="289"/>
      <c r="AU228" s="289"/>
      <c r="AV228" s="289"/>
      <c r="AW228" s="289"/>
      <c r="AX228" s="289"/>
      <c r="AY228" s="289"/>
      <c r="AZ228" s="289"/>
    </row>
    <row r="229" spans="1:52" ht="16.149999999999999" thickBot="1" x14ac:dyDescent="0.5">
      <c r="A229" s="289"/>
      <c r="B229" s="583" t="str">
        <f ca="1">IF(
   OR(
      INDIRECT("'1a. Input organisatieniveau'!AA" &amp; (7 + INT((ROW()-4)/7)))="",
      INDIRECT("'1a. Input organisatieniveau'!AA" &amp; (7 + INT((ROW()-4)/7)))=0
   ),
   "",
   INDIRECT("'1a. Input organisatieniveau'!AA" &amp; (7 + INT((ROW()-4)/7)))
)</f>
        <v/>
      </c>
      <c r="C229" s="663" t="s">
        <v>779</v>
      </c>
      <c r="D229" s="429" t="s">
        <v>72</v>
      </c>
      <c r="E229" s="599"/>
      <c r="F229" s="339" t="s">
        <v>767</v>
      </c>
      <c r="G229" s="429" t="s">
        <v>923</v>
      </c>
      <c r="H229" s="606"/>
      <c r="I229" s="339" t="s">
        <v>767</v>
      </c>
      <c r="J229" s="682"/>
      <c r="K229" s="682"/>
      <c r="L229" s="683"/>
      <c r="M229" s="289"/>
      <c r="N229" s="346"/>
      <c r="O229" s="289"/>
      <c r="P229" s="289"/>
      <c r="Q229" s="289"/>
      <c r="R229" s="289"/>
      <c r="S229" s="289"/>
      <c r="T229" s="289"/>
      <c r="U229" s="289"/>
      <c r="V229" s="289"/>
      <c r="W229" s="289"/>
      <c r="X229" s="289"/>
      <c r="Y229" s="289"/>
      <c r="Z229" s="289"/>
      <c r="AA229" s="289"/>
      <c r="AB229" s="289"/>
      <c r="AC229" s="289"/>
      <c r="AD229" s="289"/>
      <c r="AE229" s="289"/>
      <c r="AF229" s="289"/>
      <c r="AG229" s="289"/>
      <c r="AH229" s="289"/>
      <c r="AI229" s="289"/>
      <c r="AJ229" s="289"/>
      <c r="AK229" s="289"/>
      <c r="AL229" s="289"/>
      <c r="AM229" s="289"/>
      <c r="AN229" s="289"/>
      <c r="AO229" s="289"/>
      <c r="AP229" s="289"/>
      <c r="AQ229" s="289"/>
      <c r="AR229" s="289"/>
      <c r="AS229" s="289"/>
      <c r="AT229" s="289"/>
      <c r="AU229" s="289"/>
      <c r="AV229" s="289"/>
      <c r="AW229" s="289"/>
      <c r="AX229" s="289"/>
      <c r="AY229" s="289"/>
      <c r="AZ229" s="289"/>
    </row>
    <row r="230" spans="1:52" ht="15.5" customHeight="1" x14ac:dyDescent="0.45">
      <c r="A230" s="289"/>
      <c r="B230" s="343"/>
      <c r="C230" s="663" t="s">
        <v>779</v>
      </c>
      <c r="D230" s="666" t="s">
        <v>2238</v>
      </c>
      <c r="E230" s="605"/>
      <c r="F230" s="339" t="s">
        <v>767</v>
      </c>
      <c r="G230"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30" s="729"/>
      <c r="I230" s="339" t="s">
        <v>767</v>
      </c>
      <c r="J230" s="757" t="s">
        <v>2142</v>
      </c>
      <c r="K230" s="758"/>
      <c r="L230" s="683"/>
      <c r="M230" s="746" t="s">
        <v>780</v>
      </c>
      <c r="N230" s="770" t="s">
        <v>1079</v>
      </c>
      <c r="O230" s="584"/>
      <c r="P230" s="321"/>
      <c r="Q230" s="289"/>
      <c r="R230" s="289"/>
      <c r="S230" s="289"/>
      <c r="T230" s="289"/>
      <c r="U230" s="289"/>
      <c r="V230" s="289"/>
      <c r="W230" s="289"/>
      <c r="X230" s="289"/>
      <c r="Y230" s="289"/>
      <c r="Z230" s="289"/>
      <c r="AA230" s="289"/>
      <c r="AB230" s="289"/>
      <c r="AC230" s="289"/>
      <c r="AD230" s="289" t="b">
        <f ca="1">AND(
    NOT(
        AND(H231 = "", B229 &lt;&gt; "", OR(B228 = "Verblijf", B228 = "Daghulp"))
    ),
    NOT(
        AND(E233 = "", B229 &lt;&gt; "")
    ),
    NOT(
        AND(H233 = "", B229 &lt;&gt; "", OR(B228 = "Verblijf", B228 = "Daghulp"))
    ),
    NOT(
        AND(H232 = "", B229 &lt;&gt; "", OR(B228 = "Verblijf", B228 = "Daghulp"))
    ),
    NOT(
        AND(H229 = "", B229 &lt;&gt; "")
    ),
    NOT(
        AND(E232 = "", B229 &lt;&gt; "")
    ),
    NOT(
        AND(E231 = "", B229 &lt;&gt; "", Initialisatie!$C$6 &lt;&gt; "Ja")
    ),
    NOT(
        AND(E230 = "", B229 &lt;&gt; "", B228 = "Ambulant")
    ),
    NOT(
        AND(E229 = "", B229 &lt;&gt; "")
    ),
    NOT(
        AND(H230 = "", B229 &lt;&gt; "", OR(B228 = "Verblijf", B228 = "Daghulp"))
    )
)</f>
        <v>1</v>
      </c>
      <c r="AE230" s="289" t="b">
        <f ca="1">AND(
    NOT(
        AND(E233 = "", B229 &lt;&gt; "")
    ),
    NOT(
        AND(E232 = "", B229 &lt;&gt; "")
    ),
    NOT(
        AND(E231 = "", B229 &lt;&gt; "", Initialisatie!$C$6 &lt;&gt; "Ja")
    ),
    NOT(
        AND(E230 = "", B229 &lt;&gt; "", B228 = "Ambulant")
    ),
    NOT(
        AND(E229 = "", B229 &lt;&gt; "")
    )
)</f>
        <v>1</v>
      </c>
      <c r="AF230" s="289"/>
      <c r="AG230" s="289"/>
      <c r="AH230" s="289"/>
      <c r="AI230" s="289"/>
      <c r="AJ230" s="289"/>
      <c r="AK230" s="289"/>
      <c r="AL230" s="289"/>
      <c r="AM230" s="289"/>
      <c r="AN230" s="289"/>
      <c r="AO230" s="289"/>
      <c r="AP230" s="289"/>
      <c r="AQ230" s="289"/>
      <c r="AR230" s="289"/>
      <c r="AS230" s="289"/>
      <c r="AT230" s="289"/>
      <c r="AU230" s="289"/>
      <c r="AV230" s="289"/>
      <c r="AW230" s="289"/>
      <c r="AX230" s="289"/>
      <c r="AY230" s="289"/>
      <c r="AZ230" s="289"/>
    </row>
    <row r="231" spans="1:52" ht="15.5" customHeight="1" thickBot="1" x14ac:dyDescent="0.5">
      <c r="A231" s="289"/>
      <c r="B231" s="343"/>
      <c r="C231" s="663" t="s">
        <v>779</v>
      </c>
      <c r="D231" s="666" t="s">
        <v>2239</v>
      </c>
      <c r="E231" s="605"/>
      <c r="F231" s="339" t="s">
        <v>767</v>
      </c>
      <c r="G231" s="666" t="s">
        <v>781</v>
      </c>
      <c r="H231" s="729"/>
      <c r="I231" s="339" t="s">
        <v>767</v>
      </c>
      <c r="J231" s="759"/>
      <c r="K231" s="760"/>
      <c r="L231" s="683"/>
      <c r="M231" s="746"/>
      <c r="N231" s="770"/>
      <c r="O231" s="584"/>
      <c r="P231" s="321"/>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row>
    <row r="232" spans="1:52" ht="15.5" customHeight="1" x14ac:dyDescent="0.45">
      <c r="A232" s="289"/>
      <c r="B232" s="343"/>
      <c r="C232" s="663" t="s">
        <v>779</v>
      </c>
      <c r="D232" s="666" t="s">
        <v>2240</v>
      </c>
      <c r="E232" s="605"/>
      <c r="F232" s="339" t="s">
        <v>767</v>
      </c>
      <c r="G232"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32" s="672"/>
      <c r="I232" s="339" t="s">
        <v>767</v>
      </c>
      <c r="J232" s="753" t="str" cm="1">
        <f t="array" aca="1" ref="J232" ca="1">IF(
    B229="",
    "",
    IF(
        AND(
            INDEX('2. Output kostprijs'!$77:$77, 1, 5 + (ROW()-5)/7*2)&lt;&gt;"",
            INDEX('2. Output kostprijs'!$78:$78, 1, 5 + (ROW()-5)/7*2)&lt;&gt;""
        ),
        ROUND(
            INDEX('2. Output kostprijs'!$77:$77, 1, 5 + (ROW()-5)/7*2),
            0
        )
        &amp; " uren" &amp; CHAR(10) &amp; "("
        &amp; ROUND( 100 *
            INDEX('2. Output kostprijs'!$78:$78, 1, 5 + (ROW()-5)/7*2),
            1
        )
        &amp; "%)",
        "-"
    )
)</f>
        <v/>
      </c>
      <c r="K232" s="754"/>
      <c r="L232" s="683"/>
      <c r="M232" s="746"/>
      <c r="N232" s="770"/>
      <c r="O232" s="584"/>
      <c r="P232" s="321"/>
      <c r="Q232" s="289"/>
      <c r="R232" s="289"/>
      <c r="S232" s="289"/>
      <c r="T232" s="289"/>
      <c r="U232" s="289"/>
      <c r="V232" s="289"/>
      <c r="W232" s="289"/>
      <c r="X232" s="289"/>
      <c r="Y232" s="289"/>
      <c r="Z232" s="289"/>
      <c r="AA232" s="289"/>
      <c r="AB232" s="289"/>
      <c r="AC232" s="289"/>
      <c r="AD232" s="289"/>
      <c r="AE232" s="289"/>
      <c r="AF232" s="289"/>
      <c r="AG232" s="289"/>
      <c r="AH232" s="289"/>
      <c r="AI232" s="289"/>
      <c r="AJ232" s="289"/>
      <c r="AK232" s="289"/>
      <c r="AL232" s="289"/>
      <c r="AM232" s="289"/>
      <c r="AN232" s="289"/>
      <c r="AO232" s="289"/>
      <c r="AP232" s="289"/>
      <c r="AQ232" s="289"/>
      <c r="AR232" s="289"/>
      <c r="AS232" s="289"/>
      <c r="AT232" s="289"/>
      <c r="AU232" s="289"/>
      <c r="AV232" s="289"/>
      <c r="AW232" s="289"/>
      <c r="AX232" s="289"/>
      <c r="AY232" s="289"/>
      <c r="AZ232" s="289"/>
    </row>
    <row r="233" spans="1:52" ht="16.149999999999999" thickBot="1" x14ac:dyDescent="0.5">
      <c r="A233" s="289"/>
      <c r="B233" s="343"/>
      <c r="C233" s="663" t="s">
        <v>779</v>
      </c>
      <c r="D233" s="667" t="str">
        <f ca="1">IF(B228="Verblijf", "Bezettingsgraad (%)", "No show (%)")</f>
        <v>No show (%)</v>
      </c>
      <c r="E233" s="669"/>
      <c r="F233" s="339" t="s">
        <v>767</v>
      </c>
      <c r="G233"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33" s="673"/>
      <c r="I233" s="339" t="s">
        <v>767</v>
      </c>
      <c r="J233" s="755"/>
      <c r="K233" s="756"/>
      <c r="L233" s="683"/>
      <c r="M233" s="289"/>
      <c r="N233" s="346"/>
      <c r="O233" s="289"/>
      <c r="P233" s="289"/>
      <c r="Q233" s="289"/>
      <c r="R233" s="289"/>
      <c r="S233" s="289"/>
      <c r="T233" s="289"/>
      <c r="U233" s="289"/>
      <c r="V233" s="289"/>
      <c r="W233" s="289"/>
      <c r="X233" s="289"/>
      <c r="Y233" s="289"/>
      <c r="Z233" s="289"/>
      <c r="AA233" s="289"/>
      <c r="AB233" s="289"/>
      <c r="AC233" s="289"/>
      <c r="AD233" s="289"/>
      <c r="AE233" s="289"/>
      <c r="AF233" s="289"/>
      <c r="AG233" s="289"/>
      <c r="AH233" s="289"/>
      <c r="AI233" s="289"/>
      <c r="AJ233" s="289"/>
      <c r="AK233" s="289"/>
      <c r="AL233" s="289"/>
      <c r="AM233" s="289"/>
      <c r="AN233" s="289"/>
      <c r="AO233" s="289"/>
      <c r="AP233" s="289"/>
      <c r="AQ233" s="289"/>
      <c r="AR233" s="289"/>
      <c r="AS233" s="289"/>
      <c r="AT233" s="289"/>
      <c r="AU233" s="289"/>
      <c r="AV233" s="289"/>
      <c r="AW233" s="289"/>
      <c r="AX233" s="289"/>
      <c r="AY233" s="289"/>
      <c r="AZ233" s="289"/>
    </row>
    <row r="234" spans="1:52" ht="16.149999999999999" thickBot="1" x14ac:dyDescent="0.5">
      <c r="A234" s="289"/>
      <c r="B234" s="421"/>
      <c r="C234" s="664" t="s">
        <v>779</v>
      </c>
      <c r="D234" s="660"/>
      <c r="E234" s="670"/>
      <c r="F234" s="665"/>
      <c r="G234" s="426"/>
      <c r="H234" s="674"/>
      <c r="I234" s="676"/>
      <c r="J234" s="684"/>
      <c r="K234" s="684"/>
      <c r="L234" s="685"/>
      <c r="M234" s="289"/>
      <c r="N234" s="346"/>
      <c r="O234" s="289"/>
      <c r="P234" s="289"/>
      <c r="Q234" s="289"/>
      <c r="R234" s="289"/>
      <c r="S234" s="289"/>
      <c r="T234" s="289"/>
      <c r="U234" s="289"/>
      <c r="V234" s="289"/>
      <c r="W234" s="289"/>
      <c r="X234" s="289"/>
      <c r="Y234" s="289"/>
      <c r="Z234" s="289"/>
      <c r="AA234" s="289"/>
      <c r="AB234" s="289"/>
      <c r="AC234" s="289"/>
      <c r="AD234" s="289"/>
      <c r="AE234" s="289"/>
      <c r="AF234" s="289"/>
      <c r="AG234" s="289"/>
      <c r="AH234" s="289"/>
      <c r="AI234" s="289"/>
      <c r="AJ234" s="289"/>
      <c r="AK234" s="289"/>
      <c r="AL234" s="289"/>
      <c r="AM234" s="289"/>
      <c r="AN234" s="289"/>
      <c r="AO234" s="289"/>
      <c r="AP234" s="289"/>
      <c r="AQ234" s="289"/>
      <c r="AR234" s="289"/>
      <c r="AS234" s="289"/>
      <c r="AT234" s="289"/>
      <c r="AU234" s="289"/>
      <c r="AV234" s="289"/>
      <c r="AW234" s="289"/>
      <c r="AX234" s="289"/>
      <c r="AY234" s="289"/>
      <c r="AZ234" s="289"/>
    </row>
    <row r="235" spans="1:52" ht="16.149999999999999" thickBot="1" x14ac:dyDescent="0.55000000000000004">
      <c r="A235" s="289"/>
      <c r="B235" s="582" t="str">
        <f ca="1">IF(B236="","",
IF(
   OR(
      INDIRECT("'1a. Input organisatieniveau'!AC" &amp; (7 + INT((ROW()-4)/7)))="",
      INDIRECT("'1a. Input organisatieniveau'!AC" &amp; (7 + INT((ROW()-4)/7)))=0
   ),
   "",
   INDIRECT("'1a. Input organisatieniveau'!AC" &amp; (7 + INT((ROW()-4)/7)))
))</f>
        <v/>
      </c>
      <c r="C235" s="661" t="s">
        <v>779</v>
      </c>
      <c r="D235" s="428"/>
      <c r="E235" s="668"/>
      <c r="F235" s="662"/>
      <c r="G235" s="428"/>
      <c r="H235" s="671"/>
      <c r="I235" s="675"/>
      <c r="J235" s="680"/>
      <c r="K235" s="680"/>
      <c r="L235" s="681"/>
      <c r="M235" s="12"/>
      <c r="N235" s="346"/>
      <c r="O235" s="289"/>
      <c r="P235" s="289"/>
      <c r="Q235" s="289"/>
      <c r="R235" s="289"/>
      <c r="S235" s="289"/>
      <c r="T235" s="289"/>
      <c r="U235" s="289"/>
      <c r="V235" s="289"/>
      <c r="W235" s="289"/>
      <c r="X235" s="289"/>
      <c r="Y235" s="289"/>
      <c r="Z235" s="289"/>
      <c r="AA235" s="289"/>
      <c r="AB235" s="289"/>
      <c r="AC235" s="289"/>
      <c r="AD235" s="289"/>
      <c r="AE235" s="289"/>
      <c r="AF235" s="289"/>
      <c r="AG235" s="289"/>
      <c r="AH235" s="289"/>
      <c r="AI235" s="289"/>
      <c r="AJ235" s="289"/>
      <c r="AK235" s="289"/>
      <c r="AL235" s="289"/>
      <c r="AM235" s="289"/>
      <c r="AN235" s="289"/>
      <c r="AO235" s="289"/>
      <c r="AP235" s="289"/>
      <c r="AQ235" s="289"/>
      <c r="AR235" s="289"/>
      <c r="AS235" s="289"/>
      <c r="AT235" s="289"/>
      <c r="AU235" s="289"/>
      <c r="AV235" s="289"/>
      <c r="AW235" s="289"/>
      <c r="AX235" s="289"/>
      <c r="AY235" s="289"/>
      <c r="AZ235" s="289"/>
    </row>
    <row r="236" spans="1:52" ht="16.149999999999999" thickBot="1" x14ac:dyDescent="0.5">
      <c r="A236" s="289"/>
      <c r="B236" s="583" t="str">
        <f ca="1">IF(
   OR(
      INDIRECT("'1a. Input organisatieniveau'!AA" &amp; (7 + INT((ROW()-4)/7)))="",
      INDIRECT("'1a. Input organisatieniveau'!AA" &amp; (7 + INT((ROW()-4)/7)))=0
   ),
   "",
   INDIRECT("'1a. Input organisatieniveau'!AA" &amp; (7 + INT((ROW()-4)/7)))
)</f>
        <v/>
      </c>
      <c r="C236" s="663" t="s">
        <v>779</v>
      </c>
      <c r="D236" s="429" t="s">
        <v>72</v>
      </c>
      <c r="E236" s="599"/>
      <c r="F236" s="339" t="s">
        <v>767</v>
      </c>
      <c r="G236" s="429" t="s">
        <v>923</v>
      </c>
      <c r="H236" s="606"/>
      <c r="I236" s="339" t="s">
        <v>767</v>
      </c>
      <c r="J236" s="682"/>
      <c r="K236" s="682"/>
      <c r="L236" s="683"/>
      <c r="M236" s="289"/>
      <c r="N236" s="346"/>
      <c r="O236" s="289"/>
      <c r="P236" s="289"/>
      <c r="Q236" s="289"/>
      <c r="R236" s="289"/>
      <c r="S236" s="289"/>
      <c r="T236" s="289"/>
      <c r="U236" s="289"/>
      <c r="V236" s="289"/>
      <c r="W236" s="289"/>
      <c r="X236" s="289"/>
      <c r="Y236" s="289"/>
      <c r="Z236" s="289"/>
      <c r="AA236" s="289"/>
      <c r="AB236" s="289"/>
      <c r="AC236" s="289"/>
      <c r="AD236" s="289"/>
      <c r="AE236" s="289"/>
      <c r="AF236" s="289"/>
      <c r="AG236" s="289"/>
      <c r="AH236" s="289"/>
      <c r="AI236" s="289"/>
      <c r="AJ236" s="289"/>
      <c r="AK236" s="289"/>
      <c r="AL236" s="289"/>
      <c r="AM236" s="289"/>
      <c r="AN236" s="289"/>
      <c r="AO236" s="289"/>
      <c r="AP236" s="289"/>
      <c r="AQ236" s="289"/>
      <c r="AR236" s="289"/>
      <c r="AS236" s="289"/>
      <c r="AT236" s="289"/>
      <c r="AU236" s="289"/>
      <c r="AV236" s="289"/>
      <c r="AW236" s="289"/>
      <c r="AX236" s="289"/>
      <c r="AY236" s="289"/>
      <c r="AZ236" s="289"/>
    </row>
    <row r="237" spans="1:52" ht="15.5" customHeight="1" x14ac:dyDescent="0.45">
      <c r="A237" s="289"/>
      <c r="B237" s="343"/>
      <c r="C237" s="663" t="s">
        <v>779</v>
      </c>
      <c r="D237" s="666" t="s">
        <v>2238</v>
      </c>
      <c r="E237" s="605"/>
      <c r="F237" s="339" t="s">
        <v>767</v>
      </c>
      <c r="G237"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37" s="729"/>
      <c r="I237" s="339" t="s">
        <v>767</v>
      </c>
      <c r="J237" s="757" t="s">
        <v>2142</v>
      </c>
      <c r="K237" s="758"/>
      <c r="L237" s="683"/>
      <c r="M237" s="746" t="s">
        <v>780</v>
      </c>
      <c r="N237" s="770" t="s">
        <v>1079</v>
      </c>
      <c r="O237" s="584"/>
      <c r="P237" s="321"/>
      <c r="Q237" s="289"/>
      <c r="R237" s="289"/>
      <c r="S237" s="289"/>
      <c r="T237" s="289"/>
      <c r="U237" s="289"/>
      <c r="V237" s="289"/>
      <c r="W237" s="289"/>
      <c r="X237" s="289"/>
      <c r="Y237" s="289"/>
      <c r="Z237" s="289"/>
      <c r="AA237" s="289"/>
      <c r="AB237" s="289"/>
      <c r="AC237" s="289"/>
      <c r="AD237" s="289" t="b">
        <f ca="1">AND(
    NOT(
        AND(H238 = "", B236 &lt;&gt; "", OR(B235 = "Verblijf", B235 = "Daghulp"))
    ),
    NOT(
        AND(E240 = "", B236 &lt;&gt; "")
    ),
    NOT(
        AND(H240 = "", B236 &lt;&gt; "", OR(B235 = "Verblijf", B235 = "Daghulp"))
    ),
    NOT(
        AND(H239 = "", B236 &lt;&gt; "", OR(B235 = "Verblijf", B235 = "Daghulp"))
    ),
    NOT(
        AND(H236 = "", B236 &lt;&gt; "")
    ),
    NOT(
        AND(E239 = "", B236 &lt;&gt; "")
    ),
    NOT(
        AND(E238 = "", B236 &lt;&gt; "", Initialisatie!$C$6 &lt;&gt; "Ja")
    ),
    NOT(
        AND(E237 = "", B236 &lt;&gt; "", B235 = "Ambulant")
    ),
    NOT(
        AND(E236 = "", B236 &lt;&gt; "")
    ),
    NOT(
        AND(H237 = "", B236 &lt;&gt; "", OR(B235 = "Verblijf", B235 = "Daghulp"))
    )
)</f>
        <v>1</v>
      </c>
      <c r="AE237" s="289" t="b">
        <f ca="1">AND(
    NOT(
        AND(E240 = "", B236 &lt;&gt; "")
    ),
    NOT(
        AND(E239 = "", B236 &lt;&gt; "")
    ),
    NOT(
        AND(E238 = "", B236 &lt;&gt; "", Initialisatie!$C$6 &lt;&gt; "Ja")
    ),
    NOT(
        AND(E237 = "", B236 &lt;&gt; "", B235 = "Ambulant")
    ),
    NOT(
        AND(E236 = "", B236 &lt;&gt; "")
    )
)</f>
        <v>1</v>
      </c>
      <c r="AF237" s="289"/>
      <c r="AG237" s="289"/>
      <c r="AH237" s="289"/>
      <c r="AI237" s="289"/>
      <c r="AJ237" s="289"/>
      <c r="AK237" s="289"/>
      <c r="AL237" s="289"/>
      <c r="AM237" s="289"/>
      <c r="AN237" s="289"/>
      <c r="AO237" s="289"/>
      <c r="AP237" s="289"/>
      <c r="AQ237" s="289"/>
      <c r="AR237" s="289"/>
      <c r="AS237" s="289"/>
      <c r="AT237" s="289"/>
      <c r="AU237" s="289"/>
      <c r="AV237" s="289"/>
      <c r="AW237" s="289"/>
      <c r="AX237" s="289"/>
      <c r="AY237" s="289"/>
      <c r="AZ237" s="289"/>
    </row>
    <row r="238" spans="1:52" ht="15.5" customHeight="1" thickBot="1" x14ac:dyDescent="0.5">
      <c r="A238" s="289"/>
      <c r="B238" s="343"/>
      <c r="C238" s="663" t="s">
        <v>779</v>
      </c>
      <c r="D238" s="666" t="s">
        <v>2239</v>
      </c>
      <c r="E238" s="605"/>
      <c r="F238" s="339" t="s">
        <v>767</v>
      </c>
      <c r="G238" s="666" t="s">
        <v>781</v>
      </c>
      <c r="H238" s="729"/>
      <c r="I238" s="339" t="s">
        <v>767</v>
      </c>
      <c r="J238" s="759"/>
      <c r="K238" s="760"/>
      <c r="L238" s="683"/>
      <c r="M238" s="746"/>
      <c r="N238" s="770"/>
      <c r="O238" s="584"/>
      <c r="P238" s="321"/>
      <c r="Q238" s="289"/>
      <c r="R238" s="289"/>
      <c r="S238" s="289"/>
      <c r="T238" s="289"/>
      <c r="U238" s="289"/>
      <c r="V238" s="289"/>
      <c r="W238" s="289"/>
      <c r="X238" s="289"/>
      <c r="Y238" s="289"/>
      <c r="Z238" s="289"/>
      <c r="AA238" s="289"/>
      <c r="AB238" s="289"/>
      <c r="AC238" s="289"/>
      <c r="AD238" s="289"/>
      <c r="AE238" s="289"/>
      <c r="AF238" s="289"/>
      <c r="AG238" s="289"/>
      <c r="AH238" s="289"/>
      <c r="AI238" s="289"/>
      <c r="AJ238" s="289"/>
      <c r="AK238" s="289"/>
      <c r="AL238" s="289"/>
      <c r="AM238" s="289"/>
      <c r="AN238" s="289"/>
      <c r="AO238" s="289"/>
      <c r="AP238" s="289"/>
      <c r="AQ238" s="289"/>
      <c r="AR238" s="289"/>
      <c r="AS238" s="289"/>
      <c r="AT238" s="289"/>
      <c r="AU238" s="289"/>
      <c r="AV238" s="289"/>
      <c r="AW238" s="289"/>
      <c r="AX238" s="289"/>
      <c r="AY238" s="289"/>
      <c r="AZ238" s="289"/>
    </row>
    <row r="239" spans="1:52" ht="15.5" customHeight="1" x14ac:dyDescent="0.45">
      <c r="A239" s="289"/>
      <c r="B239" s="343"/>
      <c r="C239" s="663" t="s">
        <v>779</v>
      </c>
      <c r="D239" s="666" t="s">
        <v>2240</v>
      </c>
      <c r="E239" s="605"/>
      <c r="F239" s="339" t="s">
        <v>767</v>
      </c>
      <c r="G239"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39" s="672"/>
      <c r="I239" s="339" t="s">
        <v>767</v>
      </c>
      <c r="J239" s="753" t="str" cm="1">
        <f t="array" aca="1" ref="J239" ca="1">IF(
    B236="",
    "",
    IF(
        AND(
            INDEX('2. Output kostprijs'!$77:$77, 1, 5 + (ROW()-5)/7*2)&lt;&gt;"",
            INDEX('2. Output kostprijs'!$78:$78, 1, 5 + (ROW()-5)/7*2)&lt;&gt;""
        ),
        ROUND(
            INDEX('2. Output kostprijs'!$77:$77, 1, 5 + (ROW()-5)/7*2),
            0
        )
        &amp; " uren" &amp; CHAR(10) &amp; "("
        &amp; ROUND( 100 *
            INDEX('2. Output kostprijs'!$78:$78, 1, 5 + (ROW()-5)/7*2),
            1
        )
        &amp; "%)",
        "-"
    )
)</f>
        <v/>
      </c>
      <c r="K239" s="754"/>
      <c r="L239" s="683"/>
      <c r="M239" s="746"/>
      <c r="N239" s="770"/>
      <c r="O239" s="584"/>
      <c r="P239" s="321"/>
      <c r="Q239" s="289"/>
      <c r="R239" s="289"/>
      <c r="S239" s="289"/>
      <c r="T239" s="289"/>
      <c r="U239" s="289"/>
      <c r="V239" s="289"/>
      <c r="W239" s="289"/>
      <c r="X239" s="289"/>
      <c r="Y239" s="289"/>
      <c r="Z239" s="289"/>
      <c r="AA239" s="289"/>
      <c r="AB239" s="289"/>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c r="AW239" s="289"/>
      <c r="AX239" s="289"/>
      <c r="AY239" s="289"/>
      <c r="AZ239" s="289"/>
    </row>
    <row r="240" spans="1:52" ht="16.149999999999999" thickBot="1" x14ac:dyDescent="0.5">
      <c r="A240" s="289"/>
      <c r="B240" s="343"/>
      <c r="C240" s="663" t="s">
        <v>779</v>
      </c>
      <c r="D240" s="667" t="str">
        <f ca="1">IF(B235="Verblijf", "Bezettingsgraad (%)", "No show (%)")</f>
        <v>No show (%)</v>
      </c>
      <c r="E240" s="669"/>
      <c r="F240" s="339" t="s">
        <v>767</v>
      </c>
      <c r="G240"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40" s="673"/>
      <c r="I240" s="339" t="s">
        <v>767</v>
      </c>
      <c r="J240" s="755"/>
      <c r="K240" s="756"/>
      <c r="L240" s="683"/>
      <c r="M240" s="289"/>
      <c r="N240" s="346"/>
      <c r="O240" s="289"/>
      <c r="P240" s="289"/>
      <c r="Q240" s="289"/>
      <c r="R240" s="289"/>
      <c r="S240" s="289"/>
      <c r="T240" s="289"/>
      <c r="U240" s="289"/>
      <c r="V240" s="289"/>
      <c r="W240" s="289"/>
      <c r="X240" s="289"/>
      <c r="Y240" s="289"/>
      <c r="Z240" s="289"/>
      <c r="AA240" s="289"/>
      <c r="AB240" s="289"/>
      <c r="AC240" s="289"/>
      <c r="AD240" s="289"/>
      <c r="AE240" s="289"/>
      <c r="AF240" s="289"/>
      <c r="AG240" s="289"/>
      <c r="AH240" s="289"/>
      <c r="AI240" s="289"/>
      <c r="AJ240" s="289"/>
      <c r="AK240" s="289"/>
      <c r="AL240" s="289"/>
      <c r="AM240" s="289"/>
      <c r="AN240" s="289"/>
      <c r="AO240" s="289"/>
      <c r="AP240" s="289"/>
      <c r="AQ240" s="289"/>
      <c r="AR240" s="289"/>
      <c r="AS240" s="289"/>
      <c r="AT240" s="289"/>
      <c r="AU240" s="289"/>
      <c r="AV240" s="289"/>
      <c r="AW240" s="289"/>
      <c r="AX240" s="289"/>
      <c r="AY240" s="289"/>
      <c r="AZ240" s="289"/>
    </row>
    <row r="241" spans="1:52" ht="16.149999999999999" thickBot="1" x14ac:dyDescent="0.5">
      <c r="A241" s="289"/>
      <c r="B241" s="421"/>
      <c r="C241" s="664" t="s">
        <v>779</v>
      </c>
      <c r="D241" s="660"/>
      <c r="E241" s="670"/>
      <c r="F241" s="665"/>
      <c r="G241" s="426"/>
      <c r="H241" s="674"/>
      <c r="I241" s="676"/>
      <c r="J241" s="684"/>
      <c r="K241" s="684"/>
      <c r="L241" s="685"/>
      <c r="M241" s="289"/>
      <c r="N241" s="346"/>
      <c r="O241" s="289"/>
      <c r="P241" s="289"/>
      <c r="Q241" s="289"/>
      <c r="R241" s="289"/>
      <c r="S241" s="289"/>
      <c r="T241" s="289"/>
      <c r="U241" s="289"/>
      <c r="V241" s="289"/>
      <c r="W241" s="289"/>
      <c r="X241" s="289"/>
      <c r="Y241" s="289"/>
      <c r="Z241" s="289"/>
      <c r="AA241" s="289"/>
      <c r="AB241" s="289"/>
      <c r="AC241" s="289"/>
      <c r="AD241" s="289"/>
      <c r="AE241" s="289"/>
      <c r="AF241" s="289"/>
      <c r="AG241" s="289"/>
      <c r="AH241" s="289"/>
      <c r="AI241" s="289"/>
      <c r="AJ241" s="289"/>
      <c r="AK241" s="289"/>
      <c r="AL241" s="289"/>
      <c r="AM241" s="289"/>
      <c r="AN241" s="289"/>
      <c r="AO241" s="289"/>
      <c r="AP241" s="289"/>
      <c r="AQ241" s="289"/>
      <c r="AR241" s="289"/>
      <c r="AS241" s="289"/>
      <c r="AT241" s="289"/>
      <c r="AU241" s="289"/>
      <c r="AV241" s="289"/>
      <c r="AW241" s="289"/>
      <c r="AX241" s="289"/>
      <c r="AY241" s="289"/>
      <c r="AZ241" s="289"/>
    </row>
    <row r="242" spans="1:52" ht="16.149999999999999" thickBot="1" x14ac:dyDescent="0.55000000000000004">
      <c r="A242" s="289"/>
      <c r="B242" s="582" t="str">
        <f ca="1">IF(B243="","",
IF(
   OR(
      INDIRECT("'1a. Input organisatieniveau'!AC" &amp; (7 + INT((ROW()-4)/7)))="",
      INDIRECT("'1a. Input organisatieniveau'!AC" &amp; (7 + INT((ROW()-4)/7)))=0
   ),
   "",
   INDIRECT("'1a. Input organisatieniveau'!AC" &amp; (7 + INT((ROW()-4)/7)))
))</f>
        <v/>
      </c>
      <c r="C242" s="661" t="s">
        <v>779</v>
      </c>
      <c r="D242" s="428"/>
      <c r="E242" s="668"/>
      <c r="F242" s="662"/>
      <c r="G242" s="428"/>
      <c r="H242" s="671"/>
      <c r="I242" s="675"/>
      <c r="J242" s="680"/>
      <c r="K242" s="680"/>
      <c r="L242" s="681"/>
      <c r="M242" s="12"/>
      <c r="N242" s="346"/>
      <c r="O242" s="289"/>
      <c r="P242" s="289"/>
      <c r="Q242" s="289"/>
      <c r="R242" s="289"/>
      <c r="S242" s="289"/>
      <c r="T242" s="289"/>
      <c r="U242" s="289"/>
      <c r="V242" s="289"/>
      <c r="W242" s="289"/>
      <c r="X242" s="289"/>
      <c r="Y242" s="289"/>
      <c r="Z242" s="289"/>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89"/>
      <c r="AY242" s="289"/>
      <c r="AZ242" s="289"/>
    </row>
    <row r="243" spans="1:52" ht="16.149999999999999" thickBot="1" x14ac:dyDescent="0.5">
      <c r="A243" s="289"/>
      <c r="B243" s="583" t="str">
        <f ca="1">IF(
   OR(
      INDIRECT("'1a. Input organisatieniveau'!AA" &amp; (7 + INT((ROW()-4)/7)))="",
      INDIRECT("'1a. Input organisatieniveau'!AA" &amp; (7 + INT((ROW()-4)/7)))=0
   ),
   "",
   INDIRECT("'1a. Input organisatieniveau'!AA" &amp; (7 + INT((ROW()-4)/7)))
)</f>
        <v/>
      </c>
      <c r="C243" s="663" t="s">
        <v>779</v>
      </c>
      <c r="D243" s="429" t="s">
        <v>72</v>
      </c>
      <c r="E243" s="599"/>
      <c r="F243" s="339" t="s">
        <v>767</v>
      </c>
      <c r="G243" s="429" t="s">
        <v>923</v>
      </c>
      <c r="H243" s="606"/>
      <c r="I243" s="339" t="s">
        <v>767</v>
      </c>
      <c r="J243" s="682"/>
      <c r="K243" s="682"/>
      <c r="L243" s="683"/>
      <c r="M243" s="289"/>
      <c r="N243" s="346"/>
      <c r="O243" s="289"/>
      <c r="P243" s="289"/>
      <c r="Q243" s="289"/>
      <c r="R243" s="289"/>
      <c r="S243" s="289"/>
      <c r="T243" s="289"/>
      <c r="U243" s="289"/>
      <c r="V243" s="289"/>
      <c r="W243" s="289"/>
      <c r="X243" s="289"/>
      <c r="Y243" s="289"/>
      <c r="Z243" s="289"/>
      <c r="AA243" s="289"/>
      <c r="AB243" s="289"/>
      <c r="AC243" s="289"/>
      <c r="AD243" s="289"/>
      <c r="AE243" s="289"/>
      <c r="AF243" s="289"/>
      <c r="AG243" s="289"/>
      <c r="AH243" s="289"/>
      <c r="AI243" s="289"/>
      <c r="AJ243" s="289"/>
      <c r="AK243" s="289"/>
      <c r="AL243" s="289"/>
      <c r="AM243" s="289"/>
      <c r="AN243" s="289"/>
      <c r="AO243" s="289"/>
      <c r="AP243" s="289"/>
      <c r="AQ243" s="289"/>
      <c r="AR243" s="289"/>
      <c r="AS243" s="289"/>
      <c r="AT243" s="289"/>
      <c r="AU243" s="289"/>
      <c r="AV243" s="289"/>
      <c r="AW243" s="289"/>
      <c r="AX243" s="289"/>
      <c r="AY243" s="289"/>
      <c r="AZ243" s="289"/>
    </row>
    <row r="244" spans="1:52" ht="15.5" customHeight="1" x14ac:dyDescent="0.45">
      <c r="A244" s="289"/>
      <c r="B244" s="343"/>
      <c r="C244" s="663" t="s">
        <v>779</v>
      </c>
      <c r="D244" s="666" t="s">
        <v>2238</v>
      </c>
      <c r="E244" s="605"/>
      <c r="F244" s="339" t="s">
        <v>767</v>
      </c>
      <c r="G244"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44" s="729"/>
      <c r="I244" s="339" t="s">
        <v>767</v>
      </c>
      <c r="J244" s="757" t="s">
        <v>2142</v>
      </c>
      <c r="K244" s="758"/>
      <c r="L244" s="683"/>
      <c r="M244" s="746" t="s">
        <v>780</v>
      </c>
      <c r="N244" s="770" t="s">
        <v>1079</v>
      </c>
      <c r="O244" s="584"/>
      <c r="P244" s="321"/>
      <c r="Q244" s="289"/>
      <c r="R244" s="289"/>
      <c r="S244" s="289"/>
      <c r="T244" s="289"/>
      <c r="U244" s="289"/>
      <c r="V244" s="289"/>
      <c r="W244" s="289"/>
      <c r="X244" s="289"/>
      <c r="Y244" s="289"/>
      <c r="Z244" s="289"/>
      <c r="AA244" s="289"/>
      <c r="AB244" s="289"/>
      <c r="AC244" s="289"/>
      <c r="AD244" s="289" t="b">
        <f ca="1">AND(
    NOT(
        AND(H245 = "", B243 &lt;&gt; "", OR(B242 = "Verblijf", B242 = "Daghulp"))
    ),
    NOT(
        AND(E247 = "", B243 &lt;&gt; "")
    ),
    NOT(
        AND(H247 = "", B243 &lt;&gt; "", OR(B242 = "Verblijf", B242 = "Daghulp"))
    ),
    NOT(
        AND(H246 = "", B243 &lt;&gt; "", OR(B242 = "Verblijf", B242 = "Daghulp"))
    ),
    NOT(
        AND(H243 = "", B243 &lt;&gt; "")
    ),
    NOT(
        AND(E246 = "", B243 &lt;&gt; "")
    ),
    NOT(
        AND(E245 = "", B243 &lt;&gt; "", Initialisatie!$C$6 &lt;&gt; "Ja")
    ),
    NOT(
        AND(E244 = "", B243 &lt;&gt; "", B242 = "Ambulant")
    ),
    NOT(
        AND(E243 = "", B243 &lt;&gt; "")
    ),
    NOT(
        AND(H244 = "", B243 &lt;&gt; "", OR(B242 = "Verblijf", B242 = "Daghulp"))
    )
)</f>
        <v>1</v>
      </c>
      <c r="AE244" s="289" t="b">
        <f ca="1">AND(
    NOT(
        AND(E247 = "", B243 &lt;&gt; "")
    ),
    NOT(
        AND(E246 = "", B243 &lt;&gt; "")
    ),
    NOT(
        AND(E245 = "", B243 &lt;&gt; "", Initialisatie!$C$6 &lt;&gt; "Ja")
    ),
    NOT(
        AND(E244 = "", B243 &lt;&gt; "", B242 = "Ambulant")
    ),
    NOT(
        AND(E243 = "", B243 &lt;&gt; "")
    )
)</f>
        <v>1</v>
      </c>
      <c r="AF244" s="289"/>
      <c r="AG244" s="289"/>
      <c r="AH244" s="289"/>
      <c r="AI244" s="289"/>
      <c r="AJ244" s="289"/>
      <c r="AK244" s="289"/>
      <c r="AL244" s="289"/>
      <c r="AM244" s="289"/>
      <c r="AN244" s="289"/>
      <c r="AO244" s="289"/>
      <c r="AP244" s="289"/>
      <c r="AQ244" s="289"/>
      <c r="AR244" s="289"/>
      <c r="AS244" s="289"/>
      <c r="AT244" s="289"/>
      <c r="AU244" s="289"/>
      <c r="AV244" s="289"/>
      <c r="AW244" s="289"/>
      <c r="AX244" s="289"/>
      <c r="AY244" s="289"/>
      <c r="AZ244" s="289"/>
    </row>
    <row r="245" spans="1:52" ht="15.5" customHeight="1" thickBot="1" x14ac:dyDescent="0.5">
      <c r="A245" s="289"/>
      <c r="B245" s="343"/>
      <c r="C245" s="663" t="s">
        <v>779</v>
      </c>
      <c r="D245" s="666" t="s">
        <v>2239</v>
      </c>
      <c r="E245" s="605"/>
      <c r="F245" s="339" t="s">
        <v>767</v>
      </c>
      <c r="G245" s="666" t="s">
        <v>781</v>
      </c>
      <c r="H245" s="729"/>
      <c r="I245" s="339" t="s">
        <v>767</v>
      </c>
      <c r="J245" s="759"/>
      <c r="K245" s="760"/>
      <c r="L245" s="683"/>
      <c r="M245" s="746"/>
      <c r="N245" s="770"/>
      <c r="O245" s="584"/>
      <c r="P245" s="321"/>
      <c r="Q245" s="289"/>
      <c r="R245" s="289"/>
      <c r="S245" s="289"/>
      <c r="T245" s="289"/>
      <c r="U245" s="289"/>
      <c r="V245" s="289"/>
      <c r="W245" s="289"/>
      <c r="X245" s="289"/>
      <c r="Y245" s="289"/>
      <c r="Z245" s="289"/>
      <c r="AA245" s="289"/>
      <c r="AB245" s="289"/>
      <c r="AC245" s="289"/>
      <c r="AD245" s="289"/>
      <c r="AE245" s="289"/>
      <c r="AF245" s="289"/>
      <c r="AG245" s="289"/>
      <c r="AH245" s="289"/>
      <c r="AI245" s="289"/>
      <c r="AJ245" s="289"/>
      <c r="AK245" s="289"/>
      <c r="AL245" s="289"/>
      <c r="AM245" s="289"/>
      <c r="AN245" s="289"/>
      <c r="AO245" s="289"/>
      <c r="AP245" s="289"/>
      <c r="AQ245" s="289"/>
      <c r="AR245" s="289"/>
      <c r="AS245" s="289"/>
      <c r="AT245" s="289"/>
      <c r="AU245" s="289"/>
      <c r="AV245" s="289"/>
      <c r="AW245" s="289"/>
      <c r="AX245" s="289"/>
      <c r="AY245" s="289"/>
      <c r="AZ245" s="289"/>
    </row>
    <row r="246" spans="1:52" ht="15.5" customHeight="1" x14ac:dyDescent="0.45">
      <c r="A246" s="289"/>
      <c r="B246" s="343"/>
      <c r="C246" s="663" t="s">
        <v>779</v>
      </c>
      <c r="D246" s="666" t="s">
        <v>2240</v>
      </c>
      <c r="E246" s="605"/>
      <c r="F246" s="339" t="s">
        <v>767</v>
      </c>
      <c r="G246"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46" s="672"/>
      <c r="I246" s="339" t="s">
        <v>767</v>
      </c>
      <c r="J246" s="753" t="str" cm="1">
        <f t="array" aca="1" ref="J246" ca="1">IF(
    B243="",
    "",
    IF(
        AND(
            INDEX('2. Output kostprijs'!$77:$77, 1, 5 + (ROW()-5)/7*2)&lt;&gt;"",
            INDEX('2. Output kostprijs'!$78:$78, 1, 5 + (ROW()-5)/7*2)&lt;&gt;""
        ),
        ROUND(
            INDEX('2. Output kostprijs'!$77:$77, 1, 5 + (ROW()-5)/7*2),
            0
        )
        &amp; " uren" &amp; CHAR(10) &amp; "("
        &amp; ROUND( 100 *
            INDEX('2. Output kostprijs'!$78:$78, 1, 5 + (ROW()-5)/7*2),
            1
        )
        &amp; "%)",
        "-"
    )
)</f>
        <v/>
      </c>
      <c r="K246" s="754"/>
      <c r="L246" s="683"/>
      <c r="M246" s="746"/>
      <c r="N246" s="770"/>
      <c r="O246" s="584"/>
      <c r="P246" s="321"/>
      <c r="Q246" s="289"/>
      <c r="R246" s="289"/>
      <c r="S246" s="289"/>
      <c r="T246" s="289"/>
      <c r="U246" s="289"/>
      <c r="V246" s="289"/>
      <c r="W246" s="289"/>
      <c r="X246" s="289"/>
      <c r="Y246" s="289"/>
      <c r="Z246" s="289"/>
      <c r="AA246" s="289"/>
      <c r="AB246" s="289"/>
      <c r="AC246" s="289"/>
      <c r="AD246" s="289"/>
      <c r="AE246" s="289"/>
      <c r="AF246" s="289"/>
      <c r="AG246" s="289"/>
      <c r="AH246" s="289"/>
      <c r="AI246" s="289"/>
      <c r="AJ246" s="289"/>
      <c r="AK246" s="289"/>
      <c r="AL246" s="289"/>
      <c r="AM246" s="289"/>
      <c r="AN246" s="289"/>
      <c r="AO246" s="289"/>
      <c r="AP246" s="289"/>
      <c r="AQ246" s="289"/>
      <c r="AR246" s="289"/>
      <c r="AS246" s="289"/>
      <c r="AT246" s="289"/>
      <c r="AU246" s="289"/>
      <c r="AV246" s="289"/>
      <c r="AW246" s="289"/>
      <c r="AX246" s="289"/>
      <c r="AY246" s="289"/>
      <c r="AZ246" s="289"/>
    </row>
    <row r="247" spans="1:52" ht="16.149999999999999" thickBot="1" x14ac:dyDescent="0.5">
      <c r="A247" s="289"/>
      <c r="B247" s="343"/>
      <c r="C247" s="663" t="s">
        <v>779</v>
      </c>
      <c r="D247" s="667" t="str">
        <f ca="1">IF(B242="Verblijf", "Bezettingsgraad (%)", "No show (%)")</f>
        <v>No show (%)</v>
      </c>
      <c r="E247" s="669"/>
      <c r="F247" s="339" t="s">
        <v>767</v>
      </c>
      <c r="G247"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47" s="673"/>
      <c r="I247" s="339" t="s">
        <v>767</v>
      </c>
      <c r="J247" s="755"/>
      <c r="K247" s="756"/>
      <c r="L247" s="683"/>
      <c r="M247" s="289"/>
      <c r="N247" s="346"/>
      <c r="O247" s="289"/>
      <c r="P247" s="289"/>
      <c r="Q247" s="289"/>
      <c r="R247" s="289"/>
      <c r="S247" s="289"/>
      <c r="T247" s="289"/>
      <c r="U247" s="289"/>
      <c r="V247" s="289"/>
      <c r="W247" s="289"/>
      <c r="X247" s="289"/>
      <c r="Y247" s="289"/>
      <c r="Z247" s="289"/>
      <c r="AA247" s="289"/>
      <c r="AB247" s="289"/>
      <c r="AC247" s="289"/>
      <c r="AD247" s="289"/>
      <c r="AE247" s="289"/>
      <c r="AF247" s="289"/>
      <c r="AG247" s="289"/>
      <c r="AH247" s="289"/>
      <c r="AI247" s="289"/>
      <c r="AJ247" s="289"/>
      <c r="AK247" s="289"/>
      <c r="AL247" s="289"/>
      <c r="AM247" s="289"/>
      <c r="AN247" s="289"/>
      <c r="AO247" s="289"/>
      <c r="AP247" s="289"/>
      <c r="AQ247" s="289"/>
      <c r="AR247" s="289"/>
      <c r="AS247" s="289"/>
      <c r="AT247" s="289"/>
      <c r="AU247" s="289"/>
      <c r="AV247" s="289"/>
      <c r="AW247" s="289"/>
      <c r="AX247" s="289"/>
      <c r="AY247" s="289"/>
      <c r="AZ247" s="289"/>
    </row>
    <row r="248" spans="1:52" ht="16.149999999999999" thickBot="1" x14ac:dyDescent="0.5">
      <c r="A248" s="289"/>
      <c r="B248" s="421"/>
      <c r="C248" s="664" t="s">
        <v>779</v>
      </c>
      <c r="D248" s="660"/>
      <c r="E248" s="670"/>
      <c r="F248" s="665"/>
      <c r="G248" s="426"/>
      <c r="H248" s="674"/>
      <c r="I248" s="676"/>
      <c r="J248" s="684"/>
      <c r="K248" s="684"/>
      <c r="L248" s="685"/>
      <c r="M248" s="289"/>
      <c r="N248" s="346"/>
      <c r="O248" s="289"/>
      <c r="P248" s="289"/>
      <c r="Q248" s="289"/>
      <c r="R248" s="289"/>
      <c r="S248" s="289"/>
      <c r="T248" s="289"/>
      <c r="U248" s="289"/>
      <c r="V248" s="289"/>
      <c r="W248" s="289"/>
      <c r="X248" s="289"/>
      <c r="Y248" s="289"/>
      <c r="Z248" s="289"/>
      <c r="AA248" s="289"/>
      <c r="AB248" s="289"/>
      <c r="AC248" s="289"/>
      <c r="AD248" s="289"/>
      <c r="AE248" s="289"/>
      <c r="AF248" s="289"/>
      <c r="AG248" s="289"/>
      <c r="AH248" s="289"/>
      <c r="AI248" s="289"/>
      <c r="AJ248" s="289"/>
      <c r="AK248" s="289"/>
      <c r="AL248" s="289"/>
      <c r="AM248" s="289"/>
      <c r="AN248" s="289"/>
      <c r="AO248" s="289"/>
      <c r="AP248" s="289"/>
      <c r="AQ248" s="289"/>
      <c r="AR248" s="289"/>
      <c r="AS248" s="289"/>
      <c r="AT248" s="289"/>
      <c r="AU248" s="289"/>
      <c r="AV248" s="289"/>
      <c r="AW248" s="289"/>
      <c r="AX248" s="289"/>
      <c r="AY248" s="289"/>
      <c r="AZ248" s="289"/>
    </row>
    <row r="249" spans="1:52" ht="16.149999999999999" thickBot="1" x14ac:dyDescent="0.55000000000000004">
      <c r="A249" s="289"/>
      <c r="B249" s="582" t="str">
        <f ca="1">IF(B250="","",
IF(
   OR(
      INDIRECT("'1a. Input organisatieniveau'!AC" &amp; (7 + INT((ROW()-4)/7)))="",
      INDIRECT("'1a. Input organisatieniveau'!AC" &amp; (7 + INT((ROW()-4)/7)))=0
   ),
   "",
   INDIRECT("'1a. Input organisatieniveau'!AC" &amp; (7 + INT((ROW()-4)/7)))
))</f>
        <v/>
      </c>
      <c r="C249" s="661" t="s">
        <v>779</v>
      </c>
      <c r="D249" s="428"/>
      <c r="E249" s="668"/>
      <c r="F249" s="662"/>
      <c r="G249" s="428"/>
      <c r="H249" s="671"/>
      <c r="I249" s="675"/>
      <c r="J249" s="680"/>
      <c r="K249" s="680"/>
      <c r="L249" s="681"/>
      <c r="M249" s="12"/>
      <c r="N249" s="346"/>
      <c r="O249" s="289"/>
      <c r="P249" s="289"/>
      <c r="Q249" s="289"/>
      <c r="R249" s="289"/>
      <c r="S249" s="289"/>
      <c r="T249" s="289"/>
      <c r="U249" s="289"/>
      <c r="V249" s="289"/>
      <c r="W249" s="289"/>
      <c r="X249" s="289"/>
      <c r="Y249" s="289"/>
      <c r="Z249" s="289"/>
      <c r="AA249" s="289"/>
      <c r="AB249" s="289"/>
      <c r="AC249" s="289"/>
      <c r="AD249" s="289"/>
      <c r="AE249" s="289"/>
      <c r="AF249" s="289"/>
      <c r="AG249" s="289"/>
      <c r="AH249" s="289"/>
      <c r="AI249" s="289"/>
      <c r="AJ249" s="289"/>
      <c r="AK249" s="289"/>
      <c r="AL249" s="289"/>
      <c r="AM249" s="289"/>
      <c r="AN249" s="289"/>
      <c r="AO249" s="289"/>
      <c r="AP249" s="289"/>
      <c r="AQ249" s="289"/>
      <c r="AR249" s="289"/>
      <c r="AS249" s="289"/>
      <c r="AT249" s="289"/>
      <c r="AU249" s="289"/>
      <c r="AV249" s="289"/>
      <c r="AW249" s="289"/>
      <c r="AX249" s="289"/>
      <c r="AY249" s="289"/>
      <c r="AZ249" s="289"/>
    </row>
    <row r="250" spans="1:52" ht="16.149999999999999" thickBot="1" x14ac:dyDescent="0.5">
      <c r="A250" s="289"/>
      <c r="B250" s="583" t="str">
        <f ca="1">IF(
   OR(
      INDIRECT("'1a. Input organisatieniveau'!AA" &amp; (7 + INT((ROW()-4)/7)))="",
      INDIRECT("'1a. Input organisatieniveau'!AA" &amp; (7 + INT((ROW()-4)/7)))=0
   ),
   "",
   INDIRECT("'1a. Input organisatieniveau'!AA" &amp; (7 + INT((ROW()-4)/7)))
)</f>
        <v/>
      </c>
      <c r="C250" s="663" t="s">
        <v>779</v>
      </c>
      <c r="D250" s="429" t="s">
        <v>72</v>
      </c>
      <c r="E250" s="599"/>
      <c r="F250" s="339" t="s">
        <v>767</v>
      </c>
      <c r="G250" s="429" t="s">
        <v>923</v>
      </c>
      <c r="H250" s="606"/>
      <c r="I250" s="339" t="s">
        <v>767</v>
      </c>
      <c r="J250" s="682"/>
      <c r="K250" s="682"/>
      <c r="L250" s="683"/>
      <c r="M250" s="289"/>
      <c r="N250" s="346"/>
      <c r="O250" s="289"/>
      <c r="P250" s="289"/>
      <c r="Q250" s="289"/>
      <c r="R250" s="289"/>
      <c r="S250" s="289"/>
      <c r="T250" s="289"/>
      <c r="U250" s="289"/>
      <c r="V250" s="289"/>
      <c r="W250" s="289"/>
      <c r="X250" s="289"/>
      <c r="Y250" s="289"/>
      <c r="Z250" s="289"/>
      <c r="AA250" s="289"/>
      <c r="AB250" s="289"/>
      <c r="AC250" s="289"/>
      <c r="AD250" s="289"/>
      <c r="AE250" s="289"/>
      <c r="AF250" s="289"/>
      <c r="AG250" s="289"/>
      <c r="AH250" s="289"/>
      <c r="AI250" s="289"/>
      <c r="AJ250" s="289"/>
      <c r="AK250" s="289"/>
      <c r="AL250" s="289"/>
      <c r="AM250" s="289"/>
      <c r="AN250" s="289"/>
      <c r="AO250" s="289"/>
      <c r="AP250" s="289"/>
      <c r="AQ250" s="289"/>
      <c r="AR250" s="289"/>
      <c r="AS250" s="289"/>
      <c r="AT250" s="289"/>
      <c r="AU250" s="289"/>
      <c r="AV250" s="289"/>
      <c r="AW250" s="289"/>
      <c r="AX250" s="289"/>
      <c r="AY250" s="289"/>
      <c r="AZ250" s="289"/>
    </row>
    <row r="251" spans="1:52" ht="15.5" customHeight="1" x14ac:dyDescent="0.45">
      <c r="A251" s="289"/>
      <c r="B251" s="343"/>
      <c r="C251" s="663" t="s">
        <v>779</v>
      </c>
      <c r="D251" s="666" t="s">
        <v>2238</v>
      </c>
      <c r="E251" s="605"/>
      <c r="F251" s="339" t="s">
        <v>767</v>
      </c>
      <c r="G251"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51" s="729"/>
      <c r="I251" s="339" t="s">
        <v>767</v>
      </c>
      <c r="J251" s="757" t="s">
        <v>2142</v>
      </c>
      <c r="K251" s="758"/>
      <c r="L251" s="683"/>
      <c r="M251" s="746" t="s">
        <v>780</v>
      </c>
      <c r="N251" s="770" t="s">
        <v>1079</v>
      </c>
      <c r="O251" s="584"/>
      <c r="P251" s="321"/>
      <c r="Q251" s="289"/>
      <c r="R251" s="289"/>
      <c r="S251" s="289"/>
      <c r="T251" s="289"/>
      <c r="U251" s="289"/>
      <c r="V251" s="289"/>
      <c r="W251" s="289"/>
      <c r="X251" s="289"/>
      <c r="Y251" s="289"/>
      <c r="Z251" s="289"/>
      <c r="AA251" s="289"/>
      <c r="AB251" s="289"/>
      <c r="AC251" s="289"/>
      <c r="AD251" s="289" t="b">
        <f ca="1">AND(
    NOT(
        AND(H252 = "", B250 &lt;&gt; "", OR(B249 = "Verblijf", B249 = "Daghulp"))
    ),
    NOT(
        AND(E254 = "", B250 &lt;&gt; "")
    ),
    NOT(
        AND(H254 = "", B250 &lt;&gt; "", OR(B249 = "Verblijf", B249 = "Daghulp"))
    ),
    NOT(
        AND(H253 = "", B250 &lt;&gt; "", OR(B249 = "Verblijf", B249 = "Daghulp"))
    ),
    NOT(
        AND(H250 = "", B250 &lt;&gt; "")
    ),
    NOT(
        AND(E253 = "", B250 &lt;&gt; "")
    ),
    NOT(
        AND(E252 = "", B250 &lt;&gt; "", Initialisatie!$C$6 &lt;&gt; "Ja")
    ),
    NOT(
        AND(E251 = "", B250 &lt;&gt; "", B249 = "Ambulant")
    ),
    NOT(
        AND(E250 = "", B250 &lt;&gt; "")
    ),
    NOT(
        AND(H251 = "", B250 &lt;&gt; "", OR(B249 = "Verblijf", B249 = "Daghulp"))
    )
)</f>
        <v>1</v>
      </c>
      <c r="AE251" s="289" t="b">
        <f ca="1">AND(
    NOT(
        AND(E254 = "", B250 &lt;&gt; "")
    ),
    NOT(
        AND(E253 = "", B250 &lt;&gt; "")
    ),
    NOT(
        AND(E252 = "", B250 &lt;&gt; "", Initialisatie!$C$6 &lt;&gt; "Ja")
    ),
    NOT(
        AND(E251 = "", B250 &lt;&gt; "", B249 = "Ambulant")
    ),
    NOT(
        AND(E250 = "", B250 &lt;&gt; "")
    )
)</f>
        <v>1</v>
      </c>
      <c r="AF251" s="289"/>
      <c r="AG251" s="289"/>
      <c r="AH251" s="289"/>
      <c r="AI251" s="289"/>
      <c r="AJ251" s="289"/>
      <c r="AK251" s="289"/>
      <c r="AL251" s="289"/>
      <c r="AM251" s="289"/>
      <c r="AN251" s="289"/>
      <c r="AO251" s="289"/>
      <c r="AP251" s="289"/>
      <c r="AQ251" s="289"/>
      <c r="AR251" s="289"/>
      <c r="AS251" s="289"/>
      <c r="AT251" s="289"/>
      <c r="AU251" s="289"/>
      <c r="AV251" s="289"/>
      <c r="AW251" s="289"/>
      <c r="AX251" s="289"/>
      <c r="AY251" s="289"/>
      <c r="AZ251" s="289"/>
    </row>
    <row r="252" spans="1:52" ht="15.5" customHeight="1" thickBot="1" x14ac:dyDescent="0.5">
      <c r="A252" s="289"/>
      <c r="B252" s="343"/>
      <c r="C252" s="663" t="s">
        <v>779</v>
      </c>
      <c r="D252" s="666" t="s">
        <v>2239</v>
      </c>
      <c r="E252" s="605"/>
      <c r="F252" s="339" t="s">
        <v>767</v>
      </c>
      <c r="G252" s="666" t="s">
        <v>781</v>
      </c>
      <c r="H252" s="729"/>
      <c r="I252" s="339" t="s">
        <v>767</v>
      </c>
      <c r="J252" s="759"/>
      <c r="K252" s="760"/>
      <c r="L252" s="683"/>
      <c r="M252" s="746"/>
      <c r="N252" s="770"/>
      <c r="O252" s="584"/>
      <c r="P252" s="321"/>
      <c r="Q252" s="289"/>
      <c r="R252" s="289"/>
      <c r="S252" s="289"/>
      <c r="T252" s="289"/>
      <c r="U252" s="289"/>
      <c r="V252" s="289"/>
      <c r="W252" s="289"/>
      <c r="X252" s="289"/>
      <c r="Y252" s="289"/>
      <c r="Z252" s="289"/>
      <c r="AA252" s="289"/>
      <c r="AB252" s="289"/>
      <c r="AC252" s="289"/>
      <c r="AD252" s="289"/>
      <c r="AE252" s="289"/>
      <c r="AF252" s="289"/>
      <c r="AG252" s="289"/>
      <c r="AH252" s="289"/>
      <c r="AI252" s="289"/>
      <c r="AJ252" s="289"/>
      <c r="AK252" s="289"/>
      <c r="AL252" s="289"/>
      <c r="AM252" s="289"/>
      <c r="AN252" s="289"/>
      <c r="AO252" s="289"/>
      <c r="AP252" s="289"/>
      <c r="AQ252" s="289"/>
      <c r="AR252" s="289"/>
      <c r="AS252" s="289"/>
      <c r="AT252" s="289"/>
      <c r="AU252" s="289"/>
      <c r="AV252" s="289"/>
      <c r="AW252" s="289"/>
      <c r="AX252" s="289"/>
      <c r="AY252" s="289"/>
      <c r="AZ252" s="289"/>
    </row>
    <row r="253" spans="1:52" ht="15.5" customHeight="1" x14ac:dyDescent="0.45">
      <c r="A253" s="289"/>
      <c r="B253" s="343"/>
      <c r="C253" s="663" t="s">
        <v>779</v>
      </c>
      <c r="D253" s="666" t="s">
        <v>2240</v>
      </c>
      <c r="E253" s="605"/>
      <c r="F253" s="339" t="s">
        <v>767</v>
      </c>
      <c r="G253"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53" s="672"/>
      <c r="I253" s="339" t="s">
        <v>767</v>
      </c>
      <c r="J253" s="753" t="str" cm="1">
        <f t="array" aca="1" ref="J253" ca="1">IF(
    B250="",
    "",
    IF(
        AND(
            INDEX('2. Output kostprijs'!$77:$77, 1, 5 + (ROW()-5)/7*2)&lt;&gt;"",
            INDEX('2. Output kostprijs'!$78:$78, 1, 5 + (ROW()-5)/7*2)&lt;&gt;""
        ),
        ROUND(
            INDEX('2. Output kostprijs'!$77:$77, 1, 5 + (ROW()-5)/7*2),
            0
        )
        &amp; " uren" &amp; CHAR(10) &amp; "("
        &amp; ROUND( 100 *
            INDEX('2. Output kostprijs'!$78:$78, 1, 5 + (ROW()-5)/7*2),
            1
        )
        &amp; "%)",
        "-"
    )
)</f>
        <v/>
      </c>
      <c r="K253" s="754"/>
      <c r="L253" s="683"/>
      <c r="M253" s="746"/>
      <c r="N253" s="770"/>
      <c r="O253" s="584"/>
      <c r="P253" s="321"/>
      <c r="Q253" s="289"/>
      <c r="R253" s="289"/>
      <c r="S253" s="289"/>
      <c r="T253" s="289"/>
      <c r="U253" s="289"/>
      <c r="V253" s="289"/>
      <c r="W253" s="289"/>
      <c r="X253" s="289"/>
      <c r="Y253" s="289"/>
      <c r="Z253" s="289"/>
      <c r="AA253" s="289"/>
      <c r="AB253" s="289"/>
      <c r="AC253" s="289"/>
      <c r="AD253" s="289"/>
      <c r="AE253" s="289"/>
      <c r="AF253" s="289"/>
      <c r="AG253" s="289"/>
      <c r="AH253" s="289"/>
      <c r="AI253" s="289"/>
      <c r="AJ253" s="289"/>
      <c r="AK253" s="289"/>
      <c r="AL253" s="289"/>
      <c r="AM253" s="289"/>
      <c r="AN253" s="289"/>
      <c r="AO253" s="289"/>
      <c r="AP253" s="289"/>
      <c r="AQ253" s="289"/>
      <c r="AR253" s="289"/>
      <c r="AS253" s="289"/>
      <c r="AT253" s="289"/>
      <c r="AU253" s="289"/>
      <c r="AV253" s="289"/>
      <c r="AW253" s="289"/>
      <c r="AX253" s="289"/>
      <c r="AY253" s="289"/>
      <c r="AZ253" s="289"/>
    </row>
    <row r="254" spans="1:52" ht="16.149999999999999" thickBot="1" x14ac:dyDescent="0.5">
      <c r="A254" s="289"/>
      <c r="B254" s="343"/>
      <c r="C254" s="663" t="s">
        <v>779</v>
      </c>
      <c r="D254" s="667" t="str">
        <f ca="1">IF(B249="Verblijf", "Bezettingsgraad (%)", "No show (%)")</f>
        <v>No show (%)</v>
      </c>
      <c r="E254" s="669"/>
      <c r="F254" s="339" t="s">
        <v>767</v>
      </c>
      <c r="G254"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54" s="673"/>
      <c r="I254" s="339" t="s">
        <v>767</v>
      </c>
      <c r="J254" s="755"/>
      <c r="K254" s="756"/>
      <c r="L254" s="683"/>
      <c r="M254" s="289"/>
      <c r="N254" s="346"/>
      <c r="O254" s="289"/>
      <c r="P254" s="289"/>
      <c r="Q254" s="289"/>
      <c r="R254" s="289"/>
      <c r="S254" s="289"/>
      <c r="T254" s="289"/>
      <c r="U254" s="289"/>
      <c r="V254" s="289"/>
      <c r="W254" s="289"/>
      <c r="X254" s="289"/>
      <c r="Y254" s="289"/>
      <c r="Z254" s="289"/>
      <c r="AA254" s="289"/>
      <c r="AB254" s="289"/>
      <c r="AC254" s="289"/>
      <c r="AD254" s="289"/>
      <c r="AE254" s="289"/>
      <c r="AF254" s="289"/>
      <c r="AG254" s="289"/>
      <c r="AH254" s="289"/>
      <c r="AI254" s="289"/>
      <c r="AJ254" s="289"/>
      <c r="AK254" s="289"/>
      <c r="AL254" s="289"/>
      <c r="AM254" s="289"/>
      <c r="AN254" s="289"/>
      <c r="AO254" s="289"/>
      <c r="AP254" s="289"/>
      <c r="AQ254" s="289"/>
      <c r="AR254" s="289"/>
      <c r="AS254" s="289"/>
      <c r="AT254" s="289"/>
      <c r="AU254" s="289"/>
      <c r="AV254" s="289"/>
      <c r="AW254" s="289"/>
      <c r="AX254" s="289"/>
      <c r="AY254" s="289"/>
      <c r="AZ254" s="289"/>
    </row>
    <row r="255" spans="1:52" ht="16.149999999999999" thickBot="1" x14ac:dyDescent="0.5">
      <c r="A255" s="289"/>
      <c r="B255" s="421"/>
      <c r="C255" s="664" t="s">
        <v>779</v>
      </c>
      <c r="D255" s="660"/>
      <c r="E255" s="670"/>
      <c r="F255" s="665"/>
      <c r="G255" s="426"/>
      <c r="H255" s="674"/>
      <c r="I255" s="676"/>
      <c r="J255" s="684"/>
      <c r="K255" s="684"/>
      <c r="L255" s="685"/>
      <c r="M255" s="289"/>
      <c r="N255" s="346"/>
      <c r="O255" s="289"/>
      <c r="P255" s="289"/>
      <c r="Q255" s="289"/>
      <c r="R255" s="289"/>
      <c r="S255" s="289"/>
      <c r="T255" s="289"/>
      <c r="U255" s="289"/>
      <c r="V255" s="289"/>
      <c r="W255" s="289"/>
      <c r="X255" s="289"/>
      <c r="Y255" s="289"/>
      <c r="Z255" s="289"/>
      <c r="AA255" s="289"/>
      <c r="AB255" s="289"/>
      <c r="AC255" s="289"/>
      <c r="AD255" s="289"/>
      <c r="AE255" s="289"/>
      <c r="AF255" s="289"/>
      <c r="AG255" s="289"/>
      <c r="AH255" s="289"/>
      <c r="AI255" s="289"/>
      <c r="AJ255" s="289"/>
      <c r="AK255" s="289"/>
      <c r="AL255" s="289"/>
      <c r="AM255" s="289"/>
      <c r="AN255" s="289"/>
      <c r="AO255" s="289"/>
      <c r="AP255" s="289"/>
      <c r="AQ255" s="289"/>
      <c r="AR255" s="289"/>
      <c r="AS255" s="289"/>
      <c r="AT255" s="289"/>
      <c r="AU255" s="289"/>
      <c r="AV255" s="289"/>
      <c r="AW255" s="289"/>
      <c r="AX255" s="289"/>
      <c r="AY255" s="289"/>
      <c r="AZ255" s="289"/>
    </row>
    <row r="256" spans="1:52" ht="16.149999999999999" thickBot="1" x14ac:dyDescent="0.55000000000000004">
      <c r="A256" s="289"/>
      <c r="B256" s="582" t="str">
        <f ca="1">IF(B257="","",
IF(
   OR(
      INDIRECT("'1a. Input organisatieniveau'!AC" &amp; (7 + INT((ROW()-4)/7)))="",
      INDIRECT("'1a. Input organisatieniveau'!AC" &amp; (7 + INT((ROW()-4)/7)))=0
   ),
   "",
   INDIRECT("'1a. Input organisatieniveau'!AC" &amp; (7 + INT((ROW()-4)/7)))
))</f>
        <v/>
      </c>
      <c r="C256" s="661" t="s">
        <v>779</v>
      </c>
      <c r="D256" s="428"/>
      <c r="E256" s="668"/>
      <c r="F256" s="662"/>
      <c r="G256" s="428"/>
      <c r="H256" s="671"/>
      <c r="I256" s="675"/>
      <c r="J256" s="680"/>
      <c r="K256" s="680"/>
      <c r="L256" s="681"/>
      <c r="M256" s="12"/>
      <c r="N256" s="346"/>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c r="AZ256" s="289"/>
    </row>
    <row r="257" spans="1:52" ht="16.149999999999999" thickBot="1" x14ac:dyDescent="0.5">
      <c r="A257" s="289"/>
      <c r="B257" s="583" t="str">
        <f ca="1">IF(
   OR(
      INDIRECT("'1a. Input organisatieniveau'!AA" &amp; (7 + INT((ROW()-4)/7)))="",
      INDIRECT("'1a. Input organisatieniveau'!AA" &amp; (7 + INT((ROW()-4)/7)))=0
   ),
   "",
   INDIRECT("'1a. Input organisatieniveau'!AA" &amp; (7 + INT((ROW()-4)/7)))
)</f>
        <v/>
      </c>
      <c r="C257" s="663" t="s">
        <v>779</v>
      </c>
      <c r="D257" s="429" t="s">
        <v>72</v>
      </c>
      <c r="E257" s="599"/>
      <c r="F257" s="339" t="s">
        <v>767</v>
      </c>
      <c r="G257" s="429" t="s">
        <v>923</v>
      </c>
      <c r="H257" s="606"/>
      <c r="I257" s="339" t="s">
        <v>767</v>
      </c>
      <c r="J257" s="682"/>
      <c r="K257" s="682"/>
      <c r="L257" s="683"/>
      <c r="M257" s="289"/>
      <c r="N257" s="346"/>
      <c r="O257" s="289"/>
      <c r="P257" s="289"/>
      <c r="Q257" s="289"/>
      <c r="R257" s="289"/>
      <c r="S257" s="289"/>
      <c r="T257" s="289"/>
      <c r="U257" s="289"/>
      <c r="V257" s="289"/>
      <c r="W257" s="289"/>
      <c r="X257" s="289"/>
      <c r="Y257" s="289"/>
      <c r="Z257" s="289"/>
      <c r="AA257" s="289"/>
      <c r="AB257" s="289"/>
      <c r="AC257" s="289"/>
      <c r="AD257" s="289"/>
      <c r="AE257" s="289"/>
      <c r="AF257" s="289"/>
      <c r="AG257" s="289"/>
      <c r="AH257" s="289"/>
      <c r="AI257" s="289"/>
      <c r="AJ257" s="289"/>
      <c r="AK257" s="289"/>
      <c r="AL257" s="289"/>
      <c r="AM257" s="289"/>
      <c r="AN257" s="289"/>
      <c r="AO257" s="289"/>
      <c r="AP257" s="289"/>
      <c r="AQ257" s="289"/>
      <c r="AR257" s="289"/>
      <c r="AS257" s="289"/>
      <c r="AT257" s="289"/>
      <c r="AU257" s="289"/>
      <c r="AV257" s="289"/>
      <c r="AW257" s="289"/>
      <c r="AX257" s="289"/>
      <c r="AY257" s="289"/>
      <c r="AZ257" s="289"/>
    </row>
    <row r="258" spans="1:52" ht="15.5" customHeight="1" x14ac:dyDescent="0.45">
      <c r="A258" s="289"/>
      <c r="B258" s="343"/>
      <c r="C258" s="663" t="s">
        <v>779</v>
      </c>
      <c r="D258" s="666" t="s">
        <v>2238</v>
      </c>
      <c r="E258" s="605"/>
      <c r="F258" s="339" t="s">
        <v>767</v>
      </c>
      <c r="G258"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58" s="729"/>
      <c r="I258" s="339" t="s">
        <v>767</v>
      </c>
      <c r="J258" s="757" t="s">
        <v>2142</v>
      </c>
      <c r="K258" s="758"/>
      <c r="L258" s="683"/>
      <c r="M258" s="746" t="s">
        <v>780</v>
      </c>
      <c r="N258" s="770" t="s">
        <v>1079</v>
      </c>
      <c r="O258" s="584"/>
      <c r="P258" s="321"/>
      <c r="Q258" s="289"/>
      <c r="R258" s="289"/>
      <c r="S258" s="289"/>
      <c r="T258" s="289"/>
      <c r="U258" s="289"/>
      <c r="V258" s="289"/>
      <c r="W258" s="289"/>
      <c r="X258" s="289"/>
      <c r="Y258" s="289"/>
      <c r="Z258" s="289"/>
      <c r="AA258" s="289"/>
      <c r="AB258" s="289"/>
      <c r="AC258" s="289"/>
      <c r="AD258" s="289" t="b">
        <f ca="1">AND(
    NOT(
        AND(H259 = "", B257 &lt;&gt; "", OR(B256 = "Verblijf", B256 = "Daghulp"))
    ),
    NOT(
        AND(E261 = "", B257 &lt;&gt; "")
    ),
    NOT(
        AND(H261 = "", B257 &lt;&gt; "", OR(B256 = "Verblijf", B256 = "Daghulp"))
    ),
    NOT(
        AND(H260 = "", B257 &lt;&gt; "", OR(B256 = "Verblijf", B256 = "Daghulp"))
    ),
    NOT(
        AND(H257 = "", B257 &lt;&gt; "")
    ),
    NOT(
        AND(E260 = "", B257 &lt;&gt; "")
    ),
    NOT(
        AND(E259 = "", B257 &lt;&gt; "", Initialisatie!$C$6 &lt;&gt; "Ja")
    ),
    NOT(
        AND(E258 = "", B257 &lt;&gt; "", B256 = "Ambulant")
    ),
    NOT(
        AND(E257 = "", B257 &lt;&gt; "")
    ),
    NOT(
        AND(H258 = "", B257 &lt;&gt; "", OR(B256 = "Verblijf", B256 = "Daghulp"))
    )
)</f>
        <v>1</v>
      </c>
      <c r="AE258" s="289" t="b">
        <f ca="1">AND(
    NOT(
        AND(E261 = "", B257 &lt;&gt; "")
    ),
    NOT(
        AND(E260 = "", B257 &lt;&gt; "")
    ),
    NOT(
        AND(E259 = "", B257 &lt;&gt; "", Initialisatie!$C$6 &lt;&gt; "Ja")
    ),
    NOT(
        AND(E258 = "", B257 &lt;&gt; "", B256 = "Ambulant")
    ),
    NOT(
        AND(E257 = "", B257 &lt;&gt; "")
    )
)</f>
        <v>1</v>
      </c>
      <c r="AF258" s="289"/>
      <c r="AG258" s="289"/>
      <c r="AH258" s="289"/>
      <c r="AI258" s="289"/>
      <c r="AJ258" s="289"/>
      <c r="AK258" s="289"/>
      <c r="AL258" s="289"/>
      <c r="AM258" s="289"/>
      <c r="AN258" s="289"/>
      <c r="AO258" s="289"/>
      <c r="AP258" s="289"/>
      <c r="AQ258" s="289"/>
      <c r="AR258" s="289"/>
      <c r="AS258" s="289"/>
      <c r="AT258" s="289"/>
      <c r="AU258" s="289"/>
      <c r="AV258" s="289"/>
      <c r="AW258" s="289"/>
      <c r="AX258" s="289"/>
      <c r="AY258" s="289"/>
      <c r="AZ258" s="289"/>
    </row>
    <row r="259" spans="1:52" ht="15.5" customHeight="1" thickBot="1" x14ac:dyDescent="0.5">
      <c r="A259" s="289"/>
      <c r="B259" s="343"/>
      <c r="C259" s="663" t="s">
        <v>779</v>
      </c>
      <c r="D259" s="666" t="s">
        <v>2239</v>
      </c>
      <c r="E259" s="605"/>
      <c r="F259" s="339" t="s">
        <v>767</v>
      </c>
      <c r="G259" s="666" t="s">
        <v>781</v>
      </c>
      <c r="H259" s="729"/>
      <c r="I259" s="339" t="s">
        <v>767</v>
      </c>
      <c r="J259" s="759"/>
      <c r="K259" s="760"/>
      <c r="L259" s="683"/>
      <c r="M259" s="746"/>
      <c r="N259" s="770"/>
      <c r="O259" s="584"/>
      <c r="P259" s="321"/>
      <c r="Q259" s="289"/>
      <c r="R259" s="289"/>
      <c r="S259" s="289"/>
      <c r="T259" s="289"/>
      <c r="U259" s="289"/>
      <c r="V259" s="289"/>
      <c r="W259" s="289"/>
      <c r="X259" s="289"/>
      <c r="Y259" s="289"/>
      <c r="Z259" s="289"/>
      <c r="AA259" s="289"/>
      <c r="AB259" s="289"/>
      <c r="AC259" s="289"/>
      <c r="AD259" s="289"/>
      <c r="AE259" s="289"/>
      <c r="AF259" s="289"/>
      <c r="AG259" s="289"/>
      <c r="AH259" s="289"/>
      <c r="AI259" s="289"/>
      <c r="AJ259" s="289"/>
      <c r="AK259" s="289"/>
      <c r="AL259" s="289"/>
      <c r="AM259" s="289"/>
      <c r="AN259" s="289"/>
      <c r="AO259" s="289"/>
      <c r="AP259" s="289"/>
      <c r="AQ259" s="289"/>
      <c r="AR259" s="289"/>
      <c r="AS259" s="289"/>
      <c r="AT259" s="289"/>
      <c r="AU259" s="289"/>
      <c r="AV259" s="289"/>
      <c r="AW259" s="289"/>
      <c r="AX259" s="289"/>
      <c r="AY259" s="289"/>
      <c r="AZ259" s="289"/>
    </row>
    <row r="260" spans="1:52" ht="15.5" customHeight="1" x14ac:dyDescent="0.45">
      <c r="A260" s="289"/>
      <c r="B260" s="343"/>
      <c r="C260" s="663" t="s">
        <v>779</v>
      </c>
      <c r="D260" s="666" t="s">
        <v>2240</v>
      </c>
      <c r="E260" s="605"/>
      <c r="F260" s="339" t="s">
        <v>767</v>
      </c>
      <c r="G260"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60" s="672"/>
      <c r="I260" s="339" t="s">
        <v>767</v>
      </c>
      <c r="J260" s="753" t="str" cm="1">
        <f t="array" aca="1" ref="J260" ca="1">IF(
    B257="",
    "",
    IF(
        AND(
            INDEX('2. Output kostprijs'!$77:$77, 1, 5 + (ROW()-5)/7*2)&lt;&gt;"",
            INDEX('2. Output kostprijs'!$78:$78, 1, 5 + (ROW()-5)/7*2)&lt;&gt;""
        ),
        ROUND(
            INDEX('2. Output kostprijs'!$77:$77, 1, 5 + (ROW()-5)/7*2),
            0
        )
        &amp; " uren" &amp; CHAR(10) &amp; "("
        &amp; ROUND( 100 *
            INDEX('2. Output kostprijs'!$78:$78, 1, 5 + (ROW()-5)/7*2),
            1
        )
        &amp; "%)",
        "-"
    )
)</f>
        <v/>
      </c>
      <c r="K260" s="754"/>
      <c r="L260" s="683"/>
      <c r="M260" s="746"/>
      <c r="N260" s="770"/>
      <c r="O260" s="584"/>
      <c r="P260" s="321"/>
      <c r="Q260" s="289"/>
      <c r="R260" s="289"/>
      <c r="S260" s="289"/>
      <c r="T260" s="289"/>
      <c r="U260" s="289"/>
      <c r="V260" s="289"/>
      <c r="W260" s="289"/>
      <c r="X260" s="289"/>
      <c r="Y260" s="289"/>
      <c r="Z260" s="289"/>
      <c r="AA260" s="289"/>
      <c r="AB260" s="289"/>
      <c r="AC260" s="289"/>
      <c r="AD260" s="289"/>
      <c r="AE260" s="289"/>
      <c r="AF260" s="289"/>
      <c r="AG260" s="289"/>
      <c r="AH260" s="289"/>
      <c r="AI260" s="289"/>
      <c r="AJ260" s="289"/>
      <c r="AK260" s="289"/>
      <c r="AL260" s="289"/>
      <c r="AM260" s="289"/>
      <c r="AN260" s="289"/>
      <c r="AO260" s="289"/>
      <c r="AP260" s="289"/>
      <c r="AQ260" s="289"/>
      <c r="AR260" s="289"/>
      <c r="AS260" s="289"/>
      <c r="AT260" s="289"/>
      <c r="AU260" s="289"/>
      <c r="AV260" s="289"/>
      <c r="AW260" s="289"/>
      <c r="AX260" s="289"/>
      <c r="AY260" s="289"/>
      <c r="AZ260" s="289"/>
    </row>
    <row r="261" spans="1:52" ht="16.149999999999999" thickBot="1" x14ac:dyDescent="0.5">
      <c r="A261" s="289"/>
      <c r="B261" s="343"/>
      <c r="C261" s="663" t="s">
        <v>779</v>
      </c>
      <c r="D261" s="667" t="str">
        <f ca="1">IF(B256="Verblijf", "Bezettingsgraad (%)", "No show (%)")</f>
        <v>No show (%)</v>
      </c>
      <c r="E261" s="669"/>
      <c r="F261" s="339" t="s">
        <v>767</v>
      </c>
      <c r="G261"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61" s="673"/>
      <c r="I261" s="339" t="s">
        <v>767</v>
      </c>
      <c r="J261" s="755"/>
      <c r="K261" s="756"/>
      <c r="L261" s="683"/>
      <c r="M261" s="289"/>
      <c r="N261" s="346"/>
      <c r="O261" s="289"/>
      <c r="P261" s="289"/>
      <c r="Q261" s="289"/>
      <c r="R261" s="289"/>
      <c r="S261" s="289"/>
      <c r="T261" s="289"/>
      <c r="U261" s="289"/>
      <c r="V261" s="289"/>
      <c r="W261" s="289"/>
      <c r="X261" s="289"/>
      <c r="Y261" s="289"/>
      <c r="Z261" s="289"/>
      <c r="AA261" s="289"/>
      <c r="AB261" s="289"/>
      <c r="AC261" s="289"/>
      <c r="AD261" s="289"/>
      <c r="AE261" s="289"/>
      <c r="AF261" s="289"/>
      <c r="AG261" s="289"/>
      <c r="AH261" s="289"/>
      <c r="AI261" s="289"/>
      <c r="AJ261" s="289"/>
      <c r="AK261" s="289"/>
      <c r="AL261" s="289"/>
      <c r="AM261" s="289"/>
      <c r="AN261" s="289"/>
      <c r="AO261" s="289"/>
      <c r="AP261" s="289"/>
      <c r="AQ261" s="289"/>
      <c r="AR261" s="289"/>
      <c r="AS261" s="289"/>
      <c r="AT261" s="289"/>
      <c r="AU261" s="289"/>
      <c r="AV261" s="289"/>
      <c r="AW261" s="289"/>
      <c r="AX261" s="289"/>
      <c r="AY261" s="289"/>
      <c r="AZ261" s="289"/>
    </row>
    <row r="262" spans="1:52" ht="16.149999999999999" thickBot="1" x14ac:dyDescent="0.5">
      <c r="A262" s="289"/>
      <c r="B262" s="421"/>
      <c r="C262" s="664" t="s">
        <v>779</v>
      </c>
      <c r="D262" s="660"/>
      <c r="E262" s="670"/>
      <c r="F262" s="665"/>
      <c r="G262" s="426"/>
      <c r="H262" s="674"/>
      <c r="I262" s="676"/>
      <c r="J262" s="684"/>
      <c r="K262" s="684"/>
      <c r="L262" s="685"/>
      <c r="M262" s="289"/>
      <c r="N262" s="346"/>
      <c r="O262" s="289"/>
      <c r="P262" s="289"/>
      <c r="Q262" s="289"/>
      <c r="R262" s="289"/>
      <c r="S262" s="289"/>
      <c r="T262" s="289"/>
      <c r="U262" s="289"/>
      <c r="V262" s="289"/>
      <c r="W262" s="289"/>
      <c r="X262" s="289"/>
      <c r="Y262" s="289"/>
      <c r="Z262" s="289"/>
      <c r="AA262" s="289"/>
      <c r="AB262" s="289"/>
      <c r="AC262" s="289"/>
      <c r="AD262" s="289"/>
      <c r="AE262" s="289"/>
      <c r="AF262" s="289"/>
      <c r="AG262" s="289"/>
      <c r="AH262" s="289"/>
      <c r="AI262" s="289"/>
      <c r="AJ262" s="289"/>
      <c r="AK262" s="289"/>
      <c r="AL262" s="289"/>
      <c r="AM262" s="289"/>
      <c r="AN262" s="289"/>
      <c r="AO262" s="289"/>
      <c r="AP262" s="289"/>
      <c r="AQ262" s="289"/>
      <c r="AR262" s="289"/>
      <c r="AS262" s="289"/>
      <c r="AT262" s="289"/>
      <c r="AU262" s="289"/>
      <c r="AV262" s="289"/>
      <c r="AW262" s="289"/>
      <c r="AX262" s="289"/>
      <c r="AY262" s="289"/>
      <c r="AZ262" s="289"/>
    </row>
    <row r="263" spans="1:52" ht="16.149999999999999" thickBot="1" x14ac:dyDescent="0.55000000000000004">
      <c r="A263" s="289"/>
      <c r="B263" s="582" t="str">
        <f ca="1">IF(B264="","",
IF(
   OR(
      INDIRECT("'1a. Input organisatieniveau'!AC" &amp; (7 + INT((ROW()-4)/7)))="",
      INDIRECT("'1a. Input organisatieniveau'!AC" &amp; (7 + INT((ROW()-4)/7)))=0
   ),
   "",
   INDIRECT("'1a. Input organisatieniveau'!AC" &amp; (7 + INT((ROW()-4)/7)))
))</f>
        <v/>
      </c>
      <c r="C263" s="661" t="s">
        <v>779</v>
      </c>
      <c r="D263" s="428"/>
      <c r="E263" s="668"/>
      <c r="F263" s="662"/>
      <c r="G263" s="428"/>
      <c r="H263" s="671"/>
      <c r="I263" s="675"/>
      <c r="J263" s="680"/>
      <c r="K263" s="680"/>
      <c r="L263" s="681"/>
      <c r="M263" s="12"/>
      <c r="N263" s="346"/>
      <c r="O263" s="289"/>
      <c r="P263" s="289"/>
      <c r="Q263" s="289"/>
      <c r="R263" s="289"/>
      <c r="S263" s="289"/>
      <c r="T263" s="289"/>
      <c r="U263" s="289"/>
      <c r="V263" s="289"/>
      <c r="W263" s="289"/>
      <c r="X263" s="289"/>
      <c r="Y263" s="289"/>
      <c r="Z263" s="289"/>
      <c r="AA263" s="289"/>
      <c r="AB263" s="289"/>
      <c r="AC263" s="289"/>
      <c r="AD263" s="289"/>
      <c r="AE263" s="289"/>
      <c r="AF263" s="289"/>
      <c r="AG263" s="289"/>
      <c r="AH263" s="289"/>
      <c r="AI263" s="289"/>
      <c r="AJ263" s="289"/>
      <c r="AK263" s="289"/>
      <c r="AL263" s="289"/>
      <c r="AM263" s="289"/>
      <c r="AN263" s="289"/>
      <c r="AO263" s="289"/>
      <c r="AP263" s="289"/>
      <c r="AQ263" s="289"/>
      <c r="AR263" s="289"/>
      <c r="AS263" s="289"/>
      <c r="AT263" s="289"/>
      <c r="AU263" s="289"/>
      <c r="AV263" s="289"/>
      <c r="AW263" s="289"/>
      <c r="AX263" s="289"/>
      <c r="AY263" s="289"/>
      <c r="AZ263" s="289"/>
    </row>
    <row r="264" spans="1:52" ht="16.149999999999999" thickBot="1" x14ac:dyDescent="0.5">
      <c r="A264" s="289"/>
      <c r="B264" s="583" t="str">
        <f ca="1">IF(
   OR(
      INDIRECT("'1a. Input organisatieniveau'!AA" &amp; (7 + INT((ROW()-4)/7)))="",
      INDIRECT("'1a. Input organisatieniveau'!AA" &amp; (7 + INT((ROW()-4)/7)))=0
   ),
   "",
   INDIRECT("'1a. Input organisatieniveau'!AA" &amp; (7 + INT((ROW()-4)/7)))
)</f>
        <v/>
      </c>
      <c r="C264" s="663" t="s">
        <v>779</v>
      </c>
      <c r="D264" s="429" t="s">
        <v>72</v>
      </c>
      <c r="E264" s="599"/>
      <c r="F264" s="339" t="s">
        <v>767</v>
      </c>
      <c r="G264" s="429" t="s">
        <v>923</v>
      </c>
      <c r="H264" s="606"/>
      <c r="I264" s="339" t="s">
        <v>767</v>
      </c>
      <c r="J264" s="682"/>
      <c r="K264" s="682"/>
      <c r="L264" s="683"/>
      <c r="M264" s="289"/>
      <c r="N264" s="346"/>
      <c r="O264" s="289"/>
      <c r="P264" s="289"/>
      <c r="Q264" s="289"/>
      <c r="R264" s="289"/>
      <c r="S264" s="289"/>
      <c r="T264" s="289"/>
      <c r="U264" s="289"/>
      <c r="V264" s="289"/>
      <c r="W264" s="289"/>
      <c r="X264" s="289"/>
      <c r="Y264" s="289"/>
      <c r="Z264" s="289"/>
      <c r="AA264" s="289"/>
      <c r="AB264" s="289"/>
      <c r="AC264" s="289"/>
      <c r="AD264" s="289"/>
      <c r="AE264" s="289"/>
      <c r="AF264" s="289"/>
      <c r="AG264" s="289"/>
      <c r="AH264" s="289"/>
      <c r="AI264" s="289"/>
      <c r="AJ264" s="289"/>
      <c r="AK264" s="289"/>
      <c r="AL264" s="289"/>
      <c r="AM264" s="289"/>
      <c r="AN264" s="289"/>
      <c r="AO264" s="289"/>
      <c r="AP264" s="289"/>
      <c r="AQ264" s="289"/>
      <c r="AR264" s="289"/>
      <c r="AS264" s="289"/>
      <c r="AT264" s="289"/>
      <c r="AU264" s="289"/>
      <c r="AV264" s="289"/>
      <c r="AW264" s="289"/>
      <c r="AX264" s="289"/>
      <c r="AY264" s="289"/>
      <c r="AZ264" s="289"/>
    </row>
    <row r="265" spans="1:52" ht="15.5" customHeight="1" x14ac:dyDescent="0.45">
      <c r="A265" s="289"/>
      <c r="B265" s="343"/>
      <c r="C265" s="663" t="s">
        <v>779</v>
      </c>
      <c r="D265" s="666" t="s">
        <v>2238</v>
      </c>
      <c r="E265" s="605"/>
      <c r="F265" s="339" t="s">
        <v>767</v>
      </c>
      <c r="G265"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65" s="729"/>
      <c r="I265" s="339" t="s">
        <v>767</v>
      </c>
      <c r="J265" s="757" t="s">
        <v>2142</v>
      </c>
      <c r="K265" s="758"/>
      <c r="L265" s="683"/>
      <c r="M265" s="746" t="s">
        <v>780</v>
      </c>
      <c r="N265" s="770" t="s">
        <v>1079</v>
      </c>
      <c r="O265" s="584"/>
      <c r="P265" s="321"/>
      <c r="Q265" s="289"/>
      <c r="R265" s="289"/>
      <c r="S265" s="289"/>
      <c r="T265" s="289"/>
      <c r="U265" s="289"/>
      <c r="V265" s="289"/>
      <c r="W265" s="289"/>
      <c r="X265" s="289"/>
      <c r="Y265" s="289"/>
      <c r="Z265" s="289"/>
      <c r="AA265" s="289"/>
      <c r="AB265" s="289"/>
      <c r="AC265" s="289"/>
      <c r="AD265" s="289" t="b">
        <f ca="1">AND(
    NOT(
        AND(H266 = "", B264 &lt;&gt; "", OR(B263 = "Verblijf", B263 = "Daghulp"))
    ),
    NOT(
        AND(E268 = "", B264 &lt;&gt; "")
    ),
    NOT(
        AND(H268 = "", B264 &lt;&gt; "", OR(B263 = "Verblijf", B263 = "Daghulp"))
    ),
    NOT(
        AND(H267 = "", B264 &lt;&gt; "", OR(B263 = "Verblijf", B263 = "Daghulp"))
    ),
    NOT(
        AND(H264 = "", B264 &lt;&gt; "")
    ),
    NOT(
        AND(E267 = "", B264 &lt;&gt; "")
    ),
    NOT(
        AND(E266 = "", B264 &lt;&gt; "", Initialisatie!$C$6 &lt;&gt; "Ja")
    ),
    NOT(
        AND(E265 = "", B264 &lt;&gt; "", B263 = "Ambulant")
    ),
    NOT(
        AND(E264 = "", B264 &lt;&gt; "")
    ),
    NOT(
        AND(H265 = "", B264 &lt;&gt; "", OR(B263 = "Verblijf", B263 = "Daghulp"))
    )
)</f>
        <v>1</v>
      </c>
      <c r="AE265" s="289" t="b">
        <f ca="1">AND(
    NOT(
        AND(E268 = "", B264 &lt;&gt; "")
    ),
    NOT(
        AND(E267 = "", B264 &lt;&gt; "")
    ),
    NOT(
        AND(E266 = "", B264 &lt;&gt; "", Initialisatie!$C$6 &lt;&gt; "Ja")
    ),
    NOT(
        AND(E265 = "", B264 &lt;&gt; "", B263 = "Ambulant")
    ),
    NOT(
        AND(E264 = "", B264 &lt;&gt; "")
    )
)</f>
        <v>1</v>
      </c>
      <c r="AF265" s="289"/>
      <c r="AG265" s="289"/>
      <c r="AH265" s="289"/>
      <c r="AI265" s="289"/>
      <c r="AJ265" s="289"/>
      <c r="AK265" s="289"/>
      <c r="AL265" s="289"/>
      <c r="AM265" s="289"/>
      <c r="AN265" s="289"/>
      <c r="AO265" s="289"/>
      <c r="AP265" s="289"/>
      <c r="AQ265" s="289"/>
      <c r="AR265" s="289"/>
      <c r="AS265" s="289"/>
      <c r="AT265" s="289"/>
      <c r="AU265" s="289"/>
      <c r="AV265" s="289"/>
      <c r="AW265" s="289"/>
      <c r="AX265" s="289"/>
      <c r="AY265" s="289"/>
      <c r="AZ265" s="289"/>
    </row>
    <row r="266" spans="1:52" ht="15.5" customHeight="1" thickBot="1" x14ac:dyDescent="0.5">
      <c r="A266" s="289"/>
      <c r="B266" s="343"/>
      <c r="C266" s="663" t="s">
        <v>779</v>
      </c>
      <c r="D266" s="666" t="s">
        <v>2239</v>
      </c>
      <c r="E266" s="605"/>
      <c r="F266" s="339" t="s">
        <v>767</v>
      </c>
      <c r="G266" s="666" t="s">
        <v>781</v>
      </c>
      <c r="H266" s="729"/>
      <c r="I266" s="339" t="s">
        <v>767</v>
      </c>
      <c r="J266" s="759"/>
      <c r="K266" s="760"/>
      <c r="L266" s="683"/>
      <c r="M266" s="746"/>
      <c r="N266" s="770"/>
      <c r="O266" s="584"/>
      <c r="P266" s="321"/>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c r="AZ266" s="289"/>
    </row>
    <row r="267" spans="1:52" ht="15.5" customHeight="1" x14ac:dyDescent="0.45">
      <c r="A267" s="289"/>
      <c r="B267" s="343"/>
      <c r="C267" s="663" t="s">
        <v>779</v>
      </c>
      <c r="D267" s="666" t="s">
        <v>2240</v>
      </c>
      <c r="E267" s="605"/>
      <c r="F267" s="339" t="s">
        <v>767</v>
      </c>
      <c r="G267"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67" s="672"/>
      <c r="I267" s="339" t="s">
        <v>767</v>
      </c>
      <c r="J267" s="753" t="str" cm="1">
        <f t="array" aca="1" ref="J267" ca="1">IF(
    B264="",
    "",
    IF(
        AND(
            INDEX('2. Output kostprijs'!$77:$77, 1, 5 + (ROW()-5)/7*2)&lt;&gt;"",
            INDEX('2. Output kostprijs'!$78:$78, 1, 5 + (ROW()-5)/7*2)&lt;&gt;""
        ),
        ROUND(
            INDEX('2. Output kostprijs'!$77:$77, 1, 5 + (ROW()-5)/7*2),
            0
        )
        &amp; " uren" &amp; CHAR(10) &amp; "("
        &amp; ROUND( 100 *
            INDEX('2. Output kostprijs'!$78:$78, 1, 5 + (ROW()-5)/7*2),
            1
        )
        &amp; "%)",
        "-"
    )
)</f>
        <v/>
      </c>
      <c r="K267" s="754"/>
      <c r="L267" s="683"/>
      <c r="M267" s="746"/>
      <c r="N267" s="770"/>
      <c r="O267" s="584"/>
      <c r="P267" s="321"/>
      <c r="Q267" s="289"/>
      <c r="R267" s="289"/>
      <c r="S267" s="289"/>
      <c r="T267" s="289"/>
      <c r="U267" s="289"/>
      <c r="V267" s="289"/>
      <c r="W267" s="289"/>
      <c r="X267" s="289"/>
      <c r="Y267" s="289"/>
      <c r="Z267" s="289"/>
      <c r="AA267" s="289"/>
      <c r="AB267" s="289"/>
      <c r="AC267" s="289"/>
      <c r="AD267" s="289"/>
      <c r="AE267" s="289"/>
      <c r="AF267" s="289"/>
      <c r="AG267" s="289"/>
      <c r="AH267" s="289"/>
      <c r="AI267" s="289"/>
      <c r="AJ267" s="289"/>
      <c r="AK267" s="289"/>
      <c r="AL267" s="289"/>
      <c r="AM267" s="289"/>
      <c r="AN267" s="289"/>
      <c r="AO267" s="289"/>
      <c r="AP267" s="289"/>
      <c r="AQ267" s="289"/>
      <c r="AR267" s="289"/>
      <c r="AS267" s="289"/>
      <c r="AT267" s="289"/>
      <c r="AU267" s="289"/>
      <c r="AV267" s="289"/>
      <c r="AW267" s="289"/>
      <c r="AX267" s="289"/>
      <c r="AY267" s="289"/>
      <c r="AZ267" s="289"/>
    </row>
    <row r="268" spans="1:52" ht="16.149999999999999" thickBot="1" x14ac:dyDescent="0.5">
      <c r="A268" s="289"/>
      <c r="B268" s="343"/>
      <c r="C268" s="663" t="s">
        <v>779</v>
      </c>
      <c r="D268" s="667" t="str">
        <f ca="1">IF(B263="Verblijf", "Bezettingsgraad (%)", "No show (%)")</f>
        <v>No show (%)</v>
      </c>
      <c r="E268" s="669"/>
      <c r="F268" s="339" t="s">
        <v>767</v>
      </c>
      <c r="G268"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68" s="673"/>
      <c r="I268" s="339" t="s">
        <v>767</v>
      </c>
      <c r="J268" s="755"/>
      <c r="K268" s="756"/>
      <c r="L268" s="683"/>
      <c r="M268" s="289"/>
      <c r="N268" s="346"/>
      <c r="O268" s="289"/>
      <c r="P268" s="289"/>
      <c r="Q268" s="289"/>
      <c r="R268" s="289"/>
      <c r="S268" s="289"/>
      <c r="T268" s="289"/>
      <c r="U268" s="289"/>
      <c r="V268" s="289"/>
      <c r="W268" s="289"/>
      <c r="X268" s="289"/>
      <c r="Y268" s="289"/>
      <c r="Z268" s="289"/>
      <c r="AA268" s="289"/>
      <c r="AB268" s="289"/>
      <c r="AC268" s="289"/>
      <c r="AD268" s="289"/>
      <c r="AE268" s="289"/>
      <c r="AF268" s="289"/>
      <c r="AG268" s="289"/>
      <c r="AH268" s="289"/>
      <c r="AI268" s="289"/>
      <c r="AJ268" s="289"/>
      <c r="AK268" s="289"/>
      <c r="AL268" s="289"/>
      <c r="AM268" s="289"/>
      <c r="AN268" s="289"/>
      <c r="AO268" s="289"/>
      <c r="AP268" s="289"/>
      <c r="AQ268" s="289"/>
      <c r="AR268" s="289"/>
      <c r="AS268" s="289"/>
      <c r="AT268" s="289"/>
      <c r="AU268" s="289"/>
      <c r="AV268" s="289"/>
      <c r="AW268" s="289"/>
      <c r="AX268" s="289"/>
      <c r="AY268" s="289"/>
      <c r="AZ268" s="289"/>
    </row>
    <row r="269" spans="1:52" ht="16.149999999999999" thickBot="1" x14ac:dyDescent="0.5">
      <c r="A269" s="289"/>
      <c r="B269" s="421"/>
      <c r="C269" s="664" t="s">
        <v>779</v>
      </c>
      <c r="D269" s="660"/>
      <c r="E269" s="670"/>
      <c r="F269" s="665"/>
      <c r="G269" s="426"/>
      <c r="H269" s="674"/>
      <c r="I269" s="676"/>
      <c r="J269" s="684"/>
      <c r="K269" s="684"/>
      <c r="L269" s="685"/>
      <c r="M269" s="289"/>
      <c r="N269" s="346"/>
      <c r="O269" s="289"/>
      <c r="P269" s="289"/>
      <c r="Q269" s="289"/>
      <c r="R269" s="289"/>
      <c r="S269" s="289"/>
      <c r="T269" s="289"/>
      <c r="U269" s="289"/>
      <c r="V269" s="289"/>
      <c r="W269" s="289"/>
      <c r="X269" s="289"/>
      <c r="Y269" s="289"/>
      <c r="Z269" s="289"/>
      <c r="AA269" s="289"/>
      <c r="AB269" s="289"/>
      <c r="AC269" s="289"/>
      <c r="AD269" s="289"/>
      <c r="AE269" s="289"/>
      <c r="AF269" s="289"/>
      <c r="AG269" s="289"/>
      <c r="AH269" s="289"/>
      <c r="AI269" s="289"/>
      <c r="AJ269" s="289"/>
      <c r="AK269" s="289"/>
      <c r="AL269" s="289"/>
      <c r="AM269" s="289"/>
      <c r="AN269" s="289"/>
      <c r="AO269" s="289"/>
      <c r="AP269" s="289"/>
      <c r="AQ269" s="289"/>
      <c r="AR269" s="289"/>
      <c r="AS269" s="289"/>
      <c r="AT269" s="289"/>
      <c r="AU269" s="289"/>
      <c r="AV269" s="289"/>
      <c r="AW269" s="289"/>
      <c r="AX269" s="289"/>
      <c r="AY269" s="289"/>
      <c r="AZ269" s="289"/>
    </row>
    <row r="270" spans="1:52" ht="16.149999999999999" thickBot="1" x14ac:dyDescent="0.55000000000000004">
      <c r="A270" s="289"/>
      <c r="B270" s="582" t="str">
        <f ca="1">IF(B271="","",
IF(
   OR(
      INDIRECT("'1a. Input organisatieniveau'!AC" &amp; (7 + INT((ROW()-4)/7)))="",
      INDIRECT("'1a. Input organisatieniveau'!AC" &amp; (7 + INT((ROW()-4)/7)))=0
   ),
   "",
   INDIRECT("'1a. Input organisatieniveau'!AC" &amp; (7 + INT((ROW()-4)/7)))
))</f>
        <v/>
      </c>
      <c r="C270" s="661" t="s">
        <v>779</v>
      </c>
      <c r="D270" s="428"/>
      <c r="E270" s="668"/>
      <c r="F270" s="662"/>
      <c r="G270" s="428"/>
      <c r="H270" s="671"/>
      <c r="I270" s="675"/>
      <c r="J270" s="680"/>
      <c r="K270" s="680"/>
      <c r="L270" s="681"/>
      <c r="M270" s="12"/>
      <c r="N270" s="346"/>
      <c r="O270" s="289"/>
      <c r="P270" s="289"/>
      <c r="Q270" s="289"/>
      <c r="R270" s="289"/>
      <c r="S270" s="289"/>
      <c r="T270" s="289"/>
      <c r="U270" s="289"/>
      <c r="V270" s="289"/>
      <c r="W270" s="289"/>
      <c r="X270" s="289"/>
      <c r="Y270" s="289"/>
      <c r="Z270" s="289"/>
      <c r="AA270" s="289"/>
      <c r="AB270" s="289"/>
      <c r="AC270" s="289"/>
      <c r="AD270" s="289"/>
      <c r="AE270" s="289"/>
      <c r="AF270" s="289"/>
      <c r="AG270" s="289"/>
      <c r="AH270" s="289"/>
      <c r="AI270" s="289"/>
      <c r="AJ270" s="289"/>
      <c r="AK270" s="289"/>
      <c r="AL270" s="289"/>
      <c r="AM270" s="289"/>
      <c r="AN270" s="289"/>
      <c r="AO270" s="289"/>
      <c r="AP270" s="289"/>
      <c r="AQ270" s="289"/>
      <c r="AR270" s="289"/>
      <c r="AS270" s="289"/>
      <c r="AT270" s="289"/>
      <c r="AU270" s="289"/>
      <c r="AV270" s="289"/>
      <c r="AW270" s="289"/>
      <c r="AX270" s="289"/>
      <c r="AY270" s="289"/>
      <c r="AZ270" s="289"/>
    </row>
    <row r="271" spans="1:52" ht="16.149999999999999" thickBot="1" x14ac:dyDescent="0.5">
      <c r="A271" s="289"/>
      <c r="B271" s="583" t="str">
        <f ca="1">IF(
   OR(
      INDIRECT("'1a. Input organisatieniveau'!AA" &amp; (7 + INT((ROW()-4)/7)))="",
      INDIRECT("'1a. Input organisatieniveau'!AA" &amp; (7 + INT((ROW()-4)/7)))=0
   ),
   "",
   INDIRECT("'1a. Input organisatieniveau'!AA" &amp; (7 + INT((ROW()-4)/7)))
)</f>
        <v/>
      </c>
      <c r="C271" s="663" t="s">
        <v>779</v>
      </c>
      <c r="D271" s="429" t="s">
        <v>72</v>
      </c>
      <c r="E271" s="599"/>
      <c r="F271" s="339" t="s">
        <v>767</v>
      </c>
      <c r="G271" s="429" t="s">
        <v>923</v>
      </c>
      <c r="H271" s="606"/>
      <c r="I271" s="339" t="s">
        <v>767</v>
      </c>
      <c r="J271" s="682"/>
      <c r="K271" s="682"/>
      <c r="L271" s="683"/>
      <c r="M271" s="289"/>
      <c r="N271" s="346"/>
      <c r="O271" s="289"/>
      <c r="P271" s="289"/>
      <c r="Q271" s="289"/>
      <c r="R271" s="289"/>
      <c r="S271" s="289"/>
      <c r="T271" s="289"/>
      <c r="U271" s="289"/>
      <c r="V271" s="289"/>
      <c r="W271" s="289"/>
      <c r="X271" s="289"/>
      <c r="Y271" s="289"/>
      <c r="Z271" s="289"/>
      <c r="AA271" s="289"/>
      <c r="AB271" s="289"/>
      <c r="AC271" s="289"/>
      <c r="AD271" s="289"/>
      <c r="AE271" s="289"/>
      <c r="AF271" s="289"/>
      <c r="AG271" s="289"/>
      <c r="AH271" s="289"/>
      <c r="AI271" s="289"/>
      <c r="AJ271" s="289"/>
      <c r="AK271" s="289"/>
      <c r="AL271" s="289"/>
      <c r="AM271" s="289"/>
      <c r="AN271" s="289"/>
      <c r="AO271" s="289"/>
      <c r="AP271" s="289"/>
      <c r="AQ271" s="289"/>
      <c r="AR271" s="289"/>
      <c r="AS271" s="289"/>
      <c r="AT271" s="289"/>
      <c r="AU271" s="289"/>
      <c r="AV271" s="289"/>
      <c r="AW271" s="289"/>
      <c r="AX271" s="289"/>
      <c r="AY271" s="289"/>
      <c r="AZ271" s="289"/>
    </row>
    <row r="272" spans="1:52" ht="15.5" customHeight="1" x14ac:dyDescent="0.45">
      <c r="A272" s="289"/>
      <c r="B272" s="343"/>
      <c r="C272" s="663" t="s">
        <v>779</v>
      </c>
      <c r="D272" s="666" t="s">
        <v>2238</v>
      </c>
      <c r="E272" s="605"/>
      <c r="F272" s="339" t="s">
        <v>767</v>
      </c>
      <c r="G272"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72" s="729"/>
      <c r="I272" s="339" t="s">
        <v>767</v>
      </c>
      <c r="J272" s="757" t="s">
        <v>2142</v>
      </c>
      <c r="K272" s="758"/>
      <c r="L272" s="683"/>
      <c r="M272" s="746" t="s">
        <v>780</v>
      </c>
      <c r="N272" s="770" t="s">
        <v>1079</v>
      </c>
      <c r="O272" s="584"/>
      <c r="P272" s="321"/>
      <c r="Q272" s="289"/>
      <c r="R272" s="289"/>
      <c r="S272" s="289"/>
      <c r="T272" s="289"/>
      <c r="U272" s="289"/>
      <c r="V272" s="289"/>
      <c r="W272" s="289"/>
      <c r="X272" s="289"/>
      <c r="Y272" s="289"/>
      <c r="Z272" s="289"/>
      <c r="AA272" s="289"/>
      <c r="AB272" s="289"/>
      <c r="AC272" s="289"/>
      <c r="AD272" s="289" t="b">
        <f ca="1">AND(
    NOT(
        AND(H273 = "", B271 &lt;&gt; "", OR(B270 = "Verblijf", B270 = "Daghulp"))
    ),
    NOT(
        AND(E275 = "", B271 &lt;&gt; "")
    ),
    NOT(
        AND(H275 = "", B271 &lt;&gt; "", OR(B270 = "Verblijf", B270 = "Daghulp"))
    ),
    NOT(
        AND(H274 = "", B271 &lt;&gt; "", OR(B270 = "Verblijf", B270 = "Daghulp"))
    ),
    NOT(
        AND(H271 = "", B271 &lt;&gt; "")
    ),
    NOT(
        AND(E274 = "", B271 &lt;&gt; "")
    ),
    NOT(
        AND(E273 = "", B271 &lt;&gt; "", Initialisatie!$C$6 &lt;&gt; "Ja")
    ),
    NOT(
        AND(E272 = "", B271 &lt;&gt; "", B270 = "Ambulant")
    ),
    NOT(
        AND(E271 = "", B271 &lt;&gt; "")
    ),
    NOT(
        AND(H272 = "", B271 &lt;&gt; "", OR(B270 = "Verblijf", B270 = "Daghulp"))
    )
)</f>
        <v>1</v>
      </c>
      <c r="AE272" s="289" t="b">
        <f ca="1">AND(
    NOT(
        AND(E275 = "", B271 &lt;&gt; "")
    ),
    NOT(
        AND(E274 = "", B271 &lt;&gt; "")
    ),
    NOT(
        AND(E273 = "", B271 &lt;&gt; "", Initialisatie!$C$6 &lt;&gt; "Ja")
    ),
    NOT(
        AND(E272 = "", B271 &lt;&gt; "", B270 = "Ambulant")
    ),
    NOT(
        AND(E271 = "", B271 &lt;&gt; "")
    )
)</f>
        <v>1</v>
      </c>
      <c r="AF272" s="289"/>
      <c r="AG272" s="289"/>
      <c r="AH272" s="289"/>
      <c r="AI272" s="289"/>
      <c r="AJ272" s="289"/>
      <c r="AK272" s="289"/>
      <c r="AL272" s="289"/>
      <c r="AM272" s="289"/>
      <c r="AN272" s="289"/>
      <c r="AO272" s="289"/>
      <c r="AP272" s="289"/>
      <c r="AQ272" s="289"/>
      <c r="AR272" s="289"/>
      <c r="AS272" s="289"/>
      <c r="AT272" s="289"/>
      <c r="AU272" s="289"/>
      <c r="AV272" s="289"/>
      <c r="AW272" s="289"/>
      <c r="AX272" s="289"/>
      <c r="AY272" s="289"/>
      <c r="AZ272" s="289"/>
    </row>
    <row r="273" spans="1:52" ht="15.5" customHeight="1" thickBot="1" x14ac:dyDescent="0.5">
      <c r="A273" s="289"/>
      <c r="B273" s="343"/>
      <c r="C273" s="663" t="s">
        <v>779</v>
      </c>
      <c r="D273" s="666" t="s">
        <v>2239</v>
      </c>
      <c r="E273" s="605"/>
      <c r="F273" s="339" t="s">
        <v>767</v>
      </c>
      <c r="G273" s="666" t="s">
        <v>781</v>
      </c>
      <c r="H273" s="729"/>
      <c r="I273" s="339" t="s">
        <v>767</v>
      </c>
      <c r="J273" s="759"/>
      <c r="K273" s="760"/>
      <c r="L273" s="683"/>
      <c r="M273" s="746"/>
      <c r="N273" s="770"/>
      <c r="O273" s="584"/>
      <c r="P273" s="321"/>
      <c r="Q273" s="289"/>
      <c r="R273" s="289"/>
      <c r="S273" s="289"/>
      <c r="T273" s="289"/>
      <c r="U273" s="289"/>
      <c r="V273" s="289"/>
      <c r="W273" s="289"/>
      <c r="X273" s="289"/>
      <c r="Y273" s="289"/>
      <c r="Z273" s="289"/>
      <c r="AA273" s="289"/>
      <c r="AB273" s="289"/>
      <c r="AC273" s="289"/>
      <c r="AD273" s="289"/>
      <c r="AE273" s="289"/>
      <c r="AF273" s="289"/>
      <c r="AG273" s="289"/>
      <c r="AH273" s="289"/>
      <c r="AI273" s="289"/>
      <c r="AJ273" s="289"/>
      <c r="AK273" s="289"/>
      <c r="AL273" s="289"/>
      <c r="AM273" s="289"/>
      <c r="AN273" s="289"/>
      <c r="AO273" s="289"/>
      <c r="AP273" s="289"/>
      <c r="AQ273" s="289"/>
      <c r="AR273" s="289"/>
      <c r="AS273" s="289"/>
      <c r="AT273" s="289"/>
      <c r="AU273" s="289"/>
      <c r="AV273" s="289"/>
      <c r="AW273" s="289"/>
      <c r="AX273" s="289"/>
      <c r="AY273" s="289"/>
      <c r="AZ273" s="289"/>
    </row>
    <row r="274" spans="1:52" ht="15.5" customHeight="1" x14ac:dyDescent="0.45">
      <c r="A274" s="289"/>
      <c r="B274" s="343"/>
      <c r="C274" s="663" t="s">
        <v>779</v>
      </c>
      <c r="D274" s="666" t="s">
        <v>2240</v>
      </c>
      <c r="E274" s="605"/>
      <c r="F274" s="339" t="s">
        <v>767</v>
      </c>
      <c r="G274"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74" s="672"/>
      <c r="I274" s="339" t="s">
        <v>767</v>
      </c>
      <c r="J274" s="753" t="str" cm="1">
        <f t="array" aca="1" ref="J274" ca="1">IF(
    B271="",
    "",
    IF(
        AND(
            INDEX('2. Output kostprijs'!$77:$77, 1, 5 + (ROW()-5)/7*2)&lt;&gt;"",
            INDEX('2. Output kostprijs'!$78:$78, 1, 5 + (ROW()-5)/7*2)&lt;&gt;""
        ),
        ROUND(
            INDEX('2. Output kostprijs'!$77:$77, 1, 5 + (ROW()-5)/7*2),
            0
        )
        &amp; " uren" &amp; CHAR(10) &amp; "("
        &amp; ROUND( 100 *
            INDEX('2. Output kostprijs'!$78:$78, 1, 5 + (ROW()-5)/7*2),
            1
        )
        &amp; "%)",
        "-"
    )
)</f>
        <v/>
      </c>
      <c r="K274" s="754"/>
      <c r="L274" s="683"/>
      <c r="M274" s="746"/>
      <c r="N274" s="770"/>
      <c r="O274" s="584"/>
      <c r="P274" s="321"/>
      <c r="Q274" s="289"/>
      <c r="R274" s="289"/>
      <c r="S274" s="289"/>
      <c r="T274" s="289"/>
      <c r="U274" s="289"/>
      <c r="V274" s="289"/>
      <c r="W274" s="289"/>
      <c r="X274" s="289"/>
      <c r="Y274" s="289"/>
      <c r="Z274" s="289"/>
      <c r="AA274" s="289"/>
      <c r="AB274" s="289"/>
      <c r="AC274" s="289"/>
      <c r="AD274" s="289"/>
      <c r="AE274" s="289"/>
      <c r="AF274" s="289"/>
      <c r="AG274" s="289"/>
      <c r="AH274" s="289"/>
      <c r="AI274" s="289"/>
      <c r="AJ274" s="289"/>
      <c r="AK274" s="289"/>
      <c r="AL274" s="289"/>
      <c r="AM274" s="289"/>
      <c r="AN274" s="289"/>
      <c r="AO274" s="289"/>
      <c r="AP274" s="289"/>
      <c r="AQ274" s="289"/>
      <c r="AR274" s="289"/>
      <c r="AS274" s="289"/>
      <c r="AT274" s="289"/>
      <c r="AU274" s="289"/>
      <c r="AV274" s="289"/>
      <c r="AW274" s="289"/>
      <c r="AX274" s="289"/>
      <c r="AY274" s="289"/>
      <c r="AZ274" s="289"/>
    </row>
    <row r="275" spans="1:52" ht="16.149999999999999" thickBot="1" x14ac:dyDescent="0.5">
      <c r="A275" s="289"/>
      <c r="B275" s="343"/>
      <c r="C275" s="663" t="s">
        <v>779</v>
      </c>
      <c r="D275" s="667" t="str">
        <f ca="1">IF(B270="Verblijf", "Bezettingsgraad (%)", "No show (%)")</f>
        <v>No show (%)</v>
      </c>
      <c r="E275" s="669"/>
      <c r="F275" s="339" t="s">
        <v>767</v>
      </c>
      <c r="G275"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75" s="673"/>
      <c r="I275" s="339" t="s">
        <v>767</v>
      </c>
      <c r="J275" s="755"/>
      <c r="K275" s="756"/>
      <c r="L275" s="683"/>
      <c r="M275" s="289"/>
      <c r="N275" s="346"/>
      <c r="O275" s="289"/>
      <c r="P275" s="289"/>
      <c r="Q275" s="289"/>
      <c r="R275" s="289"/>
      <c r="S275" s="289"/>
      <c r="T275" s="289"/>
      <c r="U275" s="289"/>
      <c r="V275" s="289"/>
      <c r="W275" s="289"/>
      <c r="X275" s="289"/>
      <c r="Y275" s="289"/>
      <c r="Z275" s="289"/>
      <c r="AA275" s="289"/>
      <c r="AB275" s="289"/>
      <c r="AC275" s="289"/>
      <c r="AD275" s="289"/>
      <c r="AE275" s="289"/>
      <c r="AF275" s="289"/>
      <c r="AG275" s="289"/>
      <c r="AH275" s="289"/>
      <c r="AI275" s="289"/>
      <c r="AJ275" s="289"/>
      <c r="AK275" s="289"/>
      <c r="AL275" s="289"/>
      <c r="AM275" s="289"/>
      <c r="AN275" s="289"/>
      <c r="AO275" s="289"/>
      <c r="AP275" s="289"/>
      <c r="AQ275" s="289"/>
      <c r="AR275" s="289"/>
      <c r="AS275" s="289"/>
      <c r="AT275" s="289"/>
      <c r="AU275" s="289"/>
      <c r="AV275" s="289"/>
      <c r="AW275" s="289"/>
      <c r="AX275" s="289"/>
      <c r="AY275" s="289"/>
      <c r="AZ275" s="289"/>
    </row>
    <row r="276" spans="1:52" ht="16.149999999999999" thickBot="1" x14ac:dyDescent="0.5">
      <c r="A276" s="289"/>
      <c r="B276" s="421"/>
      <c r="C276" s="664" t="s">
        <v>779</v>
      </c>
      <c r="D276" s="660"/>
      <c r="E276" s="670"/>
      <c r="F276" s="665"/>
      <c r="G276" s="426"/>
      <c r="H276" s="674"/>
      <c r="I276" s="676"/>
      <c r="J276" s="684"/>
      <c r="K276" s="684"/>
      <c r="L276" s="685"/>
      <c r="M276" s="289"/>
      <c r="N276" s="346"/>
      <c r="O276" s="289"/>
      <c r="P276" s="289"/>
      <c r="Q276" s="289"/>
      <c r="R276" s="289"/>
      <c r="S276" s="289"/>
      <c r="T276" s="289"/>
      <c r="U276" s="289"/>
      <c r="V276" s="289"/>
      <c r="W276" s="289"/>
      <c r="X276" s="289"/>
      <c r="Y276" s="289"/>
      <c r="Z276" s="289"/>
      <c r="AA276" s="289"/>
      <c r="AB276" s="289"/>
      <c r="AC276" s="289"/>
      <c r="AD276" s="289"/>
      <c r="AE276" s="289"/>
      <c r="AF276" s="289"/>
      <c r="AG276" s="289"/>
      <c r="AH276" s="289"/>
      <c r="AI276" s="289"/>
      <c r="AJ276" s="289"/>
      <c r="AK276" s="289"/>
      <c r="AL276" s="289"/>
      <c r="AM276" s="289"/>
      <c r="AN276" s="289"/>
      <c r="AO276" s="289"/>
      <c r="AP276" s="289"/>
      <c r="AQ276" s="289"/>
      <c r="AR276" s="289"/>
      <c r="AS276" s="289"/>
      <c r="AT276" s="289"/>
      <c r="AU276" s="289"/>
      <c r="AV276" s="289"/>
      <c r="AW276" s="289"/>
      <c r="AX276" s="289"/>
      <c r="AY276" s="289"/>
      <c r="AZ276" s="289"/>
    </row>
    <row r="277" spans="1:52" ht="16.149999999999999" thickBot="1" x14ac:dyDescent="0.55000000000000004">
      <c r="A277" s="289"/>
      <c r="B277" s="582" t="str">
        <f ca="1">IF(B278="","",
IF(
   OR(
      INDIRECT("'1a. Input organisatieniveau'!AC" &amp; (7 + INT((ROW()-4)/7)))="",
      INDIRECT("'1a. Input organisatieniveau'!AC" &amp; (7 + INT((ROW()-4)/7)))=0
   ),
   "",
   INDIRECT("'1a. Input organisatieniveau'!AC" &amp; (7 + INT((ROW()-4)/7)))
))</f>
        <v/>
      </c>
      <c r="C277" s="661" t="s">
        <v>779</v>
      </c>
      <c r="D277" s="428"/>
      <c r="E277" s="668"/>
      <c r="F277" s="662"/>
      <c r="G277" s="428"/>
      <c r="H277" s="671"/>
      <c r="I277" s="675"/>
      <c r="J277" s="680"/>
      <c r="K277" s="680"/>
      <c r="L277" s="681"/>
      <c r="M277" s="12"/>
      <c r="N277" s="346"/>
      <c r="O277" s="289"/>
      <c r="P277" s="289"/>
      <c r="Q277" s="289"/>
      <c r="R277" s="289"/>
      <c r="S277" s="289"/>
      <c r="T277" s="289"/>
      <c r="U277" s="289"/>
      <c r="V277" s="289"/>
      <c r="W277" s="289"/>
      <c r="X277" s="289"/>
      <c r="Y277" s="289"/>
      <c r="Z277" s="289"/>
      <c r="AA277" s="289"/>
      <c r="AB277" s="289"/>
      <c r="AC277" s="289"/>
      <c r="AD277" s="289"/>
      <c r="AE277" s="289"/>
      <c r="AF277" s="289"/>
      <c r="AG277" s="289"/>
      <c r="AH277" s="289"/>
      <c r="AI277" s="289"/>
      <c r="AJ277" s="289"/>
      <c r="AK277" s="289"/>
      <c r="AL277" s="289"/>
      <c r="AM277" s="289"/>
      <c r="AN277" s="289"/>
      <c r="AO277" s="289"/>
      <c r="AP277" s="289"/>
      <c r="AQ277" s="289"/>
      <c r="AR277" s="289"/>
      <c r="AS277" s="289"/>
      <c r="AT277" s="289"/>
      <c r="AU277" s="289"/>
      <c r="AV277" s="289"/>
      <c r="AW277" s="289"/>
      <c r="AX277" s="289"/>
      <c r="AY277" s="289"/>
      <c r="AZ277" s="289"/>
    </row>
    <row r="278" spans="1:52" ht="16.149999999999999" thickBot="1" x14ac:dyDescent="0.5">
      <c r="A278" s="289"/>
      <c r="B278" s="583" t="str">
        <f ca="1">IF(
   OR(
      INDIRECT("'1a. Input organisatieniveau'!AA" &amp; (7 + INT((ROW()-4)/7)))="",
      INDIRECT("'1a. Input organisatieniveau'!AA" &amp; (7 + INT((ROW()-4)/7)))=0
   ),
   "",
   INDIRECT("'1a. Input organisatieniveau'!AA" &amp; (7 + INT((ROW()-4)/7)))
)</f>
        <v/>
      </c>
      <c r="C278" s="663" t="s">
        <v>779</v>
      </c>
      <c r="D278" s="429" t="s">
        <v>72</v>
      </c>
      <c r="E278" s="599"/>
      <c r="F278" s="339" t="s">
        <v>767</v>
      </c>
      <c r="G278" s="429" t="s">
        <v>923</v>
      </c>
      <c r="H278" s="606"/>
      <c r="I278" s="339" t="s">
        <v>767</v>
      </c>
      <c r="J278" s="682"/>
      <c r="K278" s="682"/>
      <c r="L278" s="683"/>
      <c r="M278" s="289"/>
      <c r="N278" s="346"/>
      <c r="O278" s="289"/>
      <c r="P278" s="289"/>
      <c r="Q278" s="289"/>
      <c r="R278" s="289"/>
      <c r="S278" s="289"/>
      <c r="T278" s="289"/>
      <c r="U278" s="289"/>
      <c r="V278" s="289"/>
      <c r="W278" s="289"/>
      <c r="X278" s="289"/>
      <c r="Y278" s="289"/>
      <c r="Z278" s="289"/>
      <c r="AA278" s="289"/>
      <c r="AB278" s="289"/>
      <c r="AC278" s="289"/>
      <c r="AD278" s="289"/>
      <c r="AE278" s="289"/>
      <c r="AF278" s="289"/>
      <c r="AG278" s="289"/>
      <c r="AH278" s="289"/>
      <c r="AI278" s="289"/>
      <c r="AJ278" s="289"/>
      <c r="AK278" s="289"/>
      <c r="AL278" s="289"/>
      <c r="AM278" s="289"/>
      <c r="AN278" s="289"/>
      <c r="AO278" s="289"/>
      <c r="AP278" s="289"/>
      <c r="AQ278" s="289"/>
      <c r="AR278" s="289"/>
      <c r="AS278" s="289"/>
      <c r="AT278" s="289"/>
      <c r="AU278" s="289"/>
      <c r="AV278" s="289"/>
      <c r="AW278" s="289"/>
      <c r="AX278" s="289"/>
      <c r="AY278" s="289"/>
      <c r="AZ278" s="289"/>
    </row>
    <row r="279" spans="1:52" ht="15.5" customHeight="1" x14ac:dyDescent="0.45">
      <c r="A279" s="289"/>
      <c r="B279" s="343"/>
      <c r="C279" s="663" t="s">
        <v>779</v>
      </c>
      <c r="D279" s="666" t="s">
        <v>2238</v>
      </c>
      <c r="E279" s="605"/>
      <c r="F279" s="339" t="s">
        <v>767</v>
      </c>
      <c r="G279" s="666" t="str">
        <f ca="1">"Personeelsuren " &amp; LOWER(
    IFERROR(
        IF(
            OR(
                INDIRECT("'1a. Input organisatieniveau'!AB" &amp; 7+ INT((ROW()-ROW($G$6))/7))="",
                INDIRECT("'1a. Input organisatieniveau'!AB" &amp; 7+ INT((ROW()-ROW($G$6))/7))="Per minuut"
            ),
            "per declaratieeenheid",
            INDIRECT("'1a. Input organisatieniveau'!AB" &amp; 7+ INT((ROW()-ROW($G$6))/7))
        ),
    "per declaratieeenheid")
)</f>
        <v>Personeelsuren per declaratieeenheid</v>
      </c>
      <c r="H279" s="729"/>
      <c r="I279" s="339" t="s">
        <v>767</v>
      </c>
      <c r="J279" s="757" t="s">
        <v>2142</v>
      </c>
      <c r="K279" s="758"/>
      <c r="L279" s="683"/>
      <c r="M279" s="746" t="s">
        <v>780</v>
      </c>
      <c r="N279" s="770" t="s">
        <v>1079</v>
      </c>
      <c r="O279" s="584"/>
      <c r="P279" s="321"/>
      <c r="Q279" s="289"/>
      <c r="R279" s="289"/>
      <c r="S279" s="289"/>
      <c r="T279" s="289"/>
      <c r="U279" s="289"/>
      <c r="V279" s="289"/>
      <c r="W279" s="289"/>
      <c r="X279" s="289"/>
      <c r="Y279" s="289"/>
      <c r="Z279" s="289"/>
      <c r="AA279" s="289"/>
      <c r="AB279" s="289"/>
      <c r="AC279" s="289"/>
      <c r="AD279" s="289" t="b">
        <f ca="1">AND(
    NOT(
        AND(H280 = "", B278 &lt;&gt; "", OR(B277 = "Verblijf", B277 = "Daghulp"))
    ),
    NOT(
        AND(E282 = "", B278 &lt;&gt; "")
    ),
    NOT(
        AND(H282 = "", B278 &lt;&gt; "", OR(B277 = "Verblijf", B277 = "Daghulp"))
    ),
    NOT(
        AND(H281 = "", B278 &lt;&gt; "", OR(B277 = "Verblijf", B277 = "Daghulp"))
    ),
    NOT(
        AND(H278 = "", B278 &lt;&gt; "")
    ),
    NOT(
        AND(E281 = "", B278 &lt;&gt; "")
    ),
    NOT(
        AND(E280 = "", B278 &lt;&gt; "", Initialisatie!$C$6 &lt;&gt; "Ja")
    ),
    NOT(
        AND(E279 = "", B278 &lt;&gt; "", B277 = "Ambulant")
    ),
    NOT(
        AND(E278 = "", B278 &lt;&gt; "")
    ),
    NOT(
        AND(H279 = "", B278 &lt;&gt; "", OR(B277 = "Verblijf", B277 = "Daghulp"))
    )
)</f>
        <v>1</v>
      </c>
      <c r="AE279" s="289" t="b">
        <f ca="1">AND(
    NOT(
        AND(E282 = "", B278 &lt;&gt; "")
    ),
    NOT(
        AND(E281 = "", B278 &lt;&gt; "")
    ),
    NOT(
        AND(E280 = "", B278 &lt;&gt; "", Initialisatie!$C$6 &lt;&gt; "Ja")
    ),
    NOT(
        AND(E279 = "", B278 &lt;&gt; "", B277 = "Ambulant")
    ),
    NOT(
        AND(E278 = "", B278 &lt;&gt; "")
    )
)</f>
        <v>1</v>
      </c>
      <c r="AF279" s="289"/>
      <c r="AG279" s="289"/>
      <c r="AH279" s="289"/>
      <c r="AI279" s="289"/>
      <c r="AJ279" s="289"/>
      <c r="AK279" s="289"/>
      <c r="AL279" s="289"/>
      <c r="AM279" s="289"/>
      <c r="AN279" s="289"/>
      <c r="AO279" s="289"/>
      <c r="AP279" s="289"/>
      <c r="AQ279" s="289"/>
      <c r="AR279" s="289"/>
      <c r="AS279" s="289"/>
      <c r="AT279" s="289"/>
      <c r="AU279" s="289"/>
      <c r="AV279" s="289"/>
      <c r="AW279" s="289"/>
      <c r="AX279" s="289"/>
      <c r="AY279" s="289"/>
      <c r="AZ279" s="289"/>
    </row>
    <row r="280" spans="1:52" ht="15.5" customHeight="1" thickBot="1" x14ac:dyDescent="0.5">
      <c r="A280" s="289"/>
      <c r="B280" s="343"/>
      <c r="C280" s="663" t="s">
        <v>779</v>
      </c>
      <c r="D280" s="666" t="s">
        <v>2239</v>
      </c>
      <c r="E280" s="605"/>
      <c r="F280" s="339" t="s">
        <v>767</v>
      </c>
      <c r="G280" s="666" t="s">
        <v>781</v>
      </c>
      <c r="H280" s="729"/>
      <c r="I280" s="339" t="s">
        <v>767</v>
      </c>
      <c r="J280" s="759"/>
      <c r="K280" s="760"/>
      <c r="L280" s="683"/>
      <c r="M280" s="746"/>
      <c r="N280" s="770"/>
      <c r="O280" s="584"/>
      <c r="P280" s="321"/>
      <c r="Q280" s="289"/>
      <c r="R280" s="289"/>
      <c r="S280" s="289"/>
      <c r="T280" s="289"/>
      <c r="U280" s="289"/>
      <c r="V280" s="289"/>
      <c r="W280" s="289"/>
      <c r="X280" s="289"/>
      <c r="Y280" s="289"/>
      <c r="Z280" s="289"/>
      <c r="AA280" s="289"/>
      <c r="AB280" s="289"/>
      <c r="AC280" s="289"/>
      <c r="AD280" s="289"/>
      <c r="AE280" s="289"/>
      <c r="AF280" s="289"/>
      <c r="AG280" s="289"/>
      <c r="AH280" s="289"/>
      <c r="AI280" s="289"/>
      <c r="AJ280" s="289"/>
      <c r="AK280" s="289"/>
      <c r="AL280" s="289"/>
      <c r="AM280" s="289"/>
      <c r="AN280" s="289"/>
      <c r="AO280" s="289"/>
      <c r="AP280" s="289"/>
      <c r="AQ280" s="289"/>
      <c r="AR280" s="289"/>
      <c r="AS280" s="289"/>
      <c r="AT280" s="289"/>
      <c r="AU280" s="289"/>
      <c r="AV280" s="289"/>
      <c r="AW280" s="289"/>
      <c r="AX280" s="289"/>
      <c r="AY280" s="289"/>
      <c r="AZ280" s="289"/>
    </row>
    <row r="281" spans="1:52" ht="15.5" customHeight="1" x14ac:dyDescent="0.45">
      <c r="A281" s="289"/>
      <c r="B281" s="343"/>
      <c r="C281" s="663" t="s">
        <v>779</v>
      </c>
      <c r="D281" s="666" t="s">
        <v>2240</v>
      </c>
      <c r="E281" s="605"/>
      <c r="F281" s="339" t="s">
        <v>767</v>
      </c>
      <c r="G281" s="666" t="str">
        <f ca="1">"Huisvestingskosten " &amp; LOWER(
    IFERROR(
        IF(
            OR(
                INDIRECT("'1a. Input organisatieniveau'!AB" &amp; 7+ INT((ROW()-ROW($G$8))/7))="",
                INDIRECT("'1a. Input organisatieniveau'!AB" &amp; 7+ INT((ROW()-ROW($G$8))/7))="Per minuut"
            ),
            "per declaratieeenheid (€)",
            INDIRECT("'1a. Input organisatieniveau'!AB" &amp; 7+ INT((ROW()-ROW($G$8))/7))&amp;", per cliënt"
        ),
    "per declaratieeenheid (€)")
)</f>
        <v>Huisvestingskosten per declaratieeenheid (€)</v>
      </c>
      <c r="H281" s="672"/>
      <c r="I281" s="339" t="s">
        <v>767</v>
      </c>
      <c r="J281" s="753" t="str" cm="1">
        <f t="array" aca="1" ref="J281" ca="1">IF(
    B278="",
    "",
    IF(
        AND(
            INDEX('2. Output kostprijs'!$77:$77, 1, 5 + (ROW()-5)/7*2)&lt;&gt;"",
            INDEX('2. Output kostprijs'!$78:$78, 1, 5 + (ROW()-5)/7*2)&lt;&gt;""
        ),
        ROUND(
            INDEX('2. Output kostprijs'!$77:$77, 1, 5 + (ROW()-5)/7*2),
            0
        )
        &amp; " uren" &amp; CHAR(10) &amp; "("
        &amp; ROUND( 100 *
            INDEX('2. Output kostprijs'!$78:$78, 1, 5 + (ROW()-5)/7*2),
            1
        )
        &amp; "%)",
        "-"
    )
)</f>
        <v/>
      </c>
      <c r="K281" s="754"/>
      <c r="L281" s="683"/>
      <c r="M281" s="746"/>
      <c r="N281" s="770"/>
      <c r="O281" s="584"/>
      <c r="P281" s="321"/>
      <c r="Q281" s="289"/>
      <c r="R281" s="289"/>
      <c r="S281" s="289"/>
      <c r="T281" s="289"/>
      <c r="U281" s="289"/>
      <c r="V281" s="289"/>
      <c r="W281" s="289"/>
      <c r="X281" s="289"/>
      <c r="Y281" s="289"/>
      <c r="Z281" s="289"/>
      <c r="AA281" s="289"/>
      <c r="AB281" s="289"/>
      <c r="AC281" s="289"/>
      <c r="AD281" s="289"/>
      <c r="AE281" s="289"/>
      <c r="AF281" s="289"/>
      <c r="AG281" s="289"/>
      <c r="AH281" s="289"/>
      <c r="AI281" s="289"/>
      <c r="AJ281" s="289"/>
      <c r="AK281" s="289"/>
      <c r="AL281" s="289"/>
      <c r="AM281" s="289"/>
      <c r="AN281" s="289"/>
      <c r="AO281" s="289"/>
      <c r="AP281" s="289"/>
      <c r="AQ281" s="289"/>
      <c r="AR281" s="289"/>
      <c r="AS281" s="289"/>
      <c r="AT281" s="289"/>
      <c r="AU281" s="289"/>
      <c r="AV281" s="289"/>
      <c r="AW281" s="289"/>
      <c r="AX281" s="289"/>
      <c r="AY281" s="289"/>
      <c r="AZ281" s="289"/>
    </row>
    <row r="282" spans="1:52" ht="16.149999999999999" thickBot="1" x14ac:dyDescent="0.5">
      <c r="A282" s="289"/>
      <c r="B282" s="343"/>
      <c r="C282" s="663" t="s">
        <v>779</v>
      </c>
      <c r="D282" s="667" t="str">
        <f ca="1">IF(B277="Verblijf", "Bezettingsgraad (%)", "No show (%)")</f>
        <v>No show (%)</v>
      </c>
      <c r="E282" s="669"/>
      <c r="F282" s="339" t="s">
        <v>767</v>
      </c>
      <c r="G282" s="667" t="str">
        <f ca="1">"Cliëntgebonden kosten " &amp; LOWER(
    IFERROR(
        IF(
            OR(
                INDIRECT("'1a. Input organisatieniveau'!AB" &amp; 7+ INT((ROW()-ROW($G$8))/7))="",
                INDIRECT("'1a. Input organisatieniveau'!AB" &amp; 7+ INT((ROW()-ROW($G$8))/7))="Per minuut"
            ),
            "per declaratieeenheid (€)",
            INDIRECT("'1a. Input organisatieniveau'!AB" &amp; 7+ INT((ROW()-ROW($G$8))/7))&amp;", per cliënt"
        ),
    "per declaratieeenheid (€)")
)</f>
        <v>Cliëntgebonden kosten per declaratieeenheid (€)</v>
      </c>
      <c r="H282" s="673"/>
      <c r="I282" s="339" t="s">
        <v>767</v>
      </c>
      <c r="J282" s="755"/>
      <c r="K282" s="756"/>
      <c r="L282" s="683"/>
      <c r="M282" s="289"/>
      <c r="N282" s="346"/>
      <c r="O282" s="289"/>
      <c r="P282" s="289"/>
      <c r="Q282" s="289"/>
      <c r="R282" s="289"/>
      <c r="S282" s="289"/>
      <c r="T282" s="289"/>
      <c r="U282" s="289"/>
      <c r="V282" s="289"/>
      <c r="W282" s="289"/>
      <c r="X282" s="289"/>
      <c r="Y282" s="289"/>
      <c r="Z282" s="289"/>
      <c r="AA282" s="289"/>
      <c r="AB282" s="289"/>
      <c r="AC282" s="289"/>
      <c r="AD282" s="289"/>
      <c r="AE282" s="289"/>
      <c r="AF282" s="289"/>
      <c r="AG282" s="289"/>
      <c r="AH282" s="289"/>
      <c r="AI282" s="289"/>
      <c r="AJ282" s="289"/>
      <c r="AK282" s="289"/>
      <c r="AL282" s="289"/>
      <c r="AM282" s="289"/>
      <c r="AN282" s="289"/>
      <c r="AO282" s="289"/>
      <c r="AP282" s="289"/>
      <c r="AQ282" s="289"/>
      <c r="AR282" s="289"/>
      <c r="AS282" s="289"/>
      <c r="AT282" s="289"/>
      <c r="AU282" s="289"/>
      <c r="AV282" s="289"/>
      <c r="AW282" s="289"/>
      <c r="AX282" s="289"/>
      <c r="AY282" s="289"/>
      <c r="AZ282" s="289"/>
    </row>
    <row r="283" spans="1:52" ht="16.149999999999999" thickBot="1" x14ac:dyDescent="0.5">
      <c r="A283" s="289"/>
      <c r="B283" s="343"/>
      <c r="C283" s="664" t="s">
        <v>779</v>
      </c>
      <c r="D283" s="660"/>
      <c r="E283" s="670"/>
      <c r="F283" s="665"/>
      <c r="G283" s="426"/>
      <c r="H283" s="674"/>
      <c r="I283" s="676"/>
      <c r="J283" s="684"/>
      <c r="K283" s="684"/>
      <c r="L283" s="685"/>
      <c r="M283" s="289"/>
      <c r="N283" s="346"/>
      <c r="O283" s="289"/>
      <c r="P283" s="289"/>
      <c r="Q283" s="289"/>
      <c r="R283" s="289"/>
      <c r="S283" s="289"/>
      <c r="T283" s="289"/>
      <c r="U283" s="289"/>
      <c r="V283" s="289"/>
      <c r="W283" s="289"/>
      <c r="X283" s="289"/>
      <c r="Y283" s="289"/>
      <c r="Z283" s="289"/>
      <c r="AA283" s="289"/>
      <c r="AB283" s="289"/>
      <c r="AC283" s="289"/>
      <c r="AD283" s="289"/>
      <c r="AE283" s="289"/>
      <c r="AF283" s="289"/>
      <c r="AG283" s="289"/>
      <c r="AH283" s="289"/>
      <c r="AI283" s="289"/>
      <c r="AJ283" s="289"/>
      <c r="AK283" s="289"/>
      <c r="AL283" s="289"/>
      <c r="AM283" s="289"/>
      <c r="AN283" s="289"/>
      <c r="AO283" s="289"/>
      <c r="AP283" s="289"/>
      <c r="AQ283" s="289"/>
      <c r="AR283" s="289"/>
      <c r="AS283" s="289"/>
      <c r="AT283" s="289"/>
      <c r="AU283" s="289"/>
      <c r="AV283" s="289"/>
      <c r="AW283" s="289"/>
      <c r="AX283" s="289"/>
      <c r="AY283" s="289"/>
      <c r="AZ283" s="289"/>
    </row>
    <row r="284" spans="1:52" ht="14.25" x14ac:dyDescent="0.45">
      <c r="A284" s="289"/>
      <c r="B284" s="294"/>
      <c r="C284" s="294"/>
      <c r="D284" s="294"/>
      <c r="E284" s="611"/>
      <c r="F284" s="294"/>
      <c r="G284" s="294"/>
      <c r="H284" s="611"/>
      <c r="I284" s="294"/>
      <c r="J284" s="679"/>
      <c r="K284" s="679"/>
      <c r="L284" s="679"/>
      <c r="M284" s="289"/>
      <c r="N284" s="289"/>
      <c r="O284" s="289"/>
      <c r="P284" s="289"/>
      <c r="Q284" s="289"/>
      <c r="R284" s="289"/>
      <c r="S284" s="289"/>
      <c r="T284" s="289"/>
      <c r="U284" s="289"/>
      <c r="V284" s="289"/>
      <c r="W284" s="289"/>
      <c r="X284" s="289"/>
      <c r="Y284" s="289"/>
      <c r="Z284" s="289"/>
      <c r="AA284" s="289"/>
      <c r="AB284" s="289"/>
      <c r="AC284" s="289"/>
      <c r="AD284" s="289"/>
      <c r="AE284" s="289"/>
      <c r="AF284" s="289"/>
      <c r="AG284" s="289"/>
      <c r="AH284" s="289"/>
      <c r="AI284" s="289"/>
      <c r="AJ284" s="289"/>
      <c r="AK284" s="289"/>
      <c r="AL284" s="289"/>
      <c r="AM284" s="289"/>
      <c r="AN284" s="289"/>
      <c r="AO284" s="289"/>
      <c r="AP284" s="289"/>
      <c r="AQ284" s="289"/>
      <c r="AR284" s="289"/>
      <c r="AS284" s="289"/>
      <c r="AT284" s="289"/>
      <c r="AU284" s="289"/>
      <c r="AV284" s="289"/>
      <c r="AW284" s="289"/>
      <c r="AX284" s="289"/>
      <c r="AY284" s="289"/>
      <c r="AZ284" s="289"/>
    </row>
    <row r="285" spans="1:52" ht="14.25" x14ac:dyDescent="0.45">
      <c r="A285" s="289"/>
      <c r="B285" s="294"/>
      <c r="C285" s="294"/>
      <c r="D285" s="294"/>
      <c r="E285" s="611"/>
      <c r="F285" s="294"/>
      <c r="G285" s="294"/>
      <c r="H285" s="611"/>
      <c r="I285" s="294"/>
      <c r="J285" s="679"/>
      <c r="K285" s="679"/>
      <c r="L285" s="679"/>
      <c r="M285" s="289"/>
      <c r="N285" s="289"/>
      <c r="O285" s="289"/>
      <c r="P285" s="289"/>
      <c r="Q285" s="289"/>
      <c r="R285" s="289"/>
      <c r="S285" s="289"/>
      <c r="T285" s="289"/>
      <c r="U285" s="289"/>
      <c r="V285" s="289"/>
      <c r="W285" s="289"/>
      <c r="X285" s="289"/>
      <c r="Y285" s="289"/>
      <c r="Z285" s="289"/>
      <c r="AA285" s="289"/>
      <c r="AB285" s="289"/>
      <c r="AC285" s="289"/>
      <c r="AD285" s="289"/>
      <c r="AE285" s="289"/>
      <c r="AF285" s="289"/>
      <c r="AG285" s="289"/>
      <c r="AH285" s="289"/>
      <c r="AI285" s="289"/>
      <c r="AJ285" s="289"/>
      <c r="AK285" s="289"/>
      <c r="AL285" s="289"/>
      <c r="AM285" s="289"/>
      <c r="AN285" s="289"/>
      <c r="AO285" s="289"/>
      <c r="AP285" s="289"/>
      <c r="AQ285" s="289"/>
      <c r="AR285" s="289"/>
      <c r="AS285" s="289"/>
      <c r="AT285" s="289"/>
      <c r="AU285" s="289"/>
      <c r="AV285" s="289"/>
      <c r="AW285" s="289"/>
      <c r="AX285" s="289"/>
      <c r="AY285" s="289"/>
      <c r="AZ285" s="289"/>
    </row>
    <row r="286" spans="1:52" ht="14.25" x14ac:dyDescent="0.45">
      <c r="A286" s="289"/>
      <c r="B286" s="294"/>
      <c r="C286" s="294"/>
      <c r="D286" s="294"/>
      <c r="E286" s="611"/>
      <c r="F286" s="294"/>
      <c r="G286" s="294"/>
      <c r="H286" s="611"/>
      <c r="I286" s="294"/>
      <c r="J286" s="679"/>
      <c r="K286" s="679"/>
      <c r="L286" s="679"/>
      <c r="M286" s="289"/>
      <c r="N286" s="289"/>
      <c r="O286" s="289"/>
      <c r="P286" s="289"/>
      <c r="Q286" s="289"/>
      <c r="R286" s="289"/>
      <c r="S286" s="289"/>
      <c r="T286" s="289"/>
      <c r="U286" s="289"/>
      <c r="V286" s="289"/>
      <c r="W286" s="289"/>
      <c r="X286" s="289"/>
      <c r="Y286" s="289"/>
      <c r="Z286" s="289"/>
      <c r="AA286" s="289"/>
      <c r="AB286" s="289"/>
      <c r="AC286" s="289"/>
      <c r="AD286" s="289"/>
      <c r="AE286" s="289"/>
      <c r="AF286" s="289"/>
      <c r="AG286" s="289"/>
      <c r="AH286" s="289"/>
      <c r="AI286" s="289"/>
      <c r="AJ286" s="289"/>
      <c r="AK286" s="289"/>
      <c r="AL286" s="289"/>
      <c r="AM286" s="289"/>
      <c r="AN286" s="289"/>
      <c r="AO286" s="289"/>
      <c r="AP286" s="289"/>
      <c r="AQ286" s="289"/>
      <c r="AR286" s="289"/>
      <c r="AS286" s="289"/>
      <c r="AT286" s="289"/>
      <c r="AU286" s="289"/>
      <c r="AV286" s="289"/>
      <c r="AW286" s="289"/>
      <c r="AX286" s="289"/>
      <c r="AY286" s="289"/>
      <c r="AZ286" s="289"/>
    </row>
    <row r="287" spans="1:52" x14ac:dyDescent="0.45">
      <c r="A287" s="289"/>
      <c r="B287" s="343"/>
      <c r="C287" s="294"/>
      <c r="D287" s="294"/>
      <c r="E287" s="610"/>
      <c r="F287" s="339"/>
      <c r="G287" s="294"/>
      <c r="H287" s="613"/>
      <c r="I287" s="383"/>
      <c r="J287" s="679"/>
      <c r="K287" s="679"/>
      <c r="L287" s="679"/>
      <c r="M287" s="289"/>
      <c r="N287" s="346"/>
      <c r="O287" s="289"/>
      <c r="P287" s="289"/>
      <c r="Q287" s="289"/>
      <c r="R287" s="289"/>
      <c r="S287" s="289"/>
      <c r="T287" s="289"/>
      <c r="U287" s="289"/>
      <c r="V287" s="289"/>
      <c r="W287" s="289"/>
      <c r="X287" s="289"/>
      <c r="Y287" s="289"/>
      <c r="Z287" s="289"/>
      <c r="AA287" s="289"/>
      <c r="AB287" s="289"/>
      <c r="AC287" s="289"/>
      <c r="AD287" s="289"/>
      <c r="AE287" s="289"/>
      <c r="AF287" s="289"/>
      <c r="AG287" s="289"/>
      <c r="AH287" s="289"/>
      <c r="AI287" s="289"/>
      <c r="AJ287" s="289"/>
      <c r="AK287" s="289"/>
      <c r="AL287" s="289"/>
      <c r="AM287" s="289"/>
      <c r="AN287" s="289"/>
      <c r="AO287" s="289"/>
      <c r="AP287" s="289"/>
      <c r="AQ287" s="289"/>
      <c r="AR287" s="289"/>
      <c r="AS287" s="289"/>
      <c r="AT287" s="289"/>
      <c r="AU287" s="289"/>
      <c r="AV287" s="289"/>
      <c r="AW287" s="289"/>
      <c r="AX287" s="289"/>
      <c r="AY287" s="289"/>
      <c r="AZ287" s="289"/>
    </row>
    <row r="288" spans="1:52" x14ac:dyDescent="0.45">
      <c r="A288" s="289"/>
      <c r="B288" s="343"/>
      <c r="C288" s="294"/>
      <c r="D288" s="294"/>
      <c r="E288" s="610"/>
      <c r="F288" s="339"/>
      <c r="G288" s="294"/>
      <c r="H288" s="613"/>
      <c r="I288" s="383"/>
      <c r="J288" s="679"/>
      <c r="K288" s="679"/>
      <c r="L288" s="679"/>
      <c r="M288" s="289"/>
      <c r="N288" s="346"/>
      <c r="O288" s="289"/>
      <c r="P288" s="289"/>
      <c r="Q288" s="289"/>
      <c r="R288" s="289"/>
      <c r="S288" s="289"/>
      <c r="T288" s="289"/>
      <c r="U288" s="289"/>
      <c r="V288" s="289"/>
      <c r="W288" s="289"/>
      <c r="X288" s="289"/>
      <c r="Y288" s="289"/>
      <c r="Z288" s="289"/>
      <c r="AA288" s="289"/>
      <c r="AB288" s="289"/>
      <c r="AC288" s="289"/>
      <c r="AD288" s="289"/>
      <c r="AE288" s="289"/>
      <c r="AF288" s="289"/>
      <c r="AG288" s="289"/>
      <c r="AH288" s="289"/>
      <c r="AI288" s="289"/>
      <c r="AJ288" s="289"/>
      <c r="AK288" s="289"/>
      <c r="AL288" s="289"/>
      <c r="AM288" s="289"/>
      <c r="AN288" s="289"/>
      <c r="AO288" s="289"/>
      <c r="AP288" s="289"/>
      <c r="AQ288" s="289"/>
      <c r="AR288" s="289"/>
      <c r="AS288" s="289"/>
      <c r="AT288" s="289"/>
      <c r="AU288" s="289"/>
      <c r="AV288" s="289"/>
      <c r="AW288" s="289"/>
      <c r="AX288" s="289"/>
      <c r="AY288" s="289"/>
      <c r="AZ288" s="289"/>
    </row>
    <row r="289" spans="1:52" x14ac:dyDescent="0.45">
      <c r="A289" s="289"/>
      <c r="B289" s="343"/>
      <c r="C289" s="294"/>
      <c r="D289" s="294"/>
      <c r="E289" s="610"/>
      <c r="F289" s="339"/>
      <c r="G289" s="294"/>
      <c r="H289" s="613"/>
      <c r="I289" s="383"/>
      <c r="J289" s="679"/>
      <c r="K289" s="679"/>
      <c r="L289" s="679"/>
      <c r="M289" s="289"/>
      <c r="N289" s="346"/>
      <c r="O289" s="289"/>
      <c r="P289" s="289"/>
      <c r="Q289" s="289"/>
      <c r="R289" s="289"/>
      <c r="S289" s="289"/>
      <c r="T289" s="289"/>
      <c r="U289" s="289"/>
      <c r="V289" s="289"/>
      <c r="W289" s="289"/>
      <c r="X289" s="289"/>
      <c r="Y289" s="289"/>
      <c r="Z289" s="289"/>
      <c r="AA289" s="289"/>
      <c r="AB289" s="289"/>
      <c r="AC289" s="289"/>
      <c r="AD289" s="289"/>
      <c r="AE289" s="289"/>
      <c r="AF289" s="289"/>
      <c r="AG289" s="289"/>
      <c r="AH289" s="289"/>
      <c r="AI289" s="289"/>
      <c r="AJ289" s="289"/>
      <c r="AK289" s="289"/>
      <c r="AL289" s="289"/>
      <c r="AM289" s="289"/>
      <c r="AN289" s="289"/>
      <c r="AO289" s="289"/>
      <c r="AP289" s="289"/>
      <c r="AQ289" s="289"/>
      <c r="AR289" s="289"/>
      <c r="AS289" s="289"/>
      <c r="AT289" s="289"/>
      <c r="AU289" s="289"/>
      <c r="AV289" s="289"/>
      <c r="AW289" s="289"/>
      <c r="AX289" s="289"/>
      <c r="AY289" s="289"/>
      <c r="AZ289" s="289"/>
    </row>
    <row r="290" spans="1:52" x14ac:dyDescent="0.45">
      <c r="A290" s="289"/>
      <c r="B290" s="343"/>
      <c r="C290" s="294"/>
      <c r="D290" s="294"/>
      <c r="E290" s="610"/>
      <c r="F290" s="339"/>
      <c r="G290" s="294"/>
      <c r="H290" s="613"/>
      <c r="I290" s="383"/>
      <c r="J290" s="679"/>
      <c r="K290" s="679"/>
      <c r="L290" s="679"/>
      <c r="M290" s="289"/>
      <c r="N290" s="346"/>
      <c r="O290" s="289"/>
      <c r="P290" s="289"/>
      <c r="Q290" s="289"/>
      <c r="R290" s="289"/>
      <c r="S290" s="289"/>
      <c r="T290" s="289"/>
      <c r="U290" s="289"/>
      <c r="V290" s="289"/>
      <c r="W290" s="289"/>
      <c r="X290" s="289"/>
      <c r="Y290" s="289"/>
      <c r="Z290" s="289"/>
      <c r="AA290" s="289"/>
      <c r="AB290" s="289"/>
      <c r="AC290" s="289"/>
      <c r="AD290" s="289"/>
      <c r="AE290" s="289"/>
      <c r="AF290" s="289"/>
      <c r="AG290" s="289"/>
      <c r="AH290" s="289"/>
      <c r="AI290" s="289"/>
      <c r="AJ290" s="289"/>
      <c r="AK290" s="289"/>
      <c r="AL290" s="289"/>
      <c r="AM290" s="289"/>
      <c r="AN290" s="289"/>
      <c r="AO290" s="289"/>
      <c r="AP290" s="289"/>
      <c r="AQ290" s="289"/>
      <c r="AR290" s="289"/>
      <c r="AS290" s="289"/>
      <c r="AT290" s="289"/>
      <c r="AU290" s="289"/>
      <c r="AV290" s="289"/>
      <c r="AW290" s="289"/>
      <c r="AX290" s="289"/>
      <c r="AY290" s="289"/>
      <c r="AZ290" s="289"/>
    </row>
    <row r="291" spans="1:52" x14ac:dyDescent="0.45">
      <c r="A291" s="289"/>
      <c r="B291" s="343"/>
      <c r="C291" s="294"/>
      <c r="D291" s="294"/>
      <c r="E291" s="610"/>
      <c r="F291" s="339"/>
      <c r="G291" s="294"/>
      <c r="H291" s="613"/>
      <c r="I291" s="383"/>
      <c r="J291" s="679"/>
      <c r="K291" s="679"/>
      <c r="L291" s="679"/>
      <c r="M291" s="289"/>
      <c r="N291" s="346"/>
      <c r="O291" s="289"/>
      <c r="P291" s="289"/>
      <c r="Q291" s="289"/>
      <c r="R291" s="289"/>
      <c r="S291" s="289"/>
      <c r="T291" s="289"/>
      <c r="U291" s="289"/>
      <c r="V291" s="289"/>
      <c r="W291" s="289"/>
      <c r="X291" s="289"/>
      <c r="Y291" s="289"/>
      <c r="Z291" s="289"/>
      <c r="AA291" s="289"/>
      <c r="AB291" s="289"/>
      <c r="AC291" s="289"/>
      <c r="AD291" s="289"/>
      <c r="AE291" s="289"/>
      <c r="AF291" s="289"/>
      <c r="AG291" s="289"/>
      <c r="AH291" s="289"/>
      <c r="AI291" s="289"/>
      <c r="AJ291" s="289"/>
      <c r="AK291" s="289"/>
      <c r="AL291" s="289"/>
      <c r="AM291" s="289"/>
      <c r="AN291" s="289"/>
      <c r="AO291" s="289"/>
      <c r="AP291" s="289"/>
      <c r="AQ291" s="289"/>
      <c r="AR291" s="289"/>
      <c r="AS291" s="289"/>
      <c r="AT291" s="289"/>
      <c r="AU291" s="289"/>
      <c r="AV291" s="289"/>
      <c r="AW291" s="289"/>
      <c r="AX291" s="289"/>
      <c r="AY291" s="289"/>
      <c r="AZ291" s="289"/>
    </row>
    <row r="292" spans="1:52" x14ac:dyDescent="0.45">
      <c r="A292" s="289"/>
      <c r="B292" s="343"/>
      <c r="C292" s="294"/>
      <c r="D292" s="294"/>
      <c r="E292" s="610"/>
      <c r="F292" s="339"/>
      <c r="G292" s="294"/>
      <c r="H292" s="613"/>
      <c r="I292" s="383"/>
      <c r="J292" s="679"/>
      <c r="K292" s="679"/>
      <c r="L292" s="679"/>
      <c r="M292" s="289"/>
      <c r="N292" s="346"/>
      <c r="O292" s="289"/>
      <c r="P292" s="289"/>
      <c r="Q292" s="289"/>
      <c r="R292" s="289"/>
      <c r="S292" s="289"/>
      <c r="T292" s="289"/>
      <c r="U292" s="289"/>
      <c r="V292" s="289"/>
      <c r="W292" s="289"/>
      <c r="X292" s="289"/>
      <c r="Y292" s="289"/>
      <c r="Z292" s="289"/>
      <c r="AA292" s="289"/>
      <c r="AB292" s="289"/>
      <c r="AC292" s="289"/>
      <c r="AD292" s="289"/>
      <c r="AE292" s="289"/>
      <c r="AF292" s="289"/>
      <c r="AG292" s="289"/>
      <c r="AH292" s="289"/>
      <c r="AI292" s="289"/>
      <c r="AJ292" s="289"/>
      <c r="AK292" s="289"/>
      <c r="AL292" s="289"/>
      <c r="AM292" s="289"/>
      <c r="AN292" s="289"/>
      <c r="AO292" s="289"/>
      <c r="AP292" s="289"/>
      <c r="AQ292" s="289"/>
      <c r="AR292" s="289"/>
      <c r="AS292" s="289"/>
      <c r="AT292" s="289"/>
      <c r="AU292" s="289"/>
      <c r="AV292" s="289"/>
      <c r="AW292" s="289"/>
      <c r="AX292" s="289"/>
      <c r="AY292" s="289"/>
      <c r="AZ292" s="289"/>
    </row>
    <row r="293" spans="1:52" x14ac:dyDescent="0.45">
      <c r="A293" s="289"/>
      <c r="B293" s="343"/>
      <c r="C293" s="294"/>
      <c r="D293" s="294"/>
      <c r="E293" s="610"/>
      <c r="F293" s="339"/>
      <c r="G293" s="294"/>
      <c r="H293" s="613"/>
      <c r="I293" s="383"/>
      <c r="J293" s="679"/>
      <c r="K293" s="679"/>
      <c r="L293" s="679"/>
      <c r="M293" s="289"/>
      <c r="N293" s="346"/>
      <c r="O293" s="289"/>
      <c r="P293" s="289"/>
      <c r="Q293" s="289"/>
      <c r="R293" s="289"/>
      <c r="S293" s="289"/>
      <c r="T293" s="289"/>
      <c r="U293" s="289"/>
      <c r="V293" s="289"/>
      <c r="W293" s="289"/>
      <c r="X293" s="289"/>
      <c r="Y293" s="289"/>
      <c r="Z293" s="289"/>
      <c r="AA293" s="289"/>
      <c r="AB293" s="289"/>
      <c r="AC293" s="289"/>
      <c r="AD293" s="289"/>
      <c r="AE293" s="289"/>
      <c r="AF293" s="289"/>
      <c r="AG293" s="289"/>
      <c r="AH293" s="289"/>
      <c r="AI293" s="289"/>
      <c r="AJ293" s="289"/>
      <c r="AK293" s="289"/>
      <c r="AL293" s="289"/>
      <c r="AM293" s="289"/>
      <c r="AN293" s="289"/>
      <c r="AO293" s="289"/>
      <c r="AP293" s="289"/>
      <c r="AQ293" s="289"/>
      <c r="AR293" s="289"/>
      <c r="AS293" s="289"/>
      <c r="AT293" s="289"/>
      <c r="AU293" s="289"/>
      <c r="AV293" s="289"/>
      <c r="AW293" s="289"/>
      <c r="AX293" s="289"/>
      <c r="AY293" s="289"/>
      <c r="AZ293" s="289"/>
    </row>
    <row r="294" spans="1:52" x14ac:dyDescent="0.45">
      <c r="A294" s="289"/>
      <c r="B294" s="343"/>
      <c r="C294" s="294"/>
      <c r="D294" s="294"/>
      <c r="E294" s="610"/>
      <c r="F294" s="339"/>
      <c r="G294" s="294"/>
      <c r="H294" s="613"/>
      <c r="I294" s="383"/>
      <c r="J294" s="679"/>
      <c r="K294" s="679"/>
      <c r="L294" s="679"/>
      <c r="M294" s="289"/>
      <c r="N294" s="346"/>
      <c r="O294" s="289"/>
      <c r="P294" s="289"/>
      <c r="Q294" s="289"/>
      <c r="R294" s="289"/>
      <c r="S294" s="289"/>
      <c r="T294" s="289"/>
      <c r="U294" s="289"/>
      <c r="V294" s="289"/>
      <c r="W294" s="289"/>
      <c r="X294" s="289"/>
      <c r="Y294" s="289"/>
      <c r="Z294" s="289"/>
      <c r="AA294" s="289"/>
      <c r="AB294" s="289"/>
      <c r="AC294" s="289"/>
      <c r="AD294" s="289"/>
      <c r="AE294" s="289"/>
      <c r="AF294" s="289"/>
      <c r="AG294" s="289"/>
      <c r="AH294" s="289"/>
      <c r="AI294" s="289"/>
      <c r="AJ294" s="289"/>
      <c r="AK294" s="289"/>
      <c r="AL294" s="289"/>
      <c r="AM294" s="289"/>
      <c r="AN294" s="289"/>
      <c r="AO294" s="289"/>
      <c r="AP294" s="289"/>
      <c r="AQ294" s="289"/>
      <c r="AR294" s="289"/>
      <c r="AS294" s="289"/>
      <c r="AT294" s="289"/>
      <c r="AU294" s="289"/>
      <c r="AV294" s="289"/>
      <c r="AW294" s="289"/>
      <c r="AX294" s="289"/>
      <c r="AY294" s="289"/>
      <c r="AZ294" s="289"/>
    </row>
    <row r="295" spans="1:52" x14ac:dyDescent="0.45">
      <c r="A295" s="289"/>
      <c r="B295" s="343"/>
      <c r="C295" s="294"/>
      <c r="D295" s="294"/>
      <c r="E295" s="610"/>
      <c r="F295" s="339"/>
      <c r="G295" s="294"/>
      <c r="H295" s="613"/>
      <c r="I295" s="383"/>
      <c r="J295" s="679"/>
      <c r="K295" s="679"/>
      <c r="L295" s="679"/>
      <c r="M295" s="289"/>
      <c r="N295" s="346"/>
      <c r="O295" s="289"/>
      <c r="P295" s="289"/>
      <c r="Q295" s="289"/>
      <c r="R295" s="289"/>
      <c r="S295" s="289"/>
      <c r="T295" s="289"/>
      <c r="U295" s="289"/>
      <c r="V295" s="289"/>
      <c r="W295" s="289"/>
      <c r="X295" s="289"/>
      <c r="Y295" s="289"/>
      <c r="Z295" s="289"/>
      <c r="AA295" s="289"/>
      <c r="AB295" s="289"/>
      <c r="AC295" s="289"/>
      <c r="AD295" s="289"/>
      <c r="AE295" s="289"/>
      <c r="AF295" s="289"/>
      <c r="AG295" s="289"/>
      <c r="AH295" s="289"/>
      <c r="AI295" s="289"/>
      <c r="AJ295" s="289"/>
      <c r="AK295" s="289"/>
      <c r="AL295" s="289"/>
      <c r="AM295" s="289"/>
      <c r="AN295" s="289"/>
      <c r="AO295" s="289"/>
      <c r="AP295" s="289"/>
      <c r="AQ295" s="289"/>
      <c r="AR295" s="289"/>
      <c r="AS295" s="289"/>
      <c r="AT295" s="289"/>
      <c r="AU295" s="289"/>
      <c r="AV295" s="289"/>
      <c r="AW295" s="289"/>
      <c r="AX295" s="289"/>
      <c r="AY295" s="289"/>
      <c r="AZ295" s="289"/>
    </row>
    <row r="296" spans="1:52" x14ac:dyDescent="0.45">
      <c r="A296" s="289"/>
      <c r="B296" s="343"/>
      <c r="C296" s="294"/>
      <c r="D296" s="294"/>
      <c r="E296" s="610"/>
      <c r="F296" s="339"/>
      <c r="G296" s="294"/>
      <c r="H296" s="613"/>
      <c r="I296" s="383"/>
      <c r="J296" s="679"/>
      <c r="K296" s="679"/>
      <c r="L296" s="679"/>
      <c r="M296" s="289"/>
      <c r="N296" s="346"/>
      <c r="O296" s="289"/>
      <c r="P296" s="289"/>
      <c r="Q296" s="289"/>
      <c r="R296" s="289"/>
      <c r="S296" s="289"/>
      <c r="T296" s="289"/>
      <c r="U296" s="289"/>
      <c r="V296" s="289"/>
      <c r="W296" s="289"/>
      <c r="X296" s="289"/>
      <c r="Y296" s="289"/>
      <c r="Z296" s="289"/>
      <c r="AA296" s="289"/>
      <c r="AB296" s="289"/>
      <c r="AC296" s="289"/>
      <c r="AD296" s="289"/>
      <c r="AE296" s="289"/>
      <c r="AF296" s="289"/>
      <c r="AG296" s="289"/>
      <c r="AH296" s="289"/>
      <c r="AI296" s="289"/>
      <c r="AJ296" s="289"/>
      <c r="AK296" s="289"/>
      <c r="AL296" s="289"/>
      <c r="AM296" s="289"/>
      <c r="AN296" s="289"/>
      <c r="AO296" s="289"/>
      <c r="AP296" s="289"/>
      <c r="AQ296" s="289"/>
      <c r="AR296" s="289"/>
      <c r="AS296" s="289"/>
      <c r="AT296" s="289"/>
      <c r="AU296" s="289"/>
      <c r="AV296" s="289"/>
      <c r="AW296" s="289"/>
      <c r="AX296" s="289"/>
      <c r="AY296" s="289"/>
      <c r="AZ296" s="289"/>
    </row>
    <row r="297" spans="1:52" x14ac:dyDescent="0.45">
      <c r="A297" s="289"/>
      <c r="B297" s="343"/>
      <c r="C297" s="294"/>
      <c r="D297" s="294"/>
      <c r="E297" s="610"/>
      <c r="F297" s="339"/>
      <c r="G297" s="294"/>
      <c r="H297" s="613"/>
      <c r="I297" s="383"/>
      <c r="J297" s="679"/>
      <c r="K297" s="679"/>
      <c r="L297" s="679"/>
      <c r="M297" s="289"/>
      <c r="N297" s="346"/>
      <c r="O297" s="289"/>
      <c r="P297" s="289"/>
      <c r="Q297" s="289"/>
      <c r="R297" s="289"/>
      <c r="S297" s="289"/>
      <c r="T297" s="289"/>
      <c r="U297" s="289"/>
      <c r="V297" s="289"/>
      <c r="W297" s="289"/>
      <c r="X297" s="289"/>
      <c r="Y297" s="289"/>
      <c r="Z297" s="289"/>
      <c r="AA297" s="289"/>
      <c r="AB297" s="289"/>
      <c r="AC297" s="289"/>
      <c r="AD297" s="289"/>
      <c r="AE297" s="289"/>
      <c r="AF297" s="289"/>
      <c r="AG297" s="289"/>
      <c r="AH297" s="289"/>
      <c r="AI297" s="289"/>
      <c r="AJ297" s="289"/>
      <c r="AK297" s="289"/>
      <c r="AL297" s="289"/>
      <c r="AM297" s="289"/>
      <c r="AN297" s="289"/>
      <c r="AO297" s="289"/>
      <c r="AP297" s="289"/>
      <c r="AQ297" s="289"/>
      <c r="AR297" s="289"/>
      <c r="AS297" s="289"/>
      <c r="AT297" s="289"/>
      <c r="AU297" s="289"/>
      <c r="AV297" s="289"/>
      <c r="AW297" s="289"/>
      <c r="AX297" s="289"/>
      <c r="AY297" s="289"/>
      <c r="AZ297" s="289"/>
    </row>
    <row r="298" spans="1:52" x14ac:dyDescent="0.45">
      <c r="A298" s="289"/>
      <c r="B298" s="343"/>
      <c r="C298" s="294"/>
      <c r="D298" s="294"/>
      <c r="E298" s="610"/>
      <c r="F298" s="339"/>
      <c r="G298" s="294"/>
      <c r="H298" s="613"/>
      <c r="I298" s="383"/>
      <c r="J298" s="679"/>
      <c r="K298" s="679"/>
      <c r="L298" s="679"/>
      <c r="M298" s="289"/>
      <c r="N298" s="346"/>
      <c r="O298" s="289"/>
      <c r="P298" s="289"/>
      <c r="Q298" s="289"/>
      <c r="R298" s="289"/>
      <c r="S298" s="289"/>
      <c r="T298" s="289"/>
      <c r="U298" s="289"/>
      <c r="V298" s="289"/>
      <c r="W298" s="289"/>
      <c r="X298" s="289"/>
      <c r="Y298" s="289"/>
      <c r="Z298" s="289"/>
      <c r="AA298" s="289"/>
      <c r="AB298" s="289"/>
      <c r="AC298" s="289"/>
      <c r="AD298" s="289"/>
      <c r="AE298" s="289"/>
      <c r="AF298" s="289"/>
      <c r="AG298" s="289"/>
      <c r="AH298" s="289"/>
      <c r="AI298" s="289"/>
      <c r="AJ298" s="289"/>
      <c r="AK298" s="289"/>
      <c r="AL298" s="289"/>
      <c r="AM298" s="289"/>
      <c r="AN298" s="289"/>
      <c r="AO298" s="289"/>
      <c r="AP298" s="289"/>
      <c r="AQ298" s="289"/>
      <c r="AR298" s="289"/>
      <c r="AS298" s="289"/>
      <c r="AT298" s="289"/>
      <c r="AU298" s="289"/>
      <c r="AV298" s="289"/>
      <c r="AW298" s="289"/>
      <c r="AX298" s="289"/>
      <c r="AY298" s="289"/>
      <c r="AZ298" s="289"/>
    </row>
    <row r="299" spans="1:52" x14ac:dyDescent="0.45">
      <c r="A299" s="289"/>
      <c r="B299" s="343"/>
      <c r="C299" s="294"/>
      <c r="D299" s="294"/>
      <c r="E299" s="610"/>
      <c r="F299" s="339"/>
      <c r="G299" s="294"/>
      <c r="H299" s="613"/>
      <c r="I299" s="383"/>
      <c r="J299" s="679"/>
      <c r="K299" s="679"/>
      <c r="L299" s="679"/>
      <c r="M299" s="289"/>
      <c r="N299" s="346"/>
      <c r="O299" s="289"/>
      <c r="P299" s="289"/>
      <c r="Q299" s="289"/>
      <c r="R299" s="289"/>
      <c r="S299" s="289"/>
      <c r="T299" s="289"/>
      <c r="U299" s="289"/>
      <c r="V299" s="289"/>
      <c r="W299" s="289"/>
      <c r="X299" s="289"/>
      <c r="Y299" s="289"/>
      <c r="Z299" s="289"/>
      <c r="AA299" s="289"/>
      <c r="AB299" s="289"/>
      <c r="AC299" s="289"/>
      <c r="AD299" s="289"/>
      <c r="AE299" s="289"/>
      <c r="AF299" s="289"/>
      <c r="AG299" s="289"/>
      <c r="AH299" s="289"/>
      <c r="AI299" s="289"/>
      <c r="AJ299" s="289"/>
      <c r="AK299" s="289"/>
      <c r="AL299" s="289"/>
      <c r="AM299" s="289"/>
      <c r="AN299" s="289"/>
      <c r="AO299" s="289"/>
      <c r="AP299" s="289"/>
      <c r="AQ299" s="289"/>
      <c r="AR299" s="289"/>
      <c r="AS299" s="289"/>
      <c r="AT299" s="289"/>
      <c r="AU299" s="289"/>
      <c r="AV299" s="289"/>
      <c r="AW299" s="289"/>
      <c r="AX299" s="289"/>
      <c r="AY299" s="289"/>
      <c r="AZ299" s="289"/>
    </row>
    <row r="300" spans="1:52" x14ac:dyDescent="0.45">
      <c r="A300" s="289"/>
      <c r="B300" s="343"/>
      <c r="C300" s="294"/>
      <c r="D300" s="294"/>
      <c r="E300" s="610"/>
      <c r="F300" s="339"/>
      <c r="G300" s="294"/>
      <c r="H300" s="613"/>
      <c r="I300" s="383"/>
      <c r="J300" s="679"/>
      <c r="K300" s="679"/>
      <c r="L300" s="679"/>
      <c r="M300" s="289"/>
      <c r="N300" s="346"/>
      <c r="O300" s="289"/>
      <c r="P300" s="289"/>
      <c r="Q300" s="289"/>
      <c r="R300" s="289"/>
      <c r="S300" s="289"/>
      <c r="T300" s="289"/>
      <c r="U300" s="289"/>
      <c r="V300" s="289"/>
      <c r="W300" s="289"/>
      <c r="X300" s="289"/>
      <c r="Y300" s="289"/>
      <c r="Z300" s="289"/>
      <c r="AA300" s="289"/>
      <c r="AB300" s="289"/>
      <c r="AC300" s="289"/>
      <c r="AD300" s="289"/>
      <c r="AE300" s="289"/>
      <c r="AF300" s="289"/>
      <c r="AG300" s="289"/>
      <c r="AH300" s="289"/>
      <c r="AI300" s="289"/>
      <c r="AJ300" s="289"/>
      <c r="AK300" s="289"/>
      <c r="AL300" s="289"/>
      <c r="AM300" s="289"/>
      <c r="AN300" s="289"/>
      <c r="AO300" s="289"/>
      <c r="AP300" s="289"/>
      <c r="AQ300" s="289"/>
      <c r="AR300" s="289"/>
      <c r="AS300" s="289"/>
      <c r="AT300" s="289"/>
      <c r="AU300" s="289"/>
      <c r="AV300" s="289"/>
      <c r="AW300" s="289"/>
      <c r="AX300" s="289"/>
      <c r="AY300" s="289"/>
      <c r="AZ300" s="289"/>
    </row>
  </sheetData>
  <sheetProtection algorithmName="SHA-512" hashValue="IHzut0rO2oDV9MsWd6nwcAhm/NgBREvIJDHpTAgHxljSE/P8QSY5TYQ2P8OF38QJTcH7aflI03qGctcHxbtLnQ==" saltValue="o4+Y6yv+lJ78L0jZgrechw==" spinCount="100000" sheet="1" objects="1" scenarios="1"/>
  <mergeCells count="160">
    <mergeCell ref="M6:M8"/>
    <mergeCell ref="M13:M15"/>
    <mergeCell ref="N13:N15"/>
    <mergeCell ref="M20:M22"/>
    <mergeCell ref="N20:N22"/>
    <mergeCell ref="N6:N8"/>
    <mergeCell ref="M41:M43"/>
    <mergeCell ref="N41:N43"/>
    <mergeCell ref="M48:M50"/>
    <mergeCell ref="N48:N50"/>
    <mergeCell ref="M55:M57"/>
    <mergeCell ref="N55:N57"/>
    <mergeCell ref="M27:M29"/>
    <mergeCell ref="N27:N29"/>
    <mergeCell ref="M34:M36"/>
    <mergeCell ref="N34:N36"/>
    <mergeCell ref="M83:M85"/>
    <mergeCell ref="N83:N85"/>
    <mergeCell ref="M90:M92"/>
    <mergeCell ref="M97:M99"/>
    <mergeCell ref="M104:M106"/>
    <mergeCell ref="N90:N92"/>
    <mergeCell ref="N97:N99"/>
    <mergeCell ref="N104:N106"/>
    <mergeCell ref="M62:M64"/>
    <mergeCell ref="N62:N64"/>
    <mergeCell ref="M69:M71"/>
    <mergeCell ref="N69:N71"/>
    <mergeCell ref="M76:M78"/>
    <mergeCell ref="N76:N78"/>
    <mergeCell ref="M279:M281"/>
    <mergeCell ref="M216:M218"/>
    <mergeCell ref="M223:M225"/>
    <mergeCell ref="M230:M232"/>
    <mergeCell ref="M237:M239"/>
    <mergeCell ref="M244:M246"/>
    <mergeCell ref="M181:M183"/>
    <mergeCell ref="M188:M190"/>
    <mergeCell ref="M195:M197"/>
    <mergeCell ref="M202:M204"/>
    <mergeCell ref="M209:M211"/>
    <mergeCell ref="N111:N113"/>
    <mergeCell ref="N118:N120"/>
    <mergeCell ref="N125:N127"/>
    <mergeCell ref="N132:N134"/>
    <mergeCell ref="N139:N141"/>
    <mergeCell ref="M251:M253"/>
    <mergeCell ref="M258:M260"/>
    <mergeCell ref="M265:M267"/>
    <mergeCell ref="M272:M274"/>
    <mergeCell ref="M146:M148"/>
    <mergeCell ref="M153:M155"/>
    <mergeCell ref="M160:M162"/>
    <mergeCell ref="M167:M169"/>
    <mergeCell ref="M174:M176"/>
    <mergeCell ref="M111:M113"/>
    <mergeCell ref="M118:M120"/>
    <mergeCell ref="M125:M127"/>
    <mergeCell ref="M132:M134"/>
    <mergeCell ref="M139:M141"/>
    <mergeCell ref="N181:N183"/>
    <mergeCell ref="N188:N190"/>
    <mergeCell ref="N195:N197"/>
    <mergeCell ref="N202:N204"/>
    <mergeCell ref="N209:N211"/>
    <mergeCell ref="N146:N148"/>
    <mergeCell ref="N153:N155"/>
    <mergeCell ref="N160:N162"/>
    <mergeCell ref="N167:N169"/>
    <mergeCell ref="N174:N176"/>
    <mergeCell ref="N251:N253"/>
    <mergeCell ref="N258:N260"/>
    <mergeCell ref="N265:N267"/>
    <mergeCell ref="N272:N274"/>
    <mergeCell ref="N279:N281"/>
    <mergeCell ref="N216:N218"/>
    <mergeCell ref="N223:N225"/>
    <mergeCell ref="N230:N232"/>
    <mergeCell ref="N237:N239"/>
    <mergeCell ref="N244:N246"/>
    <mergeCell ref="J22:K23"/>
    <mergeCell ref="J27:K28"/>
    <mergeCell ref="J29:K30"/>
    <mergeCell ref="J34:K35"/>
    <mergeCell ref="J36:K37"/>
    <mergeCell ref="J71:K72"/>
    <mergeCell ref="J92:K93"/>
    <mergeCell ref="J97:K98"/>
    <mergeCell ref="J99:K100"/>
    <mergeCell ref="J104:K105"/>
    <mergeCell ref="J106:K107"/>
    <mergeCell ref="J76:K77"/>
    <mergeCell ref="J78:K79"/>
    <mergeCell ref="J83:K84"/>
    <mergeCell ref="J85:K86"/>
    <mergeCell ref="J90:K91"/>
    <mergeCell ref="J127:K128"/>
    <mergeCell ref="J132:K133"/>
    <mergeCell ref="J8:K9"/>
    <mergeCell ref="J6:K7"/>
    <mergeCell ref="J15:K16"/>
    <mergeCell ref="J13:K14"/>
    <mergeCell ref="J20:K21"/>
    <mergeCell ref="J57:K58"/>
    <mergeCell ref="J62:K63"/>
    <mergeCell ref="J64:K65"/>
    <mergeCell ref="J69:K70"/>
    <mergeCell ref="J41:K42"/>
    <mergeCell ref="J43:K44"/>
    <mergeCell ref="J48:K49"/>
    <mergeCell ref="J50:K51"/>
    <mergeCell ref="J55:K56"/>
    <mergeCell ref="J134:K135"/>
    <mergeCell ref="J139:K140"/>
    <mergeCell ref="J141:K142"/>
    <mergeCell ref="J111:K112"/>
    <mergeCell ref="J113:K114"/>
    <mergeCell ref="J118:K119"/>
    <mergeCell ref="J120:K121"/>
    <mergeCell ref="J125:K126"/>
    <mergeCell ref="J162:K163"/>
    <mergeCell ref="J167:K168"/>
    <mergeCell ref="J169:K170"/>
    <mergeCell ref="J174:K175"/>
    <mergeCell ref="J176:K177"/>
    <mergeCell ref="J146:K147"/>
    <mergeCell ref="J148:K149"/>
    <mergeCell ref="J153:K154"/>
    <mergeCell ref="J155:K156"/>
    <mergeCell ref="J160:K161"/>
    <mergeCell ref="J197:K198"/>
    <mergeCell ref="J202:K203"/>
    <mergeCell ref="J204:K205"/>
    <mergeCell ref="J209:K210"/>
    <mergeCell ref="J211:K212"/>
    <mergeCell ref="J181:K182"/>
    <mergeCell ref="J183:K184"/>
    <mergeCell ref="J188:K189"/>
    <mergeCell ref="J190:K191"/>
    <mergeCell ref="J195:K196"/>
    <mergeCell ref="J232:K233"/>
    <mergeCell ref="J237:K238"/>
    <mergeCell ref="J239:K240"/>
    <mergeCell ref="J244:K245"/>
    <mergeCell ref="J246:K247"/>
    <mergeCell ref="J216:K217"/>
    <mergeCell ref="J218:K219"/>
    <mergeCell ref="J223:K224"/>
    <mergeCell ref="J225:K226"/>
    <mergeCell ref="J230:K231"/>
    <mergeCell ref="J267:K268"/>
    <mergeCell ref="J272:K273"/>
    <mergeCell ref="J274:K275"/>
    <mergeCell ref="J279:K280"/>
    <mergeCell ref="J281:K282"/>
    <mergeCell ref="J251:K252"/>
    <mergeCell ref="J253:K254"/>
    <mergeCell ref="J258:K259"/>
    <mergeCell ref="J260:K261"/>
    <mergeCell ref="J265:K266"/>
  </mergeCells>
  <conditionalFormatting sqref="B11">
    <cfRule type="expression" dxfId="3565" priority="18896" stopIfTrue="1">
      <formula>$B12=""</formula>
    </cfRule>
  </conditionalFormatting>
  <conditionalFormatting sqref="B18">
    <cfRule type="expression" dxfId="3564" priority="8170" stopIfTrue="1">
      <formula>$B19=""</formula>
    </cfRule>
  </conditionalFormatting>
  <conditionalFormatting sqref="B25">
    <cfRule type="expression" dxfId="3563" priority="5123" stopIfTrue="1">
      <formula>$B26=""</formula>
    </cfRule>
  </conditionalFormatting>
  <conditionalFormatting sqref="B32">
    <cfRule type="expression" dxfId="3562" priority="2421" stopIfTrue="1">
      <formula>$B33=""</formula>
    </cfRule>
  </conditionalFormatting>
  <conditionalFormatting sqref="B39">
    <cfRule type="expression" dxfId="3561" priority="2385" stopIfTrue="1">
      <formula>$B40=""</formula>
    </cfRule>
  </conditionalFormatting>
  <conditionalFormatting sqref="B46">
    <cfRule type="expression" dxfId="3560" priority="2349" stopIfTrue="1">
      <formula>$B47=""</formula>
    </cfRule>
  </conditionalFormatting>
  <conditionalFormatting sqref="B53">
    <cfRule type="expression" dxfId="3559" priority="2313" stopIfTrue="1">
      <formula>$B54=""</formula>
    </cfRule>
  </conditionalFormatting>
  <conditionalFormatting sqref="B60">
    <cfRule type="expression" dxfId="3558" priority="1125" stopIfTrue="1">
      <formula>$B61=""</formula>
    </cfRule>
  </conditionalFormatting>
  <conditionalFormatting sqref="B67">
    <cfRule type="expression" dxfId="3557" priority="1089" stopIfTrue="1">
      <formula>$B68=""</formula>
    </cfRule>
  </conditionalFormatting>
  <conditionalFormatting sqref="B74">
    <cfRule type="expression" dxfId="3556" priority="1053" stopIfTrue="1">
      <formula>$B75=""</formula>
    </cfRule>
  </conditionalFormatting>
  <conditionalFormatting sqref="B81">
    <cfRule type="expression" dxfId="3555" priority="1017" stopIfTrue="1">
      <formula>$B82=""</formula>
    </cfRule>
  </conditionalFormatting>
  <conditionalFormatting sqref="B88">
    <cfRule type="expression" dxfId="3554" priority="981" stopIfTrue="1">
      <formula>$B89=""</formula>
    </cfRule>
  </conditionalFormatting>
  <conditionalFormatting sqref="B95">
    <cfRule type="expression" dxfId="3553" priority="945" stopIfTrue="1">
      <formula>$B96=""</formula>
    </cfRule>
  </conditionalFormatting>
  <conditionalFormatting sqref="B102">
    <cfRule type="expression" dxfId="3552" priority="909" stopIfTrue="1">
      <formula>$B103=""</formula>
    </cfRule>
  </conditionalFormatting>
  <conditionalFormatting sqref="B109">
    <cfRule type="expression" dxfId="3551" priority="873" stopIfTrue="1">
      <formula>$B110=""</formula>
    </cfRule>
  </conditionalFormatting>
  <conditionalFormatting sqref="B116">
    <cfRule type="expression" dxfId="3550" priority="837" stopIfTrue="1">
      <formula>$B117=""</formula>
    </cfRule>
  </conditionalFormatting>
  <conditionalFormatting sqref="B123">
    <cfRule type="expression" dxfId="3549" priority="801" stopIfTrue="1">
      <formula>$B124=""</formula>
    </cfRule>
  </conditionalFormatting>
  <conditionalFormatting sqref="B130">
    <cfRule type="expression" dxfId="3548" priority="765" stopIfTrue="1">
      <formula>$B131=""</formula>
    </cfRule>
  </conditionalFormatting>
  <conditionalFormatting sqref="B137">
    <cfRule type="expression" dxfId="3547" priority="729" stopIfTrue="1">
      <formula>$B138=""</formula>
    </cfRule>
  </conditionalFormatting>
  <conditionalFormatting sqref="B144">
    <cfRule type="expression" dxfId="3546" priority="693" stopIfTrue="1">
      <formula>$B145=""</formula>
    </cfRule>
  </conditionalFormatting>
  <conditionalFormatting sqref="B151">
    <cfRule type="expression" dxfId="3545" priority="657" stopIfTrue="1">
      <formula>$B152=""</formula>
    </cfRule>
  </conditionalFormatting>
  <conditionalFormatting sqref="B158">
    <cfRule type="expression" dxfId="3544" priority="621" stopIfTrue="1">
      <formula>$B159=""</formula>
    </cfRule>
  </conditionalFormatting>
  <conditionalFormatting sqref="B165">
    <cfRule type="expression" dxfId="3543" priority="585" stopIfTrue="1">
      <formula>$B166=""</formula>
    </cfRule>
  </conditionalFormatting>
  <conditionalFormatting sqref="B172">
    <cfRule type="expression" dxfId="3542" priority="549" stopIfTrue="1">
      <formula>$B173=""</formula>
    </cfRule>
  </conditionalFormatting>
  <conditionalFormatting sqref="B179">
    <cfRule type="expression" dxfId="3541" priority="513" stopIfTrue="1">
      <formula>$B180=""</formula>
    </cfRule>
  </conditionalFormatting>
  <conditionalFormatting sqref="B186">
    <cfRule type="expression" dxfId="3540" priority="477" stopIfTrue="1">
      <formula>$B187=""</formula>
    </cfRule>
  </conditionalFormatting>
  <conditionalFormatting sqref="B193">
    <cfRule type="expression" dxfId="3539" priority="441" stopIfTrue="1">
      <formula>$B194=""</formula>
    </cfRule>
  </conditionalFormatting>
  <conditionalFormatting sqref="B200">
    <cfRule type="expression" dxfId="3538" priority="405" stopIfTrue="1">
      <formula>$B201=""</formula>
    </cfRule>
  </conditionalFormatting>
  <conditionalFormatting sqref="B207">
    <cfRule type="expression" dxfId="3537" priority="369" stopIfTrue="1">
      <formula>$B208=""</formula>
    </cfRule>
  </conditionalFormatting>
  <conditionalFormatting sqref="B214">
    <cfRule type="expression" dxfId="3536" priority="333" stopIfTrue="1">
      <formula>$B215=""</formula>
    </cfRule>
  </conditionalFormatting>
  <conditionalFormatting sqref="B221">
    <cfRule type="expression" dxfId="3535" priority="297" stopIfTrue="1">
      <formula>$B222=""</formula>
    </cfRule>
  </conditionalFormatting>
  <conditionalFormatting sqref="B228">
    <cfRule type="expression" dxfId="3534" priority="261" stopIfTrue="1">
      <formula>$B229=""</formula>
    </cfRule>
  </conditionalFormatting>
  <conditionalFormatting sqref="B235">
    <cfRule type="expression" dxfId="3533" priority="225" stopIfTrue="1">
      <formula>$B236=""</formula>
    </cfRule>
  </conditionalFormatting>
  <conditionalFormatting sqref="B242">
    <cfRule type="expression" dxfId="3532" priority="189" stopIfTrue="1">
      <formula>$B243=""</formula>
    </cfRule>
  </conditionalFormatting>
  <conditionalFormatting sqref="B249">
    <cfRule type="expression" dxfId="3531" priority="153" stopIfTrue="1">
      <formula>$B250=""</formula>
    </cfRule>
  </conditionalFormatting>
  <conditionalFormatting sqref="B256">
    <cfRule type="expression" dxfId="3530" priority="117" stopIfTrue="1">
      <formula>$B257=""</formula>
    </cfRule>
  </conditionalFormatting>
  <conditionalFormatting sqref="B263">
    <cfRule type="expression" dxfId="3529" priority="81" stopIfTrue="1">
      <formula>$B264=""</formula>
    </cfRule>
  </conditionalFormatting>
  <conditionalFormatting sqref="B270">
    <cfRule type="expression" dxfId="3528" priority="45" stopIfTrue="1">
      <formula>$B271=""</formula>
    </cfRule>
  </conditionalFormatting>
  <conditionalFormatting sqref="B277">
    <cfRule type="expression" dxfId="3527" priority="9" stopIfTrue="1">
      <formula>$B278=""</formula>
    </cfRule>
  </conditionalFormatting>
  <conditionalFormatting sqref="B12:L12">
    <cfRule type="expression" dxfId="3526" priority="18895" stopIfTrue="1">
      <formula>$B12=""</formula>
    </cfRule>
  </conditionalFormatting>
  <conditionalFormatting sqref="B13:L13">
    <cfRule type="expression" dxfId="3525" priority="18894" stopIfTrue="1">
      <formula>$B12=""</formula>
    </cfRule>
  </conditionalFormatting>
  <conditionalFormatting sqref="B14:L14">
    <cfRule type="expression" dxfId="3524" priority="18893" stopIfTrue="1">
      <formula>$B12=""</formula>
    </cfRule>
  </conditionalFormatting>
  <conditionalFormatting sqref="B15:L15">
    <cfRule type="expression" dxfId="3523" priority="18892" stopIfTrue="1">
      <formula>$B12=""</formula>
    </cfRule>
  </conditionalFormatting>
  <conditionalFormatting sqref="B16:L16">
    <cfRule type="expression" dxfId="3522" priority="18891" stopIfTrue="1">
      <formula>$B12=""</formula>
    </cfRule>
  </conditionalFormatting>
  <conditionalFormatting sqref="B19:L19">
    <cfRule type="expression" dxfId="3521" priority="8169" stopIfTrue="1">
      <formula>$B19=""</formula>
    </cfRule>
  </conditionalFormatting>
  <conditionalFormatting sqref="B20:L20">
    <cfRule type="expression" dxfId="3520" priority="8168" stopIfTrue="1">
      <formula>$B19=""</formula>
    </cfRule>
  </conditionalFormatting>
  <conditionalFormatting sqref="B21:L21">
    <cfRule type="expression" dxfId="3519" priority="8167" stopIfTrue="1">
      <formula>$B19=""</formula>
    </cfRule>
  </conditionalFormatting>
  <conditionalFormatting sqref="B22:L22">
    <cfRule type="expression" dxfId="3518" priority="8166" stopIfTrue="1">
      <formula>$B19=""</formula>
    </cfRule>
  </conditionalFormatting>
  <conditionalFormatting sqref="B23:L23">
    <cfRule type="expression" dxfId="3517" priority="8165" stopIfTrue="1">
      <formula>$B19=""</formula>
    </cfRule>
  </conditionalFormatting>
  <conditionalFormatting sqref="B26:L26">
    <cfRule type="expression" dxfId="3516" priority="5122" stopIfTrue="1">
      <formula>$B26=""</formula>
    </cfRule>
  </conditionalFormatting>
  <conditionalFormatting sqref="B27:L27">
    <cfRule type="expression" dxfId="3515" priority="5121" stopIfTrue="1">
      <formula>$B26=""</formula>
    </cfRule>
  </conditionalFormatting>
  <conditionalFormatting sqref="B28:L28">
    <cfRule type="expression" dxfId="3514" priority="5120" stopIfTrue="1">
      <formula>$B26=""</formula>
    </cfRule>
  </conditionalFormatting>
  <conditionalFormatting sqref="B29:L29">
    <cfRule type="expression" dxfId="3513" priority="5119" stopIfTrue="1">
      <formula>$B26=""</formula>
    </cfRule>
  </conditionalFormatting>
  <conditionalFormatting sqref="B30:L30">
    <cfRule type="expression" dxfId="3512" priority="5118" stopIfTrue="1">
      <formula>$B26=""</formula>
    </cfRule>
  </conditionalFormatting>
  <conditionalFormatting sqref="B33:L33">
    <cfRule type="expression" dxfId="3511" priority="2420" stopIfTrue="1">
      <formula>$B33=""</formula>
    </cfRule>
  </conditionalFormatting>
  <conditionalFormatting sqref="B34:L34">
    <cfRule type="expression" dxfId="3510" priority="2419" stopIfTrue="1">
      <formula>$B33=""</formula>
    </cfRule>
  </conditionalFormatting>
  <conditionalFormatting sqref="B35:L35">
    <cfRule type="expression" dxfId="3509" priority="2418" stopIfTrue="1">
      <formula>$B33=""</formula>
    </cfRule>
  </conditionalFormatting>
  <conditionalFormatting sqref="B36:L36">
    <cfRule type="expression" dxfId="3508" priority="2417" stopIfTrue="1">
      <formula>$B33=""</formula>
    </cfRule>
  </conditionalFormatting>
  <conditionalFormatting sqref="B37:L37">
    <cfRule type="expression" dxfId="3507" priority="2416" stopIfTrue="1">
      <formula>$B33=""</formula>
    </cfRule>
  </conditionalFormatting>
  <conditionalFormatting sqref="B40:L40">
    <cfRule type="expression" dxfId="3506" priority="2384" stopIfTrue="1">
      <formula>$B40=""</formula>
    </cfRule>
  </conditionalFormatting>
  <conditionalFormatting sqref="B41:L41">
    <cfRule type="expression" dxfId="3505" priority="2383" stopIfTrue="1">
      <formula>$B40=""</formula>
    </cfRule>
  </conditionalFormatting>
  <conditionalFormatting sqref="B42:L42">
    <cfRule type="expression" dxfId="3504" priority="2382" stopIfTrue="1">
      <formula>$B40=""</formula>
    </cfRule>
  </conditionalFormatting>
  <conditionalFormatting sqref="B43:L43">
    <cfRule type="expression" dxfId="3503" priority="2381" stopIfTrue="1">
      <formula>$B40=""</formula>
    </cfRule>
  </conditionalFormatting>
  <conditionalFormatting sqref="B44:L44">
    <cfRule type="expression" dxfId="3502" priority="2380" stopIfTrue="1">
      <formula>$B40=""</formula>
    </cfRule>
  </conditionalFormatting>
  <conditionalFormatting sqref="B47:L47">
    <cfRule type="expression" dxfId="3501" priority="2348" stopIfTrue="1">
      <formula>$B47=""</formula>
    </cfRule>
  </conditionalFormatting>
  <conditionalFormatting sqref="B48:L48">
    <cfRule type="expression" dxfId="3500" priority="2347" stopIfTrue="1">
      <formula>$B47=""</formula>
    </cfRule>
  </conditionalFormatting>
  <conditionalFormatting sqref="B49:L49">
    <cfRule type="expression" dxfId="3499" priority="2346" stopIfTrue="1">
      <formula>$B47=""</formula>
    </cfRule>
  </conditionalFormatting>
  <conditionalFormatting sqref="B50:L50">
    <cfRule type="expression" dxfId="3498" priority="2345" stopIfTrue="1">
      <formula>$B47=""</formula>
    </cfRule>
  </conditionalFormatting>
  <conditionalFormatting sqref="B51:L51">
    <cfRule type="expression" dxfId="3497" priority="2344" stopIfTrue="1">
      <formula>$B47=""</formula>
    </cfRule>
  </conditionalFormatting>
  <conditionalFormatting sqref="B54:L54">
    <cfRule type="expression" dxfId="3496" priority="2312" stopIfTrue="1">
      <formula>$B54=""</formula>
    </cfRule>
  </conditionalFormatting>
  <conditionalFormatting sqref="B55:L55">
    <cfRule type="expression" dxfId="3495" priority="2311" stopIfTrue="1">
      <formula>$B54=""</formula>
    </cfRule>
  </conditionalFormatting>
  <conditionalFormatting sqref="B56:L56">
    <cfRule type="expression" dxfId="3494" priority="2310" stopIfTrue="1">
      <formula>$B54=""</formula>
    </cfRule>
  </conditionalFormatting>
  <conditionalFormatting sqref="B57:L57">
    <cfRule type="expression" dxfId="3493" priority="2309" stopIfTrue="1">
      <formula>$B54=""</formula>
    </cfRule>
  </conditionalFormatting>
  <conditionalFormatting sqref="B58:L58">
    <cfRule type="expression" dxfId="3492" priority="2308" stopIfTrue="1">
      <formula>$B54=""</formula>
    </cfRule>
  </conditionalFormatting>
  <conditionalFormatting sqref="B61:L61">
    <cfRule type="expression" dxfId="3491" priority="1124" stopIfTrue="1">
      <formula>$B61=""</formula>
    </cfRule>
  </conditionalFormatting>
  <conditionalFormatting sqref="B62:L62">
    <cfRule type="expression" dxfId="3490" priority="1123" stopIfTrue="1">
      <formula>$B61=""</formula>
    </cfRule>
  </conditionalFormatting>
  <conditionalFormatting sqref="B63:L63">
    <cfRule type="expression" dxfId="3489" priority="1122" stopIfTrue="1">
      <formula>$B61=""</formula>
    </cfRule>
  </conditionalFormatting>
  <conditionalFormatting sqref="B64:L64">
    <cfRule type="expression" dxfId="3488" priority="1121" stopIfTrue="1">
      <formula>$B61=""</formula>
    </cfRule>
  </conditionalFormatting>
  <conditionalFormatting sqref="B65:L65">
    <cfRule type="expression" dxfId="3487" priority="1120" stopIfTrue="1">
      <formula>$B61=""</formula>
    </cfRule>
  </conditionalFormatting>
  <conditionalFormatting sqref="B68:L68">
    <cfRule type="expression" dxfId="3486" priority="1088" stopIfTrue="1">
      <formula>$B68=""</formula>
    </cfRule>
  </conditionalFormatting>
  <conditionalFormatting sqref="B69:L69">
    <cfRule type="expression" dxfId="3485" priority="1087" stopIfTrue="1">
      <formula>$B68=""</formula>
    </cfRule>
  </conditionalFormatting>
  <conditionalFormatting sqref="B70:L70">
    <cfRule type="expression" dxfId="3484" priority="1086" stopIfTrue="1">
      <formula>$B68=""</formula>
    </cfRule>
  </conditionalFormatting>
  <conditionalFormatting sqref="B71:L71">
    <cfRule type="expression" dxfId="3483" priority="1085" stopIfTrue="1">
      <formula>$B68=""</formula>
    </cfRule>
  </conditionalFormatting>
  <conditionalFormatting sqref="B72:L72">
    <cfRule type="expression" dxfId="3482" priority="1084" stopIfTrue="1">
      <formula>$B68=""</formula>
    </cfRule>
  </conditionalFormatting>
  <conditionalFormatting sqref="B75:L75">
    <cfRule type="expression" dxfId="3481" priority="1052" stopIfTrue="1">
      <formula>$B75=""</formula>
    </cfRule>
  </conditionalFormatting>
  <conditionalFormatting sqref="B76:L76">
    <cfRule type="expression" dxfId="3480" priority="1051" stopIfTrue="1">
      <formula>$B75=""</formula>
    </cfRule>
  </conditionalFormatting>
  <conditionalFormatting sqref="B77:L77">
    <cfRule type="expression" dxfId="3479" priority="1050" stopIfTrue="1">
      <formula>$B75=""</formula>
    </cfRule>
  </conditionalFormatting>
  <conditionalFormatting sqref="B78:L78">
    <cfRule type="expression" dxfId="3478" priority="1049" stopIfTrue="1">
      <formula>$B75=""</formula>
    </cfRule>
  </conditionalFormatting>
  <conditionalFormatting sqref="B79:L79">
    <cfRule type="expression" dxfId="3477" priority="1048" stopIfTrue="1">
      <formula>$B75=""</formula>
    </cfRule>
  </conditionalFormatting>
  <conditionalFormatting sqref="B82:L82">
    <cfRule type="expression" dxfId="3476" priority="1016" stopIfTrue="1">
      <formula>$B82=""</formula>
    </cfRule>
  </conditionalFormatting>
  <conditionalFormatting sqref="B83:L83">
    <cfRule type="expression" dxfId="3475" priority="1015" stopIfTrue="1">
      <formula>$B82=""</formula>
    </cfRule>
  </conditionalFormatting>
  <conditionalFormatting sqref="B84:L84">
    <cfRule type="expression" dxfId="3474" priority="1014" stopIfTrue="1">
      <formula>$B82=""</formula>
    </cfRule>
  </conditionalFormatting>
  <conditionalFormatting sqref="B85:L85">
    <cfRule type="expression" dxfId="3473" priority="1013" stopIfTrue="1">
      <formula>$B82=""</formula>
    </cfRule>
  </conditionalFormatting>
  <conditionalFormatting sqref="B86:L86">
    <cfRule type="expression" dxfId="3472" priority="1012" stopIfTrue="1">
      <formula>$B82=""</formula>
    </cfRule>
  </conditionalFormatting>
  <conditionalFormatting sqref="B89:L89">
    <cfRule type="expression" dxfId="3471" priority="980" stopIfTrue="1">
      <formula>$B89=""</formula>
    </cfRule>
  </conditionalFormatting>
  <conditionalFormatting sqref="B90:L90">
    <cfRule type="expression" dxfId="3470" priority="979" stopIfTrue="1">
      <formula>$B89=""</formula>
    </cfRule>
  </conditionalFormatting>
  <conditionalFormatting sqref="B91:L91">
    <cfRule type="expression" dxfId="3469" priority="978" stopIfTrue="1">
      <formula>$B89=""</formula>
    </cfRule>
  </conditionalFormatting>
  <conditionalFormatting sqref="B92:L92">
    <cfRule type="expression" dxfId="3468" priority="977" stopIfTrue="1">
      <formula>$B89=""</formula>
    </cfRule>
  </conditionalFormatting>
  <conditionalFormatting sqref="B93:L93">
    <cfRule type="expression" dxfId="3467" priority="976" stopIfTrue="1">
      <formula>$B89=""</formula>
    </cfRule>
  </conditionalFormatting>
  <conditionalFormatting sqref="B96:L96">
    <cfRule type="expression" dxfId="3466" priority="944" stopIfTrue="1">
      <formula>$B96=""</formula>
    </cfRule>
  </conditionalFormatting>
  <conditionalFormatting sqref="B97:L97">
    <cfRule type="expression" dxfId="3465" priority="943" stopIfTrue="1">
      <formula>$B96=""</formula>
    </cfRule>
  </conditionalFormatting>
  <conditionalFormatting sqref="B98:L98">
    <cfRule type="expression" dxfId="3464" priority="942" stopIfTrue="1">
      <formula>$B96=""</formula>
    </cfRule>
  </conditionalFormatting>
  <conditionalFormatting sqref="B99:L99">
    <cfRule type="expression" dxfId="3463" priority="941" stopIfTrue="1">
      <formula>$B96=""</formula>
    </cfRule>
  </conditionalFormatting>
  <conditionalFormatting sqref="B100:L100">
    <cfRule type="expression" dxfId="3462" priority="940" stopIfTrue="1">
      <formula>$B96=""</formula>
    </cfRule>
  </conditionalFormatting>
  <conditionalFormatting sqref="B103:L103">
    <cfRule type="expression" dxfId="3461" priority="908" stopIfTrue="1">
      <formula>$B103=""</formula>
    </cfRule>
  </conditionalFormatting>
  <conditionalFormatting sqref="B104:L104">
    <cfRule type="expression" dxfId="3460" priority="907" stopIfTrue="1">
      <formula>$B103=""</formula>
    </cfRule>
  </conditionalFormatting>
  <conditionalFormatting sqref="B105:L105">
    <cfRule type="expression" dxfId="3459" priority="906" stopIfTrue="1">
      <formula>$B103=""</formula>
    </cfRule>
  </conditionalFormatting>
  <conditionalFormatting sqref="B106:L106">
    <cfRule type="expression" dxfId="3458" priority="905" stopIfTrue="1">
      <formula>$B103=""</formula>
    </cfRule>
  </conditionalFormatting>
  <conditionalFormatting sqref="B107:L107">
    <cfRule type="expression" dxfId="3457" priority="904" stopIfTrue="1">
      <formula>$B103=""</formula>
    </cfRule>
  </conditionalFormatting>
  <conditionalFormatting sqref="B110:L110">
    <cfRule type="expression" dxfId="3456" priority="872" stopIfTrue="1">
      <formula>$B110=""</formula>
    </cfRule>
  </conditionalFormatting>
  <conditionalFormatting sqref="B111:L111">
    <cfRule type="expression" dxfId="3455" priority="871" stopIfTrue="1">
      <formula>$B110=""</formula>
    </cfRule>
  </conditionalFormatting>
  <conditionalFormatting sqref="B112:L112">
    <cfRule type="expression" dxfId="3454" priority="870" stopIfTrue="1">
      <formula>$B110=""</formula>
    </cfRule>
  </conditionalFormatting>
  <conditionalFormatting sqref="B113:L113">
    <cfRule type="expression" dxfId="3453" priority="869" stopIfTrue="1">
      <formula>$B110=""</formula>
    </cfRule>
  </conditionalFormatting>
  <conditionalFormatting sqref="B114:L114">
    <cfRule type="expression" dxfId="3452" priority="868" stopIfTrue="1">
      <formula>$B110=""</formula>
    </cfRule>
  </conditionalFormatting>
  <conditionalFormatting sqref="B117:L117">
    <cfRule type="expression" dxfId="3451" priority="836" stopIfTrue="1">
      <formula>$B117=""</formula>
    </cfRule>
  </conditionalFormatting>
  <conditionalFormatting sqref="B118:L118">
    <cfRule type="expression" dxfId="3450" priority="835" stopIfTrue="1">
      <formula>$B117=""</formula>
    </cfRule>
  </conditionalFormatting>
  <conditionalFormatting sqref="B119:L119">
    <cfRule type="expression" dxfId="3449" priority="834" stopIfTrue="1">
      <formula>$B117=""</formula>
    </cfRule>
  </conditionalFormatting>
  <conditionalFormatting sqref="B120:L120">
    <cfRule type="expression" dxfId="3448" priority="833" stopIfTrue="1">
      <formula>$B117=""</formula>
    </cfRule>
  </conditionalFormatting>
  <conditionalFormatting sqref="B121:L121">
    <cfRule type="expression" dxfId="3447" priority="832" stopIfTrue="1">
      <formula>$B117=""</formula>
    </cfRule>
  </conditionalFormatting>
  <conditionalFormatting sqref="B124:L124">
    <cfRule type="expression" dxfId="3446" priority="800" stopIfTrue="1">
      <formula>$B124=""</formula>
    </cfRule>
  </conditionalFormatting>
  <conditionalFormatting sqref="B125:L125">
    <cfRule type="expression" dxfId="3445" priority="799" stopIfTrue="1">
      <formula>$B124=""</formula>
    </cfRule>
  </conditionalFormatting>
  <conditionalFormatting sqref="B126:L126">
    <cfRule type="expression" dxfId="3444" priority="798" stopIfTrue="1">
      <formula>$B124=""</formula>
    </cfRule>
  </conditionalFormatting>
  <conditionalFormatting sqref="B127:L127">
    <cfRule type="expression" dxfId="3443" priority="797" stopIfTrue="1">
      <formula>$B124=""</formula>
    </cfRule>
  </conditionalFormatting>
  <conditionalFormatting sqref="B128:L128">
    <cfRule type="expression" dxfId="3442" priority="796" stopIfTrue="1">
      <formula>$B124=""</formula>
    </cfRule>
  </conditionalFormatting>
  <conditionalFormatting sqref="B131:L131">
    <cfRule type="expression" dxfId="3441" priority="764" stopIfTrue="1">
      <formula>$B131=""</formula>
    </cfRule>
  </conditionalFormatting>
  <conditionalFormatting sqref="B132:L132">
    <cfRule type="expression" dxfId="3440" priority="763" stopIfTrue="1">
      <formula>$B131=""</formula>
    </cfRule>
  </conditionalFormatting>
  <conditionalFormatting sqref="B133:L133">
    <cfRule type="expression" dxfId="3439" priority="762" stopIfTrue="1">
      <formula>$B131=""</formula>
    </cfRule>
  </conditionalFormatting>
  <conditionalFormatting sqref="B134:L134">
    <cfRule type="expression" dxfId="3438" priority="761" stopIfTrue="1">
      <formula>$B131=""</formula>
    </cfRule>
  </conditionalFormatting>
  <conditionalFormatting sqref="B135:L135">
    <cfRule type="expression" dxfId="3437" priority="760" stopIfTrue="1">
      <formula>$B131=""</formula>
    </cfRule>
  </conditionalFormatting>
  <conditionalFormatting sqref="B138:L138">
    <cfRule type="expression" dxfId="3436" priority="728" stopIfTrue="1">
      <formula>$B138=""</formula>
    </cfRule>
  </conditionalFormatting>
  <conditionalFormatting sqref="B139:L139">
    <cfRule type="expression" dxfId="3435" priority="727" stopIfTrue="1">
      <formula>$B138=""</formula>
    </cfRule>
  </conditionalFormatting>
  <conditionalFormatting sqref="B140:L140">
    <cfRule type="expression" dxfId="3434" priority="726" stopIfTrue="1">
      <formula>$B138=""</formula>
    </cfRule>
  </conditionalFormatting>
  <conditionalFormatting sqref="B141:L141">
    <cfRule type="expression" dxfId="3433" priority="725" stopIfTrue="1">
      <formula>$B138=""</formula>
    </cfRule>
  </conditionalFormatting>
  <conditionalFormatting sqref="B142:L142">
    <cfRule type="expression" dxfId="3432" priority="724" stopIfTrue="1">
      <formula>$B138=""</formula>
    </cfRule>
  </conditionalFormatting>
  <conditionalFormatting sqref="B145:L145">
    <cfRule type="expression" dxfId="3431" priority="692" stopIfTrue="1">
      <formula>$B145=""</formula>
    </cfRule>
  </conditionalFormatting>
  <conditionalFormatting sqref="B146:L146">
    <cfRule type="expression" dxfId="3430" priority="691" stopIfTrue="1">
      <formula>$B145=""</formula>
    </cfRule>
  </conditionalFormatting>
  <conditionalFormatting sqref="B147:L147">
    <cfRule type="expression" dxfId="3429" priority="690" stopIfTrue="1">
      <formula>$B145=""</formula>
    </cfRule>
  </conditionalFormatting>
  <conditionalFormatting sqref="B148:L148">
    <cfRule type="expression" dxfId="3428" priority="689" stopIfTrue="1">
      <formula>$B145=""</formula>
    </cfRule>
  </conditionalFormatting>
  <conditionalFormatting sqref="B149:L149">
    <cfRule type="expression" dxfId="3427" priority="688" stopIfTrue="1">
      <formula>$B145=""</formula>
    </cfRule>
  </conditionalFormatting>
  <conditionalFormatting sqref="B152:L152">
    <cfRule type="expression" dxfId="3426" priority="656" stopIfTrue="1">
      <formula>$B152=""</formula>
    </cfRule>
  </conditionalFormatting>
  <conditionalFormatting sqref="B153:L153">
    <cfRule type="expression" dxfId="3425" priority="655" stopIfTrue="1">
      <formula>$B152=""</formula>
    </cfRule>
  </conditionalFormatting>
  <conditionalFormatting sqref="B154:L154">
    <cfRule type="expression" dxfId="3424" priority="654" stopIfTrue="1">
      <formula>$B152=""</formula>
    </cfRule>
  </conditionalFormatting>
  <conditionalFormatting sqref="B155:L155">
    <cfRule type="expression" dxfId="3423" priority="653" stopIfTrue="1">
      <formula>$B152=""</formula>
    </cfRule>
  </conditionalFormatting>
  <conditionalFormatting sqref="B156:L156">
    <cfRule type="expression" dxfId="3422" priority="652" stopIfTrue="1">
      <formula>$B152=""</formula>
    </cfRule>
  </conditionalFormatting>
  <conditionalFormatting sqref="B159:L159">
    <cfRule type="expression" dxfId="3421" priority="620" stopIfTrue="1">
      <formula>$B159=""</formula>
    </cfRule>
  </conditionalFormatting>
  <conditionalFormatting sqref="B160:L160">
    <cfRule type="expression" dxfId="3420" priority="619" stopIfTrue="1">
      <formula>$B159=""</formula>
    </cfRule>
  </conditionalFormatting>
  <conditionalFormatting sqref="B161:L161">
    <cfRule type="expression" dxfId="3419" priority="618" stopIfTrue="1">
      <formula>$B159=""</formula>
    </cfRule>
  </conditionalFormatting>
  <conditionalFormatting sqref="B162:L162">
    <cfRule type="expression" dxfId="3418" priority="617" stopIfTrue="1">
      <formula>$B159=""</formula>
    </cfRule>
  </conditionalFormatting>
  <conditionalFormatting sqref="B163:L163">
    <cfRule type="expression" dxfId="3417" priority="616" stopIfTrue="1">
      <formula>$B159=""</formula>
    </cfRule>
  </conditionalFormatting>
  <conditionalFormatting sqref="B166:L166">
    <cfRule type="expression" dxfId="3416" priority="584" stopIfTrue="1">
      <formula>$B166=""</formula>
    </cfRule>
  </conditionalFormatting>
  <conditionalFormatting sqref="B167:L167">
    <cfRule type="expression" dxfId="3415" priority="583" stopIfTrue="1">
      <formula>$B166=""</formula>
    </cfRule>
  </conditionalFormatting>
  <conditionalFormatting sqref="B168:L168">
    <cfRule type="expression" dxfId="3414" priority="582" stopIfTrue="1">
      <formula>$B166=""</formula>
    </cfRule>
  </conditionalFormatting>
  <conditionalFormatting sqref="B169:L169">
    <cfRule type="expression" dxfId="3413" priority="581" stopIfTrue="1">
      <formula>$B166=""</formula>
    </cfRule>
  </conditionalFormatting>
  <conditionalFormatting sqref="B170:L170">
    <cfRule type="expression" dxfId="3412" priority="580" stopIfTrue="1">
      <formula>$B166=""</formula>
    </cfRule>
  </conditionalFormatting>
  <conditionalFormatting sqref="B173:L173">
    <cfRule type="expression" dxfId="3411" priority="548" stopIfTrue="1">
      <formula>$B173=""</formula>
    </cfRule>
  </conditionalFormatting>
  <conditionalFormatting sqref="B174:L174">
    <cfRule type="expression" dxfId="3410" priority="547" stopIfTrue="1">
      <formula>$B173=""</formula>
    </cfRule>
  </conditionalFormatting>
  <conditionalFormatting sqref="B175:L175">
    <cfRule type="expression" dxfId="3409" priority="546" stopIfTrue="1">
      <formula>$B173=""</formula>
    </cfRule>
  </conditionalFormatting>
  <conditionalFormatting sqref="B176:L176">
    <cfRule type="expression" dxfId="3408" priority="545" stopIfTrue="1">
      <formula>$B173=""</formula>
    </cfRule>
  </conditionalFormatting>
  <conditionalFormatting sqref="B177:L177">
    <cfRule type="expression" dxfId="3407" priority="544" stopIfTrue="1">
      <formula>$B173=""</formula>
    </cfRule>
  </conditionalFormatting>
  <conditionalFormatting sqref="B180:L180">
    <cfRule type="expression" dxfId="3406" priority="512" stopIfTrue="1">
      <formula>$B180=""</formula>
    </cfRule>
  </conditionalFormatting>
  <conditionalFormatting sqref="B181:L181">
    <cfRule type="expression" dxfId="3405" priority="511" stopIfTrue="1">
      <formula>$B180=""</formula>
    </cfRule>
  </conditionalFormatting>
  <conditionalFormatting sqref="B182:L182">
    <cfRule type="expression" dxfId="3404" priority="510" stopIfTrue="1">
      <formula>$B180=""</formula>
    </cfRule>
  </conditionalFormatting>
  <conditionalFormatting sqref="B183:L183">
    <cfRule type="expression" dxfId="3403" priority="509" stopIfTrue="1">
      <formula>$B180=""</formula>
    </cfRule>
  </conditionalFormatting>
  <conditionalFormatting sqref="B184:L184">
    <cfRule type="expression" dxfId="3402" priority="508" stopIfTrue="1">
      <formula>$B180=""</formula>
    </cfRule>
  </conditionalFormatting>
  <conditionalFormatting sqref="B187:L187">
    <cfRule type="expression" dxfId="3401" priority="476" stopIfTrue="1">
      <formula>$B187=""</formula>
    </cfRule>
  </conditionalFormatting>
  <conditionalFormatting sqref="B188:L188">
    <cfRule type="expression" dxfId="3400" priority="475" stopIfTrue="1">
      <formula>$B187=""</formula>
    </cfRule>
  </conditionalFormatting>
  <conditionalFormatting sqref="B189:L189">
    <cfRule type="expression" dxfId="3399" priority="474" stopIfTrue="1">
      <formula>$B187=""</formula>
    </cfRule>
  </conditionalFormatting>
  <conditionalFormatting sqref="B190:L190">
    <cfRule type="expression" dxfId="3398" priority="473" stopIfTrue="1">
      <formula>$B187=""</formula>
    </cfRule>
  </conditionalFormatting>
  <conditionalFormatting sqref="B191:L191">
    <cfRule type="expression" dxfId="3397" priority="472" stopIfTrue="1">
      <formula>$B187=""</formula>
    </cfRule>
  </conditionalFormatting>
  <conditionalFormatting sqref="B194:L194">
    <cfRule type="expression" dxfId="3396" priority="440" stopIfTrue="1">
      <formula>$B194=""</formula>
    </cfRule>
  </conditionalFormatting>
  <conditionalFormatting sqref="B195:L195">
    <cfRule type="expression" dxfId="3395" priority="439" stopIfTrue="1">
      <formula>$B194=""</formula>
    </cfRule>
  </conditionalFormatting>
  <conditionalFormatting sqref="B196:L196">
    <cfRule type="expression" dxfId="3394" priority="438" stopIfTrue="1">
      <formula>$B194=""</formula>
    </cfRule>
  </conditionalFormatting>
  <conditionalFormatting sqref="B197:L197">
    <cfRule type="expression" dxfId="3393" priority="437" stopIfTrue="1">
      <formula>$B194=""</formula>
    </cfRule>
  </conditionalFormatting>
  <conditionalFormatting sqref="B198:L198">
    <cfRule type="expression" dxfId="3392" priority="436" stopIfTrue="1">
      <formula>$B194=""</formula>
    </cfRule>
  </conditionalFormatting>
  <conditionalFormatting sqref="B201:L201">
    <cfRule type="expression" dxfId="3391" priority="404" stopIfTrue="1">
      <formula>$B201=""</formula>
    </cfRule>
  </conditionalFormatting>
  <conditionalFormatting sqref="B202:L202">
    <cfRule type="expression" dxfId="3390" priority="403" stopIfTrue="1">
      <formula>$B201=""</formula>
    </cfRule>
  </conditionalFormatting>
  <conditionalFormatting sqref="B203:L203">
    <cfRule type="expression" dxfId="3389" priority="402" stopIfTrue="1">
      <formula>$B201=""</formula>
    </cfRule>
  </conditionalFormatting>
  <conditionalFormatting sqref="B204:L204">
    <cfRule type="expression" dxfId="3388" priority="401" stopIfTrue="1">
      <formula>$B201=""</formula>
    </cfRule>
  </conditionalFormatting>
  <conditionalFormatting sqref="B205:L205">
    <cfRule type="expression" dxfId="3387" priority="400" stopIfTrue="1">
      <formula>$B201=""</formula>
    </cfRule>
  </conditionalFormatting>
  <conditionalFormatting sqref="B208:L208">
    <cfRule type="expression" dxfId="3386" priority="368" stopIfTrue="1">
      <formula>$B208=""</formula>
    </cfRule>
  </conditionalFormatting>
  <conditionalFormatting sqref="B209:L209">
    <cfRule type="expression" dxfId="3385" priority="367" stopIfTrue="1">
      <formula>$B208=""</formula>
    </cfRule>
  </conditionalFormatting>
  <conditionalFormatting sqref="B210:L210">
    <cfRule type="expression" dxfId="3384" priority="366" stopIfTrue="1">
      <formula>$B208=""</formula>
    </cfRule>
  </conditionalFormatting>
  <conditionalFormatting sqref="B211:L211">
    <cfRule type="expression" dxfId="3383" priority="365" stopIfTrue="1">
      <formula>$B208=""</formula>
    </cfRule>
  </conditionalFormatting>
  <conditionalFormatting sqref="B212:L212">
    <cfRule type="expression" dxfId="3382" priority="364" stopIfTrue="1">
      <formula>$B208=""</formula>
    </cfRule>
  </conditionalFormatting>
  <conditionalFormatting sqref="B215:L215">
    <cfRule type="expression" dxfId="3381" priority="332" stopIfTrue="1">
      <formula>$B215=""</formula>
    </cfRule>
  </conditionalFormatting>
  <conditionalFormatting sqref="B216:L216">
    <cfRule type="expression" dxfId="3380" priority="331" stopIfTrue="1">
      <formula>$B215=""</formula>
    </cfRule>
  </conditionalFormatting>
  <conditionalFormatting sqref="B217:L217">
    <cfRule type="expression" dxfId="3379" priority="330" stopIfTrue="1">
      <formula>$B215=""</formula>
    </cfRule>
  </conditionalFormatting>
  <conditionalFormatting sqref="B218:L218">
    <cfRule type="expression" dxfId="3378" priority="329" stopIfTrue="1">
      <formula>$B215=""</formula>
    </cfRule>
  </conditionalFormatting>
  <conditionalFormatting sqref="B219:L219">
    <cfRule type="expression" dxfId="3377" priority="328" stopIfTrue="1">
      <formula>$B215=""</formula>
    </cfRule>
  </conditionalFormatting>
  <conditionalFormatting sqref="B222:L222">
    <cfRule type="expression" dxfId="3376" priority="296" stopIfTrue="1">
      <formula>$B222=""</formula>
    </cfRule>
  </conditionalFormatting>
  <conditionalFormatting sqref="B223:L223">
    <cfRule type="expression" dxfId="3375" priority="295" stopIfTrue="1">
      <formula>$B222=""</formula>
    </cfRule>
  </conditionalFormatting>
  <conditionalFormatting sqref="B224:L224">
    <cfRule type="expression" dxfId="3374" priority="294" stopIfTrue="1">
      <formula>$B222=""</formula>
    </cfRule>
  </conditionalFormatting>
  <conditionalFormatting sqref="B225:L225">
    <cfRule type="expression" dxfId="3373" priority="293" stopIfTrue="1">
      <formula>$B222=""</formula>
    </cfRule>
  </conditionalFormatting>
  <conditionalFormatting sqref="B226:L226">
    <cfRule type="expression" dxfId="3372" priority="292" stopIfTrue="1">
      <formula>$B222=""</formula>
    </cfRule>
  </conditionalFormatting>
  <conditionalFormatting sqref="B229:L229">
    <cfRule type="expression" dxfId="3371" priority="260" stopIfTrue="1">
      <formula>$B229=""</formula>
    </cfRule>
  </conditionalFormatting>
  <conditionalFormatting sqref="B230:L230">
    <cfRule type="expression" dxfId="3370" priority="259" stopIfTrue="1">
      <formula>$B229=""</formula>
    </cfRule>
  </conditionalFormatting>
  <conditionalFormatting sqref="B231:L231">
    <cfRule type="expression" dxfId="3369" priority="258" stopIfTrue="1">
      <formula>$B229=""</formula>
    </cfRule>
  </conditionalFormatting>
  <conditionalFormatting sqref="B232:L232">
    <cfRule type="expression" dxfId="3368" priority="257" stopIfTrue="1">
      <formula>$B229=""</formula>
    </cfRule>
  </conditionalFormatting>
  <conditionalFormatting sqref="B233:L233">
    <cfRule type="expression" dxfId="3367" priority="256" stopIfTrue="1">
      <formula>$B229=""</formula>
    </cfRule>
  </conditionalFormatting>
  <conditionalFormatting sqref="B236:L236">
    <cfRule type="expression" dxfId="3366" priority="224" stopIfTrue="1">
      <formula>$B236=""</formula>
    </cfRule>
  </conditionalFormatting>
  <conditionalFormatting sqref="B237:L237">
    <cfRule type="expression" dxfId="3365" priority="223" stopIfTrue="1">
      <formula>$B236=""</formula>
    </cfRule>
  </conditionalFormatting>
  <conditionalFormatting sqref="B238:L238">
    <cfRule type="expression" dxfId="3364" priority="222" stopIfTrue="1">
      <formula>$B236=""</formula>
    </cfRule>
  </conditionalFormatting>
  <conditionalFormatting sqref="B239:L239">
    <cfRule type="expression" dxfId="3363" priority="221" stopIfTrue="1">
      <formula>$B236=""</formula>
    </cfRule>
  </conditionalFormatting>
  <conditionalFormatting sqref="B240:L240">
    <cfRule type="expression" dxfId="3362" priority="220" stopIfTrue="1">
      <formula>$B236=""</formula>
    </cfRule>
  </conditionalFormatting>
  <conditionalFormatting sqref="B243:L243">
    <cfRule type="expression" dxfId="3361" priority="188" stopIfTrue="1">
      <formula>$B243=""</formula>
    </cfRule>
  </conditionalFormatting>
  <conditionalFormatting sqref="B244:L244">
    <cfRule type="expression" dxfId="3360" priority="187" stopIfTrue="1">
      <formula>$B243=""</formula>
    </cfRule>
  </conditionalFormatting>
  <conditionalFormatting sqref="B245:L245">
    <cfRule type="expression" dxfId="3359" priority="186" stopIfTrue="1">
      <formula>$B243=""</formula>
    </cfRule>
  </conditionalFormatting>
  <conditionalFormatting sqref="B246:L246">
    <cfRule type="expression" dxfId="3358" priority="185" stopIfTrue="1">
      <formula>$B243=""</formula>
    </cfRule>
  </conditionalFormatting>
  <conditionalFormatting sqref="B247:L247">
    <cfRule type="expression" dxfId="3357" priority="184" stopIfTrue="1">
      <formula>$B243=""</formula>
    </cfRule>
  </conditionalFormatting>
  <conditionalFormatting sqref="B250:L250">
    <cfRule type="expression" dxfId="3356" priority="152" stopIfTrue="1">
      <formula>$B250=""</formula>
    </cfRule>
  </conditionalFormatting>
  <conditionalFormatting sqref="B251:L251">
    <cfRule type="expression" dxfId="3355" priority="151" stopIfTrue="1">
      <formula>$B250=""</formula>
    </cfRule>
  </conditionalFormatting>
  <conditionalFormatting sqref="B252:L252">
    <cfRule type="expression" dxfId="3354" priority="150" stopIfTrue="1">
      <formula>$B250=""</formula>
    </cfRule>
  </conditionalFormatting>
  <conditionalFormatting sqref="B253:L253">
    <cfRule type="expression" dxfId="3353" priority="149" stopIfTrue="1">
      <formula>$B250=""</formula>
    </cfRule>
  </conditionalFormatting>
  <conditionalFormatting sqref="B254:L254">
    <cfRule type="expression" dxfId="3352" priority="148" stopIfTrue="1">
      <formula>$B250=""</formula>
    </cfRule>
  </conditionalFormatting>
  <conditionalFormatting sqref="B257:L257">
    <cfRule type="expression" dxfId="3351" priority="116" stopIfTrue="1">
      <formula>$B257=""</formula>
    </cfRule>
  </conditionalFormatting>
  <conditionalFormatting sqref="B258:L258">
    <cfRule type="expression" dxfId="3350" priority="115" stopIfTrue="1">
      <formula>$B257=""</formula>
    </cfRule>
  </conditionalFormatting>
  <conditionalFormatting sqref="B259:L259">
    <cfRule type="expression" dxfId="3349" priority="114" stopIfTrue="1">
      <formula>$B257=""</formula>
    </cfRule>
  </conditionalFormatting>
  <conditionalFormatting sqref="B260:L260">
    <cfRule type="expression" dxfId="3348" priority="113" stopIfTrue="1">
      <formula>$B257=""</formula>
    </cfRule>
  </conditionalFormatting>
  <conditionalFormatting sqref="B261:L261">
    <cfRule type="expression" dxfId="3347" priority="112" stopIfTrue="1">
      <formula>$B257=""</formula>
    </cfRule>
  </conditionalFormatting>
  <conditionalFormatting sqref="B264:L264">
    <cfRule type="expression" dxfId="3346" priority="80" stopIfTrue="1">
      <formula>$B264=""</formula>
    </cfRule>
  </conditionalFormatting>
  <conditionalFormatting sqref="B265:L265">
    <cfRule type="expression" dxfId="3345" priority="79" stopIfTrue="1">
      <formula>$B264=""</formula>
    </cfRule>
  </conditionalFormatting>
  <conditionalFormatting sqref="B266:L266">
    <cfRule type="expression" dxfId="3344" priority="78" stopIfTrue="1">
      <formula>$B264=""</formula>
    </cfRule>
  </conditionalFormatting>
  <conditionalFormatting sqref="B267:L267">
    <cfRule type="expression" dxfId="3343" priority="77" stopIfTrue="1">
      <formula>$B264=""</formula>
    </cfRule>
  </conditionalFormatting>
  <conditionalFormatting sqref="B268:L268">
    <cfRule type="expression" dxfId="3342" priority="76" stopIfTrue="1">
      <formula>$B264=""</formula>
    </cfRule>
  </conditionalFormatting>
  <conditionalFormatting sqref="B271:L271">
    <cfRule type="expression" dxfId="3341" priority="44" stopIfTrue="1">
      <formula>$B271=""</formula>
    </cfRule>
  </conditionalFormatting>
  <conditionalFormatting sqref="B272:L272">
    <cfRule type="expression" dxfId="3340" priority="43" stopIfTrue="1">
      <formula>$B271=""</formula>
    </cfRule>
  </conditionalFormatting>
  <conditionalFormatting sqref="B273:L273">
    <cfRule type="expression" dxfId="3339" priority="42" stopIfTrue="1">
      <formula>$B271=""</formula>
    </cfRule>
  </conditionalFormatting>
  <conditionalFormatting sqref="B274:L274">
    <cfRule type="expression" dxfId="3338" priority="41" stopIfTrue="1">
      <formula>$B271=""</formula>
    </cfRule>
  </conditionalFormatting>
  <conditionalFormatting sqref="B275:L275">
    <cfRule type="expression" dxfId="3337" priority="40" stopIfTrue="1">
      <formula>$B271=""</formula>
    </cfRule>
  </conditionalFormatting>
  <conditionalFormatting sqref="B278:L278">
    <cfRule type="expression" dxfId="3336" priority="8" stopIfTrue="1">
      <formula>$B278=""</formula>
    </cfRule>
  </conditionalFormatting>
  <conditionalFormatting sqref="B279:L279">
    <cfRule type="expression" dxfId="3335" priority="7" stopIfTrue="1">
      <formula>$B278=""</formula>
    </cfRule>
  </conditionalFormatting>
  <conditionalFormatting sqref="B280:L280">
    <cfRule type="expression" dxfId="3334" priority="6" stopIfTrue="1">
      <formula>$B278=""</formula>
    </cfRule>
  </conditionalFormatting>
  <conditionalFormatting sqref="B281:L281">
    <cfRule type="expression" dxfId="3333" priority="5" stopIfTrue="1">
      <formula>$B278=""</formula>
    </cfRule>
  </conditionalFormatting>
  <conditionalFormatting sqref="B282:L282">
    <cfRule type="expression" dxfId="3332" priority="4" stopIfTrue="1">
      <formula>$B278=""</formula>
    </cfRule>
  </conditionalFormatting>
  <conditionalFormatting sqref="B17:M17">
    <cfRule type="expression" dxfId="3331" priority="18890" stopIfTrue="1">
      <formula>$B12=""</formula>
    </cfRule>
  </conditionalFormatting>
  <conditionalFormatting sqref="B24:M24">
    <cfRule type="expression" dxfId="3330" priority="8164" stopIfTrue="1">
      <formula>$B19=""</formula>
    </cfRule>
  </conditionalFormatting>
  <conditionalFormatting sqref="B31:M31">
    <cfRule type="expression" dxfId="3329" priority="5117" stopIfTrue="1">
      <formula>$B26=""</formula>
    </cfRule>
  </conditionalFormatting>
  <conditionalFormatting sqref="B38:M38">
    <cfRule type="expression" dxfId="3328" priority="2415" stopIfTrue="1">
      <formula>$B33=""</formula>
    </cfRule>
  </conditionalFormatting>
  <conditionalFormatting sqref="B45:M45">
    <cfRule type="expression" dxfId="3327" priority="2379" stopIfTrue="1">
      <formula>$B40=""</formula>
    </cfRule>
  </conditionalFormatting>
  <conditionalFormatting sqref="B52:M52">
    <cfRule type="expression" dxfId="3326" priority="2343" stopIfTrue="1">
      <formula>$B47=""</formula>
    </cfRule>
  </conditionalFormatting>
  <conditionalFormatting sqref="B59:M59">
    <cfRule type="expression" dxfId="3325" priority="2307" stopIfTrue="1">
      <formula>$B54=""</formula>
    </cfRule>
  </conditionalFormatting>
  <conditionalFormatting sqref="B66:M66">
    <cfRule type="expression" dxfId="3324" priority="1119" stopIfTrue="1">
      <formula>$B61=""</formula>
    </cfRule>
  </conditionalFormatting>
  <conditionalFormatting sqref="B73:M73">
    <cfRule type="expression" dxfId="3323" priority="1083" stopIfTrue="1">
      <formula>$B68=""</formula>
    </cfRule>
  </conditionalFormatting>
  <conditionalFormatting sqref="B80:M80">
    <cfRule type="expression" dxfId="3322" priority="1047" stopIfTrue="1">
      <formula>$B75=""</formula>
    </cfRule>
  </conditionalFormatting>
  <conditionalFormatting sqref="B87:M87">
    <cfRule type="expression" dxfId="3321" priority="1011" stopIfTrue="1">
      <formula>$B82=""</formula>
    </cfRule>
  </conditionalFormatting>
  <conditionalFormatting sqref="B94:M94">
    <cfRule type="expression" dxfId="3320" priority="975" stopIfTrue="1">
      <formula>$B89=""</formula>
    </cfRule>
  </conditionalFormatting>
  <conditionalFormatting sqref="B101:M101">
    <cfRule type="expression" dxfId="3319" priority="939" stopIfTrue="1">
      <formula>$B96=""</formula>
    </cfRule>
  </conditionalFormatting>
  <conditionalFormatting sqref="B108:M108">
    <cfRule type="expression" dxfId="3318" priority="903" stopIfTrue="1">
      <formula>$B103=""</formula>
    </cfRule>
  </conditionalFormatting>
  <conditionalFormatting sqref="B115:M115">
    <cfRule type="expression" dxfId="3317" priority="867" stopIfTrue="1">
      <formula>$B110=""</formula>
    </cfRule>
  </conditionalFormatting>
  <conditionalFormatting sqref="B122:M122">
    <cfRule type="expression" dxfId="3316" priority="831" stopIfTrue="1">
      <formula>$B117=""</formula>
    </cfRule>
  </conditionalFormatting>
  <conditionalFormatting sqref="B129:M129">
    <cfRule type="expression" dxfId="3315" priority="795" stopIfTrue="1">
      <formula>$B124=""</formula>
    </cfRule>
  </conditionalFormatting>
  <conditionalFormatting sqref="B136:M136">
    <cfRule type="expression" dxfId="3314" priority="759" stopIfTrue="1">
      <formula>$B131=""</formula>
    </cfRule>
  </conditionalFormatting>
  <conditionalFormatting sqref="B143:M143">
    <cfRule type="expression" dxfId="3313" priority="723" stopIfTrue="1">
      <formula>$B138=""</formula>
    </cfRule>
  </conditionalFormatting>
  <conditionalFormatting sqref="B150:M150">
    <cfRule type="expression" dxfId="3312" priority="687" stopIfTrue="1">
      <formula>$B145=""</formula>
    </cfRule>
  </conditionalFormatting>
  <conditionalFormatting sqref="B157:M157">
    <cfRule type="expression" dxfId="3311" priority="651" stopIfTrue="1">
      <formula>$B152=""</formula>
    </cfRule>
  </conditionalFormatting>
  <conditionalFormatting sqref="B164:M164">
    <cfRule type="expression" dxfId="3310" priority="615" stopIfTrue="1">
      <formula>$B159=""</formula>
    </cfRule>
  </conditionalFormatting>
  <conditionalFormatting sqref="B171:M171">
    <cfRule type="expression" dxfId="3309" priority="579" stopIfTrue="1">
      <formula>$B166=""</formula>
    </cfRule>
  </conditionalFormatting>
  <conditionalFormatting sqref="B178:M178">
    <cfRule type="expression" dxfId="3308" priority="543" stopIfTrue="1">
      <formula>$B173=""</formula>
    </cfRule>
  </conditionalFormatting>
  <conditionalFormatting sqref="B185:M185">
    <cfRule type="expression" dxfId="3307" priority="507" stopIfTrue="1">
      <formula>$B180=""</formula>
    </cfRule>
  </conditionalFormatting>
  <conditionalFormatting sqref="B192:M192">
    <cfRule type="expression" dxfId="3306" priority="471" stopIfTrue="1">
      <formula>$B187=""</formula>
    </cfRule>
  </conditionalFormatting>
  <conditionalFormatting sqref="B199:M199">
    <cfRule type="expression" dxfId="3305" priority="435" stopIfTrue="1">
      <formula>$B194=""</formula>
    </cfRule>
  </conditionalFormatting>
  <conditionalFormatting sqref="B206:M206">
    <cfRule type="expression" dxfId="3304" priority="399" stopIfTrue="1">
      <formula>$B201=""</formula>
    </cfRule>
  </conditionalFormatting>
  <conditionalFormatting sqref="B213:M213">
    <cfRule type="expression" dxfId="3303" priority="363" stopIfTrue="1">
      <formula>$B208=""</formula>
    </cfRule>
  </conditionalFormatting>
  <conditionalFormatting sqref="B220:M220">
    <cfRule type="expression" dxfId="3302" priority="327" stopIfTrue="1">
      <formula>$B215=""</formula>
    </cfRule>
  </conditionalFormatting>
  <conditionalFormatting sqref="B227:M227">
    <cfRule type="expression" dxfId="3301" priority="291" stopIfTrue="1">
      <formula>$B222=""</formula>
    </cfRule>
  </conditionalFormatting>
  <conditionalFormatting sqref="B234:M234">
    <cfRule type="expression" dxfId="3300" priority="255" stopIfTrue="1">
      <formula>$B229=""</formula>
    </cfRule>
  </conditionalFormatting>
  <conditionalFormatting sqref="B241:M241">
    <cfRule type="expression" dxfId="3299" priority="219" stopIfTrue="1">
      <formula>$B236=""</formula>
    </cfRule>
  </conditionalFormatting>
  <conditionalFormatting sqref="B248:M248">
    <cfRule type="expression" dxfId="3298" priority="183" stopIfTrue="1">
      <formula>$B243=""</formula>
    </cfRule>
  </conditionalFormatting>
  <conditionalFormatting sqref="B255:M255">
    <cfRule type="expression" dxfId="3297" priority="147" stopIfTrue="1">
      <formula>$B250=""</formula>
    </cfRule>
  </conditionalFormatting>
  <conditionalFormatting sqref="B262:M262">
    <cfRule type="expression" dxfId="3296" priority="111" stopIfTrue="1">
      <formula>$B257=""</formula>
    </cfRule>
  </conditionalFormatting>
  <conditionalFormatting sqref="B269:M269">
    <cfRule type="expression" dxfId="3295" priority="75" stopIfTrue="1">
      <formula>$B264=""</formula>
    </cfRule>
  </conditionalFormatting>
  <conditionalFormatting sqref="B276:M276">
    <cfRule type="expression" dxfId="3294" priority="39" stopIfTrue="1">
      <formula>$B271=""</formula>
    </cfRule>
  </conditionalFormatting>
  <conditionalFormatting sqref="B283:M283">
    <cfRule type="expression" dxfId="3293" priority="3" stopIfTrue="1">
      <formula>$B278=""</formula>
    </cfRule>
  </conditionalFormatting>
  <conditionalFormatting sqref="D5">
    <cfRule type="expression" dxfId="3292" priority="18942">
      <formula>B5=""</formula>
    </cfRule>
  </conditionalFormatting>
  <conditionalFormatting sqref="D6">
    <cfRule type="expression" dxfId="3291" priority="18941">
      <formula>B5=""</formula>
    </cfRule>
  </conditionalFormatting>
  <conditionalFormatting sqref="D7">
    <cfRule type="expression" dxfId="3290" priority="18940">
      <formula>B5=""</formula>
    </cfRule>
  </conditionalFormatting>
  <conditionalFormatting sqref="D8">
    <cfRule type="expression" dxfId="3289" priority="18938">
      <formula>B5=""</formula>
    </cfRule>
  </conditionalFormatting>
  <conditionalFormatting sqref="D9">
    <cfRule type="expression" dxfId="3288" priority="18939">
      <formula>B5=""</formula>
    </cfRule>
  </conditionalFormatting>
  <conditionalFormatting sqref="D12">
    <cfRule type="expression" dxfId="3287" priority="18906">
      <formula>B12=""</formula>
    </cfRule>
  </conditionalFormatting>
  <conditionalFormatting sqref="D13">
    <cfRule type="expression" dxfId="3286" priority="18905">
      <formula>B12=""</formula>
    </cfRule>
  </conditionalFormatting>
  <conditionalFormatting sqref="D16">
    <cfRule type="expression" dxfId="3285" priority="18903">
      <formula>B12=""</formula>
    </cfRule>
  </conditionalFormatting>
  <conditionalFormatting sqref="D19">
    <cfRule type="expression" dxfId="3284" priority="8178">
      <formula>B19=""</formula>
    </cfRule>
  </conditionalFormatting>
  <conditionalFormatting sqref="D20">
    <cfRule type="expression" dxfId="3283" priority="8177">
      <formula>B19=""</formula>
    </cfRule>
  </conditionalFormatting>
  <conditionalFormatting sqref="D23">
    <cfRule type="expression" dxfId="3282" priority="8176">
      <formula>B19=""</formula>
    </cfRule>
  </conditionalFormatting>
  <conditionalFormatting sqref="D26">
    <cfRule type="expression" dxfId="3281" priority="5131">
      <formula>B26=""</formula>
    </cfRule>
  </conditionalFormatting>
  <conditionalFormatting sqref="D27">
    <cfRule type="expression" dxfId="3280" priority="5130">
      <formula>B26=""</formula>
    </cfRule>
  </conditionalFormatting>
  <conditionalFormatting sqref="D30">
    <cfRule type="expression" dxfId="3279" priority="5129">
      <formula>B26=""</formula>
    </cfRule>
  </conditionalFormatting>
  <conditionalFormatting sqref="D33">
    <cfRule type="expression" dxfId="3278" priority="2429">
      <formula>B33=""</formula>
    </cfRule>
  </conditionalFormatting>
  <conditionalFormatting sqref="D34">
    <cfRule type="expression" dxfId="3277" priority="2428">
      <formula>B33=""</formula>
    </cfRule>
  </conditionalFormatting>
  <conditionalFormatting sqref="D37">
    <cfRule type="expression" dxfId="3276" priority="2427">
      <formula>B33=""</formula>
    </cfRule>
  </conditionalFormatting>
  <conditionalFormatting sqref="D40">
    <cfRule type="expression" dxfId="3275" priority="2393">
      <formula>B40=""</formula>
    </cfRule>
  </conditionalFormatting>
  <conditionalFormatting sqref="D41">
    <cfRule type="expression" dxfId="3274" priority="2392">
      <formula>B40=""</formula>
    </cfRule>
  </conditionalFormatting>
  <conditionalFormatting sqref="D44">
    <cfRule type="expression" dxfId="3273" priority="2391">
      <formula>B40=""</formula>
    </cfRule>
  </conditionalFormatting>
  <conditionalFormatting sqref="D47">
    <cfRule type="expression" dxfId="3272" priority="2357">
      <formula>B47=""</formula>
    </cfRule>
  </conditionalFormatting>
  <conditionalFormatting sqref="D48">
    <cfRule type="expression" dxfId="3271" priority="2356">
      <formula>B47=""</formula>
    </cfRule>
  </conditionalFormatting>
  <conditionalFormatting sqref="D51">
    <cfRule type="expression" dxfId="3270" priority="2355">
      <formula>B47=""</formula>
    </cfRule>
  </conditionalFormatting>
  <conditionalFormatting sqref="D54">
    <cfRule type="expression" dxfId="3269" priority="2321">
      <formula>B54=""</formula>
    </cfRule>
  </conditionalFormatting>
  <conditionalFormatting sqref="D55">
    <cfRule type="expression" dxfId="3268" priority="2320">
      <formula>B54=""</formula>
    </cfRule>
  </conditionalFormatting>
  <conditionalFormatting sqref="D58">
    <cfRule type="expression" dxfId="3267" priority="2319">
      <formula>B54=""</formula>
    </cfRule>
  </conditionalFormatting>
  <conditionalFormatting sqref="D61">
    <cfRule type="expression" dxfId="3266" priority="1133">
      <formula>B61=""</formula>
    </cfRule>
  </conditionalFormatting>
  <conditionalFormatting sqref="D62">
    <cfRule type="expression" dxfId="3265" priority="1132">
      <formula>B61=""</formula>
    </cfRule>
  </conditionalFormatting>
  <conditionalFormatting sqref="D65">
    <cfRule type="expression" dxfId="3264" priority="1131">
      <formula>B61=""</formula>
    </cfRule>
  </conditionalFormatting>
  <conditionalFormatting sqref="D68">
    <cfRule type="expression" dxfId="3263" priority="1097">
      <formula>B68=""</formula>
    </cfRule>
  </conditionalFormatting>
  <conditionalFormatting sqref="D69">
    <cfRule type="expression" dxfId="3262" priority="1096">
      <formula>B68=""</formula>
    </cfRule>
  </conditionalFormatting>
  <conditionalFormatting sqref="D72">
    <cfRule type="expression" dxfId="3261" priority="1095">
      <formula>B68=""</formula>
    </cfRule>
  </conditionalFormatting>
  <conditionalFormatting sqref="D75">
    <cfRule type="expression" dxfId="3260" priority="1061">
      <formula>B75=""</formula>
    </cfRule>
  </conditionalFormatting>
  <conditionalFormatting sqref="D76">
    <cfRule type="expression" dxfId="3259" priority="1060">
      <formula>B75=""</formula>
    </cfRule>
  </conditionalFormatting>
  <conditionalFormatting sqref="D79">
    <cfRule type="expression" dxfId="3258" priority="1059">
      <formula>B75=""</formula>
    </cfRule>
  </conditionalFormatting>
  <conditionalFormatting sqref="D82">
    <cfRule type="expression" dxfId="3257" priority="1025">
      <formula>B82=""</formula>
    </cfRule>
  </conditionalFormatting>
  <conditionalFormatting sqref="D83">
    <cfRule type="expression" dxfId="3256" priority="1024">
      <formula>B82=""</formula>
    </cfRule>
  </conditionalFormatting>
  <conditionalFormatting sqref="D86">
    <cfRule type="expression" dxfId="3255" priority="1023">
      <formula>B82=""</formula>
    </cfRule>
  </conditionalFormatting>
  <conditionalFormatting sqref="D89">
    <cfRule type="expression" dxfId="3254" priority="989">
      <formula>B89=""</formula>
    </cfRule>
  </conditionalFormatting>
  <conditionalFormatting sqref="D90">
    <cfRule type="expression" dxfId="3253" priority="988">
      <formula>B89=""</formula>
    </cfRule>
  </conditionalFormatting>
  <conditionalFormatting sqref="D93">
    <cfRule type="expression" dxfId="3252" priority="987">
      <formula>B89=""</formula>
    </cfRule>
  </conditionalFormatting>
  <conditionalFormatting sqref="D96">
    <cfRule type="expression" dxfId="3251" priority="953">
      <formula>B96=""</formula>
    </cfRule>
  </conditionalFormatting>
  <conditionalFormatting sqref="D97">
    <cfRule type="expression" dxfId="3250" priority="952">
      <formula>B96=""</formula>
    </cfRule>
  </conditionalFormatting>
  <conditionalFormatting sqref="D100">
    <cfRule type="expression" dxfId="3249" priority="951">
      <formula>B96=""</formula>
    </cfRule>
  </conditionalFormatting>
  <conditionalFormatting sqref="D103">
    <cfRule type="expression" dxfId="3248" priority="917">
      <formula>B103=""</formula>
    </cfRule>
  </conditionalFormatting>
  <conditionalFormatting sqref="D104">
    <cfRule type="expression" dxfId="3247" priority="916">
      <formula>B103=""</formula>
    </cfRule>
  </conditionalFormatting>
  <conditionalFormatting sqref="D107">
    <cfRule type="expression" dxfId="3246" priority="915">
      <formula>B103=""</formula>
    </cfRule>
  </conditionalFormatting>
  <conditionalFormatting sqref="D110">
    <cfRule type="expression" dxfId="3245" priority="881">
      <formula>B110=""</formula>
    </cfRule>
  </conditionalFormatting>
  <conditionalFormatting sqref="D111">
    <cfRule type="expression" dxfId="3244" priority="880">
      <formula>B110=""</formula>
    </cfRule>
  </conditionalFormatting>
  <conditionalFormatting sqref="D114">
    <cfRule type="expression" dxfId="3243" priority="879">
      <formula>B110=""</formula>
    </cfRule>
  </conditionalFormatting>
  <conditionalFormatting sqref="D117">
    <cfRule type="expression" dxfId="3242" priority="845">
      <formula>B117=""</formula>
    </cfRule>
  </conditionalFormatting>
  <conditionalFormatting sqref="D118">
    <cfRule type="expression" dxfId="3241" priority="844">
      <formula>B117=""</formula>
    </cfRule>
  </conditionalFormatting>
  <conditionalFormatting sqref="D121">
    <cfRule type="expression" dxfId="3240" priority="843">
      <formula>B117=""</formula>
    </cfRule>
  </conditionalFormatting>
  <conditionalFormatting sqref="D124">
    <cfRule type="expression" dxfId="3239" priority="809">
      <formula>B124=""</formula>
    </cfRule>
  </conditionalFormatting>
  <conditionalFormatting sqref="D125">
    <cfRule type="expression" dxfId="3238" priority="808">
      <formula>B124=""</formula>
    </cfRule>
  </conditionalFormatting>
  <conditionalFormatting sqref="D128">
    <cfRule type="expression" dxfId="3237" priority="807">
      <formula>B124=""</formula>
    </cfRule>
  </conditionalFormatting>
  <conditionalFormatting sqref="D131">
    <cfRule type="expression" dxfId="3236" priority="773">
      <formula>B131=""</formula>
    </cfRule>
  </conditionalFormatting>
  <conditionalFormatting sqref="D132">
    <cfRule type="expression" dxfId="3235" priority="772">
      <formula>B131=""</formula>
    </cfRule>
  </conditionalFormatting>
  <conditionalFormatting sqref="D135">
    <cfRule type="expression" dxfId="3234" priority="771">
      <formula>B131=""</formula>
    </cfRule>
  </conditionalFormatting>
  <conditionalFormatting sqref="D138">
    <cfRule type="expression" dxfId="3233" priority="737">
      <formula>B138=""</formula>
    </cfRule>
  </conditionalFormatting>
  <conditionalFormatting sqref="D139">
    <cfRule type="expression" dxfId="3232" priority="736">
      <formula>B138=""</formula>
    </cfRule>
  </conditionalFormatting>
  <conditionalFormatting sqref="D142">
    <cfRule type="expression" dxfId="3231" priority="735">
      <formula>B138=""</formula>
    </cfRule>
  </conditionalFormatting>
  <conditionalFormatting sqref="D145">
    <cfRule type="expression" dxfId="3230" priority="701">
      <formula>B145=""</formula>
    </cfRule>
  </conditionalFormatting>
  <conditionalFormatting sqref="D146">
    <cfRule type="expression" dxfId="3229" priority="700">
      <formula>B145=""</formula>
    </cfRule>
  </conditionalFormatting>
  <conditionalFormatting sqref="D149">
    <cfRule type="expression" dxfId="3228" priority="699">
      <formula>B145=""</formula>
    </cfRule>
  </conditionalFormatting>
  <conditionalFormatting sqref="D152">
    <cfRule type="expression" dxfId="3227" priority="665">
      <formula>B152=""</formula>
    </cfRule>
  </conditionalFormatting>
  <conditionalFormatting sqref="D153">
    <cfRule type="expression" dxfId="3226" priority="664">
      <formula>B152=""</formula>
    </cfRule>
  </conditionalFormatting>
  <conditionalFormatting sqref="D156">
    <cfRule type="expression" dxfId="3225" priority="663">
      <formula>B152=""</formula>
    </cfRule>
  </conditionalFormatting>
  <conditionalFormatting sqref="D159">
    <cfRule type="expression" dxfId="3224" priority="629">
      <formula>B159=""</formula>
    </cfRule>
  </conditionalFormatting>
  <conditionalFormatting sqref="D160">
    <cfRule type="expression" dxfId="3223" priority="628">
      <formula>B159=""</formula>
    </cfRule>
  </conditionalFormatting>
  <conditionalFormatting sqref="D163">
    <cfRule type="expression" dxfId="3222" priority="627">
      <formula>B159=""</formula>
    </cfRule>
  </conditionalFormatting>
  <conditionalFormatting sqref="D166">
    <cfRule type="expression" dxfId="3221" priority="593">
      <formula>B166=""</formula>
    </cfRule>
  </conditionalFormatting>
  <conditionalFormatting sqref="D167">
    <cfRule type="expression" dxfId="3220" priority="592">
      <formula>B166=""</formula>
    </cfRule>
  </conditionalFormatting>
  <conditionalFormatting sqref="D170">
    <cfRule type="expression" dxfId="3219" priority="591">
      <formula>B166=""</formula>
    </cfRule>
  </conditionalFormatting>
  <conditionalFormatting sqref="D173">
    <cfRule type="expression" dxfId="3218" priority="557">
      <formula>B173=""</formula>
    </cfRule>
  </conditionalFormatting>
  <conditionalFormatting sqref="D174">
    <cfRule type="expression" dxfId="3217" priority="556">
      <formula>B173=""</formula>
    </cfRule>
  </conditionalFormatting>
  <conditionalFormatting sqref="D177">
    <cfRule type="expression" dxfId="3216" priority="555">
      <formula>B173=""</formula>
    </cfRule>
  </conditionalFormatting>
  <conditionalFormatting sqref="D180">
    <cfRule type="expression" dxfId="3215" priority="521">
      <formula>B180=""</formula>
    </cfRule>
  </conditionalFormatting>
  <conditionalFormatting sqref="D181">
    <cfRule type="expression" dxfId="3214" priority="520">
      <formula>B180=""</formula>
    </cfRule>
  </conditionalFormatting>
  <conditionalFormatting sqref="D184">
    <cfRule type="expression" dxfId="3213" priority="519">
      <formula>B180=""</formula>
    </cfRule>
  </conditionalFormatting>
  <conditionalFormatting sqref="D187">
    <cfRule type="expression" dxfId="3212" priority="485">
      <formula>B187=""</formula>
    </cfRule>
  </conditionalFormatting>
  <conditionalFormatting sqref="D188">
    <cfRule type="expression" dxfId="3211" priority="484">
      <formula>B187=""</formula>
    </cfRule>
  </conditionalFormatting>
  <conditionalFormatting sqref="D191">
    <cfRule type="expression" dxfId="3210" priority="483">
      <formula>B187=""</formula>
    </cfRule>
  </conditionalFormatting>
  <conditionalFormatting sqref="D194">
    <cfRule type="expression" dxfId="3209" priority="449">
      <formula>B194=""</formula>
    </cfRule>
  </conditionalFormatting>
  <conditionalFormatting sqref="D195">
    <cfRule type="expression" dxfId="3208" priority="448">
      <formula>B194=""</formula>
    </cfRule>
  </conditionalFormatting>
  <conditionalFormatting sqref="D198">
    <cfRule type="expression" dxfId="3207" priority="447">
      <formula>B194=""</formula>
    </cfRule>
  </conditionalFormatting>
  <conditionalFormatting sqref="D201">
    <cfRule type="expression" dxfId="3206" priority="413">
      <formula>B201=""</formula>
    </cfRule>
  </conditionalFormatting>
  <conditionalFormatting sqref="D202">
    <cfRule type="expression" dxfId="3205" priority="412">
      <formula>B201=""</formula>
    </cfRule>
  </conditionalFormatting>
  <conditionalFormatting sqref="D205">
    <cfRule type="expression" dxfId="3204" priority="411">
      <formula>B201=""</formula>
    </cfRule>
  </conditionalFormatting>
  <conditionalFormatting sqref="D208">
    <cfRule type="expression" dxfId="3203" priority="377">
      <formula>B208=""</formula>
    </cfRule>
  </conditionalFormatting>
  <conditionalFormatting sqref="D209">
    <cfRule type="expression" dxfId="3202" priority="376">
      <formula>B208=""</formula>
    </cfRule>
  </conditionalFormatting>
  <conditionalFormatting sqref="D212">
    <cfRule type="expression" dxfId="3201" priority="375">
      <formula>B208=""</formula>
    </cfRule>
  </conditionalFormatting>
  <conditionalFormatting sqref="D215">
    <cfRule type="expression" dxfId="3200" priority="341">
      <formula>B215=""</formula>
    </cfRule>
  </conditionalFormatting>
  <conditionalFormatting sqref="D216">
    <cfRule type="expression" dxfId="3199" priority="340">
      <formula>B215=""</formula>
    </cfRule>
  </conditionalFormatting>
  <conditionalFormatting sqref="D219">
    <cfRule type="expression" dxfId="3198" priority="339">
      <formula>B215=""</formula>
    </cfRule>
  </conditionalFormatting>
  <conditionalFormatting sqref="D222">
    <cfRule type="expression" dxfId="3197" priority="305">
      <formula>B222=""</formula>
    </cfRule>
  </conditionalFormatting>
  <conditionalFormatting sqref="D223">
    <cfRule type="expression" dxfId="3196" priority="304">
      <formula>B222=""</formula>
    </cfRule>
  </conditionalFormatting>
  <conditionalFormatting sqref="D226">
    <cfRule type="expression" dxfId="3195" priority="303">
      <formula>B222=""</formula>
    </cfRule>
  </conditionalFormatting>
  <conditionalFormatting sqref="D229">
    <cfRule type="expression" dxfId="3194" priority="269">
      <formula>B229=""</formula>
    </cfRule>
  </conditionalFormatting>
  <conditionalFormatting sqref="D230">
    <cfRule type="expression" dxfId="3193" priority="268">
      <formula>B229=""</formula>
    </cfRule>
  </conditionalFormatting>
  <conditionalFormatting sqref="D233">
    <cfRule type="expression" dxfId="3192" priority="267">
      <formula>B229=""</formula>
    </cfRule>
  </conditionalFormatting>
  <conditionalFormatting sqref="D236">
    <cfRule type="expression" dxfId="3191" priority="233">
      <formula>B236=""</formula>
    </cfRule>
  </conditionalFormatting>
  <conditionalFormatting sqref="D237">
    <cfRule type="expression" dxfId="3190" priority="232">
      <formula>B236=""</formula>
    </cfRule>
  </conditionalFormatting>
  <conditionalFormatting sqref="D240">
    <cfRule type="expression" dxfId="3189" priority="231">
      <formula>B236=""</formula>
    </cfRule>
  </conditionalFormatting>
  <conditionalFormatting sqref="D243">
    <cfRule type="expression" dxfId="3188" priority="197">
      <formula>B243=""</formula>
    </cfRule>
  </conditionalFormatting>
  <conditionalFormatting sqref="D244">
    <cfRule type="expression" dxfId="3187" priority="196">
      <formula>B243=""</formula>
    </cfRule>
  </conditionalFormatting>
  <conditionalFormatting sqref="D247">
    <cfRule type="expression" dxfId="3186" priority="195">
      <formula>B243=""</formula>
    </cfRule>
  </conditionalFormatting>
  <conditionalFormatting sqref="D250">
    <cfRule type="expression" dxfId="3185" priority="161">
      <formula>B250=""</formula>
    </cfRule>
  </conditionalFormatting>
  <conditionalFormatting sqref="D251">
    <cfRule type="expression" dxfId="3184" priority="160">
      <formula>B250=""</formula>
    </cfRule>
  </conditionalFormatting>
  <conditionalFormatting sqref="D254">
    <cfRule type="expression" dxfId="3183" priority="159">
      <formula>B250=""</formula>
    </cfRule>
  </conditionalFormatting>
  <conditionalFormatting sqref="D257">
    <cfRule type="expression" dxfId="3182" priority="125">
      <formula>B257=""</formula>
    </cfRule>
  </conditionalFormatting>
  <conditionalFormatting sqref="D258">
    <cfRule type="expression" dxfId="3181" priority="124">
      <formula>B257=""</formula>
    </cfRule>
  </conditionalFormatting>
  <conditionalFormatting sqref="D261">
    <cfRule type="expression" dxfId="3180" priority="123">
      <formula>B257=""</formula>
    </cfRule>
  </conditionalFormatting>
  <conditionalFormatting sqref="D264">
    <cfRule type="expression" dxfId="3179" priority="89">
      <formula>B264=""</formula>
    </cfRule>
  </conditionalFormatting>
  <conditionalFormatting sqref="D265">
    <cfRule type="expression" dxfId="3178" priority="88">
      <formula>B264=""</formula>
    </cfRule>
  </conditionalFormatting>
  <conditionalFormatting sqref="D268">
    <cfRule type="expression" dxfId="3177" priority="87">
      <formula>B264=""</formula>
    </cfRule>
  </conditionalFormatting>
  <conditionalFormatting sqref="D271">
    <cfRule type="expression" dxfId="3176" priority="53">
      <formula>B271=""</formula>
    </cfRule>
  </conditionalFormatting>
  <conditionalFormatting sqref="D272">
    <cfRule type="expression" dxfId="3175" priority="52">
      <formula>B271=""</formula>
    </cfRule>
  </conditionalFormatting>
  <conditionalFormatting sqref="D275">
    <cfRule type="expression" dxfId="3174" priority="51">
      <formula>B271=""</formula>
    </cfRule>
  </conditionalFormatting>
  <conditionalFormatting sqref="D278">
    <cfRule type="expression" dxfId="3173" priority="17">
      <formula>B278=""</formula>
    </cfRule>
  </conditionalFormatting>
  <conditionalFormatting sqref="D279">
    <cfRule type="expression" dxfId="3172" priority="16">
      <formula>B278=""</formula>
    </cfRule>
  </conditionalFormatting>
  <conditionalFormatting sqref="D282">
    <cfRule type="expression" dxfId="3171" priority="15">
      <formula>B278=""</formula>
    </cfRule>
  </conditionalFormatting>
  <conditionalFormatting sqref="E5">
    <cfRule type="expression" dxfId="3170" priority="21376">
      <formula>B5=""</formula>
    </cfRule>
  </conditionalFormatting>
  <conditionalFormatting sqref="E6">
    <cfRule type="expression" dxfId="3169" priority="21375">
      <formula>OR(NOT(B4="Ambulant"),B5="")</formula>
    </cfRule>
  </conditionalFormatting>
  <conditionalFormatting sqref="E8">
    <cfRule type="expression" dxfId="3167" priority="20265">
      <formula>B5=""</formula>
    </cfRule>
  </conditionalFormatting>
  <conditionalFormatting sqref="E9">
    <cfRule type="expression" dxfId="3166" priority="3746">
      <formula>B5=""</formula>
    </cfRule>
  </conditionalFormatting>
  <conditionalFormatting sqref="E12">
    <cfRule type="expression" dxfId="3165" priority="18921">
      <formula>B12=""</formula>
    </cfRule>
  </conditionalFormatting>
  <conditionalFormatting sqref="E13">
    <cfRule type="expression" dxfId="3164" priority="18920">
      <formula>OR(NOT(B11="Ambulant"),B12="")</formula>
    </cfRule>
  </conditionalFormatting>
  <conditionalFormatting sqref="E15">
    <cfRule type="expression" dxfId="3162" priority="18909">
      <formula>B12=""</formula>
    </cfRule>
  </conditionalFormatting>
  <conditionalFormatting sqref="E19">
    <cfRule type="expression" dxfId="3161" priority="8193">
      <formula>B19=""</formula>
    </cfRule>
  </conditionalFormatting>
  <conditionalFormatting sqref="E20">
    <cfRule type="expression" dxfId="3160" priority="8192">
      <formula>OR(NOT(B18="Ambulant"),B19="")</formula>
    </cfRule>
  </conditionalFormatting>
  <conditionalFormatting sqref="E22">
    <cfRule type="expression" dxfId="3158" priority="8181">
      <formula>B19=""</formula>
    </cfRule>
  </conditionalFormatting>
  <conditionalFormatting sqref="E26">
    <cfRule type="expression" dxfId="3157" priority="5145">
      <formula>B26=""</formula>
    </cfRule>
  </conditionalFormatting>
  <conditionalFormatting sqref="E27">
    <cfRule type="expression" dxfId="3156" priority="5144">
      <formula>OR(NOT(B25="Ambulant"),B26="")</formula>
    </cfRule>
  </conditionalFormatting>
  <conditionalFormatting sqref="E29">
    <cfRule type="expression" dxfId="3154" priority="5134">
      <formula>B26=""</formula>
    </cfRule>
  </conditionalFormatting>
  <conditionalFormatting sqref="E33">
    <cfRule type="expression" dxfId="3153" priority="2443">
      <formula>B33=""</formula>
    </cfRule>
  </conditionalFormatting>
  <conditionalFormatting sqref="E34">
    <cfRule type="expression" dxfId="3152" priority="2442">
      <formula>OR(NOT(B32="Ambulant"),B33="")</formula>
    </cfRule>
  </conditionalFormatting>
  <conditionalFormatting sqref="E36">
    <cfRule type="expression" dxfId="3150" priority="2432">
      <formula>B33=""</formula>
    </cfRule>
  </conditionalFormatting>
  <conditionalFormatting sqref="E40">
    <cfRule type="expression" dxfId="3149" priority="2407">
      <formula>B40=""</formula>
    </cfRule>
  </conditionalFormatting>
  <conditionalFormatting sqref="E41">
    <cfRule type="expression" dxfId="3148" priority="2406">
      <formula>OR(NOT(B39="Ambulant"),B40="")</formula>
    </cfRule>
  </conditionalFormatting>
  <conditionalFormatting sqref="E43">
    <cfRule type="expression" dxfId="3146" priority="2396">
      <formula>B40=""</formula>
    </cfRule>
  </conditionalFormatting>
  <conditionalFormatting sqref="E47">
    <cfRule type="expression" dxfId="3145" priority="2371">
      <formula>B47=""</formula>
    </cfRule>
  </conditionalFormatting>
  <conditionalFormatting sqref="E48">
    <cfRule type="expression" dxfId="3144" priority="2370">
      <formula>OR(NOT(B46="Ambulant"),B47="")</formula>
    </cfRule>
  </conditionalFormatting>
  <conditionalFormatting sqref="E50">
    <cfRule type="expression" dxfId="3142" priority="2360">
      <formula>B47=""</formula>
    </cfRule>
  </conditionalFormatting>
  <conditionalFormatting sqref="E54">
    <cfRule type="expression" dxfId="3141" priority="2335">
      <formula>B54=""</formula>
    </cfRule>
  </conditionalFormatting>
  <conditionalFormatting sqref="E55">
    <cfRule type="expression" dxfId="3140" priority="2334">
      <formula>OR(NOT(B53="Ambulant"),B54="")</formula>
    </cfRule>
  </conditionalFormatting>
  <conditionalFormatting sqref="E57">
    <cfRule type="expression" dxfId="3138" priority="2324">
      <formula>B54=""</formula>
    </cfRule>
  </conditionalFormatting>
  <conditionalFormatting sqref="E61">
    <cfRule type="expression" dxfId="3137" priority="1147">
      <formula>B61=""</formula>
    </cfRule>
  </conditionalFormatting>
  <conditionalFormatting sqref="E62">
    <cfRule type="expression" dxfId="3136" priority="1146">
      <formula>OR(NOT(B60="Ambulant"),B61="")</formula>
    </cfRule>
  </conditionalFormatting>
  <conditionalFormatting sqref="E64">
    <cfRule type="expression" dxfId="3134" priority="1136">
      <formula>B61=""</formula>
    </cfRule>
  </conditionalFormatting>
  <conditionalFormatting sqref="E68">
    <cfRule type="expression" dxfId="3133" priority="1111">
      <formula>B68=""</formula>
    </cfRule>
  </conditionalFormatting>
  <conditionalFormatting sqref="E69">
    <cfRule type="expression" dxfId="3132" priority="1110">
      <formula>OR(NOT(B67="Ambulant"),B68="")</formula>
    </cfRule>
  </conditionalFormatting>
  <conditionalFormatting sqref="E71">
    <cfRule type="expression" dxfId="3130" priority="1100">
      <formula>B68=""</formula>
    </cfRule>
  </conditionalFormatting>
  <conditionalFormatting sqref="E75">
    <cfRule type="expression" dxfId="3129" priority="1075">
      <formula>B75=""</formula>
    </cfRule>
  </conditionalFormatting>
  <conditionalFormatting sqref="E76">
    <cfRule type="expression" dxfId="3128" priority="1074">
      <formula>OR(NOT(B74="Ambulant"),B75="")</formula>
    </cfRule>
  </conditionalFormatting>
  <conditionalFormatting sqref="E78">
    <cfRule type="expression" dxfId="3126" priority="1064">
      <formula>B75=""</formula>
    </cfRule>
  </conditionalFormatting>
  <conditionalFormatting sqref="E82">
    <cfRule type="expression" dxfId="3125" priority="1039">
      <formula>B82=""</formula>
    </cfRule>
  </conditionalFormatting>
  <conditionalFormatting sqref="E83">
    <cfRule type="expression" dxfId="3124" priority="1038">
      <formula>OR(NOT(B81="Ambulant"),B82="")</formula>
    </cfRule>
  </conditionalFormatting>
  <conditionalFormatting sqref="E85">
    <cfRule type="expression" dxfId="3122" priority="1028">
      <formula>B82=""</formula>
    </cfRule>
  </conditionalFormatting>
  <conditionalFormatting sqref="E89">
    <cfRule type="expression" dxfId="3121" priority="1003">
      <formula>B89=""</formula>
    </cfRule>
  </conditionalFormatting>
  <conditionalFormatting sqref="E90">
    <cfRule type="expression" dxfId="3120" priority="1002">
      <formula>OR(NOT(B88="Ambulant"),B89="")</formula>
    </cfRule>
  </conditionalFormatting>
  <conditionalFormatting sqref="E92">
    <cfRule type="expression" dxfId="3118" priority="992">
      <formula>B89=""</formula>
    </cfRule>
  </conditionalFormatting>
  <conditionalFormatting sqref="E96">
    <cfRule type="expression" dxfId="3117" priority="967">
      <formula>B96=""</formula>
    </cfRule>
  </conditionalFormatting>
  <conditionalFormatting sqref="E97">
    <cfRule type="expression" dxfId="3116" priority="966">
      <formula>OR(NOT(B95="Ambulant"),B96="")</formula>
    </cfRule>
  </conditionalFormatting>
  <conditionalFormatting sqref="E99">
    <cfRule type="expression" dxfId="3114" priority="956">
      <formula>B96=""</formula>
    </cfRule>
  </conditionalFormatting>
  <conditionalFormatting sqref="E103">
    <cfRule type="expression" dxfId="3113" priority="931">
      <formula>B103=""</formula>
    </cfRule>
  </conditionalFormatting>
  <conditionalFormatting sqref="E104">
    <cfRule type="expression" dxfId="3112" priority="930">
      <formula>OR(NOT(B102="Ambulant"),B103="")</formula>
    </cfRule>
  </conditionalFormatting>
  <conditionalFormatting sqref="E106">
    <cfRule type="expression" dxfId="3110" priority="920">
      <formula>B103=""</formula>
    </cfRule>
  </conditionalFormatting>
  <conditionalFormatting sqref="E110">
    <cfRule type="expression" dxfId="3109" priority="895">
      <formula>B110=""</formula>
    </cfRule>
  </conditionalFormatting>
  <conditionalFormatting sqref="E111">
    <cfRule type="expression" dxfId="3108" priority="894">
      <formula>OR(NOT(B109="Ambulant"),B110="")</formula>
    </cfRule>
  </conditionalFormatting>
  <conditionalFormatting sqref="E113">
    <cfRule type="expression" dxfId="3106" priority="884">
      <formula>B110=""</formula>
    </cfRule>
  </conditionalFormatting>
  <conditionalFormatting sqref="E117">
    <cfRule type="expression" dxfId="3105" priority="859">
      <formula>B117=""</formula>
    </cfRule>
  </conditionalFormatting>
  <conditionalFormatting sqref="E118">
    <cfRule type="expression" dxfId="3104" priority="858">
      <formula>OR(NOT(B116="Ambulant"),B117="")</formula>
    </cfRule>
  </conditionalFormatting>
  <conditionalFormatting sqref="E120">
    <cfRule type="expression" dxfId="3102" priority="848">
      <formula>B117=""</formula>
    </cfRule>
  </conditionalFormatting>
  <conditionalFormatting sqref="E124">
    <cfRule type="expression" dxfId="3101" priority="823">
      <formula>B124=""</formula>
    </cfRule>
  </conditionalFormatting>
  <conditionalFormatting sqref="E125">
    <cfRule type="expression" dxfId="3100" priority="822">
      <formula>OR(NOT(B123="Ambulant"),B124="")</formula>
    </cfRule>
  </conditionalFormatting>
  <conditionalFormatting sqref="E127">
    <cfRule type="expression" dxfId="3098" priority="812">
      <formula>B124=""</formula>
    </cfRule>
  </conditionalFormatting>
  <conditionalFormatting sqref="E131">
    <cfRule type="expression" dxfId="3097" priority="787">
      <formula>B131=""</formula>
    </cfRule>
  </conditionalFormatting>
  <conditionalFormatting sqref="E132">
    <cfRule type="expression" dxfId="3096" priority="786">
      <formula>OR(NOT(B130="Ambulant"),B131="")</formula>
    </cfRule>
  </conditionalFormatting>
  <conditionalFormatting sqref="E134">
    <cfRule type="expression" dxfId="3094" priority="776">
      <formula>B131=""</formula>
    </cfRule>
  </conditionalFormatting>
  <conditionalFormatting sqref="E138">
    <cfRule type="expression" dxfId="3093" priority="751">
      <formula>B138=""</formula>
    </cfRule>
  </conditionalFormatting>
  <conditionalFormatting sqref="E139">
    <cfRule type="expression" dxfId="3092" priority="750">
      <formula>OR(NOT(B137="Ambulant"),B138="")</formula>
    </cfRule>
  </conditionalFormatting>
  <conditionalFormatting sqref="E141">
    <cfRule type="expression" dxfId="3090" priority="740">
      <formula>B138=""</formula>
    </cfRule>
  </conditionalFormatting>
  <conditionalFormatting sqref="E145">
    <cfRule type="expression" dxfId="3089" priority="715">
      <formula>B145=""</formula>
    </cfRule>
  </conditionalFormatting>
  <conditionalFormatting sqref="E146">
    <cfRule type="expression" dxfId="3088" priority="714">
      <formula>OR(NOT(B144="Ambulant"),B145="")</formula>
    </cfRule>
  </conditionalFormatting>
  <conditionalFormatting sqref="E148">
    <cfRule type="expression" dxfId="3086" priority="704">
      <formula>B145=""</formula>
    </cfRule>
  </conditionalFormatting>
  <conditionalFormatting sqref="E152">
    <cfRule type="expression" dxfId="3085" priority="679">
      <formula>B152=""</formula>
    </cfRule>
  </conditionalFormatting>
  <conditionalFormatting sqref="E153">
    <cfRule type="expression" dxfId="3084" priority="678">
      <formula>OR(NOT(B151="Ambulant"),B152="")</formula>
    </cfRule>
  </conditionalFormatting>
  <conditionalFormatting sqref="E155">
    <cfRule type="expression" dxfId="3082" priority="668">
      <formula>B152=""</formula>
    </cfRule>
  </conditionalFormatting>
  <conditionalFormatting sqref="E159">
    <cfRule type="expression" dxfId="3081" priority="643">
      <formula>B159=""</formula>
    </cfRule>
  </conditionalFormatting>
  <conditionalFormatting sqref="E160">
    <cfRule type="expression" dxfId="3080" priority="642">
      <formula>OR(NOT(B158="Ambulant"),B159="")</formula>
    </cfRule>
  </conditionalFormatting>
  <conditionalFormatting sqref="E162">
    <cfRule type="expression" dxfId="3078" priority="632">
      <formula>B159=""</formula>
    </cfRule>
  </conditionalFormatting>
  <conditionalFormatting sqref="E166">
    <cfRule type="expression" dxfId="3077" priority="607">
      <formula>B166=""</formula>
    </cfRule>
  </conditionalFormatting>
  <conditionalFormatting sqref="E167">
    <cfRule type="expression" dxfId="3076" priority="606">
      <formula>OR(NOT(B165="Ambulant"),B166="")</formula>
    </cfRule>
  </conditionalFormatting>
  <conditionalFormatting sqref="E169">
    <cfRule type="expression" dxfId="3074" priority="596">
      <formula>B166=""</formula>
    </cfRule>
  </conditionalFormatting>
  <conditionalFormatting sqref="E173">
    <cfRule type="expression" dxfId="3073" priority="571">
      <formula>B173=""</formula>
    </cfRule>
  </conditionalFormatting>
  <conditionalFormatting sqref="E174">
    <cfRule type="expression" dxfId="3072" priority="570">
      <formula>OR(NOT(B172="Ambulant"),B173="")</formula>
    </cfRule>
  </conditionalFormatting>
  <conditionalFormatting sqref="E176">
    <cfRule type="expression" dxfId="3070" priority="560">
      <formula>B173=""</formula>
    </cfRule>
  </conditionalFormatting>
  <conditionalFormatting sqref="E180">
    <cfRule type="expression" dxfId="3069" priority="535">
      <formula>B180=""</formula>
    </cfRule>
  </conditionalFormatting>
  <conditionalFormatting sqref="E181">
    <cfRule type="expression" dxfId="3068" priority="534">
      <formula>OR(NOT(B179="Ambulant"),B180="")</formula>
    </cfRule>
  </conditionalFormatting>
  <conditionalFormatting sqref="E183">
    <cfRule type="expression" dxfId="3066" priority="524">
      <formula>B180=""</formula>
    </cfRule>
  </conditionalFormatting>
  <conditionalFormatting sqref="E187">
    <cfRule type="expression" dxfId="3065" priority="499">
      <formula>B187=""</formula>
    </cfRule>
  </conditionalFormatting>
  <conditionalFormatting sqref="E188">
    <cfRule type="expression" dxfId="3064" priority="498">
      <formula>OR(NOT(B186="Ambulant"),B187="")</formula>
    </cfRule>
  </conditionalFormatting>
  <conditionalFormatting sqref="E190">
    <cfRule type="expression" dxfId="3062" priority="488">
      <formula>B187=""</formula>
    </cfRule>
  </conditionalFormatting>
  <conditionalFormatting sqref="E194">
    <cfRule type="expression" dxfId="3061" priority="463">
      <formula>B194=""</formula>
    </cfRule>
  </conditionalFormatting>
  <conditionalFormatting sqref="E195">
    <cfRule type="expression" dxfId="3060" priority="462">
      <formula>OR(NOT(B193="Ambulant"),B194="")</formula>
    </cfRule>
  </conditionalFormatting>
  <conditionalFormatting sqref="E197">
    <cfRule type="expression" dxfId="3058" priority="452">
      <formula>B194=""</formula>
    </cfRule>
  </conditionalFormatting>
  <conditionalFormatting sqref="E201">
    <cfRule type="expression" dxfId="3057" priority="427">
      <formula>B201=""</formula>
    </cfRule>
  </conditionalFormatting>
  <conditionalFormatting sqref="E202">
    <cfRule type="expression" dxfId="3056" priority="426">
      <formula>OR(NOT(B200="Ambulant"),B201="")</formula>
    </cfRule>
  </conditionalFormatting>
  <conditionalFormatting sqref="E204">
    <cfRule type="expression" dxfId="3054" priority="416">
      <formula>B201=""</formula>
    </cfRule>
  </conditionalFormatting>
  <conditionalFormatting sqref="E208">
    <cfRule type="expression" dxfId="3053" priority="391">
      <formula>B208=""</formula>
    </cfRule>
  </conditionalFormatting>
  <conditionalFormatting sqref="E209">
    <cfRule type="expression" dxfId="3052" priority="390">
      <formula>OR(NOT(B207="Ambulant"),B208="")</formula>
    </cfRule>
  </conditionalFormatting>
  <conditionalFormatting sqref="E211">
    <cfRule type="expression" dxfId="3050" priority="380">
      <formula>B208=""</formula>
    </cfRule>
  </conditionalFormatting>
  <conditionalFormatting sqref="E215">
    <cfRule type="expression" dxfId="3049" priority="355">
      <formula>B215=""</formula>
    </cfRule>
  </conditionalFormatting>
  <conditionalFormatting sqref="E216">
    <cfRule type="expression" dxfId="3048" priority="354">
      <formula>OR(NOT(B214="Ambulant"),B215="")</formula>
    </cfRule>
  </conditionalFormatting>
  <conditionalFormatting sqref="E218">
    <cfRule type="expression" dxfId="3046" priority="344">
      <formula>B215=""</formula>
    </cfRule>
  </conditionalFormatting>
  <conditionalFormatting sqref="E222">
    <cfRule type="expression" dxfId="3045" priority="319">
      <formula>B222=""</formula>
    </cfRule>
  </conditionalFormatting>
  <conditionalFormatting sqref="E223">
    <cfRule type="expression" dxfId="3044" priority="318">
      <formula>OR(NOT(B221="Ambulant"),B222="")</formula>
    </cfRule>
  </conditionalFormatting>
  <conditionalFormatting sqref="E225">
    <cfRule type="expression" dxfId="3042" priority="308">
      <formula>B222=""</formula>
    </cfRule>
  </conditionalFormatting>
  <conditionalFormatting sqref="E229">
    <cfRule type="expression" dxfId="3041" priority="283">
      <formula>B229=""</formula>
    </cfRule>
  </conditionalFormatting>
  <conditionalFormatting sqref="E230">
    <cfRule type="expression" dxfId="3040" priority="282">
      <formula>OR(NOT(B228="Ambulant"),B229="")</formula>
    </cfRule>
  </conditionalFormatting>
  <conditionalFormatting sqref="E232">
    <cfRule type="expression" dxfId="3038" priority="272">
      <formula>B229=""</formula>
    </cfRule>
  </conditionalFormatting>
  <conditionalFormatting sqref="E236">
    <cfRule type="expression" dxfId="3037" priority="247">
      <formula>B236=""</formula>
    </cfRule>
  </conditionalFormatting>
  <conditionalFormatting sqref="E237">
    <cfRule type="expression" dxfId="3036" priority="246">
      <formula>OR(NOT(B235="Ambulant"),B236="")</formula>
    </cfRule>
  </conditionalFormatting>
  <conditionalFormatting sqref="E239">
    <cfRule type="expression" dxfId="3034" priority="236">
      <formula>B236=""</formula>
    </cfRule>
  </conditionalFormatting>
  <conditionalFormatting sqref="E243">
    <cfRule type="expression" dxfId="3033" priority="211">
      <formula>B243=""</formula>
    </cfRule>
  </conditionalFormatting>
  <conditionalFormatting sqref="E244">
    <cfRule type="expression" dxfId="3032" priority="210">
      <formula>OR(NOT(B242="Ambulant"),B243="")</formula>
    </cfRule>
  </conditionalFormatting>
  <conditionalFormatting sqref="E246">
    <cfRule type="expression" dxfId="3030" priority="200">
      <formula>B243=""</formula>
    </cfRule>
  </conditionalFormatting>
  <conditionalFormatting sqref="E250">
    <cfRule type="expression" dxfId="3029" priority="175">
      <formula>B250=""</formula>
    </cfRule>
  </conditionalFormatting>
  <conditionalFormatting sqref="E251">
    <cfRule type="expression" dxfId="3028" priority="174">
      <formula>OR(NOT(B249="Ambulant"),B250="")</formula>
    </cfRule>
  </conditionalFormatting>
  <conditionalFormatting sqref="E253">
    <cfRule type="expression" dxfId="3026" priority="164">
      <formula>B250=""</formula>
    </cfRule>
  </conditionalFormatting>
  <conditionalFormatting sqref="E257">
    <cfRule type="expression" dxfId="3025" priority="139">
      <formula>B257=""</formula>
    </cfRule>
  </conditionalFormatting>
  <conditionalFormatting sqref="E258">
    <cfRule type="expression" dxfId="3024" priority="138">
      <formula>OR(NOT(B256="Ambulant"),B257="")</formula>
    </cfRule>
  </conditionalFormatting>
  <conditionalFormatting sqref="E260">
    <cfRule type="expression" dxfId="3022" priority="128">
      <formula>B257=""</formula>
    </cfRule>
  </conditionalFormatting>
  <conditionalFormatting sqref="E264">
    <cfRule type="expression" dxfId="3021" priority="103">
      <formula>B264=""</formula>
    </cfRule>
  </conditionalFormatting>
  <conditionalFormatting sqref="E265">
    <cfRule type="expression" dxfId="3020" priority="102">
      <formula>OR(NOT(B263="Ambulant"),B264="")</formula>
    </cfRule>
  </conditionalFormatting>
  <conditionalFormatting sqref="E267">
    <cfRule type="expression" dxfId="3018" priority="92">
      <formula>B264=""</formula>
    </cfRule>
  </conditionalFormatting>
  <conditionalFormatting sqref="E271">
    <cfRule type="expression" dxfId="3017" priority="67">
      <formula>B271=""</formula>
    </cfRule>
  </conditionalFormatting>
  <conditionalFormatting sqref="E272">
    <cfRule type="expression" dxfId="3016" priority="66">
      <formula>OR(NOT(B270="Ambulant"),B271="")</formula>
    </cfRule>
  </conditionalFormatting>
  <conditionalFormatting sqref="E274">
    <cfRule type="expression" dxfId="3014" priority="56">
      <formula>B271=""</formula>
    </cfRule>
  </conditionalFormatting>
  <conditionalFormatting sqref="E278">
    <cfRule type="expression" dxfId="3013" priority="31">
      <formula>B278=""</formula>
    </cfRule>
  </conditionalFormatting>
  <conditionalFormatting sqref="E279">
    <cfRule type="expression" dxfId="3012" priority="30">
      <formula>OR(NOT(B277="Ambulant"),B278="")</formula>
    </cfRule>
  </conditionalFormatting>
  <conditionalFormatting sqref="E281">
    <cfRule type="expression" dxfId="3010" priority="20">
      <formula>B278=""</formula>
    </cfRule>
  </conditionalFormatting>
  <conditionalFormatting sqref="F5">
    <cfRule type="expression" dxfId="3009" priority="20752">
      <formula>NOT(AND(E5="", B5&lt;&gt;""))</formula>
    </cfRule>
  </conditionalFormatting>
  <conditionalFormatting sqref="F6">
    <cfRule type="expression" dxfId="3008" priority="20741">
      <formula>NOT(AND(E6="", B5&lt;&gt;"",B4="Ambulant"))</formula>
    </cfRule>
  </conditionalFormatting>
  <conditionalFormatting sqref="F8">
    <cfRule type="expression" dxfId="3006" priority="20739">
      <formula>NOT(AND(E8="", B5&lt;&gt;""))</formula>
    </cfRule>
  </conditionalFormatting>
  <conditionalFormatting sqref="F9">
    <cfRule type="expression" dxfId="3005" priority="20263">
      <formula>NOT(AND(E9="", B5&lt;&gt;""))</formula>
    </cfRule>
  </conditionalFormatting>
  <conditionalFormatting sqref="F12">
    <cfRule type="expression" dxfId="3004" priority="18916">
      <formula>NOT(AND(E12="", B12&lt;&gt;""))</formula>
    </cfRule>
  </conditionalFormatting>
  <conditionalFormatting sqref="F13">
    <cfRule type="expression" dxfId="3003" priority="18915">
      <formula>NOT(AND(E13="", B12&lt;&gt;"",B11="Ambulant"))</formula>
    </cfRule>
  </conditionalFormatting>
  <conditionalFormatting sqref="F15">
    <cfRule type="expression" dxfId="3001" priority="18913">
      <formula>NOT(AND(E15="", B12&lt;&gt;""))</formula>
    </cfRule>
  </conditionalFormatting>
  <conditionalFormatting sqref="F16">
    <cfRule type="expression" dxfId="3000" priority="18908">
      <formula>NOT(AND(E16="", B12&lt;&gt;""))</formula>
    </cfRule>
  </conditionalFormatting>
  <conditionalFormatting sqref="F19">
    <cfRule type="expression" dxfId="2999" priority="8188">
      <formula>NOT(AND(E19="", B19&lt;&gt;""))</formula>
    </cfRule>
  </conditionalFormatting>
  <conditionalFormatting sqref="F20">
    <cfRule type="expression" dxfId="2998" priority="8187">
      <formula>NOT(AND(E20="", B19&lt;&gt;"",B18="Ambulant"))</formula>
    </cfRule>
  </conditionalFormatting>
  <conditionalFormatting sqref="F22">
    <cfRule type="expression" dxfId="2996" priority="8185">
      <formula>NOT(AND(E22="", B19&lt;&gt;""))</formula>
    </cfRule>
  </conditionalFormatting>
  <conditionalFormatting sqref="F23">
    <cfRule type="expression" dxfId="2995" priority="8180">
      <formula>NOT(AND(E23="", B19&lt;&gt;""))</formula>
    </cfRule>
  </conditionalFormatting>
  <conditionalFormatting sqref="F26">
    <cfRule type="expression" dxfId="2994" priority="5141">
      <formula>NOT(AND(E26="", B26&lt;&gt;""))</formula>
    </cfRule>
  </conditionalFormatting>
  <conditionalFormatting sqref="F27">
    <cfRule type="expression" dxfId="2993" priority="5140">
      <formula>NOT(AND(E27="", B26&lt;&gt;"",B25="Ambulant"))</formula>
    </cfRule>
  </conditionalFormatting>
  <conditionalFormatting sqref="F29">
    <cfRule type="expression" dxfId="2991" priority="5138">
      <formula>NOT(AND(E29="", B26&lt;&gt;""))</formula>
    </cfRule>
  </conditionalFormatting>
  <conditionalFormatting sqref="F30">
    <cfRule type="expression" dxfId="2990" priority="5133">
      <formula>NOT(AND(E30="", B26&lt;&gt;""))</formula>
    </cfRule>
  </conditionalFormatting>
  <conditionalFormatting sqref="F33">
    <cfRule type="expression" dxfId="2989" priority="2439">
      <formula>NOT(AND(E33="", B33&lt;&gt;""))</formula>
    </cfRule>
  </conditionalFormatting>
  <conditionalFormatting sqref="F34">
    <cfRule type="expression" dxfId="2988" priority="2438">
      <formula>NOT(AND(E34="", B33&lt;&gt;"",B32="Ambulant"))</formula>
    </cfRule>
  </conditionalFormatting>
  <conditionalFormatting sqref="F36">
    <cfRule type="expression" dxfId="2986" priority="2436">
      <formula>NOT(AND(E36="", B33&lt;&gt;""))</formula>
    </cfRule>
  </conditionalFormatting>
  <conditionalFormatting sqref="F37">
    <cfRule type="expression" dxfId="2985" priority="2431">
      <formula>NOT(AND(E37="", B33&lt;&gt;""))</formula>
    </cfRule>
  </conditionalFormatting>
  <conditionalFormatting sqref="F40">
    <cfRule type="expression" dxfId="2984" priority="2403">
      <formula>NOT(AND(E40="", B40&lt;&gt;""))</formula>
    </cfRule>
  </conditionalFormatting>
  <conditionalFormatting sqref="F41">
    <cfRule type="expression" dxfId="2983" priority="2402">
      <formula>NOT(AND(E41="", B40&lt;&gt;"",B39="Ambulant"))</formula>
    </cfRule>
  </conditionalFormatting>
  <conditionalFormatting sqref="F43">
    <cfRule type="expression" dxfId="2981" priority="2400">
      <formula>NOT(AND(E43="", B40&lt;&gt;""))</formula>
    </cfRule>
  </conditionalFormatting>
  <conditionalFormatting sqref="F44">
    <cfRule type="expression" dxfId="2980" priority="2395">
      <formula>NOT(AND(E44="", B40&lt;&gt;""))</formula>
    </cfRule>
  </conditionalFormatting>
  <conditionalFormatting sqref="F47">
    <cfRule type="expression" dxfId="2979" priority="2367">
      <formula>NOT(AND(E47="", B47&lt;&gt;""))</formula>
    </cfRule>
  </conditionalFormatting>
  <conditionalFormatting sqref="F48">
    <cfRule type="expression" dxfId="2978" priority="2366">
      <formula>NOT(AND(E48="", B47&lt;&gt;"",B46="Ambulant"))</formula>
    </cfRule>
  </conditionalFormatting>
  <conditionalFormatting sqref="F50">
    <cfRule type="expression" dxfId="2976" priority="2364">
      <formula>NOT(AND(E50="", B47&lt;&gt;""))</formula>
    </cfRule>
  </conditionalFormatting>
  <conditionalFormatting sqref="F51">
    <cfRule type="expression" dxfId="2975" priority="2359">
      <formula>NOT(AND(E51="", B47&lt;&gt;""))</formula>
    </cfRule>
  </conditionalFormatting>
  <conditionalFormatting sqref="F54">
    <cfRule type="expression" dxfId="2974" priority="2331">
      <formula>NOT(AND(E54="", B54&lt;&gt;""))</formula>
    </cfRule>
  </conditionalFormatting>
  <conditionalFormatting sqref="F55">
    <cfRule type="expression" dxfId="2973" priority="2330">
      <formula>NOT(AND(E55="", B54&lt;&gt;"",B53="Ambulant"))</formula>
    </cfRule>
  </conditionalFormatting>
  <conditionalFormatting sqref="F57">
    <cfRule type="expression" dxfId="2971" priority="2328">
      <formula>NOT(AND(E57="", B54&lt;&gt;""))</formula>
    </cfRule>
  </conditionalFormatting>
  <conditionalFormatting sqref="F58">
    <cfRule type="expression" dxfId="2970" priority="2323">
      <formula>NOT(AND(E58="", B54&lt;&gt;""))</formula>
    </cfRule>
  </conditionalFormatting>
  <conditionalFormatting sqref="F61">
    <cfRule type="expression" dxfId="2969" priority="1143">
      <formula>NOT(AND(E61="", B61&lt;&gt;""))</formula>
    </cfRule>
  </conditionalFormatting>
  <conditionalFormatting sqref="F62">
    <cfRule type="expression" dxfId="2968" priority="1142">
      <formula>NOT(AND(E62="", B61&lt;&gt;"",B60="Ambulant"))</formula>
    </cfRule>
  </conditionalFormatting>
  <conditionalFormatting sqref="F64">
    <cfRule type="expression" dxfId="2966" priority="1140">
      <formula>NOT(AND(E64="", B61&lt;&gt;""))</formula>
    </cfRule>
  </conditionalFormatting>
  <conditionalFormatting sqref="F65">
    <cfRule type="expression" dxfId="2965" priority="1135">
      <formula>NOT(AND(E65="", B61&lt;&gt;""))</formula>
    </cfRule>
  </conditionalFormatting>
  <conditionalFormatting sqref="F68">
    <cfRule type="expression" dxfId="2964" priority="1107">
      <formula>NOT(AND(E68="", B68&lt;&gt;""))</formula>
    </cfRule>
  </conditionalFormatting>
  <conditionalFormatting sqref="F69">
    <cfRule type="expression" dxfId="2963" priority="1106">
      <formula>NOT(AND(E69="", B68&lt;&gt;"",B67="Ambulant"))</formula>
    </cfRule>
  </conditionalFormatting>
  <conditionalFormatting sqref="F71">
    <cfRule type="expression" dxfId="2961" priority="1104">
      <formula>NOT(AND(E71="", B68&lt;&gt;""))</formula>
    </cfRule>
  </conditionalFormatting>
  <conditionalFormatting sqref="F72">
    <cfRule type="expression" dxfId="2960" priority="1099">
      <formula>NOT(AND(E72="", B68&lt;&gt;""))</formula>
    </cfRule>
  </conditionalFormatting>
  <conditionalFormatting sqref="F75">
    <cfRule type="expression" dxfId="2959" priority="1071">
      <formula>NOT(AND(E75="", B75&lt;&gt;""))</formula>
    </cfRule>
  </conditionalFormatting>
  <conditionalFormatting sqref="F76">
    <cfRule type="expression" dxfId="2958" priority="1070">
      <formula>NOT(AND(E76="", B75&lt;&gt;"",B74="Ambulant"))</formula>
    </cfRule>
  </conditionalFormatting>
  <conditionalFormatting sqref="F78">
    <cfRule type="expression" dxfId="2956" priority="1068">
      <formula>NOT(AND(E78="", B75&lt;&gt;""))</formula>
    </cfRule>
  </conditionalFormatting>
  <conditionalFormatting sqref="F79">
    <cfRule type="expression" dxfId="2955" priority="1063">
      <formula>NOT(AND(E79="", B75&lt;&gt;""))</formula>
    </cfRule>
  </conditionalFormatting>
  <conditionalFormatting sqref="F82">
    <cfRule type="expression" dxfId="2954" priority="1035">
      <formula>NOT(AND(E82="", B82&lt;&gt;""))</formula>
    </cfRule>
  </conditionalFormatting>
  <conditionalFormatting sqref="F83">
    <cfRule type="expression" dxfId="2953" priority="1034">
      <formula>NOT(AND(E83="", B82&lt;&gt;"",B81="Ambulant"))</formula>
    </cfRule>
  </conditionalFormatting>
  <conditionalFormatting sqref="F85">
    <cfRule type="expression" dxfId="2951" priority="1032">
      <formula>NOT(AND(E85="", B82&lt;&gt;""))</formula>
    </cfRule>
  </conditionalFormatting>
  <conditionalFormatting sqref="F86">
    <cfRule type="expression" dxfId="2950" priority="1027">
      <formula>NOT(AND(E86="", B82&lt;&gt;""))</formula>
    </cfRule>
  </conditionalFormatting>
  <conditionalFormatting sqref="F89">
    <cfRule type="expression" dxfId="2949" priority="999">
      <formula>NOT(AND(E89="", B89&lt;&gt;""))</formula>
    </cfRule>
  </conditionalFormatting>
  <conditionalFormatting sqref="F90">
    <cfRule type="expression" dxfId="2948" priority="998">
      <formula>NOT(AND(E90="", B89&lt;&gt;"",B88="Ambulant"))</formula>
    </cfRule>
  </conditionalFormatting>
  <conditionalFormatting sqref="F92">
    <cfRule type="expression" dxfId="2946" priority="996">
      <formula>NOT(AND(E92="", B89&lt;&gt;""))</formula>
    </cfRule>
  </conditionalFormatting>
  <conditionalFormatting sqref="F93">
    <cfRule type="expression" dxfId="2945" priority="991">
      <formula>NOT(AND(E93="", B89&lt;&gt;""))</formula>
    </cfRule>
  </conditionalFormatting>
  <conditionalFormatting sqref="F96">
    <cfRule type="expression" dxfId="2944" priority="963">
      <formula>NOT(AND(E96="", B96&lt;&gt;""))</formula>
    </cfRule>
  </conditionalFormatting>
  <conditionalFormatting sqref="F97">
    <cfRule type="expression" dxfId="2943" priority="962">
      <formula>NOT(AND(E97="", B96&lt;&gt;"",B95="Ambulant"))</formula>
    </cfRule>
  </conditionalFormatting>
  <conditionalFormatting sqref="F99">
    <cfRule type="expression" dxfId="2941" priority="960">
      <formula>NOT(AND(E99="", B96&lt;&gt;""))</formula>
    </cfRule>
  </conditionalFormatting>
  <conditionalFormatting sqref="F100">
    <cfRule type="expression" dxfId="2940" priority="955">
      <formula>NOT(AND(E100="", B96&lt;&gt;""))</formula>
    </cfRule>
  </conditionalFormatting>
  <conditionalFormatting sqref="F103">
    <cfRule type="expression" dxfId="2939" priority="927">
      <formula>NOT(AND(E103="", B103&lt;&gt;""))</formula>
    </cfRule>
  </conditionalFormatting>
  <conditionalFormatting sqref="F104">
    <cfRule type="expression" dxfId="2938" priority="926">
      <formula>NOT(AND(E104="", B103&lt;&gt;"",B102="Ambulant"))</formula>
    </cfRule>
  </conditionalFormatting>
  <conditionalFormatting sqref="F106">
    <cfRule type="expression" dxfId="2936" priority="924">
      <formula>NOT(AND(E106="", B103&lt;&gt;""))</formula>
    </cfRule>
  </conditionalFormatting>
  <conditionalFormatting sqref="F107">
    <cfRule type="expression" dxfId="2935" priority="919">
      <formula>NOT(AND(E107="", B103&lt;&gt;""))</formula>
    </cfRule>
  </conditionalFormatting>
  <conditionalFormatting sqref="F110">
    <cfRule type="expression" dxfId="2934" priority="891">
      <formula>NOT(AND(E110="", B110&lt;&gt;""))</formula>
    </cfRule>
  </conditionalFormatting>
  <conditionalFormatting sqref="F111">
    <cfRule type="expression" dxfId="2933" priority="890">
      <formula>NOT(AND(E111="", B110&lt;&gt;"",B109="Ambulant"))</formula>
    </cfRule>
  </conditionalFormatting>
  <conditionalFormatting sqref="F113">
    <cfRule type="expression" dxfId="2931" priority="888">
      <formula>NOT(AND(E113="", B110&lt;&gt;""))</formula>
    </cfRule>
  </conditionalFormatting>
  <conditionalFormatting sqref="F114">
    <cfRule type="expression" dxfId="2930" priority="883">
      <formula>NOT(AND(E114="", B110&lt;&gt;""))</formula>
    </cfRule>
  </conditionalFormatting>
  <conditionalFormatting sqref="F117">
    <cfRule type="expression" dxfId="2929" priority="855">
      <formula>NOT(AND(E117="", B117&lt;&gt;""))</formula>
    </cfRule>
  </conditionalFormatting>
  <conditionalFormatting sqref="F118">
    <cfRule type="expression" dxfId="2928" priority="854">
      <formula>NOT(AND(E118="", B117&lt;&gt;"",B116="Ambulant"))</formula>
    </cfRule>
  </conditionalFormatting>
  <conditionalFormatting sqref="F120">
    <cfRule type="expression" dxfId="2926" priority="852">
      <formula>NOT(AND(E120="", B117&lt;&gt;""))</formula>
    </cfRule>
  </conditionalFormatting>
  <conditionalFormatting sqref="F121">
    <cfRule type="expression" dxfId="2925" priority="847">
      <formula>NOT(AND(E121="", B117&lt;&gt;""))</formula>
    </cfRule>
  </conditionalFormatting>
  <conditionalFormatting sqref="F124">
    <cfRule type="expression" dxfId="2924" priority="819">
      <formula>NOT(AND(E124="", B124&lt;&gt;""))</formula>
    </cfRule>
  </conditionalFormatting>
  <conditionalFormatting sqref="F125">
    <cfRule type="expression" dxfId="2923" priority="818">
      <formula>NOT(AND(E125="", B124&lt;&gt;"",B123="Ambulant"))</formula>
    </cfRule>
  </conditionalFormatting>
  <conditionalFormatting sqref="F127">
    <cfRule type="expression" dxfId="2921" priority="816">
      <formula>NOT(AND(E127="", B124&lt;&gt;""))</formula>
    </cfRule>
  </conditionalFormatting>
  <conditionalFormatting sqref="F128">
    <cfRule type="expression" dxfId="2920" priority="811">
      <formula>NOT(AND(E128="", B124&lt;&gt;""))</formula>
    </cfRule>
  </conditionalFormatting>
  <conditionalFormatting sqref="F131">
    <cfRule type="expression" dxfId="2919" priority="783">
      <formula>NOT(AND(E131="", B131&lt;&gt;""))</formula>
    </cfRule>
  </conditionalFormatting>
  <conditionalFormatting sqref="F132">
    <cfRule type="expression" dxfId="2918" priority="782">
      <formula>NOT(AND(E132="", B131&lt;&gt;"",B130="Ambulant"))</formula>
    </cfRule>
  </conditionalFormatting>
  <conditionalFormatting sqref="F134">
    <cfRule type="expression" dxfId="2916" priority="780">
      <formula>NOT(AND(E134="", B131&lt;&gt;""))</formula>
    </cfRule>
  </conditionalFormatting>
  <conditionalFormatting sqref="F135">
    <cfRule type="expression" dxfId="2915" priority="775">
      <formula>NOT(AND(E135="", B131&lt;&gt;""))</formula>
    </cfRule>
  </conditionalFormatting>
  <conditionalFormatting sqref="F138">
    <cfRule type="expression" dxfId="2914" priority="747">
      <formula>NOT(AND(E138="", B138&lt;&gt;""))</formula>
    </cfRule>
  </conditionalFormatting>
  <conditionalFormatting sqref="F139">
    <cfRule type="expression" dxfId="2913" priority="746">
      <formula>NOT(AND(E139="", B138&lt;&gt;"",B137="Ambulant"))</formula>
    </cfRule>
  </conditionalFormatting>
  <conditionalFormatting sqref="F141">
    <cfRule type="expression" dxfId="2911" priority="744">
      <formula>NOT(AND(E141="", B138&lt;&gt;""))</formula>
    </cfRule>
  </conditionalFormatting>
  <conditionalFormatting sqref="F142">
    <cfRule type="expression" dxfId="2910" priority="739">
      <formula>NOT(AND(E142="", B138&lt;&gt;""))</formula>
    </cfRule>
  </conditionalFormatting>
  <conditionalFormatting sqref="F145">
    <cfRule type="expression" dxfId="2909" priority="711">
      <formula>NOT(AND(E145="", B145&lt;&gt;""))</formula>
    </cfRule>
  </conditionalFormatting>
  <conditionalFormatting sqref="F146">
    <cfRule type="expression" dxfId="2908" priority="710">
      <formula>NOT(AND(E146="", B145&lt;&gt;"",B144="Ambulant"))</formula>
    </cfRule>
  </conditionalFormatting>
  <conditionalFormatting sqref="F148">
    <cfRule type="expression" dxfId="2906" priority="708">
      <formula>NOT(AND(E148="", B145&lt;&gt;""))</formula>
    </cfRule>
  </conditionalFormatting>
  <conditionalFormatting sqref="F149">
    <cfRule type="expression" dxfId="2905" priority="703">
      <formula>NOT(AND(E149="", B145&lt;&gt;""))</formula>
    </cfRule>
  </conditionalFormatting>
  <conditionalFormatting sqref="F152">
    <cfRule type="expression" dxfId="2904" priority="675">
      <formula>NOT(AND(E152="", B152&lt;&gt;""))</formula>
    </cfRule>
  </conditionalFormatting>
  <conditionalFormatting sqref="F153">
    <cfRule type="expression" dxfId="2903" priority="674">
      <formula>NOT(AND(E153="", B152&lt;&gt;"",B151="Ambulant"))</formula>
    </cfRule>
  </conditionalFormatting>
  <conditionalFormatting sqref="F155">
    <cfRule type="expression" dxfId="2901" priority="672">
      <formula>NOT(AND(E155="", B152&lt;&gt;""))</formula>
    </cfRule>
  </conditionalFormatting>
  <conditionalFormatting sqref="F156">
    <cfRule type="expression" dxfId="2900" priority="667">
      <formula>NOT(AND(E156="", B152&lt;&gt;""))</formula>
    </cfRule>
  </conditionalFormatting>
  <conditionalFormatting sqref="F159">
    <cfRule type="expression" dxfId="2899" priority="639">
      <formula>NOT(AND(E159="", B159&lt;&gt;""))</formula>
    </cfRule>
  </conditionalFormatting>
  <conditionalFormatting sqref="F160">
    <cfRule type="expression" dxfId="2898" priority="638">
      <formula>NOT(AND(E160="", B159&lt;&gt;"",B158="Ambulant"))</formula>
    </cfRule>
  </conditionalFormatting>
  <conditionalFormatting sqref="F162">
    <cfRule type="expression" dxfId="2896" priority="636">
      <formula>NOT(AND(E162="", B159&lt;&gt;""))</formula>
    </cfRule>
  </conditionalFormatting>
  <conditionalFormatting sqref="F163">
    <cfRule type="expression" dxfId="2895" priority="631">
      <formula>NOT(AND(E163="", B159&lt;&gt;""))</formula>
    </cfRule>
  </conditionalFormatting>
  <conditionalFormatting sqref="F166">
    <cfRule type="expression" dxfId="2894" priority="603">
      <formula>NOT(AND(E166="", B166&lt;&gt;""))</formula>
    </cfRule>
  </conditionalFormatting>
  <conditionalFormatting sqref="F167">
    <cfRule type="expression" dxfId="2893" priority="602">
      <formula>NOT(AND(E167="", B166&lt;&gt;"",B165="Ambulant"))</formula>
    </cfRule>
  </conditionalFormatting>
  <conditionalFormatting sqref="F169">
    <cfRule type="expression" dxfId="2891" priority="600">
      <formula>NOT(AND(E169="", B166&lt;&gt;""))</formula>
    </cfRule>
  </conditionalFormatting>
  <conditionalFormatting sqref="F170">
    <cfRule type="expression" dxfId="2890" priority="595">
      <formula>NOT(AND(E170="", B166&lt;&gt;""))</formula>
    </cfRule>
  </conditionalFormatting>
  <conditionalFormatting sqref="F173">
    <cfRule type="expression" dxfId="2889" priority="567">
      <formula>NOT(AND(E173="", B173&lt;&gt;""))</formula>
    </cfRule>
  </conditionalFormatting>
  <conditionalFormatting sqref="F174">
    <cfRule type="expression" dxfId="2888" priority="566">
      <formula>NOT(AND(E174="", B173&lt;&gt;"",B172="Ambulant"))</formula>
    </cfRule>
  </conditionalFormatting>
  <conditionalFormatting sqref="F176">
    <cfRule type="expression" dxfId="2886" priority="564">
      <formula>NOT(AND(E176="", B173&lt;&gt;""))</formula>
    </cfRule>
  </conditionalFormatting>
  <conditionalFormatting sqref="F177">
    <cfRule type="expression" dxfId="2885" priority="559">
      <formula>NOT(AND(E177="", B173&lt;&gt;""))</formula>
    </cfRule>
  </conditionalFormatting>
  <conditionalFormatting sqref="F180">
    <cfRule type="expression" dxfId="2884" priority="531">
      <formula>NOT(AND(E180="", B180&lt;&gt;""))</formula>
    </cfRule>
  </conditionalFormatting>
  <conditionalFormatting sqref="F181">
    <cfRule type="expression" dxfId="2883" priority="530">
      <formula>NOT(AND(E181="", B180&lt;&gt;"",B179="Ambulant"))</formula>
    </cfRule>
  </conditionalFormatting>
  <conditionalFormatting sqref="F183">
    <cfRule type="expression" dxfId="2881" priority="528">
      <formula>NOT(AND(E183="", B180&lt;&gt;""))</formula>
    </cfRule>
  </conditionalFormatting>
  <conditionalFormatting sqref="F184">
    <cfRule type="expression" dxfId="2880" priority="523">
      <formula>NOT(AND(E184="", B180&lt;&gt;""))</formula>
    </cfRule>
  </conditionalFormatting>
  <conditionalFormatting sqref="F187">
    <cfRule type="expression" dxfId="2879" priority="495">
      <formula>NOT(AND(E187="", B187&lt;&gt;""))</formula>
    </cfRule>
  </conditionalFormatting>
  <conditionalFormatting sqref="F188">
    <cfRule type="expression" dxfId="2878" priority="494">
      <formula>NOT(AND(E188="", B187&lt;&gt;"",B186="Ambulant"))</formula>
    </cfRule>
  </conditionalFormatting>
  <conditionalFormatting sqref="F190">
    <cfRule type="expression" dxfId="2876" priority="492">
      <formula>NOT(AND(E190="", B187&lt;&gt;""))</formula>
    </cfRule>
  </conditionalFormatting>
  <conditionalFormatting sqref="F191">
    <cfRule type="expression" dxfId="2875" priority="487">
      <formula>NOT(AND(E191="", B187&lt;&gt;""))</formula>
    </cfRule>
  </conditionalFormatting>
  <conditionalFormatting sqref="F194">
    <cfRule type="expression" dxfId="2874" priority="459">
      <formula>NOT(AND(E194="", B194&lt;&gt;""))</formula>
    </cfRule>
  </conditionalFormatting>
  <conditionalFormatting sqref="F195">
    <cfRule type="expression" dxfId="2873" priority="458">
      <formula>NOT(AND(E195="", B194&lt;&gt;"",B193="Ambulant"))</formula>
    </cfRule>
  </conditionalFormatting>
  <conditionalFormatting sqref="F197">
    <cfRule type="expression" dxfId="2871" priority="456">
      <formula>NOT(AND(E197="", B194&lt;&gt;""))</formula>
    </cfRule>
  </conditionalFormatting>
  <conditionalFormatting sqref="F198">
    <cfRule type="expression" dxfId="2870" priority="451">
      <formula>NOT(AND(E198="", B194&lt;&gt;""))</formula>
    </cfRule>
  </conditionalFormatting>
  <conditionalFormatting sqref="F201">
    <cfRule type="expression" dxfId="2869" priority="423">
      <formula>NOT(AND(E201="", B201&lt;&gt;""))</formula>
    </cfRule>
  </conditionalFormatting>
  <conditionalFormatting sqref="F202">
    <cfRule type="expression" dxfId="2868" priority="422">
      <formula>NOT(AND(E202="", B201&lt;&gt;"",B200="Ambulant"))</formula>
    </cfRule>
  </conditionalFormatting>
  <conditionalFormatting sqref="F204">
    <cfRule type="expression" dxfId="2866" priority="420">
      <formula>NOT(AND(E204="", B201&lt;&gt;""))</formula>
    </cfRule>
  </conditionalFormatting>
  <conditionalFormatting sqref="F205">
    <cfRule type="expression" dxfId="2865" priority="415">
      <formula>NOT(AND(E205="", B201&lt;&gt;""))</formula>
    </cfRule>
  </conditionalFormatting>
  <conditionalFormatting sqref="F208">
    <cfRule type="expression" dxfId="2864" priority="387">
      <formula>NOT(AND(E208="", B208&lt;&gt;""))</formula>
    </cfRule>
  </conditionalFormatting>
  <conditionalFormatting sqref="F209">
    <cfRule type="expression" dxfId="2863" priority="386">
      <formula>NOT(AND(E209="", B208&lt;&gt;"",B207="Ambulant"))</formula>
    </cfRule>
  </conditionalFormatting>
  <conditionalFormatting sqref="F211">
    <cfRule type="expression" dxfId="2861" priority="384">
      <formula>NOT(AND(E211="", B208&lt;&gt;""))</formula>
    </cfRule>
  </conditionalFormatting>
  <conditionalFormatting sqref="F212">
    <cfRule type="expression" dxfId="2860" priority="379">
      <formula>NOT(AND(E212="", B208&lt;&gt;""))</formula>
    </cfRule>
  </conditionalFormatting>
  <conditionalFormatting sqref="F215">
    <cfRule type="expression" dxfId="2859" priority="351">
      <formula>NOT(AND(E215="", B215&lt;&gt;""))</formula>
    </cfRule>
  </conditionalFormatting>
  <conditionalFormatting sqref="F216">
    <cfRule type="expression" dxfId="2858" priority="350">
      <formula>NOT(AND(E216="", B215&lt;&gt;"",B214="Ambulant"))</formula>
    </cfRule>
  </conditionalFormatting>
  <conditionalFormatting sqref="F218">
    <cfRule type="expression" dxfId="2856" priority="348">
      <formula>NOT(AND(E218="", B215&lt;&gt;""))</formula>
    </cfRule>
  </conditionalFormatting>
  <conditionalFormatting sqref="F219">
    <cfRule type="expression" dxfId="2855" priority="343">
      <formula>NOT(AND(E219="", B215&lt;&gt;""))</formula>
    </cfRule>
  </conditionalFormatting>
  <conditionalFormatting sqref="F222">
    <cfRule type="expression" dxfId="2854" priority="315">
      <formula>NOT(AND(E222="", B222&lt;&gt;""))</formula>
    </cfRule>
  </conditionalFormatting>
  <conditionalFormatting sqref="F223">
    <cfRule type="expression" dxfId="2853" priority="314">
      <formula>NOT(AND(E223="", B222&lt;&gt;"",B221="Ambulant"))</formula>
    </cfRule>
  </conditionalFormatting>
  <conditionalFormatting sqref="F225">
    <cfRule type="expression" dxfId="2851" priority="312">
      <formula>NOT(AND(E225="", B222&lt;&gt;""))</formula>
    </cfRule>
  </conditionalFormatting>
  <conditionalFormatting sqref="F226">
    <cfRule type="expression" dxfId="2850" priority="307">
      <formula>NOT(AND(E226="", B222&lt;&gt;""))</formula>
    </cfRule>
  </conditionalFormatting>
  <conditionalFormatting sqref="F229">
    <cfRule type="expression" dxfId="2849" priority="279">
      <formula>NOT(AND(E229="", B229&lt;&gt;""))</formula>
    </cfRule>
  </conditionalFormatting>
  <conditionalFormatting sqref="F230">
    <cfRule type="expression" dxfId="2848" priority="278">
      <formula>NOT(AND(E230="", B229&lt;&gt;"",B228="Ambulant"))</formula>
    </cfRule>
  </conditionalFormatting>
  <conditionalFormatting sqref="F232">
    <cfRule type="expression" dxfId="2846" priority="276">
      <formula>NOT(AND(E232="", B229&lt;&gt;""))</formula>
    </cfRule>
  </conditionalFormatting>
  <conditionalFormatting sqref="F233">
    <cfRule type="expression" dxfId="2845" priority="271">
      <formula>NOT(AND(E233="", B229&lt;&gt;""))</formula>
    </cfRule>
  </conditionalFormatting>
  <conditionalFormatting sqref="F236">
    <cfRule type="expression" dxfId="2844" priority="243">
      <formula>NOT(AND(E236="", B236&lt;&gt;""))</formula>
    </cfRule>
  </conditionalFormatting>
  <conditionalFormatting sqref="F237">
    <cfRule type="expression" dxfId="2843" priority="242">
      <formula>NOT(AND(E237="", B236&lt;&gt;"",B235="Ambulant"))</formula>
    </cfRule>
  </conditionalFormatting>
  <conditionalFormatting sqref="F239">
    <cfRule type="expression" dxfId="2841" priority="240">
      <formula>NOT(AND(E239="", B236&lt;&gt;""))</formula>
    </cfRule>
  </conditionalFormatting>
  <conditionalFormatting sqref="F240">
    <cfRule type="expression" dxfId="2840" priority="235">
      <formula>NOT(AND(E240="", B236&lt;&gt;""))</formula>
    </cfRule>
  </conditionalFormatting>
  <conditionalFormatting sqref="F243">
    <cfRule type="expression" dxfId="2839" priority="207">
      <formula>NOT(AND(E243="", B243&lt;&gt;""))</formula>
    </cfRule>
  </conditionalFormatting>
  <conditionalFormatting sqref="F244">
    <cfRule type="expression" dxfId="2838" priority="206">
      <formula>NOT(AND(E244="", B243&lt;&gt;"",B242="Ambulant"))</formula>
    </cfRule>
  </conditionalFormatting>
  <conditionalFormatting sqref="F246">
    <cfRule type="expression" dxfId="2836" priority="204">
      <formula>NOT(AND(E246="", B243&lt;&gt;""))</formula>
    </cfRule>
  </conditionalFormatting>
  <conditionalFormatting sqref="F247">
    <cfRule type="expression" dxfId="2835" priority="199">
      <formula>NOT(AND(E247="", B243&lt;&gt;""))</formula>
    </cfRule>
  </conditionalFormatting>
  <conditionalFormatting sqref="F250">
    <cfRule type="expression" dxfId="2834" priority="171">
      <formula>NOT(AND(E250="", B250&lt;&gt;""))</formula>
    </cfRule>
  </conditionalFormatting>
  <conditionalFormatting sqref="F251">
    <cfRule type="expression" dxfId="2833" priority="170">
      <formula>NOT(AND(E251="", B250&lt;&gt;"",B249="Ambulant"))</formula>
    </cfRule>
  </conditionalFormatting>
  <conditionalFormatting sqref="F253">
    <cfRule type="expression" dxfId="2831" priority="168">
      <formula>NOT(AND(E253="", B250&lt;&gt;""))</formula>
    </cfRule>
  </conditionalFormatting>
  <conditionalFormatting sqref="F254">
    <cfRule type="expression" dxfId="2830" priority="163">
      <formula>NOT(AND(E254="", B250&lt;&gt;""))</formula>
    </cfRule>
  </conditionalFormatting>
  <conditionalFormatting sqref="F257">
    <cfRule type="expression" dxfId="2829" priority="135">
      <formula>NOT(AND(E257="", B257&lt;&gt;""))</formula>
    </cfRule>
  </conditionalFormatting>
  <conditionalFormatting sqref="F258">
    <cfRule type="expression" dxfId="2828" priority="134">
      <formula>NOT(AND(E258="", B257&lt;&gt;"",B256="Ambulant"))</formula>
    </cfRule>
  </conditionalFormatting>
  <conditionalFormatting sqref="F260">
    <cfRule type="expression" dxfId="2826" priority="132">
      <formula>NOT(AND(E260="", B257&lt;&gt;""))</formula>
    </cfRule>
  </conditionalFormatting>
  <conditionalFormatting sqref="F261">
    <cfRule type="expression" dxfId="2825" priority="127">
      <formula>NOT(AND(E261="", B257&lt;&gt;""))</formula>
    </cfRule>
  </conditionalFormatting>
  <conditionalFormatting sqref="F264">
    <cfRule type="expression" dxfId="2824" priority="99">
      <formula>NOT(AND(E264="", B264&lt;&gt;""))</formula>
    </cfRule>
  </conditionalFormatting>
  <conditionalFormatting sqref="F265">
    <cfRule type="expression" dxfId="2823" priority="98">
      <formula>NOT(AND(E265="", B264&lt;&gt;"",B263="Ambulant"))</formula>
    </cfRule>
  </conditionalFormatting>
  <conditionalFormatting sqref="F267">
    <cfRule type="expression" dxfId="2821" priority="96">
      <formula>NOT(AND(E267="", B264&lt;&gt;""))</formula>
    </cfRule>
  </conditionalFormatting>
  <conditionalFormatting sqref="F268">
    <cfRule type="expression" dxfId="2820" priority="91">
      <formula>NOT(AND(E268="", B264&lt;&gt;""))</formula>
    </cfRule>
  </conditionalFormatting>
  <conditionalFormatting sqref="F271">
    <cfRule type="expression" dxfId="2819" priority="63">
      <formula>NOT(AND(E271="", B271&lt;&gt;""))</formula>
    </cfRule>
  </conditionalFormatting>
  <conditionalFormatting sqref="F272">
    <cfRule type="expression" dxfId="2818" priority="62">
      <formula>NOT(AND(E272="", B271&lt;&gt;"",B270="Ambulant"))</formula>
    </cfRule>
  </conditionalFormatting>
  <conditionalFormatting sqref="F274">
    <cfRule type="expression" dxfId="2816" priority="60">
      <formula>NOT(AND(E274="", B271&lt;&gt;""))</formula>
    </cfRule>
  </conditionalFormatting>
  <conditionalFormatting sqref="F275">
    <cfRule type="expression" dxfId="2815" priority="55">
      <formula>NOT(AND(E275="", B271&lt;&gt;""))</formula>
    </cfRule>
  </conditionalFormatting>
  <conditionalFormatting sqref="F278">
    <cfRule type="expression" dxfId="2814" priority="27">
      <formula>NOT(AND(E278="", B278&lt;&gt;""))</formula>
    </cfRule>
  </conditionalFormatting>
  <conditionalFormatting sqref="F279">
    <cfRule type="expression" dxfId="2813" priority="26">
      <formula>NOT(AND(E279="", B278&lt;&gt;"",B277="Ambulant"))</formula>
    </cfRule>
  </conditionalFormatting>
  <conditionalFormatting sqref="F281">
    <cfRule type="expression" dxfId="2811" priority="24">
      <formula>NOT(AND(E281="", B278&lt;&gt;""))</formula>
    </cfRule>
  </conditionalFormatting>
  <conditionalFormatting sqref="F282">
    <cfRule type="expression" dxfId="2810" priority="19">
      <formula>NOT(AND(E282="", B278&lt;&gt;""))</formula>
    </cfRule>
  </conditionalFormatting>
  <conditionalFormatting sqref="G5">
    <cfRule type="expression" dxfId="2809" priority="18932">
      <formula>B5=""</formula>
    </cfRule>
  </conditionalFormatting>
  <conditionalFormatting sqref="G6">
    <cfRule type="expression" dxfId="2808" priority="18931">
      <formula>B5=""</formula>
    </cfRule>
  </conditionalFormatting>
  <conditionalFormatting sqref="G7">
    <cfRule type="expression" dxfId="2807" priority="18930">
      <formula>B5=""</formula>
    </cfRule>
  </conditionalFormatting>
  <conditionalFormatting sqref="G8">
    <cfRule type="expression" dxfId="2806" priority="18929">
      <formula>B5=""</formula>
    </cfRule>
  </conditionalFormatting>
  <conditionalFormatting sqref="G9">
    <cfRule type="expression" dxfId="2805" priority="18928">
      <formula>B5=""</formula>
    </cfRule>
  </conditionalFormatting>
  <conditionalFormatting sqref="G12">
    <cfRule type="expression" dxfId="2804" priority="18901">
      <formula>B12=""</formula>
    </cfRule>
  </conditionalFormatting>
  <conditionalFormatting sqref="G13">
    <cfRule type="expression" dxfId="2803" priority="18900">
      <formula>B12=""</formula>
    </cfRule>
  </conditionalFormatting>
  <conditionalFormatting sqref="G14">
    <cfRule type="expression" dxfId="2802" priority="18899">
      <formula>B12=""</formula>
    </cfRule>
  </conditionalFormatting>
  <conditionalFormatting sqref="G15">
    <cfRule type="expression" dxfId="2801" priority="18898">
      <formula>B12=""</formula>
    </cfRule>
  </conditionalFormatting>
  <conditionalFormatting sqref="G16">
    <cfRule type="expression" dxfId="2800" priority="18897">
      <formula>B12=""</formula>
    </cfRule>
  </conditionalFormatting>
  <conditionalFormatting sqref="G19">
    <cfRule type="expression" dxfId="2799" priority="8175">
      <formula>B19=""</formula>
    </cfRule>
  </conditionalFormatting>
  <conditionalFormatting sqref="G20">
    <cfRule type="expression" dxfId="2798" priority="8174">
      <formula>B19=""</formula>
    </cfRule>
  </conditionalFormatting>
  <conditionalFormatting sqref="G21">
    <cfRule type="expression" dxfId="2797" priority="8173">
      <formula>B19=""</formula>
    </cfRule>
  </conditionalFormatting>
  <conditionalFormatting sqref="G22">
    <cfRule type="expression" dxfId="2796" priority="8172">
      <formula>B19=""</formula>
    </cfRule>
  </conditionalFormatting>
  <conditionalFormatting sqref="G23">
    <cfRule type="expression" dxfId="2795" priority="8171">
      <formula>B19=""</formula>
    </cfRule>
  </conditionalFormatting>
  <conditionalFormatting sqref="G26">
    <cfRule type="expression" dxfId="2794" priority="5128">
      <formula>B26=""</formula>
    </cfRule>
  </conditionalFormatting>
  <conditionalFormatting sqref="G27">
    <cfRule type="expression" dxfId="2793" priority="5127">
      <formula>B26=""</formula>
    </cfRule>
  </conditionalFormatting>
  <conditionalFormatting sqref="G28">
    <cfRule type="expression" dxfId="2792" priority="5126">
      <formula>B26=""</formula>
    </cfRule>
  </conditionalFormatting>
  <conditionalFormatting sqref="G29">
    <cfRule type="expression" dxfId="2791" priority="5125">
      <formula>B26=""</formula>
    </cfRule>
  </conditionalFormatting>
  <conditionalFormatting sqref="G30">
    <cfRule type="expression" dxfId="2790" priority="5124">
      <formula>B26=""</formula>
    </cfRule>
  </conditionalFormatting>
  <conditionalFormatting sqref="G33">
    <cfRule type="expression" dxfId="2789" priority="2426">
      <formula>B33=""</formula>
    </cfRule>
  </conditionalFormatting>
  <conditionalFormatting sqref="G34">
    <cfRule type="expression" dxfId="2788" priority="2425">
      <formula>B33=""</formula>
    </cfRule>
  </conditionalFormatting>
  <conditionalFormatting sqref="G35">
    <cfRule type="expression" dxfId="2787" priority="2424">
      <formula>B33=""</formula>
    </cfRule>
  </conditionalFormatting>
  <conditionalFormatting sqref="G36">
    <cfRule type="expression" dxfId="2786" priority="2423">
      <formula>B33=""</formula>
    </cfRule>
  </conditionalFormatting>
  <conditionalFormatting sqref="G37">
    <cfRule type="expression" dxfId="2785" priority="2422">
      <formula>B33=""</formula>
    </cfRule>
  </conditionalFormatting>
  <conditionalFormatting sqref="G40">
    <cfRule type="expression" dxfId="2784" priority="2390">
      <formula>B40=""</formula>
    </cfRule>
  </conditionalFormatting>
  <conditionalFormatting sqref="G41">
    <cfRule type="expression" dxfId="2783" priority="2389">
      <formula>B40=""</formula>
    </cfRule>
  </conditionalFormatting>
  <conditionalFormatting sqref="G42">
    <cfRule type="expression" dxfId="2782" priority="2388">
      <formula>B40=""</formula>
    </cfRule>
  </conditionalFormatting>
  <conditionalFormatting sqref="G43">
    <cfRule type="expression" dxfId="2781" priority="2387">
      <formula>B40=""</formula>
    </cfRule>
  </conditionalFormatting>
  <conditionalFormatting sqref="G44">
    <cfRule type="expression" dxfId="2780" priority="2386">
      <formula>B40=""</formula>
    </cfRule>
  </conditionalFormatting>
  <conditionalFormatting sqref="G47">
    <cfRule type="expression" dxfId="2779" priority="2354">
      <formula>B47=""</formula>
    </cfRule>
  </conditionalFormatting>
  <conditionalFormatting sqref="G48">
    <cfRule type="expression" dxfId="2778" priority="2353">
      <formula>B47=""</formula>
    </cfRule>
  </conditionalFormatting>
  <conditionalFormatting sqref="G49">
    <cfRule type="expression" dxfId="2777" priority="2352">
      <formula>B47=""</formula>
    </cfRule>
  </conditionalFormatting>
  <conditionalFormatting sqref="G50">
    <cfRule type="expression" dxfId="2776" priority="2351">
      <formula>B47=""</formula>
    </cfRule>
  </conditionalFormatting>
  <conditionalFormatting sqref="G51">
    <cfRule type="expression" dxfId="2775" priority="2350">
      <formula>B47=""</formula>
    </cfRule>
  </conditionalFormatting>
  <conditionalFormatting sqref="G54">
    <cfRule type="expression" dxfId="2774" priority="2318">
      <formula>B54=""</formula>
    </cfRule>
  </conditionalFormatting>
  <conditionalFormatting sqref="G55">
    <cfRule type="expression" dxfId="2773" priority="2317">
      <formula>B54=""</formula>
    </cfRule>
  </conditionalFormatting>
  <conditionalFormatting sqref="G56">
    <cfRule type="expression" dxfId="2772" priority="2316">
      <formula>B54=""</formula>
    </cfRule>
  </conditionalFormatting>
  <conditionalFormatting sqref="G57">
    <cfRule type="expression" dxfId="2771" priority="2315">
      <formula>B54=""</formula>
    </cfRule>
  </conditionalFormatting>
  <conditionalFormatting sqref="G58">
    <cfRule type="expression" dxfId="2770" priority="2314">
      <formula>B54=""</formula>
    </cfRule>
  </conditionalFormatting>
  <conditionalFormatting sqref="G61">
    <cfRule type="expression" dxfId="2769" priority="1130">
      <formula>B61=""</formula>
    </cfRule>
  </conditionalFormatting>
  <conditionalFormatting sqref="G62">
    <cfRule type="expression" dxfId="2768" priority="1129">
      <formula>B61=""</formula>
    </cfRule>
  </conditionalFormatting>
  <conditionalFormatting sqref="G63">
    <cfRule type="expression" dxfId="2767" priority="1128">
      <formula>B61=""</formula>
    </cfRule>
  </conditionalFormatting>
  <conditionalFormatting sqref="G64">
    <cfRule type="expression" dxfId="2766" priority="1127">
      <formula>B61=""</formula>
    </cfRule>
  </conditionalFormatting>
  <conditionalFormatting sqref="G65">
    <cfRule type="expression" dxfId="2765" priority="1126">
      <formula>B61=""</formula>
    </cfRule>
  </conditionalFormatting>
  <conditionalFormatting sqref="G68">
    <cfRule type="expression" dxfId="2764" priority="1094">
      <formula>B68=""</formula>
    </cfRule>
  </conditionalFormatting>
  <conditionalFormatting sqref="G69">
    <cfRule type="expression" dxfId="2763" priority="1093">
      <formula>B68=""</formula>
    </cfRule>
  </conditionalFormatting>
  <conditionalFormatting sqref="G70">
    <cfRule type="expression" dxfId="2762" priority="1092">
      <formula>B68=""</formula>
    </cfRule>
  </conditionalFormatting>
  <conditionalFormatting sqref="G71">
    <cfRule type="expression" dxfId="2761" priority="1091">
      <formula>B68=""</formula>
    </cfRule>
  </conditionalFormatting>
  <conditionalFormatting sqref="G72">
    <cfRule type="expression" dxfId="2760" priority="1090">
      <formula>B68=""</formula>
    </cfRule>
  </conditionalFormatting>
  <conditionalFormatting sqref="G75">
    <cfRule type="expression" dxfId="2759" priority="1058">
      <formula>B75=""</formula>
    </cfRule>
  </conditionalFormatting>
  <conditionalFormatting sqref="G76">
    <cfRule type="expression" dxfId="2758" priority="1057">
      <formula>B75=""</formula>
    </cfRule>
  </conditionalFormatting>
  <conditionalFormatting sqref="G77">
    <cfRule type="expression" dxfId="2757" priority="1056">
      <formula>B75=""</formula>
    </cfRule>
  </conditionalFormatting>
  <conditionalFormatting sqref="G78">
    <cfRule type="expression" dxfId="2756" priority="1055">
      <formula>B75=""</formula>
    </cfRule>
  </conditionalFormatting>
  <conditionalFormatting sqref="G79">
    <cfRule type="expression" dxfId="2755" priority="1054">
      <formula>B75=""</formula>
    </cfRule>
  </conditionalFormatting>
  <conditionalFormatting sqref="G82">
    <cfRule type="expression" dxfId="2754" priority="1022">
      <formula>B82=""</formula>
    </cfRule>
  </conditionalFormatting>
  <conditionalFormatting sqref="G83">
    <cfRule type="expression" dxfId="2753" priority="1021">
      <formula>B82=""</formula>
    </cfRule>
  </conditionalFormatting>
  <conditionalFormatting sqref="G84">
    <cfRule type="expression" dxfId="2752" priority="1020">
      <formula>B82=""</formula>
    </cfRule>
  </conditionalFormatting>
  <conditionalFormatting sqref="G85">
    <cfRule type="expression" dxfId="2751" priority="1019">
      <formula>B82=""</formula>
    </cfRule>
  </conditionalFormatting>
  <conditionalFormatting sqref="G86">
    <cfRule type="expression" dxfId="2750" priority="1018">
      <formula>B82=""</formula>
    </cfRule>
  </conditionalFormatting>
  <conditionalFormatting sqref="G89">
    <cfRule type="expression" dxfId="2749" priority="986">
      <formula>B89=""</formula>
    </cfRule>
  </conditionalFormatting>
  <conditionalFormatting sqref="G90">
    <cfRule type="expression" dxfId="2748" priority="985">
      <formula>B89=""</formula>
    </cfRule>
  </conditionalFormatting>
  <conditionalFormatting sqref="G91">
    <cfRule type="expression" dxfId="2747" priority="984">
      <formula>B89=""</formula>
    </cfRule>
  </conditionalFormatting>
  <conditionalFormatting sqref="G92">
    <cfRule type="expression" dxfId="2746" priority="983">
      <formula>B89=""</formula>
    </cfRule>
  </conditionalFormatting>
  <conditionalFormatting sqref="G93">
    <cfRule type="expression" dxfId="2745" priority="982">
      <formula>B89=""</formula>
    </cfRule>
  </conditionalFormatting>
  <conditionalFormatting sqref="G96">
    <cfRule type="expression" dxfId="2744" priority="950">
      <formula>B96=""</formula>
    </cfRule>
  </conditionalFormatting>
  <conditionalFormatting sqref="G97">
    <cfRule type="expression" dxfId="2743" priority="949">
      <formula>B96=""</formula>
    </cfRule>
  </conditionalFormatting>
  <conditionalFormatting sqref="G98">
    <cfRule type="expression" dxfId="2742" priority="948">
      <formula>B96=""</formula>
    </cfRule>
  </conditionalFormatting>
  <conditionalFormatting sqref="G99">
    <cfRule type="expression" dxfId="2741" priority="947">
      <formula>B96=""</formula>
    </cfRule>
  </conditionalFormatting>
  <conditionalFormatting sqref="G100">
    <cfRule type="expression" dxfId="2740" priority="946">
      <formula>B96=""</formula>
    </cfRule>
  </conditionalFormatting>
  <conditionalFormatting sqref="G103">
    <cfRule type="expression" dxfId="2739" priority="914">
      <formula>B103=""</formula>
    </cfRule>
  </conditionalFormatting>
  <conditionalFormatting sqref="G104">
    <cfRule type="expression" dxfId="2738" priority="913">
      <formula>B103=""</formula>
    </cfRule>
  </conditionalFormatting>
  <conditionalFormatting sqref="G105">
    <cfRule type="expression" dxfId="2737" priority="912">
      <formula>B103=""</formula>
    </cfRule>
  </conditionalFormatting>
  <conditionalFormatting sqref="G106">
    <cfRule type="expression" dxfId="2736" priority="911">
      <formula>B103=""</formula>
    </cfRule>
  </conditionalFormatting>
  <conditionalFormatting sqref="G107">
    <cfRule type="expression" dxfId="2735" priority="910">
      <formula>B103=""</formula>
    </cfRule>
  </conditionalFormatting>
  <conditionalFormatting sqref="G110">
    <cfRule type="expression" dxfId="2734" priority="878">
      <formula>B110=""</formula>
    </cfRule>
  </conditionalFormatting>
  <conditionalFormatting sqref="G111">
    <cfRule type="expression" dxfId="2733" priority="877">
      <formula>B110=""</formula>
    </cfRule>
  </conditionalFormatting>
  <conditionalFormatting sqref="G112">
    <cfRule type="expression" dxfId="2732" priority="876">
      <formula>B110=""</formula>
    </cfRule>
  </conditionalFormatting>
  <conditionalFormatting sqref="G113">
    <cfRule type="expression" dxfId="2731" priority="875">
      <formula>B110=""</formula>
    </cfRule>
  </conditionalFormatting>
  <conditionalFormatting sqref="G114">
    <cfRule type="expression" dxfId="2730" priority="874">
      <formula>B110=""</formula>
    </cfRule>
  </conditionalFormatting>
  <conditionalFormatting sqref="G117">
    <cfRule type="expression" dxfId="2729" priority="842">
      <formula>B117=""</formula>
    </cfRule>
  </conditionalFormatting>
  <conditionalFormatting sqref="G118">
    <cfRule type="expression" dxfId="2728" priority="841">
      <formula>B117=""</formula>
    </cfRule>
  </conditionalFormatting>
  <conditionalFormatting sqref="G119">
    <cfRule type="expression" dxfId="2727" priority="840">
      <formula>B117=""</formula>
    </cfRule>
  </conditionalFormatting>
  <conditionalFormatting sqref="G120">
    <cfRule type="expression" dxfId="2726" priority="839">
      <formula>B117=""</formula>
    </cfRule>
  </conditionalFormatting>
  <conditionalFormatting sqref="G121">
    <cfRule type="expression" dxfId="2725" priority="838">
      <formula>B117=""</formula>
    </cfRule>
  </conditionalFormatting>
  <conditionalFormatting sqref="G124">
    <cfRule type="expression" dxfId="2724" priority="806">
      <formula>B124=""</formula>
    </cfRule>
  </conditionalFormatting>
  <conditionalFormatting sqref="G125">
    <cfRule type="expression" dxfId="2723" priority="805">
      <formula>B124=""</formula>
    </cfRule>
  </conditionalFormatting>
  <conditionalFormatting sqref="G126">
    <cfRule type="expression" dxfId="2722" priority="804">
      <formula>B124=""</formula>
    </cfRule>
  </conditionalFormatting>
  <conditionalFormatting sqref="G127">
    <cfRule type="expression" dxfId="2721" priority="803">
      <formula>B124=""</formula>
    </cfRule>
  </conditionalFormatting>
  <conditionalFormatting sqref="G128">
    <cfRule type="expression" dxfId="2720" priority="802">
      <formula>B124=""</formula>
    </cfRule>
  </conditionalFormatting>
  <conditionalFormatting sqref="G131">
    <cfRule type="expression" dxfId="2719" priority="770">
      <formula>B131=""</formula>
    </cfRule>
  </conditionalFormatting>
  <conditionalFormatting sqref="G132">
    <cfRule type="expression" dxfId="2718" priority="769">
      <formula>B131=""</formula>
    </cfRule>
  </conditionalFormatting>
  <conditionalFormatting sqref="G133">
    <cfRule type="expression" dxfId="2717" priority="768">
      <formula>B131=""</formula>
    </cfRule>
  </conditionalFormatting>
  <conditionalFormatting sqref="G134">
    <cfRule type="expression" dxfId="2716" priority="767">
      <formula>B131=""</formula>
    </cfRule>
  </conditionalFormatting>
  <conditionalFormatting sqref="G135">
    <cfRule type="expression" dxfId="2715" priority="766">
      <formula>B131=""</formula>
    </cfRule>
  </conditionalFormatting>
  <conditionalFormatting sqref="G138">
    <cfRule type="expression" dxfId="2714" priority="734">
      <formula>B138=""</formula>
    </cfRule>
  </conditionalFormatting>
  <conditionalFormatting sqref="G139">
    <cfRule type="expression" dxfId="2713" priority="733">
      <formula>B138=""</formula>
    </cfRule>
  </conditionalFormatting>
  <conditionalFormatting sqref="G140">
    <cfRule type="expression" dxfId="2712" priority="732">
      <formula>B138=""</formula>
    </cfRule>
  </conditionalFormatting>
  <conditionalFormatting sqref="G141">
    <cfRule type="expression" dxfId="2711" priority="731">
      <formula>B138=""</formula>
    </cfRule>
  </conditionalFormatting>
  <conditionalFormatting sqref="G142">
    <cfRule type="expression" dxfId="2710" priority="730">
      <formula>B138=""</formula>
    </cfRule>
  </conditionalFormatting>
  <conditionalFormatting sqref="G145">
    <cfRule type="expression" dxfId="2709" priority="698">
      <formula>B145=""</formula>
    </cfRule>
  </conditionalFormatting>
  <conditionalFormatting sqref="G146">
    <cfRule type="expression" dxfId="2708" priority="697">
      <formula>B145=""</formula>
    </cfRule>
  </conditionalFormatting>
  <conditionalFormatting sqref="G147">
    <cfRule type="expression" dxfId="2707" priority="696">
      <formula>B145=""</formula>
    </cfRule>
  </conditionalFormatting>
  <conditionalFormatting sqref="G148">
    <cfRule type="expression" dxfId="2706" priority="695">
      <formula>B145=""</formula>
    </cfRule>
  </conditionalFormatting>
  <conditionalFormatting sqref="G149">
    <cfRule type="expression" dxfId="2705" priority="694">
      <formula>B145=""</formula>
    </cfRule>
  </conditionalFormatting>
  <conditionalFormatting sqref="G152">
    <cfRule type="expression" dxfId="2704" priority="662">
      <formula>B152=""</formula>
    </cfRule>
  </conditionalFormatting>
  <conditionalFormatting sqref="G153">
    <cfRule type="expression" dxfId="2703" priority="661">
      <formula>B152=""</formula>
    </cfRule>
  </conditionalFormatting>
  <conditionalFormatting sqref="G154">
    <cfRule type="expression" dxfId="2702" priority="660">
      <formula>B152=""</formula>
    </cfRule>
  </conditionalFormatting>
  <conditionalFormatting sqref="G155">
    <cfRule type="expression" dxfId="2701" priority="659">
      <formula>B152=""</formula>
    </cfRule>
  </conditionalFormatting>
  <conditionalFormatting sqref="G156">
    <cfRule type="expression" dxfId="2700" priority="658">
      <formula>B152=""</formula>
    </cfRule>
  </conditionalFormatting>
  <conditionalFormatting sqref="G159">
    <cfRule type="expression" dxfId="2699" priority="626">
      <formula>B159=""</formula>
    </cfRule>
  </conditionalFormatting>
  <conditionalFormatting sqref="G160">
    <cfRule type="expression" dxfId="2698" priority="625">
      <formula>B159=""</formula>
    </cfRule>
  </conditionalFormatting>
  <conditionalFormatting sqref="G161">
    <cfRule type="expression" dxfId="2697" priority="624">
      <formula>B159=""</formula>
    </cfRule>
  </conditionalFormatting>
  <conditionalFormatting sqref="G162">
    <cfRule type="expression" dxfId="2696" priority="623">
      <formula>B159=""</formula>
    </cfRule>
  </conditionalFormatting>
  <conditionalFormatting sqref="G163">
    <cfRule type="expression" dxfId="2695" priority="622">
      <formula>B159=""</formula>
    </cfRule>
  </conditionalFormatting>
  <conditionalFormatting sqref="G166">
    <cfRule type="expression" dxfId="2694" priority="590">
      <formula>B166=""</formula>
    </cfRule>
  </conditionalFormatting>
  <conditionalFormatting sqref="G167">
    <cfRule type="expression" dxfId="2693" priority="589">
      <formula>B166=""</formula>
    </cfRule>
  </conditionalFormatting>
  <conditionalFormatting sqref="G168">
    <cfRule type="expression" dxfId="2692" priority="588">
      <formula>B166=""</formula>
    </cfRule>
  </conditionalFormatting>
  <conditionalFormatting sqref="G169">
    <cfRule type="expression" dxfId="2691" priority="587">
      <formula>B166=""</formula>
    </cfRule>
  </conditionalFormatting>
  <conditionalFormatting sqref="G170">
    <cfRule type="expression" dxfId="2690" priority="586">
      <formula>B166=""</formula>
    </cfRule>
  </conditionalFormatting>
  <conditionalFormatting sqref="G173">
    <cfRule type="expression" dxfId="2689" priority="554">
      <formula>B173=""</formula>
    </cfRule>
  </conditionalFormatting>
  <conditionalFormatting sqref="G174">
    <cfRule type="expression" dxfId="2688" priority="553">
      <formula>B173=""</formula>
    </cfRule>
  </conditionalFormatting>
  <conditionalFormatting sqref="G175">
    <cfRule type="expression" dxfId="2687" priority="552">
      <formula>B173=""</formula>
    </cfRule>
  </conditionalFormatting>
  <conditionalFormatting sqref="G176">
    <cfRule type="expression" dxfId="2686" priority="551">
      <formula>B173=""</formula>
    </cfRule>
  </conditionalFormatting>
  <conditionalFormatting sqref="G177">
    <cfRule type="expression" dxfId="2685" priority="550">
      <formula>B173=""</formula>
    </cfRule>
  </conditionalFormatting>
  <conditionalFormatting sqref="G180">
    <cfRule type="expression" dxfId="2684" priority="518">
      <formula>B180=""</formula>
    </cfRule>
  </conditionalFormatting>
  <conditionalFormatting sqref="G181">
    <cfRule type="expression" dxfId="2683" priority="517">
      <formula>B180=""</formula>
    </cfRule>
  </conditionalFormatting>
  <conditionalFormatting sqref="G182">
    <cfRule type="expression" dxfId="2682" priority="516">
      <formula>B180=""</formula>
    </cfRule>
  </conditionalFormatting>
  <conditionalFormatting sqref="G183">
    <cfRule type="expression" dxfId="2681" priority="515">
      <formula>B180=""</formula>
    </cfRule>
  </conditionalFormatting>
  <conditionalFormatting sqref="G184">
    <cfRule type="expression" dxfId="2680" priority="514">
      <formula>B180=""</formula>
    </cfRule>
  </conditionalFormatting>
  <conditionalFormatting sqref="G187">
    <cfRule type="expression" dxfId="2679" priority="482">
      <formula>B187=""</formula>
    </cfRule>
  </conditionalFormatting>
  <conditionalFormatting sqref="G188">
    <cfRule type="expression" dxfId="2678" priority="481">
      <formula>B187=""</formula>
    </cfRule>
  </conditionalFormatting>
  <conditionalFormatting sqref="G189">
    <cfRule type="expression" dxfId="2677" priority="480">
      <formula>B187=""</formula>
    </cfRule>
  </conditionalFormatting>
  <conditionalFormatting sqref="G190">
    <cfRule type="expression" dxfId="2676" priority="479">
      <formula>B187=""</formula>
    </cfRule>
  </conditionalFormatting>
  <conditionalFormatting sqref="G191">
    <cfRule type="expression" dxfId="2675" priority="478">
      <formula>B187=""</formula>
    </cfRule>
  </conditionalFormatting>
  <conditionalFormatting sqref="G194">
    <cfRule type="expression" dxfId="2674" priority="446">
      <formula>B194=""</formula>
    </cfRule>
  </conditionalFormatting>
  <conditionalFormatting sqref="G195">
    <cfRule type="expression" dxfId="2673" priority="445">
      <formula>B194=""</formula>
    </cfRule>
  </conditionalFormatting>
  <conditionalFormatting sqref="G196">
    <cfRule type="expression" dxfId="2672" priority="444">
      <formula>B194=""</formula>
    </cfRule>
  </conditionalFormatting>
  <conditionalFormatting sqref="G197">
    <cfRule type="expression" dxfId="2671" priority="443">
      <formula>B194=""</formula>
    </cfRule>
  </conditionalFormatting>
  <conditionalFormatting sqref="G198">
    <cfRule type="expression" dxfId="2670" priority="442">
      <formula>B194=""</formula>
    </cfRule>
  </conditionalFormatting>
  <conditionalFormatting sqref="G201">
    <cfRule type="expression" dxfId="2669" priority="410">
      <formula>B201=""</formula>
    </cfRule>
  </conditionalFormatting>
  <conditionalFormatting sqref="G202">
    <cfRule type="expression" dxfId="2668" priority="409">
      <formula>B201=""</formula>
    </cfRule>
  </conditionalFormatting>
  <conditionalFormatting sqref="G203">
    <cfRule type="expression" dxfId="2667" priority="408">
      <formula>B201=""</formula>
    </cfRule>
  </conditionalFormatting>
  <conditionalFormatting sqref="G204">
    <cfRule type="expression" dxfId="2666" priority="407">
      <formula>B201=""</formula>
    </cfRule>
  </conditionalFormatting>
  <conditionalFormatting sqref="G205">
    <cfRule type="expression" dxfId="2665" priority="406">
      <formula>B201=""</formula>
    </cfRule>
  </conditionalFormatting>
  <conditionalFormatting sqref="G208">
    <cfRule type="expression" dxfId="2664" priority="374">
      <formula>B208=""</formula>
    </cfRule>
  </conditionalFormatting>
  <conditionalFormatting sqref="G209">
    <cfRule type="expression" dxfId="2663" priority="373">
      <formula>B208=""</formula>
    </cfRule>
  </conditionalFormatting>
  <conditionalFormatting sqref="G210">
    <cfRule type="expression" dxfId="2662" priority="372">
      <formula>B208=""</formula>
    </cfRule>
  </conditionalFormatting>
  <conditionalFormatting sqref="G211">
    <cfRule type="expression" dxfId="2661" priority="371">
      <formula>B208=""</formula>
    </cfRule>
  </conditionalFormatting>
  <conditionalFormatting sqref="G212">
    <cfRule type="expression" dxfId="2660" priority="370">
      <formula>B208=""</formula>
    </cfRule>
  </conditionalFormatting>
  <conditionalFormatting sqref="G215">
    <cfRule type="expression" dxfId="2659" priority="338">
      <formula>B215=""</formula>
    </cfRule>
  </conditionalFormatting>
  <conditionalFormatting sqref="G216">
    <cfRule type="expression" dxfId="2658" priority="337">
      <formula>B215=""</formula>
    </cfRule>
  </conditionalFormatting>
  <conditionalFormatting sqref="G217">
    <cfRule type="expression" dxfId="2657" priority="336">
      <formula>B215=""</formula>
    </cfRule>
  </conditionalFormatting>
  <conditionalFormatting sqref="G218">
    <cfRule type="expression" dxfId="2656" priority="335">
      <formula>B215=""</formula>
    </cfRule>
  </conditionalFormatting>
  <conditionalFormatting sqref="G219">
    <cfRule type="expression" dxfId="2655" priority="334">
      <formula>B215=""</formula>
    </cfRule>
  </conditionalFormatting>
  <conditionalFormatting sqref="G222">
    <cfRule type="expression" dxfId="2654" priority="302">
      <formula>B222=""</formula>
    </cfRule>
  </conditionalFormatting>
  <conditionalFormatting sqref="G223">
    <cfRule type="expression" dxfId="2653" priority="301">
      <formula>B222=""</formula>
    </cfRule>
  </conditionalFormatting>
  <conditionalFormatting sqref="G224">
    <cfRule type="expression" dxfId="2652" priority="300">
      <formula>B222=""</formula>
    </cfRule>
  </conditionalFormatting>
  <conditionalFormatting sqref="G225">
    <cfRule type="expression" dxfId="2651" priority="299">
      <formula>B222=""</formula>
    </cfRule>
  </conditionalFormatting>
  <conditionalFormatting sqref="G226">
    <cfRule type="expression" dxfId="2650" priority="298">
      <formula>B222=""</formula>
    </cfRule>
  </conditionalFormatting>
  <conditionalFormatting sqref="G229">
    <cfRule type="expression" dxfId="2649" priority="266">
      <formula>B229=""</formula>
    </cfRule>
  </conditionalFormatting>
  <conditionalFormatting sqref="G230">
    <cfRule type="expression" dxfId="2648" priority="265">
      <formula>B229=""</formula>
    </cfRule>
  </conditionalFormatting>
  <conditionalFormatting sqref="G231">
    <cfRule type="expression" dxfId="2647" priority="264">
      <formula>B229=""</formula>
    </cfRule>
  </conditionalFormatting>
  <conditionalFormatting sqref="G232">
    <cfRule type="expression" dxfId="2646" priority="263">
      <formula>B229=""</formula>
    </cfRule>
  </conditionalFormatting>
  <conditionalFormatting sqref="G233">
    <cfRule type="expression" dxfId="2645" priority="262">
      <formula>B229=""</formula>
    </cfRule>
  </conditionalFormatting>
  <conditionalFormatting sqref="G236">
    <cfRule type="expression" dxfId="2644" priority="230">
      <formula>B236=""</formula>
    </cfRule>
  </conditionalFormatting>
  <conditionalFormatting sqref="G237">
    <cfRule type="expression" dxfId="2643" priority="229">
      <formula>B236=""</formula>
    </cfRule>
  </conditionalFormatting>
  <conditionalFormatting sqref="G238">
    <cfRule type="expression" dxfId="2642" priority="228">
      <formula>B236=""</formula>
    </cfRule>
  </conditionalFormatting>
  <conditionalFormatting sqref="G239">
    <cfRule type="expression" dxfId="2641" priority="227">
      <formula>B236=""</formula>
    </cfRule>
  </conditionalFormatting>
  <conditionalFormatting sqref="G240">
    <cfRule type="expression" dxfId="2640" priority="226">
      <formula>B236=""</formula>
    </cfRule>
  </conditionalFormatting>
  <conditionalFormatting sqref="G243">
    <cfRule type="expression" dxfId="2639" priority="194">
      <formula>B243=""</formula>
    </cfRule>
  </conditionalFormatting>
  <conditionalFormatting sqref="G244">
    <cfRule type="expression" dxfId="2638" priority="193">
      <formula>B243=""</formula>
    </cfRule>
  </conditionalFormatting>
  <conditionalFormatting sqref="G245">
    <cfRule type="expression" dxfId="2637" priority="192">
      <formula>B243=""</formula>
    </cfRule>
  </conditionalFormatting>
  <conditionalFormatting sqref="G246">
    <cfRule type="expression" dxfId="2636" priority="191">
      <formula>B243=""</formula>
    </cfRule>
  </conditionalFormatting>
  <conditionalFormatting sqref="G247">
    <cfRule type="expression" dxfId="2635" priority="190">
      <formula>B243=""</formula>
    </cfRule>
  </conditionalFormatting>
  <conditionalFormatting sqref="G250">
    <cfRule type="expression" dxfId="2634" priority="158">
      <formula>B250=""</formula>
    </cfRule>
  </conditionalFormatting>
  <conditionalFormatting sqref="G251">
    <cfRule type="expression" dxfId="2633" priority="157">
      <formula>B250=""</formula>
    </cfRule>
  </conditionalFormatting>
  <conditionalFormatting sqref="G252">
    <cfRule type="expression" dxfId="2632" priority="156">
      <formula>B250=""</formula>
    </cfRule>
  </conditionalFormatting>
  <conditionalFormatting sqref="G253">
    <cfRule type="expression" dxfId="2631" priority="155">
      <formula>B250=""</formula>
    </cfRule>
  </conditionalFormatting>
  <conditionalFormatting sqref="G254">
    <cfRule type="expression" dxfId="2630" priority="154">
      <formula>B250=""</formula>
    </cfRule>
  </conditionalFormatting>
  <conditionalFormatting sqref="G257">
    <cfRule type="expression" dxfId="2629" priority="122">
      <formula>B257=""</formula>
    </cfRule>
  </conditionalFormatting>
  <conditionalFormatting sqref="G258">
    <cfRule type="expression" dxfId="2628" priority="121">
      <formula>B257=""</formula>
    </cfRule>
  </conditionalFormatting>
  <conditionalFormatting sqref="G259">
    <cfRule type="expression" dxfId="2627" priority="120">
      <formula>B257=""</formula>
    </cfRule>
  </conditionalFormatting>
  <conditionalFormatting sqref="G260">
    <cfRule type="expression" dxfId="2626" priority="119">
      <formula>B257=""</formula>
    </cfRule>
  </conditionalFormatting>
  <conditionalFormatting sqref="G261">
    <cfRule type="expression" dxfId="2625" priority="118">
      <formula>B257=""</formula>
    </cfRule>
  </conditionalFormatting>
  <conditionalFormatting sqref="G264">
    <cfRule type="expression" dxfId="2624" priority="86">
      <formula>B264=""</formula>
    </cfRule>
  </conditionalFormatting>
  <conditionalFormatting sqref="G265">
    <cfRule type="expression" dxfId="2623" priority="85">
      <formula>B264=""</formula>
    </cfRule>
  </conditionalFormatting>
  <conditionalFormatting sqref="G266">
    <cfRule type="expression" dxfId="2622" priority="84">
      <formula>B264=""</formula>
    </cfRule>
  </conditionalFormatting>
  <conditionalFormatting sqref="G267">
    <cfRule type="expression" dxfId="2621" priority="83">
      <formula>B264=""</formula>
    </cfRule>
  </conditionalFormatting>
  <conditionalFormatting sqref="G268">
    <cfRule type="expression" dxfId="2620" priority="82">
      <formula>B264=""</formula>
    </cfRule>
  </conditionalFormatting>
  <conditionalFormatting sqref="G271">
    <cfRule type="expression" dxfId="2619" priority="50">
      <formula>B271=""</formula>
    </cfRule>
  </conditionalFormatting>
  <conditionalFormatting sqref="G272">
    <cfRule type="expression" dxfId="2618" priority="49">
      <formula>B271=""</formula>
    </cfRule>
  </conditionalFormatting>
  <conditionalFormatting sqref="G273">
    <cfRule type="expression" dxfId="2617" priority="48">
      <formula>B271=""</formula>
    </cfRule>
  </conditionalFormatting>
  <conditionalFormatting sqref="G274">
    <cfRule type="expression" dxfId="2616" priority="47">
      <formula>B271=""</formula>
    </cfRule>
  </conditionalFormatting>
  <conditionalFormatting sqref="G275">
    <cfRule type="expression" dxfId="2615" priority="46">
      <formula>B271=""</formula>
    </cfRule>
  </conditionalFormatting>
  <conditionalFormatting sqref="G278">
    <cfRule type="expression" dxfId="2614" priority="14">
      <formula>B278=""</formula>
    </cfRule>
  </conditionalFormatting>
  <conditionalFormatting sqref="G279">
    <cfRule type="expression" dxfId="2613" priority="13">
      <formula>B278=""</formula>
    </cfRule>
  </conditionalFormatting>
  <conditionalFormatting sqref="G280">
    <cfRule type="expression" dxfId="2612" priority="12">
      <formula>B278=""</formula>
    </cfRule>
  </conditionalFormatting>
  <conditionalFormatting sqref="G281">
    <cfRule type="expression" dxfId="2611" priority="11">
      <formula>B278=""</formula>
    </cfRule>
  </conditionalFormatting>
  <conditionalFormatting sqref="G282">
    <cfRule type="expression" dxfId="2610" priority="10">
      <formula>B278=""</formula>
    </cfRule>
  </conditionalFormatting>
  <conditionalFormatting sqref="H5">
    <cfRule type="expression" dxfId="2609" priority="21371">
      <formula>B5=""</formula>
    </cfRule>
  </conditionalFormatting>
  <conditionalFormatting sqref="H6">
    <cfRule type="expression" dxfId="2608" priority="21379">
      <formula>OR(NOT(OR(B4="Verblijf",B4="Daghulp")),B5="")</formula>
    </cfRule>
  </conditionalFormatting>
  <conditionalFormatting sqref="H7">
    <cfRule type="expression" dxfId="2607" priority="21378">
      <formula>OR(NOT(OR(B4="Verblijf",B4="Daghulp")),B5="")</formula>
    </cfRule>
  </conditionalFormatting>
  <conditionalFormatting sqref="H8">
    <cfRule type="expression" dxfId="2606" priority="21389">
      <formula>OR(NOT(OR(B4="Verblijf",B4="Daghulp")),B5="")</formula>
    </cfRule>
  </conditionalFormatting>
  <conditionalFormatting sqref="H9">
    <cfRule type="expression" dxfId="2605" priority="21380">
      <formula>OR(NOT(OR(B4="Verblijf",B4="Daghulp")),B5="")</formula>
    </cfRule>
  </conditionalFormatting>
  <conditionalFormatting sqref="H12">
    <cfRule type="expression" dxfId="2604" priority="18917">
      <formula>B12=""</formula>
    </cfRule>
  </conditionalFormatting>
  <conditionalFormatting sqref="H13">
    <cfRule type="expression" dxfId="2603" priority="18923">
      <formula>OR(NOT(OR(B11="Verblijf",B11="Daghulp")),B12="")</formula>
    </cfRule>
  </conditionalFormatting>
  <conditionalFormatting sqref="H14">
    <cfRule type="expression" dxfId="2602" priority="18922">
      <formula>OR(NOT(OR(B11="Verblijf",B11="Daghulp")),B12="")</formula>
    </cfRule>
  </conditionalFormatting>
  <conditionalFormatting sqref="H15">
    <cfRule type="expression" dxfId="2601" priority="18925">
      <formula>OR(NOT(OR(B11="Verblijf",B11="Daghulp")),B12="")</formula>
    </cfRule>
  </conditionalFormatting>
  <conditionalFormatting sqref="H16">
    <cfRule type="expression" dxfId="2600" priority="18924">
      <formula>OR(NOT(OR(B11="Verblijf",B11="Daghulp")),B12="")</formula>
    </cfRule>
  </conditionalFormatting>
  <conditionalFormatting sqref="H19">
    <cfRule type="expression" dxfId="2599" priority="8189">
      <formula>B19=""</formula>
    </cfRule>
  </conditionalFormatting>
  <conditionalFormatting sqref="H20">
    <cfRule type="expression" dxfId="2598" priority="8195">
      <formula>OR(NOT(OR(B18="Verblijf",B18="Daghulp")),B19="")</formula>
    </cfRule>
  </conditionalFormatting>
  <conditionalFormatting sqref="H21">
    <cfRule type="expression" dxfId="2597" priority="8194">
      <formula>OR(NOT(OR(B18="Verblijf",B18="Daghulp")),B19="")</formula>
    </cfRule>
  </conditionalFormatting>
  <conditionalFormatting sqref="H22">
    <cfRule type="expression" dxfId="2596" priority="8197">
      <formula>OR(NOT(OR(B18="Verblijf",B18="Daghulp")),B19="")</formula>
    </cfRule>
  </conditionalFormatting>
  <conditionalFormatting sqref="H23">
    <cfRule type="expression" dxfId="2595" priority="8196">
      <formula>OR(NOT(OR(B18="Verblijf",B18="Daghulp")),B19="")</formula>
    </cfRule>
  </conditionalFormatting>
  <conditionalFormatting sqref="H26">
    <cfRule type="expression" dxfId="2594" priority="5142">
      <formula>B26=""</formula>
    </cfRule>
  </conditionalFormatting>
  <conditionalFormatting sqref="H27">
    <cfRule type="expression" dxfId="2593" priority="5147">
      <formula>OR(NOT(OR(B25="Verblijf",B25="Daghulp")),B26="")</formula>
    </cfRule>
  </conditionalFormatting>
  <conditionalFormatting sqref="H28">
    <cfRule type="expression" dxfId="2592" priority="5146">
      <formula>OR(NOT(OR(B25="Verblijf",B25="Daghulp")),B26="")</formula>
    </cfRule>
  </conditionalFormatting>
  <conditionalFormatting sqref="H29">
    <cfRule type="expression" dxfId="2591" priority="5149">
      <formula>OR(NOT(OR(B25="Verblijf",B25="Daghulp")),B26="")</formula>
    </cfRule>
  </conditionalFormatting>
  <conditionalFormatting sqref="H30">
    <cfRule type="expression" dxfId="2590" priority="5148">
      <formula>OR(NOT(OR(B25="Verblijf",B25="Daghulp")),B26="")</formula>
    </cfRule>
  </conditionalFormatting>
  <conditionalFormatting sqref="H33">
    <cfRule type="expression" dxfId="2589" priority="2440">
      <formula>B33=""</formula>
    </cfRule>
  </conditionalFormatting>
  <conditionalFormatting sqref="H34">
    <cfRule type="expression" dxfId="2588" priority="2445">
      <formula>OR(NOT(OR(B32="Verblijf",B32="Daghulp")),B33="")</formula>
    </cfRule>
  </conditionalFormatting>
  <conditionalFormatting sqref="H35">
    <cfRule type="expression" dxfId="2587" priority="2444">
      <formula>OR(NOT(OR(B32="Verblijf",B32="Daghulp")),B33="")</formula>
    </cfRule>
  </conditionalFormatting>
  <conditionalFormatting sqref="H36">
    <cfRule type="expression" dxfId="2586" priority="2447">
      <formula>OR(NOT(OR(B32="Verblijf",B32="Daghulp")),B33="")</formula>
    </cfRule>
  </conditionalFormatting>
  <conditionalFormatting sqref="H37">
    <cfRule type="expression" dxfId="2585" priority="2446">
      <formula>OR(NOT(OR(B32="Verblijf",B32="Daghulp")),B33="")</formula>
    </cfRule>
  </conditionalFormatting>
  <conditionalFormatting sqref="H40">
    <cfRule type="expression" dxfId="2584" priority="2404">
      <formula>B40=""</formula>
    </cfRule>
  </conditionalFormatting>
  <conditionalFormatting sqref="H41">
    <cfRule type="expression" dxfId="2583" priority="2409">
      <formula>OR(NOT(OR(B39="Verblijf",B39="Daghulp")),B40="")</formula>
    </cfRule>
  </conditionalFormatting>
  <conditionalFormatting sqref="H42">
    <cfRule type="expression" dxfId="2582" priority="2408">
      <formula>OR(NOT(OR(B39="Verblijf",B39="Daghulp")),B40="")</formula>
    </cfRule>
  </conditionalFormatting>
  <conditionalFormatting sqref="H43">
    <cfRule type="expression" dxfId="2581" priority="2411">
      <formula>OR(NOT(OR(B39="Verblijf",B39="Daghulp")),B40="")</formula>
    </cfRule>
  </conditionalFormatting>
  <conditionalFormatting sqref="H44">
    <cfRule type="expression" dxfId="2580" priority="2410">
      <formula>OR(NOT(OR(B39="Verblijf",B39="Daghulp")),B40="")</formula>
    </cfRule>
  </conditionalFormatting>
  <conditionalFormatting sqref="H47">
    <cfRule type="expression" dxfId="2579" priority="2368">
      <formula>B47=""</formula>
    </cfRule>
  </conditionalFormatting>
  <conditionalFormatting sqref="H48">
    <cfRule type="expression" dxfId="2578" priority="2373">
      <formula>OR(NOT(OR(B46="Verblijf",B46="Daghulp")),B47="")</formula>
    </cfRule>
  </conditionalFormatting>
  <conditionalFormatting sqref="H49">
    <cfRule type="expression" dxfId="2577" priority="2372">
      <formula>OR(NOT(OR(B46="Verblijf",B46="Daghulp")),B47="")</formula>
    </cfRule>
  </conditionalFormatting>
  <conditionalFormatting sqref="H50">
    <cfRule type="expression" dxfId="2576" priority="2375">
      <formula>OR(NOT(OR(B46="Verblijf",B46="Daghulp")),B47="")</formula>
    </cfRule>
  </conditionalFormatting>
  <conditionalFormatting sqref="H51">
    <cfRule type="expression" dxfId="2575" priority="2374">
      <formula>OR(NOT(OR(B46="Verblijf",B46="Daghulp")),B47="")</formula>
    </cfRule>
  </conditionalFormatting>
  <conditionalFormatting sqref="H54">
    <cfRule type="expression" dxfId="2574" priority="2332">
      <formula>B54=""</formula>
    </cfRule>
  </conditionalFormatting>
  <conditionalFormatting sqref="H55">
    <cfRule type="expression" dxfId="2573" priority="2337">
      <formula>OR(NOT(OR(B53="Verblijf",B53="Daghulp")),B54="")</formula>
    </cfRule>
  </conditionalFormatting>
  <conditionalFormatting sqref="H56">
    <cfRule type="expression" dxfId="2572" priority="2336">
      <formula>OR(NOT(OR(B53="Verblijf",B53="Daghulp")),B54="")</formula>
    </cfRule>
  </conditionalFormatting>
  <conditionalFormatting sqref="H57">
    <cfRule type="expression" dxfId="2571" priority="2339">
      <formula>OR(NOT(OR(B53="Verblijf",B53="Daghulp")),B54="")</formula>
    </cfRule>
  </conditionalFormatting>
  <conditionalFormatting sqref="H58">
    <cfRule type="expression" dxfId="2570" priority="2338">
      <formula>OR(NOT(OR(B53="Verblijf",B53="Daghulp")),B54="")</formula>
    </cfRule>
  </conditionalFormatting>
  <conditionalFormatting sqref="H61">
    <cfRule type="expression" dxfId="2569" priority="1144">
      <formula>B61=""</formula>
    </cfRule>
  </conditionalFormatting>
  <conditionalFormatting sqref="H62">
    <cfRule type="expression" dxfId="2568" priority="1149">
      <formula>OR(NOT(OR(B60="Verblijf",B60="Daghulp")),B61="")</formula>
    </cfRule>
  </conditionalFormatting>
  <conditionalFormatting sqref="H63">
    <cfRule type="expression" dxfId="2567" priority="1148">
      <formula>OR(NOT(OR(B60="Verblijf",B60="Daghulp")),B61="")</formula>
    </cfRule>
  </conditionalFormatting>
  <conditionalFormatting sqref="H64">
    <cfRule type="expression" dxfId="2566" priority="1151">
      <formula>OR(NOT(OR(B60="Verblijf",B60="Daghulp")),B61="")</formula>
    </cfRule>
  </conditionalFormatting>
  <conditionalFormatting sqref="H65">
    <cfRule type="expression" dxfId="2565" priority="1150">
      <formula>OR(NOT(OR(B60="Verblijf",B60="Daghulp")),B61="")</formula>
    </cfRule>
  </conditionalFormatting>
  <conditionalFormatting sqref="H68">
    <cfRule type="expression" dxfId="2564" priority="1108">
      <formula>B68=""</formula>
    </cfRule>
  </conditionalFormatting>
  <conditionalFormatting sqref="H69">
    <cfRule type="expression" dxfId="2563" priority="1113">
      <formula>OR(NOT(OR(B67="Verblijf",B67="Daghulp")),B68="")</formula>
    </cfRule>
  </conditionalFormatting>
  <conditionalFormatting sqref="H70">
    <cfRule type="expression" dxfId="2562" priority="1112">
      <formula>OR(NOT(OR(B67="Verblijf",B67="Daghulp")),B68="")</formula>
    </cfRule>
  </conditionalFormatting>
  <conditionalFormatting sqref="H71">
    <cfRule type="expression" dxfId="2561" priority="1115">
      <formula>OR(NOT(OR(B67="Verblijf",B67="Daghulp")),B68="")</formula>
    </cfRule>
  </conditionalFormatting>
  <conditionalFormatting sqref="H72">
    <cfRule type="expression" dxfId="2560" priority="1114">
      <formula>OR(NOT(OR(B67="Verblijf",B67="Daghulp")),B68="")</formula>
    </cfRule>
  </conditionalFormatting>
  <conditionalFormatting sqref="H75">
    <cfRule type="expression" dxfId="2559" priority="1072">
      <formula>B75=""</formula>
    </cfRule>
  </conditionalFormatting>
  <conditionalFormatting sqref="H76">
    <cfRule type="expression" dxfId="2558" priority="1077">
      <formula>OR(NOT(OR(B74="Verblijf",B74="Daghulp")),B75="")</formula>
    </cfRule>
  </conditionalFormatting>
  <conditionalFormatting sqref="H77">
    <cfRule type="expression" dxfId="2557" priority="1076">
      <formula>OR(NOT(OR(B74="Verblijf",B74="Daghulp")),B75="")</formula>
    </cfRule>
  </conditionalFormatting>
  <conditionalFormatting sqref="H78">
    <cfRule type="expression" dxfId="2556" priority="1079">
      <formula>OR(NOT(OR(B74="Verblijf",B74="Daghulp")),B75="")</formula>
    </cfRule>
  </conditionalFormatting>
  <conditionalFormatting sqref="H79">
    <cfRule type="expression" dxfId="2555" priority="1078">
      <formula>OR(NOT(OR(B74="Verblijf",B74="Daghulp")),B75="")</formula>
    </cfRule>
  </conditionalFormatting>
  <conditionalFormatting sqref="H82">
    <cfRule type="expression" dxfId="2554" priority="1036">
      <formula>B82=""</formula>
    </cfRule>
  </conditionalFormatting>
  <conditionalFormatting sqref="H83">
    <cfRule type="expression" dxfId="2553" priority="1041">
      <formula>OR(NOT(OR(B81="Verblijf",B81="Daghulp")),B82="")</formula>
    </cfRule>
  </conditionalFormatting>
  <conditionalFormatting sqref="H84">
    <cfRule type="expression" dxfId="2552" priority="1040">
      <formula>OR(NOT(OR(B81="Verblijf",B81="Daghulp")),B82="")</formula>
    </cfRule>
  </conditionalFormatting>
  <conditionalFormatting sqref="H85">
    <cfRule type="expression" dxfId="2551" priority="1043">
      <formula>OR(NOT(OR(B81="Verblijf",B81="Daghulp")),B82="")</formula>
    </cfRule>
  </conditionalFormatting>
  <conditionalFormatting sqref="H86">
    <cfRule type="expression" dxfId="2550" priority="1042">
      <formula>OR(NOT(OR(B81="Verblijf",B81="Daghulp")),B82="")</formula>
    </cfRule>
  </conditionalFormatting>
  <conditionalFormatting sqref="H89">
    <cfRule type="expression" dxfId="2549" priority="1000">
      <formula>B89=""</formula>
    </cfRule>
  </conditionalFormatting>
  <conditionalFormatting sqref="H90">
    <cfRule type="expression" dxfId="2548" priority="1005">
      <formula>OR(NOT(OR(B88="Verblijf",B88="Daghulp")),B89="")</formula>
    </cfRule>
  </conditionalFormatting>
  <conditionalFormatting sqref="H91">
    <cfRule type="expression" dxfId="2547" priority="1004">
      <formula>OR(NOT(OR(B88="Verblijf",B88="Daghulp")),B89="")</formula>
    </cfRule>
  </conditionalFormatting>
  <conditionalFormatting sqref="H92">
    <cfRule type="expression" dxfId="2546" priority="1007">
      <formula>OR(NOT(OR(B88="Verblijf",B88="Daghulp")),B89="")</formula>
    </cfRule>
  </conditionalFormatting>
  <conditionalFormatting sqref="H93">
    <cfRule type="expression" dxfId="2545" priority="1006">
      <formula>OR(NOT(OR(B88="Verblijf",B88="Daghulp")),B89="")</formula>
    </cfRule>
  </conditionalFormatting>
  <conditionalFormatting sqref="H96">
    <cfRule type="expression" dxfId="2544" priority="964">
      <formula>B96=""</formula>
    </cfRule>
  </conditionalFormatting>
  <conditionalFormatting sqref="H97">
    <cfRule type="expression" dxfId="2543" priority="969">
      <formula>OR(NOT(OR(B95="Verblijf",B95="Daghulp")),B96="")</formula>
    </cfRule>
  </conditionalFormatting>
  <conditionalFormatting sqref="H98">
    <cfRule type="expression" dxfId="2542" priority="968">
      <formula>OR(NOT(OR(B95="Verblijf",B95="Daghulp")),B96="")</formula>
    </cfRule>
  </conditionalFormatting>
  <conditionalFormatting sqref="H99">
    <cfRule type="expression" dxfId="2541" priority="971">
      <formula>OR(NOT(OR(B95="Verblijf",B95="Daghulp")),B96="")</formula>
    </cfRule>
  </conditionalFormatting>
  <conditionalFormatting sqref="H100">
    <cfRule type="expression" dxfId="2540" priority="970">
      <formula>OR(NOT(OR(B95="Verblijf",B95="Daghulp")),B96="")</formula>
    </cfRule>
  </conditionalFormatting>
  <conditionalFormatting sqref="H103">
    <cfRule type="expression" dxfId="2539" priority="928">
      <formula>B103=""</formula>
    </cfRule>
  </conditionalFormatting>
  <conditionalFormatting sqref="H104">
    <cfRule type="expression" dxfId="2538" priority="933">
      <formula>OR(NOT(OR(B102="Verblijf",B102="Daghulp")),B103="")</formula>
    </cfRule>
  </conditionalFormatting>
  <conditionalFormatting sqref="H105">
    <cfRule type="expression" dxfId="2537" priority="932">
      <formula>OR(NOT(OR(B102="Verblijf",B102="Daghulp")),B103="")</formula>
    </cfRule>
  </conditionalFormatting>
  <conditionalFormatting sqref="H106">
    <cfRule type="expression" dxfId="2536" priority="935">
      <formula>OR(NOT(OR(B102="Verblijf",B102="Daghulp")),B103="")</formula>
    </cfRule>
  </conditionalFormatting>
  <conditionalFormatting sqref="H107">
    <cfRule type="expression" dxfId="2535" priority="934">
      <formula>OR(NOT(OR(B102="Verblijf",B102="Daghulp")),B103="")</formula>
    </cfRule>
  </conditionalFormatting>
  <conditionalFormatting sqref="H110">
    <cfRule type="expression" dxfId="2534" priority="892">
      <formula>B110=""</formula>
    </cfRule>
  </conditionalFormatting>
  <conditionalFormatting sqref="H111">
    <cfRule type="expression" dxfId="2533" priority="897">
      <formula>OR(NOT(OR(B109="Verblijf",B109="Daghulp")),B110="")</formula>
    </cfRule>
  </conditionalFormatting>
  <conditionalFormatting sqref="H112">
    <cfRule type="expression" dxfId="2532" priority="896">
      <formula>OR(NOT(OR(B109="Verblijf",B109="Daghulp")),B110="")</formula>
    </cfRule>
  </conditionalFormatting>
  <conditionalFormatting sqref="H113">
    <cfRule type="expression" dxfId="2531" priority="899">
      <formula>OR(NOT(OR(B109="Verblijf",B109="Daghulp")),B110="")</formula>
    </cfRule>
  </conditionalFormatting>
  <conditionalFormatting sqref="H114">
    <cfRule type="expression" dxfId="2530" priority="898">
      <formula>OR(NOT(OR(B109="Verblijf",B109="Daghulp")),B110="")</formula>
    </cfRule>
  </conditionalFormatting>
  <conditionalFormatting sqref="H117">
    <cfRule type="expression" dxfId="2529" priority="856">
      <formula>B117=""</formula>
    </cfRule>
  </conditionalFormatting>
  <conditionalFormatting sqref="H118">
    <cfRule type="expression" dxfId="2528" priority="861">
      <formula>OR(NOT(OR(B116="Verblijf",B116="Daghulp")),B117="")</formula>
    </cfRule>
  </conditionalFormatting>
  <conditionalFormatting sqref="H119">
    <cfRule type="expression" dxfId="2527" priority="860">
      <formula>OR(NOT(OR(B116="Verblijf",B116="Daghulp")),B117="")</formula>
    </cfRule>
  </conditionalFormatting>
  <conditionalFormatting sqref="H120">
    <cfRule type="expression" dxfId="2526" priority="863">
      <formula>OR(NOT(OR(B116="Verblijf",B116="Daghulp")),B117="")</formula>
    </cfRule>
  </conditionalFormatting>
  <conditionalFormatting sqref="H121">
    <cfRule type="expression" dxfId="2525" priority="862">
      <formula>OR(NOT(OR(B116="Verblijf",B116="Daghulp")),B117="")</formula>
    </cfRule>
  </conditionalFormatting>
  <conditionalFormatting sqref="H124">
    <cfRule type="expression" dxfId="2524" priority="820">
      <formula>B124=""</formula>
    </cfRule>
  </conditionalFormatting>
  <conditionalFormatting sqref="H125">
    <cfRule type="expression" dxfId="2523" priority="825">
      <formula>OR(NOT(OR(B123="Verblijf",B123="Daghulp")),B124="")</formula>
    </cfRule>
  </conditionalFormatting>
  <conditionalFormatting sqref="H126">
    <cfRule type="expression" dxfId="2522" priority="824">
      <formula>OR(NOT(OR(B123="Verblijf",B123="Daghulp")),B124="")</formula>
    </cfRule>
  </conditionalFormatting>
  <conditionalFormatting sqref="H127">
    <cfRule type="expression" dxfId="2521" priority="827">
      <formula>OR(NOT(OR(B123="Verblijf",B123="Daghulp")),B124="")</formula>
    </cfRule>
  </conditionalFormatting>
  <conditionalFormatting sqref="H128">
    <cfRule type="expression" dxfId="2520" priority="826">
      <formula>OR(NOT(OR(B123="Verblijf",B123="Daghulp")),B124="")</formula>
    </cfRule>
  </conditionalFormatting>
  <conditionalFormatting sqref="H131">
    <cfRule type="expression" dxfId="2519" priority="784">
      <formula>B131=""</formula>
    </cfRule>
  </conditionalFormatting>
  <conditionalFormatting sqref="H132">
    <cfRule type="expression" dxfId="2518" priority="789">
      <formula>OR(NOT(OR(B130="Verblijf",B130="Daghulp")),B131="")</formula>
    </cfRule>
  </conditionalFormatting>
  <conditionalFormatting sqref="H133">
    <cfRule type="expression" dxfId="2517" priority="788">
      <formula>OR(NOT(OR(B130="Verblijf",B130="Daghulp")),B131="")</formula>
    </cfRule>
  </conditionalFormatting>
  <conditionalFormatting sqref="H134">
    <cfRule type="expression" dxfId="2516" priority="791">
      <formula>OR(NOT(OR(B130="Verblijf",B130="Daghulp")),B131="")</formula>
    </cfRule>
  </conditionalFormatting>
  <conditionalFormatting sqref="H135">
    <cfRule type="expression" dxfId="2515" priority="790">
      <formula>OR(NOT(OR(B130="Verblijf",B130="Daghulp")),B131="")</formula>
    </cfRule>
  </conditionalFormatting>
  <conditionalFormatting sqref="H138">
    <cfRule type="expression" dxfId="2514" priority="748">
      <formula>B138=""</formula>
    </cfRule>
  </conditionalFormatting>
  <conditionalFormatting sqref="H139">
    <cfRule type="expression" dxfId="2513" priority="753">
      <formula>OR(NOT(OR(B137="Verblijf",B137="Daghulp")),B138="")</formula>
    </cfRule>
  </conditionalFormatting>
  <conditionalFormatting sqref="H140">
    <cfRule type="expression" dxfId="2512" priority="752">
      <formula>OR(NOT(OR(B137="Verblijf",B137="Daghulp")),B138="")</formula>
    </cfRule>
  </conditionalFormatting>
  <conditionalFormatting sqref="H141">
    <cfRule type="expression" dxfId="2511" priority="755">
      <formula>OR(NOT(OR(B137="Verblijf",B137="Daghulp")),B138="")</formula>
    </cfRule>
  </conditionalFormatting>
  <conditionalFormatting sqref="H142">
    <cfRule type="expression" dxfId="2510" priority="754">
      <formula>OR(NOT(OR(B137="Verblijf",B137="Daghulp")),B138="")</formula>
    </cfRule>
  </conditionalFormatting>
  <conditionalFormatting sqref="H145">
    <cfRule type="expression" dxfId="2509" priority="712">
      <formula>B145=""</formula>
    </cfRule>
  </conditionalFormatting>
  <conditionalFormatting sqref="H146">
    <cfRule type="expression" dxfId="2508" priority="717">
      <formula>OR(NOT(OR(B144="Verblijf",B144="Daghulp")),B145="")</formula>
    </cfRule>
  </conditionalFormatting>
  <conditionalFormatting sqref="H147">
    <cfRule type="expression" dxfId="2507" priority="716">
      <formula>OR(NOT(OR(B144="Verblijf",B144="Daghulp")),B145="")</formula>
    </cfRule>
  </conditionalFormatting>
  <conditionalFormatting sqref="H148">
    <cfRule type="expression" dxfId="2506" priority="719">
      <formula>OR(NOT(OR(B144="Verblijf",B144="Daghulp")),B145="")</formula>
    </cfRule>
  </conditionalFormatting>
  <conditionalFormatting sqref="H149">
    <cfRule type="expression" dxfId="2505" priority="718">
      <formula>OR(NOT(OR(B144="Verblijf",B144="Daghulp")),B145="")</formula>
    </cfRule>
  </conditionalFormatting>
  <conditionalFormatting sqref="H152">
    <cfRule type="expression" dxfId="2504" priority="676">
      <formula>B152=""</formula>
    </cfRule>
  </conditionalFormatting>
  <conditionalFormatting sqref="H153">
    <cfRule type="expression" dxfId="2503" priority="681">
      <formula>OR(NOT(OR(B151="Verblijf",B151="Daghulp")),B152="")</formula>
    </cfRule>
  </conditionalFormatting>
  <conditionalFormatting sqref="H154">
    <cfRule type="expression" dxfId="2502" priority="680">
      <formula>OR(NOT(OR(B151="Verblijf",B151="Daghulp")),B152="")</formula>
    </cfRule>
  </conditionalFormatting>
  <conditionalFormatting sqref="H155">
    <cfRule type="expression" dxfId="2501" priority="683">
      <formula>OR(NOT(OR(B151="Verblijf",B151="Daghulp")),B152="")</formula>
    </cfRule>
  </conditionalFormatting>
  <conditionalFormatting sqref="H156">
    <cfRule type="expression" dxfId="2500" priority="682">
      <formula>OR(NOT(OR(B151="Verblijf",B151="Daghulp")),B152="")</formula>
    </cfRule>
  </conditionalFormatting>
  <conditionalFormatting sqref="H159">
    <cfRule type="expression" dxfId="2499" priority="640">
      <formula>B159=""</formula>
    </cfRule>
  </conditionalFormatting>
  <conditionalFormatting sqref="H160">
    <cfRule type="expression" dxfId="2498" priority="645">
      <formula>OR(NOT(OR(B158="Verblijf",B158="Daghulp")),B159="")</formula>
    </cfRule>
  </conditionalFormatting>
  <conditionalFormatting sqref="H161">
    <cfRule type="expression" dxfId="2497" priority="644">
      <formula>OR(NOT(OR(B158="Verblijf",B158="Daghulp")),B159="")</formula>
    </cfRule>
  </conditionalFormatting>
  <conditionalFormatting sqref="H162">
    <cfRule type="expression" dxfId="2496" priority="647">
      <formula>OR(NOT(OR(B158="Verblijf",B158="Daghulp")),B159="")</formula>
    </cfRule>
  </conditionalFormatting>
  <conditionalFormatting sqref="H163">
    <cfRule type="expression" dxfId="2495" priority="646">
      <formula>OR(NOT(OR(B158="Verblijf",B158="Daghulp")),B159="")</formula>
    </cfRule>
  </conditionalFormatting>
  <conditionalFormatting sqref="H166">
    <cfRule type="expression" dxfId="2494" priority="604">
      <formula>B166=""</formula>
    </cfRule>
  </conditionalFormatting>
  <conditionalFormatting sqref="H167">
    <cfRule type="expression" dxfId="2493" priority="609">
      <formula>OR(NOT(OR(B165="Verblijf",B165="Daghulp")),B166="")</formula>
    </cfRule>
  </conditionalFormatting>
  <conditionalFormatting sqref="H168">
    <cfRule type="expression" dxfId="2492" priority="608">
      <formula>OR(NOT(OR(B165="Verblijf",B165="Daghulp")),B166="")</formula>
    </cfRule>
  </conditionalFormatting>
  <conditionalFormatting sqref="H169">
    <cfRule type="expression" dxfId="2491" priority="611">
      <formula>OR(NOT(OR(B165="Verblijf",B165="Daghulp")),B166="")</formula>
    </cfRule>
  </conditionalFormatting>
  <conditionalFormatting sqref="H170">
    <cfRule type="expression" dxfId="2490" priority="610">
      <formula>OR(NOT(OR(B165="Verblijf",B165="Daghulp")),B166="")</formula>
    </cfRule>
  </conditionalFormatting>
  <conditionalFormatting sqref="H173">
    <cfRule type="expression" dxfId="2489" priority="568">
      <formula>B173=""</formula>
    </cfRule>
  </conditionalFormatting>
  <conditionalFormatting sqref="H174">
    <cfRule type="expression" dxfId="2488" priority="573">
      <formula>OR(NOT(OR(B172="Verblijf",B172="Daghulp")),B173="")</formula>
    </cfRule>
  </conditionalFormatting>
  <conditionalFormatting sqref="H175">
    <cfRule type="expression" dxfId="2487" priority="572">
      <formula>OR(NOT(OR(B172="Verblijf",B172="Daghulp")),B173="")</formula>
    </cfRule>
  </conditionalFormatting>
  <conditionalFormatting sqref="H176">
    <cfRule type="expression" dxfId="2486" priority="575">
      <formula>OR(NOT(OR(B172="Verblijf",B172="Daghulp")),B173="")</formula>
    </cfRule>
  </conditionalFormatting>
  <conditionalFormatting sqref="H177">
    <cfRule type="expression" dxfId="2485" priority="574">
      <formula>OR(NOT(OR(B172="Verblijf",B172="Daghulp")),B173="")</formula>
    </cfRule>
  </conditionalFormatting>
  <conditionalFormatting sqref="H180">
    <cfRule type="expression" dxfId="2484" priority="532">
      <formula>B180=""</formula>
    </cfRule>
  </conditionalFormatting>
  <conditionalFormatting sqref="H181">
    <cfRule type="expression" dxfId="2483" priority="537">
      <formula>OR(NOT(OR(B179="Verblijf",B179="Daghulp")),B180="")</formula>
    </cfRule>
  </conditionalFormatting>
  <conditionalFormatting sqref="H182">
    <cfRule type="expression" dxfId="2482" priority="536">
      <formula>OR(NOT(OR(B179="Verblijf",B179="Daghulp")),B180="")</formula>
    </cfRule>
  </conditionalFormatting>
  <conditionalFormatting sqref="H183">
    <cfRule type="expression" dxfId="2481" priority="539">
      <formula>OR(NOT(OR(B179="Verblijf",B179="Daghulp")),B180="")</formula>
    </cfRule>
  </conditionalFormatting>
  <conditionalFormatting sqref="H184">
    <cfRule type="expression" dxfId="2480" priority="538">
      <formula>OR(NOT(OR(B179="Verblijf",B179="Daghulp")),B180="")</formula>
    </cfRule>
  </conditionalFormatting>
  <conditionalFormatting sqref="H187">
    <cfRule type="expression" dxfId="2479" priority="496">
      <formula>B187=""</formula>
    </cfRule>
  </conditionalFormatting>
  <conditionalFormatting sqref="H188">
    <cfRule type="expression" dxfId="2478" priority="501">
      <formula>OR(NOT(OR(B186="Verblijf",B186="Daghulp")),B187="")</formula>
    </cfRule>
  </conditionalFormatting>
  <conditionalFormatting sqref="H189">
    <cfRule type="expression" dxfId="2477" priority="500">
      <formula>OR(NOT(OR(B186="Verblijf",B186="Daghulp")),B187="")</formula>
    </cfRule>
  </conditionalFormatting>
  <conditionalFormatting sqref="H190">
    <cfRule type="expression" dxfId="2476" priority="503">
      <formula>OR(NOT(OR(B186="Verblijf",B186="Daghulp")),B187="")</formula>
    </cfRule>
  </conditionalFormatting>
  <conditionalFormatting sqref="H191">
    <cfRule type="expression" dxfId="2475" priority="502">
      <formula>OR(NOT(OR(B186="Verblijf",B186="Daghulp")),B187="")</formula>
    </cfRule>
  </conditionalFormatting>
  <conditionalFormatting sqref="H194">
    <cfRule type="expression" dxfId="2474" priority="460">
      <formula>B194=""</formula>
    </cfRule>
  </conditionalFormatting>
  <conditionalFormatting sqref="H195">
    <cfRule type="expression" dxfId="2473" priority="465">
      <formula>OR(NOT(OR(B193="Verblijf",B193="Daghulp")),B194="")</formula>
    </cfRule>
  </conditionalFormatting>
  <conditionalFormatting sqref="H196">
    <cfRule type="expression" dxfId="2472" priority="464">
      <formula>OR(NOT(OR(B193="Verblijf",B193="Daghulp")),B194="")</formula>
    </cfRule>
  </conditionalFormatting>
  <conditionalFormatting sqref="H197">
    <cfRule type="expression" dxfId="2471" priority="467">
      <formula>OR(NOT(OR(B193="Verblijf",B193="Daghulp")),B194="")</formula>
    </cfRule>
  </conditionalFormatting>
  <conditionalFormatting sqref="H198">
    <cfRule type="expression" dxfId="2470" priority="466">
      <formula>OR(NOT(OR(B193="Verblijf",B193="Daghulp")),B194="")</formula>
    </cfRule>
  </conditionalFormatting>
  <conditionalFormatting sqref="H201">
    <cfRule type="expression" dxfId="2469" priority="424">
      <formula>B201=""</formula>
    </cfRule>
  </conditionalFormatting>
  <conditionalFormatting sqref="H202">
    <cfRule type="expression" dxfId="2468" priority="429">
      <formula>OR(NOT(OR(B200="Verblijf",B200="Daghulp")),B201="")</formula>
    </cfRule>
  </conditionalFormatting>
  <conditionalFormatting sqref="H203">
    <cfRule type="expression" dxfId="2467" priority="428">
      <formula>OR(NOT(OR(B200="Verblijf",B200="Daghulp")),B201="")</formula>
    </cfRule>
  </conditionalFormatting>
  <conditionalFormatting sqref="H204">
    <cfRule type="expression" dxfId="2466" priority="431">
      <formula>OR(NOT(OR(B200="Verblijf",B200="Daghulp")),B201="")</formula>
    </cfRule>
  </conditionalFormatting>
  <conditionalFormatting sqref="H205">
    <cfRule type="expression" dxfId="2465" priority="430">
      <formula>OR(NOT(OR(B200="Verblijf",B200="Daghulp")),B201="")</formula>
    </cfRule>
  </conditionalFormatting>
  <conditionalFormatting sqref="H208">
    <cfRule type="expression" dxfId="2464" priority="388">
      <formula>B208=""</formula>
    </cfRule>
  </conditionalFormatting>
  <conditionalFormatting sqref="H209">
    <cfRule type="expression" dxfId="2463" priority="393">
      <formula>OR(NOT(OR(B207="Verblijf",B207="Daghulp")),B208="")</formula>
    </cfRule>
  </conditionalFormatting>
  <conditionalFormatting sqref="H210">
    <cfRule type="expression" dxfId="2462" priority="392">
      <formula>OR(NOT(OR(B207="Verblijf",B207="Daghulp")),B208="")</formula>
    </cfRule>
  </conditionalFormatting>
  <conditionalFormatting sqref="H211">
    <cfRule type="expression" dxfId="2461" priority="395">
      <formula>OR(NOT(OR(B207="Verblijf",B207="Daghulp")),B208="")</formula>
    </cfRule>
  </conditionalFormatting>
  <conditionalFormatting sqref="H212">
    <cfRule type="expression" dxfId="2460" priority="394">
      <formula>OR(NOT(OR(B207="Verblijf",B207="Daghulp")),B208="")</formula>
    </cfRule>
  </conditionalFormatting>
  <conditionalFormatting sqref="H215">
    <cfRule type="expression" dxfId="2459" priority="352">
      <formula>B215=""</formula>
    </cfRule>
  </conditionalFormatting>
  <conditionalFormatting sqref="H216">
    <cfRule type="expression" dxfId="2458" priority="357">
      <formula>OR(NOT(OR(B214="Verblijf",B214="Daghulp")),B215="")</formula>
    </cfRule>
  </conditionalFormatting>
  <conditionalFormatting sqref="H217">
    <cfRule type="expression" dxfId="2457" priority="356">
      <formula>OR(NOT(OR(B214="Verblijf",B214="Daghulp")),B215="")</formula>
    </cfRule>
  </conditionalFormatting>
  <conditionalFormatting sqref="H218">
    <cfRule type="expression" dxfId="2456" priority="359">
      <formula>OR(NOT(OR(B214="Verblijf",B214="Daghulp")),B215="")</formula>
    </cfRule>
  </conditionalFormatting>
  <conditionalFormatting sqref="H219">
    <cfRule type="expression" dxfId="2455" priority="358">
      <formula>OR(NOT(OR(B214="Verblijf",B214="Daghulp")),B215="")</formula>
    </cfRule>
  </conditionalFormatting>
  <conditionalFormatting sqref="H222">
    <cfRule type="expression" dxfId="2454" priority="316">
      <formula>B222=""</formula>
    </cfRule>
  </conditionalFormatting>
  <conditionalFormatting sqref="H223">
    <cfRule type="expression" dxfId="2453" priority="321">
      <formula>OR(NOT(OR(B221="Verblijf",B221="Daghulp")),B222="")</formula>
    </cfRule>
  </conditionalFormatting>
  <conditionalFormatting sqref="H224">
    <cfRule type="expression" dxfId="2452" priority="320">
      <formula>OR(NOT(OR(B221="Verblijf",B221="Daghulp")),B222="")</formula>
    </cfRule>
  </conditionalFormatting>
  <conditionalFormatting sqref="H225">
    <cfRule type="expression" dxfId="2451" priority="323">
      <formula>OR(NOT(OR(B221="Verblijf",B221="Daghulp")),B222="")</formula>
    </cfRule>
  </conditionalFormatting>
  <conditionalFormatting sqref="H226">
    <cfRule type="expression" dxfId="2450" priority="322">
      <formula>OR(NOT(OR(B221="Verblijf",B221="Daghulp")),B222="")</formula>
    </cfRule>
  </conditionalFormatting>
  <conditionalFormatting sqref="H229">
    <cfRule type="expression" dxfId="2449" priority="280">
      <formula>B229=""</formula>
    </cfRule>
  </conditionalFormatting>
  <conditionalFormatting sqref="H230">
    <cfRule type="expression" dxfId="2448" priority="285">
      <formula>OR(NOT(OR(B228="Verblijf",B228="Daghulp")),B229="")</formula>
    </cfRule>
  </conditionalFormatting>
  <conditionalFormatting sqref="H231">
    <cfRule type="expression" dxfId="2447" priority="284">
      <formula>OR(NOT(OR(B228="Verblijf",B228="Daghulp")),B229="")</formula>
    </cfRule>
  </conditionalFormatting>
  <conditionalFormatting sqref="H232">
    <cfRule type="expression" dxfId="2446" priority="287">
      <formula>OR(NOT(OR(B228="Verblijf",B228="Daghulp")),B229="")</formula>
    </cfRule>
  </conditionalFormatting>
  <conditionalFormatting sqref="H233">
    <cfRule type="expression" dxfId="2445" priority="286">
      <formula>OR(NOT(OR(B228="Verblijf",B228="Daghulp")),B229="")</formula>
    </cfRule>
  </conditionalFormatting>
  <conditionalFormatting sqref="H236">
    <cfRule type="expression" dxfId="2444" priority="244">
      <formula>B236=""</formula>
    </cfRule>
  </conditionalFormatting>
  <conditionalFormatting sqref="H237">
    <cfRule type="expression" dxfId="2443" priority="249">
      <formula>OR(NOT(OR(B235="Verblijf",B235="Daghulp")),B236="")</formula>
    </cfRule>
  </conditionalFormatting>
  <conditionalFormatting sqref="H238">
    <cfRule type="expression" dxfId="2442" priority="248">
      <formula>OR(NOT(OR(B235="Verblijf",B235="Daghulp")),B236="")</formula>
    </cfRule>
  </conditionalFormatting>
  <conditionalFormatting sqref="H239">
    <cfRule type="expression" dxfId="2441" priority="251">
      <formula>OR(NOT(OR(B235="Verblijf",B235="Daghulp")),B236="")</formula>
    </cfRule>
  </conditionalFormatting>
  <conditionalFormatting sqref="H240">
    <cfRule type="expression" dxfId="2440" priority="250">
      <formula>OR(NOT(OR(B235="Verblijf",B235="Daghulp")),B236="")</formula>
    </cfRule>
  </conditionalFormatting>
  <conditionalFormatting sqref="H243">
    <cfRule type="expression" dxfId="2439" priority="208">
      <formula>B243=""</formula>
    </cfRule>
  </conditionalFormatting>
  <conditionalFormatting sqref="H244">
    <cfRule type="expression" dxfId="2438" priority="213">
      <formula>OR(NOT(OR(B242="Verblijf",B242="Daghulp")),B243="")</formula>
    </cfRule>
  </conditionalFormatting>
  <conditionalFormatting sqref="H245">
    <cfRule type="expression" dxfId="2437" priority="212">
      <formula>OR(NOT(OR(B242="Verblijf",B242="Daghulp")),B243="")</formula>
    </cfRule>
  </conditionalFormatting>
  <conditionalFormatting sqref="H246">
    <cfRule type="expression" dxfId="2436" priority="215">
      <formula>OR(NOT(OR(B242="Verblijf",B242="Daghulp")),B243="")</formula>
    </cfRule>
  </conditionalFormatting>
  <conditionalFormatting sqref="H247">
    <cfRule type="expression" dxfId="2435" priority="214">
      <formula>OR(NOT(OR(B242="Verblijf",B242="Daghulp")),B243="")</formula>
    </cfRule>
  </conditionalFormatting>
  <conditionalFormatting sqref="H250">
    <cfRule type="expression" dxfId="2434" priority="172">
      <formula>B250=""</formula>
    </cfRule>
  </conditionalFormatting>
  <conditionalFormatting sqref="H251">
    <cfRule type="expression" dxfId="2433" priority="177">
      <formula>OR(NOT(OR(B249="Verblijf",B249="Daghulp")),B250="")</formula>
    </cfRule>
  </conditionalFormatting>
  <conditionalFormatting sqref="H252">
    <cfRule type="expression" dxfId="2432" priority="176">
      <formula>OR(NOT(OR(B249="Verblijf",B249="Daghulp")),B250="")</formula>
    </cfRule>
  </conditionalFormatting>
  <conditionalFormatting sqref="H253">
    <cfRule type="expression" dxfId="2431" priority="179">
      <formula>OR(NOT(OR(B249="Verblijf",B249="Daghulp")),B250="")</formula>
    </cfRule>
  </conditionalFormatting>
  <conditionalFormatting sqref="H254">
    <cfRule type="expression" dxfId="2430" priority="178">
      <formula>OR(NOT(OR(B249="Verblijf",B249="Daghulp")),B250="")</formula>
    </cfRule>
  </conditionalFormatting>
  <conditionalFormatting sqref="H257">
    <cfRule type="expression" dxfId="2429" priority="136">
      <formula>B257=""</formula>
    </cfRule>
  </conditionalFormatting>
  <conditionalFormatting sqref="H258">
    <cfRule type="expression" dxfId="2428" priority="141">
      <formula>OR(NOT(OR(B256="Verblijf",B256="Daghulp")),B257="")</formula>
    </cfRule>
  </conditionalFormatting>
  <conditionalFormatting sqref="H259">
    <cfRule type="expression" dxfId="2427" priority="140">
      <formula>OR(NOT(OR(B256="Verblijf",B256="Daghulp")),B257="")</formula>
    </cfRule>
  </conditionalFormatting>
  <conditionalFormatting sqref="H260">
    <cfRule type="expression" dxfId="2426" priority="143">
      <formula>OR(NOT(OR(B256="Verblijf",B256="Daghulp")),B257="")</formula>
    </cfRule>
  </conditionalFormatting>
  <conditionalFormatting sqref="H261">
    <cfRule type="expression" dxfId="2425" priority="142">
      <formula>OR(NOT(OR(B256="Verblijf",B256="Daghulp")),B257="")</formula>
    </cfRule>
  </conditionalFormatting>
  <conditionalFormatting sqref="H264">
    <cfRule type="expression" dxfId="2424" priority="100">
      <formula>B264=""</formula>
    </cfRule>
  </conditionalFormatting>
  <conditionalFormatting sqref="H265">
    <cfRule type="expression" dxfId="2423" priority="105">
      <formula>OR(NOT(OR(B263="Verblijf",B263="Daghulp")),B264="")</formula>
    </cfRule>
  </conditionalFormatting>
  <conditionalFormatting sqref="H266">
    <cfRule type="expression" dxfId="2422" priority="104">
      <formula>OR(NOT(OR(B263="Verblijf",B263="Daghulp")),B264="")</formula>
    </cfRule>
  </conditionalFormatting>
  <conditionalFormatting sqref="H267">
    <cfRule type="expression" dxfId="2421" priority="107">
      <formula>OR(NOT(OR(B263="Verblijf",B263="Daghulp")),B264="")</formula>
    </cfRule>
  </conditionalFormatting>
  <conditionalFormatting sqref="H268">
    <cfRule type="expression" dxfId="2420" priority="106">
      <formula>OR(NOT(OR(B263="Verblijf",B263="Daghulp")),B264="")</formula>
    </cfRule>
  </conditionalFormatting>
  <conditionalFormatting sqref="H271">
    <cfRule type="expression" dxfId="2419" priority="64">
      <formula>B271=""</formula>
    </cfRule>
  </conditionalFormatting>
  <conditionalFormatting sqref="H272">
    <cfRule type="expression" dxfId="2418" priority="69">
      <formula>OR(NOT(OR(B270="Verblijf",B270="Daghulp")),B271="")</formula>
    </cfRule>
  </conditionalFormatting>
  <conditionalFormatting sqref="H273">
    <cfRule type="expression" dxfId="2417" priority="68">
      <formula>OR(NOT(OR(B270="Verblijf",B270="Daghulp")),B271="")</formula>
    </cfRule>
  </conditionalFormatting>
  <conditionalFormatting sqref="H274">
    <cfRule type="expression" dxfId="2416" priority="71">
      <formula>OR(NOT(OR(B270="Verblijf",B270="Daghulp")),B271="")</formula>
    </cfRule>
  </conditionalFormatting>
  <conditionalFormatting sqref="H275">
    <cfRule type="expression" dxfId="2415" priority="70">
      <formula>OR(NOT(OR(B270="Verblijf",B270="Daghulp")),B271="")</formula>
    </cfRule>
  </conditionalFormatting>
  <conditionalFormatting sqref="H278">
    <cfRule type="expression" dxfId="2414" priority="28">
      <formula>B278=""</formula>
    </cfRule>
  </conditionalFormatting>
  <conditionalFormatting sqref="H279">
    <cfRule type="expression" dxfId="2413" priority="33">
      <formula>OR(NOT(OR(B277="Verblijf",B277="Daghulp")),B278="")</formula>
    </cfRule>
  </conditionalFormatting>
  <conditionalFormatting sqref="H280">
    <cfRule type="expression" dxfId="2412" priority="32">
      <formula>OR(NOT(OR(B277="Verblijf",B277="Daghulp")),B278="")</formula>
    </cfRule>
  </conditionalFormatting>
  <conditionalFormatting sqref="H281">
    <cfRule type="expression" dxfId="2411" priority="35">
      <formula>OR(NOT(OR(B277="Verblijf",B277="Daghulp")),B278="")</formula>
    </cfRule>
  </conditionalFormatting>
  <conditionalFormatting sqref="H282">
    <cfRule type="expression" dxfId="2410" priority="34">
      <formula>OR(NOT(OR(B277="Verblijf",B277="Daghulp")),B278="")</formula>
    </cfRule>
  </conditionalFormatting>
  <conditionalFormatting sqref="I5">
    <cfRule type="expression" dxfId="2409" priority="20737">
      <formula>NOT(AND(H5="", B5&lt;&gt;""))</formula>
    </cfRule>
  </conditionalFormatting>
  <conditionalFormatting sqref="I6">
    <cfRule type="expression" dxfId="2408" priority="21435">
      <formula>NOT(AND(H6="", B5&lt;&gt;"",OR(B4="Verblijf",B4="Daghulp")))</formula>
    </cfRule>
  </conditionalFormatting>
  <conditionalFormatting sqref="I7">
    <cfRule type="expression" dxfId="2407" priority="20099">
      <formula>NOT(AND(H7="", B5&lt;&gt;"",OR(B4="Verblijf",B4="Daghulp")))</formula>
    </cfRule>
  </conditionalFormatting>
  <conditionalFormatting sqref="I8">
    <cfRule type="expression" dxfId="2406" priority="20734">
      <formula>NOT(AND(H8="", B5&lt;&gt;"",OR(B4="Verblijf",B4="Daghulp")))</formula>
    </cfRule>
  </conditionalFormatting>
  <conditionalFormatting sqref="I9">
    <cfRule type="expression" dxfId="2405" priority="20733">
      <formula>NOT(AND(H9="", B5&lt;&gt;"",OR(B4="Verblijf",B4="Daghulp")))</formula>
    </cfRule>
  </conditionalFormatting>
  <conditionalFormatting sqref="I12">
    <cfRule type="expression" dxfId="2404" priority="18912">
      <formula>NOT(AND(H12="", B12&lt;&gt;""))</formula>
    </cfRule>
  </conditionalFormatting>
  <conditionalFormatting sqref="I13">
    <cfRule type="expression" dxfId="2403" priority="18926">
      <formula>NOT(AND(H13="", B12&lt;&gt;"",OR(B11="Verblijf",B11="Daghulp")))</formula>
    </cfRule>
  </conditionalFormatting>
  <conditionalFormatting sqref="I14">
    <cfRule type="expression" dxfId="2402" priority="18907">
      <formula>NOT(AND(H14="", B12&lt;&gt;"",OR(B11="Verblijf",B11="Daghulp")))</formula>
    </cfRule>
  </conditionalFormatting>
  <conditionalFormatting sqref="I15">
    <cfRule type="expression" dxfId="2401" priority="18911">
      <formula>NOT(AND(H15="", B12&lt;&gt;"",OR(B11="Verblijf",B11="Daghulp")))</formula>
    </cfRule>
  </conditionalFormatting>
  <conditionalFormatting sqref="I16">
    <cfRule type="expression" dxfId="2400" priority="18910">
      <formula>NOT(AND(H16="", B12&lt;&gt;"",OR(B11="Verblijf",B11="Daghulp")))</formula>
    </cfRule>
  </conditionalFormatting>
  <conditionalFormatting sqref="I19">
    <cfRule type="expression" dxfId="2399" priority="8184">
      <formula>NOT(AND(H19="", B19&lt;&gt;""))</formula>
    </cfRule>
  </conditionalFormatting>
  <conditionalFormatting sqref="I20">
    <cfRule type="expression" dxfId="2398" priority="8198">
      <formula>NOT(AND(H20="", B19&lt;&gt;"",OR(B18="Verblijf",B18="Daghulp")))</formula>
    </cfRule>
  </conditionalFormatting>
  <conditionalFormatting sqref="I21">
    <cfRule type="expression" dxfId="2397" priority="8179">
      <formula>NOT(AND(H21="", B19&lt;&gt;"",OR(B18="Verblijf",B18="Daghulp")))</formula>
    </cfRule>
  </conditionalFormatting>
  <conditionalFormatting sqref="I22">
    <cfRule type="expression" dxfId="2396" priority="8183">
      <formula>NOT(AND(H22="", B19&lt;&gt;"",OR(B18="Verblijf",B18="Daghulp")))</formula>
    </cfRule>
  </conditionalFormatting>
  <conditionalFormatting sqref="I23">
    <cfRule type="expression" dxfId="2395" priority="8182">
      <formula>NOT(AND(H23="", B19&lt;&gt;"",OR(B18="Verblijf",B18="Daghulp")))</formula>
    </cfRule>
  </conditionalFormatting>
  <conditionalFormatting sqref="I26">
    <cfRule type="expression" dxfId="2394" priority="5137">
      <formula>NOT(AND(H26="", B26&lt;&gt;""))</formula>
    </cfRule>
  </conditionalFormatting>
  <conditionalFormatting sqref="I27">
    <cfRule type="expression" dxfId="2393" priority="5150">
      <formula>NOT(AND(H27="", B26&lt;&gt;"",OR(B25="Verblijf",B25="Daghulp")))</formula>
    </cfRule>
  </conditionalFormatting>
  <conditionalFormatting sqref="I28">
    <cfRule type="expression" dxfId="2392" priority="5132">
      <formula>NOT(AND(H28="", B26&lt;&gt;"",OR(B25="Verblijf",B25="Daghulp")))</formula>
    </cfRule>
  </conditionalFormatting>
  <conditionalFormatting sqref="I29">
    <cfRule type="expression" dxfId="2391" priority="5136">
      <formula>NOT(AND(H29="", B26&lt;&gt;"",OR(B25="Verblijf",B25="Daghulp")))</formula>
    </cfRule>
  </conditionalFormatting>
  <conditionalFormatting sqref="I30">
    <cfRule type="expression" dxfId="2390" priority="5135">
      <formula>NOT(AND(H30="", B26&lt;&gt;"",OR(B25="Verblijf",B25="Daghulp")))</formula>
    </cfRule>
  </conditionalFormatting>
  <conditionalFormatting sqref="I33">
    <cfRule type="expression" dxfId="2389" priority="2435">
      <formula>NOT(AND(H33="", B33&lt;&gt;""))</formula>
    </cfRule>
  </conditionalFormatting>
  <conditionalFormatting sqref="I34">
    <cfRule type="expression" dxfId="2388" priority="2448">
      <formula>NOT(AND(H34="", B33&lt;&gt;"",OR(B32="Verblijf",B32="Daghulp")))</formula>
    </cfRule>
  </conditionalFormatting>
  <conditionalFormatting sqref="I35">
    <cfRule type="expression" dxfId="2387" priority="2430">
      <formula>NOT(AND(H35="", B33&lt;&gt;"",OR(B32="Verblijf",B32="Daghulp")))</formula>
    </cfRule>
  </conditionalFormatting>
  <conditionalFormatting sqref="I36">
    <cfRule type="expression" dxfId="2386" priority="2434">
      <formula>NOT(AND(H36="", B33&lt;&gt;"",OR(B32="Verblijf",B32="Daghulp")))</formula>
    </cfRule>
  </conditionalFormatting>
  <conditionalFormatting sqref="I37">
    <cfRule type="expression" dxfId="2385" priority="2433">
      <formula>NOT(AND(H37="", B33&lt;&gt;"",OR(B32="Verblijf",B32="Daghulp")))</formula>
    </cfRule>
  </conditionalFormatting>
  <conditionalFormatting sqref="I40">
    <cfRule type="expression" dxfId="2384" priority="2399">
      <formula>NOT(AND(H40="", B40&lt;&gt;""))</formula>
    </cfRule>
  </conditionalFormatting>
  <conditionalFormatting sqref="I41">
    <cfRule type="expression" dxfId="2383" priority="2412">
      <formula>NOT(AND(H41="", B40&lt;&gt;"",OR(B39="Verblijf",B39="Daghulp")))</formula>
    </cfRule>
  </conditionalFormatting>
  <conditionalFormatting sqref="I42">
    <cfRule type="expression" dxfId="2382" priority="2394">
      <formula>NOT(AND(H42="", B40&lt;&gt;"",OR(B39="Verblijf",B39="Daghulp")))</formula>
    </cfRule>
  </conditionalFormatting>
  <conditionalFormatting sqref="I43">
    <cfRule type="expression" dxfId="2381" priority="2398">
      <formula>NOT(AND(H43="", B40&lt;&gt;"",OR(B39="Verblijf",B39="Daghulp")))</formula>
    </cfRule>
  </conditionalFormatting>
  <conditionalFormatting sqref="I44">
    <cfRule type="expression" dxfId="2380" priority="2397">
      <formula>NOT(AND(H44="", B40&lt;&gt;"",OR(B39="Verblijf",B39="Daghulp")))</formula>
    </cfRule>
  </conditionalFormatting>
  <conditionalFormatting sqref="I47">
    <cfRule type="expression" dxfId="2379" priority="2363">
      <formula>NOT(AND(H47="", B47&lt;&gt;""))</formula>
    </cfRule>
  </conditionalFormatting>
  <conditionalFormatting sqref="I48">
    <cfRule type="expression" dxfId="2378" priority="2376">
      <formula>NOT(AND(H48="", B47&lt;&gt;"",OR(B46="Verblijf",B46="Daghulp")))</formula>
    </cfRule>
  </conditionalFormatting>
  <conditionalFormatting sqref="I49">
    <cfRule type="expression" dxfId="2377" priority="2358">
      <formula>NOT(AND(H49="", B47&lt;&gt;"",OR(B46="Verblijf",B46="Daghulp")))</formula>
    </cfRule>
  </conditionalFormatting>
  <conditionalFormatting sqref="I50">
    <cfRule type="expression" dxfId="2376" priority="2362">
      <formula>NOT(AND(H50="", B47&lt;&gt;"",OR(B46="Verblijf",B46="Daghulp")))</formula>
    </cfRule>
  </conditionalFormatting>
  <conditionalFormatting sqref="I51">
    <cfRule type="expression" dxfId="2375" priority="2361">
      <formula>NOT(AND(H51="", B47&lt;&gt;"",OR(B46="Verblijf",B46="Daghulp")))</formula>
    </cfRule>
  </conditionalFormatting>
  <conditionalFormatting sqref="I54">
    <cfRule type="expression" dxfId="2374" priority="2327">
      <formula>NOT(AND(H54="", B54&lt;&gt;""))</formula>
    </cfRule>
  </conditionalFormatting>
  <conditionalFormatting sqref="I55">
    <cfRule type="expression" dxfId="2373" priority="2340">
      <formula>NOT(AND(H55="", B54&lt;&gt;"",OR(B53="Verblijf",B53="Daghulp")))</formula>
    </cfRule>
  </conditionalFormatting>
  <conditionalFormatting sqref="I56">
    <cfRule type="expression" dxfId="2372" priority="2322">
      <formula>NOT(AND(H56="", B54&lt;&gt;"",OR(B53="Verblijf",B53="Daghulp")))</formula>
    </cfRule>
  </conditionalFormatting>
  <conditionalFormatting sqref="I57">
    <cfRule type="expression" dxfId="2371" priority="2326">
      <formula>NOT(AND(H57="", B54&lt;&gt;"",OR(B53="Verblijf",B53="Daghulp")))</formula>
    </cfRule>
  </conditionalFormatting>
  <conditionalFormatting sqref="I58">
    <cfRule type="expression" dxfId="2370" priority="2325">
      <formula>NOT(AND(H58="", B54&lt;&gt;"",OR(B53="Verblijf",B53="Daghulp")))</formula>
    </cfRule>
  </conditionalFormatting>
  <conditionalFormatting sqref="I61">
    <cfRule type="expression" dxfId="2369" priority="1139">
      <formula>NOT(AND(H61="", B61&lt;&gt;""))</formula>
    </cfRule>
  </conditionalFormatting>
  <conditionalFormatting sqref="I62">
    <cfRule type="expression" dxfId="2368" priority="1152">
      <formula>NOT(AND(H62="", B61&lt;&gt;"",OR(B60="Verblijf",B60="Daghulp")))</formula>
    </cfRule>
  </conditionalFormatting>
  <conditionalFormatting sqref="I63">
    <cfRule type="expression" dxfId="2367" priority="1134">
      <formula>NOT(AND(H63="", B61&lt;&gt;"",OR(B60="Verblijf",B60="Daghulp")))</formula>
    </cfRule>
  </conditionalFormatting>
  <conditionalFormatting sqref="I64">
    <cfRule type="expression" dxfId="2366" priority="1138">
      <formula>NOT(AND(H64="", B61&lt;&gt;"",OR(B60="Verblijf",B60="Daghulp")))</formula>
    </cfRule>
  </conditionalFormatting>
  <conditionalFormatting sqref="I65">
    <cfRule type="expression" dxfId="2365" priority="1137">
      <formula>NOT(AND(H65="", B61&lt;&gt;"",OR(B60="Verblijf",B60="Daghulp")))</formula>
    </cfRule>
  </conditionalFormatting>
  <conditionalFormatting sqref="I68">
    <cfRule type="expression" dxfId="2364" priority="1103">
      <formula>NOT(AND(H68="", B68&lt;&gt;""))</formula>
    </cfRule>
  </conditionalFormatting>
  <conditionalFormatting sqref="I69">
    <cfRule type="expression" dxfId="2363" priority="1116">
      <formula>NOT(AND(H69="", B68&lt;&gt;"",OR(B67="Verblijf",B67="Daghulp")))</formula>
    </cfRule>
  </conditionalFormatting>
  <conditionalFormatting sqref="I70">
    <cfRule type="expression" dxfId="2362" priority="1098">
      <formula>NOT(AND(H70="", B68&lt;&gt;"",OR(B67="Verblijf",B67="Daghulp")))</formula>
    </cfRule>
  </conditionalFormatting>
  <conditionalFormatting sqref="I71">
    <cfRule type="expression" dxfId="2361" priority="1102">
      <formula>NOT(AND(H71="", B68&lt;&gt;"",OR(B67="Verblijf",B67="Daghulp")))</formula>
    </cfRule>
  </conditionalFormatting>
  <conditionalFormatting sqref="I72">
    <cfRule type="expression" dxfId="2360" priority="1101">
      <formula>NOT(AND(H72="", B68&lt;&gt;"",OR(B67="Verblijf",B67="Daghulp")))</formula>
    </cfRule>
  </conditionalFormatting>
  <conditionalFormatting sqref="I75">
    <cfRule type="expression" dxfId="2359" priority="1067">
      <formula>NOT(AND(H75="", B75&lt;&gt;""))</formula>
    </cfRule>
  </conditionalFormatting>
  <conditionalFormatting sqref="I76">
    <cfRule type="expression" dxfId="2358" priority="1080">
      <formula>NOT(AND(H76="", B75&lt;&gt;"",OR(B74="Verblijf",B74="Daghulp")))</formula>
    </cfRule>
  </conditionalFormatting>
  <conditionalFormatting sqref="I77">
    <cfRule type="expression" dxfId="2357" priority="1062">
      <formula>NOT(AND(H77="", B75&lt;&gt;"",OR(B74="Verblijf",B74="Daghulp")))</formula>
    </cfRule>
  </conditionalFormatting>
  <conditionalFormatting sqref="I78">
    <cfRule type="expression" dxfId="2356" priority="1066">
      <formula>NOT(AND(H78="", B75&lt;&gt;"",OR(B74="Verblijf",B74="Daghulp")))</formula>
    </cfRule>
  </conditionalFormatting>
  <conditionalFormatting sqref="I79">
    <cfRule type="expression" dxfId="2355" priority="1065">
      <formula>NOT(AND(H79="", B75&lt;&gt;"",OR(B74="Verblijf",B74="Daghulp")))</formula>
    </cfRule>
  </conditionalFormatting>
  <conditionalFormatting sqref="I82">
    <cfRule type="expression" dxfId="2354" priority="1031">
      <formula>NOT(AND(H82="", B82&lt;&gt;""))</formula>
    </cfRule>
  </conditionalFormatting>
  <conditionalFormatting sqref="I83">
    <cfRule type="expression" dxfId="2353" priority="1044">
      <formula>NOT(AND(H83="", B82&lt;&gt;"",OR(B81="Verblijf",B81="Daghulp")))</formula>
    </cfRule>
  </conditionalFormatting>
  <conditionalFormatting sqref="I84">
    <cfRule type="expression" dxfId="2352" priority="1026">
      <formula>NOT(AND(H84="", B82&lt;&gt;"",OR(B81="Verblijf",B81="Daghulp")))</formula>
    </cfRule>
  </conditionalFormatting>
  <conditionalFormatting sqref="I85">
    <cfRule type="expression" dxfId="2351" priority="1030">
      <formula>NOT(AND(H85="", B82&lt;&gt;"",OR(B81="Verblijf",B81="Daghulp")))</formula>
    </cfRule>
  </conditionalFormatting>
  <conditionalFormatting sqref="I86">
    <cfRule type="expression" dxfId="2350" priority="1029">
      <formula>NOT(AND(H86="", B82&lt;&gt;"",OR(B81="Verblijf",B81="Daghulp")))</formula>
    </cfRule>
  </conditionalFormatting>
  <conditionalFormatting sqref="I89">
    <cfRule type="expression" dxfId="2349" priority="995">
      <formula>NOT(AND(H89="", B89&lt;&gt;""))</formula>
    </cfRule>
  </conditionalFormatting>
  <conditionalFormatting sqref="I90">
    <cfRule type="expression" dxfId="2348" priority="1008">
      <formula>NOT(AND(H90="", B89&lt;&gt;"",OR(B88="Verblijf",B88="Daghulp")))</formula>
    </cfRule>
  </conditionalFormatting>
  <conditionalFormatting sqref="I91">
    <cfRule type="expression" dxfId="2347" priority="990">
      <formula>NOT(AND(H91="", B89&lt;&gt;"",OR(B88="Verblijf",B88="Daghulp")))</formula>
    </cfRule>
  </conditionalFormatting>
  <conditionalFormatting sqref="I92">
    <cfRule type="expression" dxfId="2346" priority="994">
      <formula>NOT(AND(H92="", B89&lt;&gt;"",OR(B88="Verblijf",B88="Daghulp")))</formula>
    </cfRule>
  </conditionalFormatting>
  <conditionalFormatting sqref="I93">
    <cfRule type="expression" dxfId="2345" priority="993">
      <formula>NOT(AND(H93="", B89&lt;&gt;"",OR(B88="Verblijf",B88="Daghulp")))</formula>
    </cfRule>
  </conditionalFormatting>
  <conditionalFormatting sqref="I96">
    <cfRule type="expression" dxfId="2344" priority="959">
      <formula>NOT(AND(H96="", B96&lt;&gt;""))</formula>
    </cfRule>
  </conditionalFormatting>
  <conditionalFormatting sqref="I97">
    <cfRule type="expression" dxfId="2343" priority="972">
      <formula>NOT(AND(H97="", B96&lt;&gt;"",OR(B95="Verblijf",B95="Daghulp")))</formula>
    </cfRule>
  </conditionalFormatting>
  <conditionalFormatting sqref="I98">
    <cfRule type="expression" dxfId="2342" priority="954">
      <formula>NOT(AND(H98="", B96&lt;&gt;"",OR(B95="Verblijf",B95="Daghulp")))</formula>
    </cfRule>
  </conditionalFormatting>
  <conditionalFormatting sqref="I99">
    <cfRule type="expression" dxfId="2341" priority="958">
      <formula>NOT(AND(H99="", B96&lt;&gt;"",OR(B95="Verblijf",B95="Daghulp")))</formula>
    </cfRule>
  </conditionalFormatting>
  <conditionalFormatting sqref="I100">
    <cfRule type="expression" dxfId="2340" priority="957">
      <formula>NOT(AND(H100="", B96&lt;&gt;"",OR(B95="Verblijf",B95="Daghulp")))</formula>
    </cfRule>
  </conditionalFormatting>
  <conditionalFormatting sqref="I103">
    <cfRule type="expression" dxfId="2339" priority="923">
      <formula>NOT(AND(H103="", B103&lt;&gt;""))</formula>
    </cfRule>
  </conditionalFormatting>
  <conditionalFormatting sqref="I104">
    <cfRule type="expression" dxfId="2338" priority="936">
      <formula>NOT(AND(H104="", B103&lt;&gt;"",OR(B102="Verblijf",B102="Daghulp")))</formula>
    </cfRule>
  </conditionalFormatting>
  <conditionalFormatting sqref="I105">
    <cfRule type="expression" dxfId="2337" priority="918">
      <formula>NOT(AND(H105="", B103&lt;&gt;"",OR(B102="Verblijf",B102="Daghulp")))</formula>
    </cfRule>
  </conditionalFormatting>
  <conditionalFormatting sqref="I106">
    <cfRule type="expression" dxfId="2336" priority="922">
      <formula>NOT(AND(H106="", B103&lt;&gt;"",OR(B102="Verblijf",B102="Daghulp")))</formula>
    </cfRule>
  </conditionalFormatting>
  <conditionalFormatting sqref="I107">
    <cfRule type="expression" dxfId="2335" priority="921">
      <formula>NOT(AND(H107="", B103&lt;&gt;"",OR(B102="Verblijf",B102="Daghulp")))</formula>
    </cfRule>
  </conditionalFormatting>
  <conditionalFormatting sqref="I110">
    <cfRule type="expression" dxfId="2334" priority="887">
      <formula>NOT(AND(H110="", B110&lt;&gt;""))</formula>
    </cfRule>
  </conditionalFormatting>
  <conditionalFormatting sqref="I111">
    <cfRule type="expression" dxfId="2333" priority="900">
      <formula>NOT(AND(H111="", B110&lt;&gt;"",OR(B109="Verblijf",B109="Daghulp")))</formula>
    </cfRule>
  </conditionalFormatting>
  <conditionalFormatting sqref="I112">
    <cfRule type="expression" dxfId="2332" priority="882">
      <formula>NOT(AND(H112="", B110&lt;&gt;"",OR(B109="Verblijf",B109="Daghulp")))</formula>
    </cfRule>
  </conditionalFormatting>
  <conditionalFormatting sqref="I113">
    <cfRule type="expression" dxfId="2331" priority="886">
      <formula>NOT(AND(H113="", B110&lt;&gt;"",OR(B109="Verblijf",B109="Daghulp")))</formula>
    </cfRule>
  </conditionalFormatting>
  <conditionalFormatting sqref="I114">
    <cfRule type="expression" dxfId="2330" priority="885">
      <formula>NOT(AND(H114="", B110&lt;&gt;"",OR(B109="Verblijf",B109="Daghulp")))</formula>
    </cfRule>
  </conditionalFormatting>
  <conditionalFormatting sqref="I117">
    <cfRule type="expression" dxfId="2329" priority="851">
      <formula>NOT(AND(H117="", B117&lt;&gt;""))</formula>
    </cfRule>
  </conditionalFormatting>
  <conditionalFormatting sqref="I118">
    <cfRule type="expression" dxfId="2328" priority="864">
      <formula>NOT(AND(H118="", B117&lt;&gt;"",OR(B116="Verblijf",B116="Daghulp")))</formula>
    </cfRule>
  </conditionalFormatting>
  <conditionalFormatting sqref="I119">
    <cfRule type="expression" dxfId="2327" priority="846">
      <formula>NOT(AND(H119="", B117&lt;&gt;"",OR(B116="Verblijf",B116="Daghulp")))</formula>
    </cfRule>
  </conditionalFormatting>
  <conditionalFormatting sqref="I120">
    <cfRule type="expression" dxfId="2326" priority="850">
      <formula>NOT(AND(H120="", B117&lt;&gt;"",OR(B116="Verblijf",B116="Daghulp")))</formula>
    </cfRule>
  </conditionalFormatting>
  <conditionalFormatting sqref="I121">
    <cfRule type="expression" dxfId="2325" priority="849">
      <formula>NOT(AND(H121="", B117&lt;&gt;"",OR(B116="Verblijf",B116="Daghulp")))</formula>
    </cfRule>
  </conditionalFormatting>
  <conditionalFormatting sqref="I124">
    <cfRule type="expression" dxfId="2324" priority="815">
      <formula>NOT(AND(H124="", B124&lt;&gt;""))</formula>
    </cfRule>
  </conditionalFormatting>
  <conditionalFormatting sqref="I125">
    <cfRule type="expression" dxfId="2323" priority="828">
      <formula>NOT(AND(H125="", B124&lt;&gt;"",OR(B123="Verblijf",B123="Daghulp")))</formula>
    </cfRule>
  </conditionalFormatting>
  <conditionalFormatting sqref="I126">
    <cfRule type="expression" dxfId="2322" priority="810">
      <formula>NOT(AND(H126="", B124&lt;&gt;"",OR(B123="Verblijf",B123="Daghulp")))</formula>
    </cfRule>
  </conditionalFormatting>
  <conditionalFormatting sqref="I127">
    <cfRule type="expression" dxfId="2321" priority="814">
      <formula>NOT(AND(H127="", B124&lt;&gt;"",OR(B123="Verblijf",B123="Daghulp")))</formula>
    </cfRule>
  </conditionalFormatting>
  <conditionalFormatting sqref="I128">
    <cfRule type="expression" dxfId="2320" priority="813">
      <formula>NOT(AND(H128="", B124&lt;&gt;"",OR(B123="Verblijf",B123="Daghulp")))</formula>
    </cfRule>
  </conditionalFormatting>
  <conditionalFormatting sqref="I131">
    <cfRule type="expression" dxfId="2319" priority="779">
      <formula>NOT(AND(H131="", B131&lt;&gt;""))</formula>
    </cfRule>
  </conditionalFormatting>
  <conditionalFormatting sqref="I132">
    <cfRule type="expression" dxfId="2318" priority="792">
      <formula>NOT(AND(H132="", B131&lt;&gt;"",OR(B130="Verblijf",B130="Daghulp")))</formula>
    </cfRule>
  </conditionalFormatting>
  <conditionalFormatting sqref="I133">
    <cfRule type="expression" dxfId="2317" priority="774">
      <formula>NOT(AND(H133="", B131&lt;&gt;"",OR(B130="Verblijf",B130="Daghulp")))</formula>
    </cfRule>
  </conditionalFormatting>
  <conditionalFormatting sqref="I134">
    <cfRule type="expression" dxfId="2316" priority="778">
      <formula>NOT(AND(H134="", B131&lt;&gt;"",OR(B130="Verblijf",B130="Daghulp")))</formula>
    </cfRule>
  </conditionalFormatting>
  <conditionalFormatting sqref="I135">
    <cfRule type="expression" dxfId="2315" priority="777">
      <formula>NOT(AND(H135="", B131&lt;&gt;"",OR(B130="Verblijf",B130="Daghulp")))</formula>
    </cfRule>
  </conditionalFormatting>
  <conditionalFormatting sqref="I138">
    <cfRule type="expression" dxfId="2314" priority="743">
      <formula>NOT(AND(H138="", B138&lt;&gt;""))</formula>
    </cfRule>
  </conditionalFormatting>
  <conditionalFormatting sqref="I139">
    <cfRule type="expression" dxfId="2313" priority="756">
      <formula>NOT(AND(H139="", B138&lt;&gt;"",OR(B137="Verblijf",B137="Daghulp")))</formula>
    </cfRule>
  </conditionalFormatting>
  <conditionalFormatting sqref="I140">
    <cfRule type="expression" dxfId="2312" priority="738">
      <formula>NOT(AND(H140="", B138&lt;&gt;"",OR(B137="Verblijf",B137="Daghulp")))</formula>
    </cfRule>
  </conditionalFormatting>
  <conditionalFormatting sqref="I141">
    <cfRule type="expression" dxfId="2311" priority="742">
      <formula>NOT(AND(H141="", B138&lt;&gt;"",OR(B137="Verblijf",B137="Daghulp")))</formula>
    </cfRule>
  </conditionalFormatting>
  <conditionalFormatting sqref="I142">
    <cfRule type="expression" dxfId="2310" priority="741">
      <formula>NOT(AND(H142="", B138&lt;&gt;"",OR(B137="Verblijf",B137="Daghulp")))</formula>
    </cfRule>
  </conditionalFormatting>
  <conditionalFormatting sqref="I145">
    <cfRule type="expression" dxfId="2309" priority="707">
      <formula>NOT(AND(H145="", B145&lt;&gt;""))</formula>
    </cfRule>
  </conditionalFormatting>
  <conditionalFormatting sqref="I146">
    <cfRule type="expression" dxfId="2308" priority="720">
      <formula>NOT(AND(H146="", B145&lt;&gt;"",OR(B144="Verblijf",B144="Daghulp")))</formula>
    </cfRule>
  </conditionalFormatting>
  <conditionalFormatting sqref="I147">
    <cfRule type="expression" dxfId="2307" priority="702">
      <formula>NOT(AND(H147="", B145&lt;&gt;"",OR(B144="Verblijf",B144="Daghulp")))</formula>
    </cfRule>
  </conditionalFormatting>
  <conditionalFormatting sqref="I148">
    <cfRule type="expression" dxfId="2306" priority="706">
      <formula>NOT(AND(H148="", B145&lt;&gt;"",OR(B144="Verblijf",B144="Daghulp")))</formula>
    </cfRule>
  </conditionalFormatting>
  <conditionalFormatting sqref="I149">
    <cfRule type="expression" dxfId="2305" priority="705">
      <formula>NOT(AND(H149="", B145&lt;&gt;"",OR(B144="Verblijf",B144="Daghulp")))</formula>
    </cfRule>
  </conditionalFormatting>
  <conditionalFormatting sqref="I152">
    <cfRule type="expression" dxfId="2304" priority="671">
      <formula>NOT(AND(H152="", B152&lt;&gt;""))</formula>
    </cfRule>
  </conditionalFormatting>
  <conditionalFormatting sqref="I153">
    <cfRule type="expression" dxfId="2303" priority="684">
      <formula>NOT(AND(H153="", B152&lt;&gt;"",OR(B151="Verblijf",B151="Daghulp")))</formula>
    </cfRule>
  </conditionalFormatting>
  <conditionalFormatting sqref="I154">
    <cfRule type="expression" dxfId="2302" priority="666">
      <formula>NOT(AND(H154="", B152&lt;&gt;"",OR(B151="Verblijf",B151="Daghulp")))</formula>
    </cfRule>
  </conditionalFormatting>
  <conditionalFormatting sqref="I155">
    <cfRule type="expression" dxfId="2301" priority="670">
      <formula>NOT(AND(H155="", B152&lt;&gt;"",OR(B151="Verblijf",B151="Daghulp")))</formula>
    </cfRule>
  </conditionalFormatting>
  <conditionalFormatting sqref="I156">
    <cfRule type="expression" dxfId="2300" priority="669">
      <formula>NOT(AND(H156="", B152&lt;&gt;"",OR(B151="Verblijf",B151="Daghulp")))</formula>
    </cfRule>
  </conditionalFormatting>
  <conditionalFormatting sqref="I159">
    <cfRule type="expression" dxfId="2299" priority="635">
      <formula>NOT(AND(H159="", B159&lt;&gt;""))</formula>
    </cfRule>
  </conditionalFormatting>
  <conditionalFormatting sqref="I160">
    <cfRule type="expression" dxfId="2298" priority="648">
      <formula>NOT(AND(H160="", B159&lt;&gt;"",OR(B158="Verblijf",B158="Daghulp")))</formula>
    </cfRule>
  </conditionalFormatting>
  <conditionalFormatting sqref="I161">
    <cfRule type="expression" dxfId="2297" priority="630">
      <formula>NOT(AND(H161="", B159&lt;&gt;"",OR(B158="Verblijf",B158="Daghulp")))</formula>
    </cfRule>
  </conditionalFormatting>
  <conditionalFormatting sqref="I162">
    <cfRule type="expression" dxfId="2296" priority="634">
      <formula>NOT(AND(H162="", B159&lt;&gt;"",OR(B158="Verblijf",B158="Daghulp")))</formula>
    </cfRule>
  </conditionalFormatting>
  <conditionalFormatting sqref="I163">
    <cfRule type="expression" dxfId="2295" priority="633">
      <formula>NOT(AND(H163="", B159&lt;&gt;"",OR(B158="Verblijf",B158="Daghulp")))</formula>
    </cfRule>
  </conditionalFormatting>
  <conditionalFormatting sqref="I166">
    <cfRule type="expression" dxfId="2294" priority="599">
      <formula>NOT(AND(H166="", B166&lt;&gt;""))</formula>
    </cfRule>
  </conditionalFormatting>
  <conditionalFormatting sqref="I167">
    <cfRule type="expression" dxfId="2293" priority="612">
      <formula>NOT(AND(H167="", B166&lt;&gt;"",OR(B165="Verblijf",B165="Daghulp")))</formula>
    </cfRule>
  </conditionalFormatting>
  <conditionalFormatting sqref="I168">
    <cfRule type="expression" dxfId="2292" priority="594">
      <formula>NOT(AND(H168="", B166&lt;&gt;"",OR(B165="Verblijf",B165="Daghulp")))</formula>
    </cfRule>
  </conditionalFormatting>
  <conditionalFormatting sqref="I169">
    <cfRule type="expression" dxfId="2291" priority="598">
      <formula>NOT(AND(H169="", B166&lt;&gt;"",OR(B165="Verblijf",B165="Daghulp")))</formula>
    </cfRule>
  </conditionalFormatting>
  <conditionalFormatting sqref="I170">
    <cfRule type="expression" dxfId="2290" priority="597">
      <formula>NOT(AND(H170="", B166&lt;&gt;"",OR(B165="Verblijf",B165="Daghulp")))</formula>
    </cfRule>
  </conditionalFormatting>
  <conditionalFormatting sqref="I173">
    <cfRule type="expression" dxfId="2289" priority="563">
      <formula>NOT(AND(H173="", B173&lt;&gt;""))</formula>
    </cfRule>
  </conditionalFormatting>
  <conditionalFormatting sqref="I174">
    <cfRule type="expression" dxfId="2288" priority="576">
      <formula>NOT(AND(H174="", B173&lt;&gt;"",OR(B172="Verblijf",B172="Daghulp")))</formula>
    </cfRule>
  </conditionalFormatting>
  <conditionalFormatting sqref="I175">
    <cfRule type="expression" dxfId="2287" priority="558">
      <formula>NOT(AND(H175="", B173&lt;&gt;"",OR(B172="Verblijf",B172="Daghulp")))</formula>
    </cfRule>
  </conditionalFormatting>
  <conditionalFormatting sqref="I176">
    <cfRule type="expression" dxfId="2286" priority="562">
      <formula>NOT(AND(H176="", B173&lt;&gt;"",OR(B172="Verblijf",B172="Daghulp")))</formula>
    </cfRule>
  </conditionalFormatting>
  <conditionalFormatting sqref="I177">
    <cfRule type="expression" dxfId="2285" priority="561">
      <formula>NOT(AND(H177="", B173&lt;&gt;"",OR(B172="Verblijf",B172="Daghulp")))</formula>
    </cfRule>
  </conditionalFormatting>
  <conditionalFormatting sqref="I180">
    <cfRule type="expression" dxfId="2284" priority="527">
      <formula>NOT(AND(H180="", B180&lt;&gt;""))</formula>
    </cfRule>
  </conditionalFormatting>
  <conditionalFormatting sqref="I181">
    <cfRule type="expression" dxfId="2283" priority="540">
      <formula>NOT(AND(H181="", B180&lt;&gt;"",OR(B179="Verblijf",B179="Daghulp")))</formula>
    </cfRule>
  </conditionalFormatting>
  <conditionalFormatting sqref="I182">
    <cfRule type="expression" dxfId="2282" priority="522">
      <formula>NOT(AND(H182="", B180&lt;&gt;"",OR(B179="Verblijf",B179="Daghulp")))</formula>
    </cfRule>
  </conditionalFormatting>
  <conditionalFormatting sqref="I183">
    <cfRule type="expression" dxfId="2281" priority="526">
      <formula>NOT(AND(H183="", B180&lt;&gt;"",OR(B179="Verblijf",B179="Daghulp")))</formula>
    </cfRule>
  </conditionalFormatting>
  <conditionalFormatting sqref="I184">
    <cfRule type="expression" dxfId="2280" priority="525">
      <formula>NOT(AND(H184="", B180&lt;&gt;"",OR(B179="Verblijf",B179="Daghulp")))</formula>
    </cfRule>
  </conditionalFormatting>
  <conditionalFormatting sqref="I187">
    <cfRule type="expression" dxfId="2279" priority="491">
      <formula>NOT(AND(H187="", B187&lt;&gt;""))</formula>
    </cfRule>
  </conditionalFormatting>
  <conditionalFormatting sqref="I188">
    <cfRule type="expression" dxfId="2278" priority="504">
      <formula>NOT(AND(H188="", B187&lt;&gt;"",OR(B186="Verblijf",B186="Daghulp")))</formula>
    </cfRule>
  </conditionalFormatting>
  <conditionalFormatting sqref="I189">
    <cfRule type="expression" dxfId="2277" priority="486">
      <formula>NOT(AND(H189="", B187&lt;&gt;"",OR(B186="Verblijf",B186="Daghulp")))</formula>
    </cfRule>
  </conditionalFormatting>
  <conditionalFormatting sqref="I190">
    <cfRule type="expression" dxfId="2276" priority="490">
      <formula>NOT(AND(H190="", B187&lt;&gt;"",OR(B186="Verblijf",B186="Daghulp")))</formula>
    </cfRule>
  </conditionalFormatting>
  <conditionalFormatting sqref="I191">
    <cfRule type="expression" dxfId="2275" priority="489">
      <formula>NOT(AND(H191="", B187&lt;&gt;"",OR(B186="Verblijf",B186="Daghulp")))</formula>
    </cfRule>
  </conditionalFormatting>
  <conditionalFormatting sqref="I194">
    <cfRule type="expression" dxfId="2274" priority="455">
      <formula>NOT(AND(H194="", B194&lt;&gt;""))</formula>
    </cfRule>
  </conditionalFormatting>
  <conditionalFormatting sqref="I195">
    <cfRule type="expression" dxfId="2273" priority="468">
      <formula>NOT(AND(H195="", B194&lt;&gt;"",OR(B193="Verblijf",B193="Daghulp")))</formula>
    </cfRule>
  </conditionalFormatting>
  <conditionalFormatting sqref="I196">
    <cfRule type="expression" dxfId="2272" priority="450">
      <formula>NOT(AND(H196="", B194&lt;&gt;"",OR(B193="Verblijf",B193="Daghulp")))</formula>
    </cfRule>
  </conditionalFormatting>
  <conditionalFormatting sqref="I197">
    <cfRule type="expression" dxfId="2271" priority="454">
      <formula>NOT(AND(H197="", B194&lt;&gt;"",OR(B193="Verblijf",B193="Daghulp")))</formula>
    </cfRule>
  </conditionalFormatting>
  <conditionalFormatting sqref="I198">
    <cfRule type="expression" dxfId="2270" priority="453">
      <formula>NOT(AND(H198="", B194&lt;&gt;"",OR(B193="Verblijf",B193="Daghulp")))</formula>
    </cfRule>
  </conditionalFormatting>
  <conditionalFormatting sqref="I201">
    <cfRule type="expression" dxfId="2269" priority="419">
      <formula>NOT(AND(H201="", B201&lt;&gt;""))</formula>
    </cfRule>
  </conditionalFormatting>
  <conditionalFormatting sqref="I202">
    <cfRule type="expression" dxfId="2268" priority="432">
      <formula>NOT(AND(H202="", B201&lt;&gt;"",OR(B200="Verblijf",B200="Daghulp")))</formula>
    </cfRule>
  </conditionalFormatting>
  <conditionalFormatting sqref="I203">
    <cfRule type="expression" dxfId="2267" priority="414">
      <formula>NOT(AND(H203="", B201&lt;&gt;"",OR(B200="Verblijf",B200="Daghulp")))</formula>
    </cfRule>
  </conditionalFormatting>
  <conditionalFormatting sqref="I204">
    <cfRule type="expression" dxfId="2266" priority="418">
      <formula>NOT(AND(H204="", B201&lt;&gt;"",OR(B200="Verblijf",B200="Daghulp")))</formula>
    </cfRule>
  </conditionalFormatting>
  <conditionalFormatting sqref="I205">
    <cfRule type="expression" dxfId="2265" priority="417">
      <formula>NOT(AND(H205="", B201&lt;&gt;"",OR(B200="Verblijf",B200="Daghulp")))</formula>
    </cfRule>
  </conditionalFormatting>
  <conditionalFormatting sqref="I208">
    <cfRule type="expression" dxfId="2264" priority="383">
      <formula>NOT(AND(H208="", B208&lt;&gt;""))</formula>
    </cfRule>
  </conditionalFormatting>
  <conditionalFormatting sqref="I209">
    <cfRule type="expression" dxfId="2263" priority="396">
      <formula>NOT(AND(H209="", B208&lt;&gt;"",OR(B207="Verblijf",B207="Daghulp")))</formula>
    </cfRule>
  </conditionalFormatting>
  <conditionalFormatting sqref="I210">
    <cfRule type="expression" dxfId="2262" priority="378">
      <formula>NOT(AND(H210="", B208&lt;&gt;"",OR(B207="Verblijf",B207="Daghulp")))</formula>
    </cfRule>
  </conditionalFormatting>
  <conditionalFormatting sqref="I211">
    <cfRule type="expression" dxfId="2261" priority="382">
      <formula>NOT(AND(H211="", B208&lt;&gt;"",OR(B207="Verblijf",B207="Daghulp")))</formula>
    </cfRule>
  </conditionalFormatting>
  <conditionalFormatting sqref="I212">
    <cfRule type="expression" dxfId="2260" priority="381">
      <formula>NOT(AND(H212="", B208&lt;&gt;"",OR(B207="Verblijf",B207="Daghulp")))</formula>
    </cfRule>
  </conditionalFormatting>
  <conditionalFormatting sqref="I215">
    <cfRule type="expression" dxfId="2259" priority="347">
      <formula>NOT(AND(H215="", B215&lt;&gt;""))</formula>
    </cfRule>
  </conditionalFormatting>
  <conditionalFormatting sqref="I216">
    <cfRule type="expression" dxfId="2258" priority="360">
      <formula>NOT(AND(H216="", B215&lt;&gt;"",OR(B214="Verblijf",B214="Daghulp")))</formula>
    </cfRule>
  </conditionalFormatting>
  <conditionalFormatting sqref="I217">
    <cfRule type="expression" dxfId="2257" priority="342">
      <formula>NOT(AND(H217="", B215&lt;&gt;"",OR(B214="Verblijf",B214="Daghulp")))</formula>
    </cfRule>
  </conditionalFormatting>
  <conditionalFormatting sqref="I218">
    <cfRule type="expression" dxfId="2256" priority="346">
      <formula>NOT(AND(H218="", B215&lt;&gt;"",OR(B214="Verblijf",B214="Daghulp")))</formula>
    </cfRule>
  </conditionalFormatting>
  <conditionalFormatting sqref="I219">
    <cfRule type="expression" dxfId="2255" priority="345">
      <formula>NOT(AND(H219="", B215&lt;&gt;"",OR(B214="Verblijf",B214="Daghulp")))</formula>
    </cfRule>
  </conditionalFormatting>
  <conditionalFormatting sqref="I222">
    <cfRule type="expression" dxfId="2254" priority="311">
      <formula>NOT(AND(H222="", B222&lt;&gt;""))</formula>
    </cfRule>
  </conditionalFormatting>
  <conditionalFormatting sqref="I223">
    <cfRule type="expression" dxfId="2253" priority="324">
      <formula>NOT(AND(H223="", B222&lt;&gt;"",OR(B221="Verblijf",B221="Daghulp")))</formula>
    </cfRule>
  </conditionalFormatting>
  <conditionalFormatting sqref="I224">
    <cfRule type="expression" dxfId="2252" priority="306">
      <formula>NOT(AND(H224="", B222&lt;&gt;"",OR(B221="Verblijf",B221="Daghulp")))</formula>
    </cfRule>
  </conditionalFormatting>
  <conditionalFormatting sqref="I225">
    <cfRule type="expression" dxfId="2251" priority="310">
      <formula>NOT(AND(H225="", B222&lt;&gt;"",OR(B221="Verblijf",B221="Daghulp")))</formula>
    </cfRule>
  </conditionalFormatting>
  <conditionalFormatting sqref="I226">
    <cfRule type="expression" dxfId="2250" priority="309">
      <formula>NOT(AND(H226="", B222&lt;&gt;"",OR(B221="Verblijf",B221="Daghulp")))</formula>
    </cfRule>
  </conditionalFormatting>
  <conditionalFormatting sqref="I229">
    <cfRule type="expression" dxfId="2249" priority="275">
      <formula>NOT(AND(H229="", B229&lt;&gt;""))</formula>
    </cfRule>
  </conditionalFormatting>
  <conditionalFormatting sqref="I230">
    <cfRule type="expression" dxfId="2248" priority="288">
      <formula>NOT(AND(H230="", B229&lt;&gt;"",OR(B228="Verblijf",B228="Daghulp")))</formula>
    </cfRule>
  </conditionalFormatting>
  <conditionalFormatting sqref="I231">
    <cfRule type="expression" dxfId="2247" priority="270">
      <formula>NOT(AND(H231="", B229&lt;&gt;"",OR(B228="Verblijf",B228="Daghulp")))</formula>
    </cfRule>
  </conditionalFormatting>
  <conditionalFormatting sqref="I232">
    <cfRule type="expression" dxfId="2246" priority="274">
      <formula>NOT(AND(H232="", B229&lt;&gt;"",OR(B228="Verblijf",B228="Daghulp")))</formula>
    </cfRule>
  </conditionalFormatting>
  <conditionalFormatting sqref="I233">
    <cfRule type="expression" dxfId="2245" priority="273">
      <formula>NOT(AND(H233="", B229&lt;&gt;"",OR(B228="Verblijf",B228="Daghulp")))</formula>
    </cfRule>
  </conditionalFormatting>
  <conditionalFormatting sqref="I236">
    <cfRule type="expression" dxfId="2244" priority="239">
      <formula>NOT(AND(H236="", B236&lt;&gt;""))</formula>
    </cfRule>
  </conditionalFormatting>
  <conditionalFormatting sqref="I237">
    <cfRule type="expression" dxfId="2243" priority="252">
      <formula>NOT(AND(H237="", B236&lt;&gt;"",OR(B235="Verblijf",B235="Daghulp")))</formula>
    </cfRule>
  </conditionalFormatting>
  <conditionalFormatting sqref="I238">
    <cfRule type="expression" dxfId="2242" priority="234">
      <formula>NOT(AND(H238="", B236&lt;&gt;"",OR(B235="Verblijf",B235="Daghulp")))</formula>
    </cfRule>
  </conditionalFormatting>
  <conditionalFormatting sqref="I239">
    <cfRule type="expression" dxfId="2241" priority="238">
      <formula>NOT(AND(H239="", B236&lt;&gt;"",OR(B235="Verblijf",B235="Daghulp")))</formula>
    </cfRule>
  </conditionalFormatting>
  <conditionalFormatting sqref="I240">
    <cfRule type="expression" dxfId="2240" priority="237">
      <formula>NOT(AND(H240="", B236&lt;&gt;"",OR(B235="Verblijf",B235="Daghulp")))</formula>
    </cfRule>
  </conditionalFormatting>
  <conditionalFormatting sqref="I243">
    <cfRule type="expression" dxfId="2239" priority="203">
      <formula>NOT(AND(H243="", B243&lt;&gt;""))</formula>
    </cfRule>
  </conditionalFormatting>
  <conditionalFormatting sqref="I244">
    <cfRule type="expression" dxfId="2238" priority="216">
      <formula>NOT(AND(H244="", B243&lt;&gt;"",OR(B242="Verblijf",B242="Daghulp")))</formula>
    </cfRule>
  </conditionalFormatting>
  <conditionalFormatting sqref="I245">
    <cfRule type="expression" dxfId="2237" priority="198">
      <formula>NOT(AND(H245="", B243&lt;&gt;"",OR(B242="Verblijf",B242="Daghulp")))</formula>
    </cfRule>
  </conditionalFormatting>
  <conditionalFormatting sqref="I246">
    <cfRule type="expression" dxfId="2236" priority="202">
      <formula>NOT(AND(H246="", B243&lt;&gt;"",OR(B242="Verblijf",B242="Daghulp")))</formula>
    </cfRule>
  </conditionalFormatting>
  <conditionalFormatting sqref="I247">
    <cfRule type="expression" dxfId="2235" priority="201">
      <formula>NOT(AND(H247="", B243&lt;&gt;"",OR(B242="Verblijf",B242="Daghulp")))</formula>
    </cfRule>
  </conditionalFormatting>
  <conditionalFormatting sqref="I250">
    <cfRule type="expression" dxfId="2234" priority="167">
      <formula>NOT(AND(H250="", B250&lt;&gt;""))</formula>
    </cfRule>
  </conditionalFormatting>
  <conditionalFormatting sqref="I251">
    <cfRule type="expression" dxfId="2233" priority="180">
      <formula>NOT(AND(H251="", B250&lt;&gt;"",OR(B249="Verblijf",B249="Daghulp")))</formula>
    </cfRule>
  </conditionalFormatting>
  <conditionalFormatting sqref="I252">
    <cfRule type="expression" dxfId="2232" priority="162">
      <formula>NOT(AND(H252="", B250&lt;&gt;"",OR(B249="Verblijf",B249="Daghulp")))</formula>
    </cfRule>
  </conditionalFormatting>
  <conditionalFormatting sqref="I253">
    <cfRule type="expression" dxfId="2231" priority="166">
      <formula>NOT(AND(H253="", B250&lt;&gt;"",OR(B249="Verblijf",B249="Daghulp")))</formula>
    </cfRule>
  </conditionalFormatting>
  <conditionalFormatting sqref="I254">
    <cfRule type="expression" dxfId="2230" priority="165">
      <formula>NOT(AND(H254="", B250&lt;&gt;"",OR(B249="Verblijf",B249="Daghulp")))</formula>
    </cfRule>
  </conditionalFormatting>
  <conditionalFormatting sqref="I257">
    <cfRule type="expression" dxfId="2229" priority="131">
      <formula>NOT(AND(H257="", B257&lt;&gt;""))</formula>
    </cfRule>
  </conditionalFormatting>
  <conditionalFormatting sqref="I258">
    <cfRule type="expression" dxfId="2228" priority="144">
      <formula>NOT(AND(H258="", B257&lt;&gt;"",OR(B256="Verblijf",B256="Daghulp")))</formula>
    </cfRule>
  </conditionalFormatting>
  <conditionalFormatting sqref="I259">
    <cfRule type="expression" dxfId="2227" priority="126">
      <formula>NOT(AND(H259="", B257&lt;&gt;"",OR(B256="Verblijf",B256="Daghulp")))</formula>
    </cfRule>
  </conditionalFormatting>
  <conditionalFormatting sqref="I260">
    <cfRule type="expression" dxfId="2226" priority="130">
      <formula>NOT(AND(H260="", B257&lt;&gt;"",OR(B256="Verblijf",B256="Daghulp")))</formula>
    </cfRule>
  </conditionalFormatting>
  <conditionalFormatting sqref="I261">
    <cfRule type="expression" dxfId="2225" priority="129">
      <formula>NOT(AND(H261="", B257&lt;&gt;"",OR(B256="Verblijf",B256="Daghulp")))</formula>
    </cfRule>
  </conditionalFormatting>
  <conditionalFormatting sqref="I264">
    <cfRule type="expression" dxfId="2224" priority="95">
      <formula>NOT(AND(H264="", B264&lt;&gt;""))</formula>
    </cfRule>
  </conditionalFormatting>
  <conditionalFormatting sqref="I265">
    <cfRule type="expression" dxfId="2223" priority="108">
      <formula>NOT(AND(H265="", B264&lt;&gt;"",OR(B263="Verblijf",B263="Daghulp")))</formula>
    </cfRule>
  </conditionalFormatting>
  <conditionalFormatting sqref="I266">
    <cfRule type="expression" dxfId="2222" priority="90">
      <formula>NOT(AND(H266="", B264&lt;&gt;"",OR(B263="Verblijf",B263="Daghulp")))</formula>
    </cfRule>
  </conditionalFormatting>
  <conditionalFormatting sqref="I267">
    <cfRule type="expression" dxfId="2221" priority="94">
      <formula>NOT(AND(H267="", B264&lt;&gt;"",OR(B263="Verblijf",B263="Daghulp")))</formula>
    </cfRule>
  </conditionalFormatting>
  <conditionalFormatting sqref="I268">
    <cfRule type="expression" dxfId="2220" priority="93">
      <formula>NOT(AND(H268="", B264&lt;&gt;"",OR(B263="Verblijf",B263="Daghulp")))</formula>
    </cfRule>
  </conditionalFormatting>
  <conditionalFormatting sqref="I271">
    <cfRule type="expression" dxfId="2219" priority="59">
      <formula>NOT(AND(H271="", B271&lt;&gt;""))</formula>
    </cfRule>
  </conditionalFormatting>
  <conditionalFormatting sqref="I272">
    <cfRule type="expression" dxfId="2218" priority="72">
      <formula>NOT(AND(H272="", B271&lt;&gt;"",OR(B270="Verblijf",B270="Daghulp")))</formula>
    </cfRule>
  </conditionalFormatting>
  <conditionalFormatting sqref="I273">
    <cfRule type="expression" dxfId="2217" priority="54">
      <formula>NOT(AND(H273="", B271&lt;&gt;"",OR(B270="Verblijf",B270="Daghulp")))</formula>
    </cfRule>
  </conditionalFormatting>
  <conditionalFormatting sqref="I274">
    <cfRule type="expression" dxfId="2216" priority="58">
      <formula>NOT(AND(H274="", B271&lt;&gt;"",OR(B270="Verblijf",B270="Daghulp")))</formula>
    </cfRule>
  </conditionalFormatting>
  <conditionalFormatting sqref="I275">
    <cfRule type="expression" dxfId="2215" priority="57">
      <formula>NOT(AND(H275="", B271&lt;&gt;"",OR(B270="Verblijf",B270="Daghulp")))</formula>
    </cfRule>
  </conditionalFormatting>
  <conditionalFormatting sqref="I278">
    <cfRule type="expression" dxfId="2214" priority="23">
      <formula>NOT(AND(H278="", B278&lt;&gt;""))</formula>
    </cfRule>
  </conditionalFormatting>
  <conditionalFormatting sqref="I279">
    <cfRule type="expression" dxfId="2213" priority="36">
      <formula>NOT(AND(H279="", B278&lt;&gt;"",OR(B277="Verblijf",B277="Daghulp")))</formula>
    </cfRule>
  </conditionalFormatting>
  <conditionalFormatting sqref="I280">
    <cfRule type="expression" dxfId="2212" priority="18">
      <formula>NOT(AND(H280="", B278&lt;&gt;"",OR(B277="Verblijf",B277="Daghulp")))</formula>
    </cfRule>
  </conditionalFormatting>
  <conditionalFormatting sqref="I281">
    <cfRule type="expression" dxfId="2211" priority="22">
      <formula>NOT(AND(H281="", B278&lt;&gt;"",OR(B277="Verblijf",B277="Daghulp")))</formula>
    </cfRule>
  </conditionalFormatting>
  <conditionalFormatting sqref="I282">
    <cfRule type="expression" dxfId="2210" priority="21">
      <formula>NOT(AND(H282="", B278&lt;&gt;"",OR(B277="Verblijf",B277="Daghulp")))</formula>
    </cfRule>
  </conditionalFormatting>
  <conditionalFormatting sqref="J6:K7">
    <cfRule type="expression" dxfId="2209" priority="3745">
      <formula>B5=""</formula>
    </cfRule>
  </conditionalFormatting>
  <conditionalFormatting sqref="M11">
    <cfRule type="expression" dxfId="2208" priority="17223" stopIfTrue="1">
      <formula>$B12=""</formula>
    </cfRule>
  </conditionalFormatting>
  <conditionalFormatting sqref="M18">
    <cfRule type="expression" dxfId="2207" priority="8163" stopIfTrue="1">
      <formula>$B19=""</formula>
    </cfRule>
  </conditionalFormatting>
  <conditionalFormatting sqref="M25">
    <cfRule type="expression" dxfId="2206" priority="5116" stopIfTrue="1">
      <formula>$B26=""</formula>
    </cfRule>
  </conditionalFormatting>
  <conditionalFormatting sqref="M32">
    <cfRule type="expression" dxfId="2205" priority="2414" stopIfTrue="1">
      <formula>$B33=""</formula>
    </cfRule>
  </conditionalFormatting>
  <conditionalFormatting sqref="M39">
    <cfRule type="expression" dxfId="2204" priority="2378" stopIfTrue="1">
      <formula>$B40=""</formula>
    </cfRule>
  </conditionalFormatting>
  <conditionalFormatting sqref="M46">
    <cfRule type="expression" dxfId="2203" priority="2342" stopIfTrue="1">
      <formula>$B47=""</formula>
    </cfRule>
  </conditionalFormatting>
  <conditionalFormatting sqref="M53">
    <cfRule type="expression" dxfId="2202" priority="2306" stopIfTrue="1">
      <formula>$B54=""</formula>
    </cfRule>
  </conditionalFormatting>
  <conditionalFormatting sqref="M60">
    <cfRule type="expression" dxfId="2201" priority="1118" stopIfTrue="1">
      <formula>$B61=""</formula>
    </cfRule>
  </conditionalFormatting>
  <conditionalFormatting sqref="M67">
    <cfRule type="expression" dxfId="2200" priority="1082" stopIfTrue="1">
      <formula>$B68=""</formula>
    </cfRule>
  </conditionalFormatting>
  <conditionalFormatting sqref="M74">
    <cfRule type="expression" dxfId="2199" priority="1046" stopIfTrue="1">
      <formula>$B75=""</formula>
    </cfRule>
  </conditionalFormatting>
  <conditionalFormatting sqref="M81">
    <cfRule type="expression" dxfId="2198" priority="1010" stopIfTrue="1">
      <formula>$B82=""</formula>
    </cfRule>
  </conditionalFormatting>
  <conditionalFormatting sqref="M88">
    <cfRule type="expression" dxfId="2197" priority="974" stopIfTrue="1">
      <formula>$B89=""</formula>
    </cfRule>
  </conditionalFormatting>
  <conditionalFormatting sqref="M95">
    <cfRule type="expression" dxfId="2196" priority="938" stopIfTrue="1">
      <formula>$B96=""</formula>
    </cfRule>
  </conditionalFormatting>
  <conditionalFormatting sqref="M102">
    <cfRule type="expression" dxfId="2195" priority="902" stopIfTrue="1">
      <formula>$B103=""</formula>
    </cfRule>
  </conditionalFormatting>
  <conditionalFormatting sqref="M109">
    <cfRule type="expression" dxfId="2194" priority="866" stopIfTrue="1">
      <formula>$B110=""</formula>
    </cfRule>
  </conditionalFormatting>
  <conditionalFormatting sqref="M116">
    <cfRule type="expression" dxfId="2193" priority="830" stopIfTrue="1">
      <formula>$B117=""</formula>
    </cfRule>
  </conditionalFormatting>
  <conditionalFormatting sqref="M123">
    <cfRule type="expression" dxfId="2192" priority="794" stopIfTrue="1">
      <formula>$B124=""</formula>
    </cfRule>
  </conditionalFormatting>
  <conditionalFormatting sqref="M130">
    <cfRule type="expression" dxfId="2191" priority="758" stopIfTrue="1">
      <formula>$B131=""</formula>
    </cfRule>
  </conditionalFormatting>
  <conditionalFormatting sqref="M137">
    <cfRule type="expression" dxfId="2190" priority="722" stopIfTrue="1">
      <formula>$B138=""</formula>
    </cfRule>
  </conditionalFormatting>
  <conditionalFormatting sqref="M144">
    <cfRule type="expression" dxfId="2189" priority="686" stopIfTrue="1">
      <formula>$B145=""</formula>
    </cfRule>
  </conditionalFormatting>
  <conditionalFormatting sqref="M151">
    <cfRule type="expression" dxfId="2188" priority="650" stopIfTrue="1">
      <formula>$B152=""</formula>
    </cfRule>
  </conditionalFormatting>
  <conditionalFormatting sqref="M158">
    <cfRule type="expression" dxfId="2187" priority="614" stopIfTrue="1">
      <formula>$B159=""</formula>
    </cfRule>
  </conditionalFormatting>
  <conditionalFormatting sqref="M165">
    <cfRule type="expression" dxfId="2186" priority="578" stopIfTrue="1">
      <formula>$B166=""</formula>
    </cfRule>
  </conditionalFormatting>
  <conditionalFormatting sqref="M172">
    <cfRule type="expression" dxfId="2185" priority="542" stopIfTrue="1">
      <formula>$B173=""</formula>
    </cfRule>
  </conditionalFormatting>
  <conditionalFormatting sqref="M179">
    <cfRule type="expression" dxfId="2184" priority="506" stopIfTrue="1">
      <formula>$B180=""</formula>
    </cfRule>
  </conditionalFormatting>
  <conditionalFormatting sqref="M186">
    <cfRule type="expression" dxfId="2183" priority="470" stopIfTrue="1">
      <formula>$B187=""</formula>
    </cfRule>
  </conditionalFormatting>
  <conditionalFormatting sqref="M193">
    <cfRule type="expression" dxfId="2182" priority="434" stopIfTrue="1">
      <formula>$B194=""</formula>
    </cfRule>
  </conditionalFormatting>
  <conditionalFormatting sqref="M200">
    <cfRule type="expression" dxfId="2181" priority="398" stopIfTrue="1">
      <formula>$B201=""</formula>
    </cfRule>
  </conditionalFormatting>
  <conditionalFormatting sqref="M207">
    <cfRule type="expression" dxfId="2180" priority="362" stopIfTrue="1">
      <formula>$B208=""</formula>
    </cfRule>
  </conditionalFormatting>
  <conditionalFormatting sqref="M214">
    <cfRule type="expression" dxfId="2179" priority="326" stopIfTrue="1">
      <formula>$B215=""</formula>
    </cfRule>
  </conditionalFormatting>
  <conditionalFormatting sqref="M221">
    <cfRule type="expression" dxfId="2178" priority="290" stopIfTrue="1">
      <formula>$B222=""</formula>
    </cfRule>
  </conditionalFormatting>
  <conditionalFormatting sqref="M228">
    <cfRule type="expression" dxfId="2177" priority="254" stopIfTrue="1">
      <formula>$B229=""</formula>
    </cfRule>
  </conditionalFormatting>
  <conditionalFormatting sqref="M235">
    <cfRule type="expression" dxfId="2176" priority="218" stopIfTrue="1">
      <formula>$B236=""</formula>
    </cfRule>
  </conditionalFormatting>
  <conditionalFormatting sqref="M242">
    <cfRule type="expression" dxfId="2175" priority="182" stopIfTrue="1">
      <formula>$B243=""</formula>
    </cfRule>
  </conditionalFormatting>
  <conditionalFormatting sqref="M249">
    <cfRule type="expression" dxfId="2174" priority="146" stopIfTrue="1">
      <formula>$B250=""</formula>
    </cfRule>
  </conditionalFormatting>
  <conditionalFormatting sqref="M256">
    <cfRule type="expression" dxfId="2173" priority="110" stopIfTrue="1">
      <formula>$B257=""</formula>
    </cfRule>
  </conditionalFormatting>
  <conditionalFormatting sqref="M263">
    <cfRule type="expression" dxfId="2172" priority="74" stopIfTrue="1">
      <formula>$B264=""</formula>
    </cfRule>
  </conditionalFormatting>
  <conditionalFormatting sqref="M270">
    <cfRule type="expression" dxfId="2171" priority="38" stopIfTrue="1">
      <formula>$B271=""</formula>
    </cfRule>
  </conditionalFormatting>
  <conditionalFormatting sqref="M277">
    <cfRule type="expression" dxfId="2170" priority="2" stopIfTrue="1">
      <formula>$B278=""</formula>
    </cfRule>
  </conditionalFormatting>
  <conditionalFormatting sqref="M6:N8">
    <cfRule type="expression" dxfId="2169" priority="9842">
      <formula>$AD6=TRUE</formula>
    </cfRule>
  </conditionalFormatting>
  <conditionalFormatting sqref="M13:N15">
    <cfRule type="expression" dxfId="2168" priority="8316">
      <formula>$AD13=TRUE</formula>
    </cfRule>
  </conditionalFormatting>
  <conditionalFormatting sqref="M20:N22">
    <cfRule type="expression" dxfId="2167" priority="8161">
      <formula>$AD20=TRUE</formula>
    </cfRule>
  </conditionalFormatting>
  <conditionalFormatting sqref="M27:N29">
    <cfRule type="expression" dxfId="2166" priority="5115">
      <formula>$AD27=TRUE</formula>
    </cfRule>
  </conditionalFormatting>
  <conditionalFormatting sqref="M34:N36">
    <cfRule type="expression" dxfId="2165" priority="2413">
      <formula>$AD34=TRUE</formula>
    </cfRule>
  </conditionalFormatting>
  <conditionalFormatting sqref="M41:N43">
    <cfRule type="expression" dxfId="2164" priority="2377">
      <formula>$AD41=TRUE</formula>
    </cfRule>
  </conditionalFormatting>
  <conditionalFormatting sqref="M48:N50">
    <cfRule type="expression" dxfId="2163" priority="2341">
      <formula>$AD48=TRUE</formula>
    </cfRule>
  </conditionalFormatting>
  <conditionalFormatting sqref="M55:N57">
    <cfRule type="expression" dxfId="2162" priority="2305">
      <formula>$AD55=TRUE</formula>
    </cfRule>
  </conditionalFormatting>
  <conditionalFormatting sqref="M62:N64">
    <cfRule type="expression" dxfId="2161" priority="1117">
      <formula>$AD62=TRUE</formula>
    </cfRule>
  </conditionalFormatting>
  <conditionalFormatting sqref="M69:N71">
    <cfRule type="expression" dxfId="2160" priority="1081">
      <formula>$AD69=TRUE</formula>
    </cfRule>
  </conditionalFormatting>
  <conditionalFormatting sqref="M76:N78">
    <cfRule type="expression" dxfId="2159" priority="1045">
      <formula>$AD76=TRUE</formula>
    </cfRule>
  </conditionalFormatting>
  <conditionalFormatting sqref="M83:N85">
    <cfRule type="expression" dxfId="2158" priority="1009">
      <formula>$AD83=TRUE</formula>
    </cfRule>
  </conditionalFormatting>
  <conditionalFormatting sqref="M90:N92">
    <cfRule type="expression" dxfId="2157" priority="973">
      <formula>$AD90=TRUE</formula>
    </cfRule>
  </conditionalFormatting>
  <conditionalFormatting sqref="M97:N99">
    <cfRule type="expression" dxfId="2156" priority="937">
      <formula>$AD97=TRUE</formula>
    </cfRule>
  </conditionalFormatting>
  <conditionalFormatting sqref="M104:N106">
    <cfRule type="expression" dxfId="2155" priority="901">
      <formula>$AD104=TRUE</formula>
    </cfRule>
  </conditionalFormatting>
  <conditionalFormatting sqref="M111:N113">
    <cfRule type="expression" dxfId="2154" priority="865">
      <formula>$AD111=TRUE</formula>
    </cfRule>
  </conditionalFormatting>
  <conditionalFormatting sqref="M118:N120">
    <cfRule type="expression" dxfId="2153" priority="829">
      <formula>$AD118=TRUE</formula>
    </cfRule>
  </conditionalFormatting>
  <conditionalFormatting sqref="M125:N127">
    <cfRule type="expression" dxfId="2152" priority="793">
      <formula>$AD125=TRUE</formula>
    </cfRule>
  </conditionalFormatting>
  <conditionalFormatting sqref="M132:N134">
    <cfRule type="expression" dxfId="2151" priority="757">
      <formula>$AD132=TRUE</formula>
    </cfRule>
  </conditionalFormatting>
  <conditionalFormatting sqref="M139:N141">
    <cfRule type="expression" dxfId="2150" priority="721">
      <formula>$AD139=TRUE</formula>
    </cfRule>
  </conditionalFormatting>
  <conditionalFormatting sqref="M146:N148">
    <cfRule type="expression" dxfId="2149" priority="685">
      <formula>$AD146=TRUE</formula>
    </cfRule>
  </conditionalFormatting>
  <conditionalFormatting sqref="M153:N155">
    <cfRule type="expression" dxfId="2148" priority="649">
      <formula>$AD153=TRUE</formula>
    </cfRule>
  </conditionalFormatting>
  <conditionalFormatting sqref="M160:N162">
    <cfRule type="expression" dxfId="2147" priority="613">
      <formula>$AD160=TRUE</formula>
    </cfRule>
  </conditionalFormatting>
  <conditionalFormatting sqref="M167:N169">
    <cfRule type="expression" dxfId="2146" priority="577">
      <formula>$AD167=TRUE</formula>
    </cfRule>
  </conditionalFormatting>
  <conditionalFormatting sqref="M174:N176">
    <cfRule type="expression" dxfId="2145" priority="541">
      <formula>$AD174=TRUE</formula>
    </cfRule>
  </conditionalFormatting>
  <conditionalFormatting sqref="M181:N183">
    <cfRule type="expression" dxfId="2144" priority="505">
      <formula>$AD181=TRUE</formula>
    </cfRule>
  </conditionalFormatting>
  <conditionalFormatting sqref="M188:N190">
    <cfRule type="expression" dxfId="2143" priority="469">
      <formula>$AD188=TRUE</formula>
    </cfRule>
  </conditionalFormatting>
  <conditionalFormatting sqref="M195:N197">
    <cfRule type="expression" dxfId="2142" priority="433">
      <formula>$AD195=TRUE</formula>
    </cfRule>
  </conditionalFormatting>
  <conditionalFormatting sqref="M202:N204">
    <cfRule type="expression" dxfId="2141" priority="397">
      <formula>$AD202=TRUE</formula>
    </cfRule>
  </conditionalFormatting>
  <conditionalFormatting sqref="M209:N211">
    <cfRule type="expression" dxfId="2140" priority="361">
      <formula>$AD209=TRUE</formula>
    </cfRule>
  </conditionalFormatting>
  <conditionalFormatting sqref="M216:N218">
    <cfRule type="expression" dxfId="2139" priority="325">
      <formula>$AD216=TRUE</formula>
    </cfRule>
  </conditionalFormatting>
  <conditionalFormatting sqref="M223:N225">
    <cfRule type="expression" dxfId="2138" priority="289">
      <formula>$AD223=TRUE</formula>
    </cfRule>
  </conditionalFormatting>
  <conditionalFormatting sqref="M230:N232">
    <cfRule type="expression" dxfId="2137" priority="253">
      <formula>$AD230=TRUE</formula>
    </cfRule>
  </conditionalFormatting>
  <conditionalFormatting sqref="M237:N239">
    <cfRule type="expression" dxfId="2136" priority="217">
      <formula>$AD237=TRUE</formula>
    </cfRule>
  </conditionalFormatting>
  <conditionalFormatting sqref="M244:N246">
    <cfRule type="expression" dxfId="2135" priority="181">
      <formula>$AD244=TRUE</formula>
    </cfRule>
  </conditionalFormatting>
  <conditionalFormatting sqref="M251:N253">
    <cfRule type="expression" dxfId="2134" priority="145">
      <formula>$AD251=TRUE</formula>
    </cfRule>
  </conditionalFormatting>
  <conditionalFormatting sqref="M258:N260">
    <cfRule type="expression" dxfId="2133" priority="109">
      <formula>$AD258=TRUE</formula>
    </cfRule>
  </conditionalFormatting>
  <conditionalFormatting sqref="M265:N267">
    <cfRule type="expression" dxfId="2132" priority="73">
      <formula>$AD265=TRUE</formula>
    </cfRule>
  </conditionalFormatting>
  <conditionalFormatting sqref="M272:N274">
    <cfRule type="expression" dxfId="2131" priority="37">
      <formula>$AD272=TRUE</formula>
    </cfRule>
  </conditionalFormatting>
  <conditionalFormatting sqref="M279:N281">
    <cfRule type="expression" dxfId="2130" priority="1">
      <formula>$AD279=TRUE</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1373" id="{FA57FD40-D1D9-4ABE-93D4-75A4E3E51ABE}">
            <xm:f>OR(Initialisatie!$C$6="Ja",B5="")</xm:f>
            <x14:dxf>
              <font>
                <color theme="6" tint="0.59996337778862885"/>
              </font>
              <fill>
                <patternFill>
                  <bgColor theme="6" tint="0.59996337778862885"/>
                </patternFill>
              </fill>
            </x14:dxf>
          </x14:cfRule>
          <xm:sqref>E7</xm:sqref>
        </x14:conditionalFormatting>
        <x14:conditionalFormatting xmlns:xm="http://schemas.microsoft.com/office/excel/2006/main">
          <x14:cfRule type="expression" priority="18919" id="{5931F7BA-CCFF-4085-907F-FADF41D3E82B}">
            <xm:f>OR(Initialisatie!$C$6="Ja",B12="")</xm:f>
            <x14:dxf>
              <font>
                <color theme="6" tint="0.59996337778862885"/>
              </font>
              <fill>
                <patternFill>
                  <bgColor theme="6" tint="0.59996337778862885"/>
                </patternFill>
              </fill>
            </x14:dxf>
          </x14:cfRule>
          <xm:sqref>E14</xm:sqref>
        </x14:conditionalFormatting>
        <x14:conditionalFormatting xmlns:xm="http://schemas.microsoft.com/office/excel/2006/main">
          <x14:cfRule type="expression" priority="8191" id="{B99373A4-3FD8-46D8-956B-E77936C7BB99}">
            <xm:f>OR(Initialisatie!$C$6="Ja",B19="")</xm:f>
            <x14:dxf>
              <font>
                <color theme="6" tint="0.59996337778862885"/>
              </font>
              <fill>
                <patternFill>
                  <bgColor theme="6" tint="0.59996337778862885"/>
                </patternFill>
              </fill>
            </x14:dxf>
          </x14:cfRule>
          <xm:sqref>E21</xm:sqref>
        </x14:conditionalFormatting>
        <x14:conditionalFormatting xmlns:xm="http://schemas.microsoft.com/office/excel/2006/main">
          <x14:cfRule type="expression" priority="5143" id="{AA72B7F7-19B2-404F-95C4-044497C5E815}">
            <xm:f>OR(Initialisatie!$C$6="Ja",B26="")</xm:f>
            <x14:dxf>
              <font>
                <color theme="6" tint="0.59996337778862885"/>
              </font>
              <fill>
                <patternFill>
                  <bgColor theme="6" tint="0.59996337778862885"/>
                </patternFill>
              </fill>
            </x14:dxf>
          </x14:cfRule>
          <xm:sqref>E28</xm:sqref>
        </x14:conditionalFormatting>
        <x14:conditionalFormatting xmlns:xm="http://schemas.microsoft.com/office/excel/2006/main">
          <x14:cfRule type="expression" priority="2441" id="{14DC62AF-4B97-477F-BD45-B421C9BDB03B}">
            <xm:f>OR(Initialisatie!$C$6="Ja",B33="")</xm:f>
            <x14:dxf>
              <font>
                <color theme="6" tint="0.59996337778862885"/>
              </font>
              <fill>
                <patternFill>
                  <bgColor theme="6" tint="0.59996337778862885"/>
                </patternFill>
              </fill>
            </x14:dxf>
          </x14:cfRule>
          <xm:sqref>E35</xm:sqref>
        </x14:conditionalFormatting>
        <x14:conditionalFormatting xmlns:xm="http://schemas.microsoft.com/office/excel/2006/main">
          <x14:cfRule type="expression" priority="2405" id="{B3CE1B1F-DC9F-460F-99B4-CB45D7BE9EF2}">
            <xm:f>OR(Initialisatie!$C$6="Ja",B40="")</xm:f>
            <x14:dxf>
              <font>
                <color theme="6" tint="0.59996337778862885"/>
              </font>
              <fill>
                <patternFill>
                  <bgColor theme="6" tint="0.59996337778862885"/>
                </patternFill>
              </fill>
            </x14:dxf>
          </x14:cfRule>
          <xm:sqref>E42</xm:sqref>
        </x14:conditionalFormatting>
        <x14:conditionalFormatting xmlns:xm="http://schemas.microsoft.com/office/excel/2006/main">
          <x14:cfRule type="expression" priority="2369" id="{38257BC8-DCB5-43AD-8668-35429632B68D}">
            <xm:f>OR(Initialisatie!$C$6="Ja",B47="")</xm:f>
            <x14:dxf>
              <font>
                <color theme="6" tint="0.59996337778862885"/>
              </font>
              <fill>
                <patternFill>
                  <bgColor theme="6" tint="0.59996337778862885"/>
                </patternFill>
              </fill>
            </x14:dxf>
          </x14:cfRule>
          <xm:sqref>E49</xm:sqref>
        </x14:conditionalFormatting>
        <x14:conditionalFormatting xmlns:xm="http://schemas.microsoft.com/office/excel/2006/main">
          <x14:cfRule type="expression" priority="2333" id="{05B1B6E6-F21C-4EF8-8FDD-8893705A5D1E}">
            <xm:f>OR(Initialisatie!$C$6="Ja",B54="")</xm:f>
            <x14:dxf>
              <font>
                <color theme="6" tint="0.59996337778862885"/>
              </font>
              <fill>
                <patternFill>
                  <bgColor theme="6" tint="0.59996337778862885"/>
                </patternFill>
              </fill>
            </x14:dxf>
          </x14:cfRule>
          <xm:sqref>E56</xm:sqref>
        </x14:conditionalFormatting>
        <x14:conditionalFormatting xmlns:xm="http://schemas.microsoft.com/office/excel/2006/main">
          <x14:cfRule type="expression" priority="1145" id="{BA3AE3CC-A1AA-4BA6-ABB6-718105200D75}">
            <xm:f>OR(Initialisatie!$C$6="Ja",B61="")</xm:f>
            <x14:dxf>
              <font>
                <color theme="6" tint="0.59996337778862885"/>
              </font>
              <fill>
                <patternFill>
                  <bgColor theme="6" tint="0.59996337778862885"/>
                </patternFill>
              </fill>
            </x14:dxf>
          </x14:cfRule>
          <xm:sqref>E63</xm:sqref>
        </x14:conditionalFormatting>
        <x14:conditionalFormatting xmlns:xm="http://schemas.microsoft.com/office/excel/2006/main">
          <x14:cfRule type="expression" priority="1109" id="{B78BABAD-B62F-4A60-91E9-C42584FEBF93}">
            <xm:f>OR(Initialisatie!$C$6="Ja",B68="")</xm:f>
            <x14:dxf>
              <font>
                <color theme="6" tint="0.59996337778862885"/>
              </font>
              <fill>
                <patternFill>
                  <bgColor theme="6" tint="0.59996337778862885"/>
                </patternFill>
              </fill>
            </x14:dxf>
          </x14:cfRule>
          <xm:sqref>E70</xm:sqref>
        </x14:conditionalFormatting>
        <x14:conditionalFormatting xmlns:xm="http://schemas.microsoft.com/office/excel/2006/main">
          <x14:cfRule type="expression" priority="1073" id="{D2A3A92B-DF79-4DD4-A736-020D3F4C75E3}">
            <xm:f>OR(Initialisatie!$C$6="Ja",B75="")</xm:f>
            <x14:dxf>
              <font>
                <color theme="6" tint="0.59996337778862885"/>
              </font>
              <fill>
                <patternFill>
                  <bgColor theme="6" tint="0.59996337778862885"/>
                </patternFill>
              </fill>
            </x14:dxf>
          </x14:cfRule>
          <xm:sqref>E77</xm:sqref>
        </x14:conditionalFormatting>
        <x14:conditionalFormatting xmlns:xm="http://schemas.microsoft.com/office/excel/2006/main">
          <x14:cfRule type="expression" priority="1037" id="{A2328DE3-95D9-435B-BE7F-B7DC96D67508}">
            <xm:f>OR(Initialisatie!$C$6="Ja",B82="")</xm:f>
            <x14:dxf>
              <font>
                <color theme="6" tint="0.59996337778862885"/>
              </font>
              <fill>
                <patternFill>
                  <bgColor theme="6" tint="0.59996337778862885"/>
                </patternFill>
              </fill>
            </x14:dxf>
          </x14:cfRule>
          <xm:sqref>E84</xm:sqref>
        </x14:conditionalFormatting>
        <x14:conditionalFormatting xmlns:xm="http://schemas.microsoft.com/office/excel/2006/main">
          <x14:cfRule type="expression" priority="1001" id="{AD5A5A8D-1218-472D-8A77-E5294BA7597C}">
            <xm:f>OR(Initialisatie!$C$6="Ja",B89="")</xm:f>
            <x14:dxf>
              <font>
                <color theme="6" tint="0.59996337778862885"/>
              </font>
              <fill>
                <patternFill>
                  <bgColor theme="6" tint="0.59996337778862885"/>
                </patternFill>
              </fill>
            </x14:dxf>
          </x14:cfRule>
          <xm:sqref>E91</xm:sqref>
        </x14:conditionalFormatting>
        <x14:conditionalFormatting xmlns:xm="http://schemas.microsoft.com/office/excel/2006/main">
          <x14:cfRule type="expression" priority="965" id="{5015C543-2BC5-4B5A-9060-92EBCAE7AA0D}">
            <xm:f>OR(Initialisatie!$C$6="Ja",B96="")</xm:f>
            <x14:dxf>
              <font>
                <color theme="6" tint="0.59996337778862885"/>
              </font>
              <fill>
                <patternFill>
                  <bgColor theme="6" tint="0.59996337778862885"/>
                </patternFill>
              </fill>
            </x14:dxf>
          </x14:cfRule>
          <xm:sqref>E98</xm:sqref>
        </x14:conditionalFormatting>
        <x14:conditionalFormatting xmlns:xm="http://schemas.microsoft.com/office/excel/2006/main">
          <x14:cfRule type="expression" priority="929" id="{216DB461-4C3E-4E38-BCFA-82C35F64DF52}">
            <xm:f>OR(Initialisatie!$C$6="Ja",B103="")</xm:f>
            <x14:dxf>
              <font>
                <color theme="6" tint="0.59996337778862885"/>
              </font>
              <fill>
                <patternFill>
                  <bgColor theme="6" tint="0.59996337778862885"/>
                </patternFill>
              </fill>
            </x14:dxf>
          </x14:cfRule>
          <xm:sqref>E105</xm:sqref>
        </x14:conditionalFormatting>
        <x14:conditionalFormatting xmlns:xm="http://schemas.microsoft.com/office/excel/2006/main">
          <x14:cfRule type="expression" priority="893" id="{F2D60058-9D38-4773-9166-5DB22D0F7E0D}">
            <xm:f>OR(Initialisatie!$C$6="Ja",B110="")</xm:f>
            <x14:dxf>
              <font>
                <color theme="6" tint="0.59996337778862885"/>
              </font>
              <fill>
                <patternFill>
                  <bgColor theme="6" tint="0.59996337778862885"/>
                </patternFill>
              </fill>
            </x14:dxf>
          </x14:cfRule>
          <xm:sqref>E112</xm:sqref>
        </x14:conditionalFormatting>
        <x14:conditionalFormatting xmlns:xm="http://schemas.microsoft.com/office/excel/2006/main">
          <x14:cfRule type="expression" priority="857" id="{D37689F3-86E7-4146-B109-39DEDD199B0E}">
            <xm:f>OR(Initialisatie!$C$6="Ja",B117="")</xm:f>
            <x14:dxf>
              <font>
                <color theme="6" tint="0.59996337778862885"/>
              </font>
              <fill>
                <patternFill>
                  <bgColor theme="6" tint="0.59996337778862885"/>
                </patternFill>
              </fill>
            </x14:dxf>
          </x14:cfRule>
          <xm:sqref>E119</xm:sqref>
        </x14:conditionalFormatting>
        <x14:conditionalFormatting xmlns:xm="http://schemas.microsoft.com/office/excel/2006/main">
          <x14:cfRule type="expression" priority="821" id="{345760CB-58FD-481E-8011-BED4A4DFF06E}">
            <xm:f>OR(Initialisatie!$C$6="Ja",B124="")</xm:f>
            <x14:dxf>
              <font>
                <color theme="6" tint="0.59996337778862885"/>
              </font>
              <fill>
                <patternFill>
                  <bgColor theme="6" tint="0.59996337778862885"/>
                </patternFill>
              </fill>
            </x14:dxf>
          </x14:cfRule>
          <xm:sqref>E126</xm:sqref>
        </x14:conditionalFormatting>
        <x14:conditionalFormatting xmlns:xm="http://schemas.microsoft.com/office/excel/2006/main">
          <x14:cfRule type="expression" priority="785" id="{A6E19513-5BEB-4E6A-AF19-F1D4E0EDEC29}">
            <xm:f>OR(Initialisatie!$C$6="Ja",B131="")</xm:f>
            <x14:dxf>
              <font>
                <color theme="6" tint="0.59996337778862885"/>
              </font>
              <fill>
                <patternFill>
                  <bgColor theme="6" tint="0.59996337778862885"/>
                </patternFill>
              </fill>
            </x14:dxf>
          </x14:cfRule>
          <xm:sqref>E133</xm:sqref>
        </x14:conditionalFormatting>
        <x14:conditionalFormatting xmlns:xm="http://schemas.microsoft.com/office/excel/2006/main">
          <x14:cfRule type="expression" priority="749" id="{C3B13D5D-39B9-4F00-B862-F79C56B43B7C}">
            <xm:f>OR(Initialisatie!$C$6="Ja",B138="")</xm:f>
            <x14:dxf>
              <font>
                <color theme="6" tint="0.59996337778862885"/>
              </font>
              <fill>
                <patternFill>
                  <bgColor theme="6" tint="0.59996337778862885"/>
                </patternFill>
              </fill>
            </x14:dxf>
          </x14:cfRule>
          <xm:sqref>E140</xm:sqref>
        </x14:conditionalFormatting>
        <x14:conditionalFormatting xmlns:xm="http://schemas.microsoft.com/office/excel/2006/main">
          <x14:cfRule type="expression" priority="713" id="{4929F577-1E3B-4308-8B7C-380B5406E3E5}">
            <xm:f>OR(Initialisatie!$C$6="Ja",B145="")</xm:f>
            <x14:dxf>
              <font>
                <color theme="6" tint="0.59996337778862885"/>
              </font>
              <fill>
                <patternFill>
                  <bgColor theme="6" tint="0.59996337778862885"/>
                </patternFill>
              </fill>
            </x14:dxf>
          </x14:cfRule>
          <xm:sqref>E147</xm:sqref>
        </x14:conditionalFormatting>
        <x14:conditionalFormatting xmlns:xm="http://schemas.microsoft.com/office/excel/2006/main">
          <x14:cfRule type="expression" priority="677" id="{833FE52D-7A24-4A53-8D6B-7D26F9097223}">
            <xm:f>OR(Initialisatie!$C$6="Ja",B152="")</xm:f>
            <x14:dxf>
              <font>
                <color theme="6" tint="0.59996337778862885"/>
              </font>
              <fill>
                <patternFill>
                  <bgColor theme="6" tint="0.59996337778862885"/>
                </patternFill>
              </fill>
            </x14:dxf>
          </x14:cfRule>
          <xm:sqref>E154</xm:sqref>
        </x14:conditionalFormatting>
        <x14:conditionalFormatting xmlns:xm="http://schemas.microsoft.com/office/excel/2006/main">
          <x14:cfRule type="expression" priority="641" id="{F45DA60D-3BF2-4257-B774-219F467DB1FE}">
            <xm:f>OR(Initialisatie!$C$6="Ja",B159="")</xm:f>
            <x14:dxf>
              <font>
                <color theme="6" tint="0.59996337778862885"/>
              </font>
              <fill>
                <patternFill>
                  <bgColor theme="6" tint="0.59996337778862885"/>
                </patternFill>
              </fill>
            </x14:dxf>
          </x14:cfRule>
          <xm:sqref>E161</xm:sqref>
        </x14:conditionalFormatting>
        <x14:conditionalFormatting xmlns:xm="http://schemas.microsoft.com/office/excel/2006/main">
          <x14:cfRule type="expression" priority="605" id="{C1A6FD39-C6F6-47C1-A0D3-E127B369FEEB}">
            <xm:f>OR(Initialisatie!$C$6="Ja",B166="")</xm:f>
            <x14:dxf>
              <font>
                <color theme="6" tint="0.59996337778862885"/>
              </font>
              <fill>
                <patternFill>
                  <bgColor theme="6" tint="0.59996337778862885"/>
                </patternFill>
              </fill>
            </x14:dxf>
          </x14:cfRule>
          <xm:sqref>E168</xm:sqref>
        </x14:conditionalFormatting>
        <x14:conditionalFormatting xmlns:xm="http://schemas.microsoft.com/office/excel/2006/main">
          <x14:cfRule type="expression" priority="569" id="{905FDA65-6F02-43CF-84BA-094F45B1F66F}">
            <xm:f>OR(Initialisatie!$C$6="Ja",B173="")</xm:f>
            <x14:dxf>
              <font>
                <color theme="6" tint="0.59996337778862885"/>
              </font>
              <fill>
                <patternFill>
                  <bgColor theme="6" tint="0.59996337778862885"/>
                </patternFill>
              </fill>
            </x14:dxf>
          </x14:cfRule>
          <xm:sqref>E175</xm:sqref>
        </x14:conditionalFormatting>
        <x14:conditionalFormatting xmlns:xm="http://schemas.microsoft.com/office/excel/2006/main">
          <x14:cfRule type="expression" priority="533" id="{21B22A8A-8E82-4510-920D-3C525B5DB21F}">
            <xm:f>OR(Initialisatie!$C$6="Ja",B180="")</xm:f>
            <x14:dxf>
              <font>
                <color theme="6" tint="0.59996337778862885"/>
              </font>
              <fill>
                <patternFill>
                  <bgColor theme="6" tint="0.59996337778862885"/>
                </patternFill>
              </fill>
            </x14:dxf>
          </x14:cfRule>
          <xm:sqref>E182</xm:sqref>
        </x14:conditionalFormatting>
        <x14:conditionalFormatting xmlns:xm="http://schemas.microsoft.com/office/excel/2006/main">
          <x14:cfRule type="expression" priority="497" id="{52F4A214-9385-448A-8BBC-D4217CE346A9}">
            <xm:f>OR(Initialisatie!$C$6="Ja",B187="")</xm:f>
            <x14:dxf>
              <font>
                <color theme="6" tint="0.59996337778862885"/>
              </font>
              <fill>
                <patternFill>
                  <bgColor theme="6" tint="0.59996337778862885"/>
                </patternFill>
              </fill>
            </x14:dxf>
          </x14:cfRule>
          <xm:sqref>E189</xm:sqref>
        </x14:conditionalFormatting>
        <x14:conditionalFormatting xmlns:xm="http://schemas.microsoft.com/office/excel/2006/main">
          <x14:cfRule type="expression" priority="461" id="{B6601448-F837-433E-9703-C4E646D07C4E}">
            <xm:f>OR(Initialisatie!$C$6="Ja",B194="")</xm:f>
            <x14:dxf>
              <font>
                <color theme="6" tint="0.59996337778862885"/>
              </font>
              <fill>
                <patternFill>
                  <bgColor theme="6" tint="0.59996337778862885"/>
                </patternFill>
              </fill>
            </x14:dxf>
          </x14:cfRule>
          <xm:sqref>E196</xm:sqref>
        </x14:conditionalFormatting>
        <x14:conditionalFormatting xmlns:xm="http://schemas.microsoft.com/office/excel/2006/main">
          <x14:cfRule type="expression" priority="425" id="{472C3069-185B-4777-AEE1-9915CD85EFDD}">
            <xm:f>OR(Initialisatie!$C$6="Ja",B201="")</xm:f>
            <x14:dxf>
              <font>
                <color theme="6" tint="0.59996337778862885"/>
              </font>
              <fill>
                <patternFill>
                  <bgColor theme="6" tint="0.59996337778862885"/>
                </patternFill>
              </fill>
            </x14:dxf>
          </x14:cfRule>
          <xm:sqref>E203</xm:sqref>
        </x14:conditionalFormatting>
        <x14:conditionalFormatting xmlns:xm="http://schemas.microsoft.com/office/excel/2006/main">
          <x14:cfRule type="expression" priority="389" id="{BC9C0C7B-DBDF-412F-A187-F6518E3891C9}">
            <xm:f>OR(Initialisatie!$C$6="Ja",B208="")</xm:f>
            <x14:dxf>
              <font>
                <color theme="6" tint="0.59996337778862885"/>
              </font>
              <fill>
                <patternFill>
                  <bgColor theme="6" tint="0.59996337778862885"/>
                </patternFill>
              </fill>
            </x14:dxf>
          </x14:cfRule>
          <xm:sqref>E210</xm:sqref>
        </x14:conditionalFormatting>
        <x14:conditionalFormatting xmlns:xm="http://schemas.microsoft.com/office/excel/2006/main">
          <x14:cfRule type="expression" priority="353" id="{CCB1ABC9-B7BC-462D-85DB-FA2EAD9B0A80}">
            <xm:f>OR(Initialisatie!$C$6="Ja",B215="")</xm:f>
            <x14:dxf>
              <font>
                <color theme="6" tint="0.59996337778862885"/>
              </font>
              <fill>
                <patternFill>
                  <bgColor theme="6" tint="0.59996337778862885"/>
                </patternFill>
              </fill>
            </x14:dxf>
          </x14:cfRule>
          <xm:sqref>E217</xm:sqref>
        </x14:conditionalFormatting>
        <x14:conditionalFormatting xmlns:xm="http://schemas.microsoft.com/office/excel/2006/main">
          <x14:cfRule type="expression" priority="317" id="{E9FA8E1C-A437-4093-BFA2-C4F7AFE92E62}">
            <xm:f>OR(Initialisatie!$C$6="Ja",B222="")</xm:f>
            <x14:dxf>
              <font>
                <color theme="6" tint="0.59996337778862885"/>
              </font>
              <fill>
                <patternFill>
                  <bgColor theme="6" tint="0.59996337778862885"/>
                </patternFill>
              </fill>
            </x14:dxf>
          </x14:cfRule>
          <xm:sqref>E224</xm:sqref>
        </x14:conditionalFormatting>
        <x14:conditionalFormatting xmlns:xm="http://schemas.microsoft.com/office/excel/2006/main">
          <x14:cfRule type="expression" priority="281" id="{D564E313-E9E6-414D-A06C-C78E016772A6}">
            <xm:f>OR(Initialisatie!$C$6="Ja",B229="")</xm:f>
            <x14:dxf>
              <font>
                <color theme="6" tint="0.59996337778862885"/>
              </font>
              <fill>
                <patternFill>
                  <bgColor theme="6" tint="0.59996337778862885"/>
                </patternFill>
              </fill>
            </x14:dxf>
          </x14:cfRule>
          <xm:sqref>E231</xm:sqref>
        </x14:conditionalFormatting>
        <x14:conditionalFormatting xmlns:xm="http://schemas.microsoft.com/office/excel/2006/main">
          <x14:cfRule type="expression" priority="245" id="{351FB802-5029-471C-915D-478F8C3EB138}">
            <xm:f>OR(Initialisatie!$C$6="Ja",B236="")</xm:f>
            <x14:dxf>
              <font>
                <color theme="6" tint="0.59996337778862885"/>
              </font>
              <fill>
                <patternFill>
                  <bgColor theme="6" tint="0.59996337778862885"/>
                </patternFill>
              </fill>
            </x14:dxf>
          </x14:cfRule>
          <xm:sqref>E238</xm:sqref>
        </x14:conditionalFormatting>
        <x14:conditionalFormatting xmlns:xm="http://schemas.microsoft.com/office/excel/2006/main">
          <x14:cfRule type="expression" priority="209" id="{3D650F4B-BD65-4FCE-B6CF-B2F330823CC4}">
            <xm:f>OR(Initialisatie!$C$6="Ja",B243="")</xm:f>
            <x14:dxf>
              <font>
                <color theme="6" tint="0.59996337778862885"/>
              </font>
              <fill>
                <patternFill>
                  <bgColor theme="6" tint="0.59996337778862885"/>
                </patternFill>
              </fill>
            </x14:dxf>
          </x14:cfRule>
          <xm:sqref>E245</xm:sqref>
        </x14:conditionalFormatting>
        <x14:conditionalFormatting xmlns:xm="http://schemas.microsoft.com/office/excel/2006/main">
          <x14:cfRule type="expression" priority="173" id="{48473907-281F-4DB5-A49F-B356643FBB15}">
            <xm:f>OR(Initialisatie!$C$6="Ja",B250="")</xm:f>
            <x14:dxf>
              <font>
                <color theme="6" tint="0.59996337778862885"/>
              </font>
              <fill>
                <patternFill>
                  <bgColor theme="6" tint="0.59996337778862885"/>
                </patternFill>
              </fill>
            </x14:dxf>
          </x14:cfRule>
          <xm:sqref>E252</xm:sqref>
        </x14:conditionalFormatting>
        <x14:conditionalFormatting xmlns:xm="http://schemas.microsoft.com/office/excel/2006/main">
          <x14:cfRule type="expression" priority="137" id="{DAA4AA62-8B77-40F5-A466-4EE65EFBD6DE}">
            <xm:f>OR(Initialisatie!$C$6="Ja",B257="")</xm:f>
            <x14:dxf>
              <font>
                <color theme="6" tint="0.59996337778862885"/>
              </font>
              <fill>
                <patternFill>
                  <bgColor theme="6" tint="0.59996337778862885"/>
                </patternFill>
              </fill>
            </x14:dxf>
          </x14:cfRule>
          <xm:sqref>E259</xm:sqref>
        </x14:conditionalFormatting>
        <x14:conditionalFormatting xmlns:xm="http://schemas.microsoft.com/office/excel/2006/main">
          <x14:cfRule type="expression" priority="101" id="{40A4BC18-64E7-4069-AA30-7E7FF0A80234}">
            <xm:f>OR(Initialisatie!$C$6="Ja",B264="")</xm:f>
            <x14:dxf>
              <font>
                <color theme="6" tint="0.59996337778862885"/>
              </font>
              <fill>
                <patternFill>
                  <bgColor theme="6" tint="0.59996337778862885"/>
                </patternFill>
              </fill>
            </x14:dxf>
          </x14:cfRule>
          <xm:sqref>E266</xm:sqref>
        </x14:conditionalFormatting>
        <x14:conditionalFormatting xmlns:xm="http://schemas.microsoft.com/office/excel/2006/main">
          <x14:cfRule type="expression" priority="65" id="{612C9B8C-0816-41DD-89FE-A965D6D83D33}">
            <xm:f>OR(Initialisatie!$C$6="Ja",B271="")</xm:f>
            <x14:dxf>
              <font>
                <color theme="6" tint="0.59996337778862885"/>
              </font>
              <fill>
                <patternFill>
                  <bgColor theme="6" tint="0.59996337778862885"/>
                </patternFill>
              </fill>
            </x14:dxf>
          </x14:cfRule>
          <xm:sqref>E273</xm:sqref>
        </x14:conditionalFormatting>
        <x14:conditionalFormatting xmlns:xm="http://schemas.microsoft.com/office/excel/2006/main">
          <x14:cfRule type="expression" priority="29" id="{A92DDBC9-E6B9-4BCE-A8E6-BCAEE68A4928}">
            <xm:f>OR(Initialisatie!$C$6="Ja",B278="")</xm:f>
            <x14:dxf>
              <font>
                <color theme="6" tint="0.59996337778862885"/>
              </font>
              <fill>
                <patternFill>
                  <bgColor theme="6" tint="0.59996337778862885"/>
                </patternFill>
              </fill>
            </x14:dxf>
          </x14:cfRule>
          <xm:sqref>E280</xm:sqref>
        </x14:conditionalFormatting>
        <x14:conditionalFormatting xmlns:xm="http://schemas.microsoft.com/office/excel/2006/main">
          <x14:cfRule type="expression" priority="20740" id="{397AB5F8-4FA6-441E-B4CE-113D30B076CD}">
            <xm:f>NOT(AND(E7="", B5&lt;&gt;"",Initialisatie!$C$6&lt;&gt;"Ja"))</xm:f>
            <x14:dxf>
              <font>
                <color theme="0"/>
              </font>
            </x14:dxf>
          </x14:cfRule>
          <xm:sqref>F7</xm:sqref>
        </x14:conditionalFormatting>
        <x14:conditionalFormatting xmlns:xm="http://schemas.microsoft.com/office/excel/2006/main">
          <x14:cfRule type="expression" priority="18914" id="{62EA09C7-42DE-4B06-9BA7-7F8E2F902031}">
            <xm:f>NOT(AND(E14="", B12&lt;&gt;"",Initialisatie!$C$6&lt;&gt;"Ja"))</xm:f>
            <x14:dxf>
              <font>
                <color theme="0"/>
              </font>
            </x14:dxf>
          </x14:cfRule>
          <xm:sqref>F14</xm:sqref>
        </x14:conditionalFormatting>
        <x14:conditionalFormatting xmlns:xm="http://schemas.microsoft.com/office/excel/2006/main">
          <x14:cfRule type="expression" priority="8186" id="{BBDB1E8F-C3F1-444F-9E97-DCE873A4E23A}">
            <xm:f>NOT(AND(E21="", B19&lt;&gt;"",Initialisatie!$C$6&lt;&gt;"Ja"))</xm:f>
            <x14:dxf>
              <font>
                <color theme="0"/>
              </font>
            </x14:dxf>
          </x14:cfRule>
          <xm:sqref>F21</xm:sqref>
        </x14:conditionalFormatting>
        <x14:conditionalFormatting xmlns:xm="http://schemas.microsoft.com/office/excel/2006/main">
          <x14:cfRule type="expression" priority="5139" id="{A98BB410-21FA-419D-91F7-D49063ECCB2F}">
            <xm:f>NOT(AND(E28="", B26&lt;&gt;"",Initialisatie!$C$6&lt;&gt;"Ja"))</xm:f>
            <x14:dxf>
              <font>
                <color theme="0"/>
              </font>
            </x14:dxf>
          </x14:cfRule>
          <xm:sqref>F28</xm:sqref>
        </x14:conditionalFormatting>
        <x14:conditionalFormatting xmlns:xm="http://schemas.microsoft.com/office/excel/2006/main">
          <x14:cfRule type="expression" priority="2437" id="{E5BE7AAB-C726-4005-BFED-3F35FAF8A8FF}">
            <xm:f>NOT(AND(E35="", B33&lt;&gt;"",Initialisatie!$C$6&lt;&gt;"Ja"))</xm:f>
            <x14:dxf>
              <font>
                <color theme="0"/>
              </font>
            </x14:dxf>
          </x14:cfRule>
          <xm:sqref>F35</xm:sqref>
        </x14:conditionalFormatting>
        <x14:conditionalFormatting xmlns:xm="http://schemas.microsoft.com/office/excel/2006/main">
          <x14:cfRule type="expression" priority="2401" id="{6D8C5478-83FF-4991-885A-AF6CECABDFA0}">
            <xm:f>NOT(AND(E42="", B40&lt;&gt;"",Initialisatie!$C$6&lt;&gt;"Ja"))</xm:f>
            <x14:dxf>
              <font>
                <color theme="0"/>
              </font>
            </x14:dxf>
          </x14:cfRule>
          <xm:sqref>F42</xm:sqref>
        </x14:conditionalFormatting>
        <x14:conditionalFormatting xmlns:xm="http://schemas.microsoft.com/office/excel/2006/main">
          <x14:cfRule type="expression" priority="2365" id="{56D47E70-C970-464D-96E2-75898BAAC1D8}">
            <xm:f>NOT(AND(E49="", B47&lt;&gt;"",Initialisatie!$C$6&lt;&gt;"Ja"))</xm:f>
            <x14:dxf>
              <font>
                <color theme="0"/>
              </font>
            </x14:dxf>
          </x14:cfRule>
          <xm:sqref>F49</xm:sqref>
        </x14:conditionalFormatting>
        <x14:conditionalFormatting xmlns:xm="http://schemas.microsoft.com/office/excel/2006/main">
          <x14:cfRule type="expression" priority="2329" id="{71DF4C0E-CE6D-48AB-86D0-61FCE2A84D9A}">
            <xm:f>NOT(AND(E56="", B54&lt;&gt;"",Initialisatie!$C$6&lt;&gt;"Ja"))</xm:f>
            <x14:dxf>
              <font>
                <color theme="0"/>
              </font>
            </x14:dxf>
          </x14:cfRule>
          <xm:sqref>F56</xm:sqref>
        </x14:conditionalFormatting>
        <x14:conditionalFormatting xmlns:xm="http://schemas.microsoft.com/office/excel/2006/main">
          <x14:cfRule type="expression" priority="1141" id="{278CFA75-CD44-4154-ACFC-6D2A7B111ECE}">
            <xm:f>NOT(AND(E63="", B61&lt;&gt;"",Initialisatie!$C$6&lt;&gt;"Ja"))</xm:f>
            <x14:dxf>
              <font>
                <color theme="0"/>
              </font>
            </x14:dxf>
          </x14:cfRule>
          <xm:sqref>F63</xm:sqref>
        </x14:conditionalFormatting>
        <x14:conditionalFormatting xmlns:xm="http://schemas.microsoft.com/office/excel/2006/main">
          <x14:cfRule type="expression" priority="1105" id="{41DE43FE-290F-414E-806D-7876627B5072}">
            <xm:f>NOT(AND(E70="", B68&lt;&gt;"",Initialisatie!$C$6&lt;&gt;"Ja"))</xm:f>
            <x14:dxf>
              <font>
                <color theme="0"/>
              </font>
            </x14:dxf>
          </x14:cfRule>
          <xm:sqref>F70</xm:sqref>
        </x14:conditionalFormatting>
        <x14:conditionalFormatting xmlns:xm="http://schemas.microsoft.com/office/excel/2006/main">
          <x14:cfRule type="expression" priority="1069" id="{4D3FF203-ABC0-4F85-AAD8-1280E5DBB461}">
            <xm:f>NOT(AND(E77="", B75&lt;&gt;"",Initialisatie!$C$6&lt;&gt;"Ja"))</xm:f>
            <x14:dxf>
              <font>
                <color theme="0"/>
              </font>
            </x14:dxf>
          </x14:cfRule>
          <xm:sqref>F77</xm:sqref>
        </x14:conditionalFormatting>
        <x14:conditionalFormatting xmlns:xm="http://schemas.microsoft.com/office/excel/2006/main">
          <x14:cfRule type="expression" priority="1033" id="{9DEE24CD-86C7-45AE-A1CB-2573667D1D01}">
            <xm:f>NOT(AND(E84="", B82&lt;&gt;"",Initialisatie!$C$6&lt;&gt;"Ja"))</xm:f>
            <x14:dxf>
              <font>
                <color theme="0"/>
              </font>
            </x14:dxf>
          </x14:cfRule>
          <xm:sqref>F84</xm:sqref>
        </x14:conditionalFormatting>
        <x14:conditionalFormatting xmlns:xm="http://schemas.microsoft.com/office/excel/2006/main">
          <x14:cfRule type="expression" priority="997" id="{522BBD56-EDEB-44F5-A885-B9B22B9CB770}">
            <xm:f>NOT(AND(E91="", B89&lt;&gt;"",Initialisatie!$C$6&lt;&gt;"Ja"))</xm:f>
            <x14:dxf>
              <font>
                <color theme="0"/>
              </font>
            </x14:dxf>
          </x14:cfRule>
          <xm:sqref>F91</xm:sqref>
        </x14:conditionalFormatting>
        <x14:conditionalFormatting xmlns:xm="http://schemas.microsoft.com/office/excel/2006/main">
          <x14:cfRule type="expression" priority="961" id="{A740D41D-C4FE-469E-9E81-DD113C4253FF}">
            <xm:f>NOT(AND(E98="", B96&lt;&gt;"",Initialisatie!$C$6&lt;&gt;"Ja"))</xm:f>
            <x14:dxf>
              <font>
                <color theme="0"/>
              </font>
            </x14:dxf>
          </x14:cfRule>
          <xm:sqref>F98</xm:sqref>
        </x14:conditionalFormatting>
        <x14:conditionalFormatting xmlns:xm="http://schemas.microsoft.com/office/excel/2006/main">
          <x14:cfRule type="expression" priority="925" id="{131A9498-8C26-499B-89AE-ADA0D0ADB9A7}">
            <xm:f>NOT(AND(E105="", B103&lt;&gt;"",Initialisatie!$C$6&lt;&gt;"Ja"))</xm:f>
            <x14:dxf>
              <font>
                <color theme="0"/>
              </font>
            </x14:dxf>
          </x14:cfRule>
          <xm:sqref>F105</xm:sqref>
        </x14:conditionalFormatting>
        <x14:conditionalFormatting xmlns:xm="http://schemas.microsoft.com/office/excel/2006/main">
          <x14:cfRule type="expression" priority="889" id="{C4684B58-FD7A-472F-8413-A951E40D9926}">
            <xm:f>NOT(AND(E112="", B110&lt;&gt;"",Initialisatie!$C$6&lt;&gt;"Ja"))</xm:f>
            <x14:dxf>
              <font>
                <color theme="0"/>
              </font>
            </x14:dxf>
          </x14:cfRule>
          <xm:sqref>F112</xm:sqref>
        </x14:conditionalFormatting>
        <x14:conditionalFormatting xmlns:xm="http://schemas.microsoft.com/office/excel/2006/main">
          <x14:cfRule type="expression" priority="853" id="{E84D23AD-B6CB-4C31-AD2C-5B6EA6F4A7D7}">
            <xm:f>NOT(AND(E119="", B117&lt;&gt;"",Initialisatie!$C$6&lt;&gt;"Ja"))</xm:f>
            <x14:dxf>
              <font>
                <color theme="0"/>
              </font>
            </x14:dxf>
          </x14:cfRule>
          <xm:sqref>F119</xm:sqref>
        </x14:conditionalFormatting>
        <x14:conditionalFormatting xmlns:xm="http://schemas.microsoft.com/office/excel/2006/main">
          <x14:cfRule type="expression" priority="817" id="{4279C614-DEDD-4F0D-9A34-83A0B9C9EE32}">
            <xm:f>NOT(AND(E126="", B124&lt;&gt;"",Initialisatie!$C$6&lt;&gt;"Ja"))</xm:f>
            <x14:dxf>
              <font>
                <color theme="0"/>
              </font>
            </x14:dxf>
          </x14:cfRule>
          <xm:sqref>F126</xm:sqref>
        </x14:conditionalFormatting>
        <x14:conditionalFormatting xmlns:xm="http://schemas.microsoft.com/office/excel/2006/main">
          <x14:cfRule type="expression" priority="781" id="{DC3B70F2-1D76-41CF-B5DE-D5057F8D4F1F}">
            <xm:f>NOT(AND(E133="", B131&lt;&gt;"",Initialisatie!$C$6&lt;&gt;"Ja"))</xm:f>
            <x14:dxf>
              <font>
                <color theme="0"/>
              </font>
            </x14:dxf>
          </x14:cfRule>
          <xm:sqref>F133</xm:sqref>
        </x14:conditionalFormatting>
        <x14:conditionalFormatting xmlns:xm="http://schemas.microsoft.com/office/excel/2006/main">
          <x14:cfRule type="expression" priority="745" id="{032BD899-F45E-4EE3-A884-32F5E9AC3A42}">
            <xm:f>NOT(AND(E140="", B138&lt;&gt;"",Initialisatie!$C$6&lt;&gt;"Ja"))</xm:f>
            <x14:dxf>
              <font>
                <color theme="0"/>
              </font>
            </x14:dxf>
          </x14:cfRule>
          <xm:sqref>F140</xm:sqref>
        </x14:conditionalFormatting>
        <x14:conditionalFormatting xmlns:xm="http://schemas.microsoft.com/office/excel/2006/main">
          <x14:cfRule type="expression" priority="709" id="{423A82C2-BB3D-42F0-9A67-4E7CF79B53C1}">
            <xm:f>NOT(AND(E147="", B145&lt;&gt;"",Initialisatie!$C$6&lt;&gt;"Ja"))</xm:f>
            <x14:dxf>
              <font>
                <color theme="0"/>
              </font>
            </x14:dxf>
          </x14:cfRule>
          <xm:sqref>F147</xm:sqref>
        </x14:conditionalFormatting>
        <x14:conditionalFormatting xmlns:xm="http://schemas.microsoft.com/office/excel/2006/main">
          <x14:cfRule type="expression" priority="673" id="{918CD7DC-4C56-41D1-A96D-672AA1D42253}">
            <xm:f>NOT(AND(E154="", B152&lt;&gt;"",Initialisatie!$C$6&lt;&gt;"Ja"))</xm:f>
            <x14:dxf>
              <font>
                <color theme="0"/>
              </font>
            </x14:dxf>
          </x14:cfRule>
          <xm:sqref>F154</xm:sqref>
        </x14:conditionalFormatting>
        <x14:conditionalFormatting xmlns:xm="http://schemas.microsoft.com/office/excel/2006/main">
          <x14:cfRule type="expression" priority="637" id="{50BEF867-8F34-4D14-A989-73A552D8F740}">
            <xm:f>NOT(AND(E161="", B159&lt;&gt;"",Initialisatie!$C$6&lt;&gt;"Ja"))</xm:f>
            <x14:dxf>
              <font>
                <color theme="0"/>
              </font>
            </x14:dxf>
          </x14:cfRule>
          <xm:sqref>F161</xm:sqref>
        </x14:conditionalFormatting>
        <x14:conditionalFormatting xmlns:xm="http://schemas.microsoft.com/office/excel/2006/main">
          <x14:cfRule type="expression" priority="601" id="{DAB7B312-47E2-4304-9357-26D204FE5351}">
            <xm:f>NOT(AND(E168="", B166&lt;&gt;"",Initialisatie!$C$6&lt;&gt;"Ja"))</xm:f>
            <x14:dxf>
              <font>
                <color theme="0"/>
              </font>
            </x14:dxf>
          </x14:cfRule>
          <xm:sqref>F168</xm:sqref>
        </x14:conditionalFormatting>
        <x14:conditionalFormatting xmlns:xm="http://schemas.microsoft.com/office/excel/2006/main">
          <x14:cfRule type="expression" priority="565" id="{8DFF6663-9744-45D1-8745-43E33D44FC26}">
            <xm:f>NOT(AND(E175="", B173&lt;&gt;"",Initialisatie!$C$6&lt;&gt;"Ja"))</xm:f>
            <x14:dxf>
              <font>
                <color theme="0"/>
              </font>
            </x14:dxf>
          </x14:cfRule>
          <xm:sqref>F175</xm:sqref>
        </x14:conditionalFormatting>
        <x14:conditionalFormatting xmlns:xm="http://schemas.microsoft.com/office/excel/2006/main">
          <x14:cfRule type="expression" priority="529" id="{2526038E-CC77-4D84-B16A-CC9E3AC7B643}">
            <xm:f>NOT(AND(E182="", B180&lt;&gt;"",Initialisatie!$C$6&lt;&gt;"Ja"))</xm:f>
            <x14:dxf>
              <font>
                <color theme="0"/>
              </font>
            </x14:dxf>
          </x14:cfRule>
          <xm:sqref>F182</xm:sqref>
        </x14:conditionalFormatting>
        <x14:conditionalFormatting xmlns:xm="http://schemas.microsoft.com/office/excel/2006/main">
          <x14:cfRule type="expression" priority="493" id="{3EA8E4F8-3ED0-4985-BFFF-1931395312CE}">
            <xm:f>NOT(AND(E189="", B187&lt;&gt;"",Initialisatie!$C$6&lt;&gt;"Ja"))</xm:f>
            <x14:dxf>
              <font>
                <color theme="0"/>
              </font>
            </x14:dxf>
          </x14:cfRule>
          <xm:sqref>F189</xm:sqref>
        </x14:conditionalFormatting>
        <x14:conditionalFormatting xmlns:xm="http://schemas.microsoft.com/office/excel/2006/main">
          <x14:cfRule type="expression" priority="457" id="{A65C017D-719E-4B17-8885-68F62E85A1A8}">
            <xm:f>NOT(AND(E196="", B194&lt;&gt;"",Initialisatie!$C$6&lt;&gt;"Ja"))</xm:f>
            <x14:dxf>
              <font>
                <color theme="0"/>
              </font>
            </x14:dxf>
          </x14:cfRule>
          <xm:sqref>F196</xm:sqref>
        </x14:conditionalFormatting>
        <x14:conditionalFormatting xmlns:xm="http://schemas.microsoft.com/office/excel/2006/main">
          <x14:cfRule type="expression" priority="421" id="{B883A8C8-BE78-4C7C-83BA-2953EF9CB405}">
            <xm:f>NOT(AND(E203="", B201&lt;&gt;"",Initialisatie!$C$6&lt;&gt;"Ja"))</xm:f>
            <x14:dxf>
              <font>
                <color theme="0"/>
              </font>
            </x14:dxf>
          </x14:cfRule>
          <xm:sqref>F203</xm:sqref>
        </x14:conditionalFormatting>
        <x14:conditionalFormatting xmlns:xm="http://schemas.microsoft.com/office/excel/2006/main">
          <x14:cfRule type="expression" priority="385" id="{FABA931E-5FBF-46B0-B45C-02C482BB3425}">
            <xm:f>NOT(AND(E210="", B208&lt;&gt;"",Initialisatie!$C$6&lt;&gt;"Ja"))</xm:f>
            <x14:dxf>
              <font>
                <color theme="0"/>
              </font>
            </x14:dxf>
          </x14:cfRule>
          <xm:sqref>F210</xm:sqref>
        </x14:conditionalFormatting>
        <x14:conditionalFormatting xmlns:xm="http://schemas.microsoft.com/office/excel/2006/main">
          <x14:cfRule type="expression" priority="349" id="{E33EAD5C-8D02-47B4-B1A9-E2BC9D7C786F}">
            <xm:f>NOT(AND(E217="", B215&lt;&gt;"",Initialisatie!$C$6&lt;&gt;"Ja"))</xm:f>
            <x14:dxf>
              <font>
                <color theme="0"/>
              </font>
            </x14:dxf>
          </x14:cfRule>
          <xm:sqref>F217</xm:sqref>
        </x14:conditionalFormatting>
        <x14:conditionalFormatting xmlns:xm="http://schemas.microsoft.com/office/excel/2006/main">
          <x14:cfRule type="expression" priority="313" id="{15C96778-F5B6-43EA-BEA0-2BB6800921BE}">
            <xm:f>NOT(AND(E224="", B222&lt;&gt;"",Initialisatie!$C$6&lt;&gt;"Ja"))</xm:f>
            <x14:dxf>
              <font>
                <color theme="0"/>
              </font>
            </x14:dxf>
          </x14:cfRule>
          <xm:sqref>F224</xm:sqref>
        </x14:conditionalFormatting>
        <x14:conditionalFormatting xmlns:xm="http://schemas.microsoft.com/office/excel/2006/main">
          <x14:cfRule type="expression" priority="277" id="{F983A576-3D89-46FE-98C6-3A4CCBE63928}">
            <xm:f>NOT(AND(E231="", B229&lt;&gt;"",Initialisatie!$C$6&lt;&gt;"Ja"))</xm:f>
            <x14:dxf>
              <font>
                <color theme="0"/>
              </font>
            </x14:dxf>
          </x14:cfRule>
          <xm:sqref>F231</xm:sqref>
        </x14:conditionalFormatting>
        <x14:conditionalFormatting xmlns:xm="http://schemas.microsoft.com/office/excel/2006/main">
          <x14:cfRule type="expression" priority="241" id="{CC80CFDC-97F6-49AB-9465-9ECF8C335C0A}">
            <xm:f>NOT(AND(E238="", B236&lt;&gt;"",Initialisatie!$C$6&lt;&gt;"Ja"))</xm:f>
            <x14:dxf>
              <font>
                <color theme="0"/>
              </font>
            </x14:dxf>
          </x14:cfRule>
          <xm:sqref>F238</xm:sqref>
        </x14:conditionalFormatting>
        <x14:conditionalFormatting xmlns:xm="http://schemas.microsoft.com/office/excel/2006/main">
          <x14:cfRule type="expression" priority="205" id="{048D5987-E227-481D-8A0B-3C6B3CE7DF42}">
            <xm:f>NOT(AND(E245="", B243&lt;&gt;"",Initialisatie!$C$6&lt;&gt;"Ja"))</xm:f>
            <x14:dxf>
              <font>
                <color theme="0"/>
              </font>
            </x14:dxf>
          </x14:cfRule>
          <xm:sqref>F245</xm:sqref>
        </x14:conditionalFormatting>
        <x14:conditionalFormatting xmlns:xm="http://schemas.microsoft.com/office/excel/2006/main">
          <x14:cfRule type="expression" priority="169" id="{50872A38-A17C-4E95-B416-EC7A6AB2A27A}">
            <xm:f>NOT(AND(E252="", B250&lt;&gt;"",Initialisatie!$C$6&lt;&gt;"Ja"))</xm:f>
            <x14:dxf>
              <font>
                <color theme="0"/>
              </font>
            </x14:dxf>
          </x14:cfRule>
          <xm:sqref>F252</xm:sqref>
        </x14:conditionalFormatting>
        <x14:conditionalFormatting xmlns:xm="http://schemas.microsoft.com/office/excel/2006/main">
          <x14:cfRule type="expression" priority="133" id="{392AEF2B-4693-4B3B-B2D3-D8437296A78B}">
            <xm:f>NOT(AND(E259="", B257&lt;&gt;"",Initialisatie!$C$6&lt;&gt;"Ja"))</xm:f>
            <x14:dxf>
              <font>
                <color theme="0"/>
              </font>
            </x14:dxf>
          </x14:cfRule>
          <xm:sqref>F259</xm:sqref>
        </x14:conditionalFormatting>
        <x14:conditionalFormatting xmlns:xm="http://schemas.microsoft.com/office/excel/2006/main">
          <x14:cfRule type="expression" priority="97" id="{2F4609F3-5D91-4D0B-A376-074BBF2F7393}">
            <xm:f>NOT(AND(E266="", B264&lt;&gt;"",Initialisatie!$C$6&lt;&gt;"Ja"))</xm:f>
            <x14:dxf>
              <font>
                <color theme="0"/>
              </font>
            </x14:dxf>
          </x14:cfRule>
          <xm:sqref>F266</xm:sqref>
        </x14:conditionalFormatting>
        <x14:conditionalFormatting xmlns:xm="http://schemas.microsoft.com/office/excel/2006/main">
          <x14:cfRule type="expression" priority="61" id="{424EC6E0-154A-4033-B862-5F3CEAC50948}">
            <xm:f>NOT(AND(E273="", B271&lt;&gt;"",Initialisatie!$C$6&lt;&gt;"Ja"))</xm:f>
            <x14:dxf>
              <font>
                <color theme="0"/>
              </font>
            </x14:dxf>
          </x14:cfRule>
          <xm:sqref>F273</xm:sqref>
        </x14:conditionalFormatting>
        <x14:conditionalFormatting xmlns:xm="http://schemas.microsoft.com/office/excel/2006/main">
          <x14:cfRule type="expression" priority="25" id="{1F2E1812-E48E-49BB-95B9-C45C55FC75E6}">
            <xm:f>NOT(AND(E280="", B278&lt;&gt;"",Initialisatie!$C$6&lt;&gt;"Ja"))</xm:f>
            <x14:dxf>
              <font>
                <color theme="0"/>
              </font>
            </x14:dxf>
          </x14:cfRule>
          <xm:sqref>F280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pageSetUpPr autoPageBreaks="0"/>
  </sheetPr>
  <dimension ref="B2:G52"/>
  <sheetViews>
    <sheetView topLeftCell="A4" zoomScaleNormal="100" workbookViewId="0">
      <selection activeCell="C4" sqref="C4"/>
    </sheetView>
  </sheetViews>
  <sheetFormatPr defaultRowHeight="14.25" x14ac:dyDescent="0.45"/>
  <cols>
    <col min="2" max="2" width="48.19921875" customWidth="1"/>
    <col min="5" max="5" width="38" customWidth="1"/>
    <col min="6" max="6" width="8.796875" customWidth="1"/>
    <col min="8" max="8" width="18.9296875" customWidth="1"/>
    <col min="9" max="9" width="14" customWidth="1"/>
  </cols>
  <sheetData>
    <row r="2" spans="2:7" x14ac:dyDescent="0.45">
      <c r="B2" s="5" t="s">
        <v>64</v>
      </c>
    </row>
    <row r="4" spans="2:7" x14ac:dyDescent="0.45">
      <c r="B4" t="s">
        <v>65</v>
      </c>
    </row>
    <row r="6" spans="2:7" x14ac:dyDescent="0.45">
      <c r="B6" s="41" t="s">
        <v>66</v>
      </c>
      <c r="C6" s="29" t="b">
        <v>0</v>
      </c>
      <c r="E6" s="41" t="s">
        <v>802</v>
      </c>
      <c r="F6" s="41" t="b">
        <v>0</v>
      </c>
    </row>
    <row r="7" spans="2:7" x14ac:dyDescent="0.45">
      <c r="B7" s="21" t="s">
        <v>79</v>
      </c>
      <c r="C7" s="27" t="b">
        <v>0</v>
      </c>
      <c r="E7" s="21" t="s">
        <v>803</v>
      </c>
      <c r="F7" s="21" t="b">
        <v>0</v>
      </c>
    </row>
    <row r="8" spans="2:7" x14ac:dyDescent="0.45">
      <c r="B8" s="21" t="s">
        <v>80</v>
      </c>
      <c r="C8" s="27" t="b">
        <v>0</v>
      </c>
      <c r="E8" s="21" t="s">
        <v>804</v>
      </c>
      <c r="F8" s="21" t="b">
        <v>0</v>
      </c>
    </row>
    <row r="9" spans="2:7" x14ac:dyDescent="0.45">
      <c r="B9" s="21" t="s">
        <v>81</v>
      </c>
      <c r="C9" s="27" t="b">
        <v>0</v>
      </c>
      <c r="E9" s="128"/>
      <c r="F9" s="128"/>
    </row>
    <row r="10" spans="2:7" x14ac:dyDescent="0.45">
      <c r="B10" s="21" t="s">
        <v>717</v>
      </c>
      <c r="C10" s="27" t="b">
        <v>0</v>
      </c>
    </row>
    <row r="11" spans="2:7" x14ac:dyDescent="0.45">
      <c r="B11" s="21" t="s">
        <v>716</v>
      </c>
      <c r="C11" s="21" t="b">
        <v>0</v>
      </c>
    </row>
    <row r="12" spans="2:7" x14ac:dyDescent="0.45">
      <c r="B12" s="36" t="s">
        <v>1224</v>
      </c>
      <c r="C12" s="36" t="b">
        <v>0</v>
      </c>
    </row>
    <row r="13" spans="2:7" x14ac:dyDescent="0.45">
      <c r="B13" s="41" t="str">
        <f t="shared" ref="B13:B52" si="0">"Gebruik handmatige invulling "&amp; ROW(A1)</f>
        <v>Gebruik handmatige invulling 1</v>
      </c>
      <c r="C13" s="41" t="b">
        <v>0</v>
      </c>
      <c r="E13" s="41" t="s">
        <v>732</v>
      </c>
      <c r="F13" s="28" t="b">
        <v>0</v>
      </c>
      <c r="G13" s="41" t="b">
        <f>AND(F13=TRUE, TRIM(Initialisatie!B10)&lt;&gt;"")</f>
        <v>0</v>
      </c>
    </row>
    <row r="14" spans="2:7" x14ac:dyDescent="0.45">
      <c r="B14" s="21" t="str">
        <f t="shared" si="0"/>
        <v>Gebruik handmatige invulling 2</v>
      </c>
      <c r="C14" s="21" t="b">
        <v>0</v>
      </c>
      <c r="E14" s="21" t="s">
        <v>733</v>
      </c>
      <c r="F14" s="26" t="b">
        <v>0</v>
      </c>
      <c r="G14" s="21" t="b">
        <f>AND(F14=TRUE, TRIM(Initialisatie!B11)&lt;&gt;"")</f>
        <v>0</v>
      </c>
    </row>
    <row r="15" spans="2:7" x14ac:dyDescent="0.45">
      <c r="B15" s="21" t="str">
        <f t="shared" si="0"/>
        <v>Gebruik handmatige invulling 3</v>
      </c>
      <c r="C15" s="21" t="b">
        <v>0</v>
      </c>
      <c r="E15" s="21" t="s">
        <v>734</v>
      </c>
      <c r="F15" s="26" t="b">
        <v>0</v>
      </c>
      <c r="G15" s="21" t="b">
        <f>AND(F15=TRUE, TRIM(Initialisatie!B12)&lt;&gt;"")</f>
        <v>0</v>
      </c>
    </row>
    <row r="16" spans="2:7" x14ac:dyDescent="0.45">
      <c r="B16" s="21" t="str">
        <f t="shared" si="0"/>
        <v>Gebruik handmatige invulling 4</v>
      </c>
      <c r="C16" s="21" t="b">
        <v>0</v>
      </c>
      <c r="E16" s="21" t="s">
        <v>735</v>
      </c>
      <c r="F16" s="26" t="b">
        <v>0</v>
      </c>
      <c r="G16" s="21" t="b">
        <f>AND(F16=TRUE, TRIM(Initialisatie!B13)&lt;&gt;"")</f>
        <v>0</v>
      </c>
    </row>
    <row r="17" spans="2:7" x14ac:dyDescent="0.45">
      <c r="B17" s="21" t="str">
        <f t="shared" si="0"/>
        <v>Gebruik handmatige invulling 5</v>
      </c>
      <c r="C17" s="21" t="b">
        <v>0</v>
      </c>
      <c r="E17" s="21" t="s">
        <v>736</v>
      </c>
      <c r="F17" s="26" t="b">
        <v>0</v>
      </c>
      <c r="G17" s="21" t="b">
        <f>AND(F17=TRUE, TRIM(Initialisatie!B14)&lt;&gt;"")</f>
        <v>0</v>
      </c>
    </row>
    <row r="18" spans="2:7" x14ac:dyDescent="0.45">
      <c r="B18" s="21" t="str">
        <f t="shared" si="0"/>
        <v>Gebruik handmatige invulling 6</v>
      </c>
      <c r="C18" s="21" t="b">
        <v>0</v>
      </c>
      <c r="E18" s="21" t="s">
        <v>737</v>
      </c>
      <c r="F18" s="26" t="b">
        <v>0</v>
      </c>
      <c r="G18" s="21" t="b">
        <f>AND(F18=TRUE, TRIM(Initialisatie!B15)&lt;&gt;"")</f>
        <v>0</v>
      </c>
    </row>
    <row r="19" spans="2:7" x14ac:dyDescent="0.45">
      <c r="B19" s="21" t="str">
        <f t="shared" si="0"/>
        <v>Gebruik handmatige invulling 7</v>
      </c>
      <c r="C19" s="21" t="b">
        <v>0</v>
      </c>
      <c r="E19" s="21" t="s">
        <v>738</v>
      </c>
      <c r="F19" s="26" t="b">
        <v>0</v>
      </c>
      <c r="G19" s="21" t="b">
        <f>AND(F19=TRUE, TRIM(Initialisatie!B16)&lt;&gt;"")</f>
        <v>0</v>
      </c>
    </row>
    <row r="20" spans="2:7" x14ac:dyDescent="0.45">
      <c r="B20" s="21" t="str">
        <f t="shared" si="0"/>
        <v>Gebruik handmatige invulling 8</v>
      </c>
      <c r="C20" s="21" t="b">
        <v>0</v>
      </c>
      <c r="E20" s="21" t="s">
        <v>739</v>
      </c>
      <c r="F20" s="26" t="b">
        <v>0</v>
      </c>
      <c r="G20" s="21" t="b">
        <f>AND(F20=TRUE, TRIM(Initialisatie!B17)&lt;&gt;"")</f>
        <v>0</v>
      </c>
    </row>
    <row r="21" spans="2:7" x14ac:dyDescent="0.45">
      <c r="B21" s="21" t="str">
        <f t="shared" si="0"/>
        <v>Gebruik handmatige invulling 9</v>
      </c>
      <c r="C21" s="21" t="b">
        <v>0</v>
      </c>
      <c r="E21" s="21" t="s">
        <v>740</v>
      </c>
      <c r="F21" s="26" t="b">
        <v>0</v>
      </c>
      <c r="G21" s="21" t="b">
        <f>AND(F21=TRUE, TRIM(Initialisatie!B18)&lt;&gt;"")</f>
        <v>0</v>
      </c>
    </row>
    <row r="22" spans="2:7" x14ac:dyDescent="0.45">
      <c r="B22" s="21" t="str">
        <f t="shared" si="0"/>
        <v>Gebruik handmatige invulling 10</v>
      </c>
      <c r="C22" s="21" t="b">
        <v>0</v>
      </c>
      <c r="E22" s="21" t="s">
        <v>741</v>
      </c>
      <c r="F22" s="26" t="b">
        <v>0</v>
      </c>
      <c r="G22" s="21" t="b">
        <f>AND(F22=TRUE, TRIM(Initialisatie!B19)&lt;&gt;"")</f>
        <v>0</v>
      </c>
    </row>
    <row r="23" spans="2:7" x14ac:dyDescent="0.45">
      <c r="B23" s="21" t="str">
        <f t="shared" si="0"/>
        <v>Gebruik handmatige invulling 11</v>
      </c>
      <c r="C23" s="21" t="b">
        <v>0</v>
      </c>
      <c r="E23" s="21" t="s">
        <v>742</v>
      </c>
      <c r="F23" s="26" t="b">
        <v>0</v>
      </c>
      <c r="G23" s="21" t="b">
        <f>AND(F23=TRUE, TRIM(Initialisatie!B20)&lt;&gt;"")</f>
        <v>0</v>
      </c>
    </row>
    <row r="24" spans="2:7" x14ac:dyDescent="0.45">
      <c r="B24" s="21" t="str">
        <f t="shared" si="0"/>
        <v>Gebruik handmatige invulling 12</v>
      </c>
      <c r="C24" s="21" t="b">
        <v>0</v>
      </c>
      <c r="E24" s="21" t="s">
        <v>743</v>
      </c>
      <c r="F24" s="26" t="b">
        <v>0</v>
      </c>
      <c r="G24" s="21" t="b">
        <f>AND(F24=TRUE, TRIM(Initialisatie!B21)&lt;&gt;"")</f>
        <v>0</v>
      </c>
    </row>
    <row r="25" spans="2:7" x14ac:dyDescent="0.45">
      <c r="B25" s="21" t="str">
        <f t="shared" si="0"/>
        <v>Gebruik handmatige invulling 13</v>
      </c>
      <c r="C25" s="21" t="b">
        <v>0</v>
      </c>
      <c r="E25" s="21" t="s">
        <v>854</v>
      </c>
      <c r="F25" s="26" t="b">
        <v>0</v>
      </c>
      <c r="G25" s="21" t="b">
        <f>AND(F25=TRUE, TRIM(Initialisatie!B22)&lt;&gt;"")</f>
        <v>0</v>
      </c>
    </row>
    <row r="26" spans="2:7" x14ac:dyDescent="0.45">
      <c r="B26" s="21" t="str">
        <f t="shared" si="0"/>
        <v>Gebruik handmatige invulling 14</v>
      </c>
      <c r="C26" s="21" t="b">
        <v>0</v>
      </c>
      <c r="E26" s="21" t="s">
        <v>855</v>
      </c>
      <c r="F26" s="26" t="b">
        <v>0</v>
      </c>
      <c r="G26" s="21" t="b">
        <f>AND(F26=TRUE, TRIM(Initialisatie!B23)&lt;&gt;"")</f>
        <v>0</v>
      </c>
    </row>
    <row r="27" spans="2:7" x14ac:dyDescent="0.45">
      <c r="B27" s="21" t="str">
        <f t="shared" si="0"/>
        <v>Gebruik handmatige invulling 15</v>
      </c>
      <c r="C27" s="21" t="b">
        <v>0</v>
      </c>
      <c r="E27" s="21" t="s">
        <v>856</v>
      </c>
      <c r="F27" s="26" t="b">
        <v>0</v>
      </c>
      <c r="G27" s="21" t="b">
        <f>AND(F27=TRUE, TRIM(Initialisatie!B24)&lt;&gt;"")</f>
        <v>0</v>
      </c>
    </row>
    <row r="28" spans="2:7" x14ac:dyDescent="0.45">
      <c r="B28" s="21" t="str">
        <f t="shared" si="0"/>
        <v>Gebruik handmatige invulling 16</v>
      </c>
      <c r="C28" s="21" t="b">
        <v>0</v>
      </c>
      <c r="E28" s="21" t="s">
        <v>857</v>
      </c>
      <c r="F28" s="26" t="b">
        <v>0</v>
      </c>
      <c r="G28" s="21" t="b">
        <f>AND(F28=TRUE, TRIM(Initialisatie!B25)&lt;&gt;"")</f>
        <v>0</v>
      </c>
    </row>
    <row r="29" spans="2:7" x14ac:dyDescent="0.45">
      <c r="B29" s="21" t="str">
        <f t="shared" si="0"/>
        <v>Gebruik handmatige invulling 17</v>
      </c>
      <c r="C29" s="21" t="b">
        <v>0</v>
      </c>
      <c r="E29" s="21" t="s">
        <v>858</v>
      </c>
      <c r="F29" s="26" t="b">
        <v>0</v>
      </c>
      <c r="G29" s="21" t="b">
        <f>AND(F29=TRUE, TRIM(Initialisatie!B26)&lt;&gt;"")</f>
        <v>0</v>
      </c>
    </row>
    <row r="30" spans="2:7" x14ac:dyDescent="0.45">
      <c r="B30" s="21" t="str">
        <f t="shared" si="0"/>
        <v>Gebruik handmatige invulling 18</v>
      </c>
      <c r="C30" s="21" t="b">
        <v>0</v>
      </c>
      <c r="E30" s="21" t="s">
        <v>859</v>
      </c>
      <c r="F30" s="26" t="b">
        <v>0</v>
      </c>
      <c r="G30" s="21" t="b">
        <f>AND(F30=TRUE, TRIM(Initialisatie!B27)&lt;&gt;"")</f>
        <v>0</v>
      </c>
    </row>
    <row r="31" spans="2:7" x14ac:dyDescent="0.45">
      <c r="B31" s="21" t="str">
        <f t="shared" si="0"/>
        <v>Gebruik handmatige invulling 19</v>
      </c>
      <c r="C31" s="21" t="b">
        <v>0</v>
      </c>
      <c r="E31" s="21" t="s">
        <v>860</v>
      </c>
      <c r="F31" s="26" t="b">
        <v>0</v>
      </c>
      <c r="G31" s="21" t="b">
        <f>AND(F31=TRUE, TRIM(Initialisatie!B28)&lt;&gt;"")</f>
        <v>0</v>
      </c>
    </row>
    <row r="32" spans="2:7" x14ac:dyDescent="0.45">
      <c r="B32" s="21" t="str">
        <f t="shared" si="0"/>
        <v>Gebruik handmatige invulling 20</v>
      </c>
      <c r="C32" s="21" t="b">
        <v>0</v>
      </c>
      <c r="E32" s="21" t="s">
        <v>861</v>
      </c>
      <c r="F32" s="26" t="b">
        <v>0</v>
      </c>
      <c r="G32" s="21" t="b">
        <f>AND(F32=TRUE, TRIM(Initialisatie!B29)&lt;&gt;"")</f>
        <v>0</v>
      </c>
    </row>
    <row r="33" spans="2:7" x14ac:dyDescent="0.45">
      <c r="B33" s="21" t="str">
        <f t="shared" si="0"/>
        <v>Gebruik handmatige invulling 21</v>
      </c>
      <c r="C33" s="21" t="b">
        <v>0</v>
      </c>
      <c r="E33" s="21" t="s">
        <v>862</v>
      </c>
      <c r="F33" s="26" t="b">
        <v>0</v>
      </c>
      <c r="G33" s="21" t="b">
        <f>AND(F33=TRUE, TRIM(Initialisatie!B30)&lt;&gt;"")</f>
        <v>0</v>
      </c>
    </row>
    <row r="34" spans="2:7" x14ac:dyDescent="0.45">
      <c r="B34" s="21" t="str">
        <f t="shared" si="0"/>
        <v>Gebruik handmatige invulling 22</v>
      </c>
      <c r="C34" s="21" t="b">
        <v>0</v>
      </c>
      <c r="E34" s="21" t="s">
        <v>863</v>
      </c>
      <c r="F34" s="26" t="b">
        <v>0</v>
      </c>
      <c r="G34" s="21" t="b">
        <f>AND(F34=TRUE, TRIM(Initialisatie!B31)&lt;&gt;"")</f>
        <v>0</v>
      </c>
    </row>
    <row r="35" spans="2:7" x14ac:dyDescent="0.45">
      <c r="B35" s="21" t="str">
        <f t="shared" si="0"/>
        <v>Gebruik handmatige invulling 23</v>
      </c>
      <c r="C35" s="21" t="b">
        <v>0</v>
      </c>
      <c r="E35" s="21" t="s">
        <v>864</v>
      </c>
      <c r="F35" s="26" t="b">
        <v>0</v>
      </c>
      <c r="G35" s="21" t="b">
        <f>AND(F35=TRUE, TRIM(Initialisatie!B32)&lt;&gt;"")</f>
        <v>0</v>
      </c>
    </row>
    <row r="36" spans="2:7" x14ac:dyDescent="0.45">
      <c r="B36" s="21" t="str">
        <f t="shared" si="0"/>
        <v>Gebruik handmatige invulling 24</v>
      </c>
      <c r="C36" s="21" t="b">
        <v>0</v>
      </c>
      <c r="E36" s="21" t="s">
        <v>865</v>
      </c>
      <c r="F36" s="26" t="b">
        <v>0</v>
      </c>
      <c r="G36" s="21" t="b">
        <f>AND(F36=TRUE, TRIM(Initialisatie!B33)&lt;&gt;"")</f>
        <v>0</v>
      </c>
    </row>
    <row r="37" spans="2:7" x14ac:dyDescent="0.45">
      <c r="B37" s="21" t="str">
        <f t="shared" si="0"/>
        <v>Gebruik handmatige invulling 25</v>
      </c>
      <c r="C37" s="21" t="b">
        <v>0</v>
      </c>
      <c r="E37" s="21" t="s">
        <v>866</v>
      </c>
      <c r="F37" s="26" t="b">
        <v>0</v>
      </c>
      <c r="G37" s="21" t="b">
        <f>AND(F37=TRUE, TRIM(Initialisatie!B34)&lt;&gt;"")</f>
        <v>0</v>
      </c>
    </row>
    <row r="38" spans="2:7" x14ac:dyDescent="0.45">
      <c r="B38" s="21" t="str">
        <f t="shared" si="0"/>
        <v>Gebruik handmatige invulling 26</v>
      </c>
      <c r="C38" s="21" t="b">
        <v>0</v>
      </c>
      <c r="E38" s="21" t="s">
        <v>867</v>
      </c>
      <c r="F38" s="26" t="b">
        <v>0</v>
      </c>
      <c r="G38" s="21" t="b">
        <f>AND(F38=TRUE, TRIM(Initialisatie!B35)&lt;&gt;"")</f>
        <v>0</v>
      </c>
    </row>
    <row r="39" spans="2:7" x14ac:dyDescent="0.45">
      <c r="B39" s="21" t="str">
        <f t="shared" si="0"/>
        <v>Gebruik handmatige invulling 27</v>
      </c>
      <c r="C39" s="21" t="b">
        <v>0</v>
      </c>
      <c r="E39" s="21" t="s">
        <v>868</v>
      </c>
      <c r="F39" s="26" t="b">
        <v>0</v>
      </c>
      <c r="G39" s="21" t="b">
        <f>AND(F39=TRUE, TRIM(Initialisatie!B36)&lt;&gt;"")</f>
        <v>0</v>
      </c>
    </row>
    <row r="40" spans="2:7" x14ac:dyDescent="0.45">
      <c r="B40" s="21" t="str">
        <f t="shared" si="0"/>
        <v>Gebruik handmatige invulling 28</v>
      </c>
      <c r="C40" s="21" t="b">
        <v>0</v>
      </c>
      <c r="E40" s="21" t="s">
        <v>869</v>
      </c>
      <c r="F40" s="26" t="b">
        <v>0</v>
      </c>
      <c r="G40" s="21" t="b">
        <f>AND(F40=TRUE, TRIM(Initialisatie!B37)&lt;&gt;"")</f>
        <v>0</v>
      </c>
    </row>
    <row r="41" spans="2:7" x14ac:dyDescent="0.45">
      <c r="B41" s="21" t="str">
        <f t="shared" si="0"/>
        <v>Gebruik handmatige invulling 29</v>
      </c>
      <c r="C41" s="21" t="b">
        <v>0</v>
      </c>
      <c r="E41" s="21" t="s">
        <v>870</v>
      </c>
      <c r="F41" s="26" t="b">
        <v>0</v>
      </c>
      <c r="G41" s="21" t="b">
        <f>AND(F41=TRUE, TRIM(Initialisatie!B38)&lt;&gt;"")</f>
        <v>0</v>
      </c>
    </row>
    <row r="42" spans="2:7" x14ac:dyDescent="0.45">
      <c r="B42" s="21" t="str">
        <f t="shared" si="0"/>
        <v>Gebruik handmatige invulling 30</v>
      </c>
      <c r="C42" s="21" t="b">
        <v>0</v>
      </c>
      <c r="E42" s="21" t="s">
        <v>871</v>
      </c>
      <c r="F42" s="26" t="b">
        <v>0</v>
      </c>
      <c r="G42" s="21" t="b">
        <f>AND(F42=TRUE, TRIM(Initialisatie!B39)&lt;&gt;"")</f>
        <v>0</v>
      </c>
    </row>
    <row r="43" spans="2:7" x14ac:dyDescent="0.45">
      <c r="B43" s="21" t="str">
        <f t="shared" si="0"/>
        <v>Gebruik handmatige invulling 31</v>
      </c>
      <c r="C43" s="21" t="b">
        <v>0</v>
      </c>
      <c r="E43" s="21" t="s">
        <v>872</v>
      </c>
      <c r="F43" s="26" t="b">
        <v>0</v>
      </c>
      <c r="G43" s="21" t="b">
        <f>AND(F43=TRUE, TRIM(Initialisatie!B40)&lt;&gt;"")</f>
        <v>0</v>
      </c>
    </row>
    <row r="44" spans="2:7" x14ac:dyDescent="0.45">
      <c r="B44" s="21" t="str">
        <f t="shared" si="0"/>
        <v>Gebruik handmatige invulling 32</v>
      </c>
      <c r="C44" s="21" t="b">
        <v>0</v>
      </c>
      <c r="E44" s="21" t="s">
        <v>873</v>
      </c>
      <c r="F44" s="26" t="b">
        <v>0</v>
      </c>
      <c r="G44" s="21" t="b">
        <f>AND(F44=TRUE, TRIM(Initialisatie!B41)&lt;&gt;"")</f>
        <v>0</v>
      </c>
    </row>
    <row r="45" spans="2:7" x14ac:dyDescent="0.45">
      <c r="B45" s="21" t="str">
        <f t="shared" si="0"/>
        <v>Gebruik handmatige invulling 33</v>
      </c>
      <c r="C45" s="21" t="b">
        <v>0</v>
      </c>
      <c r="E45" s="21" t="s">
        <v>874</v>
      </c>
      <c r="F45" s="26" t="b">
        <v>0</v>
      </c>
      <c r="G45" s="21" t="b">
        <f>AND(F45=TRUE, TRIM(Initialisatie!B42)&lt;&gt;"")</f>
        <v>0</v>
      </c>
    </row>
    <row r="46" spans="2:7" x14ac:dyDescent="0.45">
      <c r="B46" s="21" t="str">
        <f t="shared" si="0"/>
        <v>Gebruik handmatige invulling 34</v>
      </c>
      <c r="C46" s="21" t="b">
        <v>0</v>
      </c>
      <c r="E46" s="21" t="s">
        <v>875</v>
      </c>
      <c r="F46" s="26" t="b">
        <v>0</v>
      </c>
      <c r="G46" s="21" t="b">
        <f>AND(F46=TRUE, TRIM(Initialisatie!B43)&lt;&gt;"")</f>
        <v>0</v>
      </c>
    </row>
    <row r="47" spans="2:7" x14ac:dyDescent="0.45">
      <c r="B47" s="21" t="str">
        <f t="shared" si="0"/>
        <v>Gebruik handmatige invulling 35</v>
      </c>
      <c r="C47" s="21" t="b">
        <v>0</v>
      </c>
      <c r="E47" s="21" t="s">
        <v>876</v>
      </c>
      <c r="F47" s="26" t="b">
        <v>0</v>
      </c>
      <c r="G47" s="21" t="b">
        <f>AND(F47=TRUE, TRIM(Initialisatie!B44)&lt;&gt;"")</f>
        <v>0</v>
      </c>
    </row>
    <row r="48" spans="2:7" x14ac:dyDescent="0.45">
      <c r="B48" s="21" t="str">
        <f t="shared" si="0"/>
        <v>Gebruik handmatige invulling 36</v>
      </c>
      <c r="C48" s="21" t="b">
        <v>0</v>
      </c>
      <c r="E48" s="21" t="s">
        <v>877</v>
      </c>
      <c r="F48" s="26" t="b">
        <v>0</v>
      </c>
      <c r="G48" s="21" t="b">
        <f>AND(F48=TRUE, TRIM(Initialisatie!B45)&lt;&gt;"")</f>
        <v>0</v>
      </c>
    </row>
    <row r="49" spans="2:7" x14ac:dyDescent="0.45">
      <c r="B49" s="21" t="str">
        <f t="shared" si="0"/>
        <v>Gebruik handmatige invulling 37</v>
      </c>
      <c r="C49" s="21" t="b">
        <v>0</v>
      </c>
      <c r="E49" s="21" t="s">
        <v>878</v>
      </c>
      <c r="F49" s="26" t="b">
        <v>0</v>
      </c>
      <c r="G49" s="21" t="b">
        <f>AND(F49=TRUE, TRIM(Initialisatie!B46)&lt;&gt;"")</f>
        <v>0</v>
      </c>
    </row>
    <row r="50" spans="2:7" x14ac:dyDescent="0.45">
      <c r="B50" s="21" t="str">
        <f t="shared" si="0"/>
        <v>Gebruik handmatige invulling 38</v>
      </c>
      <c r="C50" s="21" t="b">
        <v>0</v>
      </c>
      <c r="E50" s="21" t="s">
        <v>879</v>
      </c>
      <c r="F50" s="26" t="b">
        <v>0</v>
      </c>
      <c r="G50" s="21" t="b">
        <f>AND(F50=TRUE, TRIM(Initialisatie!B47)&lt;&gt;"")</f>
        <v>0</v>
      </c>
    </row>
    <row r="51" spans="2:7" x14ac:dyDescent="0.45">
      <c r="B51" s="21" t="str">
        <f t="shared" si="0"/>
        <v>Gebruik handmatige invulling 39</v>
      </c>
      <c r="C51" s="21" t="b">
        <v>0</v>
      </c>
      <c r="E51" s="21" t="s">
        <v>880</v>
      </c>
      <c r="F51" s="26" t="b">
        <v>0</v>
      </c>
      <c r="G51" s="21" t="b">
        <f>AND(F51=TRUE, TRIM(Initialisatie!B48)&lt;&gt;"")</f>
        <v>0</v>
      </c>
    </row>
    <row r="52" spans="2:7" x14ac:dyDescent="0.45">
      <c r="B52" s="36" t="str">
        <f t="shared" si="0"/>
        <v>Gebruik handmatige invulling 40</v>
      </c>
      <c r="C52" s="36" t="b">
        <v>0</v>
      </c>
      <c r="E52" s="36" t="s">
        <v>881</v>
      </c>
      <c r="F52" s="30" t="b">
        <v>0</v>
      </c>
      <c r="G52" s="36" t="b">
        <f>AND(F52=TRUE, TRIM(Initialisatie!B49)&lt;&gt;"")</f>
        <v>0</v>
      </c>
    </row>
  </sheetData>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sheetPr>
  <dimension ref="A1:I195"/>
  <sheetViews>
    <sheetView topLeftCell="A64" workbookViewId="0">
      <selection activeCell="L10" sqref="L10"/>
    </sheetView>
  </sheetViews>
  <sheetFormatPr defaultRowHeight="14.25" x14ac:dyDescent="0.45"/>
  <sheetData>
    <row r="1" spans="1:9" x14ac:dyDescent="0.45">
      <c r="D1" s="35" t="s">
        <v>297</v>
      </c>
      <c r="E1" s="35" t="s">
        <v>296</v>
      </c>
      <c r="F1" s="35" t="s">
        <v>295</v>
      </c>
      <c r="G1" s="35" t="s">
        <v>294</v>
      </c>
      <c r="H1" s="35" t="s">
        <v>1611</v>
      </c>
      <c r="I1" s="35" t="s">
        <v>2243</v>
      </c>
    </row>
    <row r="2" spans="1:9" x14ac:dyDescent="0.45">
      <c r="D2" s="35"/>
      <c r="E2" s="35" t="s">
        <v>1275</v>
      </c>
      <c r="F2" s="35" t="s">
        <v>1275</v>
      </c>
      <c r="G2" s="35" t="s">
        <v>1275</v>
      </c>
      <c r="H2" s="35" t="s">
        <v>1275</v>
      </c>
      <c r="I2" s="35" t="s">
        <v>1275</v>
      </c>
    </row>
    <row r="3" spans="1:9" x14ac:dyDescent="0.45">
      <c r="A3" s="35" t="s">
        <v>28</v>
      </c>
      <c r="B3" s="35" t="s">
        <v>292</v>
      </c>
      <c r="C3" s="35" t="s">
        <v>291</v>
      </c>
      <c r="D3" s="35" t="s">
        <v>290</v>
      </c>
    </row>
    <row r="4" spans="1:9" x14ac:dyDescent="0.45">
      <c r="A4" s="988">
        <v>4</v>
      </c>
      <c r="B4" s="35" t="s">
        <v>113</v>
      </c>
      <c r="C4" s="35">
        <v>0</v>
      </c>
      <c r="D4" s="35" t="s">
        <v>289</v>
      </c>
      <c r="E4">
        <v>2340</v>
      </c>
      <c r="F4">
        <v>2369.25</v>
      </c>
      <c r="G4">
        <v>2454.54</v>
      </c>
      <c r="H4">
        <v>2545.36</v>
      </c>
      <c r="I4">
        <v>2631.9</v>
      </c>
    </row>
    <row r="5" spans="1:9" x14ac:dyDescent="0.45">
      <c r="A5" s="989"/>
      <c r="B5" s="35" t="s">
        <v>111</v>
      </c>
      <c r="C5" s="35">
        <v>1</v>
      </c>
      <c r="D5" s="35" t="s">
        <v>288</v>
      </c>
      <c r="E5">
        <v>2340</v>
      </c>
      <c r="F5">
        <v>2369.25</v>
      </c>
      <c r="G5">
        <v>2454.54</v>
      </c>
      <c r="H5">
        <v>2545.36</v>
      </c>
      <c r="I5">
        <v>2631.9</v>
      </c>
    </row>
    <row r="6" spans="1:9" x14ac:dyDescent="0.45">
      <c r="A6" s="989"/>
      <c r="B6" s="35" t="s">
        <v>101</v>
      </c>
      <c r="C6" s="35">
        <v>2</v>
      </c>
      <c r="D6" s="35" t="s">
        <v>283</v>
      </c>
      <c r="E6">
        <v>2392.52</v>
      </c>
      <c r="F6">
        <v>2422.4299999999998</v>
      </c>
      <c r="G6">
        <v>2509.64</v>
      </c>
      <c r="H6">
        <v>2602.4899999999998</v>
      </c>
      <c r="I6">
        <v>2690.98</v>
      </c>
    </row>
    <row r="7" spans="1:9" x14ac:dyDescent="0.45">
      <c r="A7" s="989"/>
      <c r="B7" s="35" t="s">
        <v>99</v>
      </c>
      <c r="C7" s="35">
        <v>3</v>
      </c>
      <c r="D7" s="35" t="s">
        <v>282</v>
      </c>
      <c r="E7">
        <v>2468.0300000000002</v>
      </c>
      <c r="F7">
        <v>2498.88</v>
      </c>
      <c r="G7">
        <v>2588.84</v>
      </c>
      <c r="H7">
        <v>2684.63</v>
      </c>
      <c r="I7">
        <v>2775.9</v>
      </c>
    </row>
    <row r="8" spans="1:9" x14ac:dyDescent="0.45">
      <c r="A8" s="989"/>
      <c r="B8" s="35" t="s">
        <v>97</v>
      </c>
      <c r="C8" s="35">
        <v>4</v>
      </c>
      <c r="D8" s="35" t="s">
        <v>281</v>
      </c>
      <c r="E8">
        <v>2545.7600000000002</v>
      </c>
      <c r="F8">
        <v>2577.59</v>
      </c>
      <c r="G8">
        <v>2670.38</v>
      </c>
      <c r="H8">
        <v>2769.18</v>
      </c>
      <c r="I8">
        <v>2863.34</v>
      </c>
    </row>
    <row r="9" spans="1:9" x14ac:dyDescent="0.45">
      <c r="A9" s="989"/>
      <c r="B9" s="35" t="s">
        <v>95</v>
      </c>
      <c r="C9" s="35">
        <v>5</v>
      </c>
      <c r="D9" s="35" t="s">
        <v>280</v>
      </c>
      <c r="E9">
        <v>2625.68</v>
      </c>
      <c r="F9">
        <v>2658.5</v>
      </c>
      <c r="G9">
        <v>2754.21</v>
      </c>
      <c r="H9">
        <v>2856.12</v>
      </c>
      <c r="I9">
        <v>2953.22</v>
      </c>
    </row>
    <row r="10" spans="1:9" x14ac:dyDescent="0.45">
      <c r="A10" s="989"/>
      <c r="B10" s="35" t="s">
        <v>93</v>
      </c>
      <c r="C10" s="35">
        <v>6</v>
      </c>
      <c r="D10" s="35" t="s">
        <v>279</v>
      </c>
      <c r="E10">
        <v>2708.51</v>
      </c>
      <c r="F10">
        <v>2742.37</v>
      </c>
      <c r="G10">
        <v>2841.09</v>
      </c>
      <c r="H10">
        <v>2946.21</v>
      </c>
      <c r="I10">
        <v>3046.39</v>
      </c>
    </row>
    <row r="11" spans="1:9" x14ac:dyDescent="0.45">
      <c r="A11" s="989"/>
      <c r="B11" s="35" t="s">
        <v>91</v>
      </c>
      <c r="C11" s="35">
        <v>7</v>
      </c>
      <c r="D11" s="35" t="s">
        <v>278</v>
      </c>
      <c r="E11">
        <v>2793.51</v>
      </c>
      <c r="F11">
        <v>2828.43</v>
      </c>
      <c r="G11">
        <v>2930.26</v>
      </c>
      <c r="H11">
        <v>3038.68</v>
      </c>
      <c r="I11">
        <v>3141.99</v>
      </c>
    </row>
    <row r="12" spans="1:9" x14ac:dyDescent="0.45">
      <c r="A12" s="989"/>
      <c r="B12" s="35" t="s">
        <v>89</v>
      </c>
      <c r="C12" s="35">
        <v>8</v>
      </c>
      <c r="D12" s="35" t="s">
        <v>277</v>
      </c>
      <c r="E12">
        <v>2882.2</v>
      </c>
      <c r="F12">
        <v>2918.23</v>
      </c>
      <c r="G12">
        <v>3023.29</v>
      </c>
      <c r="H12">
        <v>3135.15</v>
      </c>
      <c r="I12">
        <v>3241.74</v>
      </c>
    </row>
    <row r="13" spans="1:9" x14ac:dyDescent="0.45">
      <c r="A13" s="989"/>
      <c r="B13" s="35" t="s">
        <v>87</v>
      </c>
      <c r="C13" s="35">
        <v>9</v>
      </c>
      <c r="D13" s="35" t="s">
        <v>276</v>
      </c>
      <c r="E13">
        <v>2972.98</v>
      </c>
      <c r="F13">
        <v>3010.14</v>
      </c>
      <c r="G13">
        <v>3118.51</v>
      </c>
      <c r="H13">
        <v>3233.89</v>
      </c>
      <c r="I13">
        <v>3343.85</v>
      </c>
    </row>
    <row r="14" spans="1:9" x14ac:dyDescent="0.45">
      <c r="A14" s="989"/>
      <c r="B14" s="35" t="s">
        <v>109</v>
      </c>
      <c r="C14" s="35">
        <v>10</v>
      </c>
      <c r="D14" s="35" t="s">
        <v>287</v>
      </c>
      <c r="E14">
        <v>3065.97</v>
      </c>
      <c r="F14">
        <v>3104.3</v>
      </c>
      <c r="G14">
        <v>3216.05</v>
      </c>
      <c r="H14">
        <v>3335.05</v>
      </c>
      <c r="I14">
        <v>3448.44</v>
      </c>
    </row>
    <row r="15" spans="1:9" x14ac:dyDescent="0.45">
      <c r="A15" s="989"/>
      <c r="B15" s="35" t="s">
        <v>107</v>
      </c>
      <c r="C15" s="35">
        <v>11</v>
      </c>
      <c r="D15" s="35" t="s">
        <v>286</v>
      </c>
      <c r="E15">
        <v>0</v>
      </c>
      <c r="F15">
        <v>0</v>
      </c>
      <c r="G15">
        <v>0</v>
      </c>
      <c r="H15">
        <v>0</v>
      </c>
      <c r="I15">
        <v>0</v>
      </c>
    </row>
    <row r="16" spans="1:9" x14ac:dyDescent="0.45">
      <c r="A16" s="989"/>
      <c r="B16" s="35" t="s">
        <v>105</v>
      </c>
      <c r="C16" s="35">
        <v>12</v>
      </c>
      <c r="D16" s="35" t="s">
        <v>285</v>
      </c>
      <c r="E16">
        <v>0</v>
      </c>
      <c r="F16">
        <v>0</v>
      </c>
      <c r="G16">
        <v>0</v>
      </c>
      <c r="H16">
        <v>0</v>
      </c>
      <c r="I16">
        <v>0</v>
      </c>
    </row>
    <row r="17" spans="1:9" x14ac:dyDescent="0.45">
      <c r="A17" s="989"/>
      <c r="B17" s="35" t="s">
        <v>103</v>
      </c>
      <c r="C17" s="35">
        <v>13</v>
      </c>
      <c r="D17" s="35" t="s">
        <v>284</v>
      </c>
      <c r="E17">
        <v>0</v>
      </c>
      <c r="F17">
        <v>0</v>
      </c>
      <c r="G17">
        <v>0</v>
      </c>
      <c r="H17">
        <v>0</v>
      </c>
      <c r="I17">
        <v>0</v>
      </c>
    </row>
    <row r="18" spans="1:9" x14ac:dyDescent="0.45">
      <c r="A18" s="989"/>
      <c r="B18" s="35" t="s">
        <v>531</v>
      </c>
      <c r="C18" s="35">
        <v>14</v>
      </c>
      <c r="D18" s="35" t="s">
        <v>275</v>
      </c>
      <c r="E18">
        <v>3162.64</v>
      </c>
      <c r="F18">
        <v>3202.17</v>
      </c>
      <c r="G18">
        <v>3317.45</v>
      </c>
      <c r="H18">
        <v>3440.19</v>
      </c>
      <c r="I18">
        <v>3557.16</v>
      </c>
    </row>
    <row r="19" spans="1:9" x14ac:dyDescent="0.45">
      <c r="A19" s="990"/>
      <c r="B19" s="35" t="s">
        <v>533</v>
      </c>
      <c r="C19" s="35">
        <v>15</v>
      </c>
      <c r="D19" s="35" t="s">
        <v>274</v>
      </c>
      <c r="E19">
        <v>3262.16</v>
      </c>
      <c r="F19">
        <v>3302.94</v>
      </c>
      <c r="G19">
        <v>3421.84</v>
      </c>
      <c r="H19">
        <v>3548.45</v>
      </c>
      <c r="I19">
        <v>3669.1</v>
      </c>
    </row>
    <row r="20" spans="1:9" x14ac:dyDescent="0.45">
      <c r="A20" s="988">
        <v>5</v>
      </c>
      <c r="B20" s="35" t="s">
        <v>113</v>
      </c>
      <c r="C20" s="35">
        <v>0</v>
      </c>
      <c r="D20" s="35" t="s">
        <v>273</v>
      </c>
      <c r="E20">
        <v>2340</v>
      </c>
      <c r="F20">
        <v>2369.25</v>
      </c>
      <c r="G20">
        <v>2454.54</v>
      </c>
      <c r="H20">
        <v>2545.36</v>
      </c>
      <c r="I20">
        <v>2631.9</v>
      </c>
    </row>
    <row r="21" spans="1:9" x14ac:dyDescent="0.45">
      <c r="A21" s="989"/>
      <c r="B21" s="35" t="s">
        <v>111</v>
      </c>
      <c r="C21" s="35">
        <v>1</v>
      </c>
      <c r="D21" s="35" t="s">
        <v>272</v>
      </c>
      <c r="E21">
        <v>2402.66</v>
      </c>
      <c r="F21">
        <v>2432.69</v>
      </c>
      <c r="G21">
        <v>2520.27</v>
      </c>
      <c r="H21">
        <v>2613.52</v>
      </c>
      <c r="I21">
        <v>2702.38</v>
      </c>
    </row>
    <row r="22" spans="1:9" x14ac:dyDescent="0.45">
      <c r="A22" s="989"/>
      <c r="B22" s="35" t="s">
        <v>101</v>
      </c>
      <c r="C22" s="35">
        <v>2</v>
      </c>
      <c r="D22" s="35" t="s">
        <v>267</v>
      </c>
      <c r="E22">
        <v>2478.96</v>
      </c>
      <c r="F22">
        <v>2509.94</v>
      </c>
      <c r="G22">
        <v>2600.3000000000002</v>
      </c>
      <c r="H22">
        <v>2696.51</v>
      </c>
      <c r="I22">
        <v>2788.19</v>
      </c>
    </row>
    <row r="23" spans="1:9" x14ac:dyDescent="0.45">
      <c r="A23" s="989"/>
      <c r="B23" s="35" t="s">
        <v>99</v>
      </c>
      <c r="C23" s="35">
        <v>3</v>
      </c>
      <c r="D23" s="35" t="s">
        <v>266</v>
      </c>
      <c r="E23">
        <v>2558.86</v>
      </c>
      <c r="F23">
        <v>2590.85</v>
      </c>
      <c r="G23">
        <v>2684.12</v>
      </c>
      <c r="H23">
        <v>2783.43</v>
      </c>
      <c r="I23">
        <v>2878.07</v>
      </c>
    </row>
    <row r="24" spans="1:9" x14ac:dyDescent="0.45">
      <c r="A24" s="989"/>
      <c r="B24" s="35" t="s">
        <v>97</v>
      </c>
      <c r="C24" s="35">
        <v>4</v>
      </c>
      <c r="D24" s="35" t="s">
        <v>265</v>
      </c>
      <c r="E24">
        <v>2640.27</v>
      </c>
      <c r="F24">
        <v>2673.27</v>
      </c>
      <c r="G24">
        <v>2769.51</v>
      </c>
      <c r="H24">
        <v>2871.98</v>
      </c>
      <c r="I24">
        <v>2969.63</v>
      </c>
    </row>
    <row r="25" spans="1:9" x14ac:dyDescent="0.45">
      <c r="A25" s="989"/>
      <c r="B25" s="35" t="s">
        <v>95</v>
      </c>
      <c r="C25" s="35">
        <v>5</v>
      </c>
      <c r="D25" s="35" t="s">
        <v>264</v>
      </c>
      <c r="E25">
        <v>2725.22</v>
      </c>
      <c r="F25">
        <v>2759.28</v>
      </c>
      <c r="G25">
        <v>2858.62</v>
      </c>
      <c r="H25">
        <v>2964.39</v>
      </c>
      <c r="I25">
        <v>3065.18</v>
      </c>
    </row>
    <row r="26" spans="1:9" x14ac:dyDescent="0.45">
      <c r="A26" s="989"/>
      <c r="B26" s="35" t="s">
        <v>93</v>
      </c>
      <c r="C26" s="35">
        <v>6</v>
      </c>
      <c r="D26" s="35" t="s">
        <v>263</v>
      </c>
      <c r="E26">
        <v>2812.43</v>
      </c>
      <c r="F26">
        <v>2847.59</v>
      </c>
      <c r="G26">
        <v>2950.1</v>
      </c>
      <c r="H26">
        <v>3059.25</v>
      </c>
      <c r="I26">
        <v>3163.27</v>
      </c>
    </row>
    <row r="27" spans="1:9" x14ac:dyDescent="0.45">
      <c r="A27" s="989"/>
      <c r="B27" s="35" t="s">
        <v>91</v>
      </c>
      <c r="C27" s="35">
        <v>7</v>
      </c>
      <c r="D27" s="35" t="s">
        <v>262</v>
      </c>
      <c r="E27">
        <v>2901.8</v>
      </c>
      <c r="F27">
        <v>2938.08</v>
      </c>
      <c r="G27">
        <v>3043.85</v>
      </c>
      <c r="H27">
        <v>3156.47</v>
      </c>
      <c r="I27">
        <v>3263.79</v>
      </c>
    </row>
    <row r="28" spans="1:9" x14ac:dyDescent="0.45">
      <c r="A28" s="989"/>
      <c r="B28" s="35" t="s">
        <v>89</v>
      </c>
      <c r="C28" s="35">
        <v>8</v>
      </c>
      <c r="D28" s="35" t="s">
        <v>261</v>
      </c>
      <c r="E28">
        <v>2994.81</v>
      </c>
      <c r="F28">
        <v>3032.24</v>
      </c>
      <c r="G28">
        <v>3141.4</v>
      </c>
      <c r="H28">
        <v>3257.64</v>
      </c>
      <c r="I28">
        <v>3368.39</v>
      </c>
    </row>
    <row r="29" spans="1:9" x14ac:dyDescent="0.45">
      <c r="A29" s="989"/>
      <c r="B29" s="35" t="s">
        <v>87</v>
      </c>
      <c r="C29" s="35">
        <v>9</v>
      </c>
      <c r="D29" s="35" t="s">
        <v>260</v>
      </c>
      <c r="E29">
        <v>3090.68</v>
      </c>
      <c r="F29">
        <v>3129.32</v>
      </c>
      <c r="G29">
        <v>3241.97</v>
      </c>
      <c r="H29">
        <v>3361.92</v>
      </c>
      <c r="I29">
        <v>3476.23</v>
      </c>
    </row>
    <row r="30" spans="1:9" x14ac:dyDescent="0.45">
      <c r="A30" s="989"/>
      <c r="B30" s="35" t="s">
        <v>109</v>
      </c>
      <c r="C30" s="35">
        <v>10</v>
      </c>
      <c r="D30" s="35" t="s">
        <v>271</v>
      </c>
      <c r="E30">
        <v>3189.53</v>
      </c>
      <c r="F30">
        <v>3229.4</v>
      </c>
      <c r="G30">
        <v>3345.66</v>
      </c>
      <c r="H30">
        <v>3469.45</v>
      </c>
      <c r="I30">
        <v>3587.41</v>
      </c>
    </row>
    <row r="31" spans="1:9" x14ac:dyDescent="0.45">
      <c r="A31" s="989"/>
      <c r="B31" s="35" t="s">
        <v>107</v>
      </c>
      <c r="C31" s="35">
        <v>11</v>
      </c>
      <c r="D31" s="35" t="s">
        <v>270</v>
      </c>
      <c r="E31">
        <v>3291.92</v>
      </c>
      <c r="F31">
        <v>3333.07</v>
      </c>
      <c r="G31">
        <v>3453.06</v>
      </c>
      <c r="H31">
        <v>3580.82</v>
      </c>
      <c r="I31">
        <v>3702.57</v>
      </c>
    </row>
    <row r="32" spans="1:9" x14ac:dyDescent="0.45">
      <c r="A32" s="989"/>
      <c r="B32" s="35" t="s">
        <v>105</v>
      </c>
      <c r="C32" s="35">
        <v>12</v>
      </c>
      <c r="D32" s="35" t="s">
        <v>269</v>
      </c>
      <c r="E32">
        <v>0</v>
      </c>
      <c r="F32">
        <v>0</v>
      </c>
      <c r="G32">
        <v>0</v>
      </c>
      <c r="H32">
        <v>0</v>
      </c>
      <c r="I32">
        <v>0</v>
      </c>
    </row>
    <row r="33" spans="1:9" x14ac:dyDescent="0.45">
      <c r="A33" s="989"/>
      <c r="B33" s="35" t="s">
        <v>103</v>
      </c>
      <c r="C33" s="35">
        <v>13</v>
      </c>
      <c r="D33" s="35" t="s">
        <v>268</v>
      </c>
      <c r="E33">
        <v>0</v>
      </c>
      <c r="F33">
        <v>0</v>
      </c>
      <c r="G33">
        <v>0</v>
      </c>
      <c r="H33">
        <v>0</v>
      </c>
      <c r="I33">
        <v>0</v>
      </c>
    </row>
    <row r="34" spans="1:9" x14ac:dyDescent="0.45">
      <c r="A34" s="989"/>
      <c r="B34" s="35" t="s">
        <v>531</v>
      </c>
      <c r="C34" s="35">
        <v>14</v>
      </c>
      <c r="D34" s="35" t="s">
        <v>259</v>
      </c>
      <c r="E34">
        <v>3397.3</v>
      </c>
      <c r="F34">
        <v>3439.77</v>
      </c>
      <c r="G34">
        <v>3563.6</v>
      </c>
      <c r="H34">
        <v>3695.45</v>
      </c>
      <c r="I34">
        <v>3821.1</v>
      </c>
    </row>
    <row r="35" spans="1:9" x14ac:dyDescent="0.45">
      <c r="A35" s="990"/>
      <c r="B35" s="35" t="s">
        <v>533</v>
      </c>
      <c r="C35" s="35">
        <v>15</v>
      </c>
      <c r="D35" s="35" t="s">
        <v>258</v>
      </c>
      <c r="E35">
        <v>3505.52</v>
      </c>
      <c r="F35">
        <v>3549.34</v>
      </c>
      <c r="G35">
        <v>3677.12</v>
      </c>
      <c r="H35">
        <v>3813.17</v>
      </c>
      <c r="I35">
        <v>3942.82</v>
      </c>
    </row>
    <row r="36" spans="1:9" x14ac:dyDescent="0.45">
      <c r="A36" s="988">
        <v>6</v>
      </c>
      <c r="B36" s="35" t="s">
        <v>113</v>
      </c>
      <c r="C36" s="35">
        <v>0</v>
      </c>
      <c r="D36" s="35" t="s">
        <v>257</v>
      </c>
      <c r="E36">
        <v>2496.4</v>
      </c>
      <c r="F36">
        <v>2527.6</v>
      </c>
      <c r="G36">
        <v>2618.6</v>
      </c>
      <c r="H36">
        <v>2715.49</v>
      </c>
      <c r="I36">
        <v>2807.81</v>
      </c>
    </row>
    <row r="37" spans="1:9" x14ac:dyDescent="0.45">
      <c r="A37" s="989"/>
      <c r="B37" s="35" t="s">
        <v>111</v>
      </c>
      <c r="C37" s="35">
        <v>1</v>
      </c>
      <c r="D37" s="35" t="s">
        <v>256</v>
      </c>
      <c r="E37">
        <v>2577.73</v>
      </c>
      <c r="F37">
        <v>2609.9499999999998</v>
      </c>
      <c r="G37">
        <v>2703.91</v>
      </c>
      <c r="H37">
        <v>2803.95</v>
      </c>
      <c r="I37">
        <v>2899.29</v>
      </c>
    </row>
    <row r="38" spans="1:9" x14ac:dyDescent="0.45">
      <c r="A38" s="989"/>
      <c r="B38" s="35" t="s">
        <v>101</v>
      </c>
      <c r="C38" s="35">
        <v>2</v>
      </c>
      <c r="D38" s="35" t="s">
        <v>251</v>
      </c>
      <c r="E38">
        <v>2661.32</v>
      </c>
      <c r="F38">
        <v>2694.59</v>
      </c>
      <c r="G38">
        <v>2791.59</v>
      </c>
      <c r="H38">
        <v>2894.88</v>
      </c>
      <c r="I38">
        <v>2993.31</v>
      </c>
    </row>
    <row r="39" spans="1:9" x14ac:dyDescent="0.45">
      <c r="A39" s="989"/>
      <c r="B39" s="35" t="s">
        <v>99</v>
      </c>
      <c r="C39" s="35">
        <v>3</v>
      </c>
      <c r="D39" s="35" t="s">
        <v>250</v>
      </c>
      <c r="E39">
        <v>2747.78</v>
      </c>
      <c r="F39">
        <v>2782.13</v>
      </c>
      <c r="G39">
        <v>2882.29</v>
      </c>
      <c r="H39">
        <v>2988.93</v>
      </c>
      <c r="I39">
        <v>3090.55</v>
      </c>
    </row>
    <row r="40" spans="1:9" x14ac:dyDescent="0.45">
      <c r="A40" s="989"/>
      <c r="B40" s="35" t="s">
        <v>97</v>
      </c>
      <c r="C40" s="35">
        <v>4</v>
      </c>
      <c r="D40" s="35" t="s">
        <v>249</v>
      </c>
      <c r="E40">
        <v>2837.13</v>
      </c>
      <c r="F40">
        <v>2872.59</v>
      </c>
      <c r="G40">
        <v>2976</v>
      </c>
      <c r="H40">
        <v>3086.12</v>
      </c>
      <c r="I40">
        <v>3191.04</v>
      </c>
    </row>
    <row r="41" spans="1:9" x14ac:dyDescent="0.45">
      <c r="A41" s="989"/>
      <c r="B41" s="35" t="s">
        <v>95</v>
      </c>
      <c r="C41" s="35">
        <v>5</v>
      </c>
      <c r="D41" s="35" t="s">
        <v>248</v>
      </c>
      <c r="E41">
        <v>2929.37</v>
      </c>
      <c r="F41">
        <v>2965.98</v>
      </c>
      <c r="G41">
        <v>3072.76</v>
      </c>
      <c r="H41">
        <v>3186.45</v>
      </c>
      <c r="I41">
        <v>3294.79</v>
      </c>
    </row>
    <row r="42" spans="1:9" x14ac:dyDescent="0.45">
      <c r="A42" s="989"/>
      <c r="B42" s="35" t="s">
        <v>93</v>
      </c>
      <c r="C42" s="35">
        <v>6</v>
      </c>
      <c r="D42" s="35" t="s">
        <v>247</v>
      </c>
      <c r="E42">
        <v>3024.58</v>
      </c>
      <c r="F42">
        <v>3062.39</v>
      </c>
      <c r="G42">
        <v>3172.64</v>
      </c>
      <c r="H42">
        <v>3290.03</v>
      </c>
      <c r="I42">
        <v>3401.89</v>
      </c>
    </row>
    <row r="43" spans="1:9" x14ac:dyDescent="0.45">
      <c r="A43" s="989"/>
      <c r="B43" s="35" t="s">
        <v>91</v>
      </c>
      <c r="C43" s="35">
        <v>7</v>
      </c>
      <c r="D43" s="35" t="s">
        <v>246</v>
      </c>
      <c r="E43">
        <v>3122.66</v>
      </c>
      <c r="F43">
        <v>3161.69</v>
      </c>
      <c r="G43">
        <v>3275.51</v>
      </c>
      <c r="H43">
        <v>3396.71</v>
      </c>
      <c r="I43">
        <v>3512.19</v>
      </c>
    </row>
    <row r="44" spans="1:9" x14ac:dyDescent="0.45">
      <c r="A44" s="989"/>
      <c r="B44" s="35" t="s">
        <v>89</v>
      </c>
      <c r="C44" s="35">
        <v>8</v>
      </c>
      <c r="D44" s="35" t="s">
        <v>245</v>
      </c>
      <c r="E44">
        <v>3224.38</v>
      </c>
      <c r="F44">
        <v>3264.68</v>
      </c>
      <c r="G44">
        <v>3382.21</v>
      </c>
      <c r="H44">
        <v>3507.35</v>
      </c>
      <c r="I44">
        <v>3626.6</v>
      </c>
    </row>
    <row r="45" spans="1:9" x14ac:dyDescent="0.45">
      <c r="A45" s="989"/>
      <c r="B45" s="35" t="s">
        <v>87</v>
      </c>
      <c r="C45" s="35">
        <v>9</v>
      </c>
      <c r="D45" s="35" t="s">
        <v>244</v>
      </c>
      <c r="E45">
        <v>3328.97</v>
      </c>
      <c r="F45">
        <v>3370.58</v>
      </c>
      <c r="G45">
        <v>3491.92</v>
      </c>
      <c r="H45">
        <v>3621.12</v>
      </c>
      <c r="I45">
        <v>3744.24</v>
      </c>
    </row>
    <row r="46" spans="1:9" x14ac:dyDescent="0.45">
      <c r="A46" s="989"/>
      <c r="B46" s="35" t="s">
        <v>109</v>
      </c>
      <c r="C46" s="35">
        <v>10</v>
      </c>
      <c r="D46" s="35" t="s">
        <v>255</v>
      </c>
      <c r="E46">
        <v>3437.24</v>
      </c>
      <c r="F46">
        <v>3480.21</v>
      </c>
      <c r="G46">
        <v>3605.49</v>
      </c>
      <c r="H46">
        <v>3738.9</v>
      </c>
      <c r="I46">
        <v>3866.02</v>
      </c>
    </row>
    <row r="47" spans="1:9" x14ac:dyDescent="0.45">
      <c r="A47" s="989"/>
      <c r="B47" s="35" t="s">
        <v>107</v>
      </c>
      <c r="C47" s="35">
        <v>11</v>
      </c>
      <c r="D47" s="35" t="s">
        <v>254</v>
      </c>
      <c r="E47">
        <v>3549.15</v>
      </c>
      <c r="F47">
        <v>3593.51</v>
      </c>
      <c r="G47">
        <v>3722.88</v>
      </c>
      <c r="H47">
        <v>3860.63</v>
      </c>
      <c r="I47">
        <v>3991.89</v>
      </c>
    </row>
    <row r="48" spans="1:9" x14ac:dyDescent="0.45">
      <c r="A48" s="989"/>
      <c r="B48" s="35" t="s">
        <v>105</v>
      </c>
      <c r="C48" s="35">
        <v>12</v>
      </c>
      <c r="D48" s="35" t="s">
        <v>253</v>
      </c>
      <c r="E48">
        <v>0</v>
      </c>
      <c r="F48">
        <v>0</v>
      </c>
      <c r="G48">
        <v>0</v>
      </c>
      <c r="H48">
        <v>0</v>
      </c>
      <c r="I48">
        <v>0</v>
      </c>
    </row>
    <row r="49" spans="1:9" x14ac:dyDescent="0.45">
      <c r="A49" s="989"/>
      <c r="B49" s="35" t="s">
        <v>103</v>
      </c>
      <c r="C49" s="35">
        <v>13</v>
      </c>
      <c r="D49" s="35" t="s">
        <v>252</v>
      </c>
      <c r="E49">
        <v>0</v>
      </c>
      <c r="F49">
        <v>0</v>
      </c>
      <c r="G49">
        <v>0</v>
      </c>
      <c r="H49">
        <v>0</v>
      </c>
      <c r="I49">
        <v>0</v>
      </c>
    </row>
    <row r="50" spans="1:9" x14ac:dyDescent="0.45">
      <c r="A50" s="989"/>
      <c r="B50" s="35" t="s">
        <v>531</v>
      </c>
      <c r="C50" s="35">
        <v>14</v>
      </c>
      <c r="D50" s="35" t="s">
        <v>243</v>
      </c>
      <c r="E50">
        <v>3664.67</v>
      </c>
      <c r="F50">
        <v>3710.47</v>
      </c>
      <c r="G50">
        <v>3844.05</v>
      </c>
      <c r="H50">
        <v>3986.28</v>
      </c>
      <c r="I50">
        <v>4121.8100000000004</v>
      </c>
    </row>
    <row r="51" spans="1:9" x14ac:dyDescent="0.45">
      <c r="A51" s="990"/>
      <c r="B51" s="35" t="s">
        <v>533</v>
      </c>
      <c r="C51" s="35">
        <v>15</v>
      </c>
      <c r="D51" s="35" t="s">
        <v>242</v>
      </c>
      <c r="E51">
        <v>3783.09</v>
      </c>
      <c r="F51">
        <v>3830.38</v>
      </c>
      <c r="G51">
        <v>3968.27</v>
      </c>
      <c r="H51">
        <v>4115.1000000000004</v>
      </c>
      <c r="I51">
        <v>4255.01</v>
      </c>
    </row>
    <row r="52" spans="1:9" x14ac:dyDescent="0.45">
      <c r="A52" s="988">
        <v>7</v>
      </c>
      <c r="B52" s="35" t="s">
        <v>113</v>
      </c>
      <c r="C52" s="35">
        <v>0</v>
      </c>
      <c r="D52" s="35" t="s">
        <v>241</v>
      </c>
      <c r="E52">
        <v>2686.74</v>
      </c>
      <c r="F52">
        <v>2720.32</v>
      </c>
      <c r="G52">
        <v>2818.26</v>
      </c>
      <c r="H52">
        <v>2922.53</v>
      </c>
      <c r="I52">
        <v>3021.9</v>
      </c>
    </row>
    <row r="53" spans="1:9" x14ac:dyDescent="0.45">
      <c r="A53" s="989"/>
      <c r="B53" s="35" t="s">
        <v>111</v>
      </c>
      <c r="C53" s="35">
        <v>1</v>
      </c>
      <c r="D53" s="35" t="s">
        <v>240</v>
      </c>
      <c r="E53">
        <v>2775.37</v>
      </c>
      <c r="F53">
        <v>2810.07</v>
      </c>
      <c r="G53">
        <v>2911.23</v>
      </c>
      <c r="H53">
        <v>3018.94</v>
      </c>
      <c r="I53">
        <v>3121.59</v>
      </c>
    </row>
    <row r="54" spans="1:9" x14ac:dyDescent="0.45">
      <c r="A54" s="989"/>
      <c r="B54" s="35" t="s">
        <v>101</v>
      </c>
      <c r="C54" s="35">
        <v>2</v>
      </c>
      <c r="D54" s="35" t="s">
        <v>235</v>
      </c>
      <c r="E54">
        <v>2866.92</v>
      </c>
      <c r="F54">
        <v>2902.75</v>
      </c>
      <c r="G54">
        <v>3007.25</v>
      </c>
      <c r="H54">
        <v>3118.52</v>
      </c>
      <c r="I54">
        <v>3224.55</v>
      </c>
    </row>
    <row r="55" spans="1:9" x14ac:dyDescent="0.45">
      <c r="A55" s="989"/>
      <c r="B55" s="35" t="s">
        <v>99</v>
      </c>
      <c r="C55" s="35">
        <v>3</v>
      </c>
      <c r="D55" s="35" t="s">
        <v>234</v>
      </c>
      <c r="E55">
        <v>2961.38</v>
      </c>
      <c r="F55">
        <v>2998.4</v>
      </c>
      <c r="G55">
        <v>3106.34</v>
      </c>
      <c r="H55">
        <v>3221.28</v>
      </c>
      <c r="I55">
        <v>3330.8</v>
      </c>
    </row>
    <row r="56" spans="1:9" x14ac:dyDescent="0.45">
      <c r="A56" s="989"/>
      <c r="B56" s="35" t="s">
        <v>97</v>
      </c>
      <c r="C56" s="35">
        <v>4</v>
      </c>
      <c r="D56" s="35" t="s">
        <v>233</v>
      </c>
      <c r="E56">
        <v>3059.46</v>
      </c>
      <c r="F56">
        <v>3097.7</v>
      </c>
      <c r="G56">
        <v>3209.22</v>
      </c>
      <c r="H56">
        <v>3327.96</v>
      </c>
      <c r="I56">
        <v>3441.11</v>
      </c>
    </row>
    <row r="57" spans="1:9" x14ac:dyDescent="0.45">
      <c r="A57" s="989"/>
      <c r="B57" s="35" t="s">
        <v>95</v>
      </c>
      <c r="C57" s="35">
        <v>5</v>
      </c>
      <c r="D57" s="35" t="s">
        <v>232</v>
      </c>
      <c r="E57">
        <v>3160.43</v>
      </c>
      <c r="F57">
        <v>3199.93</v>
      </c>
      <c r="G57">
        <v>3315.13</v>
      </c>
      <c r="H57">
        <v>3437.79</v>
      </c>
      <c r="I57">
        <v>3554.67</v>
      </c>
    </row>
    <row r="58" spans="1:9" x14ac:dyDescent="0.45">
      <c r="A58" s="989"/>
      <c r="B58" s="35" t="s">
        <v>93</v>
      </c>
      <c r="C58" s="35">
        <v>6</v>
      </c>
      <c r="D58" s="35" t="s">
        <v>231</v>
      </c>
      <c r="E58">
        <v>3264.32</v>
      </c>
      <c r="F58">
        <v>3305.12</v>
      </c>
      <c r="G58">
        <v>3424.11</v>
      </c>
      <c r="H58">
        <v>3550.8</v>
      </c>
      <c r="I58">
        <v>3671.52</v>
      </c>
    </row>
    <row r="59" spans="1:9" x14ac:dyDescent="0.45">
      <c r="A59" s="989"/>
      <c r="B59" s="35" t="s">
        <v>91</v>
      </c>
      <c r="C59" s="35">
        <v>7</v>
      </c>
      <c r="D59" s="35" t="s">
        <v>230</v>
      </c>
      <c r="E59">
        <v>3372.59</v>
      </c>
      <c r="F59">
        <v>3414.75</v>
      </c>
      <c r="G59">
        <v>3537.68</v>
      </c>
      <c r="H59">
        <v>3668.58</v>
      </c>
      <c r="I59">
        <v>3793.31</v>
      </c>
    </row>
    <row r="60" spans="1:9" x14ac:dyDescent="0.45">
      <c r="A60" s="989"/>
      <c r="B60" s="35" t="s">
        <v>89</v>
      </c>
      <c r="C60" s="35">
        <v>8</v>
      </c>
      <c r="D60" s="35" t="s">
        <v>229</v>
      </c>
      <c r="E60">
        <v>3483.76</v>
      </c>
      <c r="F60">
        <v>3527.31</v>
      </c>
      <c r="G60">
        <v>3654.29</v>
      </c>
      <c r="H60">
        <v>3789.5</v>
      </c>
      <c r="I60">
        <v>3918.35</v>
      </c>
    </row>
    <row r="61" spans="1:9" x14ac:dyDescent="0.45">
      <c r="A61" s="989"/>
      <c r="B61" s="35" t="s">
        <v>87</v>
      </c>
      <c r="C61" s="35">
        <v>9</v>
      </c>
      <c r="D61" s="35" t="s">
        <v>228</v>
      </c>
      <c r="E61">
        <v>3598.54</v>
      </c>
      <c r="F61">
        <v>3643.52</v>
      </c>
      <c r="G61">
        <v>3774.69</v>
      </c>
      <c r="H61">
        <v>3914.35</v>
      </c>
      <c r="I61">
        <v>4047.44</v>
      </c>
    </row>
    <row r="62" spans="1:9" x14ac:dyDescent="0.45">
      <c r="A62" s="989"/>
      <c r="B62" s="35" t="s">
        <v>109</v>
      </c>
      <c r="C62" s="35">
        <v>10</v>
      </c>
      <c r="D62" s="35" t="s">
        <v>239</v>
      </c>
      <c r="E62">
        <v>3716.98</v>
      </c>
      <c r="F62">
        <v>3763.44</v>
      </c>
      <c r="G62">
        <v>3898.93</v>
      </c>
      <c r="H62">
        <v>4043.19</v>
      </c>
      <c r="I62">
        <v>4180.66</v>
      </c>
    </row>
    <row r="63" spans="1:9" x14ac:dyDescent="0.45">
      <c r="A63" s="989"/>
      <c r="B63" s="35" t="s">
        <v>107</v>
      </c>
      <c r="C63" s="35">
        <v>11</v>
      </c>
      <c r="D63" s="35" t="s">
        <v>238</v>
      </c>
      <c r="E63">
        <v>3839.75</v>
      </c>
      <c r="F63">
        <v>3887.75</v>
      </c>
      <c r="G63">
        <v>4027.7</v>
      </c>
      <c r="H63">
        <v>4176.7299999999996</v>
      </c>
      <c r="I63">
        <v>4318.74</v>
      </c>
    </row>
    <row r="64" spans="1:9" x14ac:dyDescent="0.45">
      <c r="A64" s="989"/>
      <c r="B64" s="35" t="s">
        <v>105</v>
      </c>
      <c r="C64" s="35">
        <v>12</v>
      </c>
      <c r="D64" s="35" t="s">
        <v>237</v>
      </c>
      <c r="E64">
        <v>0</v>
      </c>
      <c r="F64">
        <v>0</v>
      </c>
      <c r="G64">
        <v>0</v>
      </c>
      <c r="H64">
        <v>0</v>
      </c>
      <c r="I64">
        <v>0</v>
      </c>
    </row>
    <row r="65" spans="1:9" x14ac:dyDescent="0.45">
      <c r="A65" s="989"/>
      <c r="B65" s="35" t="s">
        <v>103</v>
      </c>
      <c r="C65" s="35">
        <v>13</v>
      </c>
      <c r="D65" s="35" t="s">
        <v>236</v>
      </c>
      <c r="E65">
        <v>0</v>
      </c>
      <c r="F65">
        <v>0</v>
      </c>
      <c r="G65">
        <v>0</v>
      </c>
      <c r="H65">
        <v>0</v>
      </c>
      <c r="I65">
        <v>0</v>
      </c>
    </row>
    <row r="66" spans="1:9" x14ac:dyDescent="0.45">
      <c r="A66" s="989"/>
      <c r="B66" s="35" t="s">
        <v>531</v>
      </c>
      <c r="C66" s="35">
        <v>14</v>
      </c>
      <c r="D66" s="35" t="s">
        <v>227</v>
      </c>
      <c r="E66">
        <v>3966.87</v>
      </c>
      <c r="F66">
        <v>4016.46</v>
      </c>
      <c r="G66">
        <v>4161.05</v>
      </c>
      <c r="H66">
        <v>4315.01</v>
      </c>
      <c r="I66">
        <v>4461.72</v>
      </c>
    </row>
    <row r="67" spans="1:9" x14ac:dyDescent="0.45">
      <c r="A67" s="990"/>
      <c r="B67" s="35" t="s">
        <v>533</v>
      </c>
      <c r="C67" s="35">
        <v>15</v>
      </c>
      <c r="D67" s="35" t="s">
        <v>226</v>
      </c>
      <c r="E67">
        <v>4097.6899999999996</v>
      </c>
      <c r="F67">
        <v>4148.91</v>
      </c>
      <c r="G67">
        <v>4298.2700000000004</v>
      </c>
      <c r="H67">
        <v>4457.3100000000004</v>
      </c>
      <c r="I67">
        <v>4608.8500000000004</v>
      </c>
    </row>
    <row r="68" spans="1:9" x14ac:dyDescent="0.45">
      <c r="A68" s="988">
        <v>8</v>
      </c>
      <c r="B68" s="35" t="s">
        <v>113</v>
      </c>
      <c r="C68" s="35">
        <v>0</v>
      </c>
      <c r="D68" s="35" t="s">
        <v>225</v>
      </c>
      <c r="E68">
        <v>2808.78</v>
      </c>
      <c r="F68">
        <v>2843.89</v>
      </c>
      <c r="G68">
        <v>2946.27</v>
      </c>
      <c r="H68">
        <v>3055.29</v>
      </c>
      <c r="I68">
        <v>3159.17</v>
      </c>
    </row>
    <row r="69" spans="1:9" x14ac:dyDescent="0.45">
      <c r="A69" s="989"/>
      <c r="B69" s="35" t="s">
        <v>111</v>
      </c>
      <c r="C69" s="35">
        <v>1</v>
      </c>
      <c r="D69" s="35" t="s">
        <v>224</v>
      </c>
      <c r="E69">
        <v>2903.22</v>
      </c>
      <c r="F69">
        <v>2939.51</v>
      </c>
      <c r="G69">
        <v>3045.34</v>
      </c>
      <c r="H69">
        <v>3158.01</v>
      </c>
      <c r="I69">
        <v>3265.39</v>
      </c>
    </row>
    <row r="70" spans="1:9" x14ac:dyDescent="0.45">
      <c r="A70" s="989"/>
      <c r="B70" s="35" t="s">
        <v>101</v>
      </c>
      <c r="C70" s="35">
        <v>2</v>
      </c>
      <c r="D70" s="35" t="s">
        <v>219</v>
      </c>
      <c r="E70">
        <v>2999.85</v>
      </c>
      <c r="F70">
        <v>3037.35</v>
      </c>
      <c r="G70">
        <v>3146.69</v>
      </c>
      <c r="H70">
        <v>3263.12</v>
      </c>
      <c r="I70">
        <v>3374.06</v>
      </c>
    </row>
    <row r="71" spans="1:9" x14ac:dyDescent="0.45">
      <c r="A71" s="989"/>
      <c r="B71" s="35" t="s">
        <v>99</v>
      </c>
      <c r="C71" s="35">
        <v>3</v>
      </c>
      <c r="D71" s="35" t="s">
        <v>218</v>
      </c>
      <c r="E71">
        <v>3100.84</v>
      </c>
      <c r="F71">
        <v>3139.6</v>
      </c>
      <c r="G71">
        <v>3252.63</v>
      </c>
      <c r="H71">
        <v>3372.98</v>
      </c>
      <c r="I71">
        <v>3487.66</v>
      </c>
    </row>
    <row r="72" spans="1:9" x14ac:dyDescent="0.45">
      <c r="A72" s="989"/>
      <c r="B72" s="35" t="s">
        <v>97</v>
      </c>
      <c r="C72" s="35">
        <v>4</v>
      </c>
      <c r="D72" s="35" t="s">
        <v>217</v>
      </c>
      <c r="E72">
        <v>3204.76</v>
      </c>
      <c r="F72">
        <v>3244.82</v>
      </c>
      <c r="G72">
        <v>3361.64</v>
      </c>
      <c r="H72">
        <v>3486.02</v>
      </c>
      <c r="I72">
        <v>3604.54</v>
      </c>
    </row>
    <row r="73" spans="1:9" x14ac:dyDescent="0.45">
      <c r="A73" s="989"/>
      <c r="B73" s="35" t="s">
        <v>95</v>
      </c>
      <c r="C73" s="35">
        <v>5</v>
      </c>
      <c r="D73" s="35" t="s">
        <v>216</v>
      </c>
      <c r="E73">
        <v>3311.55</v>
      </c>
      <c r="F73">
        <v>3352.94</v>
      </c>
      <c r="G73">
        <v>3473.65</v>
      </c>
      <c r="H73">
        <v>3602.18</v>
      </c>
      <c r="I73">
        <v>3724.65</v>
      </c>
    </row>
    <row r="74" spans="1:9" x14ac:dyDescent="0.45">
      <c r="A74" s="989"/>
      <c r="B74" s="35" t="s">
        <v>93</v>
      </c>
      <c r="C74" s="35">
        <v>6</v>
      </c>
      <c r="D74" s="35" t="s">
        <v>215</v>
      </c>
      <c r="E74">
        <v>3422.72</v>
      </c>
      <c r="F74">
        <v>3465.51</v>
      </c>
      <c r="G74">
        <v>3590.26</v>
      </c>
      <c r="H74">
        <v>3723.1</v>
      </c>
      <c r="I74">
        <v>3849.69</v>
      </c>
    </row>
    <row r="75" spans="1:9" x14ac:dyDescent="0.45">
      <c r="A75" s="989"/>
      <c r="B75" s="35" t="s">
        <v>91</v>
      </c>
      <c r="C75" s="35">
        <v>7</v>
      </c>
      <c r="D75" s="35" t="s">
        <v>214</v>
      </c>
      <c r="E75">
        <v>3537.51</v>
      </c>
      <c r="F75">
        <v>3581.73</v>
      </c>
      <c r="G75">
        <v>3710.67</v>
      </c>
      <c r="H75">
        <v>3847.97</v>
      </c>
      <c r="I75">
        <v>3978.8</v>
      </c>
    </row>
    <row r="76" spans="1:9" x14ac:dyDescent="0.45">
      <c r="A76" s="989"/>
      <c r="B76" s="35" t="s">
        <v>89</v>
      </c>
      <c r="C76" s="35">
        <v>8</v>
      </c>
      <c r="D76" s="35" t="s">
        <v>213</v>
      </c>
      <c r="E76">
        <v>3655.94</v>
      </c>
      <c r="F76">
        <v>3701.64</v>
      </c>
      <c r="G76">
        <v>3834.9</v>
      </c>
      <c r="H76">
        <v>3976.79</v>
      </c>
      <c r="I76">
        <v>4112</v>
      </c>
    </row>
    <row r="77" spans="1:9" x14ac:dyDescent="0.45">
      <c r="A77" s="989"/>
      <c r="B77" s="35" t="s">
        <v>87</v>
      </c>
      <c r="C77" s="35">
        <v>9</v>
      </c>
      <c r="D77" s="35" t="s">
        <v>212</v>
      </c>
      <c r="E77">
        <v>3778.71</v>
      </c>
      <c r="F77">
        <v>3825.94</v>
      </c>
      <c r="G77">
        <v>3963.67</v>
      </c>
      <c r="H77">
        <v>4110.33</v>
      </c>
      <c r="I77">
        <v>4250.08</v>
      </c>
    </row>
    <row r="78" spans="1:9" x14ac:dyDescent="0.45">
      <c r="A78" s="989"/>
      <c r="B78" s="35" t="s">
        <v>109</v>
      </c>
      <c r="C78" s="35">
        <v>10</v>
      </c>
      <c r="D78" s="35" t="s">
        <v>223</v>
      </c>
      <c r="E78">
        <v>3905.15</v>
      </c>
      <c r="F78">
        <v>3953.96</v>
      </c>
      <c r="G78">
        <v>4096.3100000000004</v>
      </c>
      <c r="H78">
        <v>4247.87</v>
      </c>
      <c r="I78">
        <v>4392.3</v>
      </c>
    </row>
    <row r="79" spans="1:9" x14ac:dyDescent="0.45">
      <c r="A79" s="989"/>
      <c r="B79" s="35" t="s">
        <v>107</v>
      </c>
      <c r="C79" s="35">
        <v>11</v>
      </c>
      <c r="D79" s="35" t="s">
        <v>222</v>
      </c>
      <c r="E79">
        <v>4035.91</v>
      </c>
      <c r="F79">
        <v>4086.36</v>
      </c>
      <c r="G79">
        <v>4233.47</v>
      </c>
      <c r="H79">
        <v>4390.1000000000004</v>
      </c>
      <c r="I79">
        <v>4539.37</v>
      </c>
    </row>
    <row r="80" spans="1:9" x14ac:dyDescent="0.45">
      <c r="A80" s="989"/>
      <c r="B80" s="35" t="s">
        <v>105</v>
      </c>
      <c r="C80" s="35">
        <v>12</v>
      </c>
      <c r="D80" s="35" t="s">
        <v>221</v>
      </c>
      <c r="E80">
        <v>4171.0200000000004</v>
      </c>
      <c r="F80">
        <v>4223.16</v>
      </c>
      <c r="G80">
        <v>4375.2</v>
      </c>
      <c r="H80">
        <v>4537.08</v>
      </c>
      <c r="I80">
        <v>4691.34</v>
      </c>
    </row>
    <row r="81" spans="1:9" x14ac:dyDescent="0.45">
      <c r="A81" s="989"/>
      <c r="B81" s="35" t="s">
        <v>103</v>
      </c>
      <c r="C81" s="35">
        <v>13</v>
      </c>
      <c r="D81" s="35" t="s">
        <v>220</v>
      </c>
      <c r="E81">
        <v>0</v>
      </c>
      <c r="F81">
        <v>0</v>
      </c>
      <c r="G81">
        <v>0</v>
      </c>
      <c r="H81">
        <v>0</v>
      </c>
      <c r="I81">
        <v>0</v>
      </c>
    </row>
    <row r="82" spans="1:9" x14ac:dyDescent="0.45">
      <c r="A82" s="989"/>
      <c r="B82" s="35" t="s">
        <v>531</v>
      </c>
      <c r="C82" s="35">
        <v>14</v>
      </c>
      <c r="D82" s="35" t="s">
        <v>211</v>
      </c>
      <c r="E82">
        <v>4310.55</v>
      </c>
      <c r="F82">
        <v>4364.43</v>
      </c>
      <c r="G82">
        <v>4521.55</v>
      </c>
      <c r="H82">
        <v>4688.8500000000004</v>
      </c>
      <c r="I82">
        <v>4848.2700000000004</v>
      </c>
    </row>
    <row r="83" spans="1:9" x14ac:dyDescent="0.45">
      <c r="A83" s="990"/>
      <c r="B83" s="35" t="s">
        <v>533</v>
      </c>
      <c r="C83" s="35">
        <v>15</v>
      </c>
      <c r="D83" s="35" t="s">
        <v>210</v>
      </c>
      <c r="E83">
        <v>4455.12</v>
      </c>
      <c r="F83">
        <v>4510.8100000000004</v>
      </c>
      <c r="G83">
        <v>4673.2</v>
      </c>
      <c r="H83">
        <v>4846.1099999999997</v>
      </c>
      <c r="I83">
        <v>5010.87</v>
      </c>
    </row>
    <row r="84" spans="1:9" x14ac:dyDescent="0.45">
      <c r="A84" s="988">
        <v>9</v>
      </c>
      <c r="B84" s="35" t="s">
        <v>113</v>
      </c>
      <c r="C84" s="35">
        <v>0</v>
      </c>
      <c r="D84" s="35" t="s">
        <v>209</v>
      </c>
      <c r="E84">
        <v>3042.75</v>
      </c>
      <c r="F84">
        <v>3080.79</v>
      </c>
      <c r="G84">
        <v>3191.69</v>
      </c>
      <c r="H84">
        <v>3309.79</v>
      </c>
      <c r="I84">
        <v>3422.32</v>
      </c>
    </row>
    <row r="85" spans="1:9" x14ac:dyDescent="0.45">
      <c r="A85" s="989"/>
      <c r="B85" s="35" t="s">
        <v>111</v>
      </c>
      <c r="C85" s="35">
        <v>1</v>
      </c>
      <c r="D85" s="35" t="s">
        <v>208</v>
      </c>
      <c r="E85">
        <v>3145.92</v>
      </c>
      <c r="F85">
        <v>3185.24</v>
      </c>
      <c r="G85">
        <v>3299.91</v>
      </c>
      <c r="H85">
        <v>3422.01</v>
      </c>
      <c r="I85">
        <v>3538.36</v>
      </c>
    </row>
    <row r="86" spans="1:9" x14ac:dyDescent="0.45">
      <c r="A86" s="989"/>
      <c r="B86" s="35" t="s">
        <v>101</v>
      </c>
      <c r="C86" s="35">
        <v>2</v>
      </c>
      <c r="D86" s="35" t="s">
        <v>203</v>
      </c>
      <c r="E86">
        <v>3253.47</v>
      </c>
      <c r="F86">
        <v>3294.14</v>
      </c>
      <c r="G86">
        <v>3412.73</v>
      </c>
      <c r="H86">
        <v>3539</v>
      </c>
      <c r="I86">
        <v>3659.32</v>
      </c>
    </row>
    <row r="87" spans="1:9" x14ac:dyDescent="0.45">
      <c r="A87" s="989"/>
      <c r="B87" s="35" t="s">
        <v>99</v>
      </c>
      <c r="C87" s="35">
        <v>3</v>
      </c>
      <c r="D87" s="35" t="s">
        <v>202</v>
      </c>
      <c r="E87">
        <v>3363.86</v>
      </c>
      <c r="F87">
        <v>3405.91</v>
      </c>
      <c r="G87">
        <v>3528.53</v>
      </c>
      <c r="H87">
        <v>3659.08</v>
      </c>
      <c r="I87">
        <v>3783.49</v>
      </c>
    </row>
    <row r="88" spans="1:9" x14ac:dyDescent="0.45">
      <c r="A88" s="989"/>
      <c r="B88" s="35" t="s">
        <v>97</v>
      </c>
      <c r="C88" s="35">
        <v>4</v>
      </c>
      <c r="D88" s="35" t="s">
        <v>201</v>
      </c>
      <c r="E88">
        <v>3477.95</v>
      </c>
      <c r="F88">
        <v>3521.42</v>
      </c>
      <c r="G88">
        <v>3648.19</v>
      </c>
      <c r="H88">
        <v>3783.17</v>
      </c>
      <c r="I88">
        <v>3911.8</v>
      </c>
    </row>
    <row r="89" spans="1:9" x14ac:dyDescent="0.45">
      <c r="A89" s="989"/>
      <c r="B89" s="35" t="s">
        <v>95</v>
      </c>
      <c r="C89" s="35">
        <v>5</v>
      </c>
      <c r="D89" s="35" t="s">
        <v>200</v>
      </c>
      <c r="E89">
        <v>3596.36</v>
      </c>
      <c r="F89">
        <v>3641.31</v>
      </c>
      <c r="G89">
        <v>3772.4</v>
      </c>
      <c r="H89">
        <v>3911.98</v>
      </c>
      <c r="I89">
        <v>4044.98</v>
      </c>
    </row>
    <row r="90" spans="1:9" x14ac:dyDescent="0.45">
      <c r="A90" s="989"/>
      <c r="B90" s="35" t="s">
        <v>93</v>
      </c>
      <c r="C90" s="35">
        <v>6</v>
      </c>
      <c r="D90" s="35" t="s">
        <v>199</v>
      </c>
      <c r="E90">
        <v>3718.4</v>
      </c>
      <c r="F90">
        <v>3764.88</v>
      </c>
      <c r="G90">
        <v>3900.42</v>
      </c>
      <c r="H90">
        <v>4044.73</v>
      </c>
      <c r="I90">
        <v>4182.25</v>
      </c>
    </row>
    <row r="91" spans="1:9" x14ac:dyDescent="0.45">
      <c r="A91" s="989"/>
      <c r="B91" s="35" t="s">
        <v>91</v>
      </c>
      <c r="C91" s="35">
        <v>7</v>
      </c>
      <c r="D91" s="35" t="s">
        <v>198</v>
      </c>
      <c r="E91">
        <v>3844.84</v>
      </c>
      <c r="F91">
        <v>3892.9</v>
      </c>
      <c r="G91">
        <v>4033.05</v>
      </c>
      <c r="H91">
        <v>4182.2700000000004</v>
      </c>
      <c r="I91">
        <v>4324.47</v>
      </c>
    </row>
    <row r="92" spans="1:9" x14ac:dyDescent="0.45">
      <c r="A92" s="989"/>
      <c r="B92" s="35" t="s">
        <v>89</v>
      </c>
      <c r="C92" s="35">
        <v>8</v>
      </c>
      <c r="D92" s="35" t="s">
        <v>197</v>
      </c>
      <c r="E92">
        <v>3975.6</v>
      </c>
      <c r="F92">
        <v>4025.3</v>
      </c>
      <c r="G92">
        <v>4170.21</v>
      </c>
      <c r="H92">
        <v>4324.51</v>
      </c>
      <c r="I92">
        <v>4471.54</v>
      </c>
    </row>
    <row r="93" spans="1:9" x14ac:dyDescent="0.45">
      <c r="A93" s="989"/>
      <c r="B93" s="35" t="s">
        <v>87</v>
      </c>
      <c r="C93" s="35">
        <v>9</v>
      </c>
      <c r="D93" s="35" t="s">
        <v>196</v>
      </c>
      <c r="E93">
        <v>4110.7299999999996</v>
      </c>
      <c r="F93">
        <v>4162.12</v>
      </c>
      <c r="G93">
        <v>4311.95</v>
      </c>
      <c r="H93">
        <v>4471.5</v>
      </c>
      <c r="I93">
        <v>4623.53</v>
      </c>
    </row>
    <row r="94" spans="1:9" x14ac:dyDescent="0.45">
      <c r="A94" s="989"/>
      <c r="B94" s="35" t="s">
        <v>109</v>
      </c>
      <c r="C94" s="35">
        <v>10</v>
      </c>
      <c r="D94" s="35" t="s">
        <v>207</v>
      </c>
      <c r="E94">
        <v>4250.96</v>
      </c>
      <c r="F94">
        <v>4304.09</v>
      </c>
      <c r="G94">
        <v>4459.04</v>
      </c>
      <c r="H94">
        <v>4624.03</v>
      </c>
      <c r="I94">
        <v>4781.24</v>
      </c>
    </row>
    <row r="95" spans="1:9" x14ac:dyDescent="0.45">
      <c r="A95" s="989"/>
      <c r="B95" s="35" t="s">
        <v>107</v>
      </c>
      <c r="C95" s="35">
        <v>11</v>
      </c>
      <c r="D95" s="35" t="s">
        <v>206</v>
      </c>
      <c r="E95">
        <v>4395.55</v>
      </c>
      <c r="F95">
        <v>4450.5</v>
      </c>
      <c r="G95">
        <v>4610.72</v>
      </c>
      <c r="H95">
        <v>4781.3100000000004</v>
      </c>
      <c r="I95">
        <v>4943.88</v>
      </c>
    </row>
    <row r="96" spans="1:9" x14ac:dyDescent="0.45">
      <c r="A96" s="989"/>
      <c r="B96" s="35" t="s">
        <v>105</v>
      </c>
      <c r="C96" s="35">
        <v>12</v>
      </c>
      <c r="D96" s="35" t="s">
        <v>205</v>
      </c>
      <c r="E96">
        <v>4544.51</v>
      </c>
      <c r="F96">
        <v>4601.3100000000004</v>
      </c>
      <c r="G96">
        <v>4766.96</v>
      </c>
      <c r="H96">
        <v>4943.34</v>
      </c>
      <c r="I96">
        <v>5111.41</v>
      </c>
    </row>
    <row r="97" spans="1:9" x14ac:dyDescent="0.45">
      <c r="A97" s="989"/>
      <c r="B97" s="35" t="s">
        <v>103</v>
      </c>
      <c r="C97" s="35">
        <v>13</v>
      </c>
      <c r="D97" s="35" t="s">
        <v>204</v>
      </c>
      <c r="E97">
        <v>0</v>
      </c>
      <c r="F97">
        <v>0</v>
      </c>
      <c r="G97">
        <v>0</v>
      </c>
      <c r="H97">
        <v>0</v>
      </c>
      <c r="I97">
        <v>0</v>
      </c>
    </row>
    <row r="98" spans="1:9" x14ac:dyDescent="0.45">
      <c r="A98" s="989"/>
      <c r="B98" s="35" t="s">
        <v>531</v>
      </c>
      <c r="C98" s="35">
        <v>14</v>
      </c>
      <c r="D98" s="35" t="s">
        <v>195</v>
      </c>
      <c r="E98">
        <v>4699.25</v>
      </c>
      <c r="F98">
        <v>4757.99</v>
      </c>
      <c r="G98">
        <v>4929.28</v>
      </c>
      <c r="H98">
        <v>5111.66</v>
      </c>
      <c r="I98">
        <v>5285.46</v>
      </c>
    </row>
    <row r="99" spans="1:9" x14ac:dyDescent="0.45">
      <c r="A99" s="990"/>
      <c r="B99" s="35" t="s">
        <v>533</v>
      </c>
      <c r="C99" s="35">
        <v>15</v>
      </c>
      <c r="D99" s="35" t="s">
        <v>194</v>
      </c>
      <c r="E99">
        <v>4859.08</v>
      </c>
      <c r="F99">
        <v>4919.8100000000004</v>
      </c>
      <c r="G99">
        <v>5096.93</v>
      </c>
      <c r="H99">
        <v>5285.51</v>
      </c>
      <c r="I99">
        <v>5465.22</v>
      </c>
    </row>
    <row r="100" spans="1:9" x14ac:dyDescent="0.45">
      <c r="A100" s="988">
        <v>10</v>
      </c>
      <c r="B100" s="35" t="s">
        <v>113</v>
      </c>
      <c r="C100" s="35">
        <v>0</v>
      </c>
      <c r="D100" s="35" t="s">
        <v>193</v>
      </c>
      <c r="E100">
        <v>3310.84</v>
      </c>
      <c r="F100">
        <v>3352.22</v>
      </c>
      <c r="G100">
        <v>3472.9</v>
      </c>
      <c r="H100">
        <v>3601.4</v>
      </c>
      <c r="I100">
        <v>3723.85</v>
      </c>
    </row>
    <row r="101" spans="1:9" x14ac:dyDescent="0.45">
      <c r="A101" s="989"/>
      <c r="B101" s="35" t="s">
        <v>111</v>
      </c>
      <c r="C101" s="35">
        <v>1</v>
      </c>
      <c r="D101" s="35" t="s">
        <v>192</v>
      </c>
      <c r="E101">
        <v>3424.89</v>
      </c>
      <c r="F101">
        <v>3467.7</v>
      </c>
      <c r="G101">
        <v>3592.54</v>
      </c>
      <c r="H101">
        <v>3725.47</v>
      </c>
      <c r="I101">
        <v>3852.13</v>
      </c>
    </row>
    <row r="102" spans="1:9" x14ac:dyDescent="0.45">
      <c r="A102" s="989"/>
      <c r="B102" s="35" t="s">
        <v>101</v>
      </c>
      <c r="C102" s="35">
        <v>2</v>
      </c>
      <c r="D102" s="35" t="s">
        <v>187</v>
      </c>
      <c r="E102">
        <v>3543.35</v>
      </c>
      <c r="F102">
        <v>3587.64</v>
      </c>
      <c r="G102">
        <v>3716.79</v>
      </c>
      <c r="H102">
        <v>3854.31</v>
      </c>
      <c r="I102">
        <v>3985.36</v>
      </c>
    </row>
    <row r="103" spans="1:9" x14ac:dyDescent="0.45">
      <c r="A103" s="989"/>
      <c r="B103" s="35" t="s">
        <v>99</v>
      </c>
      <c r="C103" s="35">
        <v>3</v>
      </c>
      <c r="D103" s="35" t="s">
        <v>186</v>
      </c>
      <c r="E103">
        <v>3665.38</v>
      </c>
      <c r="F103">
        <v>3711.19</v>
      </c>
      <c r="G103">
        <v>3844.8</v>
      </c>
      <c r="H103">
        <v>3987.05</v>
      </c>
      <c r="I103">
        <v>4122.6099999999997</v>
      </c>
    </row>
    <row r="104" spans="1:9" x14ac:dyDescent="0.45">
      <c r="A104" s="989"/>
      <c r="B104" s="35" t="s">
        <v>97</v>
      </c>
      <c r="C104" s="35">
        <v>4</v>
      </c>
      <c r="D104" s="35" t="s">
        <v>185</v>
      </c>
      <c r="E104">
        <v>3791.83</v>
      </c>
      <c r="F104">
        <v>3839.23</v>
      </c>
      <c r="G104">
        <v>3977.44</v>
      </c>
      <c r="H104">
        <v>4124.6099999999997</v>
      </c>
      <c r="I104">
        <v>4264.84</v>
      </c>
    </row>
    <row r="105" spans="1:9" x14ac:dyDescent="0.45">
      <c r="A105" s="989"/>
      <c r="B105" s="35" t="s">
        <v>95</v>
      </c>
      <c r="C105" s="35">
        <v>5</v>
      </c>
      <c r="D105" s="35" t="s">
        <v>184</v>
      </c>
      <c r="E105">
        <v>3922.58</v>
      </c>
      <c r="F105">
        <v>3971.61</v>
      </c>
      <c r="G105">
        <v>4114.59</v>
      </c>
      <c r="H105">
        <v>4266.83</v>
      </c>
      <c r="I105">
        <v>4411.8999999999996</v>
      </c>
    </row>
    <row r="106" spans="1:9" x14ac:dyDescent="0.45">
      <c r="A106" s="989"/>
      <c r="B106" s="35" t="s">
        <v>93</v>
      </c>
      <c r="C106" s="35">
        <v>6</v>
      </c>
      <c r="D106" s="35" t="s">
        <v>183</v>
      </c>
      <c r="E106">
        <v>4057.69</v>
      </c>
      <c r="F106">
        <v>4108.42</v>
      </c>
      <c r="G106">
        <v>4256.32</v>
      </c>
      <c r="H106">
        <v>4413.8</v>
      </c>
      <c r="I106">
        <v>4563.87</v>
      </c>
    </row>
    <row r="107" spans="1:9" x14ac:dyDescent="0.45">
      <c r="A107" s="989"/>
      <c r="B107" s="35" t="s">
        <v>91</v>
      </c>
      <c r="C107" s="35">
        <v>7</v>
      </c>
      <c r="D107" s="35" t="s">
        <v>182</v>
      </c>
      <c r="E107">
        <v>4197.93</v>
      </c>
      <c r="F107">
        <v>4250.41</v>
      </c>
      <c r="G107">
        <v>4403.42</v>
      </c>
      <c r="H107">
        <v>4566.3500000000004</v>
      </c>
      <c r="I107">
        <v>4721.6000000000004</v>
      </c>
    </row>
    <row r="108" spans="1:9" x14ac:dyDescent="0.45">
      <c r="A108" s="989"/>
      <c r="B108" s="35" t="s">
        <v>89</v>
      </c>
      <c r="C108" s="35">
        <v>8</v>
      </c>
      <c r="D108" s="35" t="s">
        <v>181</v>
      </c>
      <c r="E108">
        <v>4343.25</v>
      </c>
      <c r="F108">
        <v>4397.54</v>
      </c>
      <c r="G108">
        <v>4555.8500000000004</v>
      </c>
      <c r="H108">
        <v>4724.42</v>
      </c>
      <c r="I108">
        <v>4885.05</v>
      </c>
    </row>
    <row r="109" spans="1:9" x14ac:dyDescent="0.45">
      <c r="A109" s="989"/>
      <c r="B109" s="35" t="s">
        <v>87</v>
      </c>
      <c r="C109" s="35">
        <v>9</v>
      </c>
      <c r="D109" s="35" t="s">
        <v>180</v>
      </c>
      <c r="E109">
        <v>4492.8999999999996</v>
      </c>
      <c r="F109">
        <v>4549.0600000000004</v>
      </c>
      <c r="G109">
        <v>4712.83</v>
      </c>
      <c r="H109">
        <v>4887.2</v>
      </c>
      <c r="I109">
        <v>5053.37</v>
      </c>
    </row>
    <row r="110" spans="1:9" x14ac:dyDescent="0.45">
      <c r="A110" s="989"/>
      <c r="B110" s="35" t="s">
        <v>109</v>
      </c>
      <c r="C110" s="35">
        <v>10</v>
      </c>
      <c r="D110" s="35" t="s">
        <v>191</v>
      </c>
      <c r="E110">
        <v>4647.66</v>
      </c>
      <c r="F110">
        <v>4705.76</v>
      </c>
      <c r="G110">
        <v>4875.16</v>
      </c>
      <c r="H110">
        <v>5055.54</v>
      </c>
      <c r="I110">
        <v>5227.43</v>
      </c>
    </row>
    <row r="111" spans="1:9" x14ac:dyDescent="0.45">
      <c r="A111" s="989"/>
      <c r="B111" s="35" t="s">
        <v>107</v>
      </c>
      <c r="C111" s="35">
        <v>11</v>
      </c>
      <c r="D111" s="35" t="s">
        <v>190</v>
      </c>
      <c r="E111">
        <v>4808.22</v>
      </c>
      <c r="F111">
        <v>4868.33</v>
      </c>
      <c r="G111">
        <v>5043.59</v>
      </c>
      <c r="H111">
        <v>5230.2</v>
      </c>
      <c r="I111">
        <v>5408.03</v>
      </c>
    </row>
    <row r="112" spans="1:9" x14ac:dyDescent="0.45">
      <c r="A112" s="989"/>
      <c r="B112" s="35" t="s">
        <v>105</v>
      </c>
      <c r="C112" s="35">
        <v>12</v>
      </c>
      <c r="D112" s="35" t="s">
        <v>189</v>
      </c>
      <c r="E112">
        <v>4973.88</v>
      </c>
      <c r="F112">
        <v>5036.05</v>
      </c>
      <c r="G112">
        <v>5217.3500000000004</v>
      </c>
      <c r="H112">
        <v>5410.39</v>
      </c>
      <c r="I112">
        <v>5594.35</v>
      </c>
    </row>
    <row r="113" spans="1:9" x14ac:dyDescent="0.45">
      <c r="A113" s="989"/>
      <c r="B113" s="35" t="s">
        <v>103</v>
      </c>
      <c r="C113" s="35">
        <v>13</v>
      </c>
      <c r="D113" s="35" t="s">
        <v>188</v>
      </c>
      <c r="E113">
        <v>0</v>
      </c>
      <c r="F113">
        <v>0</v>
      </c>
      <c r="G113">
        <v>0</v>
      </c>
      <c r="H113">
        <v>0</v>
      </c>
      <c r="I113">
        <v>0</v>
      </c>
    </row>
    <row r="114" spans="1:9" x14ac:dyDescent="0.45">
      <c r="A114" s="989"/>
      <c r="B114" s="35" t="s">
        <v>531</v>
      </c>
      <c r="C114" s="35">
        <v>14</v>
      </c>
      <c r="D114" s="35" t="s">
        <v>179</v>
      </c>
      <c r="E114">
        <v>5145.34</v>
      </c>
      <c r="F114">
        <v>5209.66</v>
      </c>
      <c r="G114">
        <v>5397.21</v>
      </c>
      <c r="H114">
        <v>5596.91</v>
      </c>
      <c r="I114">
        <v>5787.2</v>
      </c>
    </row>
    <row r="115" spans="1:9" x14ac:dyDescent="0.45">
      <c r="A115" s="990"/>
      <c r="B115" s="35" t="s">
        <v>533</v>
      </c>
      <c r="C115" s="35">
        <v>15</v>
      </c>
      <c r="D115" s="35" t="s">
        <v>178</v>
      </c>
      <c r="E115">
        <v>5323.36</v>
      </c>
      <c r="F115">
        <v>5389.91</v>
      </c>
      <c r="G115">
        <v>5583.94</v>
      </c>
      <c r="H115">
        <v>5790.55</v>
      </c>
      <c r="I115">
        <v>5987.43</v>
      </c>
    </row>
    <row r="116" spans="1:9" x14ac:dyDescent="0.45">
      <c r="A116" s="988">
        <v>11</v>
      </c>
      <c r="B116" s="35" t="s">
        <v>113</v>
      </c>
      <c r="C116" s="35">
        <v>0</v>
      </c>
      <c r="D116" s="35" t="s">
        <v>177</v>
      </c>
      <c r="E116">
        <v>3786.7</v>
      </c>
      <c r="F116">
        <v>3834.03</v>
      </c>
      <c r="G116">
        <v>3972.06</v>
      </c>
      <c r="H116">
        <v>4119.0200000000004</v>
      </c>
      <c r="I116">
        <v>4259.07</v>
      </c>
    </row>
    <row r="117" spans="1:9" x14ac:dyDescent="0.45">
      <c r="A117" s="989"/>
      <c r="B117" s="35" t="s">
        <v>111</v>
      </c>
      <c r="C117" s="35">
        <v>1</v>
      </c>
      <c r="D117" s="35" t="s">
        <v>176</v>
      </c>
      <c r="E117">
        <v>3919.68</v>
      </c>
      <c r="F117">
        <v>3968.68</v>
      </c>
      <c r="G117">
        <v>4111.55</v>
      </c>
      <c r="H117">
        <v>4263.68</v>
      </c>
      <c r="I117">
        <v>4408.6400000000003</v>
      </c>
    </row>
    <row r="118" spans="1:9" x14ac:dyDescent="0.45">
      <c r="A118" s="989"/>
      <c r="B118" s="35" t="s">
        <v>101</v>
      </c>
      <c r="C118" s="35">
        <v>2</v>
      </c>
      <c r="D118" s="35" t="s">
        <v>171</v>
      </c>
      <c r="E118">
        <v>4057.01</v>
      </c>
      <c r="F118">
        <v>4107.72</v>
      </c>
      <c r="G118">
        <v>4255.6000000000004</v>
      </c>
      <c r="H118">
        <v>4413.0600000000004</v>
      </c>
      <c r="I118">
        <v>4563.1000000000004</v>
      </c>
    </row>
    <row r="119" spans="1:9" x14ac:dyDescent="0.45">
      <c r="A119" s="989"/>
      <c r="B119" s="35" t="s">
        <v>99</v>
      </c>
      <c r="C119" s="35">
        <v>3</v>
      </c>
      <c r="D119" s="35" t="s">
        <v>170</v>
      </c>
      <c r="E119">
        <v>4198.67</v>
      </c>
      <c r="F119">
        <v>4251.1499999999996</v>
      </c>
      <c r="G119">
        <v>4404.1899999999996</v>
      </c>
      <c r="H119">
        <v>4567.1499999999996</v>
      </c>
      <c r="I119">
        <v>4722.43</v>
      </c>
    </row>
    <row r="120" spans="1:9" x14ac:dyDescent="0.45">
      <c r="A120" s="989"/>
      <c r="B120" s="35" t="s">
        <v>97</v>
      </c>
      <c r="C120" s="35">
        <v>4</v>
      </c>
      <c r="D120" s="35" t="s">
        <v>169</v>
      </c>
      <c r="E120">
        <v>4345.4399999999996</v>
      </c>
      <c r="F120">
        <v>4399.76</v>
      </c>
      <c r="G120">
        <v>4558.1499999999996</v>
      </c>
      <c r="H120">
        <v>4726.8</v>
      </c>
      <c r="I120">
        <v>4887.51</v>
      </c>
    </row>
    <row r="121" spans="1:9" x14ac:dyDescent="0.45">
      <c r="A121" s="989"/>
      <c r="B121" s="35" t="s">
        <v>95</v>
      </c>
      <c r="C121" s="35">
        <v>5</v>
      </c>
      <c r="D121" s="35" t="s">
        <v>168</v>
      </c>
      <c r="E121">
        <v>4497.9799999999996</v>
      </c>
      <c r="F121">
        <v>4554.21</v>
      </c>
      <c r="G121">
        <v>4718.16</v>
      </c>
      <c r="H121">
        <v>4892.7299999999996</v>
      </c>
      <c r="I121">
        <v>5059.08</v>
      </c>
    </row>
    <row r="122" spans="1:9" x14ac:dyDescent="0.45">
      <c r="A122" s="989"/>
      <c r="B122" s="35" t="s">
        <v>93</v>
      </c>
      <c r="C122" s="35">
        <v>6</v>
      </c>
      <c r="D122" s="35" t="s">
        <v>167</v>
      </c>
      <c r="E122">
        <v>4654.91</v>
      </c>
      <c r="F122">
        <v>4713.1000000000004</v>
      </c>
      <c r="G122">
        <v>4882.7700000000004</v>
      </c>
      <c r="H122">
        <v>5063.43</v>
      </c>
      <c r="I122">
        <v>5235.59</v>
      </c>
    </row>
    <row r="123" spans="1:9" x14ac:dyDescent="0.45">
      <c r="A123" s="989"/>
      <c r="B123" s="35" t="s">
        <v>91</v>
      </c>
      <c r="C123" s="35">
        <v>7</v>
      </c>
      <c r="D123" s="35" t="s">
        <v>166</v>
      </c>
      <c r="E123">
        <v>4817.68</v>
      </c>
      <c r="F123">
        <v>4877.8999999999996</v>
      </c>
      <c r="G123">
        <v>5053.5</v>
      </c>
      <c r="H123">
        <v>5240.4799999999996</v>
      </c>
      <c r="I123">
        <v>5418.66</v>
      </c>
    </row>
    <row r="124" spans="1:9" x14ac:dyDescent="0.45">
      <c r="A124" s="989"/>
      <c r="B124" s="35" t="s">
        <v>89</v>
      </c>
      <c r="C124" s="35">
        <v>8</v>
      </c>
      <c r="D124" s="35" t="s">
        <v>165</v>
      </c>
      <c r="E124">
        <v>4986.9399999999996</v>
      </c>
      <c r="F124">
        <v>5049.28</v>
      </c>
      <c r="G124">
        <v>5231.05</v>
      </c>
      <c r="H124">
        <v>5424.6</v>
      </c>
      <c r="I124">
        <v>5609.04</v>
      </c>
    </row>
    <row r="125" spans="1:9" x14ac:dyDescent="0.45">
      <c r="A125" s="989"/>
      <c r="B125" s="35" t="s">
        <v>87</v>
      </c>
      <c r="C125" s="35">
        <v>9</v>
      </c>
      <c r="D125" s="35" t="s">
        <v>164</v>
      </c>
      <c r="E125">
        <v>5161.33</v>
      </c>
      <c r="F125">
        <v>5225.84</v>
      </c>
      <c r="G125">
        <v>5413.97</v>
      </c>
      <c r="H125">
        <v>5614.29</v>
      </c>
      <c r="I125">
        <v>5805.18</v>
      </c>
    </row>
    <row r="126" spans="1:9" x14ac:dyDescent="0.45">
      <c r="A126" s="989"/>
      <c r="B126" s="35" t="s">
        <v>109</v>
      </c>
      <c r="C126" s="35">
        <v>10</v>
      </c>
      <c r="D126" s="35" t="s">
        <v>175</v>
      </c>
      <c r="E126">
        <v>5341.5</v>
      </c>
      <c r="F126">
        <v>5408.27</v>
      </c>
      <c r="G126">
        <v>5602.97</v>
      </c>
      <c r="H126">
        <v>5810.28</v>
      </c>
      <c r="I126">
        <v>6007.83</v>
      </c>
    </row>
    <row r="127" spans="1:9" x14ac:dyDescent="0.45">
      <c r="A127" s="989"/>
      <c r="B127" s="35" t="s">
        <v>107</v>
      </c>
      <c r="C127" s="35">
        <v>11</v>
      </c>
      <c r="D127" s="35" t="s">
        <v>174</v>
      </c>
      <c r="E127">
        <v>5528.95</v>
      </c>
      <c r="F127">
        <v>5598.06</v>
      </c>
      <c r="G127">
        <v>5799.59</v>
      </c>
      <c r="H127">
        <v>6014.17</v>
      </c>
      <c r="I127">
        <v>6218.66</v>
      </c>
    </row>
    <row r="128" spans="1:9" x14ac:dyDescent="0.45">
      <c r="A128" s="989"/>
      <c r="B128" s="35" t="s">
        <v>105</v>
      </c>
      <c r="C128" s="35">
        <v>12</v>
      </c>
      <c r="D128" s="35" t="s">
        <v>173</v>
      </c>
      <c r="E128">
        <v>5722.2</v>
      </c>
      <c r="F128">
        <v>5793.72</v>
      </c>
      <c r="G128">
        <v>6002.3</v>
      </c>
      <c r="H128">
        <v>6224.38</v>
      </c>
      <c r="I128">
        <v>6436.01</v>
      </c>
    </row>
    <row r="129" spans="1:9" x14ac:dyDescent="0.45">
      <c r="A129" s="989"/>
      <c r="B129" s="35" t="s">
        <v>103</v>
      </c>
      <c r="C129" s="35">
        <v>13</v>
      </c>
      <c r="D129" s="35" t="s">
        <v>172</v>
      </c>
      <c r="E129">
        <v>0</v>
      </c>
      <c r="F129">
        <v>0</v>
      </c>
      <c r="G129">
        <v>0</v>
      </c>
      <c r="H129">
        <v>0</v>
      </c>
      <c r="I129">
        <v>0</v>
      </c>
    </row>
    <row r="130" spans="1:9" x14ac:dyDescent="0.45">
      <c r="A130" s="989"/>
      <c r="B130" s="35" t="s">
        <v>531</v>
      </c>
      <c r="C130" s="35">
        <v>14</v>
      </c>
      <c r="D130" s="35" t="s">
        <v>163</v>
      </c>
      <c r="E130">
        <v>5922.75</v>
      </c>
      <c r="F130">
        <v>5996.79</v>
      </c>
      <c r="G130">
        <v>6212.67</v>
      </c>
      <c r="H130">
        <v>6442.54</v>
      </c>
      <c r="I130">
        <v>6661.59</v>
      </c>
    </row>
    <row r="131" spans="1:9" x14ac:dyDescent="0.45">
      <c r="A131" s="990"/>
      <c r="B131" s="35" t="s">
        <v>533</v>
      </c>
      <c r="C131" s="35">
        <v>15</v>
      </c>
      <c r="D131" s="35" t="s">
        <v>162</v>
      </c>
      <c r="E131">
        <v>6129.76</v>
      </c>
      <c r="F131">
        <v>6206.38</v>
      </c>
      <c r="G131">
        <v>6429.81</v>
      </c>
      <c r="H131">
        <v>6667.71</v>
      </c>
      <c r="I131">
        <v>6894.42</v>
      </c>
    </row>
    <row r="132" spans="1:9" x14ac:dyDescent="0.45">
      <c r="A132" s="988">
        <v>12</v>
      </c>
      <c r="B132" s="35" t="s">
        <v>113</v>
      </c>
      <c r="C132" s="35">
        <v>0</v>
      </c>
      <c r="D132" s="35" t="s">
        <v>161</v>
      </c>
      <c r="E132">
        <v>4171.0200000000004</v>
      </c>
      <c r="F132">
        <v>4223.16</v>
      </c>
      <c r="G132">
        <v>4375.2</v>
      </c>
      <c r="H132">
        <v>4537.08</v>
      </c>
      <c r="I132">
        <v>4691.34</v>
      </c>
    </row>
    <row r="133" spans="1:9" x14ac:dyDescent="0.45">
      <c r="A133" s="989"/>
      <c r="B133" s="35" t="s">
        <v>111</v>
      </c>
      <c r="C133" s="35">
        <v>1</v>
      </c>
      <c r="D133" s="35" t="s">
        <v>160</v>
      </c>
      <c r="E133">
        <v>4319.25</v>
      </c>
      <c r="F133">
        <v>4373.24</v>
      </c>
      <c r="G133">
        <v>4530.68</v>
      </c>
      <c r="H133">
        <v>4698.32</v>
      </c>
      <c r="I133">
        <v>4858.0600000000004</v>
      </c>
    </row>
    <row r="134" spans="1:9" x14ac:dyDescent="0.45">
      <c r="A134" s="989"/>
      <c r="B134" s="35" t="s">
        <v>101</v>
      </c>
      <c r="C134" s="35">
        <v>2</v>
      </c>
      <c r="D134" s="35" t="s">
        <v>155</v>
      </c>
      <c r="E134">
        <v>4472.5600000000004</v>
      </c>
      <c r="F134">
        <v>4528.47</v>
      </c>
      <c r="G134">
        <v>4691.5</v>
      </c>
      <c r="H134">
        <v>4865.08</v>
      </c>
      <c r="I134">
        <v>5030.49</v>
      </c>
    </row>
    <row r="135" spans="1:9" x14ac:dyDescent="0.45">
      <c r="A135" s="989"/>
      <c r="B135" s="35" t="s">
        <v>99</v>
      </c>
      <c r="C135" s="35">
        <v>3</v>
      </c>
      <c r="D135" s="35" t="s">
        <v>154</v>
      </c>
      <c r="E135">
        <v>4630.93</v>
      </c>
      <c r="F135">
        <v>4688.8100000000004</v>
      </c>
      <c r="G135">
        <v>4857.6099999999997</v>
      </c>
      <c r="H135">
        <v>5037.34</v>
      </c>
      <c r="I135">
        <v>5208.6099999999997</v>
      </c>
    </row>
    <row r="136" spans="1:9" x14ac:dyDescent="0.45">
      <c r="A136" s="989"/>
      <c r="B136" s="35" t="s">
        <v>97</v>
      </c>
      <c r="C136" s="35">
        <v>4</v>
      </c>
      <c r="D136" s="35" t="s">
        <v>153</v>
      </c>
      <c r="E136">
        <v>4795.88</v>
      </c>
      <c r="F136">
        <v>4855.82</v>
      </c>
      <c r="G136">
        <v>5030.63</v>
      </c>
      <c r="H136">
        <v>5216.7700000000004</v>
      </c>
      <c r="I136">
        <v>5394.14</v>
      </c>
    </row>
    <row r="137" spans="1:9" x14ac:dyDescent="0.45">
      <c r="A137" s="989"/>
      <c r="B137" s="35" t="s">
        <v>95</v>
      </c>
      <c r="C137" s="35">
        <v>5</v>
      </c>
      <c r="D137" s="35" t="s">
        <v>152</v>
      </c>
      <c r="E137">
        <v>4965.8999999999996</v>
      </c>
      <c r="F137">
        <v>5027.9799999999996</v>
      </c>
      <c r="G137">
        <v>5208.9799999999996</v>
      </c>
      <c r="H137">
        <v>5401.72</v>
      </c>
      <c r="I137">
        <v>5585.38</v>
      </c>
    </row>
    <row r="138" spans="1:9" x14ac:dyDescent="0.45">
      <c r="A138" s="989"/>
      <c r="B138" s="35" t="s">
        <v>93</v>
      </c>
      <c r="C138" s="35">
        <v>6</v>
      </c>
      <c r="D138" s="35" t="s">
        <v>151</v>
      </c>
      <c r="E138">
        <v>5142.43</v>
      </c>
      <c r="F138">
        <v>5206.72</v>
      </c>
      <c r="G138">
        <v>5394.16</v>
      </c>
      <c r="H138">
        <v>5593.74</v>
      </c>
      <c r="I138">
        <v>5783.93</v>
      </c>
    </row>
    <row r="139" spans="1:9" x14ac:dyDescent="0.45">
      <c r="A139" s="989"/>
      <c r="B139" s="35" t="s">
        <v>91</v>
      </c>
      <c r="C139" s="35">
        <v>7</v>
      </c>
      <c r="D139" s="35" t="s">
        <v>150</v>
      </c>
      <c r="E139">
        <v>5324.82</v>
      </c>
      <c r="F139">
        <v>5391.39</v>
      </c>
      <c r="G139">
        <v>5585.48</v>
      </c>
      <c r="H139">
        <v>5792.14</v>
      </c>
      <c r="I139">
        <v>5989.07</v>
      </c>
    </row>
    <row r="140" spans="1:9" x14ac:dyDescent="0.45">
      <c r="A140" s="989"/>
      <c r="B140" s="35" t="s">
        <v>89</v>
      </c>
      <c r="C140" s="35">
        <v>8</v>
      </c>
      <c r="D140" s="35" t="s">
        <v>149</v>
      </c>
      <c r="E140">
        <v>5513.7</v>
      </c>
      <c r="F140">
        <v>5582.63</v>
      </c>
      <c r="G140">
        <v>5783.6</v>
      </c>
      <c r="H140">
        <v>5997.59</v>
      </c>
      <c r="I140">
        <v>6201.51</v>
      </c>
    </row>
    <row r="141" spans="1:9" x14ac:dyDescent="0.45">
      <c r="A141" s="989"/>
      <c r="B141" s="35" t="s">
        <v>87</v>
      </c>
      <c r="C141" s="35">
        <v>9</v>
      </c>
      <c r="D141" s="35" t="s">
        <v>148</v>
      </c>
      <c r="E141">
        <v>5709.14</v>
      </c>
      <c r="F141">
        <v>5780.5</v>
      </c>
      <c r="G141">
        <v>5988.6</v>
      </c>
      <c r="H141">
        <v>6210.18</v>
      </c>
      <c r="I141">
        <v>6421.33</v>
      </c>
    </row>
    <row r="142" spans="1:9" x14ac:dyDescent="0.45">
      <c r="A142" s="989"/>
      <c r="B142" s="35" t="s">
        <v>109</v>
      </c>
      <c r="C142" s="35">
        <v>10</v>
      </c>
      <c r="D142" s="35" t="s">
        <v>159</v>
      </c>
      <c r="E142">
        <v>5911.84</v>
      </c>
      <c r="F142">
        <v>5985.74</v>
      </c>
      <c r="G142">
        <v>6201.23</v>
      </c>
      <c r="H142">
        <v>6430.67</v>
      </c>
      <c r="I142">
        <v>6649.31</v>
      </c>
    </row>
    <row r="143" spans="1:9" x14ac:dyDescent="0.45">
      <c r="A143" s="989"/>
      <c r="B143" s="35" t="s">
        <v>107</v>
      </c>
      <c r="C143" s="35">
        <v>11</v>
      </c>
      <c r="D143" s="35" t="s">
        <v>158</v>
      </c>
      <c r="E143">
        <v>6121.78</v>
      </c>
      <c r="F143">
        <v>6198.3</v>
      </c>
      <c r="G143">
        <v>6421.44</v>
      </c>
      <c r="H143">
        <v>6659.04</v>
      </c>
      <c r="I143">
        <v>6885.44</v>
      </c>
    </row>
    <row r="144" spans="1:9" x14ac:dyDescent="0.45">
      <c r="A144" s="989"/>
      <c r="B144" s="35" t="s">
        <v>105</v>
      </c>
      <c r="C144" s="35">
        <v>12</v>
      </c>
      <c r="D144" s="35" t="s">
        <v>157</v>
      </c>
      <c r="E144">
        <v>6339.02</v>
      </c>
      <c r="F144">
        <v>6418.25</v>
      </c>
      <c r="G144">
        <v>6649.31</v>
      </c>
      <c r="H144">
        <v>6895.34</v>
      </c>
      <c r="I144">
        <v>7129.78</v>
      </c>
    </row>
    <row r="145" spans="1:9" x14ac:dyDescent="0.45">
      <c r="A145" s="989"/>
      <c r="B145" s="35" t="s">
        <v>103</v>
      </c>
      <c r="C145" s="35">
        <v>13</v>
      </c>
      <c r="D145" s="35" t="s">
        <v>156</v>
      </c>
      <c r="E145">
        <v>6564.26</v>
      </c>
      <c r="F145">
        <v>6646.31</v>
      </c>
      <c r="G145">
        <v>6885.58</v>
      </c>
      <c r="H145">
        <v>7140.34</v>
      </c>
      <c r="I145">
        <v>7383.11</v>
      </c>
    </row>
    <row r="146" spans="1:9" x14ac:dyDescent="0.45">
      <c r="A146" s="989"/>
      <c r="B146" s="35" t="s">
        <v>531</v>
      </c>
      <c r="C146" s="35">
        <v>14</v>
      </c>
      <c r="D146" s="35" t="s">
        <v>147</v>
      </c>
      <c r="E146">
        <v>6797.49</v>
      </c>
      <c r="F146">
        <v>6882.45</v>
      </c>
      <c r="G146">
        <v>7130.22</v>
      </c>
      <c r="H146">
        <v>7394.04</v>
      </c>
      <c r="I146">
        <v>7645.44</v>
      </c>
    </row>
    <row r="147" spans="1:9" x14ac:dyDescent="0.45">
      <c r="A147" s="990"/>
      <c r="B147" s="35" t="s">
        <v>533</v>
      </c>
      <c r="C147" s="35">
        <v>15</v>
      </c>
      <c r="D147" s="35" t="s">
        <v>146</v>
      </c>
      <c r="E147">
        <v>7038.68</v>
      </c>
      <c r="F147">
        <v>7126.66</v>
      </c>
      <c r="G147">
        <v>7383.22</v>
      </c>
      <c r="H147">
        <v>7656.4</v>
      </c>
      <c r="I147">
        <v>7916.72</v>
      </c>
    </row>
    <row r="148" spans="1:9" x14ac:dyDescent="0.45">
      <c r="A148" s="988">
        <v>13</v>
      </c>
      <c r="B148" s="35" t="s">
        <v>113</v>
      </c>
      <c r="C148" s="35">
        <v>0</v>
      </c>
      <c r="D148" s="35" t="s">
        <v>145</v>
      </c>
      <c r="E148">
        <v>4755.18</v>
      </c>
      <c r="F148">
        <v>4814.62</v>
      </c>
      <c r="G148">
        <v>4987.95</v>
      </c>
      <c r="H148">
        <v>5172.51</v>
      </c>
      <c r="I148">
        <v>5348.37</v>
      </c>
    </row>
    <row r="149" spans="1:9" x14ac:dyDescent="0.45">
      <c r="A149" s="989"/>
      <c r="B149" s="35" t="s">
        <v>111</v>
      </c>
      <c r="C149" s="35">
        <v>1</v>
      </c>
      <c r="D149" s="35" t="s">
        <v>144</v>
      </c>
      <c r="E149">
        <v>4926.66</v>
      </c>
      <c r="F149">
        <v>4988.24</v>
      </c>
      <c r="G149">
        <v>5167.82</v>
      </c>
      <c r="H149">
        <v>5359.03</v>
      </c>
      <c r="I149">
        <v>5541.24</v>
      </c>
    </row>
    <row r="150" spans="1:9" x14ac:dyDescent="0.45">
      <c r="A150" s="989"/>
      <c r="B150" s="35" t="s">
        <v>101</v>
      </c>
      <c r="C150" s="35">
        <v>2</v>
      </c>
      <c r="D150" s="35" t="s">
        <v>139</v>
      </c>
      <c r="E150">
        <v>5103.9399999999996</v>
      </c>
      <c r="F150">
        <v>5167.74</v>
      </c>
      <c r="G150">
        <v>5353.78</v>
      </c>
      <c r="H150">
        <v>5551.87</v>
      </c>
      <c r="I150">
        <v>5740.63</v>
      </c>
    </row>
    <row r="151" spans="1:9" x14ac:dyDescent="0.45">
      <c r="A151" s="989"/>
      <c r="B151" s="35" t="s">
        <v>99</v>
      </c>
      <c r="C151" s="35">
        <v>3</v>
      </c>
      <c r="D151" s="35" t="s">
        <v>138</v>
      </c>
      <c r="E151">
        <v>5287.74</v>
      </c>
      <c r="F151">
        <v>5353.84</v>
      </c>
      <c r="G151">
        <v>5546.58</v>
      </c>
      <c r="H151">
        <v>5751.8</v>
      </c>
      <c r="I151">
        <v>5947.36</v>
      </c>
    </row>
    <row r="152" spans="1:9" x14ac:dyDescent="0.45">
      <c r="A152" s="989"/>
      <c r="B152" s="35" t="s">
        <v>97</v>
      </c>
      <c r="C152" s="35">
        <v>4</v>
      </c>
      <c r="D152" s="35" t="s">
        <v>137</v>
      </c>
      <c r="E152">
        <v>5478.08</v>
      </c>
      <c r="F152">
        <v>5546.56</v>
      </c>
      <c r="G152">
        <v>5746.23</v>
      </c>
      <c r="H152">
        <v>5958.84</v>
      </c>
      <c r="I152">
        <v>6161.44</v>
      </c>
    </row>
    <row r="153" spans="1:9" x14ac:dyDescent="0.45">
      <c r="A153" s="989"/>
      <c r="B153" s="35" t="s">
        <v>95</v>
      </c>
      <c r="C153" s="35">
        <v>5</v>
      </c>
      <c r="D153" s="35" t="s">
        <v>136</v>
      </c>
      <c r="E153">
        <v>5674.98</v>
      </c>
      <c r="F153">
        <v>5745.91</v>
      </c>
      <c r="G153">
        <v>5952.77</v>
      </c>
      <c r="H153">
        <v>6173.02</v>
      </c>
      <c r="I153">
        <v>6382.9</v>
      </c>
    </row>
    <row r="154" spans="1:9" x14ac:dyDescent="0.45">
      <c r="A154" s="989"/>
      <c r="B154" s="35" t="s">
        <v>93</v>
      </c>
      <c r="C154" s="35">
        <v>6</v>
      </c>
      <c r="D154" s="35" t="s">
        <v>135</v>
      </c>
      <c r="E154">
        <v>5879.13</v>
      </c>
      <c r="F154">
        <v>5952.62</v>
      </c>
      <c r="G154">
        <v>6166.91</v>
      </c>
      <c r="H154">
        <v>6395.09</v>
      </c>
      <c r="I154">
        <v>6612.52</v>
      </c>
    </row>
    <row r="155" spans="1:9" x14ac:dyDescent="0.45">
      <c r="A155" s="989"/>
      <c r="B155" s="35" t="s">
        <v>91</v>
      </c>
      <c r="C155" s="35">
        <v>7</v>
      </c>
      <c r="D155" s="35" t="s">
        <v>134</v>
      </c>
      <c r="E155">
        <v>6091.29</v>
      </c>
      <c r="F155">
        <v>6167.44</v>
      </c>
      <c r="G155">
        <v>6389.46</v>
      </c>
      <c r="H155">
        <v>6625.87</v>
      </c>
      <c r="I155">
        <v>6851.15</v>
      </c>
    </row>
    <row r="156" spans="1:9" x14ac:dyDescent="0.45">
      <c r="A156" s="989"/>
      <c r="B156" s="35" t="s">
        <v>89</v>
      </c>
      <c r="C156" s="35">
        <v>8</v>
      </c>
      <c r="D156" s="35" t="s">
        <v>133</v>
      </c>
      <c r="E156">
        <v>6309.98</v>
      </c>
      <c r="F156">
        <v>6388.85</v>
      </c>
      <c r="G156">
        <v>6618.85</v>
      </c>
      <c r="H156">
        <v>6863.75</v>
      </c>
      <c r="I156">
        <v>7097.12</v>
      </c>
    </row>
    <row r="157" spans="1:9" x14ac:dyDescent="0.45">
      <c r="A157" s="989"/>
      <c r="B157" s="35" t="s">
        <v>87</v>
      </c>
      <c r="C157" s="35">
        <v>9</v>
      </c>
      <c r="D157" s="35" t="s">
        <v>132</v>
      </c>
      <c r="E157">
        <v>6537.39</v>
      </c>
      <c r="F157">
        <v>6619.11</v>
      </c>
      <c r="G157">
        <v>6857.39</v>
      </c>
      <c r="H157">
        <v>7111.12</v>
      </c>
      <c r="I157">
        <v>7352.9</v>
      </c>
    </row>
    <row r="158" spans="1:9" x14ac:dyDescent="0.45">
      <c r="A158" s="989"/>
      <c r="B158" s="35" t="s">
        <v>109</v>
      </c>
      <c r="C158" s="35">
        <v>10</v>
      </c>
      <c r="D158" s="35" t="s">
        <v>143</v>
      </c>
      <c r="E158">
        <v>6772.8</v>
      </c>
      <c r="F158">
        <v>6857.46</v>
      </c>
      <c r="G158">
        <v>7104.33</v>
      </c>
      <c r="H158">
        <v>7367.19</v>
      </c>
      <c r="I158">
        <v>7617.68</v>
      </c>
    </row>
    <row r="159" spans="1:9" x14ac:dyDescent="0.45">
      <c r="A159" s="989"/>
      <c r="B159" s="35" t="s">
        <v>107</v>
      </c>
      <c r="C159" s="35">
        <v>11</v>
      </c>
      <c r="D159" s="35" t="s">
        <v>142</v>
      </c>
      <c r="E159">
        <v>7016.89</v>
      </c>
      <c r="F159">
        <v>7104.6</v>
      </c>
      <c r="G159">
        <v>7360.37</v>
      </c>
      <c r="H159">
        <v>7632.7</v>
      </c>
      <c r="I159">
        <v>7892.22</v>
      </c>
    </row>
    <row r="160" spans="1:9" x14ac:dyDescent="0.45">
      <c r="A160" s="989"/>
      <c r="B160" s="35" t="s">
        <v>105</v>
      </c>
      <c r="C160" s="35">
        <v>12</v>
      </c>
      <c r="D160" s="35" t="s">
        <v>141</v>
      </c>
      <c r="E160">
        <v>7269.03</v>
      </c>
      <c r="F160">
        <v>7359.89</v>
      </c>
      <c r="G160">
        <v>7624.85</v>
      </c>
      <c r="H160">
        <v>7906.96</v>
      </c>
      <c r="I160">
        <v>8175.8</v>
      </c>
    </row>
    <row r="161" spans="1:9" x14ac:dyDescent="0.45">
      <c r="A161" s="989"/>
      <c r="B161" s="35" t="s">
        <v>103</v>
      </c>
      <c r="C161" s="35">
        <v>13</v>
      </c>
      <c r="D161" s="35" t="s">
        <v>140</v>
      </c>
      <c r="E161">
        <v>7530.56</v>
      </c>
      <c r="F161">
        <v>7624.69</v>
      </c>
      <c r="G161">
        <v>7899.18</v>
      </c>
      <c r="H161">
        <v>8191.45</v>
      </c>
      <c r="I161">
        <v>8469.9599999999991</v>
      </c>
    </row>
    <row r="162" spans="1:9" x14ac:dyDescent="0.45">
      <c r="A162" s="989"/>
      <c r="B162" s="35" t="s">
        <v>531</v>
      </c>
      <c r="C162" s="35">
        <v>14</v>
      </c>
      <c r="D162" s="35" t="s">
        <v>131</v>
      </c>
      <c r="E162">
        <v>7802.29</v>
      </c>
      <c r="F162">
        <v>7899.82</v>
      </c>
      <c r="G162">
        <v>8184.22</v>
      </c>
      <c r="H162">
        <v>8487.0300000000007</v>
      </c>
      <c r="I162">
        <v>8775.59</v>
      </c>
    </row>
    <row r="163" spans="1:9" x14ac:dyDescent="0.45">
      <c r="A163" s="990"/>
      <c r="B163" s="35" t="s">
        <v>533</v>
      </c>
      <c r="C163" s="35">
        <v>15</v>
      </c>
      <c r="D163" s="35" t="s">
        <v>130</v>
      </c>
      <c r="E163">
        <v>8082.73</v>
      </c>
      <c r="F163">
        <v>8183.76</v>
      </c>
      <c r="G163">
        <v>8478.3799999999992</v>
      </c>
      <c r="H163">
        <v>8792.08</v>
      </c>
      <c r="I163">
        <v>9091.01</v>
      </c>
    </row>
    <row r="164" spans="1:9" x14ac:dyDescent="0.45">
      <c r="A164" s="988">
        <v>14</v>
      </c>
      <c r="B164" s="35" t="s">
        <v>113</v>
      </c>
      <c r="C164" s="35">
        <v>0</v>
      </c>
      <c r="D164" s="35" t="s">
        <v>129</v>
      </c>
      <c r="E164">
        <v>5958.34</v>
      </c>
      <c r="F164">
        <v>6032.82</v>
      </c>
      <c r="G164">
        <v>6250</v>
      </c>
      <c r="H164">
        <v>6481.25</v>
      </c>
      <c r="I164">
        <v>6701.61</v>
      </c>
    </row>
    <row r="165" spans="1:9" x14ac:dyDescent="0.45">
      <c r="A165" s="989"/>
      <c r="B165" s="35" t="s">
        <v>111</v>
      </c>
      <c r="C165" s="35">
        <v>1</v>
      </c>
      <c r="D165" s="35" t="s">
        <v>128</v>
      </c>
      <c r="E165">
        <v>6175.54</v>
      </c>
      <c r="F165">
        <v>6252.74</v>
      </c>
      <c r="G165">
        <v>6477.84</v>
      </c>
      <c r="H165">
        <v>6717.52</v>
      </c>
      <c r="I165">
        <v>6945.91</v>
      </c>
    </row>
    <row r="166" spans="1:9" x14ac:dyDescent="0.45">
      <c r="A166" s="989"/>
      <c r="B166" s="35" t="s">
        <v>101</v>
      </c>
      <c r="C166" s="35">
        <v>2</v>
      </c>
      <c r="D166" s="35" t="s">
        <v>123</v>
      </c>
      <c r="E166">
        <v>6401.53</v>
      </c>
      <c r="F166">
        <v>6481.55</v>
      </c>
      <c r="G166">
        <v>6714.89</v>
      </c>
      <c r="H166">
        <v>6963.34</v>
      </c>
      <c r="I166">
        <v>7200.09</v>
      </c>
    </row>
    <row r="167" spans="1:9" x14ac:dyDescent="0.45">
      <c r="A167" s="989"/>
      <c r="B167" s="35" t="s">
        <v>99</v>
      </c>
      <c r="C167" s="35">
        <v>3</v>
      </c>
      <c r="D167" s="35" t="s">
        <v>122</v>
      </c>
      <c r="E167">
        <v>6634.72</v>
      </c>
      <c r="F167">
        <v>6717.66</v>
      </c>
      <c r="G167">
        <v>6959.49</v>
      </c>
      <c r="H167">
        <v>7216.99</v>
      </c>
      <c r="I167">
        <v>7462.37</v>
      </c>
    </row>
    <row r="168" spans="1:9" x14ac:dyDescent="0.45">
      <c r="A168" s="989"/>
      <c r="B168" s="35" t="s">
        <v>97</v>
      </c>
      <c r="C168" s="35">
        <v>4</v>
      </c>
      <c r="D168" s="35" t="s">
        <v>121</v>
      </c>
      <c r="E168">
        <v>6877.39</v>
      </c>
      <c r="F168">
        <v>6963.36</v>
      </c>
      <c r="G168">
        <v>7214.04</v>
      </c>
      <c r="H168">
        <v>7480.96</v>
      </c>
      <c r="I168">
        <v>7735.31</v>
      </c>
    </row>
    <row r="169" spans="1:9" x14ac:dyDescent="0.45">
      <c r="A169" s="989"/>
      <c r="B169" s="35" t="s">
        <v>95</v>
      </c>
      <c r="C169" s="35">
        <v>5</v>
      </c>
      <c r="D169" s="35" t="s">
        <v>120</v>
      </c>
      <c r="E169">
        <v>7128.05</v>
      </c>
      <c r="F169">
        <v>7217.15</v>
      </c>
      <c r="G169">
        <v>7476.97</v>
      </c>
      <c r="H169">
        <v>7753.62</v>
      </c>
      <c r="I169">
        <v>8017.24</v>
      </c>
    </row>
    <row r="170" spans="1:9" x14ac:dyDescent="0.45">
      <c r="A170" s="989"/>
      <c r="B170" s="35" t="s">
        <v>93</v>
      </c>
      <c r="C170" s="35">
        <v>6</v>
      </c>
      <c r="D170" s="35" t="s">
        <v>119</v>
      </c>
      <c r="E170">
        <v>7388.16</v>
      </c>
      <c r="F170">
        <v>7480.51</v>
      </c>
      <c r="G170">
        <v>7749.81</v>
      </c>
      <c r="H170">
        <v>8036.56</v>
      </c>
      <c r="I170">
        <v>8309.7999999999993</v>
      </c>
    </row>
    <row r="171" spans="1:9" x14ac:dyDescent="0.45">
      <c r="A171" s="989"/>
      <c r="B171" s="35" t="s">
        <v>91</v>
      </c>
      <c r="C171" s="35">
        <v>7</v>
      </c>
      <c r="D171" s="35" t="s">
        <v>118</v>
      </c>
      <c r="E171">
        <v>7657.7</v>
      </c>
      <c r="F171">
        <v>7753.42</v>
      </c>
      <c r="G171">
        <v>8032.54</v>
      </c>
      <c r="H171">
        <v>8329.75</v>
      </c>
      <c r="I171">
        <v>8612.9599999999991</v>
      </c>
    </row>
    <row r="172" spans="1:9" x14ac:dyDescent="0.45">
      <c r="A172" s="989"/>
      <c r="B172" s="35" t="s">
        <v>89</v>
      </c>
      <c r="C172" s="35">
        <v>8</v>
      </c>
      <c r="D172" s="35" t="s">
        <v>117</v>
      </c>
      <c r="E172">
        <v>7937.41</v>
      </c>
      <c r="F172">
        <v>8036.63</v>
      </c>
      <c r="G172">
        <v>8325.9500000000007</v>
      </c>
      <c r="H172">
        <v>8634.01</v>
      </c>
      <c r="I172">
        <v>8927.56</v>
      </c>
    </row>
    <row r="173" spans="1:9" x14ac:dyDescent="0.45">
      <c r="A173" s="989"/>
      <c r="B173" s="35" t="s">
        <v>87</v>
      </c>
      <c r="C173" s="35">
        <v>9</v>
      </c>
      <c r="D173" s="35" t="s">
        <v>116</v>
      </c>
      <c r="E173">
        <v>8227.31</v>
      </c>
      <c r="F173">
        <v>8330.15</v>
      </c>
      <c r="G173">
        <v>8630.0400000000009</v>
      </c>
      <c r="H173">
        <v>8949.35</v>
      </c>
      <c r="I173">
        <v>9253.6299999999992</v>
      </c>
    </row>
    <row r="174" spans="1:9" x14ac:dyDescent="0.45">
      <c r="A174" s="989"/>
      <c r="B174" s="35" t="s">
        <v>109</v>
      </c>
      <c r="C174" s="35">
        <v>10</v>
      </c>
      <c r="D174" s="35" t="s">
        <v>127</v>
      </c>
      <c r="E174">
        <v>8527.36</v>
      </c>
      <c r="F174">
        <v>8633.9500000000007</v>
      </c>
      <c r="G174">
        <v>8944.7800000000007</v>
      </c>
      <c r="H174">
        <v>9275.73</v>
      </c>
      <c r="I174">
        <v>9591.11</v>
      </c>
    </row>
    <row r="175" spans="1:9" x14ac:dyDescent="0.45">
      <c r="A175" s="989"/>
      <c r="B175" s="35" t="s">
        <v>107</v>
      </c>
      <c r="C175" s="35">
        <v>11</v>
      </c>
      <c r="D175" s="35" t="s">
        <v>126</v>
      </c>
      <c r="E175">
        <v>8838.35</v>
      </c>
      <c r="F175">
        <v>8948.83</v>
      </c>
      <c r="G175">
        <v>9270.99</v>
      </c>
      <c r="H175">
        <v>9614.02</v>
      </c>
      <c r="I175">
        <v>9940.89</v>
      </c>
    </row>
    <row r="176" spans="1:9" x14ac:dyDescent="0.45">
      <c r="A176" s="989"/>
      <c r="B176" s="35" t="s">
        <v>105</v>
      </c>
      <c r="C176" s="35">
        <v>12</v>
      </c>
      <c r="D176" s="35" t="s">
        <v>125</v>
      </c>
      <c r="E176">
        <v>9161.6200000000008</v>
      </c>
      <c r="F176">
        <v>9276.14</v>
      </c>
      <c r="G176">
        <v>9610.09</v>
      </c>
      <c r="H176">
        <v>9965.66</v>
      </c>
      <c r="I176">
        <v>10304.49</v>
      </c>
    </row>
    <row r="177" spans="1:9" x14ac:dyDescent="0.45">
      <c r="A177" s="989"/>
      <c r="B177" s="35" t="s">
        <v>103</v>
      </c>
      <c r="C177" s="35">
        <v>13</v>
      </c>
      <c r="D177" s="35" t="s">
        <v>124</v>
      </c>
      <c r="E177">
        <v>9495.86</v>
      </c>
      <c r="F177">
        <v>9614.56</v>
      </c>
      <c r="G177">
        <v>9960.69</v>
      </c>
      <c r="H177">
        <v>10329.23</v>
      </c>
      <c r="I177">
        <v>10680.42</v>
      </c>
    </row>
    <row r="178" spans="1:9" x14ac:dyDescent="0.45">
      <c r="A178" s="989"/>
      <c r="B178" s="35" t="s">
        <v>531</v>
      </c>
      <c r="C178" s="35">
        <v>14</v>
      </c>
      <c r="D178" s="35" t="s">
        <v>115</v>
      </c>
      <c r="E178">
        <v>0</v>
      </c>
      <c r="F178">
        <v>0</v>
      </c>
      <c r="G178">
        <v>0</v>
      </c>
      <c r="H178">
        <v>0</v>
      </c>
      <c r="I178">
        <v>0</v>
      </c>
    </row>
    <row r="179" spans="1:9" x14ac:dyDescent="0.45">
      <c r="A179" s="990"/>
      <c r="B179" s="35" t="s">
        <v>533</v>
      </c>
      <c r="C179" s="35">
        <v>15</v>
      </c>
      <c r="D179" s="35" t="s">
        <v>114</v>
      </c>
      <c r="E179">
        <v>0</v>
      </c>
      <c r="F179">
        <v>0</v>
      </c>
      <c r="G179">
        <v>0</v>
      </c>
      <c r="H179">
        <v>0</v>
      </c>
      <c r="I179">
        <v>0</v>
      </c>
    </row>
    <row r="180" spans="1:9" x14ac:dyDescent="0.45">
      <c r="A180" s="988">
        <v>15</v>
      </c>
      <c r="B180" s="35" t="s">
        <v>113</v>
      </c>
      <c r="C180" s="35">
        <v>0</v>
      </c>
      <c r="D180" s="35" t="s">
        <v>112</v>
      </c>
      <c r="E180">
        <v>6923.9</v>
      </c>
      <c r="F180">
        <v>7010.45</v>
      </c>
      <c r="G180">
        <v>7262.83</v>
      </c>
      <c r="H180">
        <v>7531.55</v>
      </c>
      <c r="I180">
        <v>7787.62</v>
      </c>
    </row>
    <row r="181" spans="1:9" x14ac:dyDescent="0.45">
      <c r="A181" s="989"/>
      <c r="B181" s="35" t="s">
        <v>111</v>
      </c>
      <c r="C181" s="35">
        <v>1</v>
      </c>
      <c r="D181" s="35" t="s">
        <v>110</v>
      </c>
      <c r="E181">
        <v>7180.38</v>
      </c>
      <c r="F181">
        <v>7270.13</v>
      </c>
      <c r="G181">
        <v>7531.86</v>
      </c>
      <c r="H181">
        <v>7810.54</v>
      </c>
      <c r="I181">
        <v>8076.1</v>
      </c>
    </row>
    <row r="182" spans="1:9" x14ac:dyDescent="0.45">
      <c r="A182" s="989"/>
      <c r="B182" s="35" t="s">
        <v>101</v>
      </c>
      <c r="C182" s="35">
        <v>2</v>
      </c>
      <c r="D182" s="35" t="s">
        <v>100</v>
      </c>
      <c r="E182">
        <v>7445.56</v>
      </c>
      <c r="F182">
        <v>7538.63</v>
      </c>
      <c r="G182">
        <v>7810.02</v>
      </c>
      <c r="H182">
        <v>8098.99</v>
      </c>
      <c r="I182">
        <v>8374.35</v>
      </c>
    </row>
    <row r="183" spans="1:9" x14ac:dyDescent="0.45">
      <c r="A183" s="989"/>
      <c r="B183" s="35" t="s">
        <v>99</v>
      </c>
      <c r="C183" s="35">
        <v>3</v>
      </c>
      <c r="D183" s="35" t="s">
        <v>98</v>
      </c>
      <c r="E183">
        <v>7720.9</v>
      </c>
      <c r="F183">
        <v>7817.41</v>
      </c>
      <c r="G183">
        <v>8098.84</v>
      </c>
      <c r="H183">
        <v>8398.49</v>
      </c>
      <c r="I183">
        <v>8684.0400000000009</v>
      </c>
    </row>
    <row r="184" spans="1:9" x14ac:dyDescent="0.45">
      <c r="A184" s="989"/>
      <c r="B184" s="35" t="s">
        <v>97</v>
      </c>
      <c r="C184" s="35">
        <v>4</v>
      </c>
      <c r="D184" s="35" t="s">
        <v>96</v>
      </c>
      <c r="E184">
        <v>8007.15</v>
      </c>
      <c r="F184">
        <v>8107.24</v>
      </c>
      <c r="G184">
        <v>8399.1</v>
      </c>
      <c r="H184">
        <v>8709.8700000000008</v>
      </c>
      <c r="I184">
        <v>9006.01</v>
      </c>
    </row>
    <row r="185" spans="1:9" x14ac:dyDescent="0.45">
      <c r="A185" s="989"/>
      <c r="B185" s="35" t="s">
        <v>95</v>
      </c>
      <c r="C185" s="35">
        <v>5</v>
      </c>
      <c r="D185" s="35" t="s">
        <v>94</v>
      </c>
      <c r="E185">
        <v>8302.8700000000008</v>
      </c>
      <c r="F185">
        <v>8406.66</v>
      </c>
      <c r="G185">
        <v>8709.2999999999993</v>
      </c>
      <c r="H185">
        <v>9031.5400000000009</v>
      </c>
      <c r="I185">
        <v>9338.6200000000008</v>
      </c>
    </row>
    <row r="186" spans="1:9" x14ac:dyDescent="0.45">
      <c r="A186" s="989"/>
      <c r="B186" s="35" t="s">
        <v>93</v>
      </c>
      <c r="C186" s="35">
        <v>6</v>
      </c>
      <c r="D186" s="35" t="s">
        <v>92</v>
      </c>
      <c r="E186">
        <v>8610.19</v>
      </c>
      <c r="F186">
        <v>8717.82</v>
      </c>
      <c r="G186">
        <v>9031.66</v>
      </c>
      <c r="H186">
        <v>9365.83</v>
      </c>
      <c r="I186">
        <v>9684.27</v>
      </c>
    </row>
    <row r="187" spans="1:9" x14ac:dyDescent="0.45">
      <c r="A187" s="989"/>
      <c r="B187" s="35" t="s">
        <v>91</v>
      </c>
      <c r="C187" s="35">
        <v>7</v>
      </c>
      <c r="D187" s="35" t="s">
        <v>90</v>
      </c>
      <c r="E187">
        <v>8929.16</v>
      </c>
      <c r="F187">
        <v>9040.77</v>
      </c>
      <c r="G187">
        <v>9366.24</v>
      </c>
      <c r="H187">
        <v>9712.7900000000009</v>
      </c>
      <c r="I187">
        <v>10043.030000000001</v>
      </c>
    </row>
    <row r="188" spans="1:9" x14ac:dyDescent="0.45">
      <c r="A188" s="989"/>
      <c r="B188" s="35" t="s">
        <v>89</v>
      </c>
      <c r="C188" s="35">
        <v>8</v>
      </c>
      <c r="D188" s="35" t="s">
        <v>88</v>
      </c>
      <c r="E188">
        <v>9259.7099999999991</v>
      </c>
      <c r="F188">
        <v>9375.4599999999991</v>
      </c>
      <c r="G188">
        <v>9712.9699999999993</v>
      </c>
      <c r="H188">
        <v>10072.35</v>
      </c>
      <c r="I188">
        <v>10414.81</v>
      </c>
    </row>
    <row r="189" spans="1:9" x14ac:dyDescent="0.45">
      <c r="A189" s="989"/>
      <c r="B189" s="35" t="s">
        <v>87</v>
      </c>
      <c r="C189" s="35">
        <v>9</v>
      </c>
      <c r="D189" s="35" t="s">
        <v>86</v>
      </c>
      <c r="E189">
        <v>9601.91</v>
      </c>
      <c r="F189">
        <v>9721.94</v>
      </c>
      <c r="G189">
        <v>10071.93</v>
      </c>
      <c r="H189">
        <v>10444.59</v>
      </c>
      <c r="I189">
        <v>10799.7</v>
      </c>
    </row>
    <row r="190" spans="1:9" x14ac:dyDescent="0.45">
      <c r="A190" s="989"/>
      <c r="B190" s="35" t="s">
        <v>109</v>
      </c>
      <c r="C190" s="35">
        <v>10</v>
      </c>
      <c r="D190" s="35" t="s">
        <v>108</v>
      </c>
      <c r="E190">
        <v>9957.19</v>
      </c>
      <c r="F190">
        <v>10081.65</v>
      </c>
      <c r="G190">
        <v>10444.59</v>
      </c>
      <c r="H190">
        <v>10831.04</v>
      </c>
      <c r="I190">
        <v>11199.3</v>
      </c>
    </row>
    <row r="191" spans="1:9" x14ac:dyDescent="0.45">
      <c r="A191" s="989"/>
      <c r="B191" s="35" t="s">
        <v>107</v>
      </c>
      <c r="C191" s="35">
        <v>11</v>
      </c>
      <c r="D191" s="35" t="s">
        <v>106</v>
      </c>
      <c r="E191">
        <v>10325.56</v>
      </c>
      <c r="F191">
        <v>10454.629999999999</v>
      </c>
      <c r="G191">
        <v>10831</v>
      </c>
      <c r="H191">
        <v>11231.74</v>
      </c>
      <c r="I191">
        <v>11613.62</v>
      </c>
    </row>
    <row r="192" spans="1:9" x14ac:dyDescent="0.45">
      <c r="A192" s="989"/>
      <c r="B192" s="35" t="s">
        <v>105</v>
      </c>
      <c r="C192" s="35">
        <v>12</v>
      </c>
      <c r="D192" s="35" t="s">
        <v>104</v>
      </c>
      <c r="E192">
        <v>10707.7</v>
      </c>
      <c r="F192">
        <v>10841.55</v>
      </c>
      <c r="G192">
        <v>11231.84</v>
      </c>
      <c r="H192">
        <v>11647.42</v>
      </c>
      <c r="I192">
        <v>12043.44</v>
      </c>
    </row>
    <row r="193" spans="1:9" x14ac:dyDescent="0.45">
      <c r="A193" s="989"/>
      <c r="B193" s="35" t="s">
        <v>103</v>
      </c>
      <c r="C193" s="35">
        <v>13</v>
      </c>
      <c r="D193" s="35" t="s">
        <v>102</v>
      </c>
      <c r="E193">
        <v>11103.65</v>
      </c>
      <c r="F193">
        <v>11242.45</v>
      </c>
      <c r="G193">
        <v>11647.18</v>
      </c>
      <c r="H193">
        <v>12078.12</v>
      </c>
      <c r="I193">
        <v>12488.78</v>
      </c>
    </row>
    <row r="194" spans="1:9" x14ac:dyDescent="0.45">
      <c r="A194" s="989"/>
      <c r="B194" s="35" t="s">
        <v>531</v>
      </c>
      <c r="C194" s="35">
        <v>14</v>
      </c>
      <c r="D194" s="35" t="s">
        <v>84</v>
      </c>
      <c r="E194">
        <v>0</v>
      </c>
      <c r="F194">
        <v>0</v>
      </c>
      <c r="G194">
        <v>0</v>
      </c>
      <c r="H194">
        <v>0</v>
      </c>
      <c r="I194">
        <v>0</v>
      </c>
    </row>
    <row r="195" spans="1:9" x14ac:dyDescent="0.45">
      <c r="A195" s="990"/>
      <c r="B195" s="35" t="s">
        <v>533</v>
      </c>
      <c r="C195" s="35">
        <v>15</v>
      </c>
      <c r="D195" s="35" t="s">
        <v>82</v>
      </c>
      <c r="E195">
        <v>0</v>
      </c>
      <c r="F195">
        <v>0</v>
      </c>
      <c r="G195">
        <v>0</v>
      </c>
      <c r="H195">
        <v>0</v>
      </c>
      <c r="I195">
        <v>0</v>
      </c>
    </row>
  </sheetData>
  <mergeCells count="12">
    <mergeCell ref="A4:A19"/>
    <mergeCell ref="A132:A147"/>
    <mergeCell ref="A148:A163"/>
    <mergeCell ref="A180:A195"/>
    <mergeCell ref="A164:A179"/>
    <mergeCell ref="A100:A115"/>
    <mergeCell ref="A20:A35"/>
    <mergeCell ref="A36:A51"/>
    <mergeCell ref="A68:A83"/>
    <mergeCell ref="A116:A131"/>
    <mergeCell ref="A52:A67"/>
    <mergeCell ref="A84:A9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sheetPr>
  <dimension ref="A1:G195"/>
  <sheetViews>
    <sheetView zoomScale="70" zoomScaleNormal="70" workbookViewId="0">
      <selection activeCell="B34" sqref="B34"/>
    </sheetView>
  </sheetViews>
  <sheetFormatPr defaultRowHeight="14.25" x14ac:dyDescent="0.45"/>
  <sheetData>
    <row r="1" spans="1:7" x14ac:dyDescent="0.45">
      <c r="D1" s="35" t="s">
        <v>297</v>
      </c>
      <c r="E1" s="35" t="s">
        <v>296</v>
      </c>
      <c r="F1" s="35" t="s">
        <v>295</v>
      </c>
      <c r="G1" s="35" t="s">
        <v>294</v>
      </c>
    </row>
    <row r="2" spans="1:7" x14ac:dyDescent="0.45">
      <c r="D2" s="35"/>
      <c r="E2" s="35" t="s">
        <v>293</v>
      </c>
      <c r="F2" s="35" t="s">
        <v>293</v>
      </c>
      <c r="G2" s="35" t="s">
        <v>293</v>
      </c>
    </row>
    <row r="3" spans="1:7" x14ac:dyDescent="0.45">
      <c r="A3" s="35" t="s">
        <v>28</v>
      </c>
      <c r="B3" s="35" t="s">
        <v>292</v>
      </c>
      <c r="C3" s="35" t="s">
        <v>291</v>
      </c>
      <c r="D3" s="35" t="s">
        <v>290</v>
      </c>
    </row>
    <row r="4" spans="1:7" x14ac:dyDescent="0.45">
      <c r="A4" s="988">
        <v>4</v>
      </c>
      <c r="B4" s="35">
        <v>0</v>
      </c>
      <c r="C4" s="35">
        <v>0</v>
      </c>
      <c r="D4" s="35" t="s">
        <v>289</v>
      </c>
      <c r="E4">
        <v>2340</v>
      </c>
      <c r="F4">
        <v>2369.25</v>
      </c>
      <c r="G4">
        <v>2454.54</v>
      </c>
    </row>
    <row r="5" spans="1:7" x14ac:dyDescent="0.45">
      <c r="A5" s="989"/>
      <c r="B5" s="35">
        <v>1</v>
      </c>
      <c r="C5" s="35">
        <v>1</v>
      </c>
      <c r="D5" s="35" t="s">
        <v>288</v>
      </c>
      <c r="E5">
        <v>2340</v>
      </c>
      <c r="F5">
        <v>2369.25</v>
      </c>
      <c r="G5">
        <v>2454.54</v>
      </c>
    </row>
    <row r="6" spans="1:7" x14ac:dyDescent="0.45">
      <c r="A6" s="989"/>
      <c r="B6" s="35">
        <v>2</v>
      </c>
      <c r="C6" s="35">
        <v>2</v>
      </c>
      <c r="D6" s="35" t="s">
        <v>283</v>
      </c>
      <c r="E6">
        <v>2392.52</v>
      </c>
      <c r="F6">
        <v>2422.4299999999998</v>
      </c>
      <c r="G6">
        <v>2509.64</v>
      </c>
    </row>
    <row r="7" spans="1:7" x14ac:dyDescent="0.45">
      <c r="A7" s="989"/>
      <c r="B7" s="35" t="s">
        <v>99</v>
      </c>
      <c r="C7" s="35">
        <v>3</v>
      </c>
      <c r="D7" s="35" t="s">
        <v>282</v>
      </c>
      <c r="E7">
        <v>2468.0300000000002</v>
      </c>
      <c r="F7">
        <v>2498.88</v>
      </c>
      <c r="G7">
        <v>2588.84</v>
      </c>
    </row>
    <row r="8" spans="1:7" x14ac:dyDescent="0.45">
      <c r="A8" s="989"/>
      <c r="B8" s="35" t="s">
        <v>97</v>
      </c>
      <c r="C8" s="35">
        <v>4</v>
      </c>
      <c r="D8" s="35" t="s">
        <v>281</v>
      </c>
      <c r="E8">
        <v>2545.7600000000002</v>
      </c>
      <c r="F8">
        <v>2577.59</v>
      </c>
      <c r="G8">
        <v>2670.38</v>
      </c>
    </row>
    <row r="9" spans="1:7" x14ac:dyDescent="0.45">
      <c r="A9" s="989"/>
      <c r="B9" s="35" t="s">
        <v>95</v>
      </c>
      <c r="C9" s="35">
        <v>5</v>
      </c>
      <c r="D9" s="35" t="s">
        <v>280</v>
      </c>
      <c r="E9">
        <v>2625.68</v>
      </c>
      <c r="F9">
        <v>2658.5</v>
      </c>
      <c r="G9">
        <v>2754.21</v>
      </c>
    </row>
    <row r="10" spans="1:7" x14ac:dyDescent="0.45">
      <c r="A10" s="989"/>
      <c r="B10" s="35" t="s">
        <v>93</v>
      </c>
      <c r="C10" s="35">
        <v>6</v>
      </c>
      <c r="D10" s="35" t="s">
        <v>279</v>
      </c>
      <c r="E10">
        <v>2708.51</v>
      </c>
      <c r="F10">
        <v>2742.37</v>
      </c>
      <c r="G10">
        <v>2841.09</v>
      </c>
    </row>
    <row r="11" spans="1:7" x14ac:dyDescent="0.45">
      <c r="A11" s="989"/>
      <c r="B11" s="35" t="s">
        <v>91</v>
      </c>
      <c r="C11" s="35">
        <v>7</v>
      </c>
      <c r="D11" s="35" t="s">
        <v>278</v>
      </c>
      <c r="E11">
        <v>2793.51</v>
      </c>
      <c r="F11">
        <v>2828.43</v>
      </c>
      <c r="G11">
        <v>2930.26</v>
      </c>
    </row>
    <row r="12" spans="1:7" x14ac:dyDescent="0.45">
      <c r="A12" s="989"/>
      <c r="B12" s="35" t="s">
        <v>89</v>
      </c>
      <c r="C12" s="35">
        <v>8</v>
      </c>
      <c r="D12" s="35" t="s">
        <v>277</v>
      </c>
      <c r="E12">
        <v>2882.2</v>
      </c>
      <c r="F12">
        <v>2918.23</v>
      </c>
      <c r="G12">
        <v>3023.29</v>
      </c>
    </row>
    <row r="13" spans="1:7" x14ac:dyDescent="0.45">
      <c r="A13" s="989"/>
      <c r="B13" s="35" t="s">
        <v>87</v>
      </c>
      <c r="C13" s="35">
        <v>9</v>
      </c>
      <c r="D13" s="35" t="s">
        <v>276</v>
      </c>
      <c r="E13">
        <v>2972.98</v>
      </c>
      <c r="F13">
        <v>3010.14</v>
      </c>
      <c r="G13">
        <v>3118.51</v>
      </c>
    </row>
    <row r="14" spans="1:7" x14ac:dyDescent="0.45">
      <c r="A14" s="989"/>
      <c r="B14" s="35" t="s">
        <v>109</v>
      </c>
      <c r="C14" s="35">
        <v>10</v>
      </c>
      <c r="D14" s="35" t="s">
        <v>287</v>
      </c>
      <c r="E14">
        <v>3065.97</v>
      </c>
      <c r="F14">
        <v>3104.3</v>
      </c>
      <c r="G14">
        <v>3216.05</v>
      </c>
    </row>
    <row r="15" spans="1:7" x14ac:dyDescent="0.45">
      <c r="A15" s="989"/>
      <c r="B15" s="35" t="s">
        <v>107</v>
      </c>
      <c r="C15" s="35">
        <v>11</v>
      </c>
      <c r="D15" s="35" t="s">
        <v>286</v>
      </c>
      <c r="E15">
        <v>0</v>
      </c>
      <c r="F15">
        <v>0</v>
      </c>
      <c r="G15">
        <v>0</v>
      </c>
    </row>
    <row r="16" spans="1:7" x14ac:dyDescent="0.45">
      <c r="A16" s="989"/>
      <c r="B16" s="35" t="s">
        <v>105</v>
      </c>
      <c r="C16" s="35">
        <v>12</v>
      </c>
      <c r="D16" s="35" t="s">
        <v>285</v>
      </c>
      <c r="E16">
        <v>0</v>
      </c>
      <c r="F16">
        <v>0</v>
      </c>
      <c r="G16">
        <v>0</v>
      </c>
    </row>
    <row r="17" spans="1:7" x14ac:dyDescent="0.45">
      <c r="A17" s="989"/>
      <c r="B17" s="35" t="s">
        <v>103</v>
      </c>
      <c r="C17" s="35">
        <v>13</v>
      </c>
      <c r="D17" s="35" t="s">
        <v>284</v>
      </c>
      <c r="E17">
        <v>0</v>
      </c>
      <c r="F17">
        <v>0</v>
      </c>
      <c r="G17">
        <v>0</v>
      </c>
    </row>
    <row r="18" spans="1:7" x14ac:dyDescent="0.45">
      <c r="A18" s="989"/>
      <c r="B18" s="35" t="s">
        <v>85</v>
      </c>
      <c r="C18" s="35">
        <v>14</v>
      </c>
      <c r="D18" s="35" t="s">
        <v>275</v>
      </c>
      <c r="E18">
        <v>3162.64</v>
      </c>
      <c r="F18">
        <v>3202.17</v>
      </c>
      <c r="G18">
        <v>3317.45</v>
      </c>
    </row>
    <row r="19" spans="1:7" x14ac:dyDescent="0.45">
      <c r="A19" s="990"/>
      <c r="B19" s="35" t="s">
        <v>83</v>
      </c>
      <c r="C19" s="35">
        <v>15</v>
      </c>
      <c r="D19" s="35" t="s">
        <v>274</v>
      </c>
      <c r="E19">
        <v>3262.16</v>
      </c>
      <c r="F19">
        <v>3302.94</v>
      </c>
      <c r="G19">
        <v>3421.84</v>
      </c>
    </row>
    <row r="20" spans="1:7" x14ac:dyDescent="0.45">
      <c r="A20" s="988">
        <v>5</v>
      </c>
      <c r="B20" s="35" t="s">
        <v>113</v>
      </c>
      <c r="C20" s="35">
        <v>0</v>
      </c>
      <c r="D20" s="35" t="s">
        <v>273</v>
      </c>
      <c r="E20">
        <v>2340</v>
      </c>
      <c r="F20">
        <v>2369.25</v>
      </c>
      <c r="G20">
        <v>2454.54</v>
      </c>
    </row>
    <row r="21" spans="1:7" x14ac:dyDescent="0.45">
      <c r="A21" s="989"/>
      <c r="B21" s="35" t="s">
        <v>111</v>
      </c>
      <c r="C21" s="35">
        <v>1</v>
      </c>
      <c r="D21" s="35" t="s">
        <v>272</v>
      </c>
      <c r="E21">
        <v>2402.66</v>
      </c>
      <c r="F21">
        <v>2432.69</v>
      </c>
      <c r="G21">
        <v>2520.27</v>
      </c>
    </row>
    <row r="22" spans="1:7" x14ac:dyDescent="0.45">
      <c r="A22" s="989"/>
      <c r="B22" s="35" t="s">
        <v>101</v>
      </c>
      <c r="C22" s="35">
        <v>2</v>
      </c>
      <c r="D22" s="35" t="s">
        <v>267</v>
      </c>
      <c r="E22">
        <v>2478.96</v>
      </c>
      <c r="F22">
        <v>2509.94</v>
      </c>
      <c r="G22">
        <v>2600.3000000000002</v>
      </c>
    </row>
    <row r="23" spans="1:7" x14ac:dyDescent="0.45">
      <c r="A23" s="989"/>
      <c r="B23" s="35" t="s">
        <v>99</v>
      </c>
      <c r="C23" s="35">
        <v>3</v>
      </c>
      <c r="D23" s="35" t="s">
        <v>266</v>
      </c>
      <c r="E23">
        <v>2558.86</v>
      </c>
      <c r="F23">
        <v>2590.85</v>
      </c>
      <c r="G23">
        <v>2684.12</v>
      </c>
    </row>
    <row r="24" spans="1:7" x14ac:dyDescent="0.45">
      <c r="A24" s="989"/>
      <c r="B24" s="35" t="s">
        <v>97</v>
      </c>
      <c r="C24" s="35">
        <v>4</v>
      </c>
      <c r="D24" s="35" t="s">
        <v>265</v>
      </c>
      <c r="E24">
        <v>2640.27</v>
      </c>
      <c r="F24">
        <v>2673.27</v>
      </c>
      <c r="G24">
        <v>2769.51</v>
      </c>
    </row>
    <row r="25" spans="1:7" x14ac:dyDescent="0.45">
      <c r="A25" s="989"/>
      <c r="B25" s="35" t="s">
        <v>95</v>
      </c>
      <c r="C25" s="35">
        <v>5</v>
      </c>
      <c r="D25" s="35" t="s">
        <v>264</v>
      </c>
      <c r="E25">
        <v>2725.22</v>
      </c>
      <c r="F25">
        <v>2759.28</v>
      </c>
      <c r="G25">
        <v>2858.62</v>
      </c>
    </row>
    <row r="26" spans="1:7" x14ac:dyDescent="0.45">
      <c r="A26" s="989"/>
      <c r="B26" s="35" t="s">
        <v>93</v>
      </c>
      <c r="C26" s="35">
        <v>6</v>
      </c>
      <c r="D26" s="35" t="s">
        <v>263</v>
      </c>
      <c r="E26">
        <v>2812.43</v>
      </c>
      <c r="F26">
        <v>2847.59</v>
      </c>
      <c r="G26">
        <v>2950.1</v>
      </c>
    </row>
    <row r="27" spans="1:7" x14ac:dyDescent="0.45">
      <c r="A27" s="989"/>
      <c r="B27" s="35" t="s">
        <v>91</v>
      </c>
      <c r="C27" s="35">
        <v>7</v>
      </c>
      <c r="D27" s="35" t="s">
        <v>262</v>
      </c>
      <c r="E27">
        <v>2901.8</v>
      </c>
      <c r="F27">
        <v>2938.08</v>
      </c>
      <c r="G27">
        <v>3043.85</v>
      </c>
    </row>
    <row r="28" spans="1:7" x14ac:dyDescent="0.45">
      <c r="A28" s="989"/>
      <c r="B28" s="35" t="s">
        <v>89</v>
      </c>
      <c r="C28" s="35">
        <v>8</v>
      </c>
      <c r="D28" s="35" t="s">
        <v>261</v>
      </c>
      <c r="E28">
        <v>2994.81</v>
      </c>
      <c r="F28">
        <v>3032.24</v>
      </c>
      <c r="G28">
        <v>3141.4</v>
      </c>
    </row>
    <row r="29" spans="1:7" x14ac:dyDescent="0.45">
      <c r="A29" s="989"/>
      <c r="B29" s="35" t="s">
        <v>87</v>
      </c>
      <c r="C29" s="35">
        <v>9</v>
      </c>
      <c r="D29" s="35" t="s">
        <v>260</v>
      </c>
      <c r="E29">
        <v>3090.68</v>
      </c>
      <c r="F29">
        <v>3129.32</v>
      </c>
      <c r="G29">
        <v>3241.97</v>
      </c>
    </row>
    <row r="30" spans="1:7" x14ac:dyDescent="0.45">
      <c r="A30" s="989"/>
      <c r="B30" s="35" t="s">
        <v>109</v>
      </c>
      <c r="C30" s="35">
        <v>10</v>
      </c>
      <c r="D30" s="35" t="s">
        <v>271</v>
      </c>
      <c r="E30">
        <v>3189.53</v>
      </c>
      <c r="F30">
        <v>3229.4</v>
      </c>
      <c r="G30">
        <v>3345.66</v>
      </c>
    </row>
    <row r="31" spans="1:7" x14ac:dyDescent="0.45">
      <c r="A31" s="989"/>
      <c r="B31" s="35" t="s">
        <v>107</v>
      </c>
      <c r="C31" s="35">
        <v>11</v>
      </c>
      <c r="D31" s="35" t="s">
        <v>270</v>
      </c>
      <c r="E31">
        <v>3291.92</v>
      </c>
      <c r="F31">
        <v>3333.07</v>
      </c>
      <c r="G31">
        <v>3453.06</v>
      </c>
    </row>
    <row r="32" spans="1:7" x14ac:dyDescent="0.45">
      <c r="A32" s="989"/>
      <c r="B32" s="35" t="s">
        <v>105</v>
      </c>
      <c r="C32" s="35">
        <v>12</v>
      </c>
      <c r="D32" s="35" t="s">
        <v>269</v>
      </c>
      <c r="E32">
        <v>0</v>
      </c>
      <c r="F32">
        <v>0</v>
      </c>
      <c r="G32">
        <v>0</v>
      </c>
    </row>
    <row r="33" spans="1:7" x14ac:dyDescent="0.45">
      <c r="A33" s="989"/>
      <c r="B33" s="35" t="s">
        <v>103</v>
      </c>
      <c r="C33" s="35">
        <v>13</v>
      </c>
      <c r="D33" s="35" t="s">
        <v>268</v>
      </c>
      <c r="E33">
        <v>0</v>
      </c>
      <c r="F33">
        <v>0</v>
      </c>
      <c r="G33">
        <v>0</v>
      </c>
    </row>
    <row r="34" spans="1:7" x14ac:dyDescent="0.45">
      <c r="A34" s="989"/>
      <c r="B34" s="35" t="s">
        <v>85</v>
      </c>
      <c r="C34" s="35">
        <v>14</v>
      </c>
      <c r="D34" s="35" t="s">
        <v>259</v>
      </c>
      <c r="E34">
        <v>3397.3</v>
      </c>
      <c r="F34">
        <v>3439.77</v>
      </c>
      <c r="G34">
        <v>3563.6</v>
      </c>
    </row>
    <row r="35" spans="1:7" x14ac:dyDescent="0.45">
      <c r="A35" s="990"/>
      <c r="B35" s="35" t="s">
        <v>83</v>
      </c>
      <c r="C35" s="35">
        <v>15</v>
      </c>
      <c r="D35" s="35" t="s">
        <v>258</v>
      </c>
      <c r="E35">
        <v>3505.52</v>
      </c>
      <c r="F35">
        <v>3549.34</v>
      </c>
      <c r="G35">
        <v>3677.12</v>
      </c>
    </row>
    <row r="36" spans="1:7" x14ac:dyDescent="0.45">
      <c r="A36" s="988">
        <v>6</v>
      </c>
      <c r="B36" s="35" t="s">
        <v>113</v>
      </c>
      <c r="C36" s="35">
        <v>0</v>
      </c>
      <c r="D36" s="35" t="s">
        <v>257</v>
      </c>
      <c r="E36">
        <v>2496.4</v>
      </c>
      <c r="F36">
        <v>2527.6</v>
      </c>
      <c r="G36">
        <v>2618.6</v>
      </c>
    </row>
    <row r="37" spans="1:7" x14ac:dyDescent="0.45">
      <c r="A37" s="989"/>
      <c r="B37" s="35" t="s">
        <v>111</v>
      </c>
      <c r="C37" s="35">
        <v>1</v>
      </c>
      <c r="D37" s="35" t="s">
        <v>256</v>
      </c>
      <c r="E37">
        <v>2577.73</v>
      </c>
      <c r="F37">
        <v>2609.9499999999998</v>
      </c>
      <c r="G37">
        <v>2703.91</v>
      </c>
    </row>
    <row r="38" spans="1:7" x14ac:dyDescent="0.45">
      <c r="A38" s="989"/>
      <c r="B38" s="35" t="s">
        <v>101</v>
      </c>
      <c r="C38" s="35">
        <v>2</v>
      </c>
      <c r="D38" s="35" t="s">
        <v>251</v>
      </c>
      <c r="E38">
        <v>2661.32</v>
      </c>
      <c r="F38">
        <v>2694.59</v>
      </c>
      <c r="G38">
        <v>2791.59</v>
      </c>
    </row>
    <row r="39" spans="1:7" x14ac:dyDescent="0.45">
      <c r="A39" s="989"/>
      <c r="B39" s="35" t="s">
        <v>99</v>
      </c>
      <c r="C39" s="35">
        <v>3</v>
      </c>
      <c r="D39" s="35" t="s">
        <v>250</v>
      </c>
      <c r="E39">
        <v>2747.78</v>
      </c>
      <c r="F39">
        <v>2782.13</v>
      </c>
      <c r="G39">
        <v>2882.29</v>
      </c>
    </row>
    <row r="40" spans="1:7" x14ac:dyDescent="0.45">
      <c r="A40" s="989"/>
      <c r="B40" s="35" t="s">
        <v>97</v>
      </c>
      <c r="C40" s="35">
        <v>4</v>
      </c>
      <c r="D40" s="35" t="s">
        <v>249</v>
      </c>
      <c r="E40">
        <v>2837.13</v>
      </c>
      <c r="F40">
        <v>2872.59</v>
      </c>
      <c r="G40">
        <v>2976</v>
      </c>
    </row>
    <row r="41" spans="1:7" x14ac:dyDescent="0.45">
      <c r="A41" s="989"/>
      <c r="B41" s="35" t="s">
        <v>95</v>
      </c>
      <c r="C41" s="35">
        <v>5</v>
      </c>
      <c r="D41" s="35" t="s">
        <v>248</v>
      </c>
      <c r="E41">
        <v>2929.37</v>
      </c>
      <c r="F41">
        <v>2965.98</v>
      </c>
      <c r="G41">
        <v>3072.76</v>
      </c>
    </row>
    <row r="42" spans="1:7" x14ac:dyDescent="0.45">
      <c r="A42" s="989"/>
      <c r="B42" s="35" t="s">
        <v>93</v>
      </c>
      <c r="C42" s="35">
        <v>6</v>
      </c>
      <c r="D42" s="35" t="s">
        <v>247</v>
      </c>
      <c r="E42">
        <v>3024.58</v>
      </c>
      <c r="F42">
        <v>3062.39</v>
      </c>
      <c r="G42">
        <v>3172.64</v>
      </c>
    </row>
    <row r="43" spans="1:7" x14ac:dyDescent="0.45">
      <c r="A43" s="989"/>
      <c r="B43" s="35" t="s">
        <v>91</v>
      </c>
      <c r="C43" s="35">
        <v>7</v>
      </c>
      <c r="D43" s="35" t="s">
        <v>246</v>
      </c>
      <c r="E43">
        <v>3122.66</v>
      </c>
      <c r="F43">
        <v>3161.69</v>
      </c>
      <c r="G43">
        <v>3275.51</v>
      </c>
    </row>
    <row r="44" spans="1:7" x14ac:dyDescent="0.45">
      <c r="A44" s="989"/>
      <c r="B44" s="35" t="s">
        <v>89</v>
      </c>
      <c r="C44" s="35">
        <v>8</v>
      </c>
      <c r="D44" s="35" t="s">
        <v>245</v>
      </c>
      <c r="E44">
        <v>3224.38</v>
      </c>
      <c r="F44">
        <v>3264.68</v>
      </c>
      <c r="G44">
        <v>3382.21</v>
      </c>
    </row>
    <row r="45" spans="1:7" x14ac:dyDescent="0.45">
      <c r="A45" s="989"/>
      <c r="B45" s="35" t="s">
        <v>87</v>
      </c>
      <c r="C45" s="35">
        <v>9</v>
      </c>
      <c r="D45" s="35" t="s">
        <v>244</v>
      </c>
      <c r="E45">
        <v>3328.97</v>
      </c>
      <c r="F45">
        <v>3370.58</v>
      </c>
      <c r="G45">
        <v>3491.92</v>
      </c>
    </row>
    <row r="46" spans="1:7" x14ac:dyDescent="0.45">
      <c r="A46" s="989"/>
      <c r="B46" s="35" t="s">
        <v>109</v>
      </c>
      <c r="C46" s="35">
        <v>10</v>
      </c>
      <c r="D46" s="35" t="s">
        <v>255</v>
      </c>
      <c r="E46">
        <v>3437.24</v>
      </c>
      <c r="F46">
        <v>3480.21</v>
      </c>
      <c r="G46">
        <v>3605.49</v>
      </c>
    </row>
    <row r="47" spans="1:7" x14ac:dyDescent="0.45">
      <c r="A47" s="989"/>
      <c r="B47" s="35" t="s">
        <v>107</v>
      </c>
      <c r="C47" s="35">
        <v>11</v>
      </c>
      <c r="D47" s="35" t="s">
        <v>254</v>
      </c>
      <c r="E47">
        <v>3549.15</v>
      </c>
      <c r="F47">
        <v>3593.51</v>
      </c>
      <c r="G47">
        <v>3722.88</v>
      </c>
    </row>
    <row r="48" spans="1:7" x14ac:dyDescent="0.45">
      <c r="A48" s="989"/>
      <c r="B48" s="35" t="s">
        <v>105</v>
      </c>
      <c r="C48" s="35">
        <v>12</v>
      </c>
      <c r="D48" s="35" t="s">
        <v>253</v>
      </c>
      <c r="E48">
        <v>0</v>
      </c>
      <c r="F48">
        <v>0</v>
      </c>
      <c r="G48">
        <v>0</v>
      </c>
    </row>
    <row r="49" spans="1:7" x14ac:dyDescent="0.45">
      <c r="A49" s="989"/>
      <c r="B49" s="35" t="s">
        <v>103</v>
      </c>
      <c r="C49" s="35">
        <v>13</v>
      </c>
      <c r="D49" s="35" t="s">
        <v>252</v>
      </c>
      <c r="E49">
        <v>0</v>
      </c>
      <c r="F49">
        <v>0</v>
      </c>
      <c r="G49">
        <v>0</v>
      </c>
    </row>
    <row r="50" spans="1:7" x14ac:dyDescent="0.45">
      <c r="A50" s="989"/>
      <c r="B50" s="35" t="s">
        <v>85</v>
      </c>
      <c r="C50" s="35">
        <v>14</v>
      </c>
      <c r="D50" s="35" t="s">
        <v>243</v>
      </c>
      <c r="E50">
        <v>3664.67</v>
      </c>
      <c r="F50">
        <v>3710.47</v>
      </c>
      <c r="G50">
        <v>3844.05</v>
      </c>
    </row>
    <row r="51" spans="1:7" x14ac:dyDescent="0.45">
      <c r="A51" s="990"/>
      <c r="B51" s="35" t="s">
        <v>83</v>
      </c>
      <c r="C51" s="35">
        <v>15</v>
      </c>
      <c r="D51" s="35" t="s">
        <v>242</v>
      </c>
      <c r="E51">
        <v>3783.09</v>
      </c>
      <c r="F51">
        <v>3830.38</v>
      </c>
      <c r="G51">
        <v>3968.27</v>
      </c>
    </row>
    <row r="52" spans="1:7" x14ac:dyDescent="0.45">
      <c r="A52" s="988">
        <v>7</v>
      </c>
      <c r="B52" s="35" t="s">
        <v>113</v>
      </c>
      <c r="C52" s="35">
        <v>0</v>
      </c>
      <c r="D52" s="35" t="s">
        <v>241</v>
      </c>
      <c r="E52">
        <v>2686.74</v>
      </c>
      <c r="F52">
        <v>2720.32</v>
      </c>
      <c r="G52">
        <v>2818.26</v>
      </c>
    </row>
    <row r="53" spans="1:7" x14ac:dyDescent="0.45">
      <c r="A53" s="989"/>
      <c r="B53" s="35" t="s">
        <v>111</v>
      </c>
      <c r="C53" s="35">
        <v>1</v>
      </c>
      <c r="D53" s="35" t="s">
        <v>240</v>
      </c>
      <c r="E53">
        <v>2775.37</v>
      </c>
      <c r="F53">
        <v>2810.07</v>
      </c>
      <c r="G53">
        <v>2911.23</v>
      </c>
    </row>
    <row r="54" spans="1:7" x14ac:dyDescent="0.45">
      <c r="A54" s="989"/>
      <c r="B54" s="35" t="s">
        <v>101</v>
      </c>
      <c r="C54" s="35">
        <v>2</v>
      </c>
      <c r="D54" s="35" t="s">
        <v>235</v>
      </c>
      <c r="E54">
        <v>2866.92</v>
      </c>
      <c r="F54">
        <v>2902.75</v>
      </c>
      <c r="G54">
        <v>3007.25</v>
      </c>
    </row>
    <row r="55" spans="1:7" x14ac:dyDescent="0.45">
      <c r="A55" s="989"/>
      <c r="B55" s="35" t="s">
        <v>99</v>
      </c>
      <c r="C55" s="35">
        <v>3</v>
      </c>
      <c r="D55" s="35" t="s">
        <v>234</v>
      </c>
      <c r="E55">
        <v>2961.38</v>
      </c>
      <c r="F55">
        <v>2998.4</v>
      </c>
      <c r="G55">
        <v>3106.34</v>
      </c>
    </row>
    <row r="56" spans="1:7" x14ac:dyDescent="0.45">
      <c r="A56" s="989"/>
      <c r="B56" s="35" t="s">
        <v>97</v>
      </c>
      <c r="C56" s="35">
        <v>4</v>
      </c>
      <c r="D56" s="35" t="s">
        <v>233</v>
      </c>
      <c r="E56">
        <v>3059.46</v>
      </c>
      <c r="F56">
        <v>3097.7</v>
      </c>
      <c r="G56">
        <v>3209.22</v>
      </c>
    </row>
    <row r="57" spans="1:7" x14ac:dyDescent="0.45">
      <c r="A57" s="989"/>
      <c r="B57" s="35" t="s">
        <v>95</v>
      </c>
      <c r="C57" s="35">
        <v>5</v>
      </c>
      <c r="D57" s="35" t="s">
        <v>232</v>
      </c>
      <c r="E57">
        <v>3160.43</v>
      </c>
      <c r="F57">
        <v>3199.93</v>
      </c>
      <c r="G57">
        <v>3315.13</v>
      </c>
    </row>
    <row r="58" spans="1:7" x14ac:dyDescent="0.45">
      <c r="A58" s="989"/>
      <c r="B58" s="35" t="s">
        <v>93</v>
      </c>
      <c r="C58" s="35">
        <v>6</v>
      </c>
      <c r="D58" s="35" t="s">
        <v>231</v>
      </c>
      <c r="E58">
        <v>3264.32</v>
      </c>
      <c r="F58">
        <v>3305.12</v>
      </c>
      <c r="G58">
        <v>3424.11</v>
      </c>
    </row>
    <row r="59" spans="1:7" x14ac:dyDescent="0.45">
      <c r="A59" s="989"/>
      <c r="B59" s="35" t="s">
        <v>91</v>
      </c>
      <c r="C59" s="35">
        <v>7</v>
      </c>
      <c r="D59" s="35" t="s">
        <v>230</v>
      </c>
      <c r="E59">
        <v>3372.59</v>
      </c>
      <c r="F59">
        <v>3414.75</v>
      </c>
      <c r="G59">
        <v>3537.68</v>
      </c>
    </row>
    <row r="60" spans="1:7" x14ac:dyDescent="0.45">
      <c r="A60" s="989"/>
      <c r="B60" s="35" t="s">
        <v>89</v>
      </c>
      <c r="C60" s="35">
        <v>8</v>
      </c>
      <c r="D60" s="35" t="s">
        <v>229</v>
      </c>
      <c r="E60">
        <v>3483.76</v>
      </c>
      <c r="F60">
        <v>3527.31</v>
      </c>
      <c r="G60">
        <v>3654.29</v>
      </c>
    </row>
    <row r="61" spans="1:7" x14ac:dyDescent="0.45">
      <c r="A61" s="989"/>
      <c r="B61" s="35" t="s">
        <v>87</v>
      </c>
      <c r="C61" s="35">
        <v>9</v>
      </c>
      <c r="D61" s="35" t="s">
        <v>228</v>
      </c>
      <c r="E61">
        <v>3598.54</v>
      </c>
      <c r="F61">
        <v>3643.52</v>
      </c>
      <c r="G61">
        <v>3774.69</v>
      </c>
    </row>
    <row r="62" spans="1:7" x14ac:dyDescent="0.45">
      <c r="A62" s="989"/>
      <c r="B62" s="35" t="s">
        <v>109</v>
      </c>
      <c r="C62" s="35">
        <v>10</v>
      </c>
      <c r="D62" s="35" t="s">
        <v>239</v>
      </c>
      <c r="E62">
        <v>3716.98</v>
      </c>
      <c r="F62">
        <v>3763.44</v>
      </c>
      <c r="G62">
        <v>3898.93</v>
      </c>
    </row>
    <row r="63" spans="1:7" x14ac:dyDescent="0.45">
      <c r="A63" s="989"/>
      <c r="B63" s="35" t="s">
        <v>107</v>
      </c>
      <c r="C63" s="35">
        <v>11</v>
      </c>
      <c r="D63" s="35" t="s">
        <v>238</v>
      </c>
      <c r="E63">
        <v>3839.75</v>
      </c>
      <c r="F63">
        <v>3887.75</v>
      </c>
      <c r="G63">
        <v>4027.7</v>
      </c>
    </row>
    <row r="64" spans="1:7" x14ac:dyDescent="0.45">
      <c r="A64" s="989"/>
      <c r="B64" s="35" t="s">
        <v>105</v>
      </c>
      <c r="C64" s="35">
        <v>12</v>
      </c>
      <c r="D64" s="35" t="s">
        <v>237</v>
      </c>
      <c r="E64">
        <v>0</v>
      </c>
      <c r="F64">
        <v>0</v>
      </c>
      <c r="G64">
        <v>0</v>
      </c>
    </row>
    <row r="65" spans="1:7" x14ac:dyDescent="0.45">
      <c r="A65" s="989"/>
      <c r="B65" s="35" t="s">
        <v>103</v>
      </c>
      <c r="C65" s="35">
        <v>13</v>
      </c>
      <c r="D65" s="35" t="s">
        <v>236</v>
      </c>
      <c r="E65">
        <v>0</v>
      </c>
      <c r="F65">
        <v>0</v>
      </c>
      <c r="G65">
        <v>0</v>
      </c>
    </row>
    <row r="66" spans="1:7" x14ac:dyDescent="0.45">
      <c r="A66" s="989"/>
      <c r="B66" s="35" t="s">
        <v>85</v>
      </c>
      <c r="C66" s="35">
        <v>14</v>
      </c>
      <c r="D66" s="35" t="s">
        <v>227</v>
      </c>
      <c r="E66">
        <v>3966.87</v>
      </c>
      <c r="F66">
        <v>4016.46</v>
      </c>
      <c r="G66">
        <v>4161.05</v>
      </c>
    </row>
    <row r="67" spans="1:7" x14ac:dyDescent="0.45">
      <c r="A67" s="990"/>
      <c r="B67" s="35" t="s">
        <v>83</v>
      </c>
      <c r="C67" s="35">
        <v>15</v>
      </c>
      <c r="D67" s="35" t="s">
        <v>226</v>
      </c>
      <c r="E67">
        <v>4097.6899999999996</v>
      </c>
      <c r="F67">
        <v>4148.91</v>
      </c>
      <c r="G67">
        <v>4298.2700000000004</v>
      </c>
    </row>
    <row r="68" spans="1:7" x14ac:dyDescent="0.45">
      <c r="A68" s="988">
        <v>8</v>
      </c>
      <c r="B68" s="35" t="s">
        <v>113</v>
      </c>
      <c r="C68" s="35">
        <v>0</v>
      </c>
      <c r="D68" s="35" t="s">
        <v>225</v>
      </c>
      <c r="E68">
        <v>2808.78</v>
      </c>
      <c r="F68">
        <v>2843.89</v>
      </c>
      <c r="G68">
        <v>2946.27</v>
      </c>
    </row>
    <row r="69" spans="1:7" x14ac:dyDescent="0.45">
      <c r="A69" s="989"/>
      <c r="B69" s="35" t="s">
        <v>111</v>
      </c>
      <c r="C69" s="35">
        <v>1</v>
      </c>
      <c r="D69" s="35" t="s">
        <v>224</v>
      </c>
      <c r="E69">
        <v>2903.22</v>
      </c>
      <c r="F69">
        <v>2939.51</v>
      </c>
      <c r="G69">
        <v>3045.34</v>
      </c>
    </row>
    <row r="70" spans="1:7" x14ac:dyDescent="0.45">
      <c r="A70" s="989"/>
      <c r="B70" s="35" t="s">
        <v>101</v>
      </c>
      <c r="C70" s="35">
        <v>2</v>
      </c>
      <c r="D70" s="35" t="s">
        <v>219</v>
      </c>
      <c r="E70">
        <v>2999.85</v>
      </c>
      <c r="F70">
        <v>3037.35</v>
      </c>
      <c r="G70">
        <v>3146.69</v>
      </c>
    </row>
    <row r="71" spans="1:7" x14ac:dyDescent="0.45">
      <c r="A71" s="989"/>
      <c r="B71" s="35" t="s">
        <v>99</v>
      </c>
      <c r="C71" s="35">
        <v>3</v>
      </c>
      <c r="D71" s="35" t="s">
        <v>218</v>
      </c>
      <c r="E71">
        <v>3100.84</v>
      </c>
      <c r="F71">
        <v>3139.6</v>
      </c>
      <c r="G71">
        <v>3252.63</v>
      </c>
    </row>
    <row r="72" spans="1:7" x14ac:dyDescent="0.45">
      <c r="A72" s="989"/>
      <c r="B72" s="35" t="s">
        <v>97</v>
      </c>
      <c r="C72" s="35">
        <v>4</v>
      </c>
      <c r="D72" s="35" t="s">
        <v>217</v>
      </c>
      <c r="E72">
        <v>3204.76</v>
      </c>
      <c r="F72">
        <v>3244.82</v>
      </c>
      <c r="G72">
        <v>3361.64</v>
      </c>
    </row>
    <row r="73" spans="1:7" x14ac:dyDescent="0.45">
      <c r="A73" s="989"/>
      <c r="B73" s="35" t="s">
        <v>95</v>
      </c>
      <c r="C73" s="35">
        <v>5</v>
      </c>
      <c r="D73" s="35" t="s">
        <v>216</v>
      </c>
      <c r="E73">
        <v>3311.55</v>
      </c>
      <c r="F73">
        <v>3352.94</v>
      </c>
      <c r="G73">
        <v>3473.65</v>
      </c>
    </row>
    <row r="74" spans="1:7" x14ac:dyDescent="0.45">
      <c r="A74" s="989"/>
      <c r="B74" s="35" t="s">
        <v>93</v>
      </c>
      <c r="C74" s="35">
        <v>6</v>
      </c>
      <c r="D74" s="35" t="s">
        <v>215</v>
      </c>
      <c r="E74">
        <v>3422.72</v>
      </c>
      <c r="F74">
        <v>3465.51</v>
      </c>
      <c r="G74">
        <v>3590.26</v>
      </c>
    </row>
    <row r="75" spans="1:7" x14ac:dyDescent="0.45">
      <c r="A75" s="989"/>
      <c r="B75" s="35" t="s">
        <v>91</v>
      </c>
      <c r="C75" s="35">
        <v>7</v>
      </c>
      <c r="D75" s="35" t="s">
        <v>214</v>
      </c>
      <c r="E75">
        <v>3537.51</v>
      </c>
      <c r="F75">
        <v>3581.73</v>
      </c>
      <c r="G75">
        <v>3710.67</v>
      </c>
    </row>
    <row r="76" spans="1:7" x14ac:dyDescent="0.45">
      <c r="A76" s="989"/>
      <c r="B76" s="35" t="s">
        <v>89</v>
      </c>
      <c r="C76" s="35">
        <v>8</v>
      </c>
      <c r="D76" s="35" t="s">
        <v>213</v>
      </c>
      <c r="E76">
        <v>3655.94</v>
      </c>
      <c r="F76">
        <v>3701.64</v>
      </c>
      <c r="G76">
        <v>3834.9</v>
      </c>
    </row>
    <row r="77" spans="1:7" x14ac:dyDescent="0.45">
      <c r="A77" s="989"/>
      <c r="B77" s="35" t="s">
        <v>87</v>
      </c>
      <c r="C77" s="35">
        <v>9</v>
      </c>
      <c r="D77" s="35" t="s">
        <v>212</v>
      </c>
      <c r="E77">
        <v>3778.71</v>
      </c>
      <c r="F77">
        <v>3825.94</v>
      </c>
      <c r="G77">
        <v>3963.67</v>
      </c>
    </row>
    <row r="78" spans="1:7" x14ac:dyDescent="0.45">
      <c r="A78" s="989"/>
      <c r="B78" s="35" t="s">
        <v>109</v>
      </c>
      <c r="C78" s="35">
        <v>10</v>
      </c>
      <c r="D78" s="35" t="s">
        <v>223</v>
      </c>
      <c r="E78">
        <v>3905.15</v>
      </c>
      <c r="F78">
        <v>3953.96</v>
      </c>
      <c r="G78">
        <v>4096.3100000000004</v>
      </c>
    </row>
    <row r="79" spans="1:7" x14ac:dyDescent="0.45">
      <c r="A79" s="989"/>
      <c r="B79" s="35" t="s">
        <v>107</v>
      </c>
      <c r="C79" s="35">
        <v>11</v>
      </c>
      <c r="D79" s="35" t="s">
        <v>222</v>
      </c>
      <c r="E79">
        <v>4035.91</v>
      </c>
      <c r="F79">
        <v>4086.36</v>
      </c>
      <c r="G79">
        <v>4233.47</v>
      </c>
    </row>
    <row r="80" spans="1:7" x14ac:dyDescent="0.45">
      <c r="A80" s="989"/>
      <c r="B80" s="35" t="s">
        <v>105</v>
      </c>
      <c r="C80" s="35">
        <v>12</v>
      </c>
      <c r="D80" s="35" t="s">
        <v>221</v>
      </c>
      <c r="E80">
        <v>4171.0200000000004</v>
      </c>
      <c r="F80">
        <v>4223.16</v>
      </c>
      <c r="G80">
        <v>4375.2</v>
      </c>
    </row>
    <row r="81" spans="1:7" x14ac:dyDescent="0.45">
      <c r="A81" s="989"/>
      <c r="B81" s="35" t="s">
        <v>103</v>
      </c>
      <c r="C81" s="35">
        <v>13</v>
      </c>
      <c r="D81" s="35" t="s">
        <v>220</v>
      </c>
      <c r="E81">
        <v>0</v>
      </c>
      <c r="F81">
        <v>0</v>
      </c>
      <c r="G81">
        <v>0</v>
      </c>
    </row>
    <row r="82" spans="1:7" x14ac:dyDescent="0.45">
      <c r="A82" s="989"/>
      <c r="B82" s="35" t="s">
        <v>85</v>
      </c>
      <c r="C82" s="35">
        <v>14</v>
      </c>
      <c r="D82" s="35" t="s">
        <v>211</v>
      </c>
      <c r="E82">
        <v>4310.55</v>
      </c>
      <c r="F82">
        <v>4364.43</v>
      </c>
      <c r="G82">
        <v>4521.55</v>
      </c>
    </row>
    <row r="83" spans="1:7" x14ac:dyDescent="0.45">
      <c r="A83" s="990"/>
      <c r="B83" s="35" t="s">
        <v>83</v>
      </c>
      <c r="C83" s="35">
        <v>15</v>
      </c>
      <c r="D83" s="35" t="s">
        <v>210</v>
      </c>
      <c r="E83">
        <v>4455.12</v>
      </c>
      <c r="F83">
        <v>4510.8100000000004</v>
      </c>
      <c r="G83">
        <v>4673.2</v>
      </c>
    </row>
    <row r="84" spans="1:7" x14ac:dyDescent="0.45">
      <c r="A84" s="988">
        <v>9</v>
      </c>
      <c r="B84" s="35" t="s">
        <v>113</v>
      </c>
      <c r="C84" s="35">
        <v>0</v>
      </c>
      <c r="D84" s="35" t="s">
        <v>209</v>
      </c>
      <c r="E84">
        <v>3042.75</v>
      </c>
      <c r="F84">
        <v>3080.79</v>
      </c>
      <c r="G84">
        <v>3191.69</v>
      </c>
    </row>
    <row r="85" spans="1:7" x14ac:dyDescent="0.45">
      <c r="A85" s="989"/>
      <c r="B85" s="35" t="s">
        <v>111</v>
      </c>
      <c r="C85" s="35">
        <v>1</v>
      </c>
      <c r="D85" s="35" t="s">
        <v>208</v>
      </c>
      <c r="E85">
        <v>3145.92</v>
      </c>
      <c r="F85">
        <v>3185.24</v>
      </c>
      <c r="G85">
        <v>3299.91</v>
      </c>
    </row>
    <row r="86" spans="1:7" x14ac:dyDescent="0.45">
      <c r="A86" s="989"/>
      <c r="B86" s="35" t="s">
        <v>101</v>
      </c>
      <c r="C86" s="35">
        <v>2</v>
      </c>
      <c r="D86" s="35" t="s">
        <v>203</v>
      </c>
      <c r="E86">
        <v>3253.47</v>
      </c>
      <c r="F86">
        <v>3294.14</v>
      </c>
      <c r="G86">
        <v>3412.73</v>
      </c>
    </row>
    <row r="87" spans="1:7" x14ac:dyDescent="0.45">
      <c r="A87" s="989"/>
      <c r="B87" s="35" t="s">
        <v>99</v>
      </c>
      <c r="C87" s="35">
        <v>3</v>
      </c>
      <c r="D87" s="35" t="s">
        <v>202</v>
      </c>
      <c r="E87">
        <v>3363.86</v>
      </c>
      <c r="F87">
        <v>3405.91</v>
      </c>
      <c r="G87">
        <v>3528.53</v>
      </c>
    </row>
    <row r="88" spans="1:7" x14ac:dyDescent="0.45">
      <c r="A88" s="989"/>
      <c r="B88" s="35" t="s">
        <v>97</v>
      </c>
      <c r="C88" s="35">
        <v>4</v>
      </c>
      <c r="D88" s="35" t="s">
        <v>201</v>
      </c>
      <c r="E88">
        <v>3477.95</v>
      </c>
      <c r="F88">
        <v>3521.42</v>
      </c>
      <c r="G88">
        <v>3648.19</v>
      </c>
    </row>
    <row r="89" spans="1:7" x14ac:dyDescent="0.45">
      <c r="A89" s="989"/>
      <c r="B89" s="35" t="s">
        <v>95</v>
      </c>
      <c r="C89" s="35">
        <v>5</v>
      </c>
      <c r="D89" s="35" t="s">
        <v>200</v>
      </c>
      <c r="E89">
        <v>3596.36</v>
      </c>
      <c r="F89">
        <v>3641.31</v>
      </c>
      <c r="G89">
        <v>3772.4</v>
      </c>
    </row>
    <row r="90" spans="1:7" x14ac:dyDescent="0.45">
      <c r="A90" s="989"/>
      <c r="B90" s="35" t="s">
        <v>93</v>
      </c>
      <c r="C90" s="35">
        <v>6</v>
      </c>
      <c r="D90" s="35" t="s">
        <v>199</v>
      </c>
      <c r="E90">
        <v>3718.4</v>
      </c>
      <c r="F90">
        <v>3764.88</v>
      </c>
      <c r="G90">
        <v>3900.42</v>
      </c>
    </row>
    <row r="91" spans="1:7" x14ac:dyDescent="0.45">
      <c r="A91" s="989"/>
      <c r="B91" s="35" t="s">
        <v>91</v>
      </c>
      <c r="C91" s="35">
        <v>7</v>
      </c>
      <c r="D91" s="35" t="s">
        <v>198</v>
      </c>
      <c r="E91">
        <v>3844.84</v>
      </c>
      <c r="F91">
        <v>3892.9</v>
      </c>
      <c r="G91">
        <v>4033.05</v>
      </c>
    </row>
    <row r="92" spans="1:7" x14ac:dyDescent="0.45">
      <c r="A92" s="989"/>
      <c r="B92" s="35" t="s">
        <v>89</v>
      </c>
      <c r="C92" s="35">
        <v>8</v>
      </c>
      <c r="D92" s="35" t="s">
        <v>197</v>
      </c>
      <c r="E92">
        <v>3975.6</v>
      </c>
      <c r="F92">
        <v>4025.3</v>
      </c>
      <c r="G92">
        <v>4170.21</v>
      </c>
    </row>
    <row r="93" spans="1:7" x14ac:dyDescent="0.45">
      <c r="A93" s="989"/>
      <c r="B93" s="35" t="s">
        <v>87</v>
      </c>
      <c r="C93" s="35">
        <v>9</v>
      </c>
      <c r="D93" s="35" t="s">
        <v>196</v>
      </c>
      <c r="E93">
        <v>4110.7299999999996</v>
      </c>
      <c r="F93">
        <v>4162.12</v>
      </c>
      <c r="G93">
        <v>4311.95</v>
      </c>
    </row>
    <row r="94" spans="1:7" x14ac:dyDescent="0.45">
      <c r="A94" s="989"/>
      <c r="B94" s="35" t="s">
        <v>109</v>
      </c>
      <c r="C94" s="35">
        <v>10</v>
      </c>
      <c r="D94" s="35" t="s">
        <v>207</v>
      </c>
      <c r="E94">
        <v>4250.96</v>
      </c>
      <c r="F94">
        <v>4304.09</v>
      </c>
      <c r="G94">
        <v>4459.04</v>
      </c>
    </row>
    <row r="95" spans="1:7" x14ac:dyDescent="0.45">
      <c r="A95" s="989"/>
      <c r="B95" s="35" t="s">
        <v>107</v>
      </c>
      <c r="C95" s="35">
        <v>11</v>
      </c>
      <c r="D95" s="35" t="s">
        <v>206</v>
      </c>
      <c r="E95">
        <v>4395.55</v>
      </c>
      <c r="F95">
        <v>4450.5</v>
      </c>
      <c r="G95">
        <v>4610.72</v>
      </c>
    </row>
    <row r="96" spans="1:7" x14ac:dyDescent="0.45">
      <c r="A96" s="989"/>
      <c r="B96" s="35" t="s">
        <v>105</v>
      </c>
      <c r="C96" s="35">
        <v>12</v>
      </c>
      <c r="D96" s="35" t="s">
        <v>205</v>
      </c>
      <c r="E96">
        <v>4544.51</v>
      </c>
      <c r="F96">
        <v>4601.3100000000004</v>
      </c>
      <c r="G96">
        <v>4766.96</v>
      </c>
    </row>
    <row r="97" spans="1:7" x14ac:dyDescent="0.45">
      <c r="A97" s="989"/>
      <c r="B97" s="35" t="s">
        <v>103</v>
      </c>
      <c r="C97" s="35">
        <v>13</v>
      </c>
      <c r="D97" s="35" t="s">
        <v>204</v>
      </c>
      <c r="E97">
        <v>0</v>
      </c>
      <c r="F97">
        <v>0</v>
      </c>
      <c r="G97">
        <v>0</v>
      </c>
    </row>
    <row r="98" spans="1:7" x14ac:dyDescent="0.45">
      <c r="A98" s="989"/>
      <c r="B98" s="35" t="s">
        <v>85</v>
      </c>
      <c r="C98" s="35">
        <v>14</v>
      </c>
      <c r="D98" s="35" t="s">
        <v>195</v>
      </c>
      <c r="E98">
        <v>4699.25</v>
      </c>
      <c r="F98">
        <v>4757.99</v>
      </c>
      <c r="G98">
        <v>4929.28</v>
      </c>
    </row>
    <row r="99" spans="1:7" x14ac:dyDescent="0.45">
      <c r="A99" s="990"/>
      <c r="B99" s="35" t="s">
        <v>83</v>
      </c>
      <c r="C99" s="35">
        <v>15</v>
      </c>
      <c r="D99" s="35" t="s">
        <v>194</v>
      </c>
      <c r="E99">
        <v>4859.08</v>
      </c>
      <c r="F99">
        <v>4919.8100000000004</v>
      </c>
      <c r="G99">
        <v>5096.93</v>
      </c>
    </row>
    <row r="100" spans="1:7" x14ac:dyDescent="0.45">
      <c r="A100" s="988">
        <v>10</v>
      </c>
      <c r="B100" s="35" t="s">
        <v>113</v>
      </c>
      <c r="C100" s="35">
        <v>0</v>
      </c>
      <c r="D100" s="35" t="s">
        <v>193</v>
      </c>
      <c r="E100">
        <v>3310.84</v>
      </c>
      <c r="F100">
        <v>3352.22</v>
      </c>
      <c r="G100">
        <v>3472.9</v>
      </c>
    </row>
    <row r="101" spans="1:7" x14ac:dyDescent="0.45">
      <c r="A101" s="989"/>
      <c r="B101" s="35" t="s">
        <v>111</v>
      </c>
      <c r="C101" s="35">
        <v>1</v>
      </c>
      <c r="D101" s="35" t="s">
        <v>192</v>
      </c>
      <c r="E101">
        <v>3424.89</v>
      </c>
      <c r="F101">
        <v>3467.7</v>
      </c>
      <c r="G101">
        <v>3592.54</v>
      </c>
    </row>
    <row r="102" spans="1:7" x14ac:dyDescent="0.45">
      <c r="A102" s="989"/>
      <c r="B102" s="35" t="s">
        <v>101</v>
      </c>
      <c r="C102" s="35">
        <v>2</v>
      </c>
      <c r="D102" s="35" t="s">
        <v>187</v>
      </c>
      <c r="E102">
        <v>3543.35</v>
      </c>
      <c r="F102">
        <v>3587.64</v>
      </c>
      <c r="G102">
        <v>3716.79</v>
      </c>
    </row>
    <row r="103" spans="1:7" x14ac:dyDescent="0.45">
      <c r="A103" s="989"/>
      <c r="B103" s="35" t="s">
        <v>99</v>
      </c>
      <c r="C103" s="35">
        <v>3</v>
      </c>
      <c r="D103" s="35" t="s">
        <v>186</v>
      </c>
      <c r="E103">
        <v>3665.38</v>
      </c>
      <c r="F103">
        <v>3711.19</v>
      </c>
      <c r="G103">
        <v>3844.8</v>
      </c>
    </row>
    <row r="104" spans="1:7" x14ac:dyDescent="0.45">
      <c r="A104" s="989"/>
      <c r="B104" s="35" t="s">
        <v>97</v>
      </c>
      <c r="C104" s="35">
        <v>4</v>
      </c>
      <c r="D104" s="35" t="s">
        <v>185</v>
      </c>
      <c r="E104">
        <v>3791.83</v>
      </c>
      <c r="F104">
        <v>3839.23</v>
      </c>
      <c r="G104">
        <v>3977.44</v>
      </c>
    </row>
    <row r="105" spans="1:7" x14ac:dyDescent="0.45">
      <c r="A105" s="989"/>
      <c r="B105" s="35" t="s">
        <v>95</v>
      </c>
      <c r="C105" s="35">
        <v>5</v>
      </c>
      <c r="D105" s="35" t="s">
        <v>184</v>
      </c>
      <c r="E105">
        <v>3922.58</v>
      </c>
      <c r="F105">
        <v>3971.61</v>
      </c>
      <c r="G105">
        <v>4114.59</v>
      </c>
    </row>
    <row r="106" spans="1:7" x14ac:dyDescent="0.45">
      <c r="A106" s="989"/>
      <c r="B106" s="35" t="s">
        <v>93</v>
      </c>
      <c r="C106" s="35">
        <v>6</v>
      </c>
      <c r="D106" s="35" t="s">
        <v>183</v>
      </c>
      <c r="E106">
        <v>4057.69</v>
      </c>
      <c r="F106">
        <v>4108.42</v>
      </c>
      <c r="G106">
        <v>4256.32</v>
      </c>
    </row>
    <row r="107" spans="1:7" x14ac:dyDescent="0.45">
      <c r="A107" s="989"/>
      <c r="B107" s="35" t="s">
        <v>91</v>
      </c>
      <c r="C107" s="35">
        <v>7</v>
      </c>
      <c r="D107" s="35" t="s">
        <v>182</v>
      </c>
      <c r="E107">
        <v>4197.93</v>
      </c>
      <c r="F107">
        <v>4250.41</v>
      </c>
      <c r="G107">
        <v>4403.42</v>
      </c>
    </row>
    <row r="108" spans="1:7" x14ac:dyDescent="0.45">
      <c r="A108" s="989"/>
      <c r="B108" s="35" t="s">
        <v>89</v>
      </c>
      <c r="C108" s="35">
        <v>8</v>
      </c>
      <c r="D108" s="35" t="s">
        <v>181</v>
      </c>
      <c r="E108">
        <v>4343.25</v>
      </c>
      <c r="F108">
        <v>4397.54</v>
      </c>
      <c r="G108">
        <v>4555.8500000000004</v>
      </c>
    </row>
    <row r="109" spans="1:7" x14ac:dyDescent="0.45">
      <c r="A109" s="989"/>
      <c r="B109" s="35" t="s">
        <v>87</v>
      </c>
      <c r="C109" s="35">
        <v>9</v>
      </c>
      <c r="D109" s="35" t="s">
        <v>180</v>
      </c>
      <c r="E109">
        <v>4492.8999999999996</v>
      </c>
      <c r="F109">
        <v>4549.0600000000004</v>
      </c>
      <c r="G109">
        <v>4712.83</v>
      </c>
    </row>
    <row r="110" spans="1:7" x14ac:dyDescent="0.45">
      <c r="A110" s="989"/>
      <c r="B110" s="35" t="s">
        <v>109</v>
      </c>
      <c r="C110" s="35">
        <v>10</v>
      </c>
      <c r="D110" s="35" t="s">
        <v>191</v>
      </c>
      <c r="E110">
        <v>4647.66</v>
      </c>
      <c r="F110">
        <v>4705.76</v>
      </c>
      <c r="G110">
        <v>4875.16</v>
      </c>
    </row>
    <row r="111" spans="1:7" x14ac:dyDescent="0.45">
      <c r="A111" s="989"/>
      <c r="B111" s="35" t="s">
        <v>107</v>
      </c>
      <c r="C111" s="35">
        <v>11</v>
      </c>
      <c r="D111" s="35" t="s">
        <v>190</v>
      </c>
      <c r="E111">
        <v>4808.22</v>
      </c>
      <c r="F111">
        <v>4868.33</v>
      </c>
      <c r="G111">
        <v>5043.59</v>
      </c>
    </row>
    <row r="112" spans="1:7" x14ac:dyDescent="0.45">
      <c r="A112" s="989"/>
      <c r="B112" s="35" t="s">
        <v>105</v>
      </c>
      <c r="C112" s="35">
        <v>12</v>
      </c>
      <c r="D112" s="35" t="s">
        <v>189</v>
      </c>
      <c r="E112">
        <v>4973.88</v>
      </c>
      <c r="F112">
        <v>5036.05</v>
      </c>
      <c r="G112">
        <v>5217.3500000000004</v>
      </c>
    </row>
    <row r="113" spans="1:7" x14ac:dyDescent="0.45">
      <c r="A113" s="989"/>
      <c r="B113" s="35" t="s">
        <v>103</v>
      </c>
      <c r="C113" s="35">
        <v>13</v>
      </c>
      <c r="D113" s="35" t="s">
        <v>188</v>
      </c>
      <c r="E113">
        <v>0</v>
      </c>
      <c r="F113">
        <v>0</v>
      </c>
      <c r="G113">
        <v>0</v>
      </c>
    </row>
    <row r="114" spans="1:7" x14ac:dyDescent="0.45">
      <c r="A114" s="989"/>
      <c r="B114" s="35" t="s">
        <v>85</v>
      </c>
      <c r="C114" s="35">
        <v>14</v>
      </c>
      <c r="D114" s="35" t="s">
        <v>179</v>
      </c>
      <c r="E114">
        <v>5145.34</v>
      </c>
      <c r="F114">
        <v>5209.66</v>
      </c>
      <c r="G114">
        <v>5397.21</v>
      </c>
    </row>
    <row r="115" spans="1:7" x14ac:dyDescent="0.45">
      <c r="A115" s="990"/>
      <c r="B115" s="35" t="s">
        <v>83</v>
      </c>
      <c r="C115" s="35">
        <v>15</v>
      </c>
      <c r="D115" s="35" t="s">
        <v>178</v>
      </c>
      <c r="E115">
        <v>5323.36</v>
      </c>
      <c r="F115">
        <v>5389.91</v>
      </c>
      <c r="G115">
        <v>5583.94</v>
      </c>
    </row>
    <row r="116" spans="1:7" x14ac:dyDescent="0.45">
      <c r="A116" s="988">
        <v>11</v>
      </c>
      <c r="B116" s="35" t="s">
        <v>113</v>
      </c>
      <c r="C116" s="35">
        <v>0</v>
      </c>
      <c r="D116" s="35" t="s">
        <v>177</v>
      </c>
      <c r="E116">
        <v>3786.7</v>
      </c>
      <c r="F116">
        <v>3834.03</v>
      </c>
      <c r="G116">
        <v>3972.06</v>
      </c>
    </row>
    <row r="117" spans="1:7" x14ac:dyDescent="0.45">
      <c r="A117" s="989"/>
      <c r="B117" s="35" t="s">
        <v>111</v>
      </c>
      <c r="C117" s="35">
        <v>1</v>
      </c>
      <c r="D117" s="35" t="s">
        <v>176</v>
      </c>
      <c r="E117">
        <v>3919.68</v>
      </c>
      <c r="F117">
        <v>3968.68</v>
      </c>
      <c r="G117">
        <v>4111.55</v>
      </c>
    </row>
    <row r="118" spans="1:7" x14ac:dyDescent="0.45">
      <c r="A118" s="989"/>
      <c r="B118" s="35" t="s">
        <v>101</v>
      </c>
      <c r="C118" s="35">
        <v>2</v>
      </c>
      <c r="D118" s="35" t="s">
        <v>171</v>
      </c>
      <c r="E118">
        <v>4057.01</v>
      </c>
      <c r="F118">
        <v>4107.72</v>
      </c>
      <c r="G118">
        <v>4255.6000000000004</v>
      </c>
    </row>
    <row r="119" spans="1:7" x14ac:dyDescent="0.45">
      <c r="A119" s="989"/>
      <c r="B119" s="35" t="s">
        <v>99</v>
      </c>
      <c r="C119" s="35">
        <v>3</v>
      </c>
      <c r="D119" s="35" t="s">
        <v>170</v>
      </c>
      <c r="E119">
        <v>4198.67</v>
      </c>
      <c r="F119">
        <v>4251.1499999999996</v>
      </c>
      <c r="G119">
        <v>4404.1899999999996</v>
      </c>
    </row>
    <row r="120" spans="1:7" x14ac:dyDescent="0.45">
      <c r="A120" s="989"/>
      <c r="B120" s="35" t="s">
        <v>97</v>
      </c>
      <c r="C120" s="35">
        <v>4</v>
      </c>
      <c r="D120" s="35" t="s">
        <v>169</v>
      </c>
      <c r="E120">
        <v>4345.4399999999996</v>
      </c>
      <c r="F120">
        <v>4399.76</v>
      </c>
      <c r="G120">
        <v>4558.1499999999996</v>
      </c>
    </row>
    <row r="121" spans="1:7" x14ac:dyDescent="0.45">
      <c r="A121" s="989"/>
      <c r="B121" s="35" t="s">
        <v>95</v>
      </c>
      <c r="C121" s="35">
        <v>5</v>
      </c>
      <c r="D121" s="35" t="s">
        <v>168</v>
      </c>
      <c r="E121">
        <v>4497.9799999999996</v>
      </c>
      <c r="F121">
        <v>4554.21</v>
      </c>
      <c r="G121">
        <v>4718.16</v>
      </c>
    </row>
    <row r="122" spans="1:7" x14ac:dyDescent="0.45">
      <c r="A122" s="989"/>
      <c r="B122" s="35" t="s">
        <v>93</v>
      </c>
      <c r="C122" s="35">
        <v>6</v>
      </c>
      <c r="D122" s="35" t="s">
        <v>167</v>
      </c>
      <c r="E122">
        <v>4654.91</v>
      </c>
      <c r="F122">
        <v>4713.1000000000004</v>
      </c>
      <c r="G122">
        <v>4882.7700000000004</v>
      </c>
    </row>
    <row r="123" spans="1:7" x14ac:dyDescent="0.45">
      <c r="A123" s="989"/>
      <c r="B123" s="35" t="s">
        <v>91</v>
      </c>
      <c r="C123" s="35">
        <v>7</v>
      </c>
      <c r="D123" s="35" t="s">
        <v>166</v>
      </c>
      <c r="E123">
        <v>4817.68</v>
      </c>
      <c r="F123">
        <v>4877.8999999999996</v>
      </c>
      <c r="G123">
        <v>5053.5</v>
      </c>
    </row>
    <row r="124" spans="1:7" x14ac:dyDescent="0.45">
      <c r="A124" s="989"/>
      <c r="B124" s="35" t="s">
        <v>89</v>
      </c>
      <c r="C124" s="35">
        <v>8</v>
      </c>
      <c r="D124" s="35" t="s">
        <v>165</v>
      </c>
      <c r="E124">
        <v>4986.9399999999996</v>
      </c>
      <c r="F124">
        <v>5049.28</v>
      </c>
      <c r="G124">
        <v>5231.05</v>
      </c>
    </row>
    <row r="125" spans="1:7" x14ac:dyDescent="0.45">
      <c r="A125" s="989"/>
      <c r="B125" s="35" t="s">
        <v>87</v>
      </c>
      <c r="C125" s="35">
        <v>9</v>
      </c>
      <c r="D125" s="35" t="s">
        <v>164</v>
      </c>
      <c r="E125">
        <v>5161.33</v>
      </c>
      <c r="F125">
        <v>5225.84</v>
      </c>
      <c r="G125">
        <v>5413.97</v>
      </c>
    </row>
    <row r="126" spans="1:7" x14ac:dyDescent="0.45">
      <c r="A126" s="989"/>
      <c r="B126" s="35" t="s">
        <v>109</v>
      </c>
      <c r="C126" s="35">
        <v>10</v>
      </c>
      <c r="D126" s="35" t="s">
        <v>175</v>
      </c>
      <c r="E126">
        <v>5341.5</v>
      </c>
      <c r="F126">
        <v>5408.27</v>
      </c>
      <c r="G126">
        <v>5602.97</v>
      </c>
    </row>
    <row r="127" spans="1:7" x14ac:dyDescent="0.45">
      <c r="A127" s="989"/>
      <c r="B127" s="35" t="s">
        <v>107</v>
      </c>
      <c r="C127" s="35">
        <v>11</v>
      </c>
      <c r="D127" s="35" t="s">
        <v>174</v>
      </c>
      <c r="E127">
        <v>5528.95</v>
      </c>
      <c r="F127">
        <v>5598.06</v>
      </c>
      <c r="G127">
        <v>5799.59</v>
      </c>
    </row>
    <row r="128" spans="1:7" x14ac:dyDescent="0.45">
      <c r="A128" s="989"/>
      <c r="B128" s="35" t="s">
        <v>105</v>
      </c>
      <c r="C128" s="35">
        <v>12</v>
      </c>
      <c r="D128" s="35" t="s">
        <v>173</v>
      </c>
      <c r="E128">
        <v>5722.2</v>
      </c>
      <c r="F128">
        <v>5793.72</v>
      </c>
      <c r="G128">
        <v>6002.3</v>
      </c>
    </row>
    <row r="129" spans="1:7" x14ac:dyDescent="0.45">
      <c r="A129" s="989"/>
      <c r="B129" s="35" t="s">
        <v>103</v>
      </c>
      <c r="C129" s="35">
        <v>13</v>
      </c>
      <c r="D129" s="35" t="s">
        <v>172</v>
      </c>
      <c r="E129">
        <v>0</v>
      </c>
      <c r="F129">
        <v>0</v>
      </c>
      <c r="G129">
        <v>0</v>
      </c>
    </row>
    <row r="130" spans="1:7" x14ac:dyDescent="0.45">
      <c r="A130" s="989"/>
      <c r="B130" s="35" t="s">
        <v>85</v>
      </c>
      <c r="C130" s="35">
        <v>14</v>
      </c>
      <c r="D130" s="35" t="s">
        <v>163</v>
      </c>
      <c r="E130">
        <v>5922.75</v>
      </c>
      <c r="F130">
        <v>5996.79</v>
      </c>
      <c r="G130">
        <v>6212.67</v>
      </c>
    </row>
    <row r="131" spans="1:7" x14ac:dyDescent="0.45">
      <c r="A131" s="990"/>
      <c r="B131" s="35" t="s">
        <v>83</v>
      </c>
      <c r="C131" s="35">
        <v>15</v>
      </c>
      <c r="D131" s="35" t="s">
        <v>162</v>
      </c>
      <c r="E131">
        <v>6129.76</v>
      </c>
      <c r="F131">
        <v>6206.38</v>
      </c>
      <c r="G131">
        <v>6429.81</v>
      </c>
    </row>
    <row r="132" spans="1:7" x14ac:dyDescent="0.45">
      <c r="A132" s="988">
        <v>12</v>
      </c>
      <c r="B132" s="35" t="s">
        <v>113</v>
      </c>
      <c r="C132" s="35">
        <v>0</v>
      </c>
      <c r="D132" s="35" t="s">
        <v>161</v>
      </c>
      <c r="E132">
        <v>4171.0200000000004</v>
      </c>
      <c r="F132">
        <v>4223.16</v>
      </c>
      <c r="G132">
        <v>4375.2</v>
      </c>
    </row>
    <row r="133" spans="1:7" x14ac:dyDescent="0.45">
      <c r="A133" s="989"/>
      <c r="B133" s="35" t="s">
        <v>111</v>
      </c>
      <c r="C133" s="35">
        <v>1</v>
      </c>
      <c r="D133" s="35" t="s">
        <v>160</v>
      </c>
      <c r="E133">
        <v>4319.25</v>
      </c>
      <c r="F133">
        <v>4373.24</v>
      </c>
      <c r="G133">
        <v>4530.68</v>
      </c>
    </row>
    <row r="134" spans="1:7" x14ac:dyDescent="0.45">
      <c r="A134" s="989"/>
      <c r="B134" s="35" t="s">
        <v>101</v>
      </c>
      <c r="C134" s="35">
        <v>2</v>
      </c>
      <c r="D134" s="35" t="s">
        <v>155</v>
      </c>
      <c r="E134">
        <v>4472.5600000000004</v>
      </c>
      <c r="F134">
        <v>4528.47</v>
      </c>
      <c r="G134">
        <v>4691.5</v>
      </c>
    </row>
    <row r="135" spans="1:7" x14ac:dyDescent="0.45">
      <c r="A135" s="989"/>
      <c r="B135" s="35" t="s">
        <v>99</v>
      </c>
      <c r="C135" s="35">
        <v>3</v>
      </c>
      <c r="D135" s="35" t="s">
        <v>154</v>
      </c>
      <c r="E135">
        <v>4630.93</v>
      </c>
      <c r="F135">
        <v>4688.8100000000004</v>
      </c>
      <c r="G135">
        <v>4857.6099999999997</v>
      </c>
    </row>
    <row r="136" spans="1:7" x14ac:dyDescent="0.45">
      <c r="A136" s="989"/>
      <c r="B136" s="35" t="s">
        <v>97</v>
      </c>
      <c r="C136" s="35">
        <v>4</v>
      </c>
      <c r="D136" s="35" t="s">
        <v>153</v>
      </c>
      <c r="E136">
        <v>4795.88</v>
      </c>
      <c r="F136">
        <v>4855.82</v>
      </c>
      <c r="G136">
        <v>5030.63</v>
      </c>
    </row>
    <row r="137" spans="1:7" x14ac:dyDescent="0.45">
      <c r="A137" s="989"/>
      <c r="B137" s="35" t="s">
        <v>95</v>
      </c>
      <c r="C137" s="35">
        <v>5</v>
      </c>
      <c r="D137" s="35" t="s">
        <v>152</v>
      </c>
      <c r="E137">
        <v>4965.8999999999996</v>
      </c>
      <c r="F137">
        <v>5027.9799999999996</v>
      </c>
      <c r="G137">
        <v>5208.9799999999996</v>
      </c>
    </row>
    <row r="138" spans="1:7" x14ac:dyDescent="0.45">
      <c r="A138" s="989"/>
      <c r="B138" s="35" t="s">
        <v>93</v>
      </c>
      <c r="C138" s="35">
        <v>6</v>
      </c>
      <c r="D138" s="35" t="s">
        <v>151</v>
      </c>
      <c r="E138">
        <v>5142.43</v>
      </c>
      <c r="F138">
        <v>5206.72</v>
      </c>
      <c r="G138">
        <v>5394.16</v>
      </c>
    </row>
    <row r="139" spans="1:7" x14ac:dyDescent="0.45">
      <c r="A139" s="989"/>
      <c r="B139" s="35" t="s">
        <v>91</v>
      </c>
      <c r="C139" s="35">
        <v>7</v>
      </c>
      <c r="D139" s="35" t="s">
        <v>150</v>
      </c>
      <c r="E139">
        <v>5324.82</v>
      </c>
      <c r="F139">
        <v>5391.39</v>
      </c>
      <c r="G139">
        <v>5585.48</v>
      </c>
    </row>
    <row r="140" spans="1:7" x14ac:dyDescent="0.45">
      <c r="A140" s="989"/>
      <c r="B140" s="35" t="s">
        <v>89</v>
      </c>
      <c r="C140" s="35">
        <v>8</v>
      </c>
      <c r="D140" s="35" t="s">
        <v>149</v>
      </c>
      <c r="E140">
        <v>5513.7</v>
      </c>
      <c r="F140">
        <v>5582.63</v>
      </c>
      <c r="G140">
        <v>5783.6</v>
      </c>
    </row>
    <row r="141" spans="1:7" x14ac:dyDescent="0.45">
      <c r="A141" s="989"/>
      <c r="B141" s="35" t="s">
        <v>87</v>
      </c>
      <c r="C141" s="35">
        <v>9</v>
      </c>
      <c r="D141" s="35" t="s">
        <v>148</v>
      </c>
      <c r="E141">
        <v>5709.14</v>
      </c>
      <c r="F141">
        <v>5780.5</v>
      </c>
      <c r="G141">
        <v>5988.6</v>
      </c>
    </row>
    <row r="142" spans="1:7" x14ac:dyDescent="0.45">
      <c r="A142" s="989"/>
      <c r="B142" s="35" t="s">
        <v>109</v>
      </c>
      <c r="C142" s="35">
        <v>10</v>
      </c>
      <c r="D142" s="35" t="s">
        <v>159</v>
      </c>
      <c r="E142">
        <v>5911.84</v>
      </c>
      <c r="F142">
        <v>5985.74</v>
      </c>
      <c r="G142">
        <v>6201.23</v>
      </c>
    </row>
    <row r="143" spans="1:7" x14ac:dyDescent="0.45">
      <c r="A143" s="989"/>
      <c r="B143" s="35" t="s">
        <v>107</v>
      </c>
      <c r="C143" s="35">
        <v>11</v>
      </c>
      <c r="D143" s="35" t="s">
        <v>158</v>
      </c>
      <c r="E143">
        <v>6121.78</v>
      </c>
      <c r="F143">
        <v>6198.3</v>
      </c>
      <c r="G143">
        <v>6421.44</v>
      </c>
    </row>
    <row r="144" spans="1:7" x14ac:dyDescent="0.45">
      <c r="A144" s="989"/>
      <c r="B144" s="35" t="s">
        <v>105</v>
      </c>
      <c r="C144" s="35">
        <v>12</v>
      </c>
      <c r="D144" s="35" t="s">
        <v>157</v>
      </c>
      <c r="E144">
        <v>6339.02</v>
      </c>
      <c r="F144">
        <v>6418.25</v>
      </c>
      <c r="G144">
        <v>6649.31</v>
      </c>
    </row>
    <row r="145" spans="1:7" x14ac:dyDescent="0.45">
      <c r="A145" s="989"/>
      <c r="B145" s="35" t="s">
        <v>103</v>
      </c>
      <c r="C145" s="35">
        <v>13</v>
      </c>
      <c r="D145" s="35" t="s">
        <v>156</v>
      </c>
      <c r="E145">
        <v>6564.26</v>
      </c>
      <c r="F145">
        <v>6646.31</v>
      </c>
      <c r="G145">
        <v>6885.58</v>
      </c>
    </row>
    <row r="146" spans="1:7" x14ac:dyDescent="0.45">
      <c r="A146" s="989"/>
      <c r="B146" s="35" t="s">
        <v>85</v>
      </c>
      <c r="C146" s="35">
        <v>14</v>
      </c>
      <c r="D146" s="35" t="s">
        <v>147</v>
      </c>
      <c r="E146">
        <v>6797.49</v>
      </c>
      <c r="F146">
        <v>6882.45</v>
      </c>
      <c r="G146">
        <v>7130.22</v>
      </c>
    </row>
    <row r="147" spans="1:7" x14ac:dyDescent="0.45">
      <c r="A147" s="990"/>
      <c r="B147" s="35" t="s">
        <v>83</v>
      </c>
      <c r="C147" s="35">
        <v>15</v>
      </c>
      <c r="D147" s="35" t="s">
        <v>146</v>
      </c>
      <c r="E147">
        <v>7038.68</v>
      </c>
      <c r="F147">
        <v>7126.66</v>
      </c>
      <c r="G147">
        <v>7383.22</v>
      </c>
    </row>
    <row r="148" spans="1:7" x14ac:dyDescent="0.45">
      <c r="A148" s="988">
        <v>13</v>
      </c>
      <c r="B148" s="35" t="s">
        <v>113</v>
      </c>
      <c r="C148" s="35">
        <v>0</v>
      </c>
      <c r="D148" s="35" t="s">
        <v>145</v>
      </c>
      <c r="E148">
        <v>4755.18</v>
      </c>
      <c r="F148">
        <v>4814.62</v>
      </c>
      <c r="G148">
        <v>4987.95</v>
      </c>
    </row>
    <row r="149" spans="1:7" x14ac:dyDescent="0.45">
      <c r="A149" s="989"/>
      <c r="B149" s="35" t="s">
        <v>111</v>
      </c>
      <c r="C149" s="35">
        <v>1</v>
      </c>
      <c r="D149" s="35" t="s">
        <v>144</v>
      </c>
      <c r="E149">
        <v>4926.66</v>
      </c>
      <c r="F149">
        <v>4988.24</v>
      </c>
      <c r="G149">
        <v>5167.82</v>
      </c>
    </row>
    <row r="150" spans="1:7" x14ac:dyDescent="0.45">
      <c r="A150" s="989"/>
      <c r="B150" s="35" t="s">
        <v>101</v>
      </c>
      <c r="C150" s="35">
        <v>2</v>
      </c>
      <c r="D150" s="35" t="s">
        <v>139</v>
      </c>
      <c r="E150">
        <v>5103.9399999999996</v>
      </c>
      <c r="F150">
        <v>5167.74</v>
      </c>
      <c r="G150">
        <v>5353.78</v>
      </c>
    </row>
    <row r="151" spans="1:7" x14ac:dyDescent="0.45">
      <c r="A151" s="989"/>
      <c r="B151" s="35" t="s">
        <v>99</v>
      </c>
      <c r="C151" s="35">
        <v>3</v>
      </c>
      <c r="D151" s="35" t="s">
        <v>138</v>
      </c>
      <c r="E151">
        <v>5287.74</v>
      </c>
      <c r="F151">
        <v>5353.84</v>
      </c>
      <c r="G151">
        <v>5546.58</v>
      </c>
    </row>
    <row r="152" spans="1:7" x14ac:dyDescent="0.45">
      <c r="A152" s="989"/>
      <c r="B152" s="35" t="s">
        <v>97</v>
      </c>
      <c r="C152" s="35">
        <v>4</v>
      </c>
      <c r="D152" s="35" t="s">
        <v>137</v>
      </c>
      <c r="E152">
        <v>5478.08</v>
      </c>
      <c r="F152">
        <v>5546.56</v>
      </c>
      <c r="G152">
        <v>5746.23</v>
      </c>
    </row>
    <row r="153" spans="1:7" x14ac:dyDescent="0.45">
      <c r="A153" s="989"/>
      <c r="B153" s="35" t="s">
        <v>95</v>
      </c>
      <c r="C153" s="35">
        <v>5</v>
      </c>
      <c r="D153" s="35" t="s">
        <v>136</v>
      </c>
      <c r="E153">
        <v>5674.98</v>
      </c>
      <c r="F153">
        <v>5745.91</v>
      </c>
      <c r="G153">
        <v>5952.77</v>
      </c>
    </row>
    <row r="154" spans="1:7" x14ac:dyDescent="0.45">
      <c r="A154" s="989"/>
      <c r="B154" s="35" t="s">
        <v>93</v>
      </c>
      <c r="C154" s="35">
        <v>6</v>
      </c>
      <c r="D154" s="35" t="s">
        <v>135</v>
      </c>
      <c r="E154">
        <v>5879.13</v>
      </c>
      <c r="F154">
        <v>5952.62</v>
      </c>
      <c r="G154">
        <v>6166.91</v>
      </c>
    </row>
    <row r="155" spans="1:7" x14ac:dyDescent="0.45">
      <c r="A155" s="989"/>
      <c r="B155" s="35" t="s">
        <v>91</v>
      </c>
      <c r="C155" s="35">
        <v>7</v>
      </c>
      <c r="D155" s="35" t="s">
        <v>134</v>
      </c>
      <c r="E155">
        <v>6091.29</v>
      </c>
      <c r="F155">
        <v>6167.44</v>
      </c>
      <c r="G155">
        <v>6389.46</v>
      </c>
    </row>
    <row r="156" spans="1:7" x14ac:dyDescent="0.45">
      <c r="A156" s="989"/>
      <c r="B156" s="35" t="s">
        <v>89</v>
      </c>
      <c r="C156" s="35">
        <v>8</v>
      </c>
      <c r="D156" s="35" t="s">
        <v>133</v>
      </c>
      <c r="E156">
        <v>6309.98</v>
      </c>
      <c r="F156">
        <v>6388.85</v>
      </c>
      <c r="G156">
        <v>6618.85</v>
      </c>
    </row>
    <row r="157" spans="1:7" x14ac:dyDescent="0.45">
      <c r="A157" s="989"/>
      <c r="B157" s="35" t="s">
        <v>87</v>
      </c>
      <c r="C157" s="35">
        <v>9</v>
      </c>
      <c r="D157" s="35" t="s">
        <v>132</v>
      </c>
      <c r="E157">
        <v>6537.39</v>
      </c>
      <c r="F157">
        <v>6619.11</v>
      </c>
      <c r="G157">
        <v>6857.39</v>
      </c>
    </row>
    <row r="158" spans="1:7" x14ac:dyDescent="0.45">
      <c r="A158" s="989"/>
      <c r="B158" s="35" t="s">
        <v>109</v>
      </c>
      <c r="C158" s="35">
        <v>10</v>
      </c>
      <c r="D158" s="35" t="s">
        <v>143</v>
      </c>
      <c r="E158">
        <v>6772.8</v>
      </c>
      <c r="F158">
        <v>6857.46</v>
      </c>
      <c r="G158">
        <v>7104.33</v>
      </c>
    </row>
    <row r="159" spans="1:7" x14ac:dyDescent="0.45">
      <c r="A159" s="989"/>
      <c r="B159" s="35" t="s">
        <v>107</v>
      </c>
      <c r="C159" s="35">
        <v>11</v>
      </c>
      <c r="D159" s="35" t="s">
        <v>142</v>
      </c>
      <c r="E159">
        <v>7016.89</v>
      </c>
      <c r="F159">
        <v>7104.6</v>
      </c>
      <c r="G159">
        <v>7360.37</v>
      </c>
    </row>
    <row r="160" spans="1:7" x14ac:dyDescent="0.45">
      <c r="A160" s="989"/>
      <c r="B160" s="35" t="s">
        <v>105</v>
      </c>
      <c r="C160" s="35">
        <v>12</v>
      </c>
      <c r="D160" s="35" t="s">
        <v>141</v>
      </c>
      <c r="E160">
        <v>7269.03</v>
      </c>
      <c r="F160">
        <v>7359.89</v>
      </c>
      <c r="G160">
        <v>7624.85</v>
      </c>
    </row>
    <row r="161" spans="1:7" x14ac:dyDescent="0.45">
      <c r="A161" s="989"/>
      <c r="B161" s="35" t="s">
        <v>103</v>
      </c>
      <c r="C161" s="35">
        <v>13</v>
      </c>
      <c r="D161" s="35" t="s">
        <v>140</v>
      </c>
      <c r="E161">
        <v>7530.56</v>
      </c>
      <c r="F161">
        <v>7624.69</v>
      </c>
      <c r="G161">
        <v>7899.18</v>
      </c>
    </row>
    <row r="162" spans="1:7" x14ac:dyDescent="0.45">
      <c r="A162" s="989"/>
      <c r="B162" s="35" t="s">
        <v>85</v>
      </c>
      <c r="C162" s="35">
        <v>14</v>
      </c>
      <c r="D162" s="35" t="s">
        <v>131</v>
      </c>
      <c r="E162">
        <v>7802.29</v>
      </c>
      <c r="F162">
        <v>7899.82</v>
      </c>
      <c r="G162">
        <v>8184.22</v>
      </c>
    </row>
    <row r="163" spans="1:7" x14ac:dyDescent="0.45">
      <c r="A163" s="990"/>
      <c r="B163" s="35" t="s">
        <v>83</v>
      </c>
      <c r="C163" s="35">
        <v>15</v>
      </c>
      <c r="D163" s="35" t="s">
        <v>130</v>
      </c>
      <c r="E163">
        <v>8082.73</v>
      </c>
      <c r="F163">
        <v>8183.76</v>
      </c>
      <c r="G163">
        <v>8478.3799999999992</v>
      </c>
    </row>
    <row r="164" spans="1:7" x14ac:dyDescent="0.45">
      <c r="A164" s="988">
        <v>14</v>
      </c>
      <c r="B164" s="35" t="s">
        <v>113</v>
      </c>
      <c r="C164" s="35">
        <v>0</v>
      </c>
      <c r="D164" s="35" t="s">
        <v>129</v>
      </c>
      <c r="E164">
        <v>5958.34</v>
      </c>
      <c r="F164">
        <v>6032.82</v>
      </c>
      <c r="G164">
        <v>6250</v>
      </c>
    </row>
    <row r="165" spans="1:7" x14ac:dyDescent="0.45">
      <c r="A165" s="989"/>
      <c r="B165" s="35" t="s">
        <v>111</v>
      </c>
      <c r="C165" s="35">
        <v>1</v>
      </c>
      <c r="D165" s="35" t="s">
        <v>128</v>
      </c>
      <c r="E165">
        <v>6175.54</v>
      </c>
      <c r="F165">
        <v>6252.74</v>
      </c>
      <c r="G165">
        <v>6477.84</v>
      </c>
    </row>
    <row r="166" spans="1:7" x14ac:dyDescent="0.45">
      <c r="A166" s="989"/>
      <c r="B166" s="35" t="s">
        <v>101</v>
      </c>
      <c r="C166" s="35">
        <v>2</v>
      </c>
      <c r="D166" s="35" t="s">
        <v>123</v>
      </c>
      <c r="E166">
        <v>6401.53</v>
      </c>
      <c r="F166">
        <v>6481.55</v>
      </c>
      <c r="G166">
        <v>6714.89</v>
      </c>
    </row>
    <row r="167" spans="1:7" x14ac:dyDescent="0.45">
      <c r="A167" s="989"/>
      <c r="B167" s="35" t="s">
        <v>99</v>
      </c>
      <c r="C167" s="35">
        <v>3</v>
      </c>
      <c r="D167" s="35" t="s">
        <v>122</v>
      </c>
      <c r="E167">
        <v>6634.72</v>
      </c>
      <c r="F167">
        <v>6717.66</v>
      </c>
      <c r="G167">
        <v>6959.49</v>
      </c>
    </row>
    <row r="168" spans="1:7" x14ac:dyDescent="0.45">
      <c r="A168" s="989"/>
      <c r="B168" s="35" t="s">
        <v>97</v>
      </c>
      <c r="C168" s="35">
        <v>4</v>
      </c>
      <c r="D168" s="35" t="s">
        <v>121</v>
      </c>
      <c r="E168">
        <v>6877.39</v>
      </c>
      <c r="F168">
        <v>6963.36</v>
      </c>
      <c r="G168">
        <v>7214.04</v>
      </c>
    </row>
    <row r="169" spans="1:7" x14ac:dyDescent="0.45">
      <c r="A169" s="989"/>
      <c r="B169" s="35" t="s">
        <v>95</v>
      </c>
      <c r="C169" s="35">
        <v>5</v>
      </c>
      <c r="D169" s="35" t="s">
        <v>120</v>
      </c>
      <c r="E169">
        <v>7128.05</v>
      </c>
      <c r="F169">
        <v>7217.15</v>
      </c>
      <c r="G169">
        <v>7476.97</v>
      </c>
    </row>
    <row r="170" spans="1:7" x14ac:dyDescent="0.45">
      <c r="A170" s="989"/>
      <c r="B170" s="35" t="s">
        <v>93</v>
      </c>
      <c r="C170" s="35">
        <v>6</v>
      </c>
      <c r="D170" s="35" t="s">
        <v>119</v>
      </c>
      <c r="E170">
        <v>7388.16</v>
      </c>
      <c r="F170">
        <v>7480.51</v>
      </c>
      <c r="G170">
        <v>7749.81</v>
      </c>
    </row>
    <row r="171" spans="1:7" x14ac:dyDescent="0.45">
      <c r="A171" s="989"/>
      <c r="B171" s="35" t="s">
        <v>91</v>
      </c>
      <c r="C171" s="35">
        <v>7</v>
      </c>
      <c r="D171" s="35" t="s">
        <v>118</v>
      </c>
      <c r="E171">
        <v>7657.7</v>
      </c>
      <c r="F171">
        <v>7753.42</v>
      </c>
      <c r="G171">
        <v>8032.54</v>
      </c>
    </row>
    <row r="172" spans="1:7" x14ac:dyDescent="0.45">
      <c r="A172" s="989"/>
      <c r="B172" s="35" t="s">
        <v>89</v>
      </c>
      <c r="C172" s="35">
        <v>8</v>
      </c>
      <c r="D172" s="35" t="s">
        <v>117</v>
      </c>
      <c r="E172">
        <v>7937.41</v>
      </c>
      <c r="F172">
        <v>8036.63</v>
      </c>
      <c r="G172">
        <v>8325.9500000000007</v>
      </c>
    </row>
    <row r="173" spans="1:7" x14ac:dyDescent="0.45">
      <c r="A173" s="989"/>
      <c r="B173" s="35" t="s">
        <v>87</v>
      </c>
      <c r="C173" s="35">
        <v>9</v>
      </c>
      <c r="D173" s="35" t="s">
        <v>116</v>
      </c>
      <c r="E173">
        <v>8227.31</v>
      </c>
      <c r="F173">
        <v>8330.15</v>
      </c>
      <c r="G173">
        <v>8630.0400000000009</v>
      </c>
    </row>
    <row r="174" spans="1:7" x14ac:dyDescent="0.45">
      <c r="A174" s="989"/>
      <c r="B174" s="35" t="s">
        <v>109</v>
      </c>
      <c r="C174" s="35">
        <v>10</v>
      </c>
      <c r="D174" s="35" t="s">
        <v>127</v>
      </c>
      <c r="E174">
        <v>8527.36</v>
      </c>
      <c r="F174">
        <v>8633.9500000000007</v>
      </c>
      <c r="G174">
        <v>8944.7800000000007</v>
      </c>
    </row>
    <row r="175" spans="1:7" x14ac:dyDescent="0.45">
      <c r="A175" s="989"/>
      <c r="B175" s="35" t="s">
        <v>107</v>
      </c>
      <c r="C175" s="35">
        <v>11</v>
      </c>
      <c r="D175" s="35" t="s">
        <v>126</v>
      </c>
      <c r="E175">
        <v>8838.35</v>
      </c>
      <c r="F175">
        <v>8948.83</v>
      </c>
      <c r="G175">
        <v>9270.99</v>
      </c>
    </row>
    <row r="176" spans="1:7" x14ac:dyDescent="0.45">
      <c r="A176" s="989"/>
      <c r="B176" s="35" t="s">
        <v>105</v>
      </c>
      <c r="C176" s="35">
        <v>12</v>
      </c>
      <c r="D176" s="35" t="s">
        <v>125</v>
      </c>
      <c r="E176">
        <v>9161.6200000000008</v>
      </c>
      <c r="F176">
        <v>9276.14</v>
      </c>
      <c r="G176">
        <v>9610.09</v>
      </c>
    </row>
    <row r="177" spans="1:7" x14ac:dyDescent="0.45">
      <c r="A177" s="989"/>
      <c r="B177" s="35" t="s">
        <v>103</v>
      </c>
      <c r="C177" s="35">
        <v>13</v>
      </c>
      <c r="D177" s="35" t="s">
        <v>124</v>
      </c>
      <c r="E177">
        <v>9495.86</v>
      </c>
      <c r="F177">
        <v>9614.56</v>
      </c>
      <c r="G177">
        <v>9960.69</v>
      </c>
    </row>
    <row r="178" spans="1:7" x14ac:dyDescent="0.45">
      <c r="A178" s="989"/>
      <c r="B178" s="35" t="s">
        <v>85</v>
      </c>
      <c r="C178" s="35">
        <v>14</v>
      </c>
      <c r="D178" s="35" t="s">
        <v>115</v>
      </c>
      <c r="E178">
        <v>0</v>
      </c>
      <c r="F178">
        <v>0</v>
      </c>
      <c r="G178">
        <v>0</v>
      </c>
    </row>
    <row r="179" spans="1:7" x14ac:dyDescent="0.45">
      <c r="A179" s="990"/>
      <c r="B179" s="35" t="s">
        <v>83</v>
      </c>
      <c r="C179" s="35">
        <v>15</v>
      </c>
      <c r="D179" s="35" t="s">
        <v>114</v>
      </c>
      <c r="E179">
        <v>0</v>
      </c>
      <c r="F179">
        <v>0</v>
      </c>
      <c r="G179">
        <v>0</v>
      </c>
    </row>
    <row r="180" spans="1:7" x14ac:dyDescent="0.45">
      <c r="A180" s="988">
        <v>15</v>
      </c>
      <c r="B180" s="35" t="s">
        <v>113</v>
      </c>
      <c r="C180" s="35">
        <v>0</v>
      </c>
      <c r="D180" s="35" t="s">
        <v>112</v>
      </c>
      <c r="E180">
        <v>6923.9</v>
      </c>
      <c r="F180">
        <v>7010.45</v>
      </c>
      <c r="G180">
        <v>7262.83</v>
      </c>
    </row>
    <row r="181" spans="1:7" x14ac:dyDescent="0.45">
      <c r="A181" s="989"/>
      <c r="B181" s="35" t="s">
        <v>111</v>
      </c>
      <c r="C181" s="35">
        <v>1</v>
      </c>
      <c r="D181" s="35" t="s">
        <v>110</v>
      </c>
      <c r="E181">
        <v>7180.38</v>
      </c>
      <c r="F181">
        <v>7270.13</v>
      </c>
      <c r="G181">
        <v>7531.86</v>
      </c>
    </row>
    <row r="182" spans="1:7" x14ac:dyDescent="0.45">
      <c r="A182" s="989"/>
      <c r="B182" s="35" t="s">
        <v>101</v>
      </c>
      <c r="C182" s="35">
        <v>2</v>
      </c>
      <c r="D182" s="35" t="s">
        <v>100</v>
      </c>
      <c r="E182">
        <v>7445.56</v>
      </c>
      <c r="F182">
        <v>7538.63</v>
      </c>
      <c r="G182">
        <v>7810.02</v>
      </c>
    </row>
    <row r="183" spans="1:7" x14ac:dyDescent="0.45">
      <c r="A183" s="989"/>
      <c r="B183" s="35" t="s">
        <v>99</v>
      </c>
      <c r="C183" s="35">
        <v>3</v>
      </c>
      <c r="D183" s="35" t="s">
        <v>98</v>
      </c>
      <c r="E183">
        <v>7720.9</v>
      </c>
      <c r="F183">
        <v>7817.41</v>
      </c>
      <c r="G183">
        <v>8098.84</v>
      </c>
    </row>
    <row r="184" spans="1:7" x14ac:dyDescent="0.45">
      <c r="A184" s="989"/>
      <c r="B184" s="35" t="s">
        <v>97</v>
      </c>
      <c r="C184" s="35">
        <v>4</v>
      </c>
      <c r="D184" s="35" t="s">
        <v>96</v>
      </c>
      <c r="E184">
        <v>8007.15</v>
      </c>
      <c r="F184">
        <v>8107.24</v>
      </c>
      <c r="G184">
        <v>8399.1</v>
      </c>
    </row>
    <row r="185" spans="1:7" x14ac:dyDescent="0.45">
      <c r="A185" s="989"/>
      <c r="B185" s="35" t="s">
        <v>95</v>
      </c>
      <c r="C185" s="35">
        <v>5</v>
      </c>
      <c r="D185" s="35" t="s">
        <v>94</v>
      </c>
      <c r="E185">
        <v>8302.8700000000008</v>
      </c>
      <c r="F185">
        <v>8406.66</v>
      </c>
      <c r="G185">
        <v>8709.2999999999993</v>
      </c>
    </row>
    <row r="186" spans="1:7" x14ac:dyDescent="0.45">
      <c r="A186" s="989"/>
      <c r="B186" s="35" t="s">
        <v>93</v>
      </c>
      <c r="C186" s="35">
        <v>6</v>
      </c>
      <c r="D186" s="35" t="s">
        <v>92</v>
      </c>
      <c r="E186">
        <v>8610.19</v>
      </c>
      <c r="F186">
        <v>8717.82</v>
      </c>
      <c r="G186">
        <v>9031.66</v>
      </c>
    </row>
    <row r="187" spans="1:7" x14ac:dyDescent="0.45">
      <c r="A187" s="989"/>
      <c r="B187" s="35" t="s">
        <v>91</v>
      </c>
      <c r="C187" s="35">
        <v>7</v>
      </c>
      <c r="D187" s="35" t="s">
        <v>90</v>
      </c>
      <c r="E187">
        <v>8929.16</v>
      </c>
      <c r="F187">
        <v>9040.77</v>
      </c>
      <c r="G187">
        <v>9366.24</v>
      </c>
    </row>
    <row r="188" spans="1:7" x14ac:dyDescent="0.45">
      <c r="A188" s="989"/>
      <c r="B188" s="35" t="s">
        <v>89</v>
      </c>
      <c r="C188" s="35">
        <v>8</v>
      </c>
      <c r="D188" s="35" t="s">
        <v>88</v>
      </c>
      <c r="E188">
        <v>9259.7099999999991</v>
      </c>
      <c r="F188">
        <v>9375.4599999999991</v>
      </c>
      <c r="G188">
        <v>9712.9699999999993</v>
      </c>
    </row>
    <row r="189" spans="1:7" x14ac:dyDescent="0.45">
      <c r="A189" s="989"/>
      <c r="B189" s="35" t="s">
        <v>87</v>
      </c>
      <c r="C189" s="35">
        <v>9</v>
      </c>
      <c r="D189" s="35" t="s">
        <v>86</v>
      </c>
      <c r="E189">
        <v>9601.91</v>
      </c>
      <c r="F189">
        <v>9721.94</v>
      </c>
      <c r="G189">
        <v>10071.93</v>
      </c>
    </row>
    <row r="190" spans="1:7" x14ac:dyDescent="0.45">
      <c r="A190" s="989"/>
      <c r="B190" s="35" t="s">
        <v>109</v>
      </c>
      <c r="C190" s="35">
        <v>10</v>
      </c>
      <c r="D190" s="35" t="s">
        <v>108</v>
      </c>
      <c r="E190">
        <v>9957.19</v>
      </c>
      <c r="F190">
        <v>10081.65</v>
      </c>
      <c r="G190">
        <v>10444.59</v>
      </c>
    </row>
    <row r="191" spans="1:7" x14ac:dyDescent="0.45">
      <c r="A191" s="989"/>
      <c r="B191" s="35" t="s">
        <v>107</v>
      </c>
      <c r="C191" s="35">
        <v>11</v>
      </c>
      <c r="D191" s="35" t="s">
        <v>106</v>
      </c>
      <c r="E191">
        <v>10325.56</v>
      </c>
      <c r="F191">
        <v>10454.629999999999</v>
      </c>
      <c r="G191">
        <v>10831</v>
      </c>
    </row>
    <row r="192" spans="1:7" x14ac:dyDescent="0.45">
      <c r="A192" s="989"/>
      <c r="B192" s="35" t="s">
        <v>105</v>
      </c>
      <c r="C192" s="35">
        <v>12</v>
      </c>
      <c r="D192" s="35" t="s">
        <v>104</v>
      </c>
      <c r="E192">
        <v>10707.7</v>
      </c>
      <c r="F192">
        <v>10841.55</v>
      </c>
      <c r="G192">
        <v>11231.84</v>
      </c>
    </row>
    <row r="193" spans="1:7" x14ac:dyDescent="0.45">
      <c r="A193" s="989"/>
      <c r="B193" s="35" t="s">
        <v>103</v>
      </c>
      <c r="C193" s="35">
        <v>13</v>
      </c>
      <c r="D193" s="35" t="s">
        <v>102</v>
      </c>
      <c r="E193">
        <v>11103.65</v>
      </c>
      <c r="F193">
        <v>11242.45</v>
      </c>
      <c r="G193">
        <v>11647.18</v>
      </c>
    </row>
    <row r="194" spans="1:7" x14ac:dyDescent="0.45">
      <c r="A194" s="989"/>
      <c r="B194" s="35" t="s">
        <v>85</v>
      </c>
      <c r="C194" s="35">
        <v>14</v>
      </c>
      <c r="D194" s="35" t="s">
        <v>84</v>
      </c>
      <c r="E194">
        <v>0</v>
      </c>
      <c r="F194">
        <v>0</v>
      </c>
      <c r="G194">
        <v>0</v>
      </c>
    </row>
    <row r="195" spans="1:7" x14ac:dyDescent="0.45">
      <c r="A195" s="990"/>
      <c r="B195" s="35" t="s">
        <v>83</v>
      </c>
      <c r="C195" s="35">
        <v>15</v>
      </c>
      <c r="D195" s="35" t="s">
        <v>82</v>
      </c>
      <c r="E195">
        <v>0</v>
      </c>
      <c r="F195">
        <v>0</v>
      </c>
      <c r="G195">
        <v>0</v>
      </c>
    </row>
  </sheetData>
  <mergeCells count="12">
    <mergeCell ref="A180:A195"/>
    <mergeCell ref="A4:A19"/>
    <mergeCell ref="A20:A35"/>
    <mergeCell ref="A36:A51"/>
    <mergeCell ref="A52:A67"/>
    <mergeCell ref="A68:A83"/>
    <mergeCell ref="A84:A99"/>
    <mergeCell ref="A100:A115"/>
    <mergeCell ref="A116:A131"/>
    <mergeCell ref="A132:A147"/>
    <mergeCell ref="A148:A163"/>
    <mergeCell ref="A164:A17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sheetPr>
  <dimension ref="A1:AD197"/>
  <sheetViews>
    <sheetView zoomScale="70" zoomScaleNormal="70" workbookViewId="0">
      <selection activeCell="I6" sqref="I6"/>
    </sheetView>
  </sheetViews>
  <sheetFormatPr defaultRowHeight="14.25" x14ac:dyDescent="0.45"/>
  <cols>
    <col min="5" max="5" width="9.53125" bestFit="1" customWidth="1"/>
    <col min="6" max="6" width="9.46484375" bestFit="1" customWidth="1"/>
    <col min="7" max="7" width="9.53125" bestFit="1" customWidth="1"/>
    <col min="8" max="9" width="9.46484375" bestFit="1" customWidth="1"/>
    <col min="11" max="11" width="10.46484375" bestFit="1" customWidth="1"/>
    <col min="14" max="14" width="10.46484375" bestFit="1" customWidth="1"/>
    <col min="17" max="17" width="9.46484375" bestFit="1" customWidth="1"/>
  </cols>
  <sheetData>
    <row r="1" spans="1:30" ht="12.5" customHeight="1" x14ac:dyDescent="0.45">
      <c r="A1" t="s">
        <v>1227</v>
      </c>
      <c r="E1" s="362">
        <f>IF(F2&lt;&gt;"", F2-1, DATE(2030,1,1))</f>
        <v>45473</v>
      </c>
      <c r="F1" s="362">
        <f>IF(G2&lt;&gt;"", G2-1, DATE(2030,1,1))</f>
        <v>45716</v>
      </c>
      <c r="G1" s="362">
        <f>IF(H2&lt;&gt;"", H2-1, DATE(2030,1,1))</f>
        <v>47484</v>
      </c>
    </row>
    <row r="2" spans="1:30" x14ac:dyDescent="0.45">
      <c r="A2" t="s">
        <v>1226</v>
      </c>
      <c r="E2" s="362">
        <v>45292</v>
      </c>
      <c r="F2" s="362">
        <v>45474</v>
      </c>
      <c r="G2" s="362">
        <v>45717</v>
      </c>
      <c r="L2" s="362"/>
      <c r="M2" s="362"/>
      <c r="N2" s="362"/>
    </row>
    <row r="3" spans="1:30" x14ac:dyDescent="0.45">
      <c r="D3" s="35" t="s">
        <v>297</v>
      </c>
      <c r="E3" s="35" t="s">
        <v>296</v>
      </c>
      <c r="F3" s="35" t="s">
        <v>295</v>
      </c>
      <c r="G3" s="35" t="s">
        <v>294</v>
      </c>
      <c r="H3" s="361"/>
      <c r="I3" s="361"/>
      <c r="AA3" s="5"/>
      <c r="AB3" s="5"/>
      <c r="AC3" s="5"/>
      <c r="AD3" s="5"/>
    </row>
    <row r="4" spans="1:30" x14ac:dyDescent="0.45">
      <c r="D4" s="35"/>
      <c r="E4" s="35" t="s">
        <v>293</v>
      </c>
      <c r="F4" s="35" t="s">
        <v>293</v>
      </c>
      <c r="G4" s="35" t="s">
        <v>293</v>
      </c>
      <c r="I4" s="5" t="s">
        <v>1229</v>
      </c>
      <c r="Q4" s="362"/>
    </row>
    <row r="5" spans="1:30" x14ac:dyDescent="0.45">
      <c r="A5" s="35" t="s">
        <v>28</v>
      </c>
      <c r="B5" s="35" t="s">
        <v>292</v>
      </c>
      <c r="C5" s="35" t="s">
        <v>291</v>
      </c>
      <c r="D5" s="35" t="s">
        <v>290</v>
      </c>
    </row>
    <row r="6" spans="1:30" x14ac:dyDescent="0.45">
      <c r="A6" s="988">
        <v>4</v>
      </c>
      <c r="B6" s="35">
        <v>0</v>
      </c>
      <c r="C6" s="35">
        <v>0</v>
      </c>
      <c r="D6" s="35" t="s">
        <v>289</v>
      </c>
      <c r="E6">
        <v>2340</v>
      </c>
      <c r="F6">
        <v>2369.25</v>
      </c>
      <c r="G6">
        <v>2454.54</v>
      </c>
      <c r="I6">
        <f>IF(
    OR(
        AND(MAX(0, MIN($E$1, DATE(Initialisatie!$C$5,12,31)) - MAX($E$2, DATE(Initialisatie!$C$5,1,1)) + 1) &gt; 0,IFERROR(VALUE($E6),0)=0),
        AND(MAX(0, MIN($F$1, DATE(Initialisatie!$C$5,12,31)) - MAX($F$2, DATE(Initialisatie!$C$5,1,1)) + 1) &gt; 0,IFERROR(VALUE($F6),0)=0),
        AND(MAX(0, MIN($G$1, DATE(Initialisatie!$C$5,12,31)) - MAX($G$2, DATE(Initialisatie!$C$5,1,1)) + 1) &gt; 0,IFERROR(VALUE($G6),0)=0)
    ),
    0,
    SUM(
        IFERROR(VALUE($E6),0) * MAX(0, MIN($E$1, DATE(Initialisatie!$C$5,12,31)) - MAX($E$2, DATE(Initialisatie!$C$5,1,1)) + 1),
        IFERROR(VALUE($F6),0) * MAX(0, MIN($F$1, DATE(Initialisatie!$C$5,12,31)) - MAX($F$2, DATE(Initialisatie!$C$5,1,1)) + 1),
        IFERROR(VALUE($G6),0) * MAX(0, MIN($G$1, DATE(Initialisatie!$C$5,12,31)) - MAX($G$2, DATE(Initialisatie!$C$5,1,1)) + 1)
    ) / (DATE(Initialisatie!$C$5,12,31) - DATE(Initialisatie!$C$5,1,1) + 1)
)</f>
        <v>2454.54</v>
      </c>
      <c r="N6" s="362"/>
    </row>
    <row r="7" spans="1:30" x14ac:dyDescent="0.45">
      <c r="A7" s="989"/>
      <c r="B7" s="35">
        <v>1</v>
      </c>
      <c r="C7" s="35">
        <v>1</v>
      </c>
      <c r="D7" s="35" t="s">
        <v>288</v>
      </c>
      <c r="E7">
        <v>2340</v>
      </c>
      <c r="F7">
        <v>2369.25</v>
      </c>
      <c r="G7">
        <v>2454.54</v>
      </c>
      <c r="I7">
        <f>IF(
    OR(
        AND(MAX(0, MIN($E$1, DATE(Initialisatie!$C$5,12,31)) - MAX($E$2, DATE(Initialisatie!$C$5,1,1)) + 1) &gt; 0,IFERROR(VALUE($E7),0)=0),
        AND(MAX(0, MIN($F$1, DATE(Initialisatie!$C$5,12,31)) - MAX($F$2, DATE(Initialisatie!$C$5,1,1)) + 1) &gt; 0,IFERROR(VALUE($F7),0)=0),
        AND(MAX(0, MIN($G$1, DATE(Initialisatie!$C$5,12,31)) - MAX($G$2, DATE(Initialisatie!$C$5,1,1)) + 1) &gt; 0,IFERROR(VALUE($G7),0)=0)
    ),
    0,
    SUM(
        IFERROR(VALUE($E7),0) * MAX(0, MIN($E$1, DATE(Initialisatie!$C$5,12,31)) - MAX($E$2, DATE(Initialisatie!$C$5,1,1)) + 1),
        IFERROR(VALUE($F7),0) * MAX(0, MIN($F$1, DATE(Initialisatie!$C$5,12,31)) - MAX($F$2, DATE(Initialisatie!$C$5,1,1)) + 1),
        IFERROR(VALUE($G7),0) * MAX(0, MIN($G$1, DATE(Initialisatie!$C$5,12,31)) - MAX($G$2, DATE(Initialisatie!$C$5,1,1)) + 1)
    ) / (DATE(Initialisatie!$C$5,12,31) - DATE(Initialisatie!$C$5,1,1) + 1)
)</f>
        <v>2454.54</v>
      </c>
      <c r="J7" s="362"/>
    </row>
    <row r="8" spans="1:30" x14ac:dyDescent="0.45">
      <c r="A8" s="989"/>
      <c r="B8" s="35">
        <v>2</v>
      </c>
      <c r="C8" s="35">
        <v>2</v>
      </c>
      <c r="D8" s="35" t="s">
        <v>283</v>
      </c>
      <c r="E8">
        <v>2392.52</v>
      </c>
      <c r="F8">
        <v>2422.4299999999998</v>
      </c>
      <c r="G8">
        <v>2509.64</v>
      </c>
      <c r="I8">
        <f>IF(
    OR(
        AND(MAX(0, MIN($E$1, DATE(Initialisatie!$C$5,12,31)) - MAX($E$2, DATE(Initialisatie!$C$5,1,1)) + 1) &gt; 0,IFERROR(VALUE($E8),0)=0),
        AND(MAX(0, MIN($F$1, DATE(Initialisatie!$C$5,12,31)) - MAX($F$2, DATE(Initialisatie!$C$5,1,1)) + 1) &gt; 0,IFERROR(VALUE($F8),0)=0),
        AND(MAX(0, MIN($G$1, DATE(Initialisatie!$C$5,12,31)) - MAX($G$2, DATE(Initialisatie!$C$5,1,1)) + 1) &gt; 0,IFERROR(VALUE($G8),0)=0)
    ),
    0,
    SUM(
        IFERROR(VALUE($E8),0) * MAX(0, MIN($E$1, DATE(Initialisatie!$C$5,12,31)) - MAX($E$2, DATE(Initialisatie!$C$5,1,1)) + 1),
        IFERROR(VALUE($F8),0) * MAX(0, MIN($F$1, DATE(Initialisatie!$C$5,12,31)) - MAX($F$2, DATE(Initialisatie!$C$5,1,1)) + 1),
        IFERROR(VALUE($G8),0) * MAX(0, MIN($G$1, DATE(Initialisatie!$C$5,12,31)) - MAX($G$2, DATE(Initialisatie!$C$5,1,1)) + 1)
    ) / (DATE(Initialisatie!$C$5,12,31) - DATE(Initialisatie!$C$5,1,1) + 1)
)</f>
        <v>2509.64</v>
      </c>
    </row>
    <row r="9" spans="1:30" x14ac:dyDescent="0.45">
      <c r="A9" s="989"/>
      <c r="B9" s="35" t="s">
        <v>99</v>
      </c>
      <c r="C9" s="35">
        <v>3</v>
      </c>
      <c r="D9" s="35" t="s">
        <v>282</v>
      </c>
      <c r="E9">
        <v>2468.0300000000002</v>
      </c>
      <c r="F9">
        <v>2498.88</v>
      </c>
      <c r="G9">
        <v>2588.84</v>
      </c>
      <c r="I9">
        <f>IF(
    OR(
        AND(MAX(0, MIN($E$1, DATE(Initialisatie!$C$5,12,31)) - MAX($E$2, DATE(Initialisatie!$C$5,1,1)) + 1) &gt; 0,IFERROR(VALUE($E9),0)=0),
        AND(MAX(0, MIN($F$1, DATE(Initialisatie!$C$5,12,31)) - MAX($F$2, DATE(Initialisatie!$C$5,1,1)) + 1) &gt; 0,IFERROR(VALUE($F9),0)=0),
        AND(MAX(0, MIN($G$1, DATE(Initialisatie!$C$5,12,31)) - MAX($G$2, DATE(Initialisatie!$C$5,1,1)) + 1) &gt; 0,IFERROR(VALUE($G9),0)=0)
    ),
    0,
    SUM(
        IFERROR(VALUE($E9),0) * MAX(0, MIN($E$1, DATE(Initialisatie!$C$5,12,31)) - MAX($E$2, DATE(Initialisatie!$C$5,1,1)) + 1),
        IFERROR(VALUE($F9),0) * MAX(0, MIN($F$1, DATE(Initialisatie!$C$5,12,31)) - MAX($F$2, DATE(Initialisatie!$C$5,1,1)) + 1),
        IFERROR(VALUE($G9),0) * MAX(0, MIN($G$1, DATE(Initialisatie!$C$5,12,31)) - MAX($G$2, DATE(Initialisatie!$C$5,1,1)) + 1)
    ) / (DATE(Initialisatie!$C$5,12,31) - DATE(Initialisatie!$C$5,1,1) + 1)
)</f>
        <v>2588.84</v>
      </c>
    </row>
    <row r="10" spans="1:30" x14ac:dyDescent="0.45">
      <c r="A10" s="989"/>
      <c r="B10" s="35" t="s">
        <v>97</v>
      </c>
      <c r="C10" s="35">
        <v>4</v>
      </c>
      <c r="D10" s="35" t="s">
        <v>281</v>
      </c>
      <c r="E10">
        <v>2545.7600000000002</v>
      </c>
      <c r="F10">
        <v>2577.59</v>
      </c>
      <c r="G10">
        <v>2670.38</v>
      </c>
      <c r="I10">
        <f>IF(
    OR(
        AND(MAX(0, MIN($E$1, DATE(Initialisatie!$C$5,12,31)) - MAX($E$2, DATE(Initialisatie!$C$5,1,1)) + 1) &gt; 0,IFERROR(VALUE($E10),0)=0),
        AND(MAX(0, MIN($F$1, DATE(Initialisatie!$C$5,12,31)) - MAX($F$2, DATE(Initialisatie!$C$5,1,1)) + 1) &gt; 0,IFERROR(VALUE($F10),0)=0),
        AND(MAX(0, MIN($G$1, DATE(Initialisatie!$C$5,12,31)) - MAX($G$2, DATE(Initialisatie!$C$5,1,1)) + 1) &gt; 0,IFERROR(VALUE($G10),0)=0)
    ),
    0,
    SUM(
        IFERROR(VALUE($E10),0) * MAX(0, MIN($E$1, DATE(Initialisatie!$C$5,12,31)) - MAX($E$2, DATE(Initialisatie!$C$5,1,1)) + 1),
        IFERROR(VALUE($F10),0) * MAX(0, MIN($F$1, DATE(Initialisatie!$C$5,12,31)) - MAX($F$2, DATE(Initialisatie!$C$5,1,1)) + 1),
        IFERROR(VALUE($G10),0) * MAX(0, MIN($G$1, DATE(Initialisatie!$C$5,12,31)) - MAX($G$2, DATE(Initialisatie!$C$5,1,1)) + 1)
    ) / (DATE(Initialisatie!$C$5,12,31) - DATE(Initialisatie!$C$5,1,1) + 1)
)</f>
        <v>2670.38</v>
      </c>
    </row>
    <row r="11" spans="1:30" x14ac:dyDescent="0.45">
      <c r="A11" s="989"/>
      <c r="B11" s="35" t="s">
        <v>95</v>
      </c>
      <c r="C11" s="35">
        <v>5</v>
      </c>
      <c r="D11" s="35" t="s">
        <v>280</v>
      </c>
      <c r="E11">
        <v>2625.68</v>
      </c>
      <c r="F11">
        <v>2658.5</v>
      </c>
      <c r="G11">
        <v>2754.21</v>
      </c>
      <c r="I11">
        <f>IF(
    OR(
        AND(MAX(0, MIN($E$1, DATE(Initialisatie!$C$5,12,31)) - MAX($E$2, DATE(Initialisatie!$C$5,1,1)) + 1) &gt; 0,IFERROR(VALUE($E11),0)=0),
        AND(MAX(0, MIN($F$1, DATE(Initialisatie!$C$5,12,31)) - MAX($F$2, DATE(Initialisatie!$C$5,1,1)) + 1) &gt; 0,IFERROR(VALUE($F11),0)=0),
        AND(MAX(0, MIN($G$1, DATE(Initialisatie!$C$5,12,31)) - MAX($G$2, DATE(Initialisatie!$C$5,1,1)) + 1) &gt; 0,IFERROR(VALUE($G11),0)=0)
    ),
    0,
    SUM(
        IFERROR(VALUE($E11),0) * MAX(0, MIN($E$1, DATE(Initialisatie!$C$5,12,31)) - MAX($E$2, DATE(Initialisatie!$C$5,1,1)) + 1),
        IFERROR(VALUE($F11),0) * MAX(0, MIN($F$1, DATE(Initialisatie!$C$5,12,31)) - MAX($F$2, DATE(Initialisatie!$C$5,1,1)) + 1),
        IFERROR(VALUE($G11),0) * MAX(0, MIN($G$1, DATE(Initialisatie!$C$5,12,31)) - MAX($G$2, DATE(Initialisatie!$C$5,1,1)) + 1)
    ) / (DATE(Initialisatie!$C$5,12,31) - DATE(Initialisatie!$C$5,1,1) + 1)
)</f>
        <v>2754.21</v>
      </c>
    </row>
    <row r="12" spans="1:30" x14ac:dyDescent="0.45">
      <c r="A12" s="989"/>
      <c r="B12" s="35" t="s">
        <v>93</v>
      </c>
      <c r="C12" s="35">
        <v>6</v>
      </c>
      <c r="D12" s="35" t="s">
        <v>279</v>
      </c>
      <c r="E12">
        <v>2708.51</v>
      </c>
      <c r="F12">
        <v>2742.37</v>
      </c>
      <c r="G12">
        <v>2841.09</v>
      </c>
      <c r="I12">
        <f>IF(
    OR(
        AND(MAX(0, MIN($E$1, DATE(Initialisatie!$C$5,12,31)) - MAX($E$2, DATE(Initialisatie!$C$5,1,1)) + 1) &gt; 0,IFERROR(VALUE($E12),0)=0),
        AND(MAX(0, MIN($F$1, DATE(Initialisatie!$C$5,12,31)) - MAX($F$2, DATE(Initialisatie!$C$5,1,1)) + 1) &gt; 0,IFERROR(VALUE($F12),0)=0),
        AND(MAX(0, MIN($G$1, DATE(Initialisatie!$C$5,12,31)) - MAX($G$2, DATE(Initialisatie!$C$5,1,1)) + 1) &gt; 0,IFERROR(VALUE($G12),0)=0)
    ),
    0,
    SUM(
        IFERROR(VALUE($E12),0) * MAX(0, MIN($E$1, DATE(Initialisatie!$C$5,12,31)) - MAX($E$2, DATE(Initialisatie!$C$5,1,1)) + 1),
        IFERROR(VALUE($F12),0) * MAX(0, MIN($F$1, DATE(Initialisatie!$C$5,12,31)) - MAX($F$2, DATE(Initialisatie!$C$5,1,1)) + 1),
        IFERROR(VALUE($G12),0) * MAX(0, MIN($G$1, DATE(Initialisatie!$C$5,12,31)) - MAX($G$2, DATE(Initialisatie!$C$5,1,1)) + 1)
    ) / (DATE(Initialisatie!$C$5,12,31) - DATE(Initialisatie!$C$5,1,1) + 1)
)</f>
        <v>2841.09</v>
      </c>
    </row>
    <row r="13" spans="1:30" x14ac:dyDescent="0.45">
      <c r="A13" s="989"/>
      <c r="B13" s="35" t="s">
        <v>91</v>
      </c>
      <c r="C13" s="35">
        <v>7</v>
      </c>
      <c r="D13" s="35" t="s">
        <v>278</v>
      </c>
      <c r="E13">
        <v>2793.51</v>
      </c>
      <c r="F13">
        <v>2828.43</v>
      </c>
      <c r="G13">
        <v>2930.26</v>
      </c>
      <c r="I13">
        <f>IF(
    OR(
        AND(MAX(0, MIN($E$1, DATE(Initialisatie!$C$5,12,31)) - MAX($E$2, DATE(Initialisatie!$C$5,1,1)) + 1) &gt; 0,IFERROR(VALUE($E13),0)=0),
        AND(MAX(0, MIN($F$1, DATE(Initialisatie!$C$5,12,31)) - MAX($F$2, DATE(Initialisatie!$C$5,1,1)) + 1) &gt; 0,IFERROR(VALUE($F13),0)=0),
        AND(MAX(0, MIN($G$1, DATE(Initialisatie!$C$5,12,31)) - MAX($G$2, DATE(Initialisatie!$C$5,1,1)) + 1) &gt; 0,IFERROR(VALUE($G13),0)=0)
    ),
    0,
    SUM(
        IFERROR(VALUE($E13),0) * MAX(0, MIN($E$1, DATE(Initialisatie!$C$5,12,31)) - MAX($E$2, DATE(Initialisatie!$C$5,1,1)) + 1),
        IFERROR(VALUE($F13),0) * MAX(0, MIN($F$1, DATE(Initialisatie!$C$5,12,31)) - MAX($F$2, DATE(Initialisatie!$C$5,1,1)) + 1),
        IFERROR(VALUE($G13),0) * MAX(0, MIN($G$1, DATE(Initialisatie!$C$5,12,31)) - MAX($G$2, DATE(Initialisatie!$C$5,1,1)) + 1)
    ) / (DATE(Initialisatie!$C$5,12,31) - DATE(Initialisatie!$C$5,1,1) + 1)
)</f>
        <v>2930.26</v>
      </c>
    </row>
    <row r="14" spans="1:30" x14ac:dyDescent="0.45">
      <c r="A14" s="989"/>
      <c r="B14" s="35" t="s">
        <v>89</v>
      </c>
      <c r="C14" s="35">
        <v>8</v>
      </c>
      <c r="D14" s="35" t="s">
        <v>277</v>
      </c>
      <c r="E14">
        <v>2882.2</v>
      </c>
      <c r="F14">
        <v>2918.23</v>
      </c>
      <c r="G14">
        <v>3023.29</v>
      </c>
      <c r="I14">
        <f>IF(
    OR(
        AND(MAX(0, MIN($E$1, DATE(Initialisatie!$C$5,12,31)) - MAX($E$2, DATE(Initialisatie!$C$5,1,1)) + 1) &gt; 0,IFERROR(VALUE($E14),0)=0),
        AND(MAX(0, MIN($F$1, DATE(Initialisatie!$C$5,12,31)) - MAX($F$2, DATE(Initialisatie!$C$5,1,1)) + 1) &gt; 0,IFERROR(VALUE($F14),0)=0),
        AND(MAX(0, MIN($G$1, DATE(Initialisatie!$C$5,12,31)) - MAX($G$2, DATE(Initialisatie!$C$5,1,1)) + 1) &gt; 0,IFERROR(VALUE($G14),0)=0)
    ),
    0,
    SUM(
        IFERROR(VALUE($E14),0) * MAX(0, MIN($E$1, DATE(Initialisatie!$C$5,12,31)) - MAX($E$2, DATE(Initialisatie!$C$5,1,1)) + 1),
        IFERROR(VALUE($F14),0) * MAX(0, MIN($F$1, DATE(Initialisatie!$C$5,12,31)) - MAX($F$2, DATE(Initialisatie!$C$5,1,1)) + 1),
        IFERROR(VALUE($G14),0) * MAX(0, MIN($G$1, DATE(Initialisatie!$C$5,12,31)) - MAX($G$2, DATE(Initialisatie!$C$5,1,1)) + 1)
    ) / (DATE(Initialisatie!$C$5,12,31) - DATE(Initialisatie!$C$5,1,1) + 1)
)</f>
        <v>3023.2900000000004</v>
      </c>
    </row>
    <row r="15" spans="1:30" x14ac:dyDescent="0.45">
      <c r="A15" s="989"/>
      <c r="B15" s="35" t="s">
        <v>87</v>
      </c>
      <c r="C15" s="35">
        <v>9</v>
      </c>
      <c r="D15" s="35" t="s">
        <v>276</v>
      </c>
      <c r="E15">
        <v>2972.98</v>
      </c>
      <c r="F15">
        <v>3010.14</v>
      </c>
      <c r="G15">
        <v>3118.51</v>
      </c>
      <c r="I15">
        <f>IF(
    OR(
        AND(MAX(0, MIN($E$1, DATE(Initialisatie!$C$5,12,31)) - MAX($E$2, DATE(Initialisatie!$C$5,1,1)) + 1) &gt; 0,IFERROR(VALUE($E15),0)=0),
        AND(MAX(0, MIN($F$1, DATE(Initialisatie!$C$5,12,31)) - MAX($F$2, DATE(Initialisatie!$C$5,1,1)) + 1) &gt; 0,IFERROR(VALUE($F15),0)=0),
        AND(MAX(0, MIN($G$1, DATE(Initialisatie!$C$5,12,31)) - MAX($G$2, DATE(Initialisatie!$C$5,1,1)) + 1) &gt; 0,IFERROR(VALUE($G15),0)=0)
    ),
    0,
    SUM(
        IFERROR(VALUE($E15),0) * MAX(0, MIN($E$1, DATE(Initialisatie!$C$5,12,31)) - MAX($E$2, DATE(Initialisatie!$C$5,1,1)) + 1),
        IFERROR(VALUE($F15),0) * MAX(0, MIN($F$1, DATE(Initialisatie!$C$5,12,31)) - MAX($F$2, DATE(Initialisatie!$C$5,1,1)) + 1),
        IFERROR(VALUE($G15),0) * MAX(0, MIN($G$1, DATE(Initialisatie!$C$5,12,31)) - MAX($G$2, DATE(Initialisatie!$C$5,1,1)) + 1)
    ) / (DATE(Initialisatie!$C$5,12,31) - DATE(Initialisatie!$C$5,1,1) + 1)
)</f>
        <v>3118.51</v>
      </c>
    </row>
    <row r="16" spans="1:30" x14ac:dyDescent="0.45">
      <c r="A16" s="989"/>
      <c r="B16" s="35" t="s">
        <v>109</v>
      </c>
      <c r="C16" s="35">
        <v>10</v>
      </c>
      <c r="D16" s="35" t="s">
        <v>287</v>
      </c>
      <c r="E16">
        <v>3065.97</v>
      </c>
      <c r="F16">
        <v>3104.3</v>
      </c>
      <c r="G16">
        <v>3216.05</v>
      </c>
      <c r="I16">
        <f>IF(
    OR(
        AND(MAX(0, MIN($E$1, DATE(Initialisatie!$C$5,12,31)) - MAX($E$2, DATE(Initialisatie!$C$5,1,1)) + 1) &gt; 0,IFERROR(VALUE($E16),0)=0),
        AND(MAX(0, MIN($F$1, DATE(Initialisatie!$C$5,12,31)) - MAX($F$2, DATE(Initialisatie!$C$5,1,1)) + 1) &gt; 0,IFERROR(VALUE($F16),0)=0),
        AND(MAX(0, MIN($G$1, DATE(Initialisatie!$C$5,12,31)) - MAX($G$2, DATE(Initialisatie!$C$5,1,1)) + 1) &gt; 0,IFERROR(VALUE($G16),0)=0)
    ),
    0,
    SUM(
        IFERROR(VALUE($E16),0) * MAX(0, MIN($E$1, DATE(Initialisatie!$C$5,12,31)) - MAX($E$2, DATE(Initialisatie!$C$5,1,1)) + 1),
        IFERROR(VALUE($F16),0) * MAX(0, MIN($F$1, DATE(Initialisatie!$C$5,12,31)) - MAX($F$2, DATE(Initialisatie!$C$5,1,1)) + 1),
        IFERROR(VALUE($G16),0) * MAX(0, MIN($G$1, DATE(Initialisatie!$C$5,12,31)) - MAX($G$2, DATE(Initialisatie!$C$5,1,1)) + 1)
    ) / (DATE(Initialisatie!$C$5,12,31) - DATE(Initialisatie!$C$5,1,1) + 1)
)</f>
        <v>3216.05</v>
      </c>
    </row>
    <row r="17" spans="1:9" x14ac:dyDescent="0.45">
      <c r="A17" s="989"/>
      <c r="B17" s="35" t="s">
        <v>107</v>
      </c>
      <c r="C17" s="35">
        <v>11</v>
      </c>
      <c r="D17" s="35" t="s">
        <v>286</v>
      </c>
      <c r="E17">
        <v>0</v>
      </c>
      <c r="F17">
        <v>0</v>
      </c>
      <c r="G17">
        <v>0</v>
      </c>
      <c r="I17">
        <f>IF(
    OR(
        AND(MAX(0, MIN($E$1, DATE(Initialisatie!$C$5,12,31)) - MAX($E$2, DATE(Initialisatie!$C$5,1,1)) + 1) &gt; 0,IFERROR(VALUE($E17),0)=0),
        AND(MAX(0, MIN($F$1, DATE(Initialisatie!$C$5,12,31)) - MAX($F$2, DATE(Initialisatie!$C$5,1,1)) + 1) &gt; 0,IFERROR(VALUE($F17),0)=0),
        AND(MAX(0, MIN($G$1, DATE(Initialisatie!$C$5,12,31)) - MAX($G$2, DATE(Initialisatie!$C$5,1,1)) + 1) &gt; 0,IFERROR(VALUE($G17),0)=0)
    ),
    0,
    SUM(
        IFERROR(VALUE($E17),0) * MAX(0, MIN($E$1, DATE(Initialisatie!$C$5,12,31)) - MAX($E$2, DATE(Initialisatie!$C$5,1,1)) + 1),
        IFERROR(VALUE($F17),0) * MAX(0, MIN($F$1, DATE(Initialisatie!$C$5,12,31)) - MAX($F$2, DATE(Initialisatie!$C$5,1,1)) + 1),
        IFERROR(VALUE($G17),0) * MAX(0, MIN($G$1, DATE(Initialisatie!$C$5,12,31)) - MAX($G$2, DATE(Initialisatie!$C$5,1,1)) + 1)
    ) / (DATE(Initialisatie!$C$5,12,31) - DATE(Initialisatie!$C$5,1,1) + 1)
)</f>
        <v>0</v>
      </c>
    </row>
    <row r="18" spans="1:9" x14ac:dyDescent="0.45">
      <c r="A18" s="989"/>
      <c r="B18" s="35" t="s">
        <v>105</v>
      </c>
      <c r="C18" s="35">
        <v>12</v>
      </c>
      <c r="D18" s="35" t="s">
        <v>285</v>
      </c>
      <c r="E18">
        <v>0</v>
      </c>
      <c r="F18">
        <v>0</v>
      </c>
      <c r="G18">
        <v>0</v>
      </c>
      <c r="I18">
        <f>IF(
    OR(
        AND(MAX(0, MIN($E$1, DATE(Initialisatie!$C$5,12,31)) - MAX($E$2, DATE(Initialisatie!$C$5,1,1)) + 1) &gt; 0,IFERROR(VALUE($E18),0)=0),
        AND(MAX(0, MIN($F$1, DATE(Initialisatie!$C$5,12,31)) - MAX($F$2, DATE(Initialisatie!$C$5,1,1)) + 1) &gt; 0,IFERROR(VALUE($F18),0)=0),
        AND(MAX(0, MIN($G$1, DATE(Initialisatie!$C$5,12,31)) - MAX($G$2, DATE(Initialisatie!$C$5,1,1)) + 1) &gt; 0,IFERROR(VALUE($G18),0)=0)
    ),
    0,
    SUM(
        IFERROR(VALUE($E18),0) * MAX(0, MIN($E$1, DATE(Initialisatie!$C$5,12,31)) - MAX($E$2, DATE(Initialisatie!$C$5,1,1)) + 1),
        IFERROR(VALUE($F18),0) * MAX(0, MIN($F$1, DATE(Initialisatie!$C$5,12,31)) - MAX($F$2, DATE(Initialisatie!$C$5,1,1)) + 1),
        IFERROR(VALUE($G18),0) * MAX(0, MIN($G$1, DATE(Initialisatie!$C$5,12,31)) - MAX($G$2, DATE(Initialisatie!$C$5,1,1)) + 1)
    ) / (DATE(Initialisatie!$C$5,12,31) - DATE(Initialisatie!$C$5,1,1) + 1)
)</f>
        <v>0</v>
      </c>
    </row>
    <row r="19" spans="1:9" x14ac:dyDescent="0.45">
      <c r="A19" s="989"/>
      <c r="B19" s="35" t="s">
        <v>103</v>
      </c>
      <c r="C19" s="35">
        <v>13</v>
      </c>
      <c r="D19" s="35" t="s">
        <v>284</v>
      </c>
      <c r="E19">
        <v>0</v>
      </c>
      <c r="F19">
        <v>0</v>
      </c>
      <c r="G19">
        <v>0</v>
      </c>
      <c r="I19">
        <f>IF(
    OR(
        AND(MAX(0, MIN($E$1, DATE(Initialisatie!$C$5,12,31)) - MAX($E$2, DATE(Initialisatie!$C$5,1,1)) + 1) &gt; 0,IFERROR(VALUE($E19),0)=0),
        AND(MAX(0, MIN($F$1, DATE(Initialisatie!$C$5,12,31)) - MAX($F$2, DATE(Initialisatie!$C$5,1,1)) + 1) &gt; 0,IFERROR(VALUE($F19),0)=0),
        AND(MAX(0, MIN($G$1, DATE(Initialisatie!$C$5,12,31)) - MAX($G$2, DATE(Initialisatie!$C$5,1,1)) + 1) &gt; 0,IFERROR(VALUE($G19),0)=0)
    ),
    0,
    SUM(
        IFERROR(VALUE($E19),0) * MAX(0, MIN($E$1, DATE(Initialisatie!$C$5,12,31)) - MAX($E$2, DATE(Initialisatie!$C$5,1,1)) + 1),
        IFERROR(VALUE($F19),0) * MAX(0, MIN($F$1, DATE(Initialisatie!$C$5,12,31)) - MAX($F$2, DATE(Initialisatie!$C$5,1,1)) + 1),
        IFERROR(VALUE($G19),0) * MAX(0, MIN($G$1, DATE(Initialisatie!$C$5,12,31)) - MAX($G$2, DATE(Initialisatie!$C$5,1,1)) + 1)
    ) / (DATE(Initialisatie!$C$5,12,31) - DATE(Initialisatie!$C$5,1,1) + 1)
)</f>
        <v>0</v>
      </c>
    </row>
    <row r="20" spans="1:9" x14ac:dyDescent="0.45">
      <c r="A20" s="989"/>
      <c r="B20" s="35" t="s">
        <v>85</v>
      </c>
      <c r="C20" s="35">
        <v>14</v>
      </c>
      <c r="D20" s="35" t="s">
        <v>275</v>
      </c>
      <c r="E20">
        <v>3162.64</v>
      </c>
      <c r="F20">
        <v>3202.17</v>
      </c>
      <c r="G20">
        <v>3317.45</v>
      </c>
      <c r="I20">
        <f>IF(
    OR(
        AND(MAX(0, MIN($E$1, DATE(Initialisatie!$C$5,12,31)) - MAX($E$2, DATE(Initialisatie!$C$5,1,1)) + 1) &gt; 0,IFERROR(VALUE($E20),0)=0),
        AND(MAX(0, MIN($F$1, DATE(Initialisatie!$C$5,12,31)) - MAX($F$2, DATE(Initialisatie!$C$5,1,1)) + 1) &gt; 0,IFERROR(VALUE($F20),0)=0),
        AND(MAX(0, MIN($G$1, DATE(Initialisatie!$C$5,12,31)) - MAX($G$2, DATE(Initialisatie!$C$5,1,1)) + 1) &gt; 0,IFERROR(VALUE($G20),0)=0)
    ),
    0,
    SUM(
        IFERROR(VALUE($E20),0) * MAX(0, MIN($E$1, DATE(Initialisatie!$C$5,12,31)) - MAX($E$2, DATE(Initialisatie!$C$5,1,1)) + 1),
        IFERROR(VALUE($F20),0) * MAX(0, MIN($F$1, DATE(Initialisatie!$C$5,12,31)) - MAX($F$2, DATE(Initialisatie!$C$5,1,1)) + 1),
        IFERROR(VALUE($G20),0) * MAX(0, MIN($G$1, DATE(Initialisatie!$C$5,12,31)) - MAX($G$2, DATE(Initialisatie!$C$5,1,1)) + 1)
    ) / (DATE(Initialisatie!$C$5,12,31) - DATE(Initialisatie!$C$5,1,1) + 1)
)</f>
        <v>3317.45</v>
      </c>
    </row>
    <row r="21" spans="1:9" x14ac:dyDescent="0.45">
      <c r="A21" s="990"/>
      <c r="B21" s="35" t="s">
        <v>83</v>
      </c>
      <c r="C21" s="35">
        <v>15</v>
      </c>
      <c r="D21" s="35" t="s">
        <v>274</v>
      </c>
      <c r="E21">
        <v>3262.16</v>
      </c>
      <c r="F21">
        <v>3302.94</v>
      </c>
      <c r="G21">
        <v>3421.84</v>
      </c>
      <c r="I21">
        <f>IF(
    OR(
        AND(MAX(0, MIN($E$1, DATE(Initialisatie!$C$5,12,31)) - MAX($E$2, DATE(Initialisatie!$C$5,1,1)) + 1) &gt; 0,IFERROR(VALUE($E21),0)=0),
        AND(MAX(0, MIN($F$1, DATE(Initialisatie!$C$5,12,31)) - MAX($F$2, DATE(Initialisatie!$C$5,1,1)) + 1) &gt; 0,IFERROR(VALUE($F21),0)=0),
        AND(MAX(0, MIN($G$1, DATE(Initialisatie!$C$5,12,31)) - MAX($G$2, DATE(Initialisatie!$C$5,1,1)) + 1) &gt; 0,IFERROR(VALUE($G21),0)=0)
    ),
    0,
    SUM(
        IFERROR(VALUE($E21),0) * MAX(0, MIN($E$1, DATE(Initialisatie!$C$5,12,31)) - MAX($E$2, DATE(Initialisatie!$C$5,1,1)) + 1),
        IFERROR(VALUE($F21),0) * MAX(0, MIN($F$1, DATE(Initialisatie!$C$5,12,31)) - MAX($F$2, DATE(Initialisatie!$C$5,1,1)) + 1),
        IFERROR(VALUE($G21),0) * MAX(0, MIN($G$1, DATE(Initialisatie!$C$5,12,31)) - MAX($G$2, DATE(Initialisatie!$C$5,1,1)) + 1)
    ) / (DATE(Initialisatie!$C$5,12,31) - DATE(Initialisatie!$C$5,1,1) + 1)
)</f>
        <v>3421.84</v>
      </c>
    </row>
    <row r="22" spans="1:9" x14ac:dyDescent="0.45">
      <c r="A22" s="988">
        <v>5</v>
      </c>
      <c r="B22" s="35" t="s">
        <v>113</v>
      </c>
      <c r="C22" s="35">
        <v>0</v>
      </c>
      <c r="D22" s="35" t="s">
        <v>273</v>
      </c>
      <c r="E22">
        <v>2340</v>
      </c>
      <c r="F22">
        <v>2369.25</v>
      </c>
      <c r="G22">
        <v>2454.54</v>
      </c>
      <c r="I22">
        <f>IF(
    OR(
        AND(MAX(0, MIN($E$1, DATE(Initialisatie!$C$5,12,31)) - MAX($E$2, DATE(Initialisatie!$C$5,1,1)) + 1) &gt; 0,IFERROR(VALUE($E22),0)=0),
        AND(MAX(0, MIN($F$1, DATE(Initialisatie!$C$5,12,31)) - MAX($F$2, DATE(Initialisatie!$C$5,1,1)) + 1) &gt; 0,IFERROR(VALUE($F22),0)=0),
        AND(MAX(0, MIN($G$1, DATE(Initialisatie!$C$5,12,31)) - MAX($G$2, DATE(Initialisatie!$C$5,1,1)) + 1) &gt; 0,IFERROR(VALUE($G22),0)=0)
    ),
    0,
    SUM(
        IFERROR(VALUE($E22),0) * MAX(0, MIN($E$1, DATE(Initialisatie!$C$5,12,31)) - MAX($E$2, DATE(Initialisatie!$C$5,1,1)) + 1),
        IFERROR(VALUE($F22),0) * MAX(0, MIN($F$1, DATE(Initialisatie!$C$5,12,31)) - MAX($F$2, DATE(Initialisatie!$C$5,1,1)) + 1),
        IFERROR(VALUE($G22),0) * MAX(0, MIN($G$1, DATE(Initialisatie!$C$5,12,31)) - MAX($G$2, DATE(Initialisatie!$C$5,1,1)) + 1)
    ) / (DATE(Initialisatie!$C$5,12,31) - DATE(Initialisatie!$C$5,1,1) + 1)
)</f>
        <v>2454.54</v>
      </c>
    </row>
    <row r="23" spans="1:9" x14ac:dyDescent="0.45">
      <c r="A23" s="989"/>
      <c r="B23" s="35" t="s">
        <v>111</v>
      </c>
      <c r="C23" s="35">
        <v>1</v>
      </c>
      <c r="D23" s="35" t="s">
        <v>272</v>
      </c>
      <c r="E23">
        <v>2402.66</v>
      </c>
      <c r="F23">
        <v>2432.69</v>
      </c>
      <c r="G23">
        <v>2520.27</v>
      </c>
      <c r="I23">
        <f>IF(
    OR(
        AND(MAX(0, MIN($E$1, DATE(Initialisatie!$C$5,12,31)) - MAX($E$2, DATE(Initialisatie!$C$5,1,1)) + 1) &gt; 0,IFERROR(VALUE($E23),0)=0),
        AND(MAX(0, MIN($F$1, DATE(Initialisatie!$C$5,12,31)) - MAX($F$2, DATE(Initialisatie!$C$5,1,1)) + 1) &gt; 0,IFERROR(VALUE($F23),0)=0),
        AND(MAX(0, MIN($G$1, DATE(Initialisatie!$C$5,12,31)) - MAX($G$2, DATE(Initialisatie!$C$5,1,1)) + 1) &gt; 0,IFERROR(VALUE($G23),0)=0)
    ),
    0,
    SUM(
        IFERROR(VALUE($E23),0) * MAX(0, MIN($E$1, DATE(Initialisatie!$C$5,12,31)) - MAX($E$2, DATE(Initialisatie!$C$5,1,1)) + 1),
        IFERROR(VALUE($F23),0) * MAX(0, MIN($F$1, DATE(Initialisatie!$C$5,12,31)) - MAX($F$2, DATE(Initialisatie!$C$5,1,1)) + 1),
        IFERROR(VALUE($G23),0) * MAX(0, MIN($G$1, DATE(Initialisatie!$C$5,12,31)) - MAX($G$2, DATE(Initialisatie!$C$5,1,1)) + 1)
    ) / (DATE(Initialisatie!$C$5,12,31) - DATE(Initialisatie!$C$5,1,1) + 1)
)</f>
        <v>2520.27</v>
      </c>
    </row>
    <row r="24" spans="1:9" x14ac:dyDescent="0.45">
      <c r="A24" s="989"/>
      <c r="B24" s="35" t="s">
        <v>101</v>
      </c>
      <c r="C24" s="35">
        <v>2</v>
      </c>
      <c r="D24" s="35" t="s">
        <v>267</v>
      </c>
      <c r="E24">
        <v>2478.96</v>
      </c>
      <c r="F24">
        <v>2509.94</v>
      </c>
      <c r="G24">
        <v>2600.3000000000002</v>
      </c>
      <c r="I24">
        <f>IF(
    OR(
        AND(MAX(0, MIN($E$1, DATE(Initialisatie!$C$5,12,31)) - MAX($E$2, DATE(Initialisatie!$C$5,1,1)) + 1) &gt; 0,IFERROR(VALUE($E24),0)=0),
        AND(MAX(0, MIN($F$1, DATE(Initialisatie!$C$5,12,31)) - MAX($F$2, DATE(Initialisatie!$C$5,1,1)) + 1) &gt; 0,IFERROR(VALUE($F24),0)=0),
        AND(MAX(0, MIN($G$1, DATE(Initialisatie!$C$5,12,31)) - MAX($G$2, DATE(Initialisatie!$C$5,1,1)) + 1) &gt; 0,IFERROR(VALUE($G24),0)=0)
    ),
    0,
    SUM(
        IFERROR(VALUE($E24),0) * MAX(0, MIN($E$1, DATE(Initialisatie!$C$5,12,31)) - MAX($E$2, DATE(Initialisatie!$C$5,1,1)) + 1),
        IFERROR(VALUE($F24),0) * MAX(0, MIN($F$1, DATE(Initialisatie!$C$5,12,31)) - MAX($F$2, DATE(Initialisatie!$C$5,1,1)) + 1),
        IFERROR(VALUE($G24),0) * MAX(0, MIN($G$1, DATE(Initialisatie!$C$5,12,31)) - MAX($G$2, DATE(Initialisatie!$C$5,1,1)) + 1)
    ) / (DATE(Initialisatie!$C$5,12,31) - DATE(Initialisatie!$C$5,1,1) + 1)
)</f>
        <v>2600.3000000000002</v>
      </c>
    </row>
    <row r="25" spans="1:9" x14ac:dyDescent="0.45">
      <c r="A25" s="989"/>
      <c r="B25" s="35" t="s">
        <v>99</v>
      </c>
      <c r="C25" s="35">
        <v>3</v>
      </c>
      <c r="D25" s="35" t="s">
        <v>266</v>
      </c>
      <c r="E25">
        <v>2558.86</v>
      </c>
      <c r="F25">
        <v>2590.85</v>
      </c>
      <c r="G25">
        <v>2684.12</v>
      </c>
      <c r="I25">
        <f>IF(
    OR(
        AND(MAX(0, MIN($E$1, DATE(Initialisatie!$C$5,12,31)) - MAX($E$2, DATE(Initialisatie!$C$5,1,1)) + 1) &gt; 0,IFERROR(VALUE($E25),0)=0),
        AND(MAX(0, MIN($F$1, DATE(Initialisatie!$C$5,12,31)) - MAX($F$2, DATE(Initialisatie!$C$5,1,1)) + 1) &gt; 0,IFERROR(VALUE($F25),0)=0),
        AND(MAX(0, MIN($G$1, DATE(Initialisatie!$C$5,12,31)) - MAX($G$2, DATE(Initialisatie!$C$5,1,1)) + 1) &gt; 0,IFERROR(VALUE($G25),0)=0)
    ),
    0,
    SUM(
        IFERROR(VALUE($E25),0) * MAX(0, MIN($E$1, DATE(Initialisatie!$C$5,12,31)) - MAX($E$2, DATE(Initialisatie!$C$5,1,1)) + 1),
        IFERROR(VALUE($F25),0) * MAX(0, MIN($F$1, DATE(Initialisatie!$C$5,12,31)) - MAX($F$2, DATE(Initialisatie!$C$5,1,1)) + 1),
        IFERROR(VALUE($G25),0) * MAX(0, MIN($G$1, DATE(Initialisatie!$C$5,12,31)) - MAX($G$2, DATE(Initialisatie!$C$5,1,1)) + 1)
    ) / (DATE(Initialisatie!$C$5,12,31) - DATE(Initialisatie!$C$5,1,1) + 1)
)</f>
        <v>2684.12</v>
      </c>
    </row>
    <row r="26" spans="1:9" x14ac:dyDescent="0.45">
      <c r="A26" s="989"/>
      <c r="B26" s="35" t="s">
        <v>97</v>
      </c>
      <c r="C26" s="35">
        <v>4</v>
      </c>
      <c r="D26" s="35" t="s">
        <v>265</v>
      </c>
      <c r="E26">
        <v>2640.27</v>
      </c>
      <c r="F26">
        <v>2673.27</v>
      </c>
      <c r="G26">
        <v>2769.51</v>
      </c>
      <c r="I26">
        <f>IF(
    OR(
        AND(MAX(0, MIN($E$1, DATE(Initialisatie!$C$5,12,31)) - MAX($E$2, DATE(Initialisatie!$C$5,1,1)) + 1) &gt; 0,IFERROR(VALUE($E26),0)=0),
        AND(MAX(0, MIN($F$1, DATE(Initialisatie!$C$5,12,31)) - MAX($F$2, DATE(Initialisatie!$C$5,1,1)) + 1) &gt; 0,IFERROR(VALUE($F26),0)=0),
        AND(MAX(0, MIN($G$1, DATE(Initialisatie!$C$5,12,31)) - MAX($G$2, DATE(Initialisatie!$C$5,1,1)) + 1) &gt; 0,IFERROR(VALUE($G26),0)=0)
    ),
    0,
    SUM(
        IFERROR(VALUE($E26),0) * MAX(0, MIN($E$1, DATE(Initialisatie!$C$5,12,31)) - MAX($E$2, DATE(Initialisatie!$C$5,1,1)) + 1),
        IFERROR(VALUE($F26),0) * MAX(0, MIN($F$1, DATE(Initialisatie!$C$5,12,31)) - MAX($F$2, DATE(Initialisatie!$C$5,1,1)) + 1),
        IFERROR(VALUE($G26),0) * MAX(0, MIN($G$1, DATE(Initialisatie!$C$5,12,31)) - MAX($G$2, DATE(Initialisatie!$C$5,1,1)) + 1)
    ) / (DATE(Initialisatie!$C$5,12,31) - DATE(Initialisatie!$C$5,1,1) + 1)
)</f>
        <v>2769.51</v>
      </c>
    </row>
    <row r="27" spans="1:9" x14ac:dyDescent="0.45">
      <c r="A27" s="989"/>
      <c r="B27" s="35" t="s">
        <v>95</v>
      </c>
      <c r="C27" s="35">
        <v>5</v>
      </c>
      <c r="D27" s="35" t="s">
        <v>264</v>
      </c>
      <c r="E27">
        <v>2725.22</v>
      </c>
      <c r="F27">
        <v>2759.28</v>
      </c>
      <c r="G27">
        <v>2858.62</v>
      </c>
      <c r="I27">
        <f>IF(
    OR(
        AND(MAX(0, MIN($E$1, DATE(Initialisatie!$C$5,12,31)) - MAX($E$2, DATE(Initialisatie!$C$5,1,1)) + 1) &gt; 0,IFERROR(VALUE($E27),0)=0),
        AND(MAX(0, MIN($F$1, DATE(Initialisatie!$C$5,12,31)) - MAX($F$2, DATE(Initialisatie!$C$5,1,1)) + 1) &gt; 0,IFERROR(VALUE($F27),0)=0),
        AND(MAX(0, MIN($G$1, DATE(Initialisatie!$C$5,12,31)) - MAX($G$2, DATE(Initialisatie!$C$5,1,1)) + 1) &gt; 0,IFERROR(VALUE($G27),0)=0)
    ),
    0,
    SUM(
        IFERROR(VALUE($E27),0) * MAX(0, MIN($E$1, DATE(Initialisatie!$C$5,12,31)) - MAX($E$2, DATE(Initialisatie!$C$5,1,1)) + 1),
        IFERROR(VALUE($F27),0) * MAX(0, MIN($F$1, DATE(Initialisatie!$C$5,12,31)) - MAX($F$2, DATE(Initialisatie!$C$5,1,1)) + 1),
        IFERROR(VALUE($G27),0) * MAX(0, MIN($G$1, DATE(Initialisatie!$C$5,12,31)) - MAX($G$2, DATE(Initialisatie!$C$5,1,1)) + 1)
    ) / (DATE(Initialisatie!$C$5,12,31) - DATE(Initialisatie!$C$5,1,1) + 1)
)</f>
        <v>2858.62</v>
      </c>
    </row>
    <row r="28" spans="1:9" x14ac:dyDescent="0.45">
      <c r="A28" s="989"/>
      <c r="B28" s="35" t="s">
        <v>93</v>
      </c>
      <c r="C28" s="35">
        <v>6</v>
      </c>
      <c r="D28" s="35" t="s">
        <v>263</v>
      </c>
      <c r="E28">
        <v>2812.43</v>
      </c>
      <c r="F28">
        <v>2847.59</v>
      </c>
      <c r="G28">
        <v>2950.1</v>
      </c>
      <c r="I28">
        <f>IF(
    OR(
        AND(MAX(0, MIN($E$1, DATE(Initialisatie!$C$5,12,31)) - MAX($E$2, DATE(Initialisatie!$C$5,1,1)) + 1) &gt; 0,IFERROR(VALUE($E28),0)=0),
        AND(MAX(0, MIN($F$1, DATE(Initialisatie!$C$5,12,31)) - MAX($F$2, DATE(Initialisatie!$C$5,1,1)) + 1) &gt; 0,IFERROR(VALUE($F28),0)=0),
        AND(MAX(0, MIN($G$1, DATE(Initialisatie!$C$5,12,31)) - MAX($G$2, DATE(Initialisatie!$C$5,1,1)) + 1) &gt; 0,IFERROR(VALUE($G28),0)=0)
    ),
    0,
    SUM(
        IFERROR(VALUE($E28),0) * MAX(0, MIN($E$1, DATE(Initialisatie!$C$5,12,31)) - MAX($E$2, DATE(Initialisatie!$C$5,1,1)) + 1),
        IFERROR(VALUE($F28),0) * MAX(0, MIN($F$1, DATE(Initialisatie!$C$5,12,31)) - MAX($F$2, DATE(Initialisatie!$C$5,1,1)) + 1),
        IFERROR(VALUE($G28),0) * MAX(0, MIN($G$1, DATE(Initialisatie!$C$5,12,31)) - MAX($G$2, DATE(Initialisatie!$C$5,1,1)) + 1)
    ) / (DATE(Initialisatie!$C$5,12,31) - DATE(Initialisatie!$C$5,1,1) + 1)
)</f>
        <v>2950.1</v>
      </c>
    </row>
    <row r="29" spans="1:9" x14ac:dyDescent="0.45">
      <c r="A29" s="989"/>
      <c r="B29" s="35" t="s">
        <v>91</v>
      </c>
      <c r="C29" s="35">
        <v>7</v>
      </c>
      <c r="D29" s="35" t="s">
        <v>262</v>
      </c>
      <c r="E29">
        <v>2901.8</v>
      </c>
      <c r="F29">
        <v>2938.08</v>
      </c>
      <c r="G29">
        <v>3043.85</v>
      </c>
      <c r="I29">
        <f>IF(
    OR(
        AND(MAX(0, MIN($E$1, DATE(Initialisatie!$C$5,12,31)) - MAX($E$2, DATE(Initialisatie!$C$5,1,1)) + 1) &gt; 0,IFERROR(VALUE($E29),0)=0),
        AND(MAX(0, MIN($F$1, DATE(Initialisatie!$C$5,12,31)) - MAX($F$2, DATE(Initialisatie!$C$5,1,1)) + 1) &gt; 0,IFERROR(VALUE($F29),0)=0),
        AND(MAX(0, MIN($G$1, DATE(Initialisatie!$C$5,12,31)) - MAX($G$2, DATE(Initialisatie!$C$5,1,1)) + 1) &gt; 0,IFERROR(VALUE($G29),0)=0)
    ),
    0,
    SUM(
        IFERROR(VALUE($E29),0) * MAX(0, MIN($E$1, DATE(Initialisatie!$C$5,12,31)) - MAX($E$2, DATE(Initialisatie!$C$5,1,1)) + 1),
        IFERROR(VALUE($F29),0) * MAX(0, MIN($F$1, DATE(Initialisatie!$C$5,12,31)) - MAX($F$2, DATE(Initialisatie!$C$5,1,1)) + 1),
        IFERROR(VALUE($G29),0) * MAX(0, MIN($G$1, DATE(Initialisatie!$C$5,12,31)) - MAX($G$2, DATE(Initialisatie!$C$5,1,1)) + 1)
    ) / (DATE(Initialisatie!$C$5,12,31) - DATE(Initialisatie!$C$5,1,1) + 1)
)</f>
        <v>3043.85</v>
      </c>
    </row>
    <row r="30" spans="1:9" x14ac:dyDescent="0.45">
      <c r="A30" s="989"/>
      <c r="B30" s="35" t="s">
        <v>89</v>
      </c>
      <c r="C30" s="35">
        <v>8</v>
      </c>
      <c r="D30" s="35" t="s">
        <v>261</v>
      </c>
      <c r="E30">
        <v>2994.81</v>
      </c>
      <c r="F30">
        <v>3032.24</v>
      </c>
      <c r="G30">
        <v>3141.4</v>
      </c>
      <c r="I30">
        <f>IF(
    OR(
        AND(MAX(0, MIN($E$1, DATE(Initialisatie!$C$5,12,31)) - MAX($E$2, DATE(Initialisatie!$C$5,1,1)) + 1) &gt; 0,IFERROR(VALUE($E30),0)=0),
        AND(MAX(0, MIN($F$1, DATE(Initialisatie!$C$5,12,31)) - MAX($F$2, DATE(Initialisatie!$C$5,1,1)) + 1) &gt; 0,IFERROR(VALUE($F30),0)=0),
        AND(MAX(0, MIN($G$1, DATE(Initialisatie!$C$5,12,31)) - MAX($G$2, DATE(Initialisatie!$C$5,1,1)) + 1) &gt; 0,IFERROR(VALUE($G30),0)=0)
    ),
    0,
    SUM(
        IFERROR(VALUE($E30),0) * MAX(0, MIN($E$1, DATE(Initialisatie!$C$5,12,31)) - MAX($E$2, DATE(Initialisatie!$C$5,1,1)) + 1),
        IFERROR(VALUE($F30),0) * MAX(0, MIN($F$1, DATE(Initialisatie!$C$5,12,31)) - MAX($F$2, DATE(Initialisatie!$C$5,1,1)) + 1),
        IFERROR(VALUE($G30),0) * MAX(0, MIN($G$1, DATE(Initialisatie!$C$5,12,31)) - MAX($G$2, DATE(Initialisatie!$C$5,1,1)) + 1)
    ) / (DATE(Initialisatie!$C$5,12,31) - DATE(Initialisatie!$C$5,1,1) + 1)
)</f>
        <v>3141.4</v>
      </c>
    </row>
    <row r="31" spans="1:9" x14ac:dyDescent="0.45">
      <c r="A31" s="989"/>
      <c r="B31" s="35" t="s">
        <v>87</v>
      </c>
      <c r="C31" s="35">
        <v>9</v>
      </c>
      <c r="D31" s="35" t="s">
        <v>260</v>
      </c>
      <c r="E31">
        <v>3090.68</v>
      </c>
      <c r="F31">
        <v>3129.32</v>
      </c>
      <c r="G31">
        <v>3241.97</v>
      </c>
      <c r="I31">
        <f>IF(
    OR(
        AND(MAX(0, MIN($E$1, DATE(Initialisatie!$C$5,12,31)) - MAX($E$2, DATE(Initialisatie!$C$5,1,1)) + 1) &gt; 0,IFERROR(VALUE($E31),0)=0),
        AND(MAX(0, MIN($F$1, DATE(Initialisatie!$C$5,12,31)) - MAX($F$2, DATE(Initialisatie!$C$5,1,1)) + 1) &gt; 0,IFERROR(VALUE($F31),0)=0),
        AND(MAX(0, MIN($G$1, DATE(Initialisatie!$C$5,12,31)) - MAX($G$2, DATE(Initialisatie!$C$5,1,1)) + 1) &gt; 0,IFERROR(VALUE($G31),0)=0)
    ),
    0,
    SUM(
        IFERROR(VALUE($E31),0) * MAX(0, MIN($E$1, DATE(Initialisatie!$C$5,12,31)) - MAX($E$2, DATE(Initialisatie!$C$5,1,1)) + 1),
        IFERROR(VALUE($F31),0) * MAX(0, MIN($F$1, DATE(Initialisatie!$C$5,12,31)) - MAX($F$2, DATE(Initialisatie!$C$5,1,1)) + 1),
        IFERROR(VALUE($G31),0) * MAX(0, MIN($G$1, DATE(Initialisatie!$C$5,12,31)) - MAX($G$2, DATE(Initialisatie!$C$5,1,1)) + 1)
    ) / (DATE(Initialisatie!$C$5,12,31) - DATE(Initialisatie!$C$5,1,1) + 1)
)</f>
        <v>3241.9699999999993</v>
      </c>
    </row>
    <row r="32" spans="1:9" x14ac:dyDescent="0.45">
      <c r="A32" s="989"/>
      <c r="B32" s="35" t="s">
        <v>109</v>
      </c>
      <c r="C32" s="35">
        <v>10</v>
      </c>
      <c r="D32" s="35" t="s">
        <v>271</v>
      </c>
      <c r="E32">
        <v>3189.53</v>
      </c>
      <c r="F32">
        <v>3229.4</v>
      </c>
      <c r="G32">
        <v>3345.66</v>
      </c>
      <c r="I32">
        <f>IF(
    OR(
        AND(MAX(0, MIN($E$1, DATE(Initialisatie!$C$5,12,31)) - MAX($E$2, DATE(Initialisatie!$C$5,1,1)) + 1) &gt; 0,IFERROR(VALUE($E32),0)=0),
        AND(MAX(0, MIN($F$1, DATE(Initialisatie!$C$5,12,31)) - MAX($F$2, DATE(Initialisatie!$C$5,1,1)) + 1) &gt; 0,IFERROR(VALUE($F32),0)=0),
        AND(MAX(0, MIN($G$1, DATE(Initialisatie!$C$5,12,31)) - MAX($G$2, DATE(Initialisatie!$C$5,1,1)) + 1) &gt; 0,IFERROR(VALUE($G32),0)=0)
    ),
    0,
    SUM(
        IFERROR(VALUE($E32),0) * MAX(0, MIN($E$1, DATE(Initialisatie!$C$5,12,31)) - MAX($E$2, DATE(Initialisatie!$C$5,1,1)) + 1),
        IFERROR(VALUE($F32),0) * MAX(0, MIN($F$1, DATE(Initialisatie!$C$5,12,31)) - MAX($F$2, DATE(Initialisatie!$C$5,1,1)) + 1),
        IFERROR(VALUE($G32),0) * MAX(0, MIN($G$1, DATE(Initialisatie!$C$5,12,31)) - MAX($G$2, DATE(Initialisatie!$C$5,1,1)) + 1)
    ) / (DATE(Initialisatie!$C$5,12,31) - DATE(Initialisatie!$C$5,1,1) + 1)
)</f>
        <v>3345.66</v>
      </c>
    </row>
    <row r="33" spans="1:9" x14ac:dyDescent="0.45">
      <c r="A33" s="989"/>
      <c r="B33" s="35" t="s">
        <v>107</v>
      </c>
      <c r="C33" s="35">
        <v>11</v>
      </c>
      <c r="D33" s="35" t="s">
        <v>270</v>
      </c>
      <c r="E33">
        <v>3291.92</v>
      </c>
      <c r="F33">
        <v>3333.07</v>
      </c>
      <c r="G33">
        <v>3453.06</v>
      </c>
      <c r="I33">
        <f>IF(
    OR(
        AND(MAX(0, MIN($E$1, DATE(Initialisatie!$C$5,12,31)) - MAX($E$2, DATE(Initialisatie!$C$5,1,1)) + 1) &gt; 0,IFERROR(VALUE($E33),0)=0),
        AND(MAX(0, MIN($F$1, DATE(Initialisatie!$C$5,12,31)) - MAX($F$2, DATE(Initialisatie!$C$5,1,1)) + 1) &gt; 0,IFERROR(VALUE($F33),0)=0),
        AND(MAX(0, MIN($G$1, DATE(Initialisatie!$C$5,12,31)) - MAX($G$2, DATE(Initialisatie!$C$5,1,1)) + 1) &gt; 0,IFERROR(VALUE($G33),0)=0)
    ),
    0,
    SUM(
        IFERROR(VALUE($E33),0) * MAX(0, MIN($E$1, DATE(Initialisatie!$C$5,12,31)) - MAX($E$2, DATE(Initialisatie!$C$5,1,1)) + 1),
        IFERROR(VALUE($F33),0) * MAX(0, MIN($F$1, DATE(Initialisatie!$C$5,12,31)) - MAX($F$2, DATE(Initialisatie!$C$5,1,1)) + 1),
        IFERROR(VALUE($G33),0) * MAX(0, MIN($G$1, DATE(Initialisatie!$C$5,12,31)) - MAX($G$2, DATE(Initialisatie!$C$5,1,1)) + 1)
    ) / (DATE(Initialisatie!$C$5,12,31) - DATE(Initialisatie!$C$5,1,1) + 1)
)</f>
        <v>3453.06</v>
      </c>
    </row>
    <row r="34" spans="1:9" x14ac:dyDescent="0.45">
      <c r="A34" s="989"/>
      <c r="B34" s="35" t="s">
        <v>105</v>
      </c>
      <c r="C34" s="35">
        <v>12</v>
      </c>
      <c r="D34" s="35" t="s">
        <v>269</v>
      </c>
      <c r="E34">
        <v>0</v>
      </c>
      <c r="F34">
        <v>0</v>
      </c>
      <c r="G34">
        <v>0</v>
      </c>
      <c r="I34">
        <f>IF(
    OR(
        AND(MAX(0, MIN($E$1, DATE(Initialisatie!$C$5,12,31)) - MAX($E$2, DATE(Initialisatie!$C$5,1,1)) + 1) &gt; 0,IFERROR(VALUE($E34),0)=0),
        AND(MAX(0, MIN($F$1, DATE(Initialisatie!$C$5,12,31)) - MAX($F$2, DATE(Initialisatie!$C$5,1,1)) + 1) &gt; 0,IFERROR(VALUE($F34),0)=0),
        AND(MAX(0, MIN($G$1, DATE(Initialisatie!$C$5,12,31)) - MAX($G$2, DATE(Initialisatie!$C$5,1,1)) + 1) &gt; 0,IFERROR(VALUE($G34),0)=0)
    ),
    0,
    SUM(
        IFERROR(VALUE($E34),0) * MAX(0, MIN($E$1, DATE(Initialisatie!$C$5,12,31)) - MAX($E$2, DATE(Initialisatie!$C$5,1,1)) + 1),
        IFERROR(VALUE($F34),0) * MAX(0, MIN($F$1, DATE(Initialisatie!$C$5,12,31)) - MAX($F$2, DATE(Initialisatie!$C$5,1,1)) + 1),
        IFERROR(VALUE($G34),0) * MAX(0, MIN($G$1, DATE(Initialisatie!$C$5,12,31)) - MAX($G$2, DATE(Initialisatie!$C$5,1,1)) + 1)
    ) / (DATE(Initialisatie!$C$5,12,31) - DATE(Initialisatie!$C$5,1,1) + 1)
)</f>
        <v>0</v>
      </c>
    </row>
    <row r="35" spans="1:9" x14ac:dyDescent="0.45">
      <c r="A35" s="989"/>
      <c r="B35" s="35" t="s">
        <v>103</v>
      </c>
      <c r="C35" s="35">
        <v>13</v>
      </c>
      <c r="D35" s="35" t="s">
        <v>268</v>
      </c>
      <c r="E35">
        <v>0</v>
      </c>
      <c r="F35">
        <v>0</v>
      </c>
      <c r="G35">
        <v>0</v>
      </c>
      <c r="I35">
        <f>IF(
    OR(
        AND(MAX(0, MIN($E$1, DATE(Initialisatie!$C$5,12,31)) - MAX($E$2, DATE(Initialisatie!$C$5,1,1)) + 1) &gt; 0,IFERROR(VALUE($E35),0)=0),
        AND(MAX(0, MIN($F$1, DATE(Initialisatie!$C$5,12,31)) - MAX($F$2, DATE(Initialisatie!$C$5,1,1)) + 1) &gt; 0,IFERROR(VALUE($F35),0)=0),
        AND(MAX(0, MIN($G$1, DATE(Initialisatie!$C$5,12,31)) - MAX($G$2, DATE(Initialisatie!$C$5,1,1)) + 1) &gt; 0,IFERROR(VALUE($G35),0)=0)
    ),
    0,
    SUM(
        IFERROR(VALUE($E35),0) * MAX(0, MIN($E$1, DATE(Initialisatie!$C$5,12,31)) - MAX($E$2, DATE(Initialisatie!$C$5,1,1)) + 1),
        IFERROR(VALUE($F35),0) * MAX(0, MIN($F$1, DATE(Initialisatie!$C$5,12,31)) - MAX($F$2, DATE(Initialisatie!$C$5,1,1)) + 1),
        IFERROR(VALUE($G35),0) * MAX(0, MIN($G$1, DATE(Initialisatie!$C$5,12,31)) - MAX($G$2, DATE(Initialisatie!$C$5,1,1)) + 1)
    ) / (DATE(Initialisatie!$C$5,12,31) - DATE(Initialisatie!$C$5,1,1) + 1)
)</f>
        <v>0</v>
      </c>
    </row>
    <row r="36" spans="1:9" x14ac:dyDescent="0.45">
      <c r="A36" s="989"/>
      <c r="B36" s="35" t="s">
        <v>85</v>
      </c>
      <c r="C36" s="35">
        <v>14</v>
      </c>
      <c r="D36" s="35" t="s">
        <v>259</v>
      </c>
      <c r="E36">
        <v>3397.3</v>
      </c>
      <c r="F36">
        <v>3439.77</v>
      </c>
      <c r="G36">
        <v>3563.6</v>
      </c>
      <c r="I36">
        <f>IF(
    OR(
        AND(MAX(0, MIN($E$1, DATE(Initialisatie!$C$5,12,31)) - MAX($E$2, DATE(Initialisatie!$C$5,1,1)) + 1) &gt; 0,IFERROR(VALUE($E36),0)=0),
        AND(MAX(0, MIN($F$1, DATE(Initialisatie!$C$5,12,31)) - MAX($F$2, DATE(Initialisatie!$C$5,1,1)) + 1) &gt; 0,IFERROR(VALUE($F36),0)=0),
        AND(MAX(0, MIN($G$1, DATE(Initialisatie!$C$5,12,31)) - MAX($G$2, DATE(Initialisatie!$C$5,1,1)) + 1) &gt; 0,IFERROR(VALUE($G36),0)=0)
    ),
    0,
    SUM(
        IFERROR(VALUE($E36),0) * MAX(0, MIN($E$1, DATE(Initialisatie!$C$5,12,31)) - MAX($E$2, DATE(Initialisatie!$C$5,1,1)) + 1),
        IFERROR(VALUE($F36),0) * MAX(0, MIN($F$1, DATE(Initialisatie!$C$5,12,31)) - MAX($F$2, DATE(Initialisatie!$C$5,1,1)) + 1),
        IFERROR(VALUE($G36),0) * MAX(0, MIN($G$1, DATE(Initialisatie!$C$5,12,31)) - MAX($G$2, DATE(Initialisatie!$C$5,1,1)) + 1)
    ) / (DATE(Initialisatie!$C$5,12,31) - DATE(Initialisatie!$C$5,1,1) + 1)
)</f>
        <v>3563.6</v>
      </c>
    </row>
    <row r="37" spans="1:9" x14ac:dyDescent="0.45">
      <c r="A37" s="990"/>
      <c r="B37" s="35" t="s">
        <v>83</v>
      </c>
      <c r="C37" s="35">
        <v>15</v>
      </c>
      <c r="D37" s="35" t="s">
        <v>258</v>
      </c>
      <c r="E37">
        <v>3505.52</v>
      </c>
      <c r="F37">
        <v>3549.34</v>
      </c>
      <c r="G37">
        <v>3677.12</v>
      </c>
      <c r="I37">
        <f>IF(
    OR(
        AND(MAX(0, MIN($E$1, DATE(Initialisatie!$C$5,12,31)) - MAX($E$2, DATE(Initialisatie!$C$5,1,1)) + 1) &gt; 0,IFERROR(VALUE($E37),0)=0),
        AND(MAX(0, MIN($F$1, DATE(Initialisatie!$C$5,12,31)) - MAX($F$2, DATE(Initialisatie!$C$5,1,1)) + 1) &gt; 0,IFERROR(VALUE($F37),0)=0),
        AND(MAX(0, MIN($G$1, DATE(Initialisatie!$C$5,12,31)) - MAX($G$2, DATE(Initialisatie!$C$5,1,1)) + 1) &gt; 0,IFERROR(VALUE($G37),0)=0)
    ),
    0,
    SUM(
        IFERROR(VALUE($E37),0) * MAX(0, MIN($E$1, DATE(Initialisatie!$C$5,12,31)) - MAX($E$2, DATE(Initialisatie!$C$5,1,1)) + 1),
        IFERROR(VALUE($F37),0) * MAX(0, MIN($F$1, DATE(Initialisatie!$C$5,12,31)) - MAX($F$2, DATE(Initialisatie!$C$5,1,1)) + 1),
        IFERROR(VALUE($G37),0) * MAX(0, MIN($G$1, DATE(Initialisatie!$C$5,12,31)) - MAX($G$2, DATE(Initialisatie!$C$5,1,1)) + 1)
    ) / (DATE(Initialisatie!$C$5,12,31) - DATE(Initialisatie!$C$5,1,1) + 1)
)</f>
        <v>3677.1200000000003</v>
      </c>
    </row>
    <row r="38" spans="1:9" x14ac:dyDescent="0.45">
      <c r="A38" s="988">
        <v>6</v>
      </c>
      <c r="B38" s="35" t="s">
        <v>113</v>
      </c>
      <c r="C38" s="35">
        <v>0</v>
      </c>
      <c r="D38" s="35" t="s">
        <v>257</v>
      </c>
      <c r="E38">
        <v>2496.4</v>
      </c>
      <c r="F38">
        <v>2527.6</v>
      </c>
      <c r="G38">
        <v>2618.6</v>
      </c>
      <c r="I38">
        <f>IF(
    OR(
        AND(MAX(0, MIN($E$1, DATE(Initialisatie!$C$5,12,31)) - MAX($E$2, DATE(Initialisatie!$C$5,1,1)) + 1) &gt; 0,IFERROR(VALUE($E38),0)=0),
        AND(MAX(0, MIN($F$1, DATE(Initialisatie!$C$5,12,31)) - MAX($F$2, DATE(Initialisatie!$C$5,1,1)) + 1) &gt; 0,IFERROR(VALUE($F38),0)=0),
        AND(MAX(0, MIN($G$1, DATE(Initialisatie!$C$5,12,31)) - MAX($G$2, DATE(Initialisatie!$C$5,1,1)) + 1) &gt; 0,IFERROR(VALUE($G38),0)=0)
    ),
    0,
    SUM(
        IFERROR(VALUE($E38),0) * MAX(0, MIN($E$1, DATE(Initialisatie!$C$5,12,31)) - MAX($E$2, DATE(Initialisatie!$C$5,1,1)) + 1),
        IFERROR(VALUE($F38),0) * MAX(0, MIN($F$1, DATE(Initialisatie!$C$5,12,31)) - MAX($F$2, DATE(Initialisatie!$C$5,1,1)) + 1),
        IFERROR(VALUE($G38),0) * MAX(0, MIN($G$1, DATE(Initialisatie!$C$5,12,31)) - MAX($G$2, DATE(Initialisatie!$C$5,1,1)) + 1)
    ) / (DATE(Initialisatie!$C$5,12,31) - DATE(Initialisatie!$C$5,1,1) + 1)
)</f>
        <v>2618.6</v>
      </c>
    </row>
    <row r="39" spans="1:9" x14ac:dyDescent="0.45">
      <c r="A39" s="989"/>
      <c r="B39" s="35" t="s">
        <v>111</v>
      </c>
      <c r="C39" s="35">
        <v>1</v>
      </c>
      <c r="D39" s="35" t="s">
        <v>256</v>
      </c>
      <c r="E39">
        <v>2577.73</v>
      </c>
      <c r="F39">
        <v>2609.9499999999998</v>
      </c>
      <c r="G39">
        <v>2703.91</v>
      </c>
      <c r="I39">
        <f>IF(
    OR(
        AND(MAX(0, MIN($E$1, DATE(Initialisatie!$C$5,12,31)) - MAX($E$2, DATE(Initialisatie!$C$5,1,1)) + 1) &gt; 0,IFERROR(VALUE($E39),0)=0),
        AND(MAX(0, MIN($F$1, DATE(Initialisatie!$C$5,12,31)) - MAX($F$2, DATE(Initialisatie!$C$5,1,1)) + 1) &gt; 0,IFERROR(VALUE($F39),0)=0),
        AND(MAX(0, MIN($G$1, DATE(Initialisatie!$C$5,12,31)) - MAX($G$2, DATE(Initialisatie!$C$5,1,1)) + 1) &gt; 0,IFERROR(VALUE($G39),0)=0)
    ),
    0,
    SUM(
        IFERROR(VALUE($E39),0) * MAX(0, MIN($E$1, DATE(Initialisatie!$C$5,12,31)) - MAX($E$2, DATE(Initialisatie!$C$5,1,1)) + 1),
        IFERROR(VALUE($F39),0) * MAX(0, MIN($F$1, DATE(Initialisatie!$C$5,12,31)) - MAX($F$2, DATE(Initialisatie!$C$5,1,1)) + 1),
        IFERROR(VALUE($G39),0) * MAX(0, MIN($G$1, DATE(Initialisatie!$C$5,12,31)) - MAX($G$2, DATE(Initialisatie!$C$5,1,1)) + 1)
    ) / (DATE(Initialisatie!$C$5,12,31) - DATE(Initialisatie!$C$5,1,1) + 1)
)</f>
        <v>2703.91</v>
      </c>
    </row>
    <row r="40" spans="1:9" x14ac:dyDescent="0.45">
      <c r="A40" s="989"/>
      <c r="B40" s="35" t="s">
        <v>101</v>
      </c>
      <c r="C40" s="35">
        <v>2</v>
      </c>
      <c r="D40" s="35" t="s">
        <v>251</v>
      </c>
      <c r="E40">
        <v>2661.32</v>
      </c>
      <c r="F40">
        <v>2694.59</v>
      </c>
      <c r="G40">
        <v>2791.59</v>
      </c>
      <c r="I40">
        <f>IF(
    OR(
        AND(MAX(0, MIN($E$1, DATE(Initialisatie!$C$5,12,31)) - MAX($E$2, DATE(Initialisatie!$C$5,1,1)) + 1) &gt; 0,IFERROR(VALUE($E40),0)=0),
        AND(MAX(0, MIN($F$1, DATE(Initialisatie!$C$5,12,31)) - MAX($F$2, DATE(Initialisatie!$C$5,1,1)) + 1) &gt; 0,IFERROR(VALUE($F40),0)=0),
        AND(MAX(0, MIN($G$1, DATE(Initialisatie!$C$5,12,31)) - MAX($G$2, DATE(Initialisatie!$C$5,1,1)) + 1) &gt; 0,IFERROR(VALUE($G40),0)=0)
    ),
    0,
    SUM(
        IFERROR(VALUE($E40),0) * MAX(0, MIN($E$1, DATE(Initialisatie!$C$5,12,31)) - MAX($E$2, DATE(Initialisatie!$C$5,1,1)) + 1),
        IFERROR(VALUE($F40),0) * MAX(0, MIN($F$1, DATE(Initialisatie!$C$5,12,31)) - MAX($F$2, DATE(Initialisatie!$C$5,1,1)) + 1),
        IFERROR(VALUE($G40),0) * MAX(0, MIN($G$1, DATE(Initialisatie!$C$5,12,31)) - MAX($G$2, DATE(Initialisatie!$C$5,1,1)) + 1)
    ) / (DATE(Initialisatie!$C$5,12,31) - DATE(Initialisatie!$C$5,1,1) + 1)
)</f>
        <v>2791.59</v>
      </c>
    </row>
    <row r="41" spans="1:9" x14ac:dyDescent="0.45">
      <c r="A41" s="989"/>
      <c r="B41" s="35" t="s">
        <v>99</v>
      </c>
      <c r="C41" s="35">
        <v>3</v>
      </c>
      <c r="D41" s="35" t="s">
        <v>250</v>
      </c>
      <c r="E41">
        <v>2747.78</v>
      </c>
      <c r="F41">
        <v>2782.13</v>
      </c>
      <c r="G41">
        <v>2882.29</v>
      </c>
      <c r="I41">
        <f>IF(
    OR(
        AND(MAX(0, MIN($E$1, DATE(Initialisatie!$C$5,12,31)) - MAX($E$2, DATE(Initialisatie!$C$5,1,1)) + 1) &gt; 0,IFERROR(VALUE($E41),0)=0),
        AND(MAX(0, MIN($F$1, DATE(Initialisatie!$C$5,12,31)) - MAX($F$2, DATE(Initialisatie!$C$5,1,1)) + 1) &gt; 0,IFERROR(VALUE($F41),0)=0),
        AND(MAX(0, MIN($G$1, DATE(Initialisatie!$C$5,12,31)) - MAX($G$2, DATE(Initialisatie!$C$5,1,1)) + 1) &gt; 0,IFERROR(VALUE($G41),0)=0)
    ),
    0,
    SUM(
        IFERROR(VALUE($E41),0) * MAX(0, MIN($E$1, DATE(Initialisatie!$C$5,12,31)) - MAX($E$2, DATE(Initialisatie!$C$5,1,1)) + 1),
        IFERROR(VALUE($F41),0) * MAX(0, MIN($F$1, DATE(Initialisatie!$C$5,12,31)) - MAX($F$2, DATE(Initialisatie!$C$5,1,1)) + 1),
        IFERROR(VALUE($G41),0) * MAX(0, MIN($G$1, DATE(Initialisatie!$C$5,12,31)) - MAX($G$2, DATE(Initialisatie!$C$5,1,1)) + 1)
    ) / (DATE(Initialisatie!$C$5,12,31) - DATE(Initialisatie!$C$5,1,1) + 1)
)</f>
        <v>2882.2900000000004</v>
      </c>
    </row>
    <row r="42" spans="1:9" x14ac:dyDescent="0.45">
      <c r="A42" s="989"/>
      <c r="B42" s="35" t="s">
        <v>97</v>
      </c>
      <c r="C42" s="35">
        <v>4</v>
      </c>
      <c r="D42" s="35" t="s">
        <v>249</v>
      </c>
      <c r="E42">
        <v>2837.13</v>
      </c>
      <c r="F42">
        <v>2872.59</v>
      </c>
      <c r="G42">
        <v>2976</v>
      </c>
      <c r="I42">
        <f>IF(
    OR(
        AND(MAX(0, MIN($E$1, DATE(Initialisatie!$C$5,12,31)) - MAX($E$2, DATE(Initialisatie!$C$5,1,1)) + 1) &gt; 0,IFERROR(VALUE($E42),0)=0),
        AND(MAX(0, MIN($F$1, DATE(Initialisatie!$C$5,12,31)) - MAX($F$2, DATE(Initialisatie!$C$5,1,1)) + 1) &gt; 0,IFERROR(VALUE($F42),0)=0),
        AND(MAX(0, MIN($G$1, DATE(Initialisatie!$C$5,12,31)) - MAX($G$2, DATE(Initialisatie!$C$5,1,1)) + 1) &gt; 0,IFERROR(VALUE($G42),0)=0)
    ),
    0,
    SUM(
        IFERROR(VALUE($E42),0) * MAX(0, MIN($E$1, DATE(Initialisatie!$C$5,12,31)) - MAX($E$2, DATE(Initialisatie!$C$5,1,1)) + 1),
        IFERROR(VALUE($F42),0) * MAX(0, MIN($F$1, DATE(Initialisatie!$C$5,12,31)) - MAX($F$2, DATE(Initialisatie!$C$5,1,1)) + 1),
        IFERROR(VALUE($G42),0) * MAX(0, MIN($G$1, DATE(Initialisatie!$C$5,12,31)) - MAX($G$2, DATE(Initialisatie!$C$5,1,1)) + 1)
    ) / (DATE(Initialisatie!$C$5,12,31) - DATE(Initialisatie!$C$5,1,1) + 1)
)</f>
        <v>2976</v>
      </c>
    </row>
    <row r="43" spans="1:9" x14ac:dyDescent="0.45">
      <c r="A43" s="989"/>
      <c r="B43" s="35" t="s">
        <v>95</v>
      </c>
      <c r="C43" s="35">
        <v>5</v>
      </c>
      <c r="D43" s="35" t="s">
        <v>248</v>
      </c>
      <c r="E43">
        <v>2929.37</v>
      </c>
      <c r="F43">
        <v>2965.98</v>
      </c>
      <c r="G43">
        <v>3072.76</v>
      </c>
      <c r="I43">
        <f>IF(
    OR(
        AND(MAX(0, MIN($E$1, DATE(Initialisatie!$C$5,12,31)) - MAX($E$2, DATE(Initialisatie!$C$5,1,1)) + 1) &gt; 0,IFERROR(VALUE($E43),0)=0),
        AND(MAX(0, MIN($F$1, DATE(Initialisatie!$C$5,12,31)) - MAX($F$2, DATE(Initialisatie!$C$5,1,1)) + 1) &gt; 0,IFERROR(VALUE($F43),0)=0),
        AND(MAX(0, MIN($G$1, DATE(Initialisatie!$C$5,12,31)) - MAX($G$2, DATE(Initialisatie!$C$5,1,1)) + 1) &gt; 0,IFERROR(VALUE($G43),0)=0)
    ),
    0,
    SUM(
        IFERROR(VALUE($E43),0) * MAX(0, MIN($E$1, DATE(Initialisatie!$C$5,12,31)) - MAX($E$2, DATE(Initialisatie!$C$5,1,1)) + 1),
        IFERROR(VALUE($F43),0) * MAX(0, MIN($F$1, DATE(Initialisatie!$C$5,12,31)) - MAX($F$2, DATE(Initialisatie!$C$5,1,1)) + 1),
        IFERROR(VALUE($G43),0) * MAX(0, MIN($G$1, DATE(Initialisatie!$C$5,12,31)) - MAX($G$2, DATE(Initialisatie!$C$5,1,1)) + 1)
    ) / (DATE(Initialisatie!$C$5,12,31) - DATE(Initialisatie!$C$5,1,1) + 1)
)</f>
        <v>3072.76</v>
      </c>
    </row>
    <row r="44" spans="1:9" x14ac:dyDescent="0.45">
      <c r="A44" s="989"/>
      <c r="B44" s="35" t="s">
        <v>93</v>
      </c>
      <c r="C44" s="35">
        <v>6</v>
      </c>
      <c r="D44" s="35" t="s">
        <v>247</v>
      </c>
      <c r="E44">
        <v>3024.58</v>
      </c>
      <c r="F44">
        <v>3062.39</v>
      </c>
      <c r="G44">
        <v>3172.64</v>
      </c>
      <c r="I44">
        <f>IF(
    OR(
        AND(MAX(0, MIN($E$1, DATE(Initialisatie!$C$5,12,31)) - MAX($E$2, DATE(Initialisatie!$C$5,1,1)) + 1) &gt; 0,IFERROR(VALUE($E44),0)=0),
        AND(MAX(0, MIN($F$1, DATE(Initialisatie!$C$5,12,31)) - MAX($F$2, DATE(Initialisatie!$C$5,1,1)) + 1) &gt; 0,IFERROR(VALUE($F44),0)=0),
        AND(MAX(0, MIN($G$1, DATE(Initialisatie!$C$5,12,31)) - MAX($G$2, DATE(Initialisatie!$C$5,1,1)) + 1) &gt; 0,IFERROR(VALUE($G44),0)=0)
    ),
    0,
    SUM(
        IFERROR(VALUE($E44),0) * MAX(0, MIN($E$1, DATE(Initialisatie!$C$5,12,31)) - MAX($E$2, DATE(Initialisatie!$C$5,1,1)) + 1),
        IFERROR(VALUE($F44),0) * MAX(0, MIN($F$1, DATE(Initialisatie!$C$5,12,31)) - MAX($F$2, DATE(Initialisatie!$C$5,1,1)) + 1),
        IFERROR(VALUE($G44),0) * MAX(0, MIN($G$1, DATE(Initialisatie!$C$5,12,31)) - MAX($G$2, DATE(Initialisatie!$C$5,1,1)) + 1)
    ) / (DATE(Initialisatie!$C$5,12,31) - DATE(Initialisatie!$C$5,1,1) + 1)
)</f>
        <v>3172.6399999999994</v>
      </c>
    </row>
    <row r="45" spans="1:9" x14ac:dyDescent="0.45">
      <c r="A45" s="989"/>
      <c r="B45" s="35" t="s">
        <v>91</v>
      </c>
      <c r="C45" s="35">
        <v>7</v>
      </c>
      <c r="D45" s="35" t="s">
        <v>246</v>
      </c>
      <c r="E45">
        <v>3122.66</v>
      </c>
      <c r="F45">
        <v>3161.69</v>
      </c>
      <c r="G45">
        <v>3275.51</v>
      </c>
      <c r="I45">
        <f>IF(
    OR(
        AND(MAX(0, MIN($E$1, DATE(Initialisatie!$C$5,12,31)) - MAX($E$2, DATE(Initialisatie!$C$5,1,1)) + 1) &gt; 0,IFERROR(VALUE($E45),0)=0),
        AND(MAX(0, MIN($F$1, DATE(Initialisatie!$C$5,12,31)) - MAX($F$2, DATE(Initialisatie!$C$5,1,1)) + 1) &gt; 0,IFERROR(VALUE($F45),0)=0),
        AND(MAX(0, MIN($G$1, DATE(Initialisatie!$C$5,12,31)) - MAX($G$2, DATE(Initialisatie!$C$5,1,1)) + 1) &gt; 0,IFERROR(VALUE($G45),0)=0)
    ),
    0,
    SUM(
        IFERROR(VALUE($E45),0) * MAX(0, MIN($E$1, DATE(Initialisatie!$C$5,12,31)) - MAX($E$2, DATE(Initialisatie!$C$5,1,1)) + 1),
        IFERROR(VALUE($F45),0) * MAX(0, MIN($F$1, DATE(Initialisatie!$C$5,12,31)) - MAX($F$2, DATE(Initialisatie!$C$5,1,1)) + 1),
        IFERROR(VALUE($G45),0) * MAX(0, MIN($G$1, DATE(Initialisatie!$C$5,12,31)) - MAX($G$2, DATE(Initialisatie!$C$5,1,1)) + 1)
    ) / (DATE(Initialisatie!$C$5,12,31) - DATE(Initialisatie!$C$5,1,1) + 1)
)</f>
        <v>3275.51</v>
      </c>
    </row>
    <row r="46" spans="1:9" x14ac:dyDescent="0.45">
      <c r="A46" s="989"/>
      <c r="B46" s="35" t="s">
        <v>89</v>
      </c>
      <c r="C46" s="35">
        <v>8</v>
      </c>
      <c r="D46" s="35" t="s">
        <v>245</v>
      </c>
      <c r="E46">
        <v>3224.38</v>
      </c>
      <c r="F46">
        <v>3264.68</v>
      </c>
      <c r="G46">
        <v>3382.21</v>
      </c>
      <c r="I46">
        <f>IF(
    OR(
        AND(MAX(0, MIN($E$1, DATE(Initialisatie!$C$5,12,31)) - MAX($E$2, DATE(Initialisatie!$C$5,1,1)) + 1) &gt; 0,IFERROR(VALUE($E46),0)=0),
        AND(MAX(0, MIN($F$1, DATE(Initialisatie!$C$5,12,31)) - MAX($F$2, DATE(Initialisatie!$C$5,1,1)) + 1) &gt; 0,IFERROR(VALUE($F46),0)=0),
        AND(MAX(0, MIN($G$1, DATE(Initialisatie!$C$5,12,31)) - MAX($G$2, DATE(Initialisatie!$C$5,1,1)) + 1) &gt; 0,IFERROR(VALUE($G46),0)=0)
    ),
    0,
    SUM(
        IFERROR(VALUE($E46),0) * MAX(0, MIN($E$1, DATE(Initialisatie!$C$5,12,31)) - MAX($E$2, DATE(Initialisatie!$C$5,1,1)) + 1),
        IFERROR(VALUE($F46),0) * MAX(0, MIN($F$1, DATE(Initialisatie!$C$5,12,31)) - MAX($F$2, DATE(Initialisatie!$C$5,1,1)) + 1),
        IFERROR(VALUE($G46),0) * MAX(0, MIN($G$1, DATE(Initialisatie!$C$5,12,31)) - MAX($G$2, DATE(Initialisatie!$C$5,1,1)) + 1)
    ) / (DATE(Initialisatie!$C$5,12,31) - DATE(Initialisatie!$C$5,1,1) + 1)
)</f>
        <v>3382.2099999999996</v>
      </c>
    </row>
    <row r="47" spans="1:9" x14ac:dyDescent="0.45">
      <c r="A47" s="989"/>
      <c r="B47" s="35" t="s">
        <v>87</v>
      </c>
      <c r="C47" s="35">
        <v>9</v>
      </c>
      <c r="D47" s="35" t="s">
        <v>244</v>
      </c>
      <c r="E47">
        <v>3328.97</v>
      </c>
      <c r="F47">
        <v>3370.58</v>
      </c>
      <c r="G47">
        <v>3491.92</v>
      </c>
      <c r="I47">
        <f>IF(
    OR(
        AND(MAX(0, MIN($E$1, DATE(Initialisatie!$C$5,12,31)) - MAX($E$2, DATE(Initialisatie!$C$5,1,1)) + 1) &gt; 0,IFERROR(VALUE($E47),0)=0),
        AND(MAX(0, MIN($F$1, DATE(Initialisatie!$C$5,12,31)) - MAX($F$2, DATE(Initialisatie!$C$5,1,1)) + 1) &gt; 0,IFERROR(VALUE($F47),0)=0),
        AND(MAX(0, MIN($G$1, DATE(Initialisatie!$C$5,12,31)) - MAX($G$2, DATE(Initialisatie!$C$5,1,1)) + 1) &gt; 0,IFERROR(VALUE($G47),0)=0)
    ),
    0,
    SUM(
        IFERROR(VALUE($E47),0) * MAX(0, MIN($E$1, DATE(Initialisatie!$C$5,12,31)) - MAX($E$2, DATE(Initialisatie!$C$5,1,1)) + 1),
        IFERROR(VALUE($F47),0) * MAX(0, MIN($F$1, DATE(Initialisatie!$C$5,12,31)) - MAX($F$2, DATE(Initialisatie!$C$5,1,1)) + 1),
        IFERROR(VALUE($G47),0) * MAX(0, MIN($G$1, DATE(Initialisatie!$C$5,12,31)) - MAX($G$2, DATE(Initialisatie!$C$5,1,1)) + 1)
    ) / (DATE(Initialisatie!$C$5,12,31) - DATE(Initialisatie!$C$5,1,1) + 1)
)</f>
        <v>3491.92</v>
      </c>
    </row>
    <row r="48" spans="1:9" x14ac:dyDescent="0.45">
      <c r="A48" s="989"/>
      <c r="B48" s="35" t="s">
        <v>109</v>
      </c>
      <c r="C48" s="35">
        <v>10</v>
      </c>
      <c r="D48" s="35" t="s">
        <v>255</v>
      </c>
      <c r="E48">
        <v>3437.24</v>
      </c>
      <c r="F48">
        <v>3480.21</v>
      </c>
      <c r="G48">
        <v>3605.49</v>
      </c>
      <c r="I48">
        <f>IF(
    OR(
        AND(MAX(0, MIN($E$1, DATE(Initialisatie!$C$5,12,31)) - MAX($E$2, DATE(Initialisatie!$C$5,1,1)) + 1) &gt; 0,IFERROR(VALUE($E48),0)=0),
        AND(MAX(0, MIN($F$1, DATE(Initialisatie!$C$5,12,31)) - MAX($F$2, DATE(Initialisatie!$C$5,1,1)) + 1) &gt; 0,IFERROR(VALUE($F48),0)=0),
        AND(MAX(0, MIN($G$1, DATE(Initialisatie!$C$5,12,31)) - MAX($G$2, DATE(Initialisatie!$C$5,1,1)) + 1) &gt; 0,IFERROR(VALUE($G48),0)=0)
    ),
    0,
    SUM(
        IFERROR(VALUE($E48),0) * MAX(0, MIN($E$1, DATE(Initialisatie!$C$5,12,31)) - MAX($E$2, DATE(Initialisatie!$C$5,1,1)) + 1),
        IFERROR(VALUE($F48),0) * MAX(0, MIN($F$1, DATE(Initialisatie!$C$5,12,31)) - MAX($F$2, DATE(Initialisatie!$C$5,1,1)) + 1),
        IFERROR(VALUE($G48),0) * MAX(0, MIN($G$1, DATE(Initialisatie!$C$5,12,31)) - MAX($G$2, DATE(Initialisatie!$C$5,1,1)) + 1)
    ) / (DATE(Initialisatie!$C$5,12,31) - DATE(Initialisatie!$C$5,1,1) + 1)
)</f>
        <v>3605.49</v>
      </c>
    </row>
    <row r="49" spans="1:9" x14ac:dyDescent="0.45">
      <c r="A49" s="989"/>
      <c r="B49" s="35" t="s">
        <v>107</v>
      </c>
      <c r="C49" s="35">
        <v>11</v>
      </c>
      <c r="D49" s="35" t="s">
        <v>254</v>
      </c>
      <c r="E49">
        <v>3549.15</v>
      </c>
      <c r="F49">
        <v>3593.51</v>
      </c>
      <c r="G49">
        <v>3722.88</v>
      </c>
      <c r="I49">
        <f>IF(
    OR(
        AND(MAX(0, MIN($E$1, DATE(Initialisatie!$C$5,12,31)) - MAX($E$2, DATE(Initialisatie!$C$5,1,1)) + 1) &gt; 0,IFERROR(VALUE($E49),0)=0),
        AND(MAX(0, MIN($F$1, DATE(Initialisatie!$C$5,12,31)) - MAX($F$2, DATE(Initialisatie!$C$5,1,1)) + 1) &gt; 0,IFERROR(VALUE($F49),0)=0),
        AND(MAX(0, MIN($G$1, DATE(Initialisatie!$C$5,12,31)) - MAX($G$2, DATE(Initialisatie!$C$5,1,1)) + 1) &gt; 0,IFERROR(VALUE($G49),0)=0)
    ),
    0,
    SUM(
        IFERROR(VALUE($E49),0) * MAX(0, MIN($E$1, DATE(Initialisatie!$C$5,12,31)) - MAX($E$2, DATE(Initialisatie!$C$5,1,1)) + 1),
        IFERROR(VALUE($F49),0) * MAX(0, MIN($F$1, DATE(Initialisatie!$C$5,12,31)) - MAX($F$2, DATE(Initialisatie!$C$5,1,1)) + 1),
        IFERROR(VALUE($G49),0) * MAX(0, MIN($G$1, DATE(Initialisatie!$C$5,12,31)) - MAX($G$2, DATE(Initialisatie!$C$5,1,1)) + 1)
    ) / (DATE(Initialisatie!$C$5,12,31) - DATE(Initialisatie!$C$5,1,1) + 1)
)</f>
        <v>3722.8799999999997</v>
      </c>
    </row>
    <row r="50" spans="1:9" x14ac:dyDescent="0.45">
      <c r="A50" s="989"/>
      <c r="B50" s="35" t="s">
        <v>105</v>
      </c>
      <c r="C50" s="35">
        <v>12</v>
      </c>
      <c r="D50" s="35" t="s">
        <v>253</v>
      </c>
      <c r="E50">
        <v>0</v>
      </c>
      <c r="F50">
        <v>0</v>
      </c>
      <c r="G50">
        <v>0</v>
      </c>
      <c r="I50">
        <f>IF(
    OR(
        AND(MAX(0, MIN($E$1, DATE(Initialisatie!$C$5,12,31)) - MAX($E$2, DATE(Initialisatie!$C$5,1,1)) + 1) &gt; 0,IFERROR(VALUE($E50),0)=0),
        AND(MAX(0, MIN($F$1, DATE(Initialisatie!$C$5,12,31)) - MAX($F$2, DATE(Initialisatie!$C$5,1,1)) + 1) &gt; 0,IFERROR(VALUE($F50),0)=0),
        AND(MAX(0, MIN($G$1, DATE(Initialisatie!$C$5,12,31)) - MAX($G$2, DATE(Initialisatie!$C$5,1,1)) + 1) &gt; 0,IFERROR(VALUE($G50),0)=0)
    ),
    0,
    SUM(
        IFERROR(VALUE($E50),0) * MAX(0, MIN($E$1, DATE(Initialisatie!$C$5,12,31)) - MAX($E$2, DATE(Initialisatie!$C$5,1,1)) + 1),
        IFERROR(VALUE($F50),0) * MAX(0, MIN($F$1, DATE(Initialisatie!$C$5,12,31)) - MAX($F$2, DATE(Initialisatie!$C$5,1,1)) + 1),
        IFERROR(VALUE($G50),0) * MAX(0, MIN($G$1, DATE(Initialisatie!$C$5,12,31)) - MAX($G$2, DATE(Initialisatie!$C$5,1,1)) + 1)
    ) / (DATE(Initialisatie!$C$5,12,31) - DATE(Initialisatie!$C$5,1,1) + 1)
)</f>
        <v>0</v>
      </c>
    </row>
    <row r="51" spans="1:9" x14ac:dyDescent="0.45">
      <c r="A51" s="989"/>
      <c r="B51" s="35" t="s">
        <v>103</v>
      </c>
      <c r="C51" s="35">
        <v>13</v>
      </c>
      <c r="D51" s="35" t="s">
        <v>252</v>
      </c>
      <c r="E51">
        <v>0</v>
      </c>
      <c r="F51">
        <v>0</v>
      </c>
      <c r="G51">
        <v>0</v>
      </c>
      <c r="I51">
        <f>IF(
    OR(
        AND(MAX(0, MIN($E$1, DATE(Initialisatie!$C$5,12,31)) - MAX($E$2, DATE(Initialisatie!$C$5,1,1)) + 1) &gt; 0,IFERROR(VALUE($E51),0)=0),
        AND(MAX(0, MIN($F$1, DATE(Initialisatie!$C$5,12,31)) - MAX($F$2, DATE(Initialisatie!$C$5,1,1)) + 1) &gt; 0,IFERROR(VALUE($F51),0)=0),
        AND(MAX(0, MIN($G$1, DATE(Initialisatie!$C$5,12,31)) - MAX($G$2, DATE(Initialisatie!$C$5,1,1)) + 1) &gt; 0,IFERROR(VALUE($G51),0)=0)
    ),
    0,
    SUM(
        IFERROR(VALUE($E51),0) * MAX(0, MIN($E$1, DATE(Initialisatie!$C$5,12,31)) - MAX($E$2, DATE(Initialisatie!$C$5,1,1)) + 1),
        IFERROR(VALUE($F51),0) * MAX(0, MIN($F$1, DATE(Initialisatie!$C$5,12,31)) - MAX($F$2, DATE(Initialisatie!$C$5,1,1)) + 1),
        IFERROR(VALUE($G51),0) * MAX(0, MIN($G$1, DATE(Initialisatie!$C$5,12,31)) - MAX($G$2, DATE(Initialisatie!$C$5,1,1)) + 1)
    ) / (DATE(Initialisatie!$C$5,12,31) - DATE(Initialisatie!$C$5,1,1) + 1)
)</f>
        <v>0</v>
      </c>
    </row>
    <row r="52" spans="1:9" x14ac:dyDescent="0.45">
      <c r="A52" s="989"/>
      <c r="B52" s="35" t="s">
        <v>85</v>
      </c>
      <c r="C52" s="35">
        <v>14</v>
      </c>
      <c r="D52" s="35" t="s">
        <v>243</v>
      </c>
      <c r="E52">
        <v>3664.67</v>
      </c>
      <c r="F52">
        <v>3710.47</v>
      </c>
      <c r="G52">
        <v>3844.05</v>
      </c>
      <c r="I52">
        <f>IF(
    OR(
        AND(MAX(0, MIN($E$1, DATE(Initialisatie!$C$5,12,31)) - MAX($E$2, DATE(Initialisatie!$C$5,1,1)) + 1) &gt; 0,IFERROR(VALUE($E52),0)=0),
        AND(MAX(0, MIN($F$1, DATE(Initialisatie!$C$5,12,31)) - MAX($F$2, DATE(Initialisatie!$C$5,1,1)) + 1) &gt; 0,IFERROR(VALUE($F52),0)=0),
        AND(MAX(0, MIN($G$1, DATE(Initialisatie!$C$5,12,31)) - MAX($G$2, DATE(Initialisatie!$C$5,1,1)) + 1) &gt; 0,IFERROR(VALUE($G52),0)=0)
    ),
    0,
    SUM(
        IFERROR(VALUE($E52),0) * MAX(0, MIN($E$1, DATE(Initialisatie!$C$5,12,31)) - MAX($E$2, DATE(Initialisatie!$C$5,1,1)) + 1),
        IFERROR(VALUE($F52),0) * MAX(0, MIN($F$1, DATE(Initialisatie!$C$5,12,31)) - MAX($F$2, DATE(Initialisatie!$C$5,1,1)) + 1),
        IFERROR(VALUE($G52),0) * MAX(0, MIN($G$1, DATE(Initialisatie!$C$5,12,31)) - MAX($G$2, DATE(Initialisatie!$C$5,1,1)) + 1)
    ) / (DATE(Initialisatie!$C$5,12,31) - DATE(Initialisatie!$C$5,1,1) + 1)
)</f>
        <v>3844.05</v>
      </c>
    </row>
    <row r="53" spans="1:9" x14ac:dyDescent="0.45">
      <c r="A53" s="990"/>
      <c r="B53" s="35" t="s">
        <v>83</v>
      </c>
      <c r="C53" s="35">
        <v>15</v>
      </c>
      <c r="D53" s="35" t="s">
        <v>242</v>
      </c>
      <c r="E53">
        <v>3783.09</v>
      </c>
      <c r="F53">
        <v>3830.38</v>
      </c>
      <c r="G53">
        <v>3968.27</v>
      </c>
      <c r="I53">
        <f>IF(
    OR(
        AND(MAX(0, MIN($E$1, DATE(Initialisatie!$C$5,12,31)) - MAX($E$2, DATE(Initialisatie!$C$5,1,1)) + 1) &gt; 0,IFERROR(VALUE($E53),0)=0),
        AND(MAX(0, MIN($F$1, DATE(Initialisatie!$C$5,12,31)) - MAX($F$2, DATE(Initialisatie!$C$5,1,1)) + 1) &gt; 0,IFERROR(VALUE($F53),0)=0),
        AND(MAX(0, MIN($G$1, DATE(Initialisatie!$C$5,12,31)) - MAX($G$2, DATE(Initialisatie!$C$5,1,1)) + 1) &gt; 0,IFERROR(VALUE($G53),0)=0)
    ),
    0,
    SUM(
        IFERROR(VALUE($E53),0) * MAX(0, MIN($E$1, DATE(Initialisatie!$C$5,12,31)) - MAX($E$2, DATE(Initialisatie!$C$5,1,1)) + 1),
        IFERROR(VALUE($F53),0) * MAX(0, MIN($F$1, DATE(Initialisatie!$C$5,12,31)) - MAX($F$2, DATE(Initialisatie!$C$5,1,1)) + 1),
        IFERROR(VALUE($G53),0) * MAX(0, MIN($G$1, DATE(Initialisatie!$C$5,12,31)) - MAX($G$2, DATE(Initialisatie!$C$5,1,1)) + 1)
    ) / (DATE(Initialisatie!$C$5,12,31) - DATE(Initialisatie!$C$5,1,1) + 1)
)</f>
        <v>3968.27</v>
      </c>
    </row>
    <row r="54" spans="1:9" x14ac:dyDescent="0.45">
      <c r="A54" s="988">
        <v>7</v>
      </c>
      <c r="B54" s="35" t="s">
        <v>113</v>
      </c>
      <c r="C54" s="35">
        <v>0</v>
      </c>
      <c r="D54" s="35" t="s">
        <v>241</v>
      </c>
      <c r="E54">
        <v>2686.74</v>
      </c>
      <c r="F54">
        <v>2720.32</v>
      </c>
      <c r="G54">
        <v>2818.26</v>
      </c>
      <c r="I54">
        <f>IF(
    OR(
        AND(MAX(0, MIN($E$1, DATE(Initialisatie!$C$5,12,31)) - MAX($E$2, DATE(Initialisatie!$C$5,1,1)) + 1) &gt; 0,IFERROR(VALUE($E54),0)=0),
        AND(MAX(0, MIN($F$1, DATE(Initialisatie!$C$5,12,31)) - MAX($F$2, DATE(Initialisatie!$C$5,1,1)) + 1) &gt; 0,IFERROR(VALUE($F54),0)=0),
        AND(MAX(0, MIN($G$1, DATE(Initialisatie!$C$5,12,31)) - MAX($G$2, DATE(Initialisatie!$C$5,1,1)) + 1) &gt; 0,IFERROR(VALUE($G54),0)=0)
    ),
    0,
    SUM(
        IFERROR(VALUE($E54),0) * MAX(0, MIN($E$1, DATE(Initialisatie!$C$5,12,31)) - MAX($E$2, DATE(Initialisatie!$C$5,1,1)) + 1),
        IFERROR(VALUE($F54),0) * MAX(0, MIN($F$1, DATE(Initialisatie!$C$5,12,31)) - MAX($F$2, DATE(Initialisatie!$C$5,1,1)) + 1),
        IFERROR(VALUE($G54),0) * MAX(0, MIN($G$1, DATE(Initialisatie!$C$5,12,31)) - MAX($G$2, DATE(Initialisatie!$C$5,1,1)) + 1)
    ) / (DATE(Initialisatie!$C$5,12,31) - DATE(Initialisatie!$C$5,1,1) + 1)
)</f>
        <v>2818.26</v>
      </c>
    </row>
    <row r="55" spans="1:9" x14ac:dyDescent="0.45">
      <c r="A55" s="989"/>
      <c r="B55" s="35" t="s">
        <v>111</v>
      </c>
      <c r="C55" s="35">
        <v>1</v>
      </c>
      <c r="D55" s="35" t="s">
        <v>240</v>
      </c>
      <c r="E55">
        <v>2775.37</v>
      </c>
      <c r="F55">
        <v>2810.07</v>
      </c>
      <c r="G55">
        <v>2911.23</v>
      </c>
      <c r="I55">
        <f>IF(
    OR(
        AND(MAX(0, MIN($E$1, DATE(Initialisatie!$C$5,12,31)) - MAX($E$2, DATE(Initialisatie!$C$5,1,1)) + 1) &gt; 0,IFERROR(VALUE($E55),0)=0),
        AND(MAX(0, MIN($F$1, DATE(Initialisatie!$C$5,12,31)) - MAX($F$2, DATE(Initialisatie!$C$5,1,1)) + 1) &gt; 0,IFERROR(VALUE($F55),0)=0),
        AND(MAX(0, MIN($G$1, DATE(Initialisatie!$C$5,12,31)) - MAX($G$2, DATE(Initialisatie!$C$5,1,1)) + 1) &gt; 0,IFERROR(VALUE($G55),0)=0)
    ),
    0,
    SUM(
        IFERROR(VALUE($E55),0) * MAX(0, MIN($E$1, DATE(Initialisatie!$C$5,12,31)) - MAX($E$2, DATE(Initialisatie!$C$5,1,1)) + 1),
        IFERROR(VALUE($F55),0) * MAX(0, MIN($F$1, DATE(Initialisatie!$C$5,12,31)) - MAX($F$2, DATE(Initialisatie!$C$5,1,1)) + 1),
        IFERROR(VALUE($G55),0) * MAX(0, MIN($G$1, DATE(Initialisatie!$C$5,12,31)) - MAX($G$2, DATE(Initialisatie!$C$5,1,1)) + 1)
    ) / (DATE(Initialisatie!$C$5,12,31) - DATE(Initialisatie!$C$5,1,1) + 1)
)</f>
        <v>2911.23</v>
      </c>
    </row>
    <row r="56" spans="1:9" x14ac:dyDescent="0.45">
      <c r="A56" s="989"/>
      <c r="B56" s="35" t="s">
        <v>101</v>
      </c>
      <c r="C56" s="35">
        <v>2</v>
      </c>
      <c r="D56" s="35" t="s">
        <v>235</v>
      </c>
      <c r="E56">
        <v>2866.92</v>
      </c>
      <c r="F56">
        <v>2902.75</v>
      </c>
      <c r="G56">
        <v>3007.25</v>
      </c>
      <c r="I56">
        <f>IF(
    OR(
        AND(MAX(0, MIN($E$1, DATE(Initialisatie!$C$5,12,31)) - MAX($E$2, DATE(Initialisatie!$C$5,1,1)) + 1) &gt; 0,IFERROR(VALUE($E56),0)=0),
        AND(MAX(0, MIN($F$1, DATE(Initialisatie!$C$5,12,31)) - MAX($F$2, DATE(Initialisatie!$C$5,1,1)) + 1) &gt; 0,IFERROR(VALUE($F56),0)=0),
        AND(MAX(0, MIN($G$1, DATE(Initialisatie!$C$5,12,31)) - MAX($G$2, DATE(Initialisatie!$C$5,1,1)) + 1) &gt; 0,IFERROR(VALUE($G56),0)=0)
    ),
    0,
    SUM(
        IFERROR(VALUE($E56),0) * MAX(0, MIN($E$1, DATE(Initialisatie!$C$5,12,31)) - MAX($E$2, DATE(Initialisatie!$C$5,1,1)) + 1),
        IFERROR(VALUE($F56),0) * MAX(0, MIN($F$1, DATE(Initialisatie!$C$5,12,31)) - MAX($F$2, DATE(Initialisatie!$C$5,1,1)) + 1),
        IFERROR(VALUE($G56),0) * MAX(0, MIN($G$1, DATE(Initialisatie!$C$5,12,31)) - MAX($G$2, DATE(Initialisatie!$C$5,1,1)) + 1)
    ) / (DATE(Initialisatie!$C$5,12,31) - DATE(Initialisatie!$C$5,1,1) + 1)
)</f>
        <v>3007.25</v>
      </c>
    </row>
    <row r="57" spans="1:9" x14ac:dyDescent="0.45">
      <c r="A57" s="989"/>
      <c r="B57" s="35" t="s">
        <v>99</v>
      </c>
      <c r="C57" s="35">
        <v>3</v>
      </c>
      <c r="D57" s="35" t="s">
        <v>234</v>
      </c>
      <c r="E57">
        <v>2961.38</v>
      </c>
      <c r="F57">
        <v>2998.4</v>
      </c>
      <c r="G57">
        <v>3106.34</v>
      </c>
      <c r="I57">
        <f>IF(
    OR(
        AND(MAX(0, MIN($E$1, DATE(Initialisatie!$C$5,12,31)) - MAX($E$2, DATE(Initialisatie!$C$5,1,1)) + 1) &gt; 0,IFERROR(VALUE($E57),0)=0),
        AND(MAX(0, MIN($F$1, DATE(Initialisatie!$C$5,12,31)) - MAX($F$2, DATE(Initialisatie!$C$5,1,1)) + 1) &gt; 0,IFERROR(VALUE($F57),0)=0),
        AND(MAX(0, MIN($G$1, DATE(Initialisatie!$C$5,12,31)) - MAX($G$2, DATE(Initialisatie!$C$5,1,1)) + 1) &gt; 0,IFERROR(VALUE($G57),0)=0)
    ),
    0,
    SUM(
        IFERROR(VALUE($E57),0) * MAX(0, MIN($E$1, DATE(Initialisatie!$C$5,12,31)) - MAX($E$2, DATE(Initialisatie!$C$5,1,1)) + 1),
        IFERROR(VALUE($F57),0) * MAX(0, MIN($F$1, DATE(Initialisatie!$C$5,12,31)) - MAX($F$2, DATE(Initialisatie!$C$5,1,1)) + 1),
        IFERROR(VALUE($G57),0) * MAX(0, MIN($G$1, DATE(Initialisatie!$C$5,12,31)) - MAX($G$2, DATE(Initialisatie!$C$5,1,1)) + 1)
    ) / (DATE(Initialisatie!$C$5,12,31) - DATE(Initialisatie!$C$5,1,1) + 1)
)</f>
        <v>3106.34</v>
      </c>
    </row>
    <row r="58" spans="1:9" x14ac:dyDescent="0.45">
      <c r="A58" s="989"/>
      <c r="B58" s="35" t="s">
        <v>97</v>
      </c>
      <c r="C58" s="35">
        <v>4</v>
      </c>
      <c r="D58" s="35" t="s">
        <v>233</v>
      </c>
      <c r="E58">
        <v>3059.46</v>
      </c>
      <c r="F58">
        <v>3097.7</v>
      </c>
      <c r="G58">
        <v>3209.22</v>
      </c>
      <c r="I58">
        <f>IF(
    OR(
        AND(MAX(0, MIN($E$1, DATE(Initialisatie!$C$5,12,31)) - MAX($E$2, DATE(Initialisatie!$C$5,1,1)) + 1) &gt; 0,IFERROR(VALUE($E58),0)=0),
        AND(MAX(0, MIN($F$1, DATE(Initialisatie!$C$5,12,31)) - MAX($F$2, DATE(Initialisatie!$C$5,1,1)) + 1) &gt; 0,IFERROR(VALUE($F58),0)=0),
        AND(MAX(0, MIN($G$1, DATE(Initialisatie!$C$5,12,31)) - MAX($G$2, DATE(Initialisatie!$C$5,1,1)) + 1) &gt; 0,IFERROR(VALUE($G58),0)=0)
    ),
    0,
    SUM(
        IFERROR(VALUE($E58),0) * MAX(0, MIN($E$1, DATE(Initialisatie!$C$5,12,31)) - MAX($E$2, DATE(Initialisatie!$C$5,1,1)) + 1),
        IFERROR(VALUE($F58),0) * MAX(0, MIN($F$1, DATE(Initialisatie!$C$5,12,31)) - MAX($F$2, DATE(Initialisatie!$C$5,1,1)) + 1),
        IFERROR(VALUE($G58),0) * MAX(0, MIN($G$1, DATE(Initialisatie!$C$5,12,31)) - MAX($G$2, DATE(Initialisatie!$C$5,1,1)) + 1)
    ) / (DATE(Initialisatie!$C$5,12,31) - DATE(Initialisatie!$C$5,1,1) + 1)
)</f>
        <v>3209.2199999999993</v>
      </c>
    </row>
    <row r="59" spans="1:9" x14ac:dyDescent="0.45">
      <c r="A59" s="989"/>
      <c r="B59" s="35" t="s">
        <v>95</v>
      </c>
      <c r="C59" s="35">
        <v>5</v>
      </c>
      <c r="D59" s="35" t="s">
        <v>232</v>
      </c>
      <c r="E59">
        <v>3160.43</v>
      </c>
      <c r="F59">
        <v>3199.93</v>
      </c>
      <c r="G59">
        <v>3315.13</v>
      </c>
      <c r="I59">
        <f>IF(
    OR(
        AND(MAX(0, MIN($E$1, DATE(Initialisatie!$C$5,12,31)) - MAX($E$2, DATE(Initialisatie!$C$5,1,1)) + 1) &gt; 0,IFERROR(VALUE($E59),0)=0),
        AND(MAX(0, MIN($F$1, DATE(Initialisatie!$C$5,12,31)) - MAX($F$2, DATE(Initialisatie!$C$5,1,1)) + 1) &gt; 0,IFERROR(VALUE($F59),0)=0),
        AND(MAX(0, MIN($G$1, DATE(Initialisatie!$C$5,12,31)) - MAX($G$2, DATE(Initialisatie!$C$5,1,1)) + 1) &gt; 0,IFERROR(VALUE($G59),0)=0)
    ),
    0,
    SUM(
        IFERROR(VALUE($E59),0) * MAX(0, MIN($E$1, DATE(Initialisatie!$C$5,12,31)) - MAX($E$2, DATE(Initialisatie!$C$5,1,1)) + 1),
        IFERROR(VALUE($F59),0) * MAX(0, MIN($F$1, DATE(Initialisatie!$C$5,12,31)) - MAX($F$2, DATE(Initialisatie!$C$5,1,1)) + 1),
        IFERROR(VALUE($G59),0) * MAX(0, MIN($G$1, DATE(Initialisatie!$C$5,12,31)) - MAX($G$2, DATE(Initialisatie!$C$5,1,1)) + 1)
    ) / (DATE(Initialisatie!$C$5,12,31) - DATE(Initialisatie!$C$5,1,1) + 1)
)</f>
        <v>3315.1299999999997</v>
      </c>
    </row>
    <row r="60" spans="1:9" x14ac:dyDescent="0.45">
      <c r="A60" s="989"/>
      <c r="B60" s="35" t="s">
        <v>93</v>
      </c>
      <c r="C60" s="35">
        <v>6</v>
      </c>
      <c r="D60" s="35" t="s">
        <v>231</v>
      </c>
      <c r="E60">
        <v>3264.32</v>
      </c>
      <c r="F60">
        <v>3305.12</v>
      </c>
      <c r="G60">
        <v>3424.11</v>
      </c>
      <c r="I60">
        <f>IF(
    OR(
        AND(MAX(0, MIN($E$1, DATE(Initialisatie!$C$5,12,31)) - MAX($E$2, DATE(Initialisatie!$C$5,1,1)) + 1) &gt; 0,IFERROR(VALUE($E60),0)=0),
        AND(MAX(0, MIN($F$1, DATE(Initialisatie!$C$5,12,31)) - MAX($F$2, DATE(Initialisatie!$C$5,1,1)) + 1) &gt; 0,IFERROR(VALUE($F60),0)=0),
        AND(MAX(0, MIN($G$1, DATE(Initialisatie!$C$5,12,31)) - MAX($G$2, DATE(Initialisatie!$C$5,1,1)) + 1) &gt; 0,IFERROR(VALUE($G60),0)=0)
    ),
    0,
    SUM(
        IFERROR(VALUE($E60),0) * MAX(0, MIN($E$1, DATE(Initialisatie!$C$5,12,31)) - MAX($E$2, DATE(Initialisatie!$C$5,1,1)) + 1),
        IFERROR(VALUE($F60),0) * MAX(0, MIN($F$1, DATE(Initialisatie!$C$5,12,31)) - MAX($F$2, DATE(Initialisatie!$C$5,1,1)) + 1),
        IFERROR(VALUE($G60),0) * MAX(0, MIN($G$1, DATE(Initialisatie!$C$5,12,31)) - MAX($G$2, DATE(Initialisatie!$C$5,1,1)) + 1)
    ) / (DATE(Initialisatie!$C$5,12,31) - DATE(Initialisatie!$C$5,1,1) + 1)
)</f>
        <v>3424.1100000000006</v>
      </c>
    </row>
    <row r="61" spans="1:9" x14ac:dyDescent="0.45">
      <c r="A61" s="989"/>
      <c r="B61" s="35" t="s">
        <v>91</v>
      </c>
      <c r="C61" s="35">
        <v>7</v>
      </c>
      <c r="D61" s="35" t="s">
        <v>230</v>
      </c>
      <c r="E61">
        <v>3372.59</v>
      </c>
      <c r="F61">
        <v>3414.75</v>
      </c>
      <c r="G61">
        <v>3537.68</v>
      </c>
      <c r="I61">
        <f>IF(
    OR(
        AND(MAX(0, MIN($E$1, DATE(Initialisatie!$C$5,12,31)) - MAX($E$2, DATE(Initialisatie!$C$5,1,1)) + 1) &gt; 0,IFERROR(VALUE($E61),0)=0),
        AND(MAX(0, MIN($F$1, DATE(Initialisatie!$C$5,12,31)) - MAX($F$2, DATE(Initialisatie!$C$5,1,1)) + 1) &gt; 0,IFERROR(VALUE($F61),0)=0),
        AND(MAX(0, MIN($G$1, DATE(Initialisatie!$C$5,12,31)) - MAX($G$2, DATE(Initialisatie!$C$5,1,1)) + 1) &gt; 0,IFERROR(VALUE($G61),0)=0)
    ),
    0,
    SUM(
        IFERROR(VALUE($E61),0) * MAX(0, MIN($E$1, DATE(Initialisatie!$C$5,12,31)) - MAX($E$2, DATE(Initialisatie!$C$5,1,1)) + 1),
        IFERROR(VALUE($F61),0) * MAX(0, MIN($F$1, DATE(Initialisatie!$C$5,12,31)) - MAX($F$2, DATE(Initialisatie!$C$5,1,1)) + 1),
        IFERROR(VALUE($G61),0) * MAX(0, MIN($G$1, DATE(Initialisatie!$C$5,12,31)) - MAX($G$2, DATE(Initialisatie!$C$5,1,1)) + 1)
    ) / (DATE(Initialisatie!$C$5,12,31) - DATE(Initialisatie!$C$5,1,1) + 1)
)</f>
        <v>3537.68</v>
      </c>
    </row>
    <row r="62" spans="1:9" x14ac:dyDescent="0.45">
      <c r="A62" s="989"/>
      <c r="B62" s="35" t="s">
        <v>89</v>
      </c>
      <c r="C62" s="35">
        <v>8</v>
      </c>
      <c r="D62" s="35" t="s">
        <v>229</v>
      </c>
      <c r="E62">
        <v>3483.76</v>
      </c>
      <c r="F62">
        <v>3527.31</v>
      </c>
      <c r="G62">
        <v>3654.29</v>
      </c>
      <c r="I62">
        <f>IF(
    OR(
        AND(MAX(0, MIN($E$1, DATE(Initialisatie!$C$5,12,31)) - MAX($E$2, DATE(Initialisatie!$C$5,1,1)) + 1) &gt; 0,IFERROR(VALUE($E62),0)=0),
        AND(MAX(0, MIN($F$1, DATE(Initialisatie!$C$5,12,31)) - MAX($F$2, DATE(Initialisatie!$C$5,1,1)) + 1) &gt; 0,IFERROR(VALUE($F62),0)=0),
        AND(MAX(0, MIN($G$1, DATE(Initialisatie!$C$5,12,31)) - MAX($G$2, DATE(Initialisatie!$C$5,1,1)) + 1) &gt; 0,IFERROR(VALUE($G62),0)=0)
    ),
    0,
    SUM(
        IFERROR(VALUE($E62),0) * MAX(0, MIN($E$1, DATE(Initialisatie!$C$5,12,31)) - MAX($E$2, DATE(Initialisatie!$C$5,1,1)) + 1),
        IFERROR(VALUE($F62),0) * MAX(0, MIN($F$1, DATE(Initialisatie!$C$5,12,31)) - MAX($F$2, DATE(Initialisatie!$C$5,1,1)) + 1),
        IFERROR(VALUE($G62),0) * MAX(0, MIN($G$1, DATE(Initialisatie!$C$5,12,31)) - MAX($G$2, DATE(Initialisatie!$C$5,1,1)) + 1)
    ) / (DATE(Initialisatie!$C$5,12,31) - DATE(Initialisatie!$C$5,1,1) + 1)
)</f>
        <v>3654.2900000000004</v>
      </c>
    </row>
    <row r="63" spans="1:9" x14ac:dyDescent="0.45">
      <c r="A63" s="989"/>
      <c r="B63" s="35" t="s">
        <v>87</v>
      </c>
      <c r="C63" s="35">
        <v>9</v>
      </c>
      <c r="D63" s="35" t="s">
        <v>228</v>
      </c>
      <c r="E63">
        <v>3598.54</v>
      </c>
      <c r="F63">
        <v>3643.52</v>
      </c>
      <c r="G63">
        <v>3774.69</v>
      </c>
      <c r="I63">
        <f>IF(
    OR(
        AND(MAX(0, MIN($E$1, DATE(Initialisatie!$C$5,12,31)) - MAX($E$2, DATE(Initialisatie!$C$5,1,1)) + 1) &gt; 0,IFERROR(VALUE($E63),0)=0),
        AND(MAX(0, MIN($F$1, DATE(Initialisatie!$C$5,12,31)) - MAX($F$2, DATE(Initialisatie!$C$5,1,1)) + 1) &gt; 0,IFERROR(VALUE($F63),0)=0),
        AND(MAX(0, MIN($G$1, DATE(Initialisatie!$C$5,12,31)) - MAX($G$2, DATE(Initialisatie!$C$5,1,1)) + 1) &gt; 0,IFERROR(VALUE($G63),0)=0)
    ),
    0,
    SUM(
        IFERROR(VALUE($E63),0) * MAX(0, MIN($E$1, DATE(Initialisatie!$C$5,12,31)) - MAX($E$2, DATE(Initialisatie!$C$5,1,1)) + 1),
        IFERROR(VALUE($F63),0) * MAX(0, MIN($F$1, DATE(Initialisatie!$C$5,12,31)) - MAX($F$2, DATE(Initialisatie!$C$5,1,1)) + 1),
        IFERROR(VALUE($G63),0) * MAX(0, MIN($G$1, DATE(Initialisatie!$C$5,12,31)) - MAX($G$2, DATE(Initialisatie!$C$5,1,1)) + 1)
    ) / (DATE(Initialisatie!$C$5,12,31) - DATE(Initialisatie!$C$5,1,1) + 1)
)</f>
        <v>3774.69</v>
      </c>
    </row>
    <row r="64" spans="1:9" x14ac:dyDescent="0.45">
      <c r="A64" s="989"/>
      <c r="B64" s="35" t="s">
        <v>109</v>
      </c>
      <c r="C64" s="35">
        <v>10</v>
      </c>
      <c r="D64" s="35" t="s">
        <v>239</v>
      </c>
      <c r="E64">
        <v>3716.98</v>
      </c>
      <c r="F64">
        <v>3763.44</v>
      </c>
      <c r="G64">
        <v>3898.93</v>
      </c>
      <c r="I64">
        <f>IF(
    OR(
        AND(MAX(0, MIN($E$1, DATE(Initialisatie!$C$5,12,31)) - MAX($E$2, DATE(Initialisatie!$C$5,1,1)) + 1) &gt; 0,IFERROR(VALUE($E64),0)=0),
        AND(MAX(0, MIN($F$1, DATE(Initialisatie!$C$5,12,31)) - MAX($F$2, DATE(Initialisatie!$C$5,1,1)) + 1) &gt; 0,IFERROR(VALUE($F64),0)=0),
        AND(MAX(0, MIN($G$1, DATE(Initialisatie!$C$5,12,31)) - MAX($G$2, DATE(Initialisatie!$C$5,1,1)) + 1) &gt; 0,IFERROR(VALUE($G64),0)=0)
    ),
    0,
    SUM(
        IFERROR(VALUE($E64),0) * MAX(0, MIN($E$1, DATE(Initialisatie!$C$5,12,31)) - MAX($E$2, DATE(Initialisatie!$C$5,1,1)) + 1),
        IFERROR(VALUE($F64),0) * MAX(0, MIN($F$1, DATE(Initialisatie!$C$5,12,31)) - MAX($F$2, DATE(Initialisatie!$C$5,1,1)) + 1),
        IFERROR(VALUE($G64),0) * MAX(0, MIN($G$1, DATE(Initialisatie!$C$5,12,31)) - MAX($G$2, DATE(Initialisatie!$C$5,1,1)) + 1)
    ) / (DATE(Initialisatie!$C$5,12,31) - DATE(Initialisatie!$C$5,1,1) + 1)
)</f>
        <v>3898.93</v>
      </c>
    </row>
    <row r="65" spans="1:9" x14ac:dyDescent="0.45">
      <c r="A65" s="989"/>
      <c r="B65" s="35" t="s">
        <v>107</v>
      </c>
      <c r="C65" s="35">
        <v>11</v>
      </c>
      <c r="D65" s="35" t="s">
        <v>238</v>
      </c>
      <c r="E65">
        <v>3839.75</v>
      </c>
      <c r="F65">
        <v>3887.75</v>
      </c>
      <c r="G65">
        <v>4027.7</v>
      </c>
      <c r="I65">
        <f>IF(
    OR(
        AND(MAX(0, MIN($E$1, DATE(Initialisatie!$C$5,12,31)) - MAX($E$2, DATE(Initialisatie!$C$5,1,1)) + 1) &gt; 0,IFERROR(VALUE($E65),0)=0),
        AND(MAX(0, MIN($F$1, DATE(Initialisatie!$C$5,12,31)) - MAX($F$2, DATE(Initialisatie!$C$5,1,1)) + 1) &gt; 0,IFERROR(VALUE($F65),0)=0),
        AND(MAX(0, MIN($G$1, DATE(Initialisatie!$C$5,12,31)) - MAX($G$2, DATE(Initialisatie!$C$5,1,1)) + 1) &gt; 0,IFERROR(VALUE($G65),0)=0)
    ),
    0,
    SUM(
        IFERROR(VALUE($E65),0) * MAX(0, MIN($E$1, DATE(Initialisatie!$C$5,12,31)) - MAX($E$2, DATE(Initialisatie!$C$5,1,1)) + 1),
        IFERROR(VALUE($F65),0) * MAX(0, MIN($F$1, DATE(Initialisatie!$C$5,12,31)) - MAX($F$2, DATE(Initialisatie!$C$5,1,1)) + 1),
        IFERROR(VALUE($G65),0) * MAX(0, MIN($G$1, DATE(Initialisatie!$C$5,12,31)) - MAX($G$2, DATE(Initialisatie!$C$5,1,1)) + 1)
    ) / (DATE(Initialisatie!$C$5,12,31) - DATE(Initialisatie!$C$5,1,1) + 1)
)</f>
        <v>4027.7</v>
      </c>
    </row>
    <row r="66" spans="1:9" x14ac:dyDescent="0.45">
      <c r="A66" s="989"/>
      <c r="B66" s="35" t="s">
        <v>105</v>
      </c>
      <c r="C66" s="35">
        <v>12</v>
      </c>
      <c r="D66" s="35" t="s">
        <v>237</v>
      </c>
      <c r="E66">
        <v>0</v>
      </c>
      <c r="F66">
        <v>0</v>
      </c>
      <c r="G66">
        <v>0</v>
      </c>
      <c r="I66">
        <f>IF(
    OR(
        AND(MAX(0, MIN($E$1, DATE(Initialisatie!$C$5,12,31)) - MAX($E$2, DATE(Initialisatie!$C$5,1,1)) + 1) &gt; 0,IFERROR(VALUE($E66),0)=0),
        AND(MAX(0, MIN($F$1, DATE(Initialisatie!$C$5,12,31)) - MAX($F$2, DATE(Initialisatie!$C$5,1,1)) + 1) &gt; 0,IFERROR(VALUE($F66),0)=0),
        AND(MAX(0, MIN($G$1, DATE(Initialisatie!$C$5,12,31)) - MAX($G$2, DATE(Initialisatie!$C$5,1,1)) + 1) &gt; 0,IFERROR(VALUE($G66),0)=0)
    ),
    0,
    SUM(
        IFERROR(VALUE($E66),0) * MAX(0, MIN($E$1, DATE(Initialisatie!$C$5,12,31)) - MAX($E$2, DATE(Initialisatie!$C$5,1,1)) + 1),
        IFERROR(VALUE($F66),0) * MAX(0, MIN($F$1, DATE(Initialisatie!$C$5,12,31)) - MAX($F$2, DATE(Initialisatie!$C$5,1,1)) + 1),
        IFERROR(VALUE($G66),0) * MAX(0, MIN($G$1, DATE(Initialisatie!$C$5,12,31)) - MAX($G$2, DATE(Initialisatie!$C$5,1,1)) + 1)
    ) / (DATE(Initialisatie!$C$5,12,31) - DATE(Initialisatie!$C$5,1,1) + 1)
)</f>
        <v>0</v>
      </c>
    </row>
    <row r="67" spans="1:9" x14ac:dyDescent="0.45">
      <c r="A67" s="989"/>
      <c r="B67" s="35" t="s">
        <v>103</v>
      </c>
      <c r="C67" s="35">
        <v>13</v>
      </c>
      <c r="D67" s="35" t="s">
        <v>236</v>
      </c>
      <c r="E67">
        <v>0</v>
      </c>
      <c r="F67">
        <v>0</v>
      </c>
      <c r="G67">
        <v>0</v>
      </c>
      <c r="I67">
        <f>IF(
    OR(
        AND(MAX(0, MIN($E$1, DATE(Initialisatie!$C$5,12,31)) - MAX($E$2, DATE(Initialisatie!$C$5,1,1)) + 1) &gt; 0,IFERROR(VALUE($E67),0)=0),
        AND(MAX(0, MIN($F$1, DATE(Initialisatie!$C$5,12,31)) - MAX($F$2, DATE(Initialisatie!$C$5,1,1)) + 1) &gt; 0,IFERROR(VALUE($F67),0)=0),
        AND(MAX(0, MIN($G$1, DATE(Initialisatie!$C$5,12,31)) - MAX($G$2, DATE(Initialisatie!$C$5,1,1)) + 1) &gt; 0,IFERROR(VALUE($G67),0)=0)
    ),
    0,
    SUM(
        IFERROR(VALUE($E67),0) * MAX(0, MIN($E$1, DATE(Initialisatie!$C$5,12,31)) - MAX($E$2, DATE(Initialisatie!$C$5,1,1)) + 1),
        IFERROR(VALUE($F67),0) * MAX(0, MIN($F$1, DATE(Initialisatie!$C$5,12,31)) - MAX($F$2, DATE(Initialisatie!$C$5,1,1)) + 1),
        IFERROR(VALUE($G67),0) * MAX(0, MIN($G$1, DATE(Initialisatie!$C$5,12,31)) - MAX($G$2, DATE(Initialisatie!$C$5,1,1)) + 1)
    ) / (DATE(Initialisatie!$C$5,12,31) - DATE(Initialisatie!$C$5,1,1) + 1)
)</f>
        <v>0</v>
      </c>
    </row>
    <row r="68" spans="1:9" x14ac:dyDescent="0.45">
      <c r="A68" s="989"/>
      <c r="B68" s="35" t="s">
        <v>85</v>
      </c>
      <c r="C68" s="35">
        <v>14</v>
      </c>
      <c r="D68" s="35" t="s">
        <v>227</v>
      </c>
      <c r="E68">
        <v>3966.87</v>
      </c>
      <c r="F68">
        <v>4016.46</v>
      </c>
      <c r="G68">
        <v>4161.05</v>
      </c>
      <c r="I68">
        <f>IF(
    OR(
        AND(MAX(0, MIN($E$1, DATE(Initialisatie!$C$5,12,31)) - MAX($E$2, DATE(Initialisatie!$C$5,1,1)) + 1) &gt; 0,IFERROR(VALUE($E68),0)=0),
        AND(MAX(0, MIN($F$1, DATE(Initialisatie!$C$5,12,31)) - MAX($F$2, DATE(Initialisatie!$C$5,1,1)) + 1) &gt; 0,IFERROR(VALUE($F68),0)=0),
        AND(MAX(0, MIN($G$1, DATE(Initialisatie!$C$5,12,31)) - MAX($G$2, DATE(Initialisatie!$C$5,1,1)) + 1) &gt; 0,IFERROR(VALUE($G68),0)=0)
    ),
    0,
    SUM(
        IFERROR(VALUE($E68),0) * MAX(0, MIN($E$1, DATE(Initialisatie!$C$5,12,31)) - MAX($E$2, DATE(Initialisatie!$C$5,1,1)) + 1),
        IFERROR(VALUE($F68),0) * MAX(0, MIN($F$1, DATE(Initialisatie!$C$5,12,31)) - MAX($F$2, DATE(Initialisatie!$C$5,1,1)) + 1),
        IFERROR(VALUE($G68),0) * MAX(0, MIN($G$1, DATE(Initialisatie!$C$5,12,31)) - MAX($G$2, DATE(Initialisatie!$C$5,1,1)) + 1)
    ) / (DATE(Initialisatie!$C$5,12,31) - DATE(Initialisatie!$C$5,1,1) + 1)
)</f>
        <v>4161.05</v>
      </c>
    </row>
    <row r="69" spans="1:9" x14ac:dyDescent="0.45">
      <c r="A69" s="990"/>
      <c r="B69" s="35" t="s">
        <v>83</v>
      </c>
      <c r="C69" s="35">
        <v>15</v>
      </c>
      <c r="D69" s="35" t="s">
        <v>226</v>
      </c>
      <c r="E69">
        <v>4097.6899999999996</v>
      </c>
      <c r="F69">
        <v>4148.91</v>
      </c>
      <c r="G69">
        <v>4298.2700000000004</v>
      </c>
      <c r="I69">
        <f>IF(
    OR(
        AND(MAX(0, MIN($E$1, DATE(Initialisatie!$C$5,12,31)) - MAX($E$2, DATE(Initialisatie!$C$5,1,1)) + 1) &gt; 0,IFERROR(VALUE($E69),0)=0),
        AND(MAX(0, MIN($F$1, DATE(Initialisatie!$C$5,12,31)) - MAX($F$2, DATE(Initialisatie!$C$5,1,1)) + 1) &gt; 0,IFERROR(VALUE($F69),0)=0),
        AND(MAX(0, MIN($G$1, DATE(Initialisatie!$C$5,12,31)) - MAX($G$2, DATE(Initialisatie!$C$5,1,1)) + 1) &gt; 0,IFERROR(VALUE($G69),0)=0)
    ),
    0,
    SUM(
        IFERROR(VALUE($E69),0) * MAX(0, MIN($E$1, DATE(Initialisatie!$C$5,12,31)) - MAX($E$2, DATE(Initialisatie!$C$5,1,1)) + 1),
        IFERROR(VALUE($F69),0) * MAX(0, MIN($F$1, DATE(Initialisatie!$C$5,12,31)) - MAX($F$2, DATE(Initialisatie!$C$5,1,1)) + 1),
        IFERROR(VALUE($G69),0) * MAX(0, MIN($G$1, DATE(Initialisatie!$C$5,12,31)) - MAX($G$2, DATE(Initialisatie!$C$5,1,1)) + 1)
    ) / (DATE(Initialisatie!$C$5,12,31) - DATE(Initialisatie!$C$5,1,1) + 1)
)</f>
        <v>4298.2700000000004</v>
      </c>
    </row>
    <row r="70" spans="1:9" x14ac:dyDescent="0.45">
      <c r="A70" s="988">
        <v>8</v>
      </c>
      <c r="B70" s="35" t="s">
        <v>113</v>
      </c>
      <c r="C70" s="35">
        <v>0</v>
      </c>
      <c r="D70" s="35" t="s">
        <v>225</v>
      </c>
      <c r="E70">
        <v>2808.78</v>
      </c>
      <c r="F70">
        <v>2843.89</v>
      </c>
      <c r="G70">
        <v>2946.27</v>
      </c>
      <c r="I70">
        <f>IF(
    OR(
        AND(MAX(0, MIN($E$1, DATE(Initialisatie!$C$5,12,31)) - MAX($E$2, DATE(Initialisatie!$C$5,1,1)) + 1) &gt; 0,IFERROR(VALUE($E70),0)=0),
        AND(MAX(0, MIN($F$1, DATE(Initialisatie!$C$5,12,31)) - MAX($F$2, DATE(Initialisatie!$C$5,1,1)) + 1) &gt; 0,IFERROR(VALUE($F70),0)=0),
        AND(MAX(0, MIN($G$1, DATE(Initialisatie!$C$5,12,31)) - MAX($G$2, DATE(Initialisatie!$C$5,1,1)) + 1) &gt; 0,IFERROR(VALUE($G70),0)=0)
    ),
    0,
    SUM(
        IFERROR(VALUE($E70),0) * MAX(0, MIN($E$1, DATE(Initialisatie!$C$5,12,31)) - MAX($E$2, DATE(Initialisatie!$C$5,1,1)) + 1),
        IFERROR(VALUE($F70),0) * MAX(0, MIN($F$1, DATE(Initialisatie!$C$5,12,31)) - MAX($F$2, DATE(Initialisatie!$C$5,1,1)) + 1),
        IFERROR(VALUE($G70),0) * MAX(0, MIN($G$1, DATE(Initialisatie!$C$5,12,31)) - MAX($G$2, DATE(Initialisatie!$C$5,1,1)) + 1)
    ) / (DATE(Initialisatie!$C$5,12,31) - DATE(Initialisatie!$C$5,1,1) + 1)
)</f>
        <v>2946.27</v>
      </c>
    </row>
    <row r="71" spans="1:9" x14ac:dyDescent="0.45">
      <c r="A71" s="989"/>
      <c r="B71" s="35" t="s">
        <v>111</v>
      </c>
      <c r="C71" s="35">
        <v>1</v>
      </c>
      <c r="D71" s="35" t="s">
        <v>224</v>
      </c>
      <c r="E71">
        <v>2903.22</v>
      </c>
      <c r="F71">
        <v>2939.51</v>
      </c>
      <c r="G71">
        <v>3045.34</v>
      </c>
      <c r="I71">
        <f>IF(
    OR(
        AND(MAX(0, MIN($E$1, DATE(Initialisatie!$C$5,12,31)) - MAX($E$2, DATE(Initialisatie!$C$5,1,1)) + 1) &gt; 0,IFERROR(VALUE($E71),0)=0),
        AND(MAX(0, MIN($F$1, DATE(Initialisatie!$C$5,12,31)) - MAX($F$2, DATE(Initialisatie!$C$5,1,1)) + 1) &gt; 0,IFERROR(VALUE($F71),0)=0),
        AND(MAX(0, MIN($G$1, DATE(Initialisatie!$C$5,12,31)) - MAX($G$2, DATE(Initialisatie!$C$5,1,1)) + 1) &gt; 0,IFERROR(VALUE($G71),0)=0)
    ),
    0,
    SUM(
        IFERROR(VALUE($E71),0) * MAX(0, MIN($E$1, DATE(Initialisatie!$C$5,12,31)) - MAX($E$2, DATE(Initialisatie!$C$5,1,1)) + 1),
        IFERROR(VALUE($F71),0) * MAX(0, MIN($F$1, DATE(Initialisatie!$C$5,12,31)) - MAX($F$2, DATE(Initialisatie!$C$5,1,1)) + 1),
        IFERROR(VALUE($G71),0) * MAX(0, MIN($G$1, DATE(Initialisatie!$C$5,12,31)) - MAX($G$2, DATE(Initialisatie!$C$5,1,1)) + 1)
    ) / (DATE(Initialisatie!$C$5,12,31) - DATE(Initialisatie!$C$5,1,1) + 1)
)</f>
        <v>3045.34</v>
      </c>
    </row>
    <row r="72" spans="1:9" x14ac:dyDescent="0.45">
      <c r="A72" s="989"/>
      <c r="B72" s="35" t="s">
        <v>101</v>
      </c>
      <c r="C72" s="35">
        <v>2</v>
      </c>
      <c r="D72" s="35" t="s">
        <v>219</v>
      </c>
      <c r="E72">
        <v>2999.85</v>
      </c>
      <c r="F72">
        <v>3037.35</v>
      </c>
      <c r="G72">
        <v>3146.69</v>
      </c>
      <c r="I72">
        <f>IF(
    OR(
        AND(MAX(0, MIN($E$1, DATE(Initialisatie!$C$5,12,31)) - MAX($E$2, DATE(Initialisatie!$C$5,1,1)) + 1) &gt; 0,IFERROR(VALUE($E72),0)=0),
        AND(MAX(0, MIN($F$1, DATE(Initialisatie!$C$5,12,31)) - MAX($F$2, DATE(Initialisatie!$C$5,1,1)) + 1) &gt; 0,IFERROR(VALUE($F72),0)=0),
        AND(MAX(0, MIN($G$1, DATE(Initialisatie!$C$5,12,31)) - MAX($G$2, DATE(Initialisatie!$C$5,1,1)) + 1) &gt; 0,IFERROR(VALUE($G72),0)=0)
    ),
    0,
    SUM(
        IFERROR(VALUE($E72),0) * MAX(0, MIN($E$1, DATE(Initialisatie!$C$5,12,31)) - MAX($E$2, DATE(Initialisatie!$C$5,1,1)) + 1),
        IFERROR(VALUE($F72),0) * MAX(0, MIN($F$1, DATE(Initialisatie!$C$5,12,31)) - MAX($F$2, DATE(Initialisatie!$C$5,1,1)) + 1),
        IFERROR(VALUE($G72),0) * MAX(0, MIN($G$1, DATE(Initialisatie!$C$5,12,31)) - MAX($G$2, DATE(Initialisatie!$C$5,1,1)) + 1)
    ) / (DATE(Initialisatie!$C$5,12,31) - DATE(Initialisatie!$C$5,1,1) + 1)
)</f>
        <v>3146.69</v>
      </c>
    </row>
    <row r="73" spans="1:9" x14ac:dyDescent="0.45">
      <c r="A73" s="989"/>
      <c r="B73" s="35" t="s">
        <v>99</v>
      </c>
      <c r="C73" s="35">
        <v>3</v>
      </c>
      <c r="D73" s="35" t="s">
        <v>218</v>
      </c>
      <c r="E73">
        <v>3100.84</v>
      </c>
      <c r="F73">
        <v>3139.6</v>
      </c>
      <c r="G73">
        <v>3252.63</v>
      </c>
      <c r="I73">
        <f>IF(
    OR(
        AND(MAX(0, MIN($E$1, DATE(Initialisatie!$C$5,12,31)) - MAX($E$2, DATE(Initialisatie!$C$5,1,1)) + 1) &gt; 0,IFERROR(VALUE($E73),0)=0),
        AND(MAX(0, MIN($F$1, DATE(Initialisatie!$C$5,12,31)) - MAX($F$2, DATE(Initialisatie!$C$5,1,1)) + 1) &gt; 0,IFERROR(VALUE($F73),0)=0),
        AND(MAX(0, MIN($G$1, DATE(Initialisatie!$C$5,12,31)) - MAX($G$2, DATE(Initialisatie!$C$5,1,1)) + 1) &gt; 0,IFERROR(VALUE($G73),0)=0)
    ),
    0,
    SUM(
        IFERROR(VALUE($E73),0) * MAX(0, MIN($E$1, DATE(Initialisatie!$C$5,12,31)) - MAX($E$2, DATE(Initialisatie!$C$5,1,1)) + 1),
        IFERROR(VALUE($F73),0) * MAX(0, MIN($F$1, DATE(Initialisatie!$C$5,12,31)) - MAX($F$2, DATE(Initialisatie!$C$5,1,1)) + 1),
        IFERROR(VALUE($G73),0) * MAX(0, MIN($G$1, DATE(Initialisatie!$C$5,12,31)) - MAX($G$2, DATE(Initialisatie!$C$5,1,1)) + 1)
    ) / (DATE(Initialisatie!$C$5,12,31) - DATE(Initialisatie!$C$5,1,1) + 1)
)</f>
        <v>3252.6299999999997</v>
      </c>
    </row>
    <row r="74" spans="1:9" x14ac:dyDescent="0.45">
      <c r="A74" s="989"/>
      <c r="B74" s="35" t="s">
        <v>97</v>
      </c>
      <c r="C74" s="35">
        <v>4</v>
      </c>
      <c r="D74" s="35" t="s">
        <v>217</v>
      </c>
      <c r="E74">
        <v>3204.76</v>
      </c>
      <c r="F74">
        <v>3244.82</v>
      </c>
      <c r="G74">
        <v>3361.64</v>
      </c>
      <c r="I74">
        <f>IF(
    OR(
        AND(MAX(0, MIN($E$1, DATE(Initialisatie!$C$5,12,31)) - MAX($E$2, DATE(Initialisatie!$C$5,1,1)) + 1) &gt; 0,IFERROR(VALUE($E74),0)=0),
        AND(MAX(0, MIN($F$1, DATE(Initialisatie!$C$5,12,31)) - MAX($F$2, DATE(Initialisatie!$C$5,1,1)) + 1) &gt; 0,IFERROR(VALUE($F74),0)=0),
        AND(MAX(0, MIN($G$1, DATE(Initialisatie!$C$5,12,31)) - MAX($G$2, DATE(Initialisatie!$C$5,1,1)) + 1) &gt; 0,IFERROR(VALUE($G74),0)=0)
    ),
    0,
    SUM(
        IFERROR(VALUE($E74),0) * MAX(0, MIN($E$1, DATE(Initialisatie!$C$5,12,31)) - MAX($E$2, DATE(Initialisatie!$C$5,1,1)) + 1),
        IFERROR(VALUE($F74),0) * MAX(0, MIN($F$1, DATE(Initialisatie!$C$5,12,31)) - MAX($F$2, DATE(Initialisatie!$C$5,1,1)) + 1),
        IFERROR(VALUE($G74),0) * MAX(0, MIN($G$1, DATE(Initialisatie!$C$5,12,31)) - MAX($G$2, DATE(Initialisatie!$C$5,1,1)) + 1)
    ) / (DATE(Initialisatie!$C$5,12,31) - DATE(Initialisatie!$C$5,1,1) + 1)
)</f>
        <v>3361.6399999999994</v>
      </c>
    </row>
    <row r="75" spans="1:9" x14ac:dyDescent="0.45">
      <c r="A75" s="989"/>
      <c r="B75" s="35" t="s">
        <v>95</v>
      </c>
      <c r="C75" s="35">
        <v>5</v>
      </c>
      <c r="D75" s="35" t="s">
        <v>216</v>
      </c>
      <c r="E75">
        <v>3311.55</v>
      </c>
      <c r="F75">
        <v>3352.94</v>
      </c>
      <c r="G75">
        <v>3473.65</v>
      </c>
      <c r="I75">
        <f>IF(
    OR(
        AND(MAX(0, MIN($E$1, DATE(Initialisatie!$C$5,12,31)) - MAX($E$2, DATE(Initialisatie!$C$5,1,1)) + 1) &gt; 0,IFERROR(VALUE($E75),0)=0),
        AND(MAX(0, MIN($F$1, DATE(Initialisatie!$C$5,12,31)) - MAX($F$2, DATE(Initialisatie!$C$5,1,1)) + 1) &gt; 0,IFERROR(VALUE($F75),0)=0),
        AND(MAX(0, MIN($G$1, DATE(Initialisatie!$C$5,12,31)) - MAX($G$2, DATE(Initialisatie!$C$5,1,1)) + 1) &gt; 0,IFERROR(VALUE($G75),0)=0)
    ),
    0,
    SUM(
        IFERROR(VALUE($E75),0) * MAX(0, MIN($E$1, DATE(Initialisatie!$C$5,12,31)) - MAX($E$2, DATE(Initialisatie!$C$5,1,1)) + 1),
        IFERROR(VALUE($F75),0) * MAX(0, MIN($F$1, DATE(Initialisatie!$C$5,12,31)) - MAX($F$2, DATE(Initialisatie!$C$5,1,1)) + 1),
        IFERROR(VALUE($G75),0) * MAX(0, MIN($G$1, DATE(Initialisatie!$C$5,12,31)) - MAX($G$2, DATE(Initialisatie!$C$5,1,1)) + 1)
    ) / (DATE(Initialisatie!$C$5,12,31) - DATE(Initialisatie!$C$5,1,1) + 1)
)</f>
        <v>3473.65</v>
      </c>
    </row>
    <row r="76" spans="1:9" x14ac:dyDescent="0.45">
      <c r="A76" s="989"/>
      <c r="B76" s="35" t="s">
        <v>93</v>
      </c>
      <c r="C76" s="35">
        <v>6</v>
      </c>
      <c r="D76" s="35" t="s">
        <v>215</v>
      </c>
      <c r="E76">
        <v>3422.72</v>
      </c>
      <c r="F76">
        <v>3465.51</v>
      </c>
      <c r="G76">
        <v>3590.26</v>
      </c>
      <c r="I76">
        <f>IF(
    OR(
        AND(MAX(0, MIN($E$1, DATE(Initialisatie!$C$5,12,31)) - MAX($E$2, DATE(Initialisatie!$C$5,1,1)) + 1) &gt; 0,IFERROR(VALUE($E76),0)=0),
        AND(MAX(0, MIN($F$1, DATE(Initialisatie!$C$5,12,31)) - MAX($F$2, DATE(Initialisatie!$C$5,1,1)) + 1) &gt; 0,IFERROR(VALUE($F76),0)=0),
        AND(MAX(0, MIN($G$1, DATE(Initialisatie!$C$5,12,31)) - MAX($G$2, DATE(Initialisatie!$C$5,1,1)) + 1) &gt; 0,IFERROR(VALUE($G76),0)=0)
    ),
    0,
    SUM(
        IFERROR(VALUE($E76),0) * MAX(0, MIN($E$1, DATE(Initialisatie!$C$5,12,31)) - MAX($E$2, DATE(Initialisatie!$C$5,1,1)) + 1),
        IFERROR(VALUE($F76),0) * MAX(0, MIN($F$1, DATE(Initialisatie!$C$5,12,31)) - MAX($F$2, DATE(Initialisatie!$C$5,1,1)) + 1),
        IFERROR(VALUE($G76),0) * MAX(0, MIN($G$1, DATE(Initialisatie!$C$5,12,31)) - MAX($G$2, DATE(Initialisatie!$C$5,1,1)) + 1)
    ) / (DATE(Initialisatie!$C$5,12,31) - DATE(Initialisatie!$C$5,1,1) + 1)
)</f>
        <v>3590.26</v>
      </c>
    </row>
    <row r="77" spans="1:9" x14ac:dyDescent="0.45">
      <c r="A77" s="989"/>
      <c r="B77" s="35" t="s">
        <v>91</v>
      </c>
      <c r="C77" s="35">
        <v>7</v>
      </c>
      <c r="D77" s="35" t="s">
        <v>214</v>
      </c>
      <c r="E77">
        <v>3537.51</v>
      </c>
      <c r="F77">
        <v>3581.73</v>
      </c>
      <c r="G77">
        <v>3710.67</v>
      </c>
      <c r="I77">
        <f>IF(
    OR(
        AND(MAX(0, MIN($E$1, DATE(Initialisatie!$C$5,12,31)) - MAX($E$2, DATE(Initialisatie!$C$5,1,1)) + 1) &gt; 0,IFERROR(VALUE($E77),0)=0),
        AND(MAX(0, MIN($F$1, DATE(Initialisatie!$C$5,12,31)) - MAX($F$2, DATE(Initialisatie!$C$5,1,1)) + 1) &gt; 0,IFERROR(VALUE($F77),0)=0),
        AND(MAX(0, MIN($G$1, DATE(Initialisatie!$C$5,12,31)) - MAX($G$2, DATE(Initialisatie!$C$5,1,1)) + 1) &gt; 0,IFERROR(VALUE($G77),0)=0)
    ),
    0,
    SUM(
        IFERROR(VALUE($E77),0) * MAX(0, MIN($E$1, DATE(Initialisatie!$C$5,12,31)) - MAX($E$2, DATE(Initialisatie!$C$5,1,1)) + 1),
        IFERROR(VALUE($F77),0) * MAX(0, MIN($F$1, DATE(Initialisatie!$C$5,12,31)) - MAX($F$2, DATE(Initialisatie!$C$5,1,1)) + 1),
        IFERROR(VALUE($G77),0) * MAX(0, MIN($G$1, DATE(Initialisatie!$C$5,12,31)) - MAX($G$2, DATE(Initialisatie!$C$5,1,1)) + 1)
    ) / (DATE(Initialisatie!$C$5,12,31) - DATE(Initialisatie!$C$5,1,1) + 1)
)</f>
        <v>3710.67</v>
      </c>
    </row>
    <row r="78" spans="1:9" x14ac:dyDescent="0.45">
      <c r="A78" s="989"/>
      <c r="B78" s="35" t="s">
        <v>89</v>
      </c>
      <c r="C78" s="35">
        <v>8</v>
      </c>
      <c r="D78" s="35" t="s">
        <v>213</v>
      </c>
      <c r="E78">
        <v>3655.94</v>
      </c>
      <c r="F78">
        <v>3701.64</v>
      </c>
      <c r="G78">
        <v>3834.9</v>
      </c>
      <c r="I78">
        <f>IF(
    OR(
        AND(MAX(0, MIN($E$1, DATE(Initialisatie!$C$5,12,31)) - MAX($E$2, DATE(Initialisatie!$C$5,1,1)) + 1) &gt; 0,IFERROR(VALUE($E78),0)=0),
        AND(MAX(0, MIN($F$1, DATE(Initialisatie!$C$5,12,31)) - MAX($F$2, DATE(Initialisatie!$C$5,1,1)) + 1) &gt; 0,IFERROR(VALUE($F78),0)=0),
        AND(MAX(0, MIN($G$1, DATE(Initialisatie!$C$5,12,31)) - MAX($G$2, DATE(Initialisatie!$C$5,1,1)) + 1) &gt; 0,IFERROR(VALUE($G78),0)=0)
    ),
    0,
    SUM(
        IFERROR(VALUE($E78),0) * MAX(0, MIN($E$1, DATE(Initialisatie!$C$5,12,31)) - MAX($E$2, DATE(Initialisatie!$C$5,1,1)) + 1),
        IFERROR(VALUE($F78),0) * MAX(0, MIN($F$1, DATE(Initialisatie!$C$5,12,31)) - MAX($F$2, DATE(Initialisatie!$C$5,1,1)) + 1),
        IFERROR(VALUE($G78),0) * MAX(0, MIN($G$1, DATE(Initialisatie!$C$5,12,31)) - MAX($G$2, DATE(Initialisatie!$C$5,1,1)) + 1)
    ) / (DATE(Initialisatie!$C$5,12,31) - DATE(Initialisatie!$C$5,1,1) + 1)
)</f>
        <v>3834.9</v>
      </c>
    </row>
    <row r="79" spans="1:9" x14ac:dyDescent="0.45">
      <c r="A79" s="989"/>
      <c r="B79" s="35" t="s">
        <v>87</v>
      </c>
      <c r="C79" s="35">
        <v>9</v>
      </c>
      <c r="D79" s="35" t="s">
        <v>212</v>
      </c>
      <c r="E79">
        <v>3778.71</v>
      </c>
      <c r="F79">
        <v>3825.94</v>
      </c>
      <c r="G79">
        <v>3963.67</v>
      </c>
      <c r="I79">
        <f>IF(
    OR(
        AND(MAX(0, MIN($E$1, DATE(Initialisatie!$C$5,12,31)) - MAX($E$2, DATE(Initialisatie!$C$5,1,1)) + 1) &gt; 0,IFERROR(VALUE($E79),0)=0),
        AND(MAX(0, MIN($F$1, DATE(Initialisatie!$C$5,12,31)) - MAX($F$2, DATE(Initialisatie!$C$5,1,1)) + 1) &gt; 0,IFERROR(VALUE($F79),0)=0),
        AND(MAX(0, MIN($G$1, DATE(Initialisatie!$C$5,12,31)) - MAX($G$2, DATE(Initialisatie!$C$5,1,1)) + 1) &gt; 0,IFERROR(VALUE($G79),0)=0)
    ),
    0,
    SUM(
        IFERROR(VALUE($E79),0) * MAX(0, MIN($E$1, DATE(Initialisatie!$C$5,12,31)) - MAX($E$2, DATE(Initialisatie!$C$5,1,1)) + 1),
        IFERROR(VALUE($F79),0) * MAX(0, MIN($F$1, DATE(Initialisatie!$C$5,12,31)) - MAX($F$2, DATE(Initialisatie!$C$5,1,1)) + 1),
        IFERROR(VALUE($G79),0) * MAX(0, MIN($G$1, DATE(Initialisatie!$C$5,12,31)) - MAX($G$2, DATE(Initialisatie!$C$5,1,1)) + 1)
    ) / (DATE(Initialisatie!$C$5,12,31) - DATE(Initialisatie!$C$5,1,1) + 1)
)</f>
        <v>3963.67</v>
      </c>
    </row>
    <row r="80" spans="1:9" x14ac:dyDescent="0.45">
      <c r="A80" s="989"/>
      <c r="B80" s="35" t="s">
        <v>109</v>
      </c>
      <c r="C80" s="35">
        <v>10</v>
      </c>
      <c r="D80" s="35" t="s">
        <v>223</v>
      </c>
      <c r="E80">
        <v>3905.15</v>
      </c>
      <c r="F80">
        <v>3953.96</v>
      </c>
      <c r="G80">
        <v>4096.3100000000004</v>
      </c>
      <c r="I80">
        <f>IF(
    OR(
        AND(MAX(0, MIN($E$1, DATE(Initialisatie!$C$5,12,31)) - MAX($E$2, DATE(Initialisatie!$C$5,1,1)) + 1) &gt; 0,IFERROR(VALUE($E80),0)=0),
        AND(MAX(0, MIN($F$1, DATE(Initialisatie!$C$5,12,31)) - MAX($F$2, DATE(Initialisatie!$C$5,1,1)) + 1) &gt; 0,IFERROR(VALUE($F80),0)=0),
        AND(MAX(0, MIN($G$1, DATE(Initialisatie!$C$5,12,31)) - MAX($G$2, DATE(Initialisatie!$C$5,1,1)) + 1) &gt; 0,IFERROR(VALUE($G80),0)=0)
    ),
    0,
    SUM(
        IFERROR(VALUE($E80),0) * MAX(0, MIN($E$1, DATE(Initialisatie!$C$5,12,31)) - MAX($E$2, DATE(Initialisatie!$C$5,1,1)) + 1),
        IFERROR(VALUE($F80),0) * MAX(0, MIN($F$1, DATE(Initialisatie!$C$5,12,31)) - MAX($F$2, DATE(Initialisatie!$C$5,1,1)) + 1),
        IFERROR(VALUE($G80),0) * MAX(0, MIN($G$1, DATE(Initialisatie!$C$5,12,31)) - MAX($G$2, DATE(Initialisatie!$C$5,1,1)) + 1)
    ) / (DATE(Initialisatie!$C$5,12,31) - DATE(Initialisatie!$C$5,1,1) + 1)
)</f>
        <v>4096.3100000000004</v>
      </c>
    </row>
    <row r="81" spans="1:9" x14ac:dyDescent="0.45">
      <c r="A81" s="989"/>
      <c r="B81" s="35" t="s">
        <v>107</v>
      </c>
      <c r="C81" s="35">
        <v>11</v>
      </c>
      <c r="D81" s="35" t="s">
        <v>222</v>
      </c>
      <c r="E81">
        <v>4035.91</v>
      </c>
      <c r="F81">
        <v>4086.36</v>
      </c>
      <c r="G81">
        <v>4233.47</v>
      </c>
      <c r="I81">
        <f>IF(
    OR(
        AND(MAX(0, MIN($E$1, DATE(Initialisatie!$C$5,12,31)) - MAX($E$2, DATE(Initialisatie!$C$5,1,1)) + 1) &gt; 0,IFERROR(VALUE($E81),0)=0),
        AND(MAX(0, MIN($F$1, DATE(Initialisatie!$C$5,12,31)) - MAX($F$2, DATE(Initialisatie!$C$5,1,1)) + 1) &gt; 0,IFERROR(VALUE($F81),0)=0),
        AND(MAX(0, MIN($G$1, DATE(Initialisatie!$C$5,12,31)) - MAX($G$2, DATE(Initialisatie!$C$5,1,1)) + 1) &gt; 0,IFERROR(VALUE($G81),0)=0)
    ),
    0,
    SUM(
        IFERROR(VALUE($E81),0) * MAX(0, MIN($E$1, DATE(Initialisatie!$C$5,12,31)) - MAX($E$2, DATE(Initialisatie!$C$5,1,1)) + 1),
        IFERROR(VALUE($F81),0) * MAX(0, MIN($F$1, DATE(Initialisatie!$C$5,12,31)) - MAX($F$2, DATE(Initialisatie!$C$5,1,1)) + 1),
        IFERROR(VALUE($G81),0) * MAX(0, MIN($G$1, DATE(Initialisatie!$C$5,12,31)) - MAX($G$2, DATE(Initialisatie!$C$5,1,1)) + 1)
    ) / (DATE(Initialisatie!$C$5,12,31) - DATE(Initialisatie!$C$5,1,1) + 1)
)</f>
        <v>4233.47</v>
      </c>
    </row>
    <row r="82" spans="1:9" x14ac:dyDescent="0.45">
      <c r="A82" s="989"/>
      <c r="B82" s="35" t="s">
        <v>105</v>
      </c>
      <c r="C82" s="35">
        <v>12</v>
      </c>
      <c r="D82" s="35" t="s">
        <v>221</v>
      </c>
      <c r="E82">
        <v>4171.0200000000004</v>
      </c>
      <c r="F82">
        <v>4223.16</v>
      </c>
      <c r="G82">
        <v>4375.2</v>
      </c>
      <c r="I82">
        <f>IF(
    OR(
        AND(MAX(0, MIN($E$1, DATE(Initialisatie!$C$5,12,31)) - MAX($E$2, DATE(Initialisatie!$C$5,1,1)) + 1) &gt; 0,IFERROR(VALUE($E82),0)=0),
        AND(MAX(0, MIN($F$1, DATE(Initialisatie!$C$5,12,31)) - MAX($F$2, DATE(Initialisatie!$C$5,1,1)) + 1) &gt; 0,IFERROR(VALUE($F82),0)=0),
        AND(MAX(0, MIN($G$1, DATE(Initialisatie!$C$5,12,31)) - MAX($G$2, DATE(Initialisatie!$C$5,1,1)) + 1) &gt; 0,IFERROR(VALUE($G82),0)=0)
    ),
    0,
    SUM(
        IFERROR(VALUE($E82),0) * MAX(0, MIN($E$1, DATE(Initialisatie!$C$5,12,31)) - MAX($E$2, DATE(Initialisatie!$C$5,1,1)) + 1),
        IFERROR(VALUE($F82),0) * MAX(0, MIN($F$1, DATE(Initialisatie!$C$5,12,31)) - MAX($F$2, DATE(Initialisatie!$C$5,1,1)) + 1),
        IFERROR(VALUE($G82),0) * MAX(0, MIN($G$1, DATE(Initialisatie!$C$5,12,31)) - MAX($G$2, DATE(Initialisatie!$C$5,1,1)) + 1)
    ) / (DATE(Initialisatie!$C$5,12,31) - DATE(Initialisatie!$C$5,1,1) + 1)
)</f>
        <v>4375.2</v>
      </c>
    </row>
    <row r="83" spans="1:9" x14ac:dyDescent="0.45">
      <c r="A83" s="989"/>
      <c r="B83" s="35" t="s">
        <v>103</v>
      </c>
      <c r="C83" s="35">
        <v>13</v>
      </c>
      <c r="D83" s="35" t="s">
        <v>220</v>
      </c>
      <c r="E83">
        <v>0</v>
      </c>
      <c r="F83">
        <v>0</v>
      </c>
      <c r="G83">
        <v>0</v>
      </c>
      <c r="I83">
        <f>IF(
    OR(
        AND(MAX(0, MIN($E$1, DATE(Initialisatie!$C$5,12,31)) - MAX($E$2, DATE(Initialisatie!$C$5,1,1)) + 1) &gt; 0,IFERROR(VALUE($E83),0)=0),
        AND(MAX(0, MIN($F$1, DATE(Initialisatie!$C$5,12,31)) - MAX($F$2, DATE(Initialisatie!$C$5,1,1)) + 1) &gt; 0,IFERROR(VALUE($F83),0)=0),
        AND(MAX(0, MIN($G$1, DATE(Initialisatie!$C$5,12,31)) - MAX($G$2, DATE(Initialisatie!$C$5,1,1)) + 1) &gt; 0,IFERROR(VALUE($G83),0)=0)
    ),
    0,
    SUM(
        IFERROR(VALUE($E83),0) * MAX(0, MIN($E$1, DATE(Initialisatie!$C$5,12,31)) - MAX($E$2, DATE(Initialisatie!$C$5,1,1)) + 1),
        IFERROR(VALUE($F83),0) * MAX(0, MIN($F$1, DATE(Initialisatie!$C$5,12,31)) - MAX($F$2, DATE(Initialisatie!$C$5,1,1)) + 1),
        IFERROR(VALUE($G83),0) * MAX(0, MIN($G$1, DATE(Initialisatie!$C$5,12,31)) - MAX($G$2, DATE(Initialisatie!$C$5,1,1)) + 1)
    ) / (DATE(Initialisatie!$C$5,12,31) - DATE(Initialisatie!$C$5,1,1) + 1)
)</f>
        <v>0</v>
      </c>
    </row>
    <row r="84" spans="1:9" x14ac:dyDescent="0.45">
      <c r="A84" s="989"/>
      <c r="B84" s="35" t="s">
        <v>85</v>
      </c>
      <c r="C84" s="35">
        <v>14</v>
      </c>
      <c r="D84" s="35" t="s">
        <v>211</v>
      </c>
      <c r="E84">
        <v>4310.55</v>
      </c>
      <c r="F84">
        <v>4364.43</v>
      </c>
      <c r="G84">
        <v>4521.55</v>
      </c>
      <c r="I84">
        <f>IF(
    OR(
        AND(MAX(0, MIN($E$1, DATE(Initialisatie!$C$5,12,31)) - MAX($E$2, DATE(Initialisatie!$C$5,1,1)) + 1) &gt; 0,IFERROR(VALUE($E84),0)=0),
        AND(MAX(0, MIN($F$1, DATE(Initialisatie!$C$5,12,31)) - MAX($F$2, DATE(Initialisatie!$C$5,1,1)) + 1) &gt; 0,IFERROR(VALUE($F84),0)=0),
        AND(MAX(0, MIN($G$1, DATE(Initialisatie!$C$5,12,31)) - MAX($G$2, DATE(Initialisatie!$C$5,1,1)) + 1) &gt; 0,IFERROR(VALUE($G84),0)=0)
    ),
    0,
    SUM(
        IFERROR(VALUE($E84),0) * MAX(0, MIN($E$1, DATE(Initialisatie!$C$5,12,31)) - MAX($E$2, DATE(Initialisatie!$C$5,1,1)) + 1),
        IFERROR(VALUE($F84),0) * MAX(0, MIN($F$1, DATE(Initialisatie!$C$5,12,31)) - MAX($F$2, DATE(Initialisatie!$C$5,1,1)) + 1),
        IFERROR(VALUE($G84),0) * MAX(0, MIN($G$1, DATE(Initialisatie!$C$5,12,31)) - MAX($G$2, DATE(Initialisatie!$C$5,1,1)) + 1)
    ) / (DATE(Initialisatie!$C$5,12,31) - DATE(Initialisatie!$C$5,1,1) + 1)
)</f>
        <v>4521.55</v>
      </c>
    </row>
    <row r="85" spans="1:9" x14ac:dyDescent="0.45">
      <c r="A85" s="990"/>
      <c r="B85" s="35" t="s">
        <v>83</v>
      </c>
      <c r="C85" s="35">
        <v>15</v>
      </c>
      <c r="D85" s="35" t="s">
        <v>210</v>
      </c>
      <c r="E85">
        <v>4455.12</v>
      </c>
      <c r="F85">
        <v>4510.8100000000004</v>
      </c>
      <c r="G85">
        <v>4673.2</v>
      </c>
      <c r="I85">
        <f>IF(
    OR(
        AND(MAX(0, MIN($E$1, DATE(Initialisatie!$C$5,12,31)) - MAX($E$2, DATE(Initialisatie!$C$5,1,1)) + 1) &gt; 0,IFERROR(VALUE($E85),0)=0),
        AND(MAX(0, MIN($F$1, DATE(Initialisatie!$C$5,12,31)) - MAX($F$2, DATE(Initialisatie!$C$5,1,1)) + 1) &gt; 0,IFERROR(VALUE($F85),0)=0),
        AND(MAX(0, MIN($G$1, DATE(Initialisatie!$C$5,12,31)) - MAX($G$2, DATE(Initialisatie!$C$5,1,1)) + 1) &gt; 0,IFERROR(VALUE($G85),0)=0)
    ),
    0,
    SUM(
        IFERROR(VALUE($E85),0) * MAX(0, MIN($E$1, DATE(Initialisatie!$C$5,12,31)) - MAX($E$2, DATE(Initialisatie!$C$5,1,1)) + 1),
        IFERROR(VALUE($F85),0) * MAX(0, MIN($F$1, DATE(Initialisatie!$C$5,12,31)) - MAX($F$2, DATE(Initialisatie!$C$5,1,1)) + 1),
        IFERROR(VALUE($G85),0) * MAX(0, MIN($G$1, DATE(Initialisatie!$C$5,12,31)) - MAX($G$2, DATE(Initialisatie!$C$5,1,1)) + 1)
    ) / (DATE(Initialisatie!$C$5,12,31) - DATE(Initialisatie!$C$5,1,1) + 1)
)</f>
        <v>4673.2</v>
      </c>
    </row>
    <row r="86" spans="1:9" x14ac:dyDescent="0.45">
      <c r="A86" s="988">
        <v>9</v>
      </c>
      <c r="B86" s="35" t="s">
        <v>113</v>
      </c>
      <c r="C86" s="35">
        <v>0</v>
      </c>
      <c r="D86" s="35" t="s">
        <v>209</v>
      </c>
      <c r="E86">
        <v>3042.75</v>
      </c>
      <c r="F86">
        <v>3080.79</v>
      </c>
      <c r="G86">
        <v>3191.69</v>
      </c>
      <c r="I86">
        <f>IF(
    OR(
        AND(MAX(0, MIN($E$1, DATE(Initialisatie!$C$5,12,31)) - MAX($E$2, DATE(Initialisatie!$C$5,1,1)) + 1) &gt; 0,IFERROR(VALUE($E86),0)=0),
        AND(MAX(0, MIN($F$1, DATE(Initialisatie!$C$5,12,31)) - MAX($F$2, DATE(Initialisatie!$C$5,1,1)) + 1) &gt; 0,IFERROR(VALUE($F86),0)=0),
        AND(MAX(0, MIN($G$1, DATE(Initialisatie!$C$5,12,31)) - MAX($G$2, DATE(Initialisatie!$C$5,1,1)) + 1) &gt; 0,IFERROR(VALUE($G86),0)=0)
    ),
    0,
    SUM(
        IFERROR(VALUE($E86),0) * MAX(0, MIN($E$1, DATE(Initialisatie!$C$5,12,31)) - MAX($E$2, DATE(Initialisatie!$C$5,1,1)) + 1),
        IFERROR(VALUE($F86),0) * MAX(0, MIN($F$1, DATE(Initialisatie!$C$5,12,31)) - MAX($F$2, DATE(Initialisatie!$C$5,1,1)) + 1),
        IFERROR(VALUE($G86),0) * MAX(0, MIN($G$1, DATE(Initialisatie!$C$5,12,31)) - MAX($G$2, DATE(Initialisatie!$C$5,1,1)) + 1)
    ) / (DATE(Initialisatie!$C$5,12,31) - DATE(Initialisatie!$C$5,1,1) + 1)
)</f>
        <v>3191.69</v>
      </c>
    </row>
    <row r="87" spans="1:9" x14ac:dyDescent="0.45">
      <c r="A87" s="989"/>
      <c r="B87" s="35" t="s">
        <v>111</v>
      </c>
      <c r="C87" s="35">
        <v>1</v>
      </c>
      <c r="D87" s="35" t="s">
        <v>208</v>
      </c>
      <c r="E87">
        <v>3145.92</v>
      </c>
      <c r="F87">
        <v>3185.24</v>
      </c>
      <c r="G87">
        <v>3299.91</v>
      </c>
      <c r="I87">
        <f>IF(
    OR(
        AND(MAX(0, MIN($E$1, DATE(Initialisatie!$C$5,12,31)) - MAX($E$2, DATE(Initialisatie!$C$5,1,1)) + 1) &gt; 0,IFERROR(VALUE($E87),0)=0),
        AND(MAX(0, MIN($F$1, DATE(Initialisatie!$C$5,12,31)) - MAX($F$2, DATE(Initialisatie!$C$5,1,1)) + 1) &gt; 0,IFERROR(VALUE($F87),0)=0),
        AND(MAX(0, MIN($G$1, DATE(Initialisatie!$C$5,12,31)) - MAX($G$2, DATE(Initialisatie!$C$5,1,1)) + 1) &gt; 0,IFERROR(VALUE($G87),0)=0)
    ),
    0,
    SUM(
        IFERROR(VALUE($E87),0) * MAX(0, MIN($E$1, DATE(Initialisatie!$C$5,12,31)) - MAX($E$2, DATE(Initialisatie!$C$5,1,1)) + 1),
        IFERROR(VALUE($F87),0) * MAX(0, MIN($F$1, DATE(Initialisatie!$C$5,12,31)) - MAX($F$2, DATE(Initialisatie!$C$5,1,1)) + 1),
        IFERROR(VALUE($G87),0) * MAX(0, MIN($G$1, DATE(Initialisatie!$C$5,12,31)) - MAX($G$2, DATE(Initialisatie!$C$5,1,1)) + 1)
    ) / (DATE(Initialisatie!$C$5,12,31) - DATE(Initialisatie!$C$5,1,1) + 1)
)</f>
        <v>3299.91</v>
      </c>
    </row>
    <row r="88" spans="1:9" x14ac:dyDescent="0.45">
      <c r="A88" s="989"/>
      <c r="B88" s="35" t="s">
        <v>101</v>
      </c>
      <c r="C88" s="35">
        <v>2</v>
      </c>
      <c r="D88" s="35" t="s">
        <v>203</v>
      </c>
      <c r="E88">
        <v>3253.47</v>
      </c>
      <c r="F88">
        <v>3294.14</v>
      </c>
      <c r="G88">
        <v>3412.73</v>
      </c>
      <c r="I88">
        <f>IF(
    OR(
        AND(MAX(0, MIN($E$1, DATE(Initialisatie!$C$5,12,31)) - MAX($E$2, DATE(Initialisatie!$C$5,1,1)) + 1) &gt; 0,IFERROR(VALUE($E88),0)=0),
        AND(MAX(0, MIN($F$1, DATE(Initialisatie!$C$5,12,31)) - MAX($F$2, DATE(Initialisatie!$C$5,1,1)) + 1) &gt; 0,IFERROR(VALUE($F88),0)=0),
        AND(MAX(0, MIN($G$1, DATE(Initialisatie!$C$5,12,31)) - MAX($G$2, DATE(Initialisatie!$C$5,1,1)) + 1) &gt; 0,IFERROR(VALUE($G88),0)=0)
    ),
    0,
    SUM(
        IFERROR(VALUE($E88),0) * MAX(0, MIN($E$1, DATE(Initialisatie!$C$5,12,31)) - MAX($E$2, DATE(Initialisatie!$C$5,1,1)) + 1),
        IFERROR(VALUE($F88),0) * MAX(0, MIN($F$1, DATE(Initialisatie!$C$5,12,31)) - MAX($F$2, DATE(Initialisatie!$C$5,1,1)) + 1),
        IFERROR(VALUE($G88),0) * MAX(0, MIN($G$1, DATE(Initialisatie!$C$5,12,31)) - MAX($G$2, DATE(Initialisatie!$C$5,1,1)) + 1)
    ) / (DATE(Initialisatie!$C$5,12,31) - DATE(Initialisatie!$C$5,1,1) + 1)
)</f>
        <v>3412.73</v>
      </c>
    </row>
    <row r="89" spans="1:9" x14ac:dyDescent="0.45">
      <c r="A89" s="989"/>
      <c r="B89" s="35" t="s">
        <v>99</v>
      </c>
      <c r="C89" s="35">
        <v>3</v>
      </c>
      <c r="D89" s="35" t="s">
        <v>202</v>
      </c>
      <c r="E89">
        <v>3363.86</v>
      </c>
      <c r="F89">
        <v>3405.91</v>
      </c>
      <c r="G89">
        <v>3528.53</v>
      </c>
      <c r="I89">
        <f>IF(
    OR(
        AND(MAX(0, MIN($E$1, DATE(Initialisatie!$C$5,12,31)) - MAX($E$2, DATE(Initialisatie!$C$5,1,1)) + 1) &gt; 0,IFERROR(VALUE($E89),0)=0),
        AND(MAX(0, MIN($F$1, DATE(Initialisatie!$C$5,12,31)) - MAX($F$2, DATE(Initialisatie!$C$5,1,1)) + 1) &gt; 0,IFERROR(VALUE($F89),0)=0),
        AND(MAX(0, MIN($G$1, DATE(Initialisatie!$C$5,12,31)) - MAX($G$2, DATE(Initialisatie!$C$5,1,1)) + 1) &gt; 0,IFERROR(VALUE($G89),0)=0)
    ),
    0,
    SUM(
        IFERROR(VALUE($E89),0) * MAX(0, MIN($E$1, DATE(Initialisatie!$C$5,12,31)) - MAX($E$2, DATE(Initialisatie!$C$5,1,1)) + 1),
        IFERROR(VALUE($F89),0) * MAX(0, MIN($F$1, DATE(Initialisatie!$C$5,12,31)) - MAX($F$2, DATE(Initialisatie!$C$5,1,1)) + 1),
        IFERROR(VALUE($G89),0) * MAX(0, MIN($G$1, DATE(Initialisatie!$C$5,12,31)) - MAX($G$2, DATE(Initialisatie!$C$5,1,1)) + 1)
    ) / (DATE(Initialisatie!$C$5,12,31) - DATE(Initialisatie!$C$5,1,1) + 1)
)</f>
        <v>3528.5300000000007</v>
      </c>
    </row>
    <row r="90" spans="1:9" x14ac:dyDescent="0.45">
      <c r="A90" s="989"/>
      <c r="B90" s="35" t="s">
        <v>97</v>
      </c>
      <c r="C90" s="35">
        <v>4</v>
      </c>
      <c r="D90" s="35" t="s">
        <v>201</v>
      </c>
      <c r="E90">
        <v>3477.95</v>
      </c>
      <c r="F90">
        <v>3521.42</v>
      </c>
      <c r="G90">
        <v>3648.19</v>
      </c>
      <c r="I90">
        <f>IF(
    OR(
        AND(MAX(0, MIN($E$1, DATE(Initialisatie!$C$5,12,31)) - MAX($E$2, DATE(Initialisatie!$C$5,1,1)) + 1) &gt; 0,IFERROR(VALUE($E90),0)=0),
        AND(MAX(0, MIN($F$1, DATE(Initialisatie!$C$5,12,31)) - MAX($F$2, DATE(Initialisatie!$C$5,1,1)) + 1) &gt; 0,IFERROR(VALUE($F90),0)=0),
        AND(MAX(0, MIN($G$1, DATE(Initialisatie!$C$5,12,31)) - MAX($G$2, DATE(Initialisatie!$C$5,1,1)) + 1) &gt; 0,IFERROR(VALUE($G90),0)=0)
    ),
    0,
    SUM(
        IFERROR(VALUE($E90),0) * MAX(0, MIN($E$1, DATE(Initialisatie!$C$5,12,31)) - MAX($E$2, DATE(Initialisatie!$C$5,1,1)) + 1),
        IFERROR(VALUE($F90),0) * MAX(0, MIN($F$1, DATE(Initialisatie!$C$5,12,31)) - MAX($F$2, DATE(Initialisatie!$C$5,1,1)) + 1),
        IFERROR(VALUE($G90),0) * MAX(0, MIN($G$1, DATE(Initialisatie!$C$5,12,31)) - MAX($G$2, DATE(Initialisatie!$C$5,1,1)) + 1)
    ) / (DATE(Initialisatie!$C$5,12,31) - DATE(Initialisatie!$C$5,1,1) + 1)
)</f>
        <v>3648.19</v>
      </c>
    </row>
    <row r="91" spans="1:9" x14ac:dyDescent="0.45">
      <c r="A91" s="989"/>
      <c r="B91" s="35" t="s">
        <v>95</v>
      </c>
      <c r="C91" s="35">
        <v>5</v>
      </c>
      <c r="D91" s="35" t="s">
        <v>200</v>
      </c>
      <c r="E91">
        <v>3596.36</v>
      </c>
      <c r="F91">
        <v>3641.31</v>
      </c>
      <c r="G91">
        <v>3772.4</v>
      </c>
      <c r="I91">
        <f>IF(
    OR(
        AND(MAX(0, MIN($E$1, DATE(Initialisatie!$C$5,12,31)) - MAX($E$2, DATE(Initialisatie!$C$5,1,1)) + 1) &gt; 0,IFERROR(VALUE($E91),0)=0),
        AND(MAX(0, MIN($F$1, DATE(Initialisatie!$C$5,12,31)) - MAX($F$2, DATE(Initialisatie!$C$5,1,1)) + 1) &gt; 0,IFERROR(VALUE($F91),0)=0),
        AND(MAX(0, MIN($G$1, DATE(Initialisatie!$C$5,12,31)) - MAX($G$2, DATE(Initialisatie!$C$5,1,1)) + 1) &gt; 0,IFERROR(VALUE($G91),0)=0)
    ),
    0,
    SUM(
        IFERROR(VALUE($E91),0) * MAX(0, MIN($E$1, DATE(Initialisatie!$C$5,12,31)) - MAX($E$2, DATE(Initialisatie!$C$5,1,1)) + 1),
        IFERROR(VALUE($F91),0) * MAX(0, MIN($F$1, DATE(Initialisatie!$C$5,12,31)) - MAX($F$2, DATE(Initialisatie!$C$5,1,1)) + 1),
        IFERROR(VALUE($G91),0) * MAX(0, MIN($G$1, DATE(Initialisatie!$C$5,12,31)) - MAX($G$2, DATE(Initialisatie!$C$5,1,1)) + 1)
    ) / (DATE(Initialisatie!$C$5,12,31) - DATE(Initialisatie!$C$5,1,1) + 1)
)</f>
        <v>3772.4</v>
      </c>
    </row>
    <row r="92" spans="1:9" x14ac:dyDescent="0.45">
      <c r="A92" s="989"/>
      <c r="B92" s="35" t="s">
        <v>93</v>
      </c>
      <c r="C92" s="35">
        <v>6</v>
      </c>
      <c r="D92" s="35" t="s">
        <v>199</v>
      </c>
      <c r="E92">
        <v>3718.4</v>
      </c>
      <c r="F92">
        <v>3764.88</v>
      </c>
      <c r="G92">
        <v>3900.42</v>
      </c>
      <c r="I92">
        <f>IF(
    OR(
        AND(MAX(0, MIN($E$1, DATE(Initialisatie!$C$5,12,31)) - MAX($E$2, DATE(Initialisatie!$C$5,1,1)) + 1) &gt; 0,IFERROR(VALUE($E92),0)=0),
        AND(MAX(0, MIN($F$1, DATE(Initialisatie!$C$5,12,31)) - MAX($F$2, DATE(Initialisatie!$C$5,1,1)) + 1) &gt; 0,IFERROR(VALUE($F92),0)=0),
        AND(MAX(0, MIN($G$1, DATE(Initialisatie!$C$5,12,31)) - MAX($G$2, DATE(Initialisatie!$C$5,1,1)) + 1) &gt; 0,IFERROR(VALUE($G92),0)=0)
    ),
    0,
    SUM(
        IFERROR(VALUE($E92),0) * MAX(0, MIN($E$1, DATE(Initialisatie!$C$5,12,31)) - MAX($E$2, DATE(Initialisatie!$C$5,1,1)) + 1),
        IFERROR(VALUE($F92),0) * MAX(0, MIN($F$1, DATE(Initialisatie!$C$5,12,31)) - MAX($F$2, DATE(Initialisatie!$C$5,1,1)) + 1),
        IFERROR(VALUE($G92),0) * MAX(0, MIN($G$1, DATE(Initialisatie!$C$5,12,31)) - MAX($G$2, DATE(Initialisatie!$C$5,1,1)) + 1)
    ) / (DATE(Initialisatie!$C$5,12,31) - DATE(Initialisatie!$C$5,1,1) + 1)
)</f>
        <v>3900.42</v>
      </c>
    </row>
    <row r="93" spans="1:9" x14ac:dyDescent="0.45">
      <c r="A93" s="989"/>
      <c r="B93" s="35" t="s">
        <v>91</v>
      </c>
      <c r="C93" s="35">
        <v>7</v>
      </c>
      <c r="D93" s="35" t="s">
        <v>198</v>
      </c>
      <c r="E93">
        <v>3844.84</v>
      </c>
      <c r="F93">
        <v>3892.9</v>
      </c>
      <c r="G93">
        <v>4033.05</v>
      </c>
      <c r="I93">
        <f>IF(
    OR(
        AND(MAX(0, MIN($E$1, DATE(Initialisatie!$C$5,12,31)) - MAX($E$2, DATE(Initialisatie!$C$5,1,1)) + 1) &gt; 0,IFERROR(VALUE($E93),0)=0),
        AND(MAX(0, MIN($F$1, DATE(Initialisatie!$C$5,12,31)) - MAX($F$2, DATE(Initialisatie!$C$5,1,1)) + 1) &gt; 0,IFERROR(VALUE($F93),0)=0),
        AND(MAX(0, MIN($G$1, DATE(Initialisatie!$C$5,12,31)) - MAX($G$2, DATE(Initialisatie!$C$5,1,1)) + 1) &gt; 0,IFERROR(VALUE($G93),0)=0)
    ),
    0,
    SUM(
        IFERROR(VALUE($E93),0) * MAX(0, MIN($E$1, DATE(Initialisatie!$C$5,12,31)) - MAX($E$2, DATE(Initialisatie!$C$5,1,1)) + 1),
        IFERROR(VALUE($F93),0) * MAX(0, MIN($F$1, DATE(Initialisatie!$C$5,12,31)) - MAX($F$2, DATE(Initialisatie!$C$5,1,1)) + 1),
        IFERROR(VALUE($G93),0) * MAX(0, MIN($G$1, DATE(Initialisatie!$C$5,12,31)) - MAX($G$2, DATE(Initialisatie!$C$5,1,1)) + 1)
    ) / (DATE(Initialisatie!$C$5,12,31) - DATE(Initialisatie!$C$5,1,1) + 1)
)</f>
        <v>4033.05</v>
      </c>
    </row>
    <row r="94" spans="1:9" x14ac:dyDescent="0.45">
      <c r="A94" s="989"/>
      <c r="B94" s="35" t="s">
        <v>89</v>
      </c>
      <c r="C94" s="35">
        <v>8</v>
      </c>
      <c r="D94" s="35" t="s">
        <v>197</v>
      </c>
      <c r="E94">
        <v>3975.6</v>
      </c>
      <c r="F94">
        <v>4025.3</v>
      </c>
      <c r="G94">
        <v>4170.21</v>
      </c>
      <c r="I94">
        <f>IF(
    OR(
        AND(MAX(0, MIN($E$1, DATE(Initialisatie!$C$5,12,31)) - MAX($E$2, DATE(Initialisatie!$C$5,1,1)) + 1) &gt; 0,IFERROR(VALUE($E94),0)=0),
        AND(MAX(0, MIN($F$1, DATE(Initialisatie!$C$5,12,31)) - MAX($F$2, DATE(Initialisatie!$C$5,1,1)) + 1) &gt; 0,IFERROR(VALUE($F94),0)=0),
        AND(MAX(0, MIN($G$1, DATE(Initialisatie!$C$5,12,31)) - MAX($G$2, DATE(Initialisatie!$C$5,1,1)) + 1) &gt; 0,IFERROR(VALUE($G94),0)=0)
    ),
    0,
    SUM(
        IFERROR(VALUE($E94),0) * MAX(0, MIN($E$1, DATE(Initialisatie!$C$5,12,31)) - MAX($E$2, DATE(Initialisatie!$C$5,1,1)) + 1),
        IFERROR(VALUE($F94),0) * MAX(0, MIN($F$1, DATE(Initialisatie!$C$5,12,31)) - MAX($F$2, DATE(Initialisatie!$C$5,1,1)) + 1),
        IFERROR(VALUE($G94),0) * MAX(0, MIN($G$1, DATE(Initialisatie!$C$5,12,31)) - MAX($G$2, DATE(Initialisatie!$C$5,1,1)) + 1)
    ) / (DATE(Initialisatie!$C$5,12,31) - DATE(Initialisatie!$C$5,1,1) + 1)
)</f>
        <v>4170.21</v>
      </c>
    </row>
    <row r="95" spans="1:9" x14ac:dyDescent="0.45">
      <c r="A95" s="989"/>
      <c r="B95" s="35" t="s">
        <v>87</v>
      </c>
      <c r="C95" s="35">
        <v>9</v>
      </c>
      <c r="D95" s="35" t="s">
        <v>196</v>
      </c>
      <c r="E95">
        <v>4110.7299999999996</v>
      </c>
      <c r="F95">
        <v>4162.12</v>
      </c>
      <c r="G95">
        <v>4311.95</v>
      </c>
      <c r="I95">
        <f>IF(
    OR(
        AND(MAX(0, MIN($E$1, DATE(Initialisatie!$C$5,12,31)) - MAX($E$2, DATE(Initialisatie!$C$5,1,1)) + 1) &gt; 0,IFERROR(VALUE($E95),0)=0),
        AND(MAX(0, MIN($F$1, DATE(Initialisatie!$C$5,12,31)) - MAX($F$2, DATE(Initialisatie!$C$5,1,1)) + 1) &gt; 0,IFERROR(VALUE($F95),0)=0),
        AND(MAX(0, MIN($G$1, DATE(Initialisatie!$C$5,12,31)) - MAX($G$2, DATE(Initialisatie!$C$5,1,1)) + 1) &gt; 0,IFERROR(VALUE($G95),0)=0)
    ),
    0,
    SUM(
        IFERROR(VALUE($E95),0) * MAX(0, MIN($E$1, DATE(Initialisatie!$C$5,12,31)) - MAX($E$2, DATE(Initialisatie!$C$5,1,1)) + 1),
        IFERROR(VALUE($F95),0) * MAX(0, MIN($F$1, DATE(Initialisatie!$C$5,12,31)) - MAX($F$2, DATE(Initialisatie!$C$5,1,1)) + 1),
        IFERROR(VALUE($G95),0) * MAX(0, MIN($G$1, DATE(Initialisatie!$C$5,12,31)) - MAX($G$2, DATE(Initialisatie!$C$5,1,1)) + 1)
    ) / (DATE(Initialisatie!$C$5,12,31) - DATE(Initialisatie!$C$5,1,1) + 1)
)</f>
        <v>4311.95</v>
      </c>
    </row>
    <row r="96" spans="1:9" x14ac:dyDescent="0.45">
      <c r="A96" s="989"/>
      <c r="B96" s="35" t="s">
        <v>109</v>
      </c>
      <c r="C96" s="35">
        <v>10</v>
      </c>
      <c r="D96" s="35" t="s">
        <v>207</v>
      </c>
      <c r="E96">
        <v>4250.96</v>
      </c>
      <c r="F96">
        <v>4304.09</v>
      </c>
      <c r="G96">
        <v>4459.04</v>
      </c>
      <c r="I96">
        <f>IF(
    OR(
        AND(MAX(0, MIN($E$1, DATE(Initialisatie!$C$5,12,31)) - MAX($E$2, DATE(Initialisatie!$C$5,1,1)) + 1) &gt; 0,IFERROR(VALUE($E96),0)=0),
        AND(MAX(0, MIN($F$1, DATE(Initialisatie!$C$5,12,31)) - MAX($F$2, DATE(Initialisatie!$C$5,1,1)) + 1) &gt; 0,IFERROR(VALUE($F96),0)=0),
        AND(MAX(0, MIN($G$1, DATE(Initialisatie!$C$5,12,31)) - MAX($G$2, DATE(Initialisatie!$C$5,1,1)) + 1) &gt; 0,IFERROR(VALUE($G96),0)=0)
    ),
    0,
    SUM(
        IFERROR(VALUE($E96),0) * MAX(0, MIN($E$1, DATE(Initialisatie!$C$5,12,31)) - MAX($E$2, DATE(Initialisatie!$C$5,1,1)) + 1),
        IFERROR(VALUE($F96),0) * MAX(0, MIN($F$1, DATE(Initialisatie!$C$5,12,31)) - MAX($F$2, DATE(Initialisatie!$C$5,1,1)) + 1),
        IFERROR(VALUE($G96),0) * MAX(0, MIN($G$1, DATE(Initialisatie!$C$5,12,31)) - MAX($G$2, DATE(Initialisatie!$C$5,1,1)) + 1)
    ) / (DATE(Initialisatie!$C$5,12,31) - DATE(Initialisatie!$C$5,1,1) + 1)
)</f>
        <v>4459.04</v>
      </c>
    </row>
    <row r="97" spans="1:9" x14ac:dyDescent="0.45">
      <c r="A97" s="989"/>
      <c r="B97" s="35" t="s">
        <v>107</v>
      </c>
      <c r="C97" s="35">
        <v>11</v>
      </c>
      <c r="D97" s="35" t="s">
        <v>206</v>
      </c>
      <c r="E97">
        <v>4395.55</v>
      </c>
      <c r="F97">
        <v>4450.5</v>
      </c>
      <c r="G97">
        <v>4610.72</v>
      </c>
      <c r="I97">
        <f>IF(
    OR(
        AND(MAX(0, MIN($E$1, DATE(Initialisatie!$C$5,12,31)) - MAX($E$2, DATE(Initialisatie!$C$5,1,1)) + 1) &gt; 0,IFERROR(VALUE($E97),0)=0),
        AND(MAX(0, MIN($F$1, DATE(Initialisatie!$C$5,12,31)) - MAX($F$2, DATE(Initialisatie!$C$5,1,1)) + 1) &gt; 0,IFERROR(VALUE($F97),0)=0),
        AND(MAX(0, MIN($G$1, DATE(Initialisatie!$C$5,12,31)) - MAX($G$2, DATE(Initialisatie!$C$5,1,1)) + 1) &gt; 0,IFERROR(VALUE($G97),0)=0)
    ),
    0,
    SUM(
        IFERROR(VALUE($E97),0) * MAX(0, MIN($E$1, DATE(Initialisatie!$C$5,12,31)) - MAX($E$2, DATE(Initialisatie!$C$5,1,1)) + 1),
        IFERROR(VALUE($F97),0) * MAX(0, MIN($F$1, DATE(Initialisatie!$C$5,12,31)) - MAX($F$2, DATE(Initialisatie!$C$5,1,1)) + 1),
        IFERROR(VALUE($G97),0) * MAX(0, MIN($G$1, DATE(Initialisatie!$C$5,12,31)) - MAX($G$2, DATE(Initialisatie!$C$5,1,1)) + 1)
    ) / (DATE(Initialisatie!$C$5,12,31) - DATE(Initialisatie!$C$5,1,1) + 1)
)</f>
        <v>4610.72</v>
      </c>
    </row>
    <row r="98" spans="1:9" x14ac:dyDescent="0.45">
      <c r="A98" s="989"/>
      <c r="B98" s="35" t="s">
        <v>105</v>
      </c>
      <c r="C98" s="35">
        <v>12</v>
      </c>
      <c r="D98" s="35" t="s">
        <v>205</v>
      </c>
      <c r="E98">
        <v>4544.51</v>
      </c>
      <c r="F98">
        <v>4601.3100000000004</v>
      </c>
      <c r="G98">
        <v>4766.96</v>
      </c>
      <c r="I98">
        <f>IF(
    OR(
        AND(MAX(0, MIN($E$1, DATE(Initialisatie!$C$5,12,31)) - MAX($E$2, DATE(Initialisatie!$C$5,1,1)) + 1) &gt; 0,IFERROR(VALUE($E98),0)=0),
        AND(MAX(0, MIN($F$1, DATE(Initialisatie!$C$5,12,31)) - MAX($F$2, DATE(Initialisatie!$C$5,1,1)) + 1) &gt; 0,IFERROR(VALUE($F98),0)=0),
        AND(MAX(0, MIN($G$1, DATE(Initialisatie!$C$5,12,31)) - MAX($G$2, DATE(Initialisatie!$C$5,1,1)) + 1) &gt; 0,IFERROR(VALUE($G98),0)=0)
    ),
    0,
    SUM(
        IFERROR(VALUE($E98),0) * MAX(0, MIN($E$1, DATE(Initialisatie!$C$5,12,31)) - MAX($E$2, DATE(Initialisatie!$C$5,1,1)) + 1),
        IFERROR(VALUE($F98),0) * MAX(0, MIN($F$1, DATE(Initialisatie!$C$5,12,31)) - MAX($F$2, DATE(Initialisatie!$C$5,1,1)) + 1),
        IFERROR(VALUE($G98),0) * MAX(0, MIN($G$1, DATE(Initialisatie!$C$5,12,31)) - MAX($G$2, DATE(Initialisatie!$C$5,1,1)) + 1)
    ) / (DATE(Initialisatie!$C$5,12,31) - DATE(Initialisatie!$C$5,1,1) + 1)
)</f>
        <v>4766.96</v>
      </c>
    </row>
    <row r="99" spans="1:9" x14ac:dyDescent="0.45">
      <c r="A99" s="989"/>
      <c r="B99" s="35" t="s">
        <v>103</v>
      </c>
      <c r="C99" s="35">
        <v>13</v>
      </c>
      <c r="D99" s="35" t="s">
        <v>204</v>
      </c>
      <c r="E99">
        <v>0</v>
      </c>
      <c r="F99">
        <v>0</v>
      </c>
      <c r="G99">
        <v>0</v>
      </c>
      <c r="I99">
        <f>IF(
    OR(
        AND(MAX(0, MIN($E$1, DATE(Initialisatie!$C$5,12,31)) - MAX($E$2, DATE(Initialisatie!$C$5,1,1)) + 1) &gt; 0,IFERROR(VALUE($E99),0)=0),
        AND(MAX(0, MIN($F$1, DATE(Initialisatie!$C$5,12,31)) - MAX($F$2, DATE(Initialisatie!$C$5,1,1)) + 1) &gt; 0,IFERROR(VALUE($F99),0)=0),
        AND(MAX(0, MIN($G$1, DATE(Initialisatie!$C$5,12,31)) - MAX($G$2, DATE(Initialisatie!$C$5,1,1)) + 1) &gt; 0,IFERROR(VALUE($G99),0)=0)
    ),
    0,
    SUM(
        IFERROR(VALUE($E99),0) * MAX(0, MIN($E$1, DATE(Initialisatie!$C$5,12,31)) - MAX($E$2, DATE(Initialisatie!$C$5,1,1)) + 1),
        IFERROR(VALUE($F99),0) * MAX(0, MIN($F$1, DATE(Initialisatie!$C$5,12,31)) - MAX($F$2, DATE(Initialisatie!$C$5,1,1)) + 1),
        IFERROR(VALUE($G99),0) * MAX(0, MIN($G$1, DATE(Initialisatie!$C$5,12,31)) - MAX($G$2, DATE(Initialisatie!$C$5,1,1)) + 1)
    ) / (DATE(Initialisatie!$C$5,12,31) - DATE(Initialisatie!$C$5,1,1) + 1)
)</f>
        <v>0</v>
      </c>
    </row>
    <row r="100" spans="1:9" x14ac:dyDescent="0.45">
      <c r="A100" s="989"/>
      <c r="B100" s="35" t="s">
        <v>85</v>
      </c>
      <c r="C100" s="35">
        <v>14</v>
      </c>
      <c r="D100" s="35" t="s">
        <v>195</v>
      </c>
      <c r="E100">
        <v>4699.25</v>
      </c>
      <c r="F100">
        <v>4757.99</v>
      </c>
      <c r="G100">
        <v>4929.28</v>
      </c>
      <c r="I100">
        <f>IF(
    OR(
        AND(MAX(0, MIN($E$1, DATE(Initialisatie!$C$5,12,31)) - MAX($E$2, DATE(Initialisatie!$C$5,1,1)) + 1) &gt; 0,IFERROR(VALUE($E100),0)=0),
        AND(MAX(0, MIN($F$1, DATE(Initialisatie!$C$5,12,31)) - MAX($F$2, DATE(Initialisatie!$C$5,1,1)) + 1) &gt; 0,IFERROR(VALUE($F100),0)=0),
        AND(MAX(0, MIN($G$1, DATE(Initialisatie!$C$5,12,31)) - MAX($G$2, DATE(Initialisatie!$C$5,1,1)) + 1) &gt; 0,IFERROR(VALUE($G100),0)=0)
    ),
    0,
    SUM(
        IFERROR(VALUE($E100),0) * MAX(0, MIN($E$1, DATE(Initialisatie!$C$5,12,31)) - MAX($E$2, DATE(Initialisatie!$C$5,1,1)) + 1),
        IFERROR(VALUE($F100),0) * MAX(0, MIN($F$1, DATE(Initialisatie!$C$5,12,31)) - MAX($F$2, DATE(Initialisatie!$C$5,1,1)) + 1),
        IFERROR(VALUE($G100),0) * MAX(0, MIN($G$1, DATE(Initialisatie!$C$5,12,31)) - MAX($G$2, DATE(Initialisatie!$C$5,1,1)) + 1)
    ) / (DATE(Initialisatie!$C$5,12,31) - DATE(Initialisatie!$C$5,1,1) + 1)
)</f>
        <v>4929.28</v>
      </c>
    </row>
    <row r="101" spans="1:9" x14ac:dyDescent="0.45">
      <c r="A101" s="990"/>
      <c r="B101" s="35" t="s">
        <v>83</v>
      </c>
      <c r="C101" s="35">
        <v>15</v>
      </c>
      <c r="D101" s="35" t="s">
        <v>194</v>
      </c>
      <c r="E101">
        <v>4859.08</v>
      </c>
      <c r="F101">
        <v>4919.8100000000004</v>
      </c>
      <c r="G101">
        <v>5096.93</v>
      </c>
      <c r="I101">
        <f>IF(
    OR(
        AND(MAX(0, MIN($E$1, DATE(Initialisatie!$C$5,12,31)) - MAX($E$2, DATE(Initialisatie!$C$5,1,1)) + 1) &gt; 0,IFERROR(VALUE($E101),0)=0),
        AND(MAX(0, MIN($F$1, DATE(Initialisatie!$C$5,12,31)) - MAX($F$2, DATE(Initialisatie!$C$5,1,1)) + 1) &gt; 0,IFERROR(VALUE($F101),0)=0),
        AND(MAX(0, MIN($G$1, DATE(Initialisatie!$C$5,12,31)) - MAX($G$2, DATE(Initialisatie!$C$5,1,1)) + 1) &gt; 0,IFERROR(VALUE($G101),0)=0)
    ),
    0,
    SUM(
        IFERROR(VALUE($E101),0) * MAX(0, MIN($E$1, DATE(Initialisatie!$C$5,12,31)) - MAX($E$2, DATE(Initialisatie!$C$5,1,1)) + 1),
        IFERROR(VALUE($F101),0) * MAX(0, MIN($F$1, DATE(Initialisatie!$C$5,12,31)) - MAX($F$2, DATE(Initialisatie!$C$5,1,1)) + 1),
        IFERROR(VALUE($G101),0) * MAX(0, MIN($G$1, DATE(Initialisatie!$C$5,12,31)) - MAX($G$2, DATE(Initialisatie!$C$5,1,1)) + 1)
    ) / (DATE(Initialisatie!$C$5,12,31) - DATE(Initialisatie!$C$5,1,1) + 1)
)</f>
        <v>5096.93</v>
      </c>
    </row>
    <row r="102" spans="1:9" x14ac:dyDescent="0.45">
      <c r="A102" s="988">
        <v>10</v>
      </c>
      <c r="B102" s="35" t="s">
        <v>113</v>
      </c>
      <c r="C102" s="35">
        <v>0</v>
      </c>
      <c r="D102" s="35" t="s">
        <v>193</v>
      </c>
      <c r="E102">
        <v>3310.84</v>
      </c>
      <c r="F102">
        <v>3352.22</v>
      </c>
      <c r="G102">
        <v>3472.9</v>
      </c>
      <c r="I102">
        <f>IF(
    OR(
        AND(MAX(0, MIN($E$1, DATE(Initialisatie!$C$5,12,31)) - MAX($E$2, DATE(Initialisatie!$C$5,1,1)) + 1) &gt; 0,IFERROR(VALUE($E102),0)=0),
        AND(MAX(0, MIN($F$1, DATE(Initialisatie!$C$5,12,31)) - MAX($F$2, DATE(Initialisatie!$C$5,1,1)) + 1) &gt; 0,IFERROR(VALUE($F102),0)=0),
        AND(MAX(0, MIN($G$1, DATE(Initialisatie!$C$5,12,31)) - MAX($G$2, DATE(Initialisatie!$C$5,1,1)) + 1) &gt; 0,IFERROR(VALUE($G102),0)=0)
    ),
    0,
    SUM(
        IFERROR(VALUE($E102),0) * MAX(0, MIN($E$1, DATE(Initialisatie!$C$5,12,31)) - MAX($E$2, DATE(Initialisatie!$C$5,1,1)) + 1),
        IFERROR(VALUE($F102),0) * MAX(0, MIN($F$1, DATE(Initialisatie!$C$5,12,31)) - MAX($F$2, DATE(Initialisatie!$C$5,1,1)) + 1),
        IFERROR(VALUE($G102),0) * MAX(0, MIN($G$1, DATE(Initialisatie!$C$5,12,31)) - MAX($G$2, DATE(Initialisatie!$C$5,1,1)) + 1)
    ) / (DATE(Initialisatie!$C$5,12,31) - DATE(Initialisatie!$C$5,1,1) + 1)
)</f>
        <v>3472.9</v>
      </c>
    </row>
    <row r="103" spans="1:9" x14ac:dyDescent="0.45">
      <c r="A103" s="989"/>
      <c r="B103" s="35" t="s">
        <v>111</v>
      </c>
      <c r="C103" s="35">
        <v>1</v>
      </c>
      <c r="D103" s="35" t="s">
        <v>192</v>
      </c>
      <c r="E103">
        <v>3424.89</v>
      </c>
      <c r="F103">
        <v>3467.7</v>
      </c>
      <c r="G103">
        <v>3592.54</v>
      </c>
      <c r="I103">
        <f>IF(
    OR(
        AND(MAX(0, MIN($E$1, DATE(Initialisatie!$C$5,12,31)) - MAX($E$2, DATE(Initialisatie!$C$5,1,1)) + 1) &gt; 0,IFERROR(VALUE($E103),0)=0),
        AND(MAX(0, MIN($F$1, DATE(Initialisatie!$C$5,12,31)) - MAX($F$2, DATE(Initialisatie!$C$5,1,1)) + 1) &gt; 0,IFERROR(VALUE($F103),0)=0),
        AND(MAX(0, MIN($G$1, DATE(Initialisatie!$C$5,12,31)) - MAX($G$2, DATE(Initialisatie!$C$5,1,1)) + 1) &gt; 0,IFERROR(VALUE($G103),0)=0)
    ),
    0,
    SUM(
        IFERROR(VALUE($E103),0) * MAX(0, MIN($E$1, DATE(Initialisatie!$C$5,12,31)) - MAX($E$2, DATE(Initialisatie!$C$5,1,1)) + 1),
        IFERROR(VALUE($F103),0) * MAX(0, MIN($F$1, DATE(Initialisatie!$C$5,12,31)) - MAX($F$2, DATE(Initialisatie!$C$5,1,1)) + 1),
        IFERROR(VALUE($G103),0) * MAX(0, MIN($G$1, DATE(Initialisatie!$C$5,12,31)) - MAX($G$2, DATE(Initialisatie!$C$5,1,1)) + 1)
    ) / (DATE(Initialisatie!$C$5,12,31) - DATE(Initialisatie!$C$5,1,1) + 1)
)</f>
        <v>3592.5400000000004</v>
      </c>
    </row>
    <row r="104" spans="1:9" x14ac:dyDescent="0.45">
      <c r="A104" s="989"/>
      <c r="B104" s="35" t="s">
        <v>101</v>
      </c>
      <c r="C104" s="35">
        <v>2</v>
      </c>
      <c r="D104" s="35" t="s">
        <v>187</v>
      </c>
      <c r="E104">
        <v>3543.35</v>
      </c>
      <c r="F104">
        <v>3587.64</v>
      </c>
      <c r="G104">
        <v>3716.79</v>
      </c>
      <c r="I104">
        <f>IF(
    OR(
        AND(MAX(0, MIN($E$1, DATE(Initialisatie!$C$5,12,31)) - MAX($E$2, DATE(Initialisatie!$C$5,1,1)) + 1) &gt; 0,IFERROR(VALUE($E104),0)=0),
        AND(MAX(0, MIN($F$1, DATE(Initialisatie!$C$5,12,31)) - MAX($F$2, DATE(Initialisatie!$C$5,1,1)) + 1) &gt; 0,IFERROR(VALUE($F104),0)=0),
        AND(MAX(0, MIN($G$1, DATE(Initialisatie!$C$5,12,31)) - MAX($G$2, DATE(Initialisatie!$C$5,1,1)) + 1) &gt; 0,IFERROR(VALUE($G104),0)=0)
    ),
    0,
    SUM(
        IFERROR(VALUE($E104),0) * MAX(0, MIN($E$1, DATE(Initialisatie!$C$5,12,31)) - MAX($E$2, DATE(Initialisatie!$C$5,1,1)) + 1),
        IFERROR(VALUE($F104),0) * MAX(0, MIN($F$1, DATE(Initialisatie!$C$5,12,31)) - MAX($F$2, DATE(Initialisatie!$C$5,1,1)) + 1),
        IFERROR(VALUE($G104),0) * MAX(0, MIN($G$1, DATE(Initialisatie!$C$5,12,31)) - MAX($G$2, DATE(Initialisatie!$C$5,1,1)) + 1)
    ) / (DATE(Initialisatie!$C$5,12,31) - DATE(Initialisatie!$C$5,1,1) + 1)
)</f>
        <v>3716.7900000000004</v>
      </c>
    </row>
    <row r="105" spans="1:9" x14ac:dyDescent="0.45">
      <c r="A105" s="989"/>
      <c r="B105" s="35" t="s">
        <v>99</v>
      </c>
      <c r="C105" s="35">
        <v>3</v>
      </c>
      <c r="D105" s="35" t="s">
        <v>186</v>
      </c>
      <c r="E105">
        <v>3665.38</v>
      </c>
      <c r="F105">
        <v>3711.19</v>
      </c>
      <c r="G105">
        <v>3844.8</v>
      </c>
      <c r="I105">
        <f>IF(
    OR(
        AND(MAX(0, MIN($E$1, DATE(Initialisatie!$C$5,12,31)) - MAX($E$2, DATE(Initialisatie!$C$5,1,1)) + 1) &gt; 0,IFERROR(VALUE($E105),0)=0),
        AND(MAX(0, MIN($F$1, DATE(Initialisatie!$C$5,12,31)) - MAX($F$2, DATE(Initialisatie!$C$5,1,1)) + 1) &gt; 0,IFERROR(VALUE($F105),0)=0),
        AND(MAX(0, MIN($G$1, DATE(Initialisatie!$C$5,12,31)) - MAX($G$2, DATE(Initialisatie!$C$5,1,1)) + 1) &gt; 0,IFERROR(VALUE($G105),0)=0)
    ),
    0,
    SUM(
        IFERROR(VALUE($E105),0) * MAX(0, MIN($E$1, DATE(Initialisatie!$C$5,12,31)) - MAX($E$2, DATE(Initialisatie!$C$5,1,1)) + 1),
        IFERROR(VALUE($F105),0) * MAX(0, MIN($F$1, DATE(Initialisatie!$C$5,12,31)) - MAX($F$2, DATE(Initialisatie!$C$5,1,1)) + 1),
        IFERROR(VALUE($G105),0) * MAX(0, MIN($G$1, DATE(Initialisatie!$C$5,12,31)) - MAX($G$2, DATE(Initialisatie!$C$5,1,1)) + 1)
    ) / (DATE(Initialisatie!$C$5,12,31) - DATE(Initialisatie!$C$5,1,1) + 1)
)</f>
        <v>3844.8</v>
      </c>
    </row>
    <row r="106" spans="1:9" x14ac:dyDescent="0.45">
      <c r="A106" s="989"/>
      <c r="B106" s="35" t="s">
        <v>97</v>
      </c>
      <c r="C106" s="35">
        <v>4</v>
      </c>
      <c r="D106" s="35" t="s">
        <v>185</v>
      </c>
      <c r="E106">
        <v>3791.83</v>
      </c>
      <c r="F106">
        <v>3839.23</v>
      </c>
      <c r="G106">
        <v>3977.44</v>
      </c>
      <c r="I106">
        <f>IF(
    OR(
        AND(MAX(0, MIN($E$1, DATE(Initialisatie!$C$5,12,31)) - MAX($E$2, DATE(Initialisatie!$C$5,1,1)) + 1) &gt; 0,IFERROR(VALUE($E106),0)=0),
        AND(MAX(0, MIN($F$1, DATE(Initialisatie!$C$5,12,31)) - MAX($F$2, DATE(Initialisatie!$C$5,1,1)) + 1) &gt; 0,IFERROR(VALUE($F106),0)=0),
        AND(MAX(0, MIN($G$1, DATE(Initialisatie!$C$5,12,31)) - MAX($G$2, DATE(Initialisatie!$C$5,1,1)) + 1) &gt; 0,IFERROR(VALUE($G106),0)=0)
    ),
    0,
    SUM(
        IFERROR(VALUE($E106),0) * MAX(0, MIN($E$1, DATE(Initialisatie!$C$5,12,31)) - MAX($E$2, DATE(Initialisatie!$C$5,1,1)) + 1),
        IFERROR(VALUE($F106),0) * MAX(0, MIN($F$1, DATE(Initialisatie!$C$5,12,31)) - MAX($F$2, DATE(Initialisatie!$C$5,1,1)) + 1),
        IFERROR(VALUE($G106),0) * MAX(0, MIN($G$1, DATE(Initialisatie!$C$5,12,31)) - MAX($G$2, DATE(Initialisatie!$C$5,1,1)) + 1)
    ) / (DATE(Initialisatie!$C$5,12,31) - DATE(Initialisatie!$C$5,1,1) + 1)
)</f>
        <v>3977.44</v>
      </c>
    </row>
    <row r="107" spans="1:9" x14ac:dyDescent="0.45">
      <c r="A107" s="989"/>
      <c r="B107" s="35" t="s">
        <v>95</v>
      </c>
      <c r="C107" s="35">
        <v>5</v>
      </c>
      <c r="D107" s="35" t="s">
        <v>184</v>
      </c>
      <c r="E107">
        <v>3922.58</v>
      </c>
      <c r="F107">
        <v>3971.61</v>
      </c>
      <c r="G107">
        <v>4114.59</v>
      </c>
      <c r="I107">
        <f>IF(
    OR(
        AND(MAX(0, MIN($E$1, DATE(Initialisatie!$C$5,12,31)) - MAX($E$2, DATE(Initialisatie!$C$5,1,1)) + 1) &gt; 0,IFERROR(VALUE($E107),0)=0),
        AND(MAX(0, MIN($F$1, DATE(Initialisatie!$C$5,12,31)) - MAX($F$2, DATE(Initialisatie!$C$5,1,1)) + 1) &gt; 0,IFERROR(VALUE($F107),0)=0),
        AND(MAX(0, MIN($G$1, DATE(Initialisatie!$C$5,12,31)) - MAX($G$2, DATE(Initialisatie!$C$5,1,1)) + 1) &gt; 0,IFERROR(VALUE($G107),0)=0)
    ),
    0,
    SUM(
        IFERROR(VALUE($E107),0) * MAX(0, MIN($E$1, DATE(Initialisatie!$C$5,12,31)) - MAX($E$2, DATE(Initialisatie!$C$5,1,1)) + 1),
        IFERROR(VALUE($F107),0) * MAX(0, MIN($F$1, DATE(Initialisatie!$C$5,12,31)) - MAX($F$2, DATE(Initialisatie!$C$5,1,1)) + 1),
        IFERROR(VALUE($G107),0) * MAX(0, MIN($G$1, DATE(Initialisatie!$C$5,12,31)) - MAX($G$2, DATE(Initialisatie!$C$5,1,1)) + 1)
    ) / (DATE(Initialisatie!$C$5,12,31) - DATE(Initialisatie!$C$5,1,1) + 1)
)</f>
        <v>4114.59</v>
      </c>
    </row>
    <row r="108" spans="1:9" x14ac:dyDescent="0.45">
      <c r="A108" s="989"/>
      <c r="B108" s="35" t="s">
        <v>93</v>
      </c>
      <c r="C108" s="35">
        <v>6</v>
      </c>
      <c r="D108" s="35" t="s">
        <v>183</v>
      </c>
      <c r="E108">
        <v>4057.69</v>
      </c>
      <c r="F108">
        <v>4108.42</v>
      </c>
      <c r="G108">
        <v>4256.32</v>
      </c>
      <c r="I108">
        <f>IF(
    OR(
        AND(MAX(0, MIN($E$1, DATE(Initialisatie!$C$5,12,31)) - MAX($E$2, DATE(Initialisatie!$C$5,1,1)) + 1) &gt; 0,IFERROR(VALUE($E108),0)=0),
        AND(MAX(0, MIN($F$1, DATE(Initialisatie!$C$5,12,31)) - MAX($F$2, DATE(Initialisatie!$C$5,1,1)) + 1) &gt; 0,IFERROR(VALUE($F108),0)=0),
        AND(MAX(0, MIN($G$1, DATE(Initialisatie!$C$5,12,31)) - MAX($G$2, DATE(Initialisatie!$C$5,1,1)) + 1) &gt; 0,IFERROR(VALUE($G108),0)=0)
    ),
    0,
    SUM(
        IFERROR(VALUE($E108),0) * MAX(0, MIN($E$1, DATE(Initialisatie!$C$5,12,31)) - MAX($E$2, DATE(Initialisatie!$C$5,1,1)) + 1),
        IFERROR(VALUE($F108),0) * MAX(0, MIN($F$1, DATE(Initialisatie!$C$5,12,31)) - MAX($F$2, DATE(Initialisatie!$C$5,1,1)) + 1),
        IFERROR(VALUE($G108),0) * MAX(0, MIN($G$1, DATE(Initialisatie!$C$5,12,31)) - MAX($G$2, DATE(Initialisatie!$C$5,1,1)) + 1)
    ) / (DATE(Initialisatie!$C$5,12,31) - DATE(Initialisatie!$C$5,1,1) + 1)
)</f>
        <v>4256.32</v>
      </c>
    </row>
    <row r="109" spans="1:9" x14ac:dyDescent="0.45">
      <c r="A109" s="989"/>
      <c r="B109" s="35" t="s">
        <v>91</v>
      </c>
      <c r="C109" s="35">
        <v>7</v>
      </c>
      <c r="D109" s="35" t="s">
        <v>182</v>
      </c>
      <c r="E109">
        <v>4197.93</v>
      </c>
      <c r="F109">
        <v>4250.41</v>
      </c>
      <c r="G109">
        <v>4403.42</v>
      </c>
      <c r="I109">
        <f>IF(
    OR(
        AND(MAX(0, MIN($E$1, DATE(Initialisatie!$C$5,12,31)) - MAX($E$2, DATE(Initialisatie!$C$5,1,1)) + 1) &gt; 0,IFERROR(VALUE($E109),0)=0),
        AND(MAX(0, MIN($F$1, DATE(Initialisatie!$C$5,12,31)) - MAX($F$2, DATE(Initialisatie!$C$5,1,1)) + 1) &gt; 0,IFERROR(VALUE($F109),0)=0),
        AND(MAX(0, MIN($G$1, DATE(Initialisatie!$C$5,12,31)) - MAX($G$2, DATE(Initialisatie!$C$5,1,1)) + 1) &gt; 0,IFERROR(VALUE($G109),0)=0)
    ),
    0,
    SUM(
        IFERROR(VALUE($E109),0) * MAX(0, MIN($E$1, DATE(Initialisatie!$C$5,12,31)) - MAX($E$2, DATE(Initialisatie!$C$5,1,1)) + 1),
        IFERROR(VALUE($F109),0) * MAX(0, MIN($F$1, DATE(Initialisatie!$C$5,12,31)) - MAX($F$2, DATE(Initialisatie!$C$5,1,1)) + 1),
        IFERROR(VALUE($G109),0) * MAX(0, MIN($G$1, DATE(Initialisatie!$C$5,12,31)) - MAX($G$2, DATE(Initialisatie!$C$5,1,1)) + 1)
    ) / (DATE(Initialisatie!$C$5,12,31) - DATE(Initialisatie!$C$5,1,1) + 1)
)</f>
        <v>4403.42</v>
      </c>
    </row>
    <row r="110" spans="1:9" x14ac:dyDescent="0.45">
      <c r="A110" s="989"/>
      <c r="B110" s="35" t="s">
        <v>89</v>
      </c>
      <c r="C110" s="35">
        <v>8</v>
      </c>
      <c r="D110" s="35" t="s">
        <v>181</v>
      </c>
      <c r="E110">
        <v>4343.25</v>
      </c>
      <c r="F110">
        <v>4397.54</v>
      </c>
      <c r="G110">
        <v>4555.8500000000004</v>
      </c>
      <c r="I110">
        <f>IF(
    OR(
        AND(MAX(0, MIN($E$1, DATE(Initialisatie!$C$5,12,31)) - MAX($E$2, DATE(Initialisatie!$C$5,1,1)) + 1) &gt; 0,IFERROR(VALUE($E110),0)=0),
        AND(MAX(0, MIN($F$1, DATE(Initialisatie!$C$5,12,31)) - MAX($F$2, DATE(Initialisatie!$C$5,1,1)) + 1) &gt; 0,IFERROR(VALUE($F110),0)=0),
        AND(MAX(0, MIN($G$1, DATE(Initialisatie!$C$5,12,31)) - MAX($G$2, DATE(Initialisatie!$C$5,1,1)) + 1) &gt; 0,IFERROR(VALUE($G110),0)=0)
    ),
    0,
    SUM(
        IFERROR(VALUE($E110),0) * MAX(0, MIN($E$1, DATE(Initialisatie!$C$5,12,31)) - MAX($E$2, DATE(Initialisatie!$C$5,1,1)) + 1),
        IFERROR(VALUE($F110),0) * MAX(0, MIN($F$1, DATE(Initialisatie!$C$5,12,31)) - MAX($F$2, DATE(Initialisatie!$C$5,1,1)) + 1),
        IFERROR(VALUE($G110),0) * MAX(0, MIN($G$1, DATE(Initialisatie!$C$5,12,31)) - MAX($G$2, DATE(Initialisatie!$C$5,1,1)) + 1)
    ) / (DATE(Initialisatie!$C$5,12,31) - DATE(Initialisatie!$C$5,1,1) + 1)
)</f>
        <v>4555.8500000000004</v>
      </c>
    </row>
    <row r="111" spans="1:9" x14ac:dyDescent="0.45">
      <c r="A111" s="989"/>
      <c r="B111" s="35" t="s">
        <v>87</v>
      </c>
      <c r="C111" s="35">
        <v>9</v>
      </c>
      <c r="D111" s="35" t="s">
        <v>180</v>
      </c>
      <c r="E111">
        <v>4492.8999999999996</v>
      </c>
      <c r="F111">
        <v>4549.0600000000004</v>
      </c>
      <c r="G111">
        <v>4712.83</v>
      </c>
      <c r="I111">
        <f>IF(
    OR(
        AND(MAX(0, MIN($E$1, DATE(Initialisatie!$C$5,12,31)) - MAX($E$2, DATE(Initialisatie!$C$5,1,1)) + 1) &gt; 0,IFERROR(VALUE($E111),0)=0),
        AND(MAX(0, MIN($F$1, DATE(Initialisatie!$C$5,12,31)) - MAX($F$2, DATE(Initialisatie!$C$5,1,1)) + 1) &gt; 0,IFERROR(VALUE($F111),0)=0),
        AND(MAX(0, MIN($G$1, DATE(Initialisatie!$C$5,12,31)) - MAX($G$2, DATE(Initialisatie!$C$5,1,1)) + 1) &gt; 0,IFERROR(VALUE($G111),0)=0)
    ),
    0,
    SUM(
        IFERROR(VALUE($E111),0) * MAX(0, MIN($E$1, DATE(Initialisatie!$C$5,12,31)) - MAX($E$2, DATE(Initialisatie!$C$5,1,1)) + 1),
        IFERROR(VALUE($F111),0) * MAX(0, MIN($F$1, DATE(Initialisatie!$C$5,12,31)) - MAX($F$2, DATE(Initialisatie!$C$5,1,1)) + 1),
        IFERROR(VALUE($G111),0) * MAX(0, MIN($G$1, DATE(Initialisatie!$C$5,12,31)) - MAX($G$2, DATE(Initialisatie!$C$5,1,1)) + 1)
    ) / (DATE(Initialisatie!$C$5,12,31) - DATE(Initialisatie!$C$5,1,1) + 1)
)</f>
        <v>4712.83</v>
      </c>
    </row>
    <row r="112" spans="1:9" x14ac:dyDescent="0.45">
      <c r="A112" s="989"/>
      <c r="B112" s="35" t="s">
        <v>109</v>
      </c>
      <c r="C112" s="35">
        <v>10</v>
      </c>
      <c r="D112" s="35" t="s">
        <v>191</v>
      </c>
      <c r="E112">
        <v>4647.66</v>
      </c>
      <c r="F112">
        <v>4705.76</v>
      </c>
      <c r="G112">
        <v>4875.16</v>
      </c>
      <c r="I112">
        <f>IF(
    OR(
        AND(MAX(0, MIN($E$1, DATE(Initialisatie!$C$5,12,31)) - MAX($E$2, DATE(Initialisatie!$C$5,1,1)) + 1) &gt; 0,IFERROR(VALUE($E112),0)=0),
        AND(MAX(0, MIN($F$1, DATE(Initialisatie!$C$5,12,31)) - MAX($F$2, DATE(Initialisatie!$C$5,1,1)) + 1) &gt; 0,IFERROR(VALUE($F112),0)=0),
        AND(MAX(0, MIN($G$1, DATE(Initialisatie!$C$5,12,31)) - MAX($G$2, DATE(Initialisatie!$C$5,1,1)) + 1) &gt; 0,IFERROR(VALUE($G112),0)=0)
    ),
    0,
    SUM(
        IFERROR(VALUE($E112),0) * MAX(0, MIN($E$1, DATE(Initialisatie!$C$5,12,31)) - MAX($E$2, DATE(Initialisatie!$C$5,1,1)) + 1),
        IFERROR(VALUE($F112),0) * MAX(0, MIN($F$1, DATE(Initialisatie!$C$5,12,31)) - MAX($F$2, DATE(Initialisatie!$C$5,1,1)) + 1),
        IFERROR(VALUE($G112),0) * MAX(0, MIN($G$1, DATE(Initialisatie!$C$5,12,31)) - MAX($G$2, DATE(Initialisatie!$C$5,1,1)) + 1)
    ) / (DATE(Initialisatie!$C$5,12,31) - DATE(Initialisatie!$C$5,1,1) + 1)
)</f>
        <v>4875.16</v>
      </c>
    </row>
    <row r="113" spans="1:9" x14ac:dyDescent="0.45">
      <c r="A113" s="989"/>
      <c r="B113" s="35" t="s">
        <v>107</v>
      </c>
      <c r="C113" s="35">
        <v>11</v>
      </c>
      <c r="D113" s="35" t="s">
        <v>190</v>
      </c>
      <c r="E113">
        <v>4808.22</v>
      </c>
      <c r="F113">
        <v>4868.33</v>
      </c>
      <c r="G113">
        <v>5043.59</v>
      </c>
      <c r="I113">
        <f>IF(
    OR(
        AND(MAX(0, MIN($E$1, DATE(Initialisatie!$C$5,12,31)) - MAX($E$2, DATE(Initialisatie!$C$5,1,1)) + 1) &gt; 0,IFERROR(VALUE($E113),0)=0),
        AND(MAX(0, MIN($F$1, DATE(Initialisatie!$C$5,12,31)) - MAX($F$2, DATE(Initialisatie!$C$5,1,1)) + 1) &gt; 0,IFERROR(VALUE($F113),0)=0),
        AND(MAX(0, MIN($G$1, DATE(Initialisatie!$C$5,12,31)) - MAX($G$2, DATE(Initialisatie!$C$5,1,1)) + 1) &gt; 0,IFERROR(VALUE($G113),0)=0)
    ),
    0,
    SUM(
        IFERROR(VALUE($E113),0) * MAX(0, MIN($E$1, DATE(Initialisatie!$C$5,12,31)) - MAX($E$2, DATE(Initialisatie!$C$5,1,1)) + 1),
        IFERROR(VALUE($F113),0) * MAX(0, MIN($F$1, DATE(Initialisatie!$C$5,12,31)) - MAX($F$2, DATE(Initialisatie!$C$5,1,1)) + 1),
        IFERROR(VALUE($G113),0) * MAX(0, MIN($G$1, DATE(Initialisatie!$C$5,12,31)) - MAX($G$2, DATE(Initialisatie!$C$5,1,1)) + 1)
    ) / (DATE(Initialisatie!$C$5,12,31) - DATE(Initialisatie!$C$5,1,1) + 1)
)</f>
        <v>5043.59</v>
      </c>
    </row>
    <row r="114" spans="1:9" x14ac:dyDescent="0.45">
      <c r="A114" s="989"/>
      <c r="B114" s="35" t="s">
        <v>105</v>
      </c>
      <c r="C114" s="35">
        <v>12</v>
      </c>
      <c r="D114" s="35" t="s">
        <v>189</v>
      </c>
      <c r="E114">
        <v>4973.88</v>
      </c>
      <c r="F114">
        <v>5036.05</v>
      </c>
      <c r="G114">
        <v>5217.3500000000004</v>
      </c>
      <c r="I114">
        <f>IF(
    OR(
        AND(MAX(0, MIN($E$1, DATE(Initialisatie!$C$5,12,31)) - MAX($E$2, DATE(Initialisatie!$C$5,1,1)) + 1) &gt; 0,IFERROR(VALUE($E114),0)=0),
        AND(MAX(0, MIN($F$1, DATE(Initialisatie!$C$5,12,31)) - MAX($F$2, DATE(Initialisatie!$C$5,1,1)) + 1) &gt; 0,IFERROR(VALUE($F114),0)=0),
        AND(MAX(0, MIN($G$1, DATE(Initialisatie!$C$5,12,31)) - MAX($G$2, DATE(Initialisatie!$C$5,1,1)) + 1) &gt; 0,IFERROR(VALUE($G114),0)=0)
    ),
    0,
    SUM(
        IFERROR(VALUE($E114),0) * MAX(0, MIN($E$1, DATE(Initialisatie!$C$5,12,31)) - MAX($E$2, DATE(Initialisatie!$C$5,1,1)) + 1),
        IFERROR(VALUE($F114),0) * MAX(0, MIN($F$1, DATE(Initialisatie!$C$5,12,31)) - MAX($F$2, DATE(Initialisatie!$C$5,1,1)) + 1),
        IFERROR(VALUE($G114),0) * MAX(0, MIN($G$1, DATE(Initialisatie!$C$5,12,31)) - MAX($G$2, DATE(Initialisatie!$C$5,1,1)) + 1)
    ) / (DATE(Initialisatie!$C$5,12,31) - DATE(Initialisatie!$C$5,1,1) + 1)
)</f>
        <v>5217.3500000000004</v>
      </c>
    </row>
    <row r="115" spans="1:9" x14ac:dyDescent="0.45">
      <c r="A115" s="989"/>
      <c r="B115" s="35" t="s">
        <v>103</v>
      </c>
      <c r="C115" s="35">
        <v>13</v>
      </c>
      <c r="D115" s="35" t="s">
        <v>188</v>
      </c>
      <c r="E115">
        <v>0</v>
      </c>
      <c r="F115">
        <v>0</v>
      </c>
      <c r="G115">
        <v>0</v>
      </c>
      <c r="I115">
        <f>IF(
    OR(
        AND(MAX(0, MIN($E$1, DATE(Initialisatie!$C$5,12,31)) - MAX($E$2, DATE(Initialisatie!$C$5,1,1)) + 1) &gt; 0,IFERROR(VALUE($E115),0)=0),
        AND(MAX(0, MIN($F$1, DATE(Initialisatie!$C$5,12,31)) - MAX($F$2, DATE(Initialisatie!$C$5,1,1)) + 1) &gt; 0,IFERROR(VALUE($F115),0)=0),
        AND(MAX(0, MIN($G$1, DATE(Initialisatie!$C$5,12,31)) - MAX($G$2, DATE(Initialisatie!$C$5,1,1)) + 1) &gt; 0,IFERROR(VALUE($G115),0)=0)
    ),
    0,
    SUM(
        IFERROR(VALUE($E115),0) * MAX(0, MIN($E$1, DATE(Initialisatie!$C$5,12,31)) - MAX($E$2, DATE(Initialisatie!$C$5,1,1)) + 1),
        IFERROR(VALUE($F115),0) * MAX(0, MIN($F$1, DATE(Initialisatie!$C$5,12,31)) - MAX($F$2, DATE(Initialisatie!$C$5,1,1)) + 1),
        IFERROR(VALUE($G115),0) * MAX(0, MIN($G$1, DATE(Initialisatie!$C$5,12,31)) - MAX($G$2, DATE(Initialisatie!$C$5,1,1)) + 1)
    ) / (DATE(Initialisatie!$C$5,12,31) - DATE(Initialisatie!$C$5,1,1) + 1)
)</f>
        <v>0</v>
      </c>
    </row>
    <row r="116" spans="1:9" x14ac:dyDescent="0.45">
      <c r="A116" s="989"/>
      <c r="B116" s="35" t="s">
        <v>85</v>
      </c>
      <c r="C116" s="35">
        <v>14</v>
      </c>
      <c r="D116" s="35" t="s">
        <v>179</v>
      </c>
      <c r="E116">
        <v>5145.34</v>
      </c>
      <c r="F116">
        <v>5209.66</v>
      </c>
      <c r="G116">
        <v>5397.21</v>
      </c>
      <c r="I116">
        <f>IF(
    OR(
        AND(MAX(0, MIN($E$1, DATE(Initialisatie!$C$5,12,31)) - MAX($E$2, DATE(Initialisatie!$C$5,1,1)) + 1) &gt; 0,IFERROR(VALUE($E116),0)=0),
        AND(MAX(0, MIN($F$1, DATE(Initialisatie!$C$5,12,31)) - MAX($F$2, DATE(Initialisatie!$C$5,1,1)) + 1) &gt; 0,IFERROR(VALUE($F116),0)=0),
        AND(MAX(0, MIN($G$1, DATE(Initialisatie!$C$5,12,31)) - MAX($G$2, DATE(Initialisatie!$C$5,1,1)) + 1) &gt; 0,IFERROR(VALUE($G116),0)=0)
    ),
    0,
    SUM(
        IFERROR(VALUE($E116),0) * MAX(0, MIN($E$1, DATE(Initialisatie!$C$5,12,31)) - MAX($E$2, DATE(Initialisatie!$C$5,1,1)) + 1),
        IFERROR(VALUE($F116),0) * MAX(0, MIN($F$1, DATE(Initialisatie!$C$5,12,31)) - MAX($F$2, DATE(Initialisatie!$C$5,1,1)) + 1),
        IFERROR(VALUE($G116),0) * MAX(0, MIN($G$1, DATE(Initialisatie!$C$5,12,31)) - MAX($G$2, DATE(Initialisatie!$C$5,1,1)) + 1)
    ) / (DATE(Initialisatie!$C$5,12,31) - DATE(Initialisatie!$C$5,1,1) + 1)
)</f>
        <v>5397.21</v>
      </c>
    </row>
    <row r="117" spans="1:9" x14ac:dyDescent="0.45">
      <c r="A117" s="990"/>
      <c r="B117" s="35" t="s">
        <v>83</v>
      </c>
      <c r="C117" s="35">
        <v>15</v>
      </c>
      <c r="D117" s="35" t="s">
        <v>178</v>
      </c>
      <c r="E117">
        <v>5323.36</v>
      </c>
      <c r="F117">
        <v>5389.91</v>
      </c>
      <c r="G117">
        <v>5583.94</v>
      </c>
      <c r="I117">
        <f>IF(
    OR(
        AND(MAX(0, MIN($E$1, DATE(Initialisatie!$C$5,12,31)) - MAX($E$2, DATE(Initialisatie!$C$5,1,1)) + 1) &gt; 0,IFERROR(VALUE($E117),0)=0),
        AND(MAX(0, MIN($F$1, DATE(Initialisatie!$C$5,12,31)) - MAX($F$2, DATE(Initialisatie!$C$5,1,1)) + 1) &gt; 0,IFERROR(VALUE($F117),0)=0),
        AND(MAX(0, MIN($G$1, DATE(Initialisatie!$C$5,12,31)) - MAX($G$2, DATE(Initialisatie!$C$5,1,1)) + 1) &gt; 0,IFERROR(VALUE($G117),0)=0)
    ),
    0,
    SUM(
        IFERROR(VALUE($E117),0) * MAX(0, MIN($E$1, DATE(Initialisatie!$C$5,12,31)) - MAX($E$2, DATE(Initialisatie!$C$5,1,1)) + 1),
        IFERROR(VALUE($F117),0) * MAX(0, MIN($F$1, DATE(Initialisatie!$C$5,12,31)) - MAX($F$2, DATE(Initialisatie!$C$5,1,1)) + 1),
        IFERROR(VALUE($G117),0) * MAX(0, MIN($G$1, DATE(Initialisatie!$C$5,12,31)) - MAX($G$2, DATE(Initialisatie!$C$5,1,1)) + 1)
    ) / (DATE(Initialisatie!$C$5,12,31) - DATE(Initialisatie!$C$5,1,1) + 1)
)</f>
        <v>5583.94</v>
      </c>
    </row>
    <row r="118" spans="1:9" x14ac:dyDescent="0.45">
      <c r="A118" s="988">
        <v>11</v>
      </c>
      <c r="B118" s="35" t="s">
        <v>113</v>
      </c>
      <c r="C118" s="35">
        <v>0</v>
      </c>
      <c r="D118" s="35" t="s">
        <v>177</v>
      </c>
      <c r="E118">
        <v>3786.7</v>
      </c>
      <c r="F118">
        <v>3834.03</v>
      </c>
      <c r="G118">
        <v>3972.06</v>
      </c>
      <c r="I118">
        <f>IF(
    OR(
        AND(MAX(0, MIN($E$1, DATE(Initialisatie!$C$5,12,31)) - MAX($E$2, DATE(Initialisatie!$C$5,1,1)) + 1) &gt; 0,IFERROR(VALUE($E118),0)=0),
        AND(MAX(0, MIN($F$1, DATE(Initialisatie!$C$5,12,31)) - MAX($F$2, DATE(Initialisatie!$C$5,1,1)) + 1) &gt; 0,IFERROR(VALUE($F118),0)=0),
        AND(MAX(0, MIN($G$1, DATE(Initialisatie!$C$5,12,31)) - MAX($G$2, DATE(Initialisatie!$C$5,1,1)) + 1) &gt; 0,IFERROR(VALUE($G118),0)=0)
    ),
    0,
    SUM(
        IFERROR(VALUE($E118),0) * MAX(0, MIN($E$1, DATE(Initialisatie!$C$5,12,31)) - MAX($E$2, DATE(Initialisatie!$C$5,1,1)) + 1),
        IFERROR(VALUE($F118),0) * MAX(0, MIN($F$1, DATE(Initialisatie!$C$5,12,31)) - MAX($F$2, DATE(Initialisatie!$C$5,1,1)) + 1),
        IFERROR(VALUE($G118),0) * MAX(0, MIN($G$1, DATE(Initialisatie!$C$5,12,31)) - MAX($G$2, DATE(Initialisatie!$C$5,1,1)) + 1)
    ) / (DATE(Initialisatie!$C$5,12,31) - DATE(Initialisatie!$C$5,1,1) + 1)
)</f>
        <v>3972.06</v>
      </c>
    </row>
    <row r="119" spans="1:9" x14ac:dyDescent="0.45">
      <c r="A119" s="989"/>
      <c r="B119" s="35" t="s">
        <v>111</v>
      </c>
      <c r="C119" s="35">
        <v>1</v>
      </c>
      <c r="D119" s="35" t="s">
        <v>176</v>
      </c>
      <c r="E119">
        <v>3919.68</v>
      </c>
      <c r="F119">
        <v>3968.68</v>
      </c>
      <c r="G119">
        <v>4111.55</v>
      </c>
      <c r="I119">
        <f>IF(
    OR(
        AND(MAX(0, MIN($E$1, DATE(Initialisatie!$C$5,12,31)) - MAX($E$2, DATE(Initialisatie!$C$5,1,1)) + 1) &gt; 0,IFERROR(VALUE($E119),0)=0),
        AND(MAX(0, MIN($F$1, DATE(Initialisatie!$C$5,12,31)) - MAX($F$2, DATE(Initialisatie!$C$5,1,1)) + 1) &gt; 0,IFERROR(VALUE($F119),0)=0),
        AND(MAX(0, MIN($G$1, DATE(Initialisatie!$C$5,12,31)) - MAX($G$2, DATE(Initialisatie!$C$5,1,1)) + 1) &gt; 0,IFERROR(VALUE($G119),0)=0)
    ),
    0,
    SUM(
        IFERROR(VALUE($E119),0) * MAX(0, MIN($E$1, DATE(Initialisatie!$C$5,12,31)) - MAX($E$2, DATE(Initialisatie!$C$5,1,1)) + 1),
        IFERROR(VALUE($F119),0) * MAX(0, MIN($F$1, DATE(Initialisatie!$C$5,12,31)) - MAX($F$2, DATE(Initialisatie!$C$5,1,1)) + 1),
        IFERROR(VALUE($G119),0) * MAX(0, MIN($G$1, DATE(Initialisatie!$C$5,12,31)) - MAX($G$2, DATE(Initialisatie!$C$5,1,1)) + 1)
    ) / (DATE(Initialisatie!$C$5,12,31) - DATE(Initialisatie!$C$5,1,1) + 1)
)</f>
        <v>4111.55</v>
      </c>
    </row>
    <row r="120" spans="1:9" x14ac:dyDescent="0.45">
      <c r="A120" s="989"/>
      <c r="B120" s="35" t="s">
        <v>101</v>
      </c>
      <c r="C120" s="35">
        <v>2</v>
      </c>
      <c r="D120" s="35" t="s">
        <v>171</v>
      </c>
      <c r="E120">
        <v>4057.01</v>
      </c>
      <c r="F120">
        <v>4107.72</v>
      </c>
      <c r="G120">
        <v>4255.6000000000004</v>
      </c>
      <c r="I120">
        <f>IF(
    OR(
        AND(MAX(0, MIN($E$1, DATE(Initialisatie!$C$5,12,31)) - MAX($E$2, DATE(Initialisatie!$C$5,1,1)) + 1) &gt; 0,IFERROR(VALUE($E120),0)=0),
        AND(MAX(0, MIN($F$1, DATE(Initialisatie!$C$5,12,31)) - MAX($F$2, DATE(Initialisatie!$C$5,1,1)) + 1) &gt; 0,IFERROR(VALUE($F120),0)=0),
        AND(MAX(0, MIN($G$1, DATE(Initialisatie!$C$5,12,31)) - MAX($G$2, DATE(Initialisatie!$C$5,1,1)) + 1) &gt; 0,IFERROR(VALUE($G120),0)=0)
    ),
    0,
    SUM(
        IFERROR(VALUE($E120),0) * MAX(0, MIN($E$1, DATE(Initialisatie!$C$5,12,31)) - MAX($E$2, DATE(Initialisatie!$C$5,1,1)) + 1),
        IFERROR(VALUE($F120),0) * MAX(0, MIN($F$1, DATE(Initialisatie!$C$5,12,31)) - MAX($F$2, DATE(Initialisatie!$C$5,1,1)) + 1),
        IFERROR(VALUE($G120),0) * MAX(0, MIN($G$1, DATE(Initialisatie!$C$5,12,31)) - MAX($G$2, DATE(Initialisatie!$C$5,1,1)) + 1)
    ) / (DATE(Initialisatie!$C$5,12,31) - DATE(Initialisatie!$C$5,1,1) + 1)
)</f>
        <v>4255.6000000000004</v>
      </c>
    </row>
    <row r="121" spans="1:9" x14ac:dyDescent="0.45">
      <c r="A121" s="989"/>
      <c r="B121" s="35" t="s">
        <v>99</v>
      </c>
      <c r="C121" s="35">
        <v>3</v>
      </c>
      <c r="D121" s="35" t="s">
        <v>170</v>
      </c>
      <c r="E121">
        <v>4198.67</v>
      </c>
      <c r="F121">
        <v>4251.1499999999996</v>
      </c>
      <c r="G121">
        <v>4404.1899999999996</v>
      </c>
      <c r="I121">
        <f>IF(
    OR(
        AND(MAX(0, MIN($E$1, DATE(Initialisatie!$C$5,12,31)) - MAX($E$2, DATE(Initialisatie!$C$5,1,1)) + 1) &gt; 0,IFERROR(VALUE($E121),0)=0),
        AND(MAX(0, MIN($F$1, DATE(Initialisatie!$C$5,12,31)) - MAX($F$2, DATE(Initialisatie!$C$5,1,1)) + 1) &gt; 0,IFERROR(VALUE($F121),0)=0),
        AND(MAX(0, MIN($G$1, DATE(Initialisatie!$C$5,12,31)) - MAX($G$2, DATE(Initialisatie!$C$5,1,1)) + 1) &gt; 0,IFERROR(VALUE($G121),0)=0)
    ),
    0,
    SUM(
        IFERROR(VALUE($E121),0) * MAX(0, MIN($E$1, DATE(Initialisatie!$C$5,12,31)) - MAX($E$2, DATE(Initialisatie!$C$5,1,1)) + 1),
        IFERROR(VALUE($F121),0) * MAX(0, MIN($F$1, DATE(Initialisatie!$C$5,12,31)) - MAX($F$2, DATE(Initialisatie!$C$5,1,1)) + 1),
        IFERROR(VALUE($G121),0) * MAX(0, MIN($G$1, DATE(Initialisatie!$C$5,12,31)) - MAX($G$2, DATE(Initialisatie!$C$5,1,1)) + 1)
    ) / (DATE(Initialisatie!$C$5,12,31) - DATE(Initialisatie!$C$5,1,1) + 1)
)</f>
        <v>4404.1899999999996</v>
      </c>
    </row>
    <row r="122" spans="1:9" x14ac:dyDescent="0.45">
      <c r="A122" s="989"/>
      <c r="B122" s="35" t="s">
        <v>97</v>
      </c>
      <c r="C122" s="35">
        <v>4</v>
      </c>
      <c r="D122" s="35" t="s">
        <v>169</v>
      </c>
      <c r="E122">
        <v>4345.4399999999996</v>
      </c>
      <c r="F122">
        <v>4399.76</v>
      </c>
      <c r="G122">
        <v>4558.1499999999996</v>
      </c>
      <c r="I122">
        <f>IF(
    OR(
        AND(MAX(0, MIN($E$1, DATE(Initialisatie!$C$5,12,31)) - MAX($E$2, DATE(Initialisatie!$C$5,1,1)) + 1) &gt; 0,IFERROR(VALUE($E122),0)=0),
        AND(MAX(0, MIN($F$1, DATE(Initialisatie!$C$5,12,31)) - MAX($F$2, DATE(Initialisatie!$C$5,1,1)) + 1) &gt; 0,IFERROR(VALUE($F122),0)=0),
        AND(MAX(0, MIN($G$1, DATE(Initialisatie!$C$5,12,31)) - MAX($G$2, DATE(Initialisatie!$C$5,1,1)) + 1) &gt; 0,IFERROR(VALUE($G122),0)=0)
    ),
    0,
    SUM(
        IFERROR(VALUE($E122),0) * MAX(0, MIN($E$1, DATE(Initialisatie!$C$5,12,31)) - MAX($E$2, DATE(Initialisatie!$C$5,1,1)) + 1),
        IFERROR(VALUE($F122),0) * MAX(0, MIN($F$1, DATE(Initialisatie!$C$5,12,31)) - MAX($F$2, DATE(Initialisatie!$C$5,1,1)) + 1),
        IFERROR(VALUE($G122),0) * MAX(0, MIN($G$1, DATE(Initialisatie!$C$5,12,31)) - MAX($G$2, DATE(Initialisatie!$C$5,1,1)) + 1)
    ) / (DATE(Initialisatie!$C$5,12,31) - DATE(Initialisatie!$C$5,1,1) + 1)
)</f>
        <v>4558.1499999999996</v>
      </c>
    </row>
    <row r="123" spans="1:9" x14ac:dyDescent="0.45">
      <c r="A123" s="989"/>
      <c r="B123" s="35" t="s">
        <v>95</v>
      </c>
      <c r="C123" s="35">
        <v>5</v>
      </c>
      <c r="D123" s="35" t="s">
        <v>168</v>
      </c>
      <c r="E123">
        <v>4497.9799999999996</v>
      </c>
      <c r="F123">
        <v>4554.21</v>
      </c>
      <c r="G123">
        <v>4718.16</v>
      </c>
      <c r="I123">
        <f>IF(
    OR(
        AND(MAX(0, MIN($E$1, DATE(Initialisatie!$C$5,12,31)) - MAX($E$2, DATE(Initialisatie!$C$5,1,1)) + 1) &gt; 0,IFERROR(VALUE($E123),0)=0),
        AND(MAX(0, MIN($F$1, DATE(Initialisatie!$C$5,12,31)) - MAX($F$2, DATE(Initialisatie!$C$5,1,1)) + 1) &gt; 0,IFERROR(VALUE($F123),0)=0),
        AND(MAX(0, MIN($G$1, DATE(Initialisatie!$C$5,12,31)) - MAX($G$2, DATE(Initialisatie!$C$5,1,1)) + 1) &gt; 0,IFERROR(VALUE($G123),0)=0)
    ),
    0,
    SUM(
        IFERROR(VALUE($E123),0) * MAX(0, MIN($E$1, DATE(Initialisatie!$C$5,12,31)) - MAX($E$2, DATE(Initialisatie!$C$5,1,1)) + 1),
        IFERROR(VALUE($F123),0) * MAX(0, MIN($F$1, DATE(Initialisatie!$C$5,12,31)) - MAX($F$2, DATE(Initialisatie!$C$5,1,1)) + 1),
        IFERROR(VALUE($G123),0) * MAX(0, MIN($G$1, DATE(Initialisatie!$C$5,12,31)) - MAX($G$2, DATE(Initialisatie!$C$5,1,1)) + 1)
    ) / (DATE(Initialisatie!$C$5,12,31) - DATE(Initialisatie!$C$5,1,1) + 1)
)</f>
        <v>4718.16</v>
      </c>
    </row>
    <row r="124" spans="1:9" x14ac:dyDescent="0.45">
      <c r="A124" s="989"/>
      <c r="B124" s="35" t="s">
        <v>93</v>
      </c>
      <c r="C124" s="35">
        <v>6</v>
      </c>
      <c r="D124" s="35" t="s">
        <v>167</v>
      </c>
      <c r="E124">
        <v>4654.91</v>
      </c>
      <c r="F124">
        <v>4713.1000000000004</v>
      </c>
      <c r="G124">
        <v>4882.7700000000004</v>
      </c>
      <c r="I124">
        <f>IF(
    OR(
        AND(MAX(0, MIN($E$1, DATE(Initialisatie!$C$5,12,31)) - MAX($E$2, DATE(Initialisatie!$C$5,1,1)) + 1) &gt; 0,IFERROR(VALUE($E124),0)=0),
        AND(MAX(0, MIN($F$1, DATE(Initialisatie!$C$5,12,31)) - MAX($F$2, DATE(Initialisatie!$C$5,1,1)) + 1) &gt; 0,IFERROR(VALUE($F124),0)=0),
        AND(MAX(0, MIN($G$1, DATE(Initialisatie!$C$5,12,31)) - MAX($G$2, DATE(Initialisatie!$C$5,1,1)) + 1) &gt; 0,IFERROR(VALUE($G124),0)=0)
    ),
    0,
    SUM(
        IFERROR(VALUE($E124),0) * MAX(0, MIN($E$1, DATE(Initialisatie!$C$5,12,31)) - MAX($E$2, DATE(Initialisatie!$C$5,1,1)) + 1),
        IFERROR(VALUE($F124),0) * MAX(0, MIN($F$1, DATE(Initialisatie!$C$5,12,31)) - MAX($F$2, DATE(Initialisatie!$C$5,1,1)) + 1),
        IFERROR(VALUE($G124),0) * MAX(0, MIN($G$1, DATE(Initialisatie!$C$5,12,31)) - MAX($G$2, DATE(Initialisatie!$C$5,1,1)) + 1)
    ) / (DATE(Initialisatie!$C$5,12,31) - DATE(Initialisatie!$C$5,1,1) + 1)
)</f>
        <v>4882.7700000000004</v>
      </c>
    </row>
    <row r="125" spans="1:9" x14ac:dyDescent="0.45">
      <c r="A125" s="989"/>
      <c r="B125" s="35" t="s">
        <v>91</v>
      </c>
      <c r="C125" s="35">
        <v>7</v>
      </c>
      <c r="D125" s="35" t="s">
        <v>166</v>
      </c>
      <c r="E125">
        <v>4817.68</v>
      </c>
      <c r="F125">
        <v>4877.8999999999996</v>
      </c>
      <c r="G125">
        <v>5053.5</v>
      </c>
      <c r="I125">
        <f>IF(
    OR(
        AND(MAX(0, MIN($E$1, DATE(Initialisatie!$C$5,12,31)) - MAX($E$2, DATE(Initialisatie!$C$5,1,1)) + 1) &gt; 0,IFERROR(VALUE($E125),0)=0),
        AND(MAX(0, MIN($F$1, DATE(Initialisatie!$C$5,12,31)) - MAX($F$2, DATE(Initialisatie!$C$5,1,1)) + 1) &gt; 0,IFERROR(VALUE($F125),0)=0),
        AND(MAX(0, MIN($G$1, DATE(Initialisatie!$C$5,12,31)) - MAX($G$2, DATE(Initialisatie!$C$5,1,1)) + 1) &gt; 0,IFERROR(VALUE($G125),0)=0)
    ),
    0,
    SUM(
        IFERROR(VALUE($E125),0) * MAX(0, MIN($E$1, DATE(Initialisatie!$C$5,12,31)) - MAX($E$2, DATE(Initialisatie!$C$5,1,1)) + 1),
        IFERROR(VALUE($F125),0) * MAX(0, MIN($F$1, DATE(Initialisatie!$C$5,12,31)) - MAX($F$2, DATE(Initialisatie!$C$5,1,1)) + 1),
        IFERROR(VALUE($G125),0) * MAX(0, MIN($G$1, DATE(Initialisatie!$C$5,12,31)) - MAX($G$2, DATE(Initialisatie!$C$5,1,1)) + 1)
    ) / (DATE(Initialisatie!$C$5,12,31) - DATE(Initialisatie!$C$5,1,1) + 1)
)</f>
        <v>5053.5</v>
      </c>
    </row>
    <row r="126" spans="1:9" x14ac:dyDescent="0.45">
      <c r="A126" s="989"/>
      <c r="B126" s="35" t="s">
        <v>89</v>
      </c>
      <c r="C126" s="35">
        <v>8</v>
      </c>
      <c r="D126" s="35" t="s">
        <v>165</v>
      </c>
      <c r="E126">
        <v>4986.9399999999996</v>
      </c>
      <c r="F126">
        <v>5049.28</v>
      </c>
      <c r="G126">
        <v>5231.05</v>
      </c>
      <c r="I126">
        <f>IF(
    OR(
        AND(MAX(0, MIN($E$1, DATE(Initialisatie!$C$5,12,31)) - MAX($E$2, DATE(Initialisatie!$C$5,1,1)) + 1) &gt; 0,IFERROR(VALUE($E126),0)=0),
        AND(MAX(0, MIN($F$1, DATE(Initialisatie!$C$5,12,31)) - MAX($F$2, DATE(Initialisatie!$C$5,1,1)) + 1) &gt; 0,IFERROR(VALUE($F126),0)=0),
        AND(MAX(0, MIN($G$1, DATE(Initialisatie!$C$5,12,31)) - MAX($G$2, DATE(Initialisatie!$C$5,1,1)) + 1) &gt; 0,IFERROR(VALUE($G126),0)=0)
    ),
    0,
    SUM(
        IFERROR(VALUE($E126),0) * MAX(0, MIN($E$1, DATE(Initialisatie!$C$5,12,31)) - MAX($E$2, DATE(Initialisatie!$C$5,1,1)) + 1),
        IFERROR(VALUE($F126),0) * MAX(0, MIN($F$1, DATE(Initialisatie!$C$5,12,31)) - MAX($F$2, DATE(Initialisatie!$C$5,1,1)) + 1),
        IFERROR(VALUE($G126),0) * MAX(0, MIN($G$1, DATE(Initialisatie!$C$5,12,31)) - MAX($G$2, DATE(Initialisatie!$C$5,1,1)) + 1)
    ) / (DATE(Initialisatie!$C$5,12,31) - DATE(Initialisatie!$C$5,1,1) + 1)
)</f>
        <v>5231.05</v>
      </c>
    </row>
    <row r="127" spans="1:9" x14ac:dyDescent="0.45">
      <c r="A127" s="989"/>
      <c r="B127" s="35" t="s">
        <v>87</v>
      </c>
      <c r="C127" s="35">
        <v>9</v>
      </c>
      <c r="D127" s="35" t="s">
        <v>164</v>
      </c>
      <c r="E127">
        <v>5161.33</v>
      </c>
      <c r="F127">
        <v>5225.84</v>
      </c>
      <c r="G127">
        <v>5413.97</v>
      </c>
      <c r="I127">
        <f>IF(
    OR(
        AND(MAX(0, MIN($E$1, DATE(Initialisatie!$C$5,12,31)) - MAX($E$2, DATE(Initialisatie!$C$5,1,1)) + 1) &gt; 0,IFERROR(VALUE($E127),0)=0),
        AND(MAX(0, MIN($F$1, DATE(Initialisatie!$C$5,12,31)) - MAX($F$2, DATE(Initialisatie!$C$5,1,1)) + 1) &gt; 0,IFERROR(VALUE($F127),0)=0),
        AND(MAX(0, MIN($G$1, DATE(Initialisatie!$C$5,12,31)) - MAX($G$2, DATE(Initialisatie!$C$5,1,1)) + 1) &gt; 0,IFERROR(VALUE($G127),0)=0)
    ),
    0,
    SUM(
        IFERROR(VALUE($E127),0) * MAX(0, MIN($E$1, DATE(Initialisatie!$C$5,12,31)) - MAX($E$2, DATE(Initialisatie!$C$5,1,1)) + 1),
        IFERROR(VALUE($F127),0) * MAX(0, MIN($F$1, DATE(Initialisatie!$C$5,12,31)) - MAX($F$2, DATE(Initialisatie!$C$5,1,1)) + 1),
        IFERROR(VALUE($G127),0) * MAX(0, MIN($G$1, DATE(Initialisatie!$C$5,12,31)) - MAX($G$2, DATE(Initialisatie!$C$5,1,1)) + 1)
    ) / (DATE(Initialisatie!$C$5,12,31) - DATE(Initialisatie!$C$5,1,1) + 1)
)</f>
        <v>5413.97</v>
      </c>
    </row>
    <row r="128" spans="1:9" x14ac:dyDescent="0.45">
      <c r="A128" s="989"/>
      <c r="B128" s="35" t="s">
        <v>109</v>
      </c>
      <c r="C128" s="35">
        <v>10</v>
      </c>
      <c r="D128" s="35" t="s">
        <v>175</v>
      </c>
      <c r="E128">
        <v>5341.5</v>
      </c>
      <c r="F128">
        <v>5408.27</v>
      </c>
      <c r="G128">
        <v>5602.97</v>
      </c>
      <c r="I128">
        <f>IF(
    OR(
        AND(MAX(0, MIN($E$1, DATE(Initialisatie!$C$5,12,31)) - MAX($E$2, DATE(Initialisatie!$C$5,1,1)) + 1) &gt; 0,IFERROR(VALUE($E128),0)=0),
        AND(MAX(0, MIN($F$1, DATE(Initialisatie!$C$5,12,31)) - MAX($F$2, DATE(Initialisatie!$C$5,1,1)) + 1) &gt; 0,IFERROR(VALUE($F128),0)=0),
        AND(MAX(0, MIN($G$1, DATE(Initialisatie!$C$5,12,31)) - MAX($G$2, DATE(Initialisatie!$C$5,1,1)) + 1) &gt; 0,IFERROR(VALUE($G128),0)=0)
    ),
    0,
    SUM(
        IFERROR(VALUE($E128),0) * MAX(0, MIN($E$1, DATE(Initialisatie!$C$5,12,31)) - MAX($E$2, DATE(Initialisatie!$C$5,1,1)) + 1),
        IFERROR(VALUE($F128),0) * MAX(0, MIN($F$1, DATE(Initialisatie!$C$5,12,31)) - MAX($F$2, DATE(Initialisatie!$C$5,1,1)) + 1),
        IFERROR(VALUE($G128),0) * MAX(0, MIN($G$1, DATE(Initialisatie!$C$5,12,31)) - MAX($G$2, DATE(Initialisatie!$C$5,1,1)) + 1)
    ) / (DATE(Initialisatie!$C$5,12,31) - DATE(Initialisatie!$C$5,1,1) + 1)
)</f>
        <v>5602.97</v>
      </c>
    </row>
    <row r="129" spans="1:9" x14ac:dyDescent="0.45">
      <c r="A129" s="989"/>
      <c r="B129" s="35" t="s">
        <v>107</v>
      </c>
      <c r="C129" s="35">
        <v>11</v>
      </c>
      <c r="D129" s="35" t="s">
        <v>174</v>
      </c>
      <c r="E129">
        <v>5528.95</v>
      </c>
      <c r="F129">
        <v>5598.06</v>
      </c>
      <c r="G129">
        <v>5799.59</v>
      </c>
      <c r="I129">
        <f>IF(
    OR(
        AND(MAX(0, MIN($E$1, DATE(Initialisatie!$C$5,12,31)) - MAX($E$2, DATE(Initialisatie!$C$5,1,1)) + 1) &gt; 0,IFERROR(VALUE($E129),0)=0),
        AND(MAX(0, MIN($F$1, DATE(Initialisatie!$C$5,12,31)) - MAX($F$2, DATE(Initialisatie!$C$5,1,1)) + 1) &gt; 0,IFERROR(VALUE($F129),0)=0),
        AND(MAX(0, MIN($G$1, DATE(Initialisatie!$C$5,12,31)) - MAX($G$2, DATE(Initialisatie!$C$5,1,1)) + 1) &gt; 0,IFERROR(VALUE($G129),0)=0)
    ),
    0,
    SUM(
        IFERROR(VALUE($E129),0) * MAX(0, MIN($E$1, DATE(Initialisatie!$C$5,12,31)) - MAX($E$2, DATE(Initialisatie!$C$5,1,1)) + 1),
        IFERROR(VALUE($F129),0) * MAX(0, MIN($F$1, DATE(Initialisatie!$C$5,12,31)) - MAX($F$2, DATE(Initialisatie!$C$5,1,1)) + 1),
        IFERROR(VALUE($G129),0) * MAX(0, MIN($G$1, DATE(Initialisatie!$C$5,12,31)) - MAX($G$2, DATE(Initialisatie!$C$5,1,1)) + 1)
    ) / (DATE(Initialisatie!$C$5,12,31) - DATE(Initialisatie!$C$5,1,1) + 1)
)</f>
        <v>5799.59</v>
      </c>
    </row>
    <row r="130" spans="1:9" x14ac:dyDescent="0.45">
      <c r="A130" s="989"/>
      <c r="B130" s="35" t="s">
        <v>105</v>
      </c>
      <c r="C130" s="35">
        <v>12</v>
      </c>
      <c r="D130" s="35" t="s">
        <v>173</v>
      </c>
      <c r="E130">
        <v>5722.2</v>
      </c>
      <c r="F130">
        <v>5793.72</v>
      </c>
      <c r="G130">
        <v>6002.3</v>
      </c>
      <c r="I130">
        <f>IF(
    OR(
        AND(MAX(0, MIN($E$1, DATE(Initialisatie!$C$5,12,31)) - MAX($E$2, DATE(Initialisatie!$C$5,1,1)) + 1) &gt; 0,IFERROR(VALUE($E130),0)=0),
        AND(MAX(0, MIN($F$1, DATE(Initialisatie!$C$5,12,31)) - MAX($F$2, DATE(Initialisatie!$C$5,1,1)) + 1) &gt; 0,IFERROR(VALUE($F130),0)=0),
        AND(MAX(0, MIN($G$1, DATE(Initialisatie!$C$5,12,31)) - MAX($G$2, DATE(Initialisatie!$C$5,1,1)) + 1) &gt; 0,IFERROR(VALUE($G130),0)=0)
    ),
    0,
    SUM(
        IFERROR(VALUE($E130),0) * MAX(0, MIN($E$1, DATE(Initialisatie!$C$5,12,31)) - MAX($E$2, DATE(Initialisatie!$C$5,1,1)) + 1),
        IFERROR(VALUE($F130),0) * MAX(0, MIN($F$1, DATE(Initialisatie!$C$5,12,31)) - MAX($F$2, DATE(Initialisatie!$C$5,1,1)) + 1),
        IFERROR(VALUE($G130),0) * MAX(0, MIN($G$1, DATE(Initialisatie!$C$5,12,31)) - MAX($G$2, DATE(Initialisatie!$C$5,1,1)) + 1)
    ) / (DATE(Initialisatie!$C$5,12,31) - DATE(Initialisatie!$C$5,1,1) + 1)
)</f>
        <v>6002.3</v>
      </c>
    </row>
    <row r="131" spans="1:9" x14ac:dyDescent="0.45">
      <c r="A131" s="989"/>
      <c r="B131" s="35" t="s">
        <v>103</v>
      </c>
      <c r="C131" s="35">
        <v>13</v>
      </c>
      <c r="D131" s="35" t="s">
        <v>172</v>
      </c>
      <c r="E131">
        <v>0</v>
      </c>
      <c r="F131">
        <v>0</v>
      </c>
      <c r="G131">
        <v>0</v>
      </c>
      <c r="I131">
        <f>IF(
    OR(
        AND(MAX(0, MIN($E$1, DATE(Initialisatie!$C$5,12,31)) - MAX($E$2, DATE(Initialisatie!$C$5,1,1)) + 1) &gt; 0,IFERROR(VALUE($E131),0)=0),
        AND(MAX(0, MIN($F$1, DATE(Initialisatie!$C$5,12,31)) - MAX($F$2, DATE(Initialisatie!$C$5,1,1)) + 1) &gt; 0,IFERROR(VALUE($F131),0)=0),
        AND(MAX(0, MIN($G$1, DATE(Initialisatie!$C$5,12,31)) - MAX($G$2, DATE(Initialisatie!$C$5,1,1)) + 1) &gt; 0,IFERROR(VALUE($G131),0)=0)
    ),
    0,
    SUM(
        IFERROR(VALUE($E131),0) * MAX(0, MIN($E$1, DATE(Initialisatie!$C$5,12,31)) - MAX($E$2, DATE(Initialisatie!$C$5,1,1)) + 1),
        IFERROR(VALUE($F131),0) * MAX(0, MIN($F$1, DATE(Initialisatie!$C$5,12,31)) - MAX($F$2, DATE(Initialisatie!$C$5,1,1)) + 1),
        IFERROR(VALUE($G131),0) * MAX(0, MIN($G$1, DATE(Initialisatie!$C$5,12,31)) - MAX($G$2, DATE(Initialisatie!$C$5,1,1)) + 1)
    ) / (DATE(Initialisatie!$C$5,12,31) - DATE(Initialisatie!$C$5,1,1) + 1)
)</f>
        <v>0</v>
      </c>
    </row>
    <row r="132" spans="1:9" x14ac:dyDescent="0.45">
      <c r="A132" s="989"/>
      <c r="B132" s="35" t="s">
        <v>85</v>
      </c>
      <c r="C132" s="35">
        <v>14</v>
      </c>
      <c r="D132" s="35" t="s">
        <v>163</v>
      </c>
      <c r="E132">
        <v>5922.75</v>
      </c>
      <c r="F132">
        <v>5996.79</v>
      </c>
      <c r="G132">
        <v>6212.67</v>
      </c>
      <c r="I132">
        <f>IF(
    OR(
        AND(MAX(0, MIN($E$1, DATE(Initialisatie!$C$5,12,31)) - MAX($E$2, DATE(Initialisatie!$C$5,1,1)) + 1) &gt; 0,IFERROR(VALUE($E132),0)=0),
        AND(MAX(0, MIN($F$1, DATE(Initialisatie!$C$5,12,31)) - MAX($F$2, DATE(Initialisatie!$C$5,1,1)) + 1) &gt; 0,IFERROR(VALUE($F132),0)=0),
        AND(MAX(0, MIN($G$1, DATE(Initialisatie!$C$5,12,31)) - MAX($G$2, DATE(Initialisatie!$C$5,1,1)) + 1) &gt; 0,IFERROR(VALUE($G132),0)=0)
    ),
    0,
    SUM(
        IFERROR(VALUE($E132),0) * MAX(0, MIN($E$1, DATE(Initialisatie!$C$5,12,31)) - MAX($E$2, DATE(Initialisatie!$C$5,1,1)) + 1),
        IFERROR(VALUE($F132),0) * MAX(0, MIN($F$1, DATE(Initialisatie!$C$5,12,31)) - MAX($F$2, DATE(Initialisatie!$C$5,1,1)) + 1),
        IFERROR(VALUE($G132),0) * MAX(0, MIN($G$1, DATE(Initialisatie!$C$5,12,31)) - MAX($G$2, DATE(Initialisatie!$C$5,1,1)) + 1)
    ) / (DATE(Initialisatie!$C$5,12,31) - DATE(Initialisatie!$C$5,1,1) + 1)
)</f>
        <v>6212.6699999999992</v>
      </c>
    </row>
    <row r="133" spans="1:9" x14ac:dyDescent="0.45">
      <c r="A133" s="990"/>
      <c r="B133" s="35" t="s">
        <v>83</v>
      </c>
      <c r="C133" s="35">
        <v>15</v>
      </c>
      <c r="D133" s="35" t="s">
        <v>162</v>
      </c>
      <c r="E133">
        <v>6129.76</v>
      </c>
      <c r="F133">
        <v>6206.38</v>
      </c>
      <c r="G133">
        <v>6429.81</v>
      </c>
      <c r="I133">
        <f>IF(
    OR(
        AND(MAX(0, MIN($E$1, DATE(Initialisatie!$C$5,12,31)) - MAX($E$2, DATE(Initialisatie!$C$5,1,1)) + 1) &gt; 0,IFERROR(VALUE($E133),0)=0),
        AND(MAX(0, MIN($F$1, DATE(Initialisatie!$C$5,12,31)) - MAX($F$2, DATE(Initialisatie!$C$5,1,1)) + 1) &gt; 0,IFERROR(VALUE($F133),0)=0),
        AND(MAX(0, MIN($G$1, DATE(Initialisatie!$C$5,12,31)) - MAX($G$2, DATE(Initialisatie!$C$5,1,1)) + 1) &gt; 0,IFERROR(VALUE($G133),0)=0)
    ),
    0,
    SUM(
        IFERROR(VALUE($E133),0) * MAX(0, MIN($E$1, DATE(Initialisatie!$C$5,12,31)) - MAX($E$2, DATE(Initialisatie!$C$5,1,1)) + 1),
        IFERROR(VALUE($F133),0) * MAX(0, MIN($F$1, DATE(Initialisatie!$C$5,12,31)) - MAX($F$2, DATE(Initialisatie!$C$5,1,1)) + 1),
        IFERROR(VALUE($G133),0) * MAX(0, MIN($G$1, DATE(Initialisatie!$C$5,12,31)) - MAX($G$2, DATE(Initialisatie!$C$5,1,1)) + 1)
    ) / (DATE(Initialisatie!$C$5,12,31) - DATE(Initialisatie!$C$5,1,1) + 1)
)</f>
        <v>6429.8100000000013</v>
      </c>
    </row>
    <row r="134" spans="1:9" x14ac:dyDescent="0.45">
      <c r="A134" s="988">
        <v>12</v>
      </c>
      <c r="B134" s="35" t="s">
        <v>113</v>
      </c>
      <c r="C134" s="35">
        <v>0</v>
      </c>
      <c r="D134" s="35" t="s">
        <v>161</v>
      </c>
      <c r="E134">
        <v>4171.0200000000004</v>
      </c>
      <c r="F134">
        <v>4223.16</v>
      </c>
      <c r="G134">
        <v>4375.2</v>
      </c>
      <c r="I134">
        <f>IF(
    OR(
        AND(MAX(0, MIN($E$1, DATE(Initialisatie!$C$5,12,31)) - MAX($E$2, DATE(Initialisatie!$C$5,1,1)) + 1) &gt; 0,IFERROR(VALUE($E134),0)=0),
        AND(MAX(0, MIN($F$1, DATE(Initialisatie!$C$5,12,31)) - MAX($F$2, DATE(Initialisatie!$C$5,1,1)) + 1) &gt; 0,IFERROR(VALUE($F134),0)=0),
        AND(MAX(0, MIN($G$1, DATE(Initialisatie!$C$5,12,31)) - MAX($G$2, DATE(Initialisatie!$C$5,1,1)) + 1) &gt; 0,IFERROR(VALUE($G134),0)=0)
    ),
    0,
    SUM(
        IFERROR(VALUE($E134),0) * MAX(0, MIN($E$1, DATE(Initialisatie!$C$5,12,31)) - MAX($E$2, DATE(Initialisatie!$C$5,1,1)) + 1),
        IFERROR(VALUE($F134),0) * MAX(0, MIN($F$1, DATE(Initialisatie!$C$5,12,31)) - MAX($F$2, DATE(Initialisatie!$C$5,1,1)) + 1),
        IFERROR(VALUE($G134),0) * MAX(0, MIN($G$1, DATE(Initialisatie!$C$5,12,31)) - MAX($G$2, DATE(Initialisatie!$C$5,1,1)) + 1)
    ) / (DATE(Initialisatie!$C$5,12,31) - DATE(Initialisatie!$C$5,1,1) + 1)
)</f>
        <v>4375.2</v>
      </c>
    </row>
    <row r="135" spans="1:9" x14ac:dyDescent="0.45">
      <c r="A135" s="989"/>
      <c r="B135" s="35" t="s">
        <v>111</v>
      </c>
      <c r="C135" s="35">
        <v>1</v>
      </c>
      <c r="D135" s="35" t="s">
        <v>160</v>
      </c>
      <c r="E135">
        <v>4319.25</v>
      </c>
      <c r="F135">
        <v>4373.24</v>
      </c>
      <c r="G135">
        <v>4530.68</v>
      </c>
      <c r="I135">
        <f>IF(
    OR(
        AND(MAX(0, MIN($E$1, DATE(Initialisatie!$C$5,12,31)) - MAX($E$2, DATE(Initialisatie!$C$5,1,1)) + 1) &gt; 0,IFERROR(VALUE($E135),0)=0),
        AND(MAX(0, MIN($F$1, DATE(Initialisatie!$C$5,12,31)) - MAX($F$2, DATE(Initialisatie!$C$5,1,1)) + 1) &gt; 0,IFERROR(VALUE($F135),0)=0),
        AND(MAX(0, MIN($G$1, DATE(Initialisatie!$C$5,12,31)) - MAX($G$2, DATE(Initialisatie!$C$5,1,1)) + 1) &gt; 0,IFERROR(VALUE($G135),0)=0)
    ),
    0,
    SUM(
        IFERROR(VALUE($E135),0) * MAX(0, MIN($E$1, DATE(Initialisatie!$C$5,12,31)) - MAX($E$2, DATE(Initialisatie!$C$5,1,1)) + 1),
        IFERROR(VALUE($F135),0) * MAX(0, MIN($F$1, DATE(Initialisatie!$C$5,12,31)) - MAX($F$2, DATE(Initialisatie!$C$5,1,1)) + 1),
        IFERROR(VALUE($G135),0) * MAX(0, MIN($G$1, DATE(Initialisatie!$C$5,12,31)) - MAX($G$2, DATE(Initialisatie!$C$5,1,1)) + 1)
    ) / (DATE(Initialisatie!$C$5,12,31) - DATE(Initialisatie!$C$5,1,1) + 1)
)</f>
        <v>4530.68</v>
      </c>
    </row>
    <row r="136" spans="1:9" x14ac:dyDescent="0.45">
      <c r="A136" s="989"/>
      <c r="B136" s="35" t="s">
        <v>101</v>
      </c>
      <c r="C136" s="35">
        <v>2</v>
      </c>
      <c r="D136" s="35" t="s">
        <v>155</v>
      </c>
      <c r="E136">
        <v>4472.5600000000004</v>
      </c>
      <c r="F136">
        <v>4528.47</v>
      </c>
      <c r="G136">
        <v>4691.5</v>
      </c>
      <c r="I136">
        <f>IF(
    OR(
        AND(MAX(0, MIN($E$1, DATE(Initialisatie!$C$5,12,31)) - MAX($E$2, DATE(Initialisatie!$C$5,1,1)) + 1) &gt; 0,IFERROR(VALUE($E136),0)=0),
        AND(MAX(0, MIN($F$1, DATE(Initialisatie!$C$5,12,31)) - MAX($F$2, DATE(Initialisatie!$C$5,1,1)) + 1) &gt; 0,IFERROR(VALUE($F136),0)=0),
        AND(MAX(0, MIN($G$1, DATE(Initialisatie!$C$5,12,31)) - MAX($G$2, DATE(Initialisatie!$C$5,1,1)) + 1) &gt; 0,IFERROR(VALUE($G136),0)=0)
    ),
    0,
    SUM(
        IFERROR(VALUE($E136),0) * MAX(0, MIN($E$1, DATE(Initialisatie!$C$5,12,31)) - MAX($E$2, DATE(Initialisatie!$C$5,1,1)) + 1),
        IFERROR(VALUE($F136),0) * MAX(0, MIN($F$1, DATE(Initialisatie!$C$5,12,31)) - MAX($F$2, DATE(Initialisatie!$C$5,1,1)) + 1),
        IFERROR(VALUE($G136),0) * MAX(0, MIN($G$1, DATE(Initialisatie!$C$5,12,31)) - MAX($G$2, DATE(Initialisatie!$C$5,1,1)) + 1)
    ) / (DATE(Initialisatie!$C$5,12,31) - DATE(Initialisatie!$C$5,1,1) + 1)
)</f>
        <v>4691.5</v>
      </c>
    </row>
    <row r="137" spans="1:9" x14ac:dyDescent="0.45">
      <c r="A137" s="989"/>
      <c r="B137" s="35" t="s">
        <v>99</v>
      </c>
      <c r="C137" s="35">
        <v>3</v>
      </c>
      <c r="D137" s="35" t="s">
        <v>154</v>
      </c>
      <c r="E137">
        <v>4630.93</v>
      </c>
      <c r="F137">
        <v>4688.8100000000004</v>
      </c>
      <c r="G137">
        <v>4857.6099999999997</v>
      </c>
      <c r="I137">
        <f>IF(
    OR(
        AND(MAX(0, MIN($E$1, DATE(Initialisatie!$C$5,12,31)) - MAX($E$2, DATE(Initialisatie!$C$5,1,1)) + 1) &gt; 0,IFERROR(VALUE($E137),0)=0),
        AND(MAX(0, MIN($F$1, DATE(Initialisatie!$C$5,12,31)) - MAX($F$2, DATE(Initialisatie!$C$5,1,1)) + 1) &gt; 0,IFERROR(VALUE($F137),0)=0),
        AND(MAX(0, MIN($G$1, DATE(Initialisatie!$C$5,12,31)) - MAX($G$2, DATE(Initialisatie!$C$5,1,1)) + 1) &gt; 0,IFERROR(VALUE($G137),0)=0)
    ),
    0,
    SUM(
        IFERROR(VALUE($E137),0) * MAX(0, MIN($E$1, DATE(Initialisatie!$C$5,12,31)) - MAX($E$2, DATE(Initialisatie!$C$5,1,1)) + 1),
        IFERROR(VALUE($F137),0) * MAX(0, MIN($F$1, DATE(Initialisatie!$C$5,12,31)) - MAX($F$2, DATE(Initialisatie!$C$5,1,1)) + 1),
        IFERROR(VALUE($G137),0) * MAX(0, MIN($G$1, DATE(Initialisatie!$C$5,12,31)) - MAX($G$2, DATE(Initialisatie!$C$5,1,1)) + 1)
    ) / (DATE(Initialisatie!$C$5,12,31) - DATE(Initialisatie!$C$5,1,1) + 1)
)</f>
        <v>4857.6099999999997</v>
      </c>
    </row>
    <row r="138" spans="1:9" x14ac:dyDescent="0.45">
      <c r="A138" s="989"/>
      <c r="B138" s="35" t="s">
        <v>97</v>
      </c>
      <c r="C138" s="35">
        <v>4</v>
      </c>
      <c r="D138" s="35" t="s">
        <v>153</v>
      </c>
      <c r="E138">
        <v>4795.88</v>
      </c>
      <c r="F138">
        <v>4855.82</v>
      </c>
      <c r="G138">
        <v>5030.63</v>
      </c>
      <c r="I138">
        <f>IF(
    OR(
        AND(MAX(0, MIN($E$1, DATE(Initialisatie!$C$5,12,31)) - MAX($E$2, DATE(Initialisatie!$C$5,1,1)) + 1) &gt; 0,IFERROR(VALUE($E138),0)=0),
        AND(MAX(0, MIN($F$1, DATE(Initialisatie!$C$5,12,31)) - MAX($F$2, DATE(Initialisatie!$C$5,1,1)) + 1) &gt; 0,IFERROR(VALUE($F138),0)=0),
        AND(MAX(0, MIN($G$1, DATE(Initialisatie!$C$5,12,31)) - MAX($G$2, DATE(Initialisatie!$C$5,1,1)) + 1) &gt; 0,IFERROR(VALUE($G138),0)=0)
    ),
    0,
    SUM(
        IFERROR(VALUE($E138),0) * MAX(0, MIN($E$1, DATE(Initialisatie!$C$5,12,31)) - MAX($E$2, DATE(Initialisatie!$C$5,1,1)) + 1),
        IFERROR(VALUE($F138),0) * MAX(0, MIN($F$1, DATE(Initialisatie!$C$5,12,31)) - MAX($F$2, DATE(Initialisatie!$C$5,1,1)) + 1),
        IFERROR(VALUE($G138),0) * MAX(0, MIN($G$1, DATE(Initialisatie!$C$5,12,31)) - MAX($G$2, DATE(Initialisatie!$C$5,1,1)) + 1)
    ) / (DATE(Initialisatie!$C$5,12,31) - DATE(Initialisatie!$C$5,1,1) + 1)
)</f>
        <v>5030.63</v>
      </c>
    </row>
    <row r="139" spans="1:9" x14ac:dyDescent="0.45">
      <c r="A139" s="989"/>
      <c r="B139" s="35" t="s">
        <v>95</v>
      </c>
      <c r="C139" s="35">
        <v>5</v>
      </c>
      <c r="D139" s="35" t="s">
        <v>152</v>
      </c>
      <c r="E139">
        <v>4965.8999999999996</v>
      </c>
      <c r="F139">
        <v>5027.9799999999996</v>
      </c>
      <c r="G139">
        <v>5208.9799999999996</v>
      </c>
      <c r="I139">
        <f>IF(
    OR(
        AND(MAX(0, MIN($E$1, DATE(Initialisatie!$C$5,12,31)) - MAX($E$2, DATE(Initialisatie!$C$5,1,1)) + 1) &gt; 0,IFERROR(VALUE($E139),0)=0),
        AND(MAX(0, MIN($F$1, DATE(Initialisatie!$C$5,12,31)) - MAX($F$2, DATE(Initialisatie!$C$5,1,1)) + 1) &gt; 0,IFERROR(VALUE($F139),0)=0),
        AND(MAX(0, MIN($G$1, DATE(Initialisatie!$C$5,12,31)) - MAX($G$2, DATE(Initialisatie!$C$5,1,1)) + 1) &gt; 0,IFERROR(VALUE($G139),0)=0)
    ),
    0,
    SUM(
        IFERROR(VALUE($E139),0) * MAX(0, MIN($E$1, DATE(Initialisatie!$C$5,12,31)) - MAX($E$2, DATE(Initialisatie!$C$5,1,1)) + 1),
        IFERROR(VALUE($F139),0) * MAX(0, MIN($F$1, DATE(Initialisatie!$C$5,12,31)) - MAX($F$2, DATE(Initialisatie!$C$5,1,1)) + 1),
        IFERROR(VALUE($G139),0) * MAX(0, MIN($G$1, DATE(Initialisatie!$C$5,12,31)) - MAX($G$2, DATE(Initialisatie!$C$5,1,1)) + 1)
    ) / (DATE(Initialisatie!$C$5,12,31) - DATE(Initialisatie!$C$5,1,1) + 1)
)</f>
        <v>5208.9799999999996</v>
      </c>
    </row>
    <row r="140" spans="1:9" x14ac:dyDescent="0.45">
      <c r="A140" s="989"/>
      <c r="B140" s="35" t="s">
        <v>93</v>
      </c>
      <c r="C140" s="35">
        <v>6</v>
      </c>
      <c r="D140" s="35" t="s">
        <v>151</v>
      </c>
      <c r="E140">
        <v>5142.43</v>
      </c>
      <c r="F140">
        <v>5206.72</v>
      </c>
      <c r="G140">
        <v>5394.16</v>
      </c>
      <c r="I140">
        <f>IF(
    OR(
        AND(MAX(0, MIN($E$1, DATE(Initialisatie!$C$5,12,31)) - MAX($E$2, DATE(Initialisatie!$C$5,1,1)) + 1) &gt; 0,IFERROR(VALUE($E140),0)=0),
        AND(MAX(0, MIN($F$1, DATE(Initialisatie!$C$5,12,31)) - MAX($F$2, DATE(Initialisatie!$C$5,1,1)) + 1) &gt; 0,IFERROR(VALUE($F140),0)=0),
        AND(MAX(0, MIN($G$1, DATE(Initialisatie!$C$5,12,31)) - MAX($G$2, DATE(Initialisatie!$C$5,1,1)) + 1) &gt; 0,IFERROR(VALUE($G140),0)=0)
    ),
    0,
    SUM(
        IFERROR(VALUE($E140),0) * MAX(0, MIN($E$1, DATE(Initialisatie!$C$5,12,31)) - MAX($E$2, DATE(Initialisatie!$C$5,1,1)) + 1),
        IFERROR(VALUE($F140),0) * MAX(0, MIN($F$1, DATE(Initialisatie!$C$5,12,31)) - MAX($F$2, DATE(Initialisatie!$C$5,1,1)) + 1),
        IFERROR(VALUE($G140),0) * MAX(0, MIN($G$1, DATE(Initialisatie!$C$5,12,31)) - MAX($G$2, DATE(Initialisatie!$C$5,1,1)) + 1)
    ) / (DATE(Initialisatie!$C$5,12,31) - DATE(Initialisatie!$C$5,1,1) + 1)
)</f>
        <v>5394.16</v>
      </c>
    </row>
    <row r="141" spans="1:9" x14ac:dyDescent="0.45">
      <c r="A141" s="989"/>
      <c r="B141" s="35" t="s">
        <v>91</v>
      </c>
      <c r="C141" s="35">
        <v>7</v>
      </c>
      <c r="D141" s="35" t="s">
        <v>150</v>
      </c>
      <c r="E141">
        <v>5324.82</v>
      </c>
      <c r="F141">
        <v>5391.39</v>
      </c>
      <c r="G141">
        <v>5585.48</v>
      </c>
      <c r="I141">
        <f>IF(
    OR(
        AND(MAX(0, MIN($E$1, DATE(Initialisatie!$C$5,12,31)) - MAX($E$2, DATE(Initialisatie!$C$5,1,1)) + 1) &gt; 0,IFERROR(VALUE($E141),0)=0),
        AND(MAX(0, MIN($F$1, DATE(Initialisatie!$C$5,12,31)) - MAX($F$2, DATE(Initialisatie!$C$5,1,1)) + 1) &gt; 0,IFERROR(VALUE($F141),0)=0),
        AND(MAX(0, MIN($G$1, DATE(Initialisatie!$C$5,12,31)) - MAX($G$2, DATE(Initialisatie!$C$5,1,1)) + 1) &gt; 0,IFERROR(VALUE($G141),0)=0)
    ),
    0,
    SUM(
        IFERROR(VALUE($E141),0) * MAX(0, MIN($E$1, DATE(Initialisatie!$C$5,12,31)) - MAX($E$2, DATE(Initialisatie!$C$5,1,1)) + 1),
        IFERROR(VALUE($F141),0) * MAX(0, MIN($F$1, DATE(Initialisatie!$C$5,12,31)) - MAX($F$2, DATE(Initialisatie!$C$5,1,1)) + 1),
        IFERROR(VALUE($G141),0) * MAX(0, MIN($G$1, DATE(Initialisatie!$C$5,12,31)) - MAX($G$2, DATE(Initialisatie!$C$5,1,1)) + 1)
    ) / (DATE(Initialisatie!$C$5,12,31) - DATE(Initialisatie!$C$5,1,1) + 1)
)</f>
        <v>5585.48</v>
      </c>
    </row>
    <row r="142" spans="1:9" x14ac:dyDescent="0.45">
      <c r="A142" s="989"/>
      <c r="B142" s="35" t="s">
        <v>89</v>
      </c>
      <c r="C142" s="35">
        <v>8</v>
      </c>
      <c r="D142" s="35" t="s">
        <v>149</v>
      </c>
      <c r="E142">
        <v>5513.7</v>
      </c>
      <c r="F142">
        <v>5582.63</v>
      </c>
      <c r="G142">
        <v>5783.6</v>
      </c>
      <c r="I142">
        <f>IF(
    OR(
        AND(MAX(0, MIN($E$1, DATE(Initialisatie!$C$5,12,31)) - MAX($E$2, DATE(Initialisatie!$C$5,1,1)) + 1) &gt; 0,IFERROR(VALUE($E142),0)=0),
        AND(MAX(0, MIN($F$1, DATE(Initialisatie!$C$5,12,31)) - MAX($F$2, DATE(Initialisatie!$C$5,1,1)) + 1) &gt; 0,IFERROR(VALUE($F142),0)=0),
        AND(MAX(0, MIN($G$1, DATE(Initialisatie!$C$5,12,31)) - MAX($G$2, DATE(Initialisatie!$C$5,1,1)) + 1) &gt; 0,IFERROR(VALUE($G142),0)=0)
    ),
    0,
    SUM(
        IFERROR(VALUE($E142),0) * MAX(0, MIN($E$1, DATE(Initialisatie!$C$5,12,31)) - MAX($E$2, DATE(Initialisatie!$C$5,1,1)) + 1),
        IFERROR(VALUE($F142),0) * MAX(0, MIN($F$1, DATE(Initialisatie!$C$5,12,31)) - MAX($F$2, DATE(Initialisatie!$C$5,1,1)) + 1),
        IFERROR(VALUE($G142),0) * MAX(0, MIN($G$1, DATE(Initialisatie!$C$5,12,31)) - MAX($G$2, DATE(Initialisatie!$C$5,1,1)) + 1)
    ) / (DATE(Initialisatie!$C$5,12,31) - DATE(Initialisatie!$C$5,1,1) + 1)
)</f>
        <v>5783.6</v>
      </c>
    </row>
    <row r="143" spans="1:9" x14ac:dyDescent="0.45">
      <c r="A143" s="989"/>
      <c r="B143" s="35" t="s">
        <v>87</v>
      </c>
      <c r="C143" s="35">
        <v>9</v>
      </c>
      <c r="D143" s="35" t="s">
        <v>148</v>
      </c>
      <c r="E143">
        <v>5709.14</v>
      </c>
      <c r="F143">
        <v>5780.5</v>
      </c>
      <c r="G143">
        <v>5988.6</v>
      </c>
      <c r="I143">
        <f>IF(
    OR(
        AND(MAX(0, MIN($E$1, DATE(Initialisatie!$C$5,12,31)) - MAX($E$2, DATE(Initialisatie!$C$5,1,1)) + 1) &gt; 0,IFERROR(VALUE($E143),0)=0),
        AND(MAX(0, MIN($F$1, DATE(Initialisatie!$C$5,12,31)) - MAX($F$2, DATE(Initialisatie!$C$5,1,1)) + 1) &gt; 0,IFERROR(VALUE($F143),0)=0),
        AND(MAX(0, MIN($G$1, DATE(Initialisatie!$C$5,12,31)) - MAX($G$2, DATE(Initialisatie!$C$5,1,1)) + 1) &gt; 0,IFERROR(VALUE($G143),0)=0)
    ),
    0,
    SUM(
        IFERROR(VALUE($E143),0) * MAX(0, MIN($E$1, DATE(Initialisatie!$C$5,12,31)) - MAX($E$2, DATE(Initialisatie!$C$5,1,1)) + 1),
        IFERROR(VALUE($F143),0) * MAX(0, MIN($F$1, DATE(Initialisatie!$C$5,12,31)) - MAX($F$2, DATE(Initialisatie!$C$5,1,1)) + 1),
        IFERROR(VALUE($G143),0) * MAX(0, MIN($G$1, DATE(Initialisatie!$C$5,12,31)) - MAX($G$2, DATE(Initialisatie!$C$5,1,1)) + 1)
    ) / (DATE(Initialisatie!$C$5,12,31) - DATE(Initialisatie!$C$5,1,1) + 1)
)</f>
        <v>5988.6</v>
      </c>
    </row>
    <row r="144" spans="1:9" x14ac:dyDescent="0.45">
      <c r="A144" s="989"/>
      <c r="B144" s="35" t="s">
        <v>109</v>
      </c>
      <c r="C144" s="35">
        <v>10</v>
      </c>
      <c r="D144" s="35" t="s">
        <v>159</v>
      </c>
      <c r="E144">
        <v>5911.84</v>
      </c>
      <c r="F144">
        <v>5985.74</v>
      </c>
      <c r="G144">
        <v>6201.23</v>
      </c>
      <c r="I144">
        <f>IF(
    OR(
        AND(MAX(0, MIN($E$1, DATE(Initialisatie!$C$5,12,31)) - MAX($E$2, DATE(Initialisatie!$C$5,1,1)) + 1) &gt; 0,IFERROR(VALUE($E144),0)=0),
        AND(MAX(0, MIN($F$1, DATE(Initialisatie!$C$5,12,31)) - MAX($F$2, DATE(Initialisatie!$C$5,1,1)) + 1) &gt; 0,IFERROR(VALUE($F144),0)=0),
        AND(MAX(0, MIN($G$1, DATE(Initialisatie!$C$5,12,31)) - MAX($G$2, DATE(Initialisatie!$C$5,1,1)) + 1) &gt; 0,IFERROR(VALUE($G144),0)=0)
    ),
    0,
    SUM(
        IFERROR(VALUE($E144),0) * MAX(0, MIN($E$1, DATE(Initialisatie!$C$5,12,31)) - MAX($E$2, DATE(Initialisatie!$C$5,1,1)) + 1),
        IFERROR(VALUE($F144),0) * MAX(0, MIN($F$1, DATE(Initialisatie!$C$5,12,31)) - MAX($F$2, DATE(Initialisatie!$C$5,1,1)) + 1),
        IFERROR(VALUE($G144),0) * MAX(0, MIN($G$1, DATE(Initialisatie!$C$5,12,31)) - MAX($G$2, DATE(Initialisatie!$C$5,1,1)) + 1)
    ) / (DATE(Initialisatie!$C$5,12,31) - DATE(Initialisatie!$C$5,1,1) + 1)
)</f>
        <v>6201.23</v>
      </c>
    </row>
    <row r="145" spans="1:9" x14ac:dyDescent="0.45">
      <c r="A145" s="989"/>
      <c r="B145" s="35" t="s">
        <v>107</v>
      </c>
      <c r="C145" s="35">
        <v>11</v>
      </c>
      <c r="D145" s="35" t="s">
        <v>158</v>
      </c>
      <c r="E145">
        <v>6121.78</v>
      </c>
      <c r="F145">
        <v>6198.3</v>
      </c>
      <c r="G145">
        <v>6421.44</v>
      </c>
      <c r="I145">
        <f>IF(
    OR(
        AND(MAX(0, MIN($E$1, DATE(Initialisatie!$C$5,12,31)) - MAX($E$2, DATE(Initialisatie!$C$5,1,1)) + 1) &gt; 0,IFERROR(VALUE($E145),0)=0),
        AND(MAX(0, MIN($F$1, DATE(Initialisatie!$C$5,12,31)) - MAX($F$2, DATE(Initialisatie!$C$5,1,1)) + 1) &gt; 0,IFERROR(VALUE($F145),0)=0),
        AND(MAX(0, MIN($G$1, DATE(Initialisatie!$C$5,12,31)) - MAX($G$2, DATE(Initialisatie!$C$5,1,1)) + 1) &gt; 0,IFERROR(VALUE($G145),0)=0)
    ),
    0,
    SUM(
        IFERROR(VALUE($E145),0) * MAX(0, MIN($E$1, DATE(Initialisatie!$C$5,12,31)) - MAX($E$2, DATE(Initialisatie!$C$5,1,1)) + 1),
        IFERROR(VALUE($F145),0) * MAX(0, MIN($F$1, DATE(Initialisatie!$C$5,12,31)) - MAX($F$2, DATE(Initialisatie!$C$5,1,1)) + 1),
        IFERROR(VALUE($G145),0) * MAX(0, MIN($G$1, DATE(Initialisatie!$C$5,12,31)) - MAX($G$2, DATE(Initialisatie!$C$5,1,1)) + 1)
    ) / (DATE(Initialisatie!$C$5,12,31) - DATE(Initialisatie!$C$5,1,1) + 1)
)</f>
        <v>6421.4399999999987</v>
      </c>
    </row>
    <row r="146" spans="1:9" x14ac:dyDescent="0.45">
      <c r="A146" s="989"/>
      <c r="B146" s="35" t="s">
        <v>105</v>
      </c>
      <c r="C146" s="35">
        <v>12</v>
      </c>
      <c r="D146" s="35" t="s">
        <v>157</v>
      </c>
      <c r="E146">
        <v>6339.02</v>
      </c>
      <c r="F146">
        <v>6418.25</v>
      </c>
      <c r="G146">
        <v>6649.31</v>
      </c>
      <c r="I146">
        <f>IF(
    OR(
        AND(MAX(0, MIN($E$1, DATE(Initialisatie!$C$5,12,31)) - MAX($E$2, DATE(Initialisatie!$C$5,1,1)) + 1) &gt; 0,IFERROR(VALUE($E146),0)=0),
        AND(MAX(0, MIN($F$1, DATE(Initialisatie!$C$5,12,31)) - MAX($F$2, DATE(Initialisatie!$C$5,1,1)) + 1) &gt; 0,IFERROR(VALUE($F146),0)=0),
        AND(MAX(0, MIN($G$1, DATE(Initialisatie!$C$5,12,31)) - MAX($G$2, DATE(Initialisatie!$C$5,1,1)) + 1) &gt; 0,IFERROR(VALUE($G146),0)=0)
    ),
    0,
    SUM(
        IFERROR(VALUE($E146),0) * MAX(0, MIN($E$1, DATE(Initialisatie!$C$5,12,31)) - MAX($E$2, DATE(Initialisatie!$C$5,1,1)) + 1),
        IFERROR(VALUE($F146),0) * MAX(0, MIN($F$1, DATE(Initialisatie!$C$5,12,31)) - MAX($F$2, DATE(Initialisatie!$C$5,1,1)) + 1),
        IFERROR(VALUE($G146),0) * MAX(0, MIN($G$1, DATE(Initialisatie!$C$5,12,31)) - MAX($G$2, DATE(Initialisatie!$C$5,1,1)) + 1)
    ) / (DATE(Initialisatie!$C$5,12,31) - DATE(Initialisatie!$C$5,1,1) + 1)
)</f>
        <v>6649.3100000000013</v>
      </c>
    </row>
    <row r="147" spans="1:9" x14ac:dyDescent="0.45">
      <c r="A147" s="989"/>
      <c r="B147" s="35" t="s">
        <v>103</v>
      </c>
      <c r="C147" s="35">
        <v>13</v>
      </c>
      <c r="D147" s="35" t="s">
        <v>156</v>
      </c>
      <c r="E147">
        <v>6564.26</v>
      </c>
      <c r="F147">
        <v>6646.31</v>
      </c>
      <c r="G147">
        <v>6885.58</v>
      </c>
      <c r="I147">
        <f>IF(
    OR(
        AND(MAX(0, MIN($E$1, DATE(Initialisatie!$C$5,12,31)) - MAX($E$2, DATE(Initialisatie!$C$5,1,1)) + 1) &gt; 0,IFERROR(VALUE($E147),0)=0),
        AND(MAX(0, MIN($F$1, DATE(Initialisatie!$C$5,12,31)) - MAX($F$2, DATE(Initialisatie!$C$5,1,1)) + 1) &gt; 0,IFERROR(VALUE($F147),0)=0),
        AND(MAX(0, MIN($G$1, DATE(Initialisatie!$C$5,12,31)) - MAX($G$2, DATE(Initialisatie!$C$5,1,1)) + 1) &gt; 0,IFERROR(VALUE($G147),0)=0)
    ),
    0,
    SUM(
        IFERROR(VALUE($E147),0) * MAX(0, MIN($E$1, DATE(Initialisatie!$C$5,12,31)) - MAX($E$2, DATE(Initialisatie!$C$5,1,1)) + 1),
        IFERROR(VALUE($F147),0) * MAX(0, MIN($F$1, DATE(Initialisatie!$C$5,12,31)) - MAX($F$2, DATE(Initialisatie!$C$5,1,1)) + 1),
        IFERROR(VALUE($G147),0) * MAX(0, MIN($G$1, DATE(Initialisatie!$C$5,12,31)) - MAX($G$2, DATE(Initialisatie!$C$5,1,1)) + 1)
    ) / (DATE(Initialisatie!$C$5,12,31) - DATE(Initialisatie!$C$5,1,1) + 1)
)</f>
        <v>6885.5800000000008</v>
      </c>
    </row>
    <row r="148" spans="1:9" x14ac:dyDescent="0.45">
      <c r="A148" s="989"/>
      <c r="B148" s="35" t="s">
        <v>85</v>
      </c>
      <c r="C148" s="35">
        <v>14</v>
      </c>
      <c r="D148" s="35" t="s">
        <v>147</v>
      </c>
      <c r="E148">
        <v>6797.49</v>
      </c>
      <c r="F148">
        <v>6882.45</v>
      </c>
      <c r="G148">
        <v>7130.22</v>
      </c>
      <c r="I148">
        <f>IF(
    OR(
        AND(MAX(0, MIN($E$1, DATE(Initialisatie!$C$5,12,31)) - MAX($E$2, DATE(Initialisatie!$C$5,1,1)) + 1) &gt; 0,IFERROR(VALUE($E148),0)=0),
        AND(MAX(0, MIN($F$1, DATE(Initialisatie!$C$5,12,31)) - MAX($F$2, DATE(Initialisatie!$C$5,1,1)) + 1) &gt; 0,IFERROR(VALUE($F148),0)=0),
        AND(MAX(0, MIN($G$1, DATE(Initialisatie!$C$5,12,31)) - MAX($G$2, DATE(Initialisatie!$C$5,1,1)) + 1) &gt; 0,IFERROR(VALUE($G148),0)=0)
    ),
    0,
    SUM(
        IFERROR(VALUE($E148),0) * MAX(0, MIN($E$1, DATE(Initialisatie!$C$5,12,31)) - MAX($E$2, DATE(Initialisatie!$C$5,1,1)) + 1),
        IFERROR(VALUE($F148),0) * MAX(0, MIN($F$1, DATE(Initialisatie!$C$5,12,31)) - MAX($F$2, DATE(Initialisatie!$C$5,1,1)) + 1),
        IFERROR(VALUE($G148),0) * MAX(0, MIN($G$1, DATE(Initialisatie!$C$5,12,31)) - MAX($G$2, DATE(Initialisatie!$C$5,1,1)) + 1)
    ) / (DATE(Initialisatie!$C$5,12,31) - DATE(Initialisatie!$C$5,1,1) + 1)
)</f>
        <v>7130.2200000000012</v>
      </c>
    </row>
    <row r="149" spans="1:9" x14ac:dyDescent="0.45">
      <c r="A149" s="990"/>
      <c r="B149" s="35" t="s">
        <v>83</v>
      </c>
      <c r="C149" s="35">
        <v>15</v>
      </c>
      <c r="D149" s="35" t="s">
        <v>146</v>
      </c>
      <c r="E149">
        <v>7038.68</v>
      </c>
      <c r="F149">
        <v>7126.66</v>
      </c>
      <c r="G149">
        <v>7383.22</v>
      </c>
      <c r="I149">
        <f>IF(
    OR(
        AND(MAX(0, MIN($E$1, DATE(Initialisatie!$C$5,12,31)) - MAX($E$2, DATE(Initialisatie!$C$5,1,1)) + 1) &gt; 0,IFERROR(VALUE($E149),0)=0),
        AND(MAX(0, MIN($F$1, DATE(Initialisatie!$C$5,12,31)) - MAX($F$2, DATE(Initialisatie!$C$5,1,1)) + 1) &gt; 0,IFERROR(VALUE($F149),0)=0),
        AND(MAX(0, MIN($G$1, DATE(Initialisatie!$C$5,12,31)) - MAX($G$2, DATE(Initialisatie!$C$5,1,1)) + 1) &gt; 0,IFERROR(VALUE($G149),0)=0)
    ),
    0,
    SUM(
        IFERROR(VALUE($E149),0) * MAX(0, MIN($E$1, DATE(Initialisatie!$C$5,12,31)) - MAX($E$2, DATE(Initialisatie!$C$5,1,1)) + 1),
        IFERROR(VALUE($F149),0) * MAX(0, MIN($F$1, DATE(Initialisatie!$C$5,12,31)) - MAX($F$2, DATE(Initialisatie!$C$5,1,1)) + 1),
        IFERROR(VALUE($G149),0) * MAX(0, MIN($G$1, DATE(Initialisatie!$C$5,12,31)) - MAX($G$2, DATE(Initialisatie!$C$5,1,1)) + 1)
    ) / (DATE(Initialisatie!$C$5,12,31) - DATE(Initialisatie!$C$5,1,1) + 1)
)</f>
        <v>7383.2200000000012</v>
      </c>
    </row>
    <row r="150" spans="1:9" x14ac:dyDescent="0.45">
      <c r="A150" s="988">
        <v>13</v>
      </c>
      <c r="B150" s="35" t="s">
        <v>113</v>
      </c>
      <c r="C150" s="35">
        <v>0</v>
      </c>
      <c r="D150" s="35" t="s">
        <v>145</v>
      </c>
      <c r="E150">
        <v>4755.18</v>
      </c>
      <c r="F150">
        <v>4814.62</v>
      </c>
      <c r="G150">
        <v>4987.95</v>
      </c>
      <c r="I150">
        <f>IF(
    OR(
        AND(MAX(0, MIN($E$1, DATE(Initialisatie!$C$5,12,31)) - MAX($E$2, DATE(Initialisatie!$C$5,1,1)) + 1) &gt; 0,IFERROR(VALUE($E150),0)=0),
        AND(MAX(0, MIN($F$1, DATE(Initialisatie!$C$5,12,31)) - MAX($F$2, DATE(Initialisatie!$C$5,1,1)) + 1) &gt; 0,IFERROR(VALUE($F150),0)=0),
        AND(MAX(0, MIN($G$1, DATE(Initialisatie!$C$5,12,31)) - MAX($G$2, DATE(Initialisatie!$C$5,1,1)) + 1) &gt; 0,IFERROR(VALUE($G150),0)=0)
    ),
    0,
    SUM(
        IFERROR(VALUE($E150),0) * MAX(0, MIN($E$1, DATE(Initialisatie!$C$5,12,31)) - MAX($E$2, DATE(Initialisatie!$C$5,1,1)) + 1),
        IFERROR(VALUE($F150),0) * MAX(0, MIN($F$1, DATE(Initialisatie!$C$5,12,31)) - MAX($F$2, DATE(Initialisatie!$C$5,1,1)) + 1),
        IFERROR(VALUE($G150),0) * MAX(0, MIN($G$1, DATE(Initialisatie!$C$5,12,31)) - MAX($G$2, DATE(Initialisatie!$C$5,1,1)) + 1)
    ) / (DATE(Initialisatie!$C$5,12,31) - DATE(Initialisatie!$C$5,1,1) + 1)
)</f>
        <v>4987.95</v>
      </c>
    </row>
    <row r="151" spans="1:9" x14ac:dyDescent="0.45">
      <c r="A151" s="989"/>
      <c r="B151" s="35" t="s">
        <v>111</v>
      </c>
      <c r="C151" s="35">
        <v>1</v>
      </c>
      <c r="D151" s="35" t="s">
        <v>144</v>
      </c>
      <c r="E151">
        <v>4926.66</v>
      </c>
      <c r="F151">
        <v>4988.24</v>
      </c>
      <c r="G151">
        <v>5167.82</v>
      </c>
      <c r="I151">
        <f>IF(
    OR(
        AND(MAX(0, MIN($E$1, DATE(Initialisatie!$C$5,12,31)) - MAX($E$2, DATE(Initialisatie!$C$5,1,1)) + 1) &gt; 0,IFERROR(VALUE($E151),0)=0),
        AND(MAX(0, MIN($F$1, DATE(Initialisatie!$C$5,12,31)) - MAX($F$2, DATE(Initialisatie!$C$5,1,1)) + 1) &gt; 0,IFERROR(VALUE($F151),0)=0),
        AND(MAX(0, MIN($G$1, DATE(Initialisatie!$C$5,12,31)) - MAX($G$2, DATE(Initialisatie!$C$5,1,1)) + 1) &gt; 0,IFERROR(VALUE($G151),0)=0)
    ),
    0,
    SUM(
        IFERROR(VALUE($E151),0) * MAX(0, MIN($E$1, DATE(Initialisatie!$C$5,12,31)) - MAX($E$2, DATE(Initialisatie!$C$5,1,1)) + 1),
        IFERROR(VALUE($F151),0) * MAX(0, MIN($F$1, DATE(Initialisatie!$C$5,12,31)) - MAX($F$2, DATE(Initialisatie!$C$5,1,1)) + 1),
        IFERROR(VALUE($G151),0) * MAX(0, MIN($G$1, DATE(Initialisatie!$C$5,12,31)) - MAX($G$2, DATE(Initialisatie!$C$5,1,1)) + 1)
    ) / (DATE(Initialisatie!$C$5,12,31) - DATE(Initialisatie!$C$5,1,1) + 1)
)</f>
        <v>5167.82</v>
      </c>
    </row>
    <row r="152" spans="1:9" x14ac:dyDescent="0.45">
      <c r="A152" s="989"/>
      <c r="B152" s="35" t="s">
        <v>101</v>
      </c>
      <c r="C152" s="35">
        <v>2</v>
      </c>
      <c r="D152" s="35" t="s">
        <v>139</v>
      </c>
      <c r="E152">
        <v>5103.9399999999996</v>
      </c>
      <c r="F152">
        <v>5167.74</v>
      </c>
      <c r="G152">
        <v>5353.78</v>
      </c>
      <c r="I152">
        <f>IF(
    OR(
        AND(MAX(0, MIN($E$1, DATE(Initialisatie!$C$5,12,31)) - MAX($E$2, DATE(Initialisatie!$C$5,1,1)) + 1) &gt; 0,IFERROR(VALUE($E152),0)=0),
        AND(MAX(0, MIN($F$1, DATE(Initialisatie!$C$5,12,31)) - MAX($F$2, DATE(Initialisatie!$C$5,1,1)) + 1) &gt; 0,IFERROR(VALUE($F152),0)=0),
        AND(MAX(0, MIN($G$1, DATE(Initialisatie!$C$5,12,31)) - MAX($G$2, DATE(Initialisatie!$C$5,1,1)) + 1) &gt; 0,IFERROR(VALUE($G152),0)=0)
    ),
    0,
    SUM(
        IFERROR(VALUE($E152),0) * MAX(0, MIN($E$1, DATE(Initialisatie!$C$5,12,31)) - MAX($E$2, DATE(Initialisatie!$C$5,1,1)) + 1),
        IFERROR(VALUE($F152),0) * MAX(0, MIN($F$1, DATE(Initialisatie!$C$5,12,31)) - MAX($F$2, DATE(Initialisatie!$C$5,1,1)) + 1),
        IFERROR(VALUE($G152),0) * MAX(0, MIN($G$1, DATE(Initialisatie!$C$5,12,31)) - MAX($G$2, DATE(Initialisatie!$C$5,1,1)) + 1)
    ) / (DATE(Initialisatie!$C$5,12,31) - DATE(Initialisatie!$C$5,1,1) + 1)
)</f>
        <v>5353.78</v>
      </c>
    </row>
    <row r="153" spans="1:9" x14ac:dyDescent="0.45">
      <c r="A153" s="989"/>
      <c r="B153" s="35" t="s">
        <v>99</v>
      </c>
      <c r="C153" s="35">
        <v>3</v>
      </c>
      <c r="D153" s="35" t="s">
        <v>138</v>
      </c>
      <c r="E153">
        <v>5287.74</v>
      </c>
      <c r="F153">
        <v>5353.84</v>
      </c>
      <c r="G153">
        <v>5546.58</v>
      </c>
      <c r="I153">
        <f>IF(
    OR(
        AND(MAX(0, MIN($E$1, DATE(Initialisatie!$C$5,12,31)) - MAX($E$2, DATE(Initialisatie!$C$5,1,1)) + 1) &gt; 0,IFERROR(VALUE($E153),0)=0),
        AND(MAX(0, MIN($F$1, DATE(Initialisatie!$C$5,12,31)) - MAX($F$2, DATE(Initialisatie!$C$5,1,1)) + 1) &gt; 0,IFERROR(VALUE($F153),0)=0),
        AND(MAX(0, MIN($G$1, DATE(Initialisatie!$C$5,12,31)) - MAX($G$2, DATE(Initialisatie!$C$5,1,1)) + 1) &gt; 0,IFERROR(VALUE($G153),0)=0)
    ),
    0,
    SUM(
        IFERROR(VALUE($E153),0) * MAX(0, MIN($E$1, DATE(Initialisatie!$C$5,12,31)) - MAX($E$2, DATE(Initialisatie!$C$5,1,1)) + 1),
        IFERROR(VALUE($F153),0) * MAX(0, MIN($F$1, DATE(Initialisatie!$C$5,12,31)) - MAX($F$2, DATE(Initialisatie!$C$5,1,1)) + 1),
        IFERROR(VALUE($G153),0) * MAX(0, MIN($G$1, DATE(Initialisatie!$C$5,12,31)) - MAX($G$2, DATE(Initialisatie!$C$5,1,1)) + 1)
    ) / (DATE(Initialisatie!$C$5,12,31) - DATE(Initialisatie!$C$5,1,1) + 1)
)</f>
        <v>5546.58</v>
      </c>
    </row>
    <row r="154" spans="1:9" x14ac:dyDescent="0.45">
      <c r="A154" s="989"/>
      <c r="B154" s="35" t="s">
        <v>97</v>
      </c>
      <c r="C154" s="35">
        <v>4</v>
      </c>
      <c r="D154" s="35" t="s">
        <v>137</v>
      </c>
      <c r="E154">
        <v>5478.08</v>
      </c>
      <c r="F154">
        <v>5546.56</v>
      </c>
      <c r="G154">
        <v>5746.23</v>
      </c>
      <c r="I154">
        <f>IF(
    OR(
        AND(MAX(0, MIN($E$1, DATE(Initialisatie!$C$5,12,31)) - MAX($E$2, DATE(Initialisatie!$C$5,1,1)) + 1) &gt; 0,IFERROR(VALUE($E154),0)=0),
        AND(MAX(0, MIN($F$1, DATE(Initialisatie!$C$5,12,31)) - MAX($F$2, DATE(Initialisatie!$C$5,1,1)) + 1) &gt; 0,IFERROR(VALUE($F154),0)=0),
        AND(MAX(0, MIN($G$1, DATE(Initialisatie!$C$5,12,31)) - MAX($G$2, DATE(Initialisatie!$C$5,1,1)) + 1) &gt; 0,IFERROR(VALUE($G154),0)=0)
    ),
    0,
    SUM(
        IFERROR(VALUE($E154),0) * MAX(0, MIN($E$1, DATE(Initialisatie!$C$5,12,31)) - MAX($E$2, DATE(Initialisatie!$C$5,1,1)) + 1),
        IFERROR(VALUE($F154),0) * MAX(0, MIN($F$1, DATE(Initialisatie!$C$5,12,31)) - MAX($F$2, DATE(Initialisatie!$C$5,1,1)) + 1),
        IFERROR(VALUE($G154),0) * MAX(0, MIN($G$1, DATE(Initialisatie!$C$5,12,31)) - MAX($G$2, DATE(Initialisatie!$C$5,1,1)) + 1)
    ) / (DATE(Initialisatie!$C$5,12,31) - DATE(Initialisatie!$C$5,1,1) + 1)
)</f>
        <v>5746.23</v>
      </c>
    </row>
    <row r="155" spans="1:9" x14ac:dyDescent="0.45">
      <c r="A155" s="989"/>
      <c r="B155" s="35" t="s">
        <v>95</v>
      </c>
      <c r="C155" s="35">
        <v>5</v>
      </c>
      <c r="D155" s="35" t="s">
        <v>136</v>
      </c>
      <c r="E155">
        <v>5674.98</v>
      </c>
      <c r="F155">
        <v>5745.91</v>
      </c>
      <c r="G155">
        <v>5952.77</v>
      </c>
      <c r="I155">
        <f>IF(
    OR(
        AND(MAX(0, MIN($E$1, DATE(Initialisatie!$C$5,12,31)) - MAX($E$2, DATE(Initialisatie!$C$5,1,1)) + 1) &gt; 0,IFERROR(VALUE($E155),0)=0),
        AND(MAX(0, MIN($F$1, DATE(Initialisatie!$C$5,12,31)) - MAX($F$2, DATE(Initialisatie!$C$5,1,1)) + 1) &gt; 0,IFERROR(VALUE($F155),0)=0),
        AND(MAX(0, MIN($G$1, DATE(Initialisatie!$C$5,12,31)) - MAX($G$2, DATE(Initialisatie!$C$5,1,1)) + 1) &gt; 0,IFERROR(VALUE($G155),0)=0)
    ),
    0,
    SUM(
        IFERROR(VALUE($E155),0) * MAX(0, MIN($E$1, DATE(Initialisatie!$C$5,12,31)) - MAX($E$2, DATE(Initialisatie!$C$5,1,1)) + 1),
        IFERROR(VALUE($F155),0) * MAX(0, MIN($F$1, DATE(Initialisatie!$C$5,12,31)) - MAX($F$2, DATE(Initialisatie!$C$5,1,1)) + 1),
        IFERROR(VALUE($G155),0) * MAX(0, MIN($G$1, DATE(Initialisatie!$C$5,12,31)) - MAX($G$2, DATE(Initialisatie!$C$5,1,1)) + 1)
    ) / (DATE(Initialisatie!$C$5,12,31) - DATE(Initialisatie!$C$5,1,1) + 1)
)</f>
        <v>5952.77</v>
      </c>
    </row>
    <row r="156" spans="1:9" x14ac:dyDescent="0.45">
      <c r="A156" s="989"/>
      <c r="B156" s="35" t="s">
        <v>93</v>
      </c>
      <c r="C156" s="35">
        <v>6</v>
      </c>
      <c r="D156" s="35" t="s">
        <v>135</v>
      </c>
      <c r="E156">
        <v>5879.13</v>
      </c>
      <c r="F156">
        <v>5952.62</v>
      </c>
      <c r="G156">
        <v>6166.91</v>
      </c>
      <c r="I156">
        <f>IF(
    OR(
        AND(MAX(0, MIN($E$1, DATE(Initialisatie!$C$5,12,31)) - MAX($E$2, DATE(Initialisatie!$C$5,1,1)) + 1) &gt; 0,IFERROR(VALUE($E156),0)=0),
        AND(MAX(0, MIN($F$1, DATE(Initialisatie!$C$5,12,31)) - MAX($F$2, DATE(Initialisatie!$C$5,1,1)) + 1) &gt; 0,IFERROR(VALUE($F156),0)=0),
        AND(MAX(0, MIN($G$1, DATE(Initialisatie!$C$5,12,31)) - MAX($G$2, DATE(Initialisatie!$C$5,1,1)) + 1) &gt; 0,IFERROR(VALUE($G156),0)=0)
    ),
    0,
    SUM(
        IFERROR(VALUE($E156),0) * MAX(0, MIN($E$1, DATE(Initialisatie!$C$5,12,31)) - MAX($E$2, DATE(Initialisatie!$C$5,1,1)) + 1),
        IFERROR(VALUE($F156),0) * MAX(0, MIN($F$1, DATE(Initialisatie!$C$5,12,31)) - MAX($F$2, DATE(Initialisatie!$C$5,1,1)) + 1),
        IFERROR(VALUE($G156),0) * MAX(0, MIN($G$1, DATE(Initialisatie!$C$5,12,31)) - MAX($G$2, DATE(Initialisatie!$C$5,1,1)) + 1)
    ) / (DATE(Initialisatie!$C$5,12,31) - DATE(Initialisatie!$C$5,1,1) + 1)
)</f>
        <v>6166.91</v>
      </c>
    </row>
    <row r="157" spans="1:9" x14ac:dyDescent="0.45">
      <c r="A157" s="989"/>
      <c r="B157" s="35" t="s">
        <v>91</v>
      </c>
      <c r="C157" s="35">
        <v>7</v>
      </c>
      <c r="D157" s="35" t="s">
        <v>134</v>
      </c>
      <c r="E157">
        <v>6091.29</v>
      </c>
      <c r="F157">
        <v>6167.44</v>
      </c>
      <c r="G157">
        <v>6389.46</v>
      </c>
      <c r="I157">
        <f>IF(
    OR(
        AND(MAX(0, MIN($E$1, DATE(Initialisatie!$C$5,12,31)) - MAX($E$2, DATE(Initialisatie!$C$5,1,1)) + 1) &gt; 0,IFERROR(VALUE($E157),0)=0),
        AND(MAX(0, MIN($F$1, DATE(Initialisatie!$C$5,12,31)) - MAX($F$2, DATE(Initialisatie!$C$5,1,1)) + 1) &gt; 0,IFERROR(VALUE($F157),0)=0),
        AND(MAX(0, MIN($G$1, DATE(Initialisatie!$C$5,12,31)) - MAX($G$2, DATE(Initialisatie!$C$5,1,1)) + 1) &gt; 0,IFERROR(VALUE($G157),0)=0)
    ),
    0,
    SUM(
        IFERROR(VALUE($E157),0) * MAX(0, MIN($E$1, DATE(Initialisatie!$C$5,12,31)) - MAX($E$2, DATE(Initialisatie!$C$5,1,1)) + 1),
        IFERROR(VALUE($F157),0) * MAX(0, MIN($F$1, DATE(Initialisatie!$C$5,12,31)) - MAX($F$2, DATE(Initialisatie!$C$5,1,1)) + 1),
        IFERROR(VALUE($G157),0) * MAX(0, MIN($G$1, DATE(Initialisatie!$C$5,12,31)) - MAX($G$2, DATE(Initialisatie!$C$5,1,1)) + 1)
    ) / (DATE(Initialisatie!$C$5,12,31) - DATE(Initialisatie!$C$5,1,1) + 1)
)</f>
        <v>6389.46</v>
      </c>
    </row>
    <row r="158" spans="1:9" x14ac:dyDescent="0.45">
      <c r="A158" s="989"/>
      <c r="B158" s="35" t="s">
        <v>89</v>
      </c>
      <c r="C158" s="35">
        <v>8</v>
      </c>
      <c r="D158" s="35" t="s">
        <v>133</v>
      </c>
      <c r="E158">
        <v>6309.98</v>
      </c>
      <c r="F158">
        <v>6388.85</v>
      </c>
      <c r="G158">
        <v>6618.85</v>
      </c>
      <c r="I158">
        <f>IF(
    OR(
        AND(MAX(0, MIN($E$1, DATE(Initialisatie!$C$5,12,31)) - MAX($E$2, DATE(Initialisatie!$C$5,1,1)) + 1) &gt; 0,IFERROR(VALUE($E158),0)=0),
        AND(MAX(0, MIN($F$1, DATE(Initialisatie!$C$5,12,31)) - MAX($F$2, DATE(Initialisatie!$C$5,1,1)) + 1) &gt; 0,IFERROR(VALUE($F158),0)=0),
        AND(MAX(0, MIN($G$1, DATE(Initialisatie!$C$5,12,31)) - MAX($G$2, DATE(Initialisatie!$C$5,1,1)) + 1) &gt; 0,IFERROR(VALUE($G158),0)=0)
    ),
    0,
    SUM(
        IFERROR(VALUE($E158),0) * MAX(0, MIN($E$1, DATE(Initialisatie!$C$5,12,31)) - MAX($E$2, DATE(Initialisatie!$C$5,1,1)) + 1),
        IFERROR(VALUE($F158),0) * MAX(0, MIN($F$1, DATE(Initialisatie!$C$5,12,31)) - MAX($F$2, DATE(Initialisatie!$C$5,1,1)) + 1),
        IFERROR(VALUE($G158),0) * MAX(0, MIN($G$1, DATE(Initialisatie!$C$5,12,31)) - MAX($G$2, DATE(Initialisatie!$C$5,1,1)) + 1)
    ) / (DATE(Initialisatie!$C$5,12,31) - DATE(Initialisatie!$C$5,1,1) + 1)
)</f>
        <v>6618.85</v>
      </c>
    </row>
    <row r="159" spans="1:9" x14ac:dyDescent="0.45">
      <c r="A159" s="989"/>
      <c r="B159" s="35" t="s">
        <v>87</v>
      </c>
      <c r="C159" s="35">
        <v>9</v>
      </c>
      <c r="D159" s="35" t="s">
        <v>132</v>
      </c>
      <c r="E159">
        <v>6537.39</v>
      </c>
      <c r="F159">
        <v>6619.11</v>
      </c>
      <c r="G159">
        <v>6857.39</v>
      </c>
      <c r="I159">
        <f>IF(
    OR(
        AND(MAX(0, MIN($E$1, DATE(Initialisatie!$C$5,12,31)) - MAX($E$2, DATE(Initialisatie!$C$5,1,1)) + 1) &gt; 0,IFERROR(VALUE($E159),0)=0),
        AND(MAX(0, MIN($F$1, DATE(Initialisatie!$C$5,12,31)) - MAX($F$2, DATE(Initialisatie!$C$5,1,1)) + 1) &gt; 0,IFERROR(VALUE($F159),0)=0),
        AND(MAX(0, MIN($G$1, DATE(Initialisatie!$C$5,12,31)) - MAX($G$2, DATE(Initialisatie!$C$5,1,1)) + 1) &gt; 0,IFERROR(VALUE($G159),0)=0)
    ),
    0,
    SUM(
        IFERROR(VALUE($E159),0) * MAX(0, MIN($E$1, DATE(Initialisatie!$C$5,12,31)) - MAX($E$2, DATE(Initialisatie!$C$5,1,1)) + 1),
        IFERROR(VALUE($F159),0) * MAX(0, MIN($F$1, DATE(Initialisatie!$C$5,12,31)) - MAX($F$2, DATE(Initialisatie!$C$5,1,1)) + 1),
        IFERROR(VALUE($G159),0) * MAX(0, MIN($G$1, DATE(Initialisatie!$C$5,12,31)) - MAX($G$2, DATE(Initialisatie!$C$5,1,1)) + 1)
    ) / (DATE(Initialisatie!$C$5,12,31) - DATE(Initialisatie!$C$5,1,1) + 1)
)</f>
        <v>6857.39</v>
      </c>
    </row>
    <row r="160" spans="1:9" x14ac:dyDescent="0.45">
      <c r="A160" s="989"/>
      <c r="B160" s="35" t="s">
        <v>109</v>
      </c>
      <c r="C160" s="35">
        <v>10</v>
      </c>
      <c r="D160" s="35" t="s">
        <v>143</v>
      </c>
      <c r="E160">
        <v>6772.8</v>
      </c>
      <c r="F160">
        <v>6857.46</v>
      </c>
      <c r="G160">
        <v>7104.33</v>
      </c>
      <c r="I160">
        <f>IF(
    OR(
        AND(MAX(0, MIN($E$1, DATE(Initialisatie!$C$5,12,31)) - MAX($E$2, DATE(Initialisatie!$C$5,1,1)) + 1) &gt; 0,IFERROR(VALUE($E160),0)=0),
        AND(MAX(0, MIN($F$1, DATE(Initialisatie!$C$5,12,31)) - MAX($F$2, DATE(Initialisatie!$C$5,1,1)) + 1) &gt; 0,IFERROR(VALUE($F160),0)=0),
        AND(MAX(0, MIN($G$1, DATE(Initialisatie!$C$5,12,31)) - MAX($G$2, DATE(Initialisatie!$C$5,1,1)) + 1) &gt; 0,IFERROR(VALUE($G160),0)=0)
    ),
    0,
    SUM(
        IFERROR(VALUE($E160),0) * MAX(0, MIN($E$1, DATE(Initialisatie!$C$5,12,31)) - MAX($E$2, DATE(Initialisatie!$C$5,1,1)) + 1),
        IFERROR(VALUE($F160),0) * MAX(0, MIN($F$1, DATE(Initialisatie!$C$5,12,31)) - MAX($F$2, DATE(Initialisatie!$C$5,1,1)) + 1),
        IFERROR(VALUE($G160),0) * MAX(0, MIN($G$1, DATE(Initialisatie!$C$5,12,31)) - MAX($G$2, DATE(Initialisatie!$C$5,1,1)) + 1)
    ) / (DATE(Initialisatie!$C$5,12,31) - DATE(Initialisatie!$C$5,1,1) + 1)
)</f>
        <v>7104.3300000000008</v>
      </c>
    </row>
    <row r="161" spans="1:9" x14ac:dyDescent="0.45">
      <c r="A161" s="989"/>
      <c r="B161" s="35" t="s">
        <v>107</v>
      </c>
      <c r="C161" s="35">
        <v>11</v>
      </c>
      <c r="D161" s="35" t="s">
        <v>142</v>
      </c>
      <c r="E161">
        <v>7016.89</v>
      </c>
      <c r="F161">
        <v>7104.6</v>
      </c>
      <c r="G161">
        <v>7360.37</v>
      </c>
      <c r="I161">
        <f>IF(
    OR(
        AND(MAX(0, MIN($E$1, DATE(Initialisatie!$C$5,12,31)) - MAX($E$2, DATE(Initialisatie!$C$5,1,1)) + 1) &gt; 0,IFERROR(VALUE($E161),0)=0),
        AND(MAX(0, MIN($F$1, DATE(Initialisatie!$C$5,12,31)) - MAX($F$2, DATE(Initialisatie!$C$5,1,1)) + 1) &gt; 0,IFERROR(VALUE($F161),0)=0),
        AND(MAX(0, MIN($G$1, DATE(Initialisatie!$C$5,12,31)) - MAX($G$2, DATE(Initialisatie!$C$5,1,1)) + 1) &gt; 0,IFERROR(VALUE($G161),0)=0)
    ),
    0,
    SUM(
        IFERROR(VALUE($E161),0) * MAX(0, MIN($E$1, DATE(Initialisatie!$C$5,12,31)) - MAX($E$2, DATE(Initialisatie!$C$5,1,1)) + 1),
        IFERROR(VALUE($F161),0) * MAX(0, MIN($F$1, DATE(Initialisatie!$C$5,12,31)) - MAX($F$2, DATE(Initialisatie!$C$5,1,1)) + 1),
        IFERROR(VALUE($G161),0) * MAX(0, MIN($G$1, DATE(Initialisatie!$C$5,12,31)) - MAX($G$2, DATE(Initialisatie!$C$5,1,1)) + 1)
    ) / (DATE(Initialisatie!$C$5,12,31) - DATE(Initialisatie!$C$5,1,1) + 1)
)</f>
        <v>7360.37</v>
      </c>
    </row>
    <row r="162" spans="1:9" x14ac:dyDescent="0.45">
      <c r="A162" s="989"/>
      <c r="B162" s="35" t="s">
        <v>105</v>
      </c>
      <c r="C162" s="35">
        <v>12</v>
      </c>
      <c r="D162" s="35" t="s">
        <v>141</v>
      </c>
      <c r="E162">
        <v>7269.03</v>
      </c>
      <c r="F162">
        <v>7359.89</v>
      </c>
      <c r="G162">
        <v>7624.85</v>
      </c>
      <c r="I162">
        <f>IF(
    OR(
        AND(MAX(0, MIN($E$1, DATE(Initialisatie!$C$5,12,31)) - MAX($E$2, DATE(Initialisatie!$C$5,1,1)) + 1) &gt; 0,IFERROR(VALUE($E162),0)=0),
        AND(MAX(0, MIN($F$1, DATE(Initialisatie!$C$5,12,31)) - MAX($F$2, DATE(Initialisatie!$C$5,1,1)) + 1) &gt; 0,IFERROR(VALUE($F162),0)=0),
        AND(MAX(0, MIN($G$1, DATE(Initialisatie!$C$5,12,31)) - MAX($G$2, DATE(Initialisatie!$C$5,1,1)) + 1) &gt; 0,IFERROR(VALUE($G162),0)=0)
    ),
    0,
    SUM(
        IFERROR(VALUE($E162),0) * MAX(0, MIN($E$1, DATE(Initialisatie!$C$5,12,31)) - MAX($E$2, DATE(Initialisatie!$C$5,1,1)) + 1),
        IFERROR(VALUE($F162),0) * MAX(0, MIN($F$1, DATE(Initialisatie!$C$5,12,31)) - MAX($F$2, DATE(Initialisatie!$C$5,1,1)) + 1),
        IFERROR(VALUE($G162),0) * MAX(0, MIN($G$1, DATE(Initialisatie!$C$5,12,31)) - MAX($G$2, DATE(Initialisatie!$C$5,1,1)) + 1)
    ) / (DATE(Initialisatie!$C$5,12,31) - DATE(Initialisatie!$C$5,1,1) + 1)
)</f>
        <v>7624.85</v>
      </c>
    </row>
    <row r="163" spans="1:9" x14ac:dyDescent="0.45">
      <c r="A163" s="989"/>
      <c r="B163" s="35" t="s">
        <v>103</v>
      </c>
      <c r="C163" s="35">
        <v>13</v>
      </c>
      <c r="D163" s="35" t="s">
        <v>140</v>
      </c>
      <c r="E163">
        <v>7530.56</v>
      </c>
      <c r="F163">
        <v>7624.69</v>
      </c>
      <c r="G163">
        <v>7899.18</v>
      </c>
      <c r="I163">
        <f>IF(
    OR(
        AND(MAX(0, MIN($E$1, DATE(Initialisatie!$C$5,12,31)) - MAX($E$2, DATE(Initialisatie!$C$5,1,1)) + 1) &gt; 0,IFERROR(VALUE($E163),0)=0),
        AND(MAX(0, MIN($F$1, DATE(Initialisatie!$C$5,12,31)) - MAX($F$2, DATE(Initialisatie!$C$5,1,1)) + 1) &gt; 0,IFERROR(VALUE($F163),0)=0),
        AND(MAX(0, MIN($G$1, DATE(Initialisatie!$C$5,12,31)) - MAX($G$2, DATE(Initialisatie!$C$5,1,1)) + 1) &gt; 0,IFERROR(VALUE($G163),0)=0)
    ),
    0,
    SUM(
        IFERROR(VALUE($E163),0) * MAX(0, MIN($E$1, DATE(Initialisatie!$C$5,12,31)) - MAX($E$2, DATE(Initialisatie!$C$5,1,1)) + 1),
        IFERROR(VALUE($F163),0) * MAX(0, MIN($F$1, DATE(Initialisatie!$C$5,12,31)) - MAX($F$2, DATE(Initialisatie!$C$5,1,1)) + 1),
        IFERROR(VALUE($G163),0) * MAX(0, MIN($G$1, DATE(Initialisatie!$C$5,12,31)) - MAX($G$2, DATE(Initialisatie!$C$5,1,1)) + 1)
    ) / (DATE(Initialisatie!$C$5,12,31) - DATE(Initialisatie!$C$5,1,1) + 1)
)</f>
        <v>7899.18</v>
      </c>
    </row>
    <row r="164" spans="1:9" x14ac:dyDescent="0.45">
      <c r="A164" s="989"/>
      <c r="B164" s="35" t="s">
        <v>85</v>
      </c>
      <c r="C164" s="35">
        <v>14</v>
      </c>
      <c r="D164" s="35" t="s">
        <v>131</v>
      </c>
      <c r="E164">
        <v>7802.29</v>
      </c>
      <c r="F164">
        <v>7899.82</v>
      </c>
      <c r="G164">
        <v>8184.22</v>
      </c>
      <c r="I164">
        <f>IF(
    OR(
        AND(MAX(0, MIN($E$1, DATE(Initialisatie!$C$5,12,31)) - MAX($E$2, DATE(Initialisatie!$C$5,1,1)) + 1) &gt; 0,IFERROR(VALUE($E164),0)=0),
        AND(MAX(0, MIN($F$1, DATE(Initialisatie!$C$5,12,31)) - MAX($F$2, DATE(Initialisatie!$C$5,1,1)) + 1) &gt; 0,IFERROR(VALUE($F164),0)=0),
        AND(MAX(0, MIN($G$1, DATE(Initialisatie!$C$5,12,31)) - MAX($G$2, DATE(Initialisatie!$C$5,1,1)) + 1) &gt; 0,IFERROR(VALUE($G164),0)=0)
    ),
    0,
    SUM(
        IFERROR(VALUE($E164),0) * MAX(0, MIN($E$1, DATE(Initialisatie!$C$5,12,31)) - MAX($E$2, DATE(Initialisatie!$C$5,1,1)) + 1),
        IFERROR(VALUE($F164),0) * MAX(0, MIN($F$1, DATE(Initialisatie!$C$5,12,31)) - MAX($F$2, DATE(Initialisatie!$C$5,1,1)) + 1),
        IFERROR(VALUE($G164),0) * MAX(0, MIN($G$1, DATE(Initialisatie!$C$5,12,31)) - MAX($G$2, DATE(Initialisatie!$C$5,1,1)) + 1)
    ) / (DATE(Initialisatie!$C$5,12,31) - DATE(Initialisatie!$C$5,1,1) + 1)
)</f>
        <v>8184.2200000000012</v>
      </c>
    </row>
    <row r="165" spans="1:9" x14ac:dyDescent="0.45">
      <c r="A165" s="990"/>
      <c r="B165" s="35" t="s">
        <v>83</v>
      </c>
      <c r="C165" s="35">
        <v>15</v>
      </c>
      <c r="D165" s="35" t="s">
        <v>130</v>
      </c>
      <c r="E165">
        <v>8082.73</v>
      </c>
      <c r="F165">
        <v>8183.76</v>
      </c>
      <c r="G165">
        <v>8478.3799999999992</v>
      </c>
      <c r="I165">
        <f>IF(
    OR(
        AND(MAX(0, MIN($E$1, DATE(Initialisatie!$C$5,12,31)) - MAX($E$2, DATE(Initialisatie!$C$5,1,1)) + 1) &gt; 0,IFERROR(VALUE($E165),0)=0),
        AND(MAX(0, MIN($F$1, DATE(Initialisatie!$C$5,12,31)) - MAX($F$2, DATE(Initialisatie!$C$5,1,1)) + 1) &gt; 0,IFERROR(VALUE($F165),0)=0),
        AND(MAX(0, MIN($G$1, DATE(Initialisatie!$C$5,12,31)) - MAX($G$2, DATE(Initialisatie!$C$5,1,1)) + 1) &gt; 0,IFERROR(VALUE($G165),0)=0)
    ),
    0,
    SUM(
        IFERROR(VALUE($E165),0) * MAX(0, MIN($E$1, DATE(Initialisatie!$C$5,12,31)) - MAX($E$2, DATE(Initialisatie!$C$5,1,1)) + 1),
        IFERROR(VALUE($F165),0) * MAX(0, MIN($F$1, DATE(Initialisatie!$C$5,12,31)) - MAX($F$2, DATE(Initialisatie!$C$5,1,1)) + 1),
        IFERROR(VALUE($G165),0) * MAX(0, MIN($G$1, DATE(Initialisatie!$C$5,12,31)) - MAX($G$2, DATE(Initialisatie!$C$5,1,1)) + 1)
    ) / (DATE(Initialisatie!$C$5,12,31) - DATE(Initialisatie!$C$5,1,1) + 1)
)</f>
        <v>8478.3799999999992</v>
      </c>
    </row>
    <row r="166" spans="1:9" x14ac:dyDescent="0.45">
      <c r="A166" s="988">
        <v>14</v>
      </c>
      <c r="B166" s="35" t="s">
        <v>113</v>
      </c>
      <c r="C166" s="35">
        <v>0</v>
      </c>
      <c r="D166" s="35" t="s">
        <v>129</v>
      </c>
      <c r="E166">
        <v>5958.34</v>
      </c>
      <c r="F166">
        <v>6032.82</v>
      </c>
      <c r="G166">
        <v>6250</v>
      </c>
      <c r="I166">
        <f>IF(
    OR(
        AND(MAX(0, MIN($E$1, DATE(Initialisatie!$C$5,12,31)) - MAX($E$2, DATE(Initialisatie!$C$5,1,1)) + 1) &gt; 0,IFERROR(VALUE($E166),0)=0),
        AND(MAX(0, MIN($F$1, DATE(Initialisatie!$C$5,12,31)) - MAX($F$2, DATE(Initialisatie!$C$5,1,1)) + 1) &gt; 0,IFERROR(VALUE($F166),0)=0),
        AND(MAX(0, MIN($G$1, DATE(Initialisatie!$C$5,12,31)) - MAX($G$2, DATE(Initialisatie!$C$5,1,1)) + 1) &gt; 0,IFERROR(VALUE($G166),0)=0)
    ),
    0,
    SUM(
        IFERROR(VALUE($E166),0) * MAX(0, MIN($E$1, DATE(Initialisatie!$C$5,12,31)) - MAX($E$2, DATE(Initialisatie!$C$5,1,1)) + 1),
        IFERROR(VALUE($F166),0) * MAX(0, MIN($F$1, DATE(Initialisatie!$C$5,12,31)) - MAX($F$2, DATE(Initialisatie!$C$5,1,1)) + 1),
        IFERROR(VALUE($G166),0) * MAX(0, MIN($G$1, DATE(Initialisatie!$C$5,12,31)) - MAX($G$2, DATE(Initialisatie!$C$5,1,1)) + 1)
    ) / (DATE(Initialisatie!$C$5,12,31) - DATE(Initialisatie!$C$5,1,1) + 1)
)</f>
        <v>6250</v>
      </c>
    </row>
    <row r="167" spans="1:9" x14ac:dyDescent="0.45">
      <c r="A167" s="989"/>
      <c r="B167" s="35" t="s">
        <v>111</v>
      </c>
      <c r="C167" s="35">
        <v>1</v>
      </c>
      <c r="D167" s="35" t="s">
        <v>128</v>
      </c>
      <c r="E167">
        <v>6175.54</v>
      </c>
      <c r="F167">
        <v>6252.74</v>
      </c>
      <c r="G167">
        <v>6477.84</v>
      </c>
      <c r="I167">
        <f>IF(
    OR(
        AND(MAX(0, MIN($E$1, DATE(Initialisatie!$C$5,12,31)) - MAX($E$2, DATE(Initialisatie!$C$5,1,1)) + 1) &gt; 0,IFERROR(VALUE($E167),0)=0),
        AND(MAX(0, MIN($F$1, DATE(Initialisatie!$C$5,12,31)) - MAX($F$2, DATE(Initialisatie!$C$5,1,1)) + 1) &gt; 0,IFERROR(VALUE($F167),0)=0),
        AND(MAX(0, MIN($G$1, DATE(Initialisatie!$C$5,12,31)) - MAX($G$2, DATE(Initialisatie!$C$5,1,1)) + 1) &gt; 0,IFERROR(VALUE($G167),0)=0)
    ),
    0,
    SUM(
        IFERROR(VALUE($E167),0) * MAX(0, MIN($E$1, DATE(Initialisatie!$C$5,12,31)) - MAX($E$2, DATE(Initialisatie!$C$5,1,1)) + 1),
        IFERROR(VALUE($F167),0) * MAX(0, MIN($F$1, DATE(Initialisatie!$C$5,12,31)) - MAX($F$2, DATE(Initialisatie!$C$5,1,1)) + 1),
        IFERROR(VALUE($G167),0) * MAX(0, MIN($G$1, DATE(Initialisatie!$C$5,12,31)) - MAX($G$2, DATE(Initialisatie!$C$5,1,1)) + 1)
    ) / (DATE(Initialisatie!$C$5,12,31) - DATE(Initialisatie!$C$5,1,1) + 1)
)</f>
        <v>6477.84</v>
      </c>
    </row>
    <row r="168" spans="1:9" x14ac:dyDescent="0.45">
      <c r="A168" s="989"/>
      <c r="B168" s="35" t="s">
        <v>101</v>
      </c>
      <c r="C168" s="35">
        <v>2</v>
      </c>
      <c r="D168" s="35" t="s">
        <v>123</v>
      </c>
      <c r="E168">
        <v>6401.53</v>
      </c>
      <c r="F168">
        <v>6481.55</v>
      </c>
      <c r="G168">
        <v>6714.89</v>
      </c>
      <c r="I168">
        <f>IF(
    OR(
        AND(MAX(0, MIN($E$1, DATE(Initialisatie!$C$5,12,31)) - MAX($E$2, DATE(Initialisatie!$C$5,1,1)) + 1) &gt; 0,IFERROR(VALUE($E168),0)=0),
        AND(MAX(0, MIN($F$1, DATE(Initialisatie!$C$5,12,31)) - MAX($F$2, DATE(Initialisatie!$C$5,1,1)) + 1) &gt; 0,IFERROR(VALUE($F168),0)=0),
        AND(MAX(0, MIN($G$1, DATE(Initialisatie!$C$5,12,31)) - MAX($G$2, DATE(Initialisatie!$C$5,1,1)) + 1) &gt; 0,IFERROR(VALUE($G168),0)=0)
    ),
    0,
    SUM(
        IFERROR(VALUE($E168),0) * MAX(0, MIN($E$1, DATE(Initialisatie!$C$5,12,31)) - MAX($E$2, DATE(Initialisatie!$C$5,1,1)) + 1),
        IFERROR(VALUE($F168),0) * MAX(0, MIN($F$1, DATE(Initialisatie!$C$5,12,31)) - MAX($F$2, DATE(Initialisatie!$C$5,1,1)) + 1),
        IFERROR(VALUE($G168),0) * MAX(0, MIN($G$1, DATE(Initialisatie!$C$5,12,31)) - MAX($G$2, DATE(Initialisatie!$C$5,1,1)) + 1)
    ) / (DATE(Initialisatie!$C$5,12,31) - DATE(Initialisatie!$C$5,1,1) + 1)
)</f>
        <v>6714.89</v>
      </c>
    </row>
    <row r="169" spans="1:9" x14ac:dyDescent="0.45">
      <c r="A169" s="989"/>
      <c r="B169" s="35" t="s">
        <v>99</v>
      </c>
      <c r="C169" s="35">
        <v>3</v>
      </c>
      <c r="D169" s="35" t="s">
        <v>122</v>
      </c>
      <c r="E169">
        <v>6634.72</v>
      </c>
      <c r="F169">
        <v>6717.66</v>
      </c>
      <c r="G169">
        <v>6959.49</v>
      </c>
      <c r="I169">
        <f>IF(
    OR(
        AND(MAX(0, MIN($E$1, DATE(Initialisatie!$C$5,12,31)) - MAX($E$2, DATE(Initialisatie!$C$5,1,1)) + 1) &gt; 0,IFERROR(VALUE($E169),0)=0),
        AND(MAX(0, MIN($F$1, DATE(Initialisatie!$C$5,12,31)) - MAX($F$2, DATE(Initialisatie!$C$5,1,1)) + 1) &gt; 0,IFERROR(VALUE($F169),0)=0),
        AND(MAX(0, MIN($G$1, DATE(Initialisatie!$C$5,12,31)) - MAX($G$2, DATE(Initialisatie!$C$5,1,1)) + 1) &gt; 0,IFERROR(VALUE($G169),0)=0)
    ),
    0,
    SUM(
        IFERROR(VALUE($E169),0) * MAX(0, MIN($E$1, DATE(Initialisatie!$C$5,12,31)) - MAX($E$2, DATE(Initialisatie!$C$5,1,1)) + 1),
        IFERROR(VALUE($F169),0) * MAX(0, MIN($F$1, DATE(Initialisatie!$C$5,12,31)) - MAX($F$2, DATE(Initialisatie!$C$5,1,1)) + 1),
        IFERROR(VALUE($G169),0) * MAX(0, MIN($G$1, DATE(Initialisatie!$C$5,12,31)) - MAX($G$2, DATE(Initialisatie!$C$5,1,1)) + 1)
    ) / (DATE(Initialisatie!$C$5,12,31) - DATE(Initialisatie!$C$5,1,1) + 1)
)</f>
        <v>6959.4900000000007</v>
      </c>
    </row>
    <row r="170" spans="1:9" x14ac:dyDescent="0.45">
      <c r="A170" s="989"/>
      <c r="B170" s="35" t="s">
        <v>97</v>
      </c>
      <c r="C170" s="35">
        <v>4</v>
      </c>
      <c r="D170" s="35" t="s">
        <v>121</v>
      </c>
      <c r="E170">
        <v>6877.39</v>
      </c>
      <c r="F170">
        <v>6963.36</v>
      </c>
      <c r="G170">
        <v>7214.04</v>
      </c>
      <c r="I170">
        <f>IF(
    OR(
        AND(MAX(0, MIN($E$1, DATE(Initialisatie!$C$5,12,31)) - MAX($E$2, DATE(Initialisatie!$C$5,1,1)) + 1) &gt; 0,IFERROR(VALUE($E170),0)=0),
        AND(MAX(0, MIN($F$1, DATE(Initialisatie!$C$5,12,31)) - MAX($F$2, DATE(Initialisatie!$C$5,1,1)) + 1) &gt; 0,IFERROR(VALUE($F170),0)=0),
        AND(MAX(0, MIN($G$1, DATE(Initialisatie!$C$5,12,31)) - MAX($G$2, DATE(Initialisatie!$C$5,1,1)) + 1) &gt; 0,IFERROR(VALUE($G170),0)=0)
    ),
    0,
    SUM(
        IFERROR(VALUE($E170),0) * MAX(0, MIN($E$1, DATE(Initialisatie!$C$5,12,31)) - MAX($E$2, DATE(Initialisatie!$C$5,1,1)) + 1),
        IFERROR(VALUE($F170),0) * MAX(0, MIN($F$1, DATE(Initialisatie!$C$5,12,31)) - MAX($F$2, DATE(Initialisatie!$C$5,1,1)) + 1),
        IFERROR(VALUE($G170),0) * MAX(0, MIN($G$1, DATE(Initialisatie!$C$5,12,31)) - MAX($G$2, DATE(Initialisatie!$C$5,1,1)) + 1)
    ) / (DATE(Initialisatie!$C$5,12,31) - DATE(Initialisatie!$C$5,1,1) + 1)
)</f>
        <v>7214.04</v>
      </c>
    </row>
    <row r="171" spans="1:9" x14ac:dyDescent="0.45">
      <c r="A171" s="989"/>
      <c r="B171" s="35" t="s">
        <v>95</v>
      </c>
      <c r="C171" s="35">
        <v>5</v>
      </c>
      <c r="D171" s="35" t="s">
        <v>120</v>
      </c>
      <c r="E171">
        <v>7128.05</v>
      </c>
      <c r="F171">
        <v>7217.15</v>
      </c>
      <c r="G171">
        <v>7476.97</v>
      </c>
      <c r="I171">
        <f>IF(
    OR(
        AND(MAX(0, MIN($E$1, DATE(Initialisatie!$C$5,12,31)) - MAX($E$2, DATE(Initialisatie!$C$5,1,1)) + 1) &gt; 0,IFERROR(VALUE($E171),0)=0),
        AND(MAX(0, MIN($F$1, DATE(Initialisatie!$C$5,12,31)) - MAX($F$2, DATE(Initialisatie!$C$5,1,1)) + 1) &gt; 0,IFERROR(VALUE($F171),0)=0),
        AND(MAX(0, MIN($G$1, DATE(Initialisatie!$C$5,12,31)) - MAX($G$2, DATE(Initialisatie!$C$5,1,1)) + 1) &gt; 0,IFERROR(VALUE($G171),0)=0)
    ),
    0,
    SUM(
        IFERROR(VALUE($E171),0) * MAX(0, MIN($E$1, DATE(Initialisatie!$C$5,12,31)) - MAX($E$2, DATE(Initialisatie!$C$5,1,1)) + 1),
        IFERROR(VALUE($F171),0) * MAX(0, MIN($F$1, DATE(Initialisatie!$C$5,12,31)) - MAX($F$2, DATE(Initialisatie!$C$5,1,1)) + 1),
        IFERROR(VALUE($G171),0) * MAX(0, MIN($G$1, DATE(Initialisatie!$C$5,12,31)) - MAX($G$2, DATE(Initialisatie!$C$5,1,1)) + 1)
    ) / (DATE(Initialisatie!$C$5,12,31) - DATE(Initialisatie!$C$5,1,1) + 1)
)</f>
        <v>7476.9700000000012</v>
      </c>
    </row>
    <row r="172" spans="1:9" x14ac:dyDescent="0.45">
      <c r="A172" s="989"/>
      <c r="B172" s="35" t="s">
        <v>93</v>
      </c>
      <c r="C172" s="35">
        <v>6</v>
      </c>
      <c r="D172" s="35" t="s">
        <v>119</v>
      </c>
      <c r="E172">
        <v>7388.16</v>
      </c>
      <c r="F172">
        <v>7480.51</v>
      </c>
      <c r="G172">
        <v>7749.81</v>
      </c>
      <c r="I172">
        <f>IF(
    OR(
        AND(MAX(0, MIN($E$1, DATE(Initialisatie!$C$5,12,31)) - MAX($E$2, DATE(Initialisatie!$C$5,1,1)) + 1) &gt; 0,IFERROR(VALUE($E172),0)=0),
        AND(MAX(0, MIN($F$1, DATE(Initialisatie!$C$5,12,31)) - MAX($F$2, DATE(Initialisatie!$C$5,1,1)) + 1) &gt; 0,IFERROR(VALUE($F172),0)=0),
        AND(MAX(0, MIN($G$1, DATE(Initialisatie!$C$5,12,31)) - MAX($G$2, DATE(Initialisatie!$C$5,1,1)) + 1) &gt; 0,IFERROR(VALUE($G172),0)=0)
    ),
    0,
    SUM(
        IFERROR(VALUE($E172),0) * MAX(0, MIN($E$1, DATE(Initialisatie!$C$5,12,31)) - MAX($E$2, DATE(Initialisatie!$C$5,1,1)) + 1),
        IFERROR(VALUE($F172),0) * MAX(0, MIN($F$1, DATE(Initialisatie!$C$5,12,31)) - MAX($F$2, DATE(Initialisatie!$C$5,1,1)) + 1),
        IFERROR(VALUE($G172),0) * MAX(0, MIN($G$1, DATE(Initialisatie!$C$5,12,31)) - MAX($G$2, DATE(Initialisatie!$C$5,1,1)) + 1)
    ) / (DATE(Initialisatie!$C$5,12,31) - DATE(Initialisatie!$C$5,1,1) + 1)
)</f>
        <v>7749.8100000000013</v>
      </c>
    </row>
    <row r="173" spans="1:9" x14ac:dyDescent="0.45">
      <c r="A173" s="989"/>
      <c r="B173" s="35" t="s">
        <v>91</v>
      </c>
      <c r="C173" s="35">
        <v>7</v>
      </c>
      <c r="D173" s="35" t="s">
        <v>118</v>
      </c>
      <c r="E173">
        <v>7657.7</v>
      </c>
      <c r="F173">
        <v>7753.42</v>
      </c>
      <c r="G173">
        <v>8032.54</v>
      </c>
      <c r="I173">
        <f>IF(
    OR(
        AND(MAX(0, MIN($E$1, DATE(Initialisatie!$C$5,12,31)) - MAX($E$2, DATE(Initialisatie!$C$5,1,1)) + 1) &gt; 0,IFERROR(VALUE($E173),0)=0),
        AND(MAX(0, MIN($F$1, DATE(Initialisatie!$C$5,12,31)) - MAX($F$2, DATE(Initialisatie!$C$5,1,1)) + 1) &gt; 0,IFERROR(VALUE($F173),0)=0),
        AND(MAX(0, MIN($G$1, DATE(Initialisatie!$C$5,12,31)) - MAX($G$2, DATE(Initialisatie!$C$5,1,1)) + 1) &gt; 0,IFERROR(VALUE($G173),0)=0)
    ),
    0,
    SUM(
        IFERROR(VALUE($E173),0) * MAX(0, MIN($E$1, DATE(Initialisatie!$C$5,12,31)) - MAX($E$2, DATE(Initialisatie!$C$5,1,1)) + 1),
        IFERROR(VALUE($F173),0) * MAX(0, MIN($F$1, DATE(Initialisatie!$C$5,12,31)) - MAX($F$2, DATE(Initialisatie!$C$5,1,1)) + 1),
        IFERROR(VALUE($G173),0) * MAX(0, MIN($G$1, DATE(Initialisatie!$C$5,12,31)) - MAX($G$2, DATE(Initialisatie!$C$5,1,1)) + 1)
    ) / (DATE(Initialisatie!$C$5,12,31) - DATE(Initialisatie!$C$5,1,1) + 1)
)</f>
        <v>8032.54</v>
      </c>
    </row>
    <row r="174" spans="1:9" x14ac:dyDescent="0.45">
      <c r="A174" s="989"/>
      <c r="B174" s="35" t="s">
        <v>89</v>
      </c>
      <c r="C174" s="35">
        <v>8</v>
      </c>
      <c r="D174" s="35" t="s">
        <v>117</v>
      </c>
      <c r="E174">
        <v>7937.41</v>
      </c>
      <c r="F174">
        <v>8036.63</v>
      </c>
      <c r="G174">
        <v>8325.9500000000007</v>
      </c>
      <c r="I174">
        <f>IF(
    OR(
        AND(MAX(0, MIN($E$1, DATE(Initialisatie!$C$5,12,31)) - MAX($E$2, DATE(Initialisatie!$C$5,1,1)) + 1) &gt; 0,IFERROR(VALUE($E174),0)=0),
        AND(MAX(0, MIN($F$1, DATE(Initialisatie!$C$5,12,31)) - MAX($F$2, DATE(Initialisatie!$C$5,1,1)) + 1) &gt; 0,IFERROR(VALUE($F174),0)=0),
        AND(MAX(0, MIN($G$1, DATE(Initialisatie!$C$5,12,31)) - MAX($G$2, DATE(Initialisatie!$C$5,1,1)) + 1) &gt; 0,IFERROR(VALUE($G174),0)=0)
    ),
    0,
    SUM(
        IFERROR(VALUE($E174),0) * MAX(0, MIN($E$1, DATE(Initialisatie!$C$5,12,31)) - MAX($E$2, DATE(Initialisatie!$C$5,1,1)) + 1),
        IFERROR(VALUE($F174),0) * MAX(0, MIN($F$1, DATE(Initialisatie!$C$5,12,31)) - MAX($F$2, DATE(Initialisatie!$C$5,1,1)) + 1),
        IFERROR(VALUE($G174),0) * MAX(0, MIN($G$1, DATE(Initialisatie!$C$5,12,31)) - MAX($G$2, DATE(Initialisatie!$C$5,1,1)) + 1)
    ) / (DATE(Initialisatie!$C$5,12,31) - DATE(Initialisatie!$C$5,1,1) + 1)
)</f>
        <v>8325.9500000000007</v>
      </c>
    </row>
    <row r="175" spans="1:9" x14ac:dyDescent="0.45">
      <c r="A175" s="989"/>
      <c r="B175" s="35" t="s">
        <v>87</v>
      </c>
      <c r="C175" s="35">
        <v>9</v>
      </c>
      <c r="D175" s="35" t="s">
        <v>116</v>
      </c>
      <c r="E175">
        <v>8227.31</v>
      </c>
      <c r="F175">
        <v>8330.15</v>
      </c>
      <c r="G175">
        <v>8630.0400000000009</v>
      </c>
      <c r="I175">
        <f>IF(
    OR(
        AND(MAX(0, MIN($E$1, DATE(Initialisatie!$C$5,12,31)) - MAX($E$2, DATE(Initialisatie!$C$5,1,1)) + 1) &gt; 0,IFERROR(VALUE($E175),0)=0),
        AND(MAX(0, MIN($F$1, DATE(Initialisatie!$C$5,12,31)) - MAX($F$2, DATE(Initialisatie!$C$5,1,1)) + 1) &gt; 0,IFERROR(VALUE($F175),0)=0),
        AND(MAX(0, MIN($G$1, DATE(Initialisatie!$C$5,12,31)) - MAX($G$2, DATE(Initialisatie!$C$5,1,1)) + 1) &gt; 0,IFERROR(VALUE($G175),0)=0)
    ),
    0,
    SUM(
        IFERROR(VALUE($E175),0) * MAX(0, MIN($E$1, DATE(Initialisatie!$C$5,12,31)) - MAX($E$2, DATE(Initialisatie!$C$5,1,1)) + 1),
        IFERROR(VALUE($F175),0) * MAX(0, MIN($F$1, DATE(Initialisatie!$C$5,12,31)) - MAX($F$2, DATE(Initialisatie!$C$5,1,1)) + 1),
        IFERROR(VALUE($G175),0) * MAX(0, MIN($G$1, DATE(Initialisatie!$C$5,12,31)) - MAX($G$2, DATE(Initialisatie!$C$5,1,1)) + 1)
    ) / (DATE(Initialisatie!$C$5,12,31) - DATE(Initialisatie!$C$5,1,1) + 1)
)</f>
        <v>8630.0400000000009</v>
      </c>
    </row>
    <row r="176" spans="1:9" x14ac:dyDescent="0.45">
      <c r="A176" s="989"/>
      <c r="B176" s="35" t="s">
        <v>109</v>
      </c>
      <c r="C176" s="35">
        <v>10</v>
      </c>
      <c r="D176" s="35" t="s">
        <v>127</v>
      </c>
      <c r="E176">
        <v>8527.36</v>
      </c>
      <c r="F176">
        <v>8633.9500000000007</v>
      </c>
      <c r="G176">
        <v>8944.7800000000007</v>
      </c>
      <c r="I176">
        <f>IF(
    OR(
        AND(MAX(0, MIN($E$1, DATE(Initialisatie!$C$5,12,31)) - MAX($E$2, DATE(Initialisatie!$C$5,1,1)) + 1) &gt; 0,IFERROR(VALUE($E176),0)=0),
        AND(MAX(0, MIN($F$1, DATE(Initialisatie!$C$5,12,31)) - MAX($F$2, DATE(Initialisatie!$C$5,1,1)) + 1) &gt; 0,IFERROR(VALUE($F176),0)=0),
        AND(MAX(0, MIN($G$1, DATE(Initialisatie!$C$5,12,31)) - MAX($G$2, DATE(Initialisatie!$C$5,1,1)) + 1) &gt; 0,IFERROR(VALUE($G176),0)=0)
    ),
    0,
    SUM(
        IFERROR(VALUE($E176),0) * MAX(0, MIN($E$1, DATE(Initialisatie!$C$5,12,31)) - MAX($E$2, DATE(Initialisatie!$C$5,1,1)) + 1),
        IFERROR(VALUE($F176),0) * MAX(0, MIN($F$1, DATE(Initialisatie!$C$5,12,31)) - MAX($F$2, DATE(Initialisatie!$C$5,1,1)) + 1),
        IFERROR(VALUE($G176),0) * MAX(0, MIN($G$1, DATE(Initialisatie!$C$5,12,31)) - MAX($G$2, DATE(Initialisatie!$C$5,1,1)) + 1)
    ) / (DATE(Initialisatie!$C$5,12,31) - DATE(Initialisatie!$C$5,1,1) + 1)
)</f>
        <v>8944.7800000000007</v>
      </c>
    </row>
    <row r="177" spans="1:9" x14ac:dyDescent="0.45">
      <c r="A177" s="989"/>
      <c r="B177" s="35" t="s">
        <v>107</v>
      </c>
      <c r="C177" s="35">
        <v>11</v>
      </c>
      <c r="D177" s="35" t="s">
        <v>126</v>
      </c>
      <c r="E177">
        <v>8838.35</v>
      </c>
      <c r="F177">
        <v>8948.83</v>
      </c>
      <c r="G177">
        <v>9270.99</v>
      </c>
      <c r="I177">
        <f>IF(
    OR(
        AND(MAX(0, MIN($E$1, DATE(Initialisatie!$C$5,12,31)) - MAX($E$2, DATE(Initialisatie!$C$5,1,1)) + 1) &gt; 0,IFERROR(VALUE($E177),0)=0),
        AND(MAX(0, MIN($F$1, DATE(Initialisatie!$C$5,12,31)) - MAX($F$2, DATE(Initialisatie!$C$5,1,1)) + 1) &gt; 0,IFERROR(VALUE($F177),0)=0),
        AND(MAX(0, MIN($G$1, DATE(Initialisatie!$C$5,12,31)) - MAX($G$2, DATE(Initialisatie!$C$5,1,1)) + 1) &gt; 0,IFERROR(VALUE($G177),0)=0)
    ),
    0,
    SUM(
        IFERROR(VALUE($E177),0) * MAX(0, MIN($E$1, DATE(Initialisatie!$C$5,12,31)) - MAX($E$2, DATE(Initialisatie!$C$5,1,1)) + 1),
        IFERROR(VALUE($F177),0) * MAX(0, MIN($F$1, DATE(Initialisatie!$C$5,12,31)) - MAX($F$2, DATE(Initialisatie!$C$5,1,1)) + 1),
        IFERROR(VALUE($G177),0) * MAX(0, MIN($G$1, DATE(Initialisatie!$C$5,12,31)) - MAX($G$2, DATE(Initialisatie!$C$5,1,1)) + 1)
    ) / (DATE(Initialisatie!$C$5,12,31) - DATE(Initialisatie!$C$5,1,1) + 1)
)</f>
        <v>9270.99</v>
      </c>
    </row>
    <row r="178" spans="1:9" x14ac:dyDescent="0.45">
      <c r="A178" s="989"/>
      <c r="B178" s="35" t="s">
        <v>105</v>
      </c>
      <c r="C178" s="35">
        <v>12</v>
      </c>
      <c r="D178" s="35" t="s">
        <v>125</v>
      </c>
      <c r="E178">
        <v>9161.6200000000008</v>
      </c>
      <c r="F178">
        <v>9276.14</v>
      </c>
      <c r="G178">
        <v>9610.09</v>
      </c>
      <c r="I178">
        <f>IF(
    OR(
        AND(MAX(0, MIN($E$1, DATE(Initialisatie!$C$5,12,31)) - MAX($E$2, DATE(Initialisatie!$C$5,1,1)) + 1) &gt; 0,IFERROR(VALUE($E178),0)=0),
        AND(MAX(0, MIN($F$1, DATE(Initialisatie!$C$5,12,31)) - MAX($F$2, DATE(Initialisatie!$C$5,1,1)) + 1) &gt; 0,IFERROR(VALUE($F178),0)=0),
        AND(MAX(0, MIN($G$1, DATE(Initialisatie!$C$5,12,31)) - MAX($G$2, DATE(Initialisatie!$C$5,1,1)) + 1) &gt; 0,IFERROR(VALUE($G178),0)=0)
    ),
    0,
    SUM(
        IFERROR(VALUE($E178),0) * MAX(0, MIN($E$1, DATE(Initialisatie!$C$5,12,31)) - MAX($E$2, DATE(Initialisatie!$C$5,1,1)) + 1),
        IFERROR(VALUE($F178),0) * MAX(0, MIN($F$1, DATE(Initialisatie!$C$5,12,31)) - MAX($F$2, DATE(Initialisatie!$C$5,1,1)) + 1),
        IFERROR(VALUE($G178),0) * MAX(0, MIN($G$1, DATE(Initialisatie!$C$5,12,31)) - MAX($G$2, DATE(Initialisatie!$C$5,1,1)) + 1)
    ) / (DATE(Initialisatie!$C$5,12,31) - DATE(Initialisatie!$C$5,1,1) + 1)
)</f>
        <v>9610.09</v>
      </c>
    </row>
    <row r="179" spans="1:9" x14ac:dyDescent="0.45">
      <c r="A179" s="989"/>
      <c r="B179" s="35" t="s">
        <v>103</v>
      </c>
      <c r="C179" s="35">
        <v>13</v>
      </c>
      <c r="D179" s="35" t="s">
        <v>124</v>
      </c>
      <c r="E179">
        <v>9495.86</v>
      </c>
      <c r="F179">
        <v>9614.56</v>
      </c>
      <c r="G179">
        <v>9960.69</v>
      </c>
      <c r="I179">
        <f>IF(
    OR(
        AND(MAX(0, MIN($E$1, DATE(Initialisatie!$C$5,12,31)) - MAX($E$2, DATE(Initialisatie!$C$5,1,1)) + 1) &gt; 0,IFERROR(VALUE($E179),0)=0),
        AND(MAX(0, MIN($F$1, DATE(Initialisatie!$C$5,12,31)) - MAX($F$2, DATE(Initialisatie!$C$5,1,1)) + 1) &gt; 0,IFERROR(VALUE($F179),0)=0),
        AND(MAX(0, MIN($G$1, DATE(Initialisatie!$C$5,12,31)) - MAX($G$2, DATE(Initialisatie!$C$5,1,1)) + 1) &gt; 0,IFERROR(VALUE($G179),0)=0)
    ),
    0,
    SUM(
        IFERROR(VALUE($E179),0) * MAX(0, MIN($E$1, DATE(Initialisatie!$C$5,12,31)) - MAX($E$2, DATE(Initialisatie!$C$5,1,1)) + 1),
        IFERROR(VALUE($F179),0) * MAX(0, MIN($F$1, DATE(Initialisatie!$C$5,12,31)) - MAX($F$2, DATE(Initialisatie!$C$5,1,1)) + 1),
        IFERROR(VALUE($G179),0) * MAX(0, MIN($G$1, DATE(Initialisatie!$C$5,12,31)) - MAX($G$2, DATE(Initialisatie!$C$5,1,1)) + 1)
    ) / (DATE(Initialisatie!$C$5,12,31) - DATE(Initialisatie!$C$5,1,1) + 1)
)</f>
        <v>9960.69</v>
      </c>
    </row>
    <row r="180" spans="1:9" x14ac:dyDescent="0.45">
      <c r="A180" s="989"/>
      <c r="B180" s="35" t="s">
        <v>85</v>
      </c>
      <c r="C180" s="35">
        <v>14</v>
      </c>
      <c r="D180" s="35" t="s">
        <v>115</v>
      </c>
      <c r="E180">
        <v>0</v>
      </c>
      <c r="F180">
        <v>0</v>
      </c>
      <c r="G180">
        <v>0</v>
      </c>
      <c r="I180">
        <f>IF(
    OR(
        AND(MAX(0, MIN($E$1, DATE(Initialisatie!$C$5,12,31)) - MAX($E$2, DATE(Initialisatie!$C$5,1,1)) + 1) &gt; 0,IFERROR(VALUE($E180),0)=0),
        AND(MAX(0, MIN($F$1, DATE(Initialisatie!$C$5,12,31)) - MAX($F$2, DATE(Initialisatie!$C$5,1,1)) + 1) &gt; 0,IFERROR(VALUE($F180),0)=0),
        AND(MAX(0, MIN($G$1, DATE(Initialisatie!$C$5,12,31)) - MAX($G$2, DATE(Initialisatie!$C$5,1,1)) + 1) &gt; 0,IFERROR(VALUE($G180),0)=0)
    ),
    0,
    SUM(
        IFERROR(VALUE($E180),0) * MAX(0, MIN($E$1, DATE(Initialisatie!$C$5,12,31)) - MAX($E$2, DATE(Initialisatie!$C$5,1,1)) + 1),
        IFERROR(VALUE($F180),0) * MAX(0, MIN($F$1, DATE(Initialisatie!$C$5,12,31)) - MAX($F$2, DATE(Initialisatie!$C$5,1,1)) + 1),
        IFERROR(VALUE($G180),0) * MAX(0, MIN($G$1, DATE(Initialisatie!$C$5,12,31)) - MAX($G$2, DATE(Initialisatie!$C$5,1,1)) + 1)
    ) / (DATE(Initialisatie!$C$5,12,31) - DATE(Initialisatie!$C$5,1,1) + 1)
)</f>
        <v>0</v>
      </c>
    </row>
    <row r="181" spans="1:9" x14ac:dyDescent="0.45">
      <c r="A181" s="990"/>
      <c r="B181" s="35" t="s">
        <v>83</v>
      </c>
      <c r="C181" s="35">
        <v>15</v>
      </c>
      <c r="D181" s="35" t="s">
        <v>114</v>
      </c>
      <c r="E181">
        <v>0</v>
      </c>
      <c r="F181">
        <v>0</v>
      </c>
      <c r="G181">
        <v>0</v>
      </c>
      <c r="I181">
        <f>IF(
    OR(
        AND(MAX(0, MIN($E$1, DATE(Initialisatie!$C$5,12,31)) - MAX($E$2, DATE(Initialisatie!$C$5,1,1)) + 1) &gt; 0,IFERROR(VALUE($E181),0)=0),
        AND(MAX(0, MIN($F$1, DATE(Initialisatie!$C$5,12,31)) - MAX($F$2, DATE(Initialisatie!$C$5,1,1)) + 1) &gt; 0,IFERROR(VALUE($F181),0)=0),
        AND(MAX(0, MIN($G$1, DATE(Initialisatie!$C$5,12,31)) - MAX($G$2, DATE(Initialisatie!$C$5,1,1)) + 1) &gt; 0,IFERROR(VALUE($G181),0)=0)
    ),
    0,
    SUM(
        IFERROR(VALUE($E181),0) * MAX(0, MIN($E$1, DATE(Initialisatie!$C$5,12,31)) - MAX($E$2, DATE(Initialisatie!$C$5,1,1)) + 1),
        IFERROR(VALUE($F181),0) * MAX(0, MIN($F$1, DATE(Initialisatie!$C$5,12,31)) - MAX($F$2, DATE(Initialisatie!$C$5,1,1)) + 1),
        IFERROR(VALUE($G181),0) * MAX(0, MIN($G$1, DATE(Initialisatie!$C$5,12,31)) - MAX($G$2, DATE(Initialisatie!$C$5,1,1)) + 1)
    ) / (DATE(Initialisatie!$C$5,12,31) - DATE(Initialisatie!$C$5,1,1) + 1)
)</f>
        <v>0</v>
      </c>
    </row>
    <row r="182" spans="1:9" x14ac:dyDescent="0.45">
      <c r="A182" s="988">
        <v>15</v>
      </c>
      <c r="B182" s="35" t="s">
        <v>113</v>
      </c>
      <c r="C182" s="35">
        <v>0</v>
      </c>
      <c r="D182" s="35" t="s">
        <v>112</v>
      </c>
      <c r="E182">
        <v>6923.9</v>
      </c>
      <c r="F182">
        <v>7010.45</v>
      </c>
      <c r="G182">
        <v>7262.83</v>
      </c>
      <c r="I182">
        <f>IF(
    OR(
        AND(MAX(0, MIN($E$1, DATE(Initialisatie!$C$5,12,31)) - MAX($E$2, DATE(Initialisatie!$C$5,1,1)) + 1) &gt; 0,IFERROR(VALUE($E182),0)=0),
        AND(MAX(0, MIN($F$1, DATE(Initialisatie!$C$5,12,31)) - MAX($F$2, DATE(Initialisatie!$C$5,1,1)) + 1) &gt; 0,IFERROR(VALUE($F182),0)=0),
        AND(MAX(0, MIN($G$1, DATE(Initialisatie!$C$5,12,31)) - MAX($G$2, DATE(Initialisatie!$C$5,1,1)) + 1) &gt; 0,IFERROR(VALUE($G182),0)=0)
    ),
    0,
    SUM(
        IFERROR(VALUE($E182),0) * MAX(0, MIN($E$1, DATE(Initialisatie!$C$5,12,31)) - MAX($E$2, DATE(Initialisatie!$C$5,1,1)) + 1),
        IFERROR(VALUE($F182),0) * MAX(0, MIN($F$1, DATE(Initialisatie!$C$5,12,31)) - MAX($F$2, DATE(Initialisatie!$C$5,1,1)) + 1),
        IFERROR(VALUE($G182),0) * MAX(0, MIN($G$1, DATE(Initialisatie!$C$5,12,31)) - MAX($G$2, DATE(Initialisatie!$C$5,1,1)) + 1)
    ) / (DATE(Initialisatie!$C$5,12,31) - DATE(Initialisatie!$C$5,1,1) + 1)
)</f>
        <v>7262.8300000000008</v>
      </c>
    </row>
    <row r="183" spans="1:9" x14ac:dyDescent="0.45">
      <c r="A183" s="989"/>
      <c r="B183" s="35" t="s">
        <v>111</v>
      </c>
      <c r="C183" s="35">
        <v>1</v>
      </c>
      <c r="D183" s="35" t="s">
        <v>110</v>
      </c>
      <c r="E183">
        <v>7180.38</v>
      </c>
      <c r="F183">
        <v>7270.13</v>
      </c>
      <c r="G183">
        <v>7531.86</v>
      </c>
      <c r="I183">
        <f>IF(
    OR(
        AND(MAX(0, MIN($E$1, DATE(Initialisatie!$C$5,12,31)) - MAX($E$2, DATE(Initialisatie!$C$5,1,1)) + 1) &gt; 0,IFERROR(VALUE($E183),0)=0),
        AND(MAX(0, MIN($F$1, DATE(Initialisatie!$C$5,12,31)) - MAX($F$2, DATE(Initialisatie!$C$5,1,1)) + 1) &gt; 0,IFERROR(VALUE($F183),0)=0),
        AND(MAX(0, MIN($G$1, DATE(Initialisatie!$C$5,12,31)) - MAX($G$2, DATE(Initialisatie!$C$5,1,1)) + 1) &gt; 0,IFERROR(VALUE($G183),0)=0)
    ),
    0,
    SUM(
        IFERROR(VALUE($E183),0) * MAX(0, MIN($E$1, DATE(Initialisatie!$C$5,12,31)) - MAX($E$2, DATE(Initialisatie!$C$5,1,1)) + 1),
        IFERROR(VALUE($F183),0) * MAX(0, MIN($F$1, DATE(Initialisatie!$C$5,12,31)) - MAX($F$2, DATE(Initialisatie!$C$5,1,1)) + 1),
        IFERROR(VALUE($G183),0) * MAX(0, MIN($G$1, DATE(Initialisatie!$C$5,12,31)) - MAX($G$2, DATE(Initialisatie!$C$5,1,1)) + 1)
    ) / (DATE(Initialisatie!$C$5,12,31) - DATE(Initialisatie!$C$5,1,1) + 1)
)</f>
        <v>7531.86</v>
      </c>
    </row>
    <row r="184" spans="1:9" x14ac:dyDescent="0.45">
      <c r="A184" s="989"/>
      <c r="B184" s="35" t="s">
        <v>101</v>
      </c>
      <c r="C184" s="35">
        <v>2</v>
      </c>
      <c r="D184" s="35" t="s">
        <v>100</v>
      </c>
      <c r="E184">
        <v>7445.56</v>
      </c>
      <c r="F184">
        <v>7538.63</v>
      </c>
      <c r="G184">
        <v>7810.02</v>
      </c>
      <c r="I184">
        <f>IF(
    OR(
        AND(MAX(0, MIN($E$1, DATE(Initialisatie!$C$5,12,31)) - MAX($E$2, DATE(Initialisatie!$C$5,1,1)) + 1) &gt; 0,IFERROR(VALUE($E184),0)=0),
        AND(MAX(0, MIN($F$1, DATE(Initialisatie!$C$5,12,31)) - MAX($F$2, DATE(Initialisatie!$C$5,1,1)) + 1) &gt; 0,IFERROR(VALUE($F184),0)=0),
        AND(MAX(0, MIN($G$1, DATE(Initialisatie!$C$5,12,31)) - MAX($G$2, DATE(Initialisatie!$C$5,1,1)) + 1) &gt; 0,IFERROR(VALUE($G184),0)=0)
    ),
    0,
    SUM(
        IFERROR(VALUE($E184),0) * MAX(0, MIN($E$1, DATE(Initialisatie!$C$5,12,31)) - MAX($E$2, DATE(Initialisatie!$C$5,1,1)) + 1),
        IFERROR(VALUE($F184),0) * MAX(0, MIN($F$1, DATE(Initialisatie!$C$5,12,31)) - MAX($F$2, DATE(Initialisatie!$C$5,1,1)) + 1),
        IFERROR(VALUE($G184),0) * MAX(0, MIN($G$1, DATE(Initialisatie!$C$5,12,31)) - MAX($G$2, DATE(Initialisatie!$C$5,1,1)) + 1)
    ) / (DATE(Initialisatie!$C$5,12,31) - DATE(Initialisatie!$C$5,1,1) + 1)
)</f>
        <v>7810.02</v>
      </c>
    </row>
    <row r="185" spans="1:9" x14ac:dyDescent="0.45">
      <c r="A185" s="989"/>
      <c r="B185" s="35" t="s">
        <v>99</v>
      </c>
      <c r="C185" s="35">
        <v>3</v>
      </c>
      <c r="D185" s="35" t="s">
        <v>98</v>
      </c>
      <c r="E185">
        <v>7720.9</v>
      </c>
      <c r="F185">
        <v>7817.41</v>
      </c>
      <c r="G185">
        <v>8098.84</v>
      </c>
      <c r="I185">
        <f>IF(
    OR(
        AND(MAX(0, MIN($E$1, DATE(Initialisatie!$C$5,12,31)) - MAX($E$2, DATE(Initialisatie!$C$5,1,1)) + 1) &gt; 0,IFERROR(VALUE($E185),0)=0),
        AND(MAX(0, MIN($F$1, DATE(Initialisatie!$C$5,12,31)) - MAX($F$2, DATE(Initialisatie!$C$5,1,1)) + 1) &gt; 0,IFERROR(VALUE($F185),0)=0),
        AND(MAX(0, MIN($G$1, DATE(Initialisatie!$C$5,12,31)) - MAX($G$2, DATE(Initialisatie!$C$5,1,1)) + 1) &gt; 0,IFERROR(VALUE($G185),0)=0)
    ),
    0,
    SUM(
        IFERROR(VALUE($E185),0) * MAX(0, MIN($E$1, DATE(Initialisatie!$C$5,12,31)) - MAX($E$2, DATE(Initialisatie!$C$5,1,1)) + 1),
        IFERROR(VALUE($F185),0) * MAX(0, MIN($F$1, DATE(Initialisatie!$C$5,12,31)) - MAX($F$2, DATE(Initialisatie!$C$5,1,1)) + 1),
        IFERROR(VALUE($G185),0) * MAX(0, MIN($G$1, DATE(Initialisatie!$C$5,12,31)) - MAX($G$2, DATE(Initialisatie!$C$5,1,1)) + 1)
    ) / (DATE(Initialisatie!$C$5,12,31) - DATE(Initialisatie!$C$5,1,1) + 1)
)</f>
        <v>8098.84</v>
      </c>
    </row>
    <row r="186" spans="1:9" x14ac:dyDescent="0.45">
      <c r="A186" s="989"/>
      <c r="B186" s="35" t="s">
        <v>97</v>
      </c>
      <c r="C186" s="35">
        <v>4</v>
      </c>
      <c r="D186" s="35" t="s">
        <v>96</v>
      </c>
      <c r="E186">
        <v>8007.15</v>
      </c>
      <c r="F186">
        <v>8107.24</v>
      </c>
      <c r="G186">
        <v>8399.1</v>
      </c>
      <c r="I186">
        <f>IF(
    OR(
        AND(MAX(0, MIN($E$1, DATE(Initialisatie!$C$5,12,31)) - MAX($E$2, DATE(Initialisatie!$C$5,1,1)) + 1) &gt; 0,IFERROR(VALUE($E186),0)=0),
        AND(MAX(0, MIN($F$1, DATE(Initialisatie!$C$5,12,31)) - MAX($F$2, DATE(Initialisatie!$C$5,1,1)) + 1) &gt; 0,IFERROR(VALUE($F186),0)=0),
        AND(MAX(0, MIN($G$1, DATE(Initialisatie!$C$5,12,31)) - MAX($G$2, DATE(Initialisatie!$C$5,1,1)) + 1) &gt; 0,IFERROR(VALUE($G186),0)=0)
    ),
    0,
    SUM(
        IFERROR(VALUE($E186),0) * MAX(0, MIN($E$1, DATE(Initialisatie!$C$5,12,31)) - MAX($E$2, DATE(Initialisatie!$C$5,1,1)) + 1),
        IFERROR(VALUE($F186),0) * MAX(0, MIN($F$1, DATE(Initialisatie!$C$5,12,31)) - MAX($F$2, DATE(Initialisatie!$C$5,1,1)) + 1),
        IFERROR(VALUE($G186),0) * MAX(0, MIN($G$1, DATE(Initialisatie!$C$5,12,31)) - MAX($G$2, DATE(Initialisatie!$C$5,1,1)) + 1)
    ) / (DATE(Initialisatie!$C$5,12,31) - DATE(Initialisatie!$C$5,1,1) + 1)
)</f>
        <v>8399.1</v>
      </c>
    </row>
    <row r="187" spans="1:9" x14ac:dyDescent="0.45">
      <c r="A187" s="989"/>
      <c r="B187" s="35" t="s">
        <v>95</v>
      </c>
      <c r="C187" s="35">
        <v>5</v>
      </c>
      <c r="D187" s="35" t="s">
        <v>94</v>
      </c>
      <c r="E187">
        <v>8302.8700000000008</v>
      </c>
      <c r="F187">
        <v>8406.66</v>
      </c>
      <c r="G187">
        <v>8709.2999999999993</v>
      </c>
      <c r="I187">
        <f>IF(
    OR(
        AND(MAX(0, MIN($E$1, DATE(Initialisatie!$C$5,12,31)) - MAX($E$2, DATE(Initialisatie!$C$5,1,1)) + 1) &gt; 0,IFERROR(VALUE($E187),0)=0),
        AND(MAX(0, MIN($F$1, DATE(Initialisatie!$C$5,12,31)) - MAX($F$2, DATE(Initialisatie!$C$5,1,1)) + 1) &gt; 0,IFERROR(VALUE($F187),0)=0),
        AND(MAX(0, MIN($G$1, DATE(Initialisatie!$C$5,12,31)) - MAX($G$2, DATE(Initialisatie!$C$5,1,1)) + 1) &gt; 0,IFERROR(VALUE($G187),0)=0)
    ),
    0,
    SUM(
        IFERROR(VALUE($E187),0) * MAX(0, MIN($E$1, DATE(Initialisatie!$C$5,12,31)) - MAX($E$2, DATE(Initialisatie!$C$5,1,1)) + 1),
        IFERROR(VALUE($F187),0) * MAX(0, MIN($F$1, DATE(Initialisatie!$C$5,12,31)) - MAX($F$2, DATE(Initialisatie!$C$5,1,1)) + 1),
        IFERROR(VALUE($G187),0) * MAX(0, MIN($G$1, DATE(Initialisatie!$C$5,12,31)) - MAX($G$2, DATE(Initialisatie!$C$5,1,1)) + 1)
    ) / (DATE(Initialisatie!$C$5,12,31) - DATE(Initialisatie!$C$5,1,1) + 1)
)</f>
        <v>8709.2999999999993</v>
      </c>
    </row>
    <row r="188" spans="1:9" x14ac:dyDescent="0.45">
      <c r="A188" s="989"/>
      <c r="B188" s="35" t="s">
        <v>93</v>
      </c>
      <c r="C188" s="35">
        <v>6</v>
      </c>
      <c r="D188" s="35" t="s">
        <v>92</v>
      </c>
      <c r="E188">
        <v>8610.19</v>
      </c>
      <c r="F188">
        <v>8717.82</v>
      </c>
      <c r="G188">
        <v>9031.66</v>
      </c>
      <c r="I188">
        <f>IF(
    OR(
        AND(MAX(0, MIN($E$1, DATE(Initialisatie!$C$5,12,31)) - MAX($E$2, DATE(Initialisatie!$C$5,1,1)) + 1) &gt; 0,IFERROR(VALUE($E188),0)=0),
        AND(MAX(0, MIN($F$1, DATE(Initialisatie!$C$5,12,31)) - MAX($F$2, DATE(Initialisatie!$C$5,1,1)) + 1) &gt; 0,IFERROR(VALUE($F188),0)=0),
        AND(MAX(0, MIN($G$1, DATE(Initialisatie!$C$5,12,31)) - MAX($G$2, DATE(Initialisatie!$C$5,1,1)) + 1) &gt; 0,IFERROR(VALUE($G188),0)=0)
    ),
    0,
    SUM(
        IFERROR(VALUE($E188),0) * MAX(0, MIN($E$1, DATE(Initialisatie!$C$5,12,31)) - MAX($E$2, DATE(Initialisatie!$C$5,1,1)) + 1),
        IFERROR(VALUE($F188),0) * MAX(0, MIN($F$1, DATE(Initialisatie!$C$5,12,31)) - MAX($F$2, DATE(Initialisatie!$C$5,1,1)) + 1),
        IFERROR(VALUE($G188),0) * MAX(0, MIN($G$1, DATE(Initialisatie!$C$5,12,31)) - MAX($G$2, DATE(Initialisatie!$C$5,1,1)) + 1)
    ) / (DATE(Initialisatie!$C$5,12,31) - DATE(Initialisatie!$C$5,1,1) + 1)
)</f>
        <v>9031.66</v>
      </c>
    </row>
    <row r="189" spans="1:9" x14ac:dyDescent="0.45">
      <c r="A189" s="989"/>
      <c r="B189" s="35" t="s">
        <v>91</v>
      </c>
      <c r="C189" s="35">
        <v>7</v>
      </c>
      <c r="D189" s="35" t="s">
        <v>90</v>
      </c>
      <c r="E189">
        <v>8929.16</v>
      </c>
      <c r="F189">
        <v>9040.77</v>
      </c>
      <c r="G189">
        <v>9366.24</v>
      </c>
      <c r="I189">
        <f>IF(
    OR(
        AND(MAX(0, MIN($E$1, DATE(Initialisatie!$C$5,12,31)) - MAX($E$2, DATE(Initialisatie!$C$5,1,1)) + 1) &gt; 0,IFERROR(VALUE($E189),0)=0),
        AND(MAX(0, MIN($F$1, DATE(Initialisatie!$C$5,12,31)) - MAX($F$2, DATE(Initialisatie!$C$5,1,1)) + 1) &gt; 0,IFERROR(VALUE($F189),0)=0),
        AND(MAX(0, MIN($G$1, DATE(Initialisatie!$C$5,12,31)) - MAX($G$2, DATE(Initialisatie!$C$5,1,1)) + 1) &gt; 0,IFERROR(VALUE($G189),0)=0)
    ),
    0,
    SUM(
        IFERROR(VALUE($E189),0) * MAX(0, MIN($E$1, DATE(Initialisatie!$C$5,12,31)) - MAX($E$2, DATE(Initialisatie!$C$5,1,1)) + 1),
        IFERROR(VALUE($F189),0) * MAX(0, MIN($F$1, DATE(Initialisatie!$C$5,12,31)) - MAX($F$2, DATE(Initialisatie!$C$5,1,1)) + 1),
        IFERROR(VALUE($G189),0) * MAX(0, MIN($G$1, DATE(Initialisatie!$C$5,12,31)) - MAX($G$2, DATE(Initialisatie!$C$5,1,1)) + 1)
    ) / (DATE(Initialisatie!$C$5,12,31) - DATE(Initialisatie!$C$5,1,1) + 1)
)</f>
        <v>9366.24</v>
      </c>
    </row>
    <row r="190" spans="1:9" x14ac:dyDescent="0.45">
      <c r="A190" s="989"/>
      <c r="B190" s="35" t="s">
        <v>89</v>
      </c>
      <c r="C190" s="35">
        <v>8</v>
      </c>
      <c r="D190" s="35" t="s">
        <v>88</v>
      </c>
      <c r="E190">
        <v>9259.7099999999991</v>
      </c>
      <c r="F190">
        <v>9375.4599999999991</v>
      </c>
      <c r="G190">
        <v>9712.9699999999993</v>
      </c>
      <c r="I190">
        <f>IF(
    OR(
        AND(MAX(0, MIN($E$1, DATE(Initialisatie!$C$5,12,31)) - MAX($E$2, DATE(Initialisatie!$C$5,1,1)) + 1) &gt; 0,IFERROR(VALUE($E190),0)=0),
        AND(MAX(0, MIN($F$1, DATE(Initialisatie!$C$5,12,31)) - MAX($F$2, DATE(Initialisatie!$C$5,1,1)) + 1) &gt; 0,IFERROR(VALUE($F190),0)=0),
        AND(MAX(0, MIN($G$1, DATE(Initialisatie!$C$5,12,31)) - MAX($G$2, DATE(Initialisatie!$C$5,1,1)) + 1) &gt; 0,IFERROR(VALUE($G190),0)=0)
    ),
    0,
    SUM(
        IFERROR(VALUE($E190),0) * MAX(0, MIN($E$1, DATE(Initialisatie!$C$5,12,31)) - MAX($E$2, DATE(Initialisatie!$C$5,1,1)) + 1),
        IFERROR(VALUE($F190),0) * MAX(0, MIN($F$1, DATE(Initialisatie!$C$5,12,31)) - MAX($F$2, DATE(Initialisatie!$C$5,1,1)) + 1),
        IFERROR(VALUE($G190),0) * MAX(0, MIN($G$1, DATE(Initialisatie!$C$5,12,31)) - MAX($G$2, DATE(Initialisatie!$C$5,1,1)) + 1)
    ) / (DATE(Initialisatie!$C$5,12,31) - DATE(Initialisatie!$C$5,1,1) + 1)
)</f>
        <v>9712.9699999999993</v>
      </c>
    </row>
    <row r="191" spans="1:9" x14ac:dyDescent="0.45">
      <c r="A191" s="989"/>
      <c r="B191" s="35" t="s">
        <v>87</v>
      </c>
      <c r="C191" s="35">
        <v>9</v>
      </c>
      <c r="D191" s="35" t="s">
        <v>86</v>
      </c>
      <c r="E191">
        <v>9601.91</v>
      </c>
      <c r="F191">
        <v>9721.94</v>
      </c>
      <c r="G191">
        <v>10071.93</v>
      </c>
      <c r="I191">
        <f>IF(
    OR(
        AND(MAX(0, MIN($E$1, DATE(Initialisatie!$C$5,12,31)) - MAX($E$2, DATE(Initialisatie!$C$5,1,1)) + 1) &gt; 0,IFERROR(VALUE($E191),0)=0),
        AND(MAX(0, MIN($F$1, DATE(Initialisatie!$C$5,12,31)) - MAX($F$2, DATE(Initialisatie!$C$5,1,1)) + 1) &gt; 0,IFERROR(VALUE($F191),0)=0),
        AND(MAX(0, MIN($G$1, DATE(Initialisatie!$C$5,12,31)) - MAX($G$2, DATE(Initialisatie!$C$5,1,1)) + 1) &gt; 0,IFERROR(VALUE($G191),0)=0)
    ),
    0,
    SUM(
        IFERROR(VALUE($E191),0) * MAX(0, MIN($E$1, DATE(Initialisatie!$C$5,12,31)) - MAX($E$2, DATE(Initialisatie!$C$5,1,1)) + 1),
        IFERROR(VALUE($F191),0) * MAX(0, MIN($F$1, DATE(Initialisatie!$C$5,12,31)) - MAX($F$2, DATE(Initialisatie!$C$5,1,1)) + 1),
        IFERROR(VALUE($G191),0) * MAX(0, MIN($G$1, DATE(Initialisatie!$C$5,12,31)) - MAX($G$2, DATE(Initialisatie!$C$5,1,1)) + 1)
    ) / (DATE(Initialisatie!$C$5,12,31) - DATE(Initialisatie!$C$5,1,1) + 1)
)</f>
        <v>10071.93</v>
      </c>
    </row>
    <row r="192" spans="1:9" x14ac:dyDescent="0.45">
      <c r="A192" s="989"/>
      <c r="B192" s="35" t="s">
        <v>109</v>
      </c>
      <c r="C192" s="35">
        <v>10</v>
      </c>
      <c r="D192" s="35" t="s">
        <v>108</v>
      </c>
      <c r="E192">
        <v>9957.19</v>
      </c>
      <c r="F192">
        <v>10081.65</v>
      </c>
      <c r="G192">
        <v>10444.59</v>
      </c>
      <c r="I192">
        <f>IF(
    OR(
        AND(MAX(0, MIN($E$1, DATE(Initialisatie!$C$5,12,31)) - MAX($E$2, DATE(Initialisatie!$C$5,1,1)) + 1) &gt; 0,IFERROR(VALUE($E192),0)=0),
        AND(MAX(0, MIN($F$1, DATE(Initialisatie!$C$5,12,31)) - MAX($F$2, DATE(Initialisatie!$C$5,1,1)) + 1) &gt; 0,IFERROR(VALUE($F192),0)=0),
        AND(MAX(0, MIN($G$1, DATE(Initialisatie!$C$5,12,31)) - MAX($G$2, DATE(Initialisatie!$C$5,1,1)) + 1) &gt; 0,IFERROR(VALUE($G192),0)=0)
    ),
    0,
    SUM(
        IFERROR(VALUE($E192),0) * MAX(0, MIN($E$1, DATE(Initialisatie!$C$5,12,31)) - MAX($E$2, DATE(Initialisatie!$C$5,1,1)) + 1),
        IFERROR(VALUE($F192),0) * MAX(0, MIN($F$1, DATE(Initialisatie!$C$5,12,31)) - MAX($F$2, DATE(Initialisatie!$C$5,1,1)) + 1),
        IFERROR(VALUE($G192),0) * MAX(0, MIN($G$1, DATE(Initialisatie!$C$5,12,31)) - MAX($G$2, DATE(Initialisatie!$C$5,1,1)) + 1)
    ) / (DATE(Initialisatie!$C$5,12,31) - DATE(Initialisatie!$C$5,1,1) + 1)
)</f>
        <v>10444.59</v>
      </c>
    </row>
    <row r="193" spans="1:9" x14ac:dyDescent="0.45">
      <c r="A193" s="989"/>
      <c r="B193" s="35" t="s">
        <v>107</v>
      </c>
      <c r="C193" s="35">
        <v>11</v>
      </c>
      <c r="D193" s="35" t="s">
        <v>106</v>
      </c>
      <c r="E193">
        <v>10325.56</v>
      </c>
      <c r="F193">
        <v>10454.629999999999</v>
      </c>
      <c r="G193">
        <v>10831</v>
      </c>
      <c r="I193">
        <f>IF(
    OR(
        AND(MAX(0, MIN($E$1, DATE(Initialisatie!$C$5,12,31)) - MAX($E$2, DATE(Initialisatie!$C$5,1,1)) + 1) &gt; 0,IFERROR(VALUE($E193),0)=0),
        AND(MAX(0, MIN($F$1, DATE(Initialisatie!$C$5,12,31)) - MAX($F$2, DATE(Initialisatie!$C$5,1,1)) + 1) &gt; 0,IFERROR(VALUE($F193),0)=0),
        AND(MAX(0, MIN($G$1, DATE(Initialisatie!$C$5,12,31)) - MAX($G$2, DATE(Initialisatie!$C$5,1,1)) + 1) &gt; 0,IFERROR(VALUE($G193),0)=0)
    ),
    0,
    SUM(
        IFERROR(VALUE($E193),0) * MAX(0, MIN($E$1, DATE(Initialisatie!$C$5,12,31)) - MAX($E$2, DATE(Initialisatie!$C$5,1,1)) + 1),
        IFERROR(VALUE($F193),0) * MAX(0, MIN($F$1, DATE(Initialisatie!$C$5,12,31)) - MAX($F$2, DATE(Initialisatie!$C$5,1,1)) + 1),
        IFERROR(VALUE($G193),0) * MAX(0, MIN($G$1, DATE(Initialisatie!$C$5,12,31)) - MAX($G$2, DATE(Initialisatie!$C$5,1,1)) + 1)
    ) / (DATE(Initialisatie!$C$5,12,31) - DATE(Initialisatie!$C$5,1,1) + 1)
)</f>
        <v>10831</v>
      </c>
    </row>
    <row r="194" spans="1:9" x14ac:dyDescent="0.45">
      <c r="A194" s="989"/>
      <c r="B194" s="35" t="s">
        <v>105</v>
      </c>
      <c r="C194" s="35">
        <v>12</v>
      </c>
      <c r="D194" s="35" t="s">
        <v>104</v>
      </c>
      <c r="E194">
        <v>10707.7</v>
      </c>
      <c r="F194">
        <v>10841.55</v>
      </c>
      <c r="G194">
        <v>11231.84</v>
      </c>
      <c r="I194">
        <f>IF(
    OR(
        AND(MAX(0, MIN($E$1, DATE(Initialisatie!$C$5,12,31)) - MAX($E$2, DATE(Initialisatie!$C$5,1,1)) + 1) &gt; 0,IFERROR(VALUE($E194),0)=0),
        AND(MAX(0, MIN($F$1, DATE(Initialisatie!$C$5,12,31)) - MAX($F$2, DATE(Initialisatie!$C$5,1,1)) + 1) &gt; 0,IFERROR(VALUE($F194),0)=0),
        AND(MAX(0, MIN($G$1, DATE(Initialisatie!$C$5,12,31)) - MAX($G$2, DATE(Initialisatie!$C$5,1,1)) + 1) &gt; 0,IFERROR(VALUE($G194),0)=0)
    ),
    0,
    SUM(
        IFERROR(VALUE($E194),0) * MAX(0, MIN($E$1, DATE(Initialisatie!$C$5,12,31)) - MAX($E$2, DATE(Initialisatie!$C$5,1,1)) + 1),
        IFERROR(VALUE($F194),0) * MAX(0, MIN($F$1, DATE(Initialisatie!$C$5,12,31)) - MAX($F$2, DATE(Initialisatie!$C$5,1,1)) + 1),
        IFERROR(VALUE($G194),0) * MAX(0, MIN($G$1, DATE(Initialisatie!$C$5,12,31)) - MAX($G$2, DATE(Initialisatie!$C$5,1,1)) + 1)
    ) / (DATE(Initialisatie!$C$5,12,31) - DATE(Initialisatie!$C$5,1,1) + 1)
)</f>
        <v>11231.84</v>
      </c>
    </row>
    <row r="195" spans="1:9" x14ac:dyDescent="0.45">
      <c r="A195" s="989"/>
      <c r="B195" s="35" t="s">
        <v>103</v>
      </c>
      <c r="C195" s="35">
        <v>13</v>
      </c>
      <c r="D195" s="35" t="s">
        <v>102</v>
      </c>
      <c r="E195">
        <v>11103.65</v>
      </c>
      <c r="F195">
        <v>11242.45</v>
      </c>
      <c r="G195">
        <v>11647.18</v>
      </c>
      <c r="I195">
        <f>IF(
    OR(
        AND(MAX(0, MIN($E$1, DATE(Initialisatie!$C$5,12,31)) - MAX($E$2, DATE(Initialisatie!$C$5,1,1)) + 1) &gt; 0,IFERROR(VALUE($E195),0)=0),
        AND(MAX(0, MIN($F$1, DATE(Initialisatie!$C$5,12,31)) - MAX($F$2, DATE(Initialisatie!$C$5,1,1)) + 1) &gt; 0,IFERROR(VALUE($F195),0)=0),
        AND(MAX(0, MIN($G$1, DATE(Initialisatie!$C$5,12,31)) - MAX($G$2, DATE(Initialisatie!$C$5,1,1)) + 1) &gt; 0,IFERROR(VALUE($G195),0)=0)
    ),
    0,
    SUM(
        IFERROR(VALUE($E195),0) * MAX(0, MIN($E$1, DATE(Initialisatie!$C$5,12,31)) - MAX($E$2, DATE(Initialisatie!$C$5,1,1)) + 1),
        IFERROR(VALUE($F195),0) * MAX(0, MIN($F$1, DATE(Initialisatie!$C$5,12,31)) - MAX($F$2, DATE(Initialisatie!$C$5,1,1)) + 1),
        IFERROR(VALUE($G195),0) * MAX(0, MIN($G$1, DATE(Initialisatie!$C$5,12,31)) - MAX($G$2, DATE(Initialisatie!$C$5,1,1)) + 1)
    ) / (DATE(Initialisatie!$C$5,12,31) - DATE(Initialisatie!$C$5,1,1) + 1)
)</f>
        <v>11647.18</v>
      </c>
    </row>
    <row r="196" spans="1:9" x14ac:dyDescent="0.45">
      <c r="A196" s="989"/>
      <c r="B196" s="35" t="s">
        <v>85</v>
      </c>
      <c r="C196" s="35">
        <v>14</v>
      </c>
      <c r="D196" s="35" t="s">
        <v>84</v>
      </c>
      <c r="E196">
        <v>0</v>
      </c>
      <c r="F196">
        <v>0</v>
      </c>
      <c r="G196">
        <v>0</v>
      </c>
      <c r="I196">
        <f>IF(
    OR(
        AND(MAX(0, MIN($E$1, DATE(Initialisatie!$C$5,12,31)) - MAX($E$2, DATE(Initialisatie!$C$5,1,1)) + 1) &gt; 0,IFERROR(VALUE($E196),0)=0),
        AND(MAX(0, MIN($F$1, DATE(Initialisatie!$C$5,12,31)) - MAX($F$2, DATE(Initialisatie!$C$5,1,1)) + 1) &gt; 0,IFERROR(VALUE($F196),0)=0),
        AND(MAX(0, MIN($G$1, DATE(Initialisatie!$C$5,12,31)) - MAX($G$2, DATE(Initialisatie!$C$5,1,1)) + 1) &gt; 0,IFERROR(VALUE($G196),0)=0)
    ),
    0,
    SUM(
        IFERROR(VALUE($E196),0) * MAX(0, MIN($E$1, DATE(Initialisatie!$C$5,12,31)) - MAX($E$2, DATE(Initialisatie!$C$5,1,1)) + 1),
        IFERROR(VALUE($F196),0) * MAX(0, MIN($F$1, DATE(Initialisatie!$C$5,12,31)) - MAX($F$2, DATE(Initialisatie!$C$5,1,1)) + 1),
        IFERROR(VALUE($G196),0) * MAX(0, MIN($G$1, DATE(Initialisatie!$C$5,12,31)) - MAX($G$2, DATE(Initialisatie!$C$5,1,1)) + 1)
    ) / (DATE(Initialisatie!$C$5,12,31) - DATE(Initialisatie!$C$5,1,1) + 1)
)</f>
        <v>0</v>
      </c>
    </row>
    <row r="197" spans="1:9" x14ac:dyDescent="0.45">
      <c r="A197" s="990"/>
      <c r="B197" s="35" t="s">
        <v>83</v>
      </c>
      <c r="C197" s="35">
        <v>15</v>
      </c>
      <c r="D197" s="35" t="s">
        <v>82</v>
      </c>
      <c r="E197">
        <v>0</v>
      </c>
      <c r="F197">
        <v>0</v>
      </c>
      <c r="G197">
        <v>0</v>
      </c>
      <c r="I197">
        <f>IF(
    OR(
        AND(MAX(0, MIN($E$1, DATE(Initialisatie!$C$5,12,31)) - MAX($E$2, DATE(Initialisatie!$C$5,1,1)) + 1) &gt; 0,IFERROR(VALUE($E197),0)=0),
        AND(MAX(0, MIN($F$1, DATE(Initialisatie!$C$5,12,31)) - MAX($F$2, DATE(Initialisatie!$C$5,1,1)) + 1) &gt; 0,IFERROR(VALUE($F197),0)=0),
        AND(MAX(0, MIN($G$1, DATE(Initialisatie!$C$5,12,31)) - MAX($G$2, DATE(Initialisatie!$C$5,1,1)) + 1) &gt; 0,IFERROR(VALUE($G197),0)=0)
    ),
    0,
    SUM(
        IFERROR(VALUE($E197),0) * MAX(0, MIN($E$1, DATE(Initialisatie!$C$5,12,31)) - MAX($E$2, DATE(Initialisatie!$C$5,1,1)) + 1),
        IFERROR(VALUE($F197),0) * MAX(0, MIN($F$1, DATE(Initialisatie!$C$5,12,31)) - MAX($F$2, DATE(Initialisatie!$C$5,1,1)) + 1),
        IFERROR(VALUE($G197),0) * MAX(0, MIN($G$1, DATE(Initialisatie!$C$5,12,31)) - MAX($G$2, DATE(Initialisatie!$C$5,1,1)) + 1)
    ) / (DATE(Initialisatie!$C$5,12,31) - DATE(Initialisatie!$C$5,1,1) + 1)
)</f>
        <v>0</v>
      </c>
    </row>
  </sheetData>
  <mergeCells count="12">
    <mergeCell ref="A182:A197"/>
    <mergeCell ref="A6:A21"/>
    <mergeCell ref="A22:A37"/>
    <mergeCell ref="A38:A53"/>
    <mergeCell ref="A54:A69"/>
    <mergeCell ref="A70:A85"/>
    <mergeCell ref="A86:A101"/>
    <mergeCell ref="A102:A117"/>
    <mergeCell ref="A118:A133"/>
    <mergeCell ref="A134:A149"/>
    <mergeCell ref="A150:A165"/>
    <mergeCell ref="A166:A181"/>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A1:H190"/>
  <sheetViews>
    <sheetView topLeftCell="A176" workbookViewId="0">
      <selection activeCell="D195" sqref="D195"/>
    </sheetView>
  </sheetViews>
  <sheetFormatPr defaultRowHeight="14.25" x14ac:dyDescent="0.45"/>
  <cols>
    <col min="4" max="4" width="12.796875" bestFit="1" customWidth="1"/>
    <col min="5" max="5" width="9.46484375" bestFit="1" customWidth="1"/>
    <col min="6" max="6" width="15.46484375" bestFit="1" customWidth="1"/>
  </cols>
  <sheetData>
    <row r="1" spans="1:8" x14ac:dyDescent="0.45">
      <c r="C1" s="371" t="s">
        <v>1615</v>
      </c>
      <c r="D1" s="371" t="s">
        <v>1613</v>
      </c>
      <c r="E1" s="371" t="s">
        <v>1612</v>
      </c>
      <c r="F1" s="371" t="s">
        <v>1614</v>
      </c>
      <c r="G1" t="s">
        <v>1611</v>
      </c>
      <c r="H1" t="s">
        <v>1610</v>
      </c>
    </row>
    <row r="2" spans="1:8" x14ac:dyDescent="0.45">
      <c r="A2" s="371"/>
      <c r="B2" s="371" t="s">
        <v>1608</v>
      </c>
      <c r="C2" s="371" t="s">
        <v>1607</v>
      </c>
    </row>
    <row r="3" spans="1:8" x14ac:dyDescent="0.45">
      <c r="A3" s="993" t="s">
        <v>109</v>
      </c>
      <c r="B3" s="371">
        <v>0</v>
      </c>
      <c r="C3" s="371" t="s">
        <v>1280</v>
      </c>
      <c r="D3" t="s">
        <v>1617</v>
      </c>
      <c r="E3" t="s">
        <v>1616</v>
      </c>
      <c r="F3" t="s">
        <v>1616</v>
      </c>
      <c r="G3" t="s">
        <v>1618</v>
      </c>
      <c r="H3" t="s">
        <v>1618</v>
      </c>
    </row>
    <row r="4" spans="1:8" x14ac:dyDescent="0.45">
      <c r="A4" s="989"/>
      <c r="B4" s="371">
        <v>1</v>
      </c>
      <c r="C4" s="371" t="s">
        <v>1281</v>
      </c>
      <c r="D4" t="s">
        <v>1606</v>
      </c>
      <c r="E4" t="s">
        <v>1616</v>
      </c>
      <c r="F4" t="s">
        <v>1616</v>
      </c>
      <c r="G4" t="s">
        <v>1618</v>
      </c>
      <c r="H4" t="s">
        <v>1618</v>
      </c>
    </row>
    <row r="5" spans="1:8" x14ac:dyDescent="0.45">
      <c r="A5" s="989"/>
      <c r="B5" s="371">
        <v>2</v>
      </c>
      <c r="C5" s="371" t="s">
        <v>1282</v>
      </c>
      <c r="D5" t="s">
        <v>1605</v>
      </c>
      <c r="E5" t="s">
        <v>1616</v>
      </c>
      <c r="F5" t="s">
        <v>1616</v>
      </c>
      <c r="G5" t="s">
        <v>1618</v>
      </c>
      <c r="H5" t="s">
        <v>1618</v>
      </c>
    </row>
    <row r="6" spans="1:8" x14ac:dyDescent="0.45">
      <c r="A6" s="989"/>
      <c r="B6" s="371">
        <v>3</v>
      </c>
      <c r="C6" s="371" t="s">
        <v>1283</v>
      </c>
      <c r="D6" t="s">
        <v>1603</v>
      </c>
      <c r="E6" t="s">
        <v>1616</v>
      </c>
      <c r="F6" t="s">
        <v>1604</v>
      </c>
      <c r="G6" t="s">
        <v>1618</v>
      </c>
      <c r="H6" t="s">
        <v>1618</v>
      </c>
    </row>
    <row r="7" spans="1:8" x14ac:dyDescent="0.45">
      <c r="A7" s="989"/>
      <c r="B7" s="371">
        <v>4</v>
      </c>
      <c r="C7" s="371" t="s">
        <v>1284</v>
      </c>
      <c r="D7" t="s">
        <v>1595</v>
      </c>
      <c r="E7" t="s">
        <v>1594</v>
      </c>
      <c r="F7" t="s">
        <v>1596</v>
      </c>
      <c r="G7" t="s">
        <v>1618</v>
      </c>
      <c r="H7" t="s">
        <v>1618</v>
      </c>
    </row>
    <row r="8" spans="1:8" x14ac:dyDescent="0.45">
      <c r="A8" s="989"/>
      <c r="B8" s="371">
        <v>5</v>
      </c>
      <c r="C8" s="371" t="s">
        <v>1285</v>
      </c>
      <c r="D8" t="s">
        <v>1601</v>
      </c>
      <c r="E8" t="s">
        <v>1600</v>
      </c>
      <c r="F8" t="s">
        <v>1602</v>
      </c>
      <c r="G8" t="s">
        <v>1618</v>
      </c>
      <c r="H8" t="s">
        <v>1619</v>
      </c>
    </row>
    <row r="9" spans="1:8" x14ac:dyDescent="0.45">
      <c r="A9" s="989"/>
      <c r="B9" s="371">
        <v>6</v>
      </c>
      <c r="C9" s="371" t="s">
        <v>109</v>
      </c>
      <c r="D9" t="s">
        <v>1592</v>
      </c>
      <c r="E9" t="s">
        <v>1591</v>
      </c>
      <c r="F9" t="s">
        <v>1593</v>
      </c>
      <c r="G9" t="s">
        <v>1593</v>
      </c>
      <c r="H9" t="s">
        <v>1620</v>
      </c>
    </row>
    <row r="10" spans="1:8" x14ac:dyDescent="0.45">
      <c r="A10" s="989"/>
      <c r="B10" s="371">
        <v>7</v>
      </c>
      <c r="C10" s="371" t="s">
        <v>107</v>
      </c>
      <c r="D10" t="s">
        <v>1598</v>
      </c>
      <c r="E10" t="s">
        <v>1597</v>
      </c>
      <c r="F10" t="s">
        <v>1599</v>
      </c>
      <c r="G10" t="s">
        <v>1599</v>
      </c>
      <c r="H10" t="s">
        <v>1621</v>
      </c>
    </row>
    <row r="11" spans="1:8" x14ac:dyDescent="0.45">
      <c r="A11" s="990"/>
      <c r="B11" s="371">
        <v>8</v>
      </c>
      <c r="C11" s="371" t="s">
        <v>105</v>
      </c>
      <c r="D11" t="s">
        <v>1586</v>
      </c>
      <c r="E11" t="s">
        <v>1585</v>
      </c>
      <c r="F11" t="s">
        <v>1587</v>
      </c>
      <c r="G11" t="s">
        <v>1587</v>
      </c>
      <c r="H11" t="s">
        <v>1622</v>
      </c>
    </row>
    <row r="12" spans="1:8" x14ac:dyDescent="0.45">
      <c r="A12" s="993" t="s">
        <v>1287</v>
      </c>
      <c r="B12" s="371">
        <v>0</v>
      </c>
      <c r="C12" s="371" t="s">
        <v>1281</v>
      </c>
      <c r="D12" t="s">
        <v>1606</v>
      </c>
      <c r="E12" t="s">
        <v>1616</v>
      </c>
      <c r="F12" t="s">
        <v>1616</v>
      </c>
      <c r="G12" t="s">
        <v>1618</v>
      </c>
      <c r="H12" t="s">
        <v>1618</v>
      </c>
    </row>
    <row r="13" spans="1:8" x14ac:dyDescent="0.45">
      <c r="A13" s="989"/>
      <c r="B13" s="371">
        <v>1</v>
      </c>
      <c r="C13" s="371" t="s">
        <v>1282</v>
      </c>
      <c r="D13" t="s">
        <v>1605</v>
      </c>
      <c r="E13" t="s">
        <v>1616</v>
      </c>
      <c r="F13" t="s">
        <v>1616</v>
      </c>
      <c r="G13" t="s">
        <v>1618</v>
      </c>
      <c r="H13" t="s">
        <v>1618</v>
      </c>
    </row>
    <row r="14" spans="1:8" x14ac:dyDescent="0.45">
      <c r="A14" s="989"/>
      <c r="B14" s="371">
        <v>2</v>
      </c>
      <c r="C14" s="371" t="s">
        <v>1283</v>
      </c>
      <c r="D14" t="s">
        <v>1603</v>
      </c>
      <c r="E14" t="s">
        <v>1616</v>
      </c>
      <c r="F14" t="s">
        <v>1604</v>
      </c>
      <c r="G14" t="s">
        <v>1618</v>
      </c>
      <c r="H14" t="s">
        <v>1618</v>
      </c>
    </row>
    <row r="15" spans="1:8" x14ac:dyDescent="0.45">
      <c r="A15" s="989"/>
      <c r="B15" s="371">
        <v>3</v>
      </c>
      <c r="C15" s="371" t="s">
        <v>1284</v>
      </c>
      <c r="D15" t="s">
        <v>1595</v>
      </c>
      <c r="E15" t="s">
        <v>1594</v>
      </c>
      <c r="F15" t="s">
        <v>1596</v>
      </c>
      <c r="G15" t="s">
        <v>1618</v>
      </c>
      <c r="H15" t="s">
        <v>1618</v>
      </c>
    </row>
    <row r="16" spans="1:8" x14ac:dyDescent="0.45">
      <c r="A16" s="989"/>
      <c r="B16" s="371">
        <v>4</v>
      </c>
      <c r="C16" s="371" t="s">
        <v>1285</v>
      </c>
      <c r="D16" t="s">
        <v>1601</v>
      </c>
      <c r="E16" t="s">
        <v>1600</v>
      </c>
      <c r="F16" t="s">
        <v>1596</v>
      </c>
      <c r="G16" t="s">
        <v>1618</v>
      </c>
      <c r="H16" t="s">
        <v>1619</v>
      </c>
    </row>
    <row r="17" spans="1:8" x14ac:dyDescent="0.45">
      <c r="A17" s="989"/>
      <c r="B17" s="371">
        <v>5</v>
      </c>
      <c r="C17" s="371" t="s">
        <v>109</v>
      </c>
      <c r="D17" t="s">
        <v>1592</v>
      </c>
      <c r="E17" t="s">
        <v>1591</v>
      </c>
      <c r="F17" t="s">
        <v>1593</v>
      </c>
      <c r="G17" t="s">
        <v>1593</v>
      </c>
      <c r="H17" t="s">
        <v>1620</v>
      </c>
    </row>
    <row r="18" spans="1:8" x14ac:dyDescent="0.45">
      <c r="A18" s="989"/>
      <c r="B18" s="371">
        <v>6</v>
      </c>
      <c r="C18" s="371" t="s">
        <v>107</v>
      </c>
      <c r="D18" t="s">
        <v>1598</v>
      </c>
      <c r="E18" t="s">
        <v>1597</v>
      </c>
      <c r="F18" t="s">
        <v>1599</v>
      </c>
      <c r="G18" t="s">
        <v>1599</v>
      </c>
      <c r="H18" t="s">
        <v>1621</v>
      </c>
    </row>
    <row r="19" spans="1:8" x14ac:dyDescent="0.45">
      <c r="A19" s="989"/>
      <c r="B19" s="371">
        <v>7</v>
      </c>
      <c r="C19" s="371" t="s">
        <v>105</v>
      </c>
      <c r="D19" t="s">
        <v>1586</v>
      </c>
      <c r="E19" t="s">
        <v>1585</v>
      </c>
      <c r="F19" t="s">
        <v>1587</v>
      </c>
      <c r="G19" t="s">
        <v>1587</v>
      </c>
      <c r="H19" t="s">
        <v>1622</v>
      </c>
    </row>
    <row r="20" spans="1:8" x14ac:dyDescent="0.45">
      <c r="A20" s="989"/>
      <c r="B20" s="371">
        <v>8</v>
      </c>
      <c r="C20" s="371" t="s">
        <v>103</v>
      </c>
      <c r="D20" t="s">
        <v>1589</v>
      </c>
      <c r="E20" t="s">
        <v>1588</v>
      </c>
      <c r="F20" t="s">
        <v>1590</v>
      </c>
      <c r="G20" t="s">
        <v>1590</v>
      </c>
      <c r="H20" t="s">
        <v>1623</v>
      </c>
    </row>
    <row r="21" spans="1:8" x14ac:dyDescent="0.45">
      <c r="A21" s="990"/>
      <c r="B21" s="371">
        <v>9</v>
      </c>
      <c r="C21" s="371" t="s">
        <v>1286</v>
      </c>
      <c r="D21" t="s">
        <v>1580</v>
      </c>
      <c r="E21" t="s">
        <v>1579</v>
      </c>
      <c r="F21" t="s">
        <v>1581</v>
      </c>
      <c r="G21" t="s">
        <v>1581</v>
      </c>
      <c r="H21" t="s">
        <v>1624</v>
      </c>
    </row>
    <row r="22" spans="1:8" x14ac:dyDescent="0.45">
      <c r="A22" s="993" t="s">
        <v>1563</v>
      </c>
      <c r="B22" s="371">
        <v>0</v>
      </c>
      <c r="C22" s="371" t="s">
        <v>1282</v>
      </c>
      <c r="D22" t="s">
        <v>1605</v>
      </c>
      <c r="E22" t="s">
        <v>1616</v>
      </c>
      <c r="F22" t="s">
        <v>1616</v>
      </c>
      <c r="G22" t="s">
        <v>891</v>
      </c>
      <c r="H22" t="s">
        <v>1618</v>
      </c>
    </row>
    <row r="23" spans="1:8" x14ac:dyDescent="0.45">
      <c r="A23" s="989"/>
      <c r="B23" s="371">
        <v>1</v>
      </c>
      <c r="C23" s="371" t="s">
        <v>1283</v>
      </c>
      <c r="D23" t="s">
        <v>1603</v>
      </c>
      <c r="E23" t="s">
        <v>1616</v>
      </c>
      <c r="F23" t="s">
        <v>1604</v>
      </c>
      <c r="G23" t="s">
        <v>1618</v>
      </c>
      <c r="H23" t="s">
        <v>1618</v>
      </c>
    </row>
    <row r="24" spans="1:8" x14ac:dyDescent="0.45">
      <c r="A24" s="989"/>
      <c r="B24" s="371">
        <v>2</v>
      </c>
      <c r="C24" s="371" t="s">
        <v>1284</v>
      </c>
      <c r="D24" t="s">
        <v>1595</v>
      </c>
      <c r="E24" t="s">
        <v>1594</v>
      </c>
      <c r="F24" t="s">
        <v>1596</v>
      </c>
      <c r="G24" t="s">
        <v>1618</v>
      </c>
      <c r="H24" t="s">
        <v>1618</v>
      </c>
    </row>
    <row r="25" spans="1:8" x14ac:dyDescent="0.45">
      <c r="A25" s="989"/>
      <c r="B25" s="371">
        <v>3</v>
      </c>
      <c r="C25" s="371" t="s">
        <v>1285</v>
      </c>
      <c r="D25" t="s">
        <v>1601</v>
      </c>
      <c r="E25" t="s">
        <v>1600</v>
      </c>
      <c r="F25" t="s">
        <v>1602</v>
      </c>
      <c r="G25" t="s">
        <v>1618</v>
      </c>
      <c r="H25" t="s">
        <v>1619</v>
      </c>
    </row>
    <row r="26" spans="1:8" x14ac:dyDescent="0.45">
      <c r="A26" s="989"/>
      <c r="B26" s="371">
        <v>4</v>
      </c>
      <c r="C26" s="371" t="s">
        <v>109</v>
      </c>
      <c r="D26" t="s">
        <v>1592</v>
      </c>
      <c r="E26" t="s">
        <v>1591</v>
      </c>
      <c r="F26" t="s">
        <v>1593</v>
      </c>
      <c r="G26" t="s">
        <v>1593</v>
      </c>
      <c r="H26" t="s">
        <v>1620</v>
      </c>
    </row>
    <row r="27" spans="1:8" x14ac:dyDescent="0.45">
      <c r="A27" s="989"/>
      <c r="B27" s="371">
        <v>5</v>
      </c>
      <c r="C27" s="371" t="s">
        <v>107</v>
      </c>
      <c r="D27" t="s">
        <v>1598</v>
      </c>
      <c r="E27" t="s">
        <v>1597</v>
      </c>
      <c r="F27" t="s">
        <v>1599</v>
      </c>
      <c r="G27" t="s">
        <v>1599</v>
      </c>
      <c r="H27" t="s">
        <v>1621</v>
      </c>
    </row>
    <row r="28" spans="1:8" x14ac:dyDescent="0.45">
      <c r="A28" s="989"/>
      <c r="B28" s="371">
        <v>6</v>
      </c>
      <c r="C28" s="371" t="s">
        <v>105</v>
      </c>
      <c r="D28" t="s">
        <v>1586</v>
      </c>
      <c r="E28" t="s">
        <v>1585</v>
      </c>
      <c r="F28" t="s">
        <v>1587</v>
      </c>
      <c r="G28" t="s">
        <v>1587</v>
      </c>
      <c r="H28" t="s">
        <v>1622</v>
      </c>
    </row>
    <row r="29" spans="1:8" x14ac:dyDescent="0.45">
      <c r="A29" s="989"/>
      <c r="B29" s="371">
        <v>7</v>
      </c>
      <c r="C29" s="371" t="s">
        <v>103</v>
      </c>
      <c r="D29" t="s">
        <v>1589</v>
      </c>
      <c r="E29" t="s">
        <v>1588</v>
      </c>
      <c r="F29" t="s">
        <v>1590</v>
      </c>
      <c r="G29" t="s">
        <v>1590</v>
      </c>
      <c r="H29" t="s">
        <v>1623</v>
      </c>
    </row>
    <row r="30" spans="1:8" x14ac:dyDescent="0.45">
      <c r="A30" s="989"/>
      <c r="B30" s="371">
        <v>8</v>
      </c>
      <c r="C30" s="371" t="s">
        <v>1286</v>
      </c>
      <c r="D30" t="s">
        <v>1580</v>
      </c>
      <c r="E30" t="s">
        <v>1579</v>
      </c>
      <c r="F30" t="s">
        <v>1581</v>
      </c>
      <c r="G30" t="s">
        <v>1581</v>
      </c>
      <c r="H30" t="s">
        <v>1624</v>
      </c>
    </row>
    <row r="31" spans="1:8" x14ac:dyDescent="0.45">
      <c r="A31" s="989"/>
      <c r="B31" s="371">
        <v>9</v>
      </c>
      <c r="C31" s="371" t="s">
        <v>1287</v>
      </c>
      <c r="D31" t="s">
        <v>1583</v>
      </c>
      <c r="E31" t="s">
        <v>1582</v>
      </c>
      <c r="F31" t="s">
        <v>1584</v>
      </c>
      <c r="G31" t="s">
        <v>1584</v>
      </c>
      <c r="H31" t="s">
        <v>1625</v>
      </c>
    </row>
    <row r="32" spans="1:8" x14ac:dyDescent="0.45">
      <c r="A32" s="990"/>
      <c r="B32" s="371">
        <v>10</v>
      </c>
      <c r="C32" s="371" t="s">
        <v>1578</v>
      </c>
      <c r="D32" t="s">
        <v>1576</v>
      </c>
      <c r="E32" t="s">
        <v>1575</v>
      </c>
      <c r="F32" t="s">
        <v>1577</v>
      </c>
      <c r="G32" t="s">
        <v>1577</v>
      </c>
      <c r="H32" t="s">
        <v>1626</v>
      </c>
    </row>
    <row r="33" spans="1:8" x14ac:dyDescent="0.45">
      <c r="A33" s="993" t="s">
        <v>1539</v>
      </c>
      <c r="B33" s="371">
        <v>0</v>
      </c>
      <c r="C33" s="371" t="s">
        <v>1283</v>
      </c>
      <c r="D33" t="s">
        <v>1603</v>
      </c>
      <c r="E33" t="s">
        <v>1616</v>
      </c>
      <c r="F33" t="s">
        <v>1604</v>
      </c>
      <c r="G33" t="s">
        <v>1618</v>
      </c>
      <c r="H33" t="s">
        <v>1618</v>
      </c>
    </row>
    <row r="34" spans="1:8" x14ac:dyDescent="0.45">
      <c r="A34" s="989"/>
      <c r="B34" s="371">
        <v>1</v>
      </c>
      <c r="C34" s="371" t="s">
        <v>1285</v>
      </c>
      <c r="D34" t="s">
        <v>1601</v>
      </c>
      <c r="E34" t="s">
        <v>1600</v>
      </c>
      <c r="F34" t="s">
        <v>1602</v>
      </c>
      <c r="G34" t="s">
        <v>1618</v>
      </c>
      <c r="H34" t="s">
        <v>1619</v>
      </c>
    </row>
    <row r="35" spans="1:8" x14ac:dyDescent="0.45">
      <c r="A35" s="989"/>
      <c r="B35" s="371">
        <v>2</v>
      </c>
      <c r="C35" s="371" t="s">
        <v>109</v>
      </c>
      <c r="D35" t="s">
        <v>1592</v>
      </c>
      <c r="E35" t="s">
        <v>1591</v>
      </c>
      <c r="F35" t="s">
        <v>1593</v>
      </c>
      <c r="G35" t="s">
        <v>1593</v>
      </c>
      <c r="H35" t="s">
        <v>1620</v>
      </c>
    </row>
    <row r="36" spans="1:8" x14ac:dyDescent="0.45">
      <c r="A36" s="989"/>
      <c r="B36" s="371">
        <v>3</v>
      </c>
      <c r="C36" s="371" t="s">
        <v>107</v>
      </c>
      <c r="D36" t="s">
        <v>1598</v>
      </c>
      <c r="E36" t="s">
        <v>1597</v>
      </c>
      <c r="F36" t="s">
        <v>1599</v>
      </c>
      <c r="G36" t="s">
        <v>1599</v>
      </c>
      <c r="H36" t="s">
        <v>1621</v>
      </c>
    </row>
    <row r="37" spans="1:8" x14ac:dyDescent="0.45">
      <c r="A37" s="989"/>
      <c r="B37" s="371">
        <v>4</v>
      </c>
      <c r="C37" s="371" t="s">
        <v>105</v>
      </c>
      <c r="D37" t="s">
        <v>1586</v>
      </c>
      <c r="E37" t="s">
        <v>1585</v>
      </c>
      <c r="F37" t="s">
        <v>1587</v>
      </c>
      <c r="G37" t="s">
        <v>1587</v>
      </c>
      <c r="H37" t="s">
        <v>1622</v>
      </c>
    </row>
    <row r="38" spans="1:8" x14ac:dyDescent="0.45">
      <c r="A38" s="989"/>
      <c r="B38" s="371">
        <v>5</v>
      </c>
      <c r="C38" s="371" t="s">
        <v>103</v>
      </c>
      <c r="D38" t="s">
        <v>1589</v>
      </c>
      <c r="E38" t="s">
        <v>1588</v>
      </c>
      <c r="F38" t="s">
        <v>1590</v>
      </c>
      <c r="G38" t="s">
        <v>1590</v>
      </c>
      <c r="H38" t="s">
        <v>1623</v>
      </c>
    </row>
    <row r="39" spans="1:8" x14ac:dyDescent="0.45">
      <c r="A39" s="989"/>
      <c r="B39" s="371">
        <v>6</v>
      </c>
      <c r="C39" s="371" t="s">
        <v>1286</v>
      </c>
      <c r="D39" t="s">
        <v>1580</v>
      </c>
      <c r="E39" t="s">
        <v>1579</v>
      </c>
      <c r="F39" t="s">
        <v>1581</v>
      </c>
      <c r="G39" t="s">
        <v>1581</v>
      </c>
      <c r="H39" t="s">
        <v>1624</v>
      </c>
    </row>
    <row r="40" spans="1:8" x14ac:dyDescent="0.45">
      <c r="A40" s="989"/>
      <c r="B40" s="371">
        <v>7</v>
      </c>
      <c r="C40" s="371" t="s">
        <v>1287</v>
      </c>
      <c r="D40" t="s">
        <v>1583</v>
      </c>
      <c r="E40" t="s">
        <v>1582</v>
      </c>
      <c r="F40" t="s">
        <v>1584</v>
      </c>
      <c r="G40" t="s">
        <v>1584</v>
      </c>
      <c r="H40" t="s">
        <v>1625</v>
      </c>
    </row>
    <row r="41" spans="1:8" x14ac:dyDescent="0.45">
      <c r="A41" s="989"/>
      <c r="B41" s="371">
        <v>8</v>
      </c>
      <c r="C41" s="371" t="s">
        <v>1578</v>
      </c>
      <c r="D41" t="s">
        <v>1576</v>
      </c>
      <c r="E41" t="s">
        <v>1575</v>
      </c>
      <c r="F41" t="s">
        <v>1577</v>
      </c>
      <c r="G41" t="s">
        <v>1577</v>
      </c>
      <c r="H41" t="s">
        <v>1626</v>
      </c>
    </row>
    <row r="42" spans="1:8" x14ac:dyDescent="0.45">
      <c r="A42" s="989"/>
      <c r="B42" s="371">
        <v>9</v>
      </c>
      <c r="C42" s="371" t="s">
        <v>1574</v>
      </c>
      <c r="D42" t="s">
        <v>1572</v>
      </c>
      <c r="E42" t="s">
        <v>1571</v>
      </c>
      <c r="F42" t="s">
        <v>1573</v>
      </c>
      <c r="G42" t="s">
        <v>1573</v>
      </c>
      <c r="H42" t="s">
        <v>1627</v>
      </c>
    </row>
    <row r="43" spans="1:8" x14ac:dyDescent="0.45">
      <c r="A43" s="989"/>
      <c r="B43" s="371">
        <v>10</v>
      </c>
      <c r="C43" s="371" t="s">
        <v>1567</v>
      </c>
      <c r="D43" t="s">
        <v>1565</v>
      </c>
      <c r="E43" t="s">
        <v>1564</v>
      </c>
      <c r="F43" t="s">
        <v>1566</v>
      </c>
      <c r="G43" t="s">
        <v>1566</v>
      </c>
      <c r="H43" t="s">
        <v>1628</v>
      </c>
    </row>
    <row r="44" spans="1:8" x14ac:dyDescent="0.45">
      <c r="A44" s="993">
        <v>30</v>
      </c>
      <c r="B44" s="371">
        <v>0</v>
      </c>
      <c r="C44" s="371" t="s">
        <v>1284</v>
      </c>
      <c r="D44" t="s">
        <v>1595</v>
      </c>
      <c r="E44" t="s">
        <v>1594</v>
      </c>
      <c r="F44" t="s">
        <v>1596</v>
      </c>
      <c r="G44" t="s">
        <v>1618</v>
      </c>
      <c r="H44" t="s">
        <v>1618</v>
      </c>
    </row>
    <row r="45" spans="1:8" x14ac:dyDescent="0.45">
      <c r="A45" s="989"/>
      <c r="B45" s="371">
        <v>1</v>
      </c>
      <c r="C45" s="371" t="s">
        <v>109</v>
      </c>
      <c r="D45" t="s">
        <v>1592</v>
      </c>
      <c r="E45" t="s">
        <v>1591</v>
      </c>
      <c r="F45" t="s">
        <v>1593</v>
      </c>
      <c r="G45" t="s">
        <v>1593</v>
      </c>
      <c r="H45" t="s">
        <v>1620</v>
      </c>
    </row>
    <row r="46" spans="1:8" x14ac:dyDescent="0.45">
      <c r="A46" s="989"/>
      <c r="B46" s="371">
        <v>2</v>
      </c>
      <c r="C46" s="371" t="s">
        <v>105</v>
      </c>
      <c r="D46" t="s">
        <v>1586</v>
      </c>
      <c r="E46" t="s">
        <v>1585</v>
      </c>
      <c r="F46" t="s">
        <v>1587</v>
      </c>
      <c r="G46" t="s">
        <v>1587</v>
      </c>
      <c r="H46" t="s">
        <v>1622</v>
      </c>
    </row>
    <row r="47" spans="1:8" x14ac:dyDescent="0.45">
      <c r="A47" s="989"/>
      <c r="B47" s="371">
        <v>3</v>
      </c>
      <c r="C47" s="371" t="s">
        <v>103</v>
      </c>
      <c r="D47" t="s">
        <v>1589</v>
      </c>
      <c r="E47" t="s">
        <v>1588</v>
      </c>
      <c r="F47" t="s">
        <v>1590</v>
      </c>
      <c r="G47" t="s">
        <v>1590</v>
      </c>
      <c r="H47" t="s">
        <v>1623</v>
      </c>
    </row>
    <row r="48" spans="1:8" x14ac:dyDescent="0.45">
      <c r="A48" s="989"/>
      <c r="B48" s="371">
        <v>4</v>
      </c>
      <c r="C48" s="371" t="s">
        <v>1286</v>
      </c>
      <c r="D48" t="s">
        <v>1580</v>
      </c>
      <c r="E48" t="s">
        <v>1579</v>
      </c>
      <c r="F48" t="s">
        <v>1581</v>
      </c>
      <c r="G48" t="s">
        <v>1581</v>
      </c>
      <c r="H48" t="s">
        <v>1624</v>
      </c>
    </row>
    <row r="49" spans="1:8" x14ac:dyDescent="0.45">
      <c r="A49" s="989"/>
      <c r="B49" s="371">
        <v>5</v>
      </c>
      <c r="C49" s="371" t="s">
        <v>1287</v>
      </c>
      <c r="D49" t="s">
        <v>1583</v>
      </c>
      <c r="E49" t="s">
        <v>1582</v>
      </c>
      <c r="F49" t="s">
        <v>1584</v>
      </c>
      <c r="G49" t="s">
        <v>1584</v>
      </c>
      <c r="H49" t="s">
        <v>1625</v>
      </c>
    </row>
    <row r="50" spans="1:8" x14ac:dyDescent="0.45">
      <c r="A50" s="989"/>
      <c r="B50" s="371">
        <v>6</v>
      </c>
      <c r="C50" s="371" t="s">
        <v>1578</v>
      </c>
      <c r="D50" t="s">
        <v>1576</v>
      </c>
      <c r="E50" t="s">
        <v>1575</v>
      </c>
      <c r="F50" t="s">
        <v>1577</v>
      </c>
      <c r="G50" t="s">
        <v>1577</v>
      </c>
      <c r="H50" t="s">
        <v>1626</v>
      </c>
    </row>
    <row r="51" spans="1:8" x14ac:dyDescent="0.45">
      <c r="A51" s="989"/>
      <c r="B51" s="371">
        <v>7</v>
      </c>
      <c r="C51" s="371" t="s">
        <v>1574</v>
      </c>
      <c r="D51" t="s">
        <v>1572</v>
      </c>
      <c r="E51" t="s">
        <v>1571</v>
      </c>
      <c r="F51" t="s">
        <v>1573</v>
      </c>
      <c r="G51" t="s">
        <v>1573</v>
      </c>
      <c r="H51" t="s">
        <v>1627</v>
      </c>
    </row>
    <row r="52" spans="1:8" x14ac:dyDescent="0.45">
      <c r="A52" s="989"/>
      <c r="B52" s="371">
        <v>8</v>
      </c>
      <c r="C52" s="371" t="s">
        <v>1567</v>
      </c>
      <c r="D52" t="s">
        <v>1565</v>
      </c>
      <c r="E52" t="s">
        <v>1564</v>
      </c>
      <c r="F52" t="s">
        <v>1566</v>
      </c>
      <c r="G52" t="s">
        <v>1566</v>
      </c>
      <c r="H52" t="s">
        <v>1628</v>
      </c>
    </row>
    <row r="53" spans="1:8" x14ac:dyDescent="0.45">
      <c r="A53" s="989"/>
      <c r="B53" s="371">
        <v>9</v>
      </c>
      <c r="C53" s="371" t="s">
        <v>1570</v>
      </c>
      <c r="D53" t="s">
        <v>1568</v>
      </c>
      <c r="E53" t="s">
        <v>1566</v>
      </c>
      <c r="F53" t="s">
        <v>1569</v>
      </c>
      <c r="G53" t="s">
        <v>1569</v>
      </c>
      <c r="H53" t="s">
        <v>1629</v>
      </c>
    </row>
    <row r="54" spans="1:8" x14ac:dyDescent="0.45">
      <c r="A54" s="989"/>
      <c r="B54" s="371">
        <v>10</v>
      </c>
      <c r="C54" s="371" t="s">
        <v>1563</v>
      </c>
      <c r="D54" t="s">
        <v>1561</v>
      </c>
      <c r="E54" t="s">
        <v>1560</v>
      </c>
      <c r="F54" t="s">
        <v>1562</v>
      </c>
      <c r="G54" t="s">
        <v>1562</v>
      </c>
      <c r="H54" t="s">
        <v>1630</v>
      </c>
    </row>
    <row r="55" spans="1:8" x14ac:dyDescent="0.45">
      <c r="A55" s="993">
        <v>35</v>
      </c>
      <c r="B55" s="371">
        <v>1</v>
      </c>
      <c r="C55" s="371" t="s">
        <v>105</v>
      </c>
      <c r="D55" t="s">
        <v>1586</v>
      </c>
      <c r="E55" t="s">
        <v>1585</v>
      </c>
      <c r="F55" t="s">
        <v>1587</v>
      </c>
      <c r="G55" t="s">
        <v>891</v>
      </c>
      <c r="H55" t="s">
        <v>1622</v>
      </c>
    </row>
    <row r="56" spans="1:8" x14ac:dyDescent="0.45">
      <c r="A56" s="989"/>
      <c r="B56" s="371">
        <v>2</v>
      </c>
      <c r="C56" s="371" t="s">
        <v>1286</v>
      </c>
      <c r="D56" t="s">
        <v>1580</v>
      </c>
      <c r="E56" t="s">
        <v>1579</v>
      </c>
      <c r="F56" t="s">
        <v>1581</v>
      </c>
      <c r="G56" t="s">
        <v>1581</v>
      </c>
      <c r="H56" t="s">
        <v>1624</v>
      </c>
    </row>
    <row r="57" spans="1:8" x14ac:dyDescent="0.45">
      <c r="A57" s="989"/>
      <c r="B57" s="371">
        <v>3</v>
      </c>
      <c r="C57" s="371" t="s">
        <v>1287</v>
      </c>
      <c r="D57" t="s">
        <v>1583</v>
      </c>
      <c r="E57" t="s">
        <v>1582</v>
      </c>
      <c r="F57" t="s">
        <v>1584</v>
      </c>
      <c r="G57" t="s">
        <v>1584</v>
      </c>
      <c r="H57" t="s">
        <v>1625</v>
      </c>
    </row>
    <row r="58" spans="1:8" x14ac:dyDescent="0.45">
      <c r="A58" s="989"/>
      <c r="B58" s="371">
        <v>4</v>
      </c>
      <c r="C58" s="371" t="s">
        <v>1578</v>
      </c>
      <c r="D58" t="s">
        <v>1576</v>
      </c>
      <c r="E58" t="s">
        <v>1575</v>
      </c>
      <c r="F58" t="s">
        <v>1577</v>
      </c>
      <c r="G58" t="s">
        <v>1577</v>
      </c>
      <c r="H58" t="s">
        <v>1626</v>
      </c>
    </row>
    <row r="59" spans="1:8" x14ac:dyDescent="0.45">
      <c r="A59" s="989"/>
      <c r="B59" s="371">
        <v>5</v>
      </c>
      <c r="C59" s="371" t="s">
        <v>1574</v>
      </c>
      <c r="D59" t="s">
        <v>1572</v>
      </c>
      <c r="E59" t="s">
        <v>1571</v>
      </c>
      <c r="F59" t="s">
        <v>1573</v>
      </c>
      <c r="G59" t="s">
        <v>1573</v>
      </c>
      <c r="H59" t="s">
        <v>1627</v>
      </c>
    </row>
    <row r="60" spans="1:8" x14ac:dyDescent="0.45">
      <c r="A60" s="989"/>
      <c r="B60" s="371">
        <v>6</v>
      </c>
      <c r="C60" s="371" t="s">
        <v>1567</v>
      </c>
      <c r="D60" t="s">
        <v>1565</v>
      </c>
      <c r="E60" t="s">
        <v>1564</v>
      </c>
      <c r="F60" t="s">
        <v>1566</v>
      </c>
      <c r="G60" t="s">
        <v>1566</v>
      </c>
      <c r="H60" t="s">
        <v>1628</v>
      </c>
    </row>
    <row r="61" spans="1:8" x14ac:dyDescent="0.45">
      <c r="A61" s="989"/>
      <c r="B61" s="371">
        <v>7</v>
      </c>
      <c r="C61" s="371" t="s">
        <v>1570</v>
      </c>
      <c r="D61" t="s">
        <v>1568</v>
      </c>
      <c r="E61" t="s">
        <v>1566</v>
      </c>
      <c r="F61" t="s">
        <v>1569</v>
      </c>
      <c r="G61" t="s">
        <v>1569</v>
      </c>
      <c r="H61" t="s">
        <v>1629</v>
      </c>
    </row>
    <row r="62" spans="1:8" x14ac:dyDescent="0.45">
      <c r="A62" s="989"/>
      <c r="B62" s="371">
        <v>8</v>
      </c>
      <c r="C62" s="371" t="s">
        <v>1563</v>
      </c>
      <c r="D62" t="s">
        <v>1561</v>
      </c>
      <c r="E62" t="s">
        <v>1560</v>
      </c>
      <c r="F62" t="s">
        <v>1562</v>
      </c>
      <c r="G62" t="s">
        <v>1562</v>
      </c>
      <c r="H62" t="s">
        <v>1630</v>
      </c>
    </row>
    <row r="63" spans="1:8" x14ac:dyDescent="0.45">
      <c r="A63" s="989"/>
      <c r="B63" s="371">
        <v>9</v>
      </c>
      <c r="C63" s="371" t="s">
        <v>1559</v>
      </c>
      <c r="D63" t="s">
        <v>1557</v>
      </c>
      <c r="E63" t="s">
        <v>1556</v>
      </c>
      <c r="F63" t="s">
        <v>1558</v>
      </c>
      <c r="G63" t="s">
        <v>1558</v>
      </c>
      <c r="H63" t="s">
        <v>1631</v>
      </c>
    </row>
    <row r="64" spans="1:8" x14ac:dyDescent="0.45">
      <c r="A64" s="989"/>
      <c r="B64" s="371">
        <v>10</v>
      </c>
      <c r="C64" s="371" t="s">
        <v>1555</v>
      </c>
      <c r="D64" t="s">
        <v>1553</v>
      </c>
      <c r="E64" t="s">
        <v>1552</v>
      </c>
      <c r="F64" t="s">
        <v>1554</v>
      </c>
      <c r="G64" t="s">
        <v>1554</v>
      </c>
      <c r="H64" t="s">
        <v>1632</v>
      </c>
    </row>
    <row r="65" spans="1:8" x14ac:dyDescent="0.45">
      <c r="A65" s="990"/>
      <c r="B65" s="371">
        <v>11</v>
      </c>
      <c r="C65" s="371" t="s">
        <v>1543</v>
      </c>
      <c r="D65" t="s">
        <v>1541</v>
      </c>
      <c r="E65" t="s">
        <v>1540</v>
      </c>
      <c r="F65" t="s">
        <v>1542</v>
      </c>
      <c r="G65" t="s">
        <v>1542</v>
      </c>
      <c r="H65" t="s">
        <v>1633</v>
      </c>
    </row>
    <row r="66" spans="1:8" x14ac:dyDescent="0.45">
      <c r="A66" s="993">
        <v>40</v>
      </c>
      <c r="B66" s="371">
        <v>1</v>
      </c>
      <c r="C66" s="371" t="s">
        <v>1286</v>
      </c>
      <c r="D66" t="s">
        <v>1580</v>
      </c>
      <c r="E66" t="s">
        <v>1579</v>
      </c>
      <c r="F66" t="s">
        <v>1581</v>
      </c>
      <c r="G66" t="s">
        <v>1581</v>
      </c>
      <c r="H66" t="s">
        <v>1624</v>
      </c>
    </row>
    <row r="67" spans="1:8" x14ac:dyDescent="0.45">
      <c r="A67" s="989"/>
      <c r="B67" s="371">
        <v>2</v>
      </c>
      <c r="C67" s="371" t="s">
        <v>1578</v>
      </c>
      <c r="D67" t="s">
        <v>1576</v>
      </c>
      <c r="E67" t="s">
        <v>1575</v>
      </c>
      <c r="F67" t="s">
        <v>1577</v>
      </c>
      <c r="G67" t="s">
        <v>1577</v>
      </c>
      <c r="H67" t="s">
        <v>1626</v>
      </c>
    </row>
    <row r="68" spans="1:8" x14ac:dyDescent="0.45">
      <c r="A68" s="989"/>
      <c r="B68" s="371">
        <v>3</v>
      </c>
      <c r="C68" s="371" t="s">
        <v>1574</v>
      </c>
      <c r="D68" t="s">
        <v>1572</v>
      </c>
      <c r="E68" t="s">
        <v>1571</v>
      </c>
      <c r="F68" t="s">
        <v>1573</v>
      </c>
      <c r="G68" t="s">
        <v>1573</v>
      </c>
      <c r="H68" t="s">
        <v>1627</v>
      </c>
    </row>
    <row r="69" spans="1:8" x14ac:dyDescent="0.45">
      <c r="A69" s="989"/>
      <c r="B69" s="371">
        <v>4</v>
      </c>
      <c r="C69" s="371" t="s">
        <v>1567</v>
      </c>
      <c r="D69" t="s">
        <v>1565</v>
      </c>
      <c r="E69" t="s">
        <v>1564</v>
      </c>
      <c r="F69" t="s">
        <v>1566</v>
      </c>
      <c r="G69" t="s">
        <v>1566</v>
      </c>
      <c r="H69" t="s">
        <v>1628</v>
      </c>
    </row>
    <row r="70" spans="1:8" x14ac:dyDescent="0.45">
      <c r="A70" s="989"/>
      <c r="B70" s="371">
        <v>5</v>
      </c>
      <c r="C70" s="371" t="s">
        <v>1570</v>
      </c>
      <c r="D70" t="s">
        <v>1568</v>
      </c>
      <c r="E70" t="s">
        <v>1566</v>
      </c>
      <c r="F70" t="s">
        <v>1569</v>
      </c>
      <c r="G70" t="s">
        <v>1569</v>
      </c>
      <c r="H70" t="s">
        <v>1629</v>
      </c>
    </row>
    <row r="71" spans="1:8" x14ac:dyDescent="0.45">
      <c r="A71" s="989"/>
      <c r="B71" s="371">
        <v>6</v>
      </c>
      <c r="C71" s="371" t="s">
        <v>1563</v>
      </c>
      <c r="D71" t="s">
        <v>1561</v>
      </c>
      <c r="E71" t="s">
        <v>1560</v>
      </c>
      <c r="F71" t="s">
        <v>1562</v>
      </c>
      <c r="G71" t="s">
        <v>1562</v>
      </c>
      <c r="H71" t="s">
        <v>1630</v>
      </c>
    </row>
    <row r="72" spans="1:8" x14ac:dyDescent="0.45">
      <c r="A72" s="989"/>
      <c r="B72" s="371">
        <v>7</v>
      </c>
      <c r="C72" s="371" t="s">
        <v>1559</v>
      </c>
      <c r="D72" t="s">
        <v>1557</v>
      </c>
      <c r="E72" t="s">
        <v>1556</v>
      </c>
      <c r="F72" t="s">
        <v>1558</v>
      </c>
      <c r="G72" t="s">
        <v>1558</v>
      </c>
      <c r="H72" t="s">
        <v>1631</v>
      </c>
    </row>
    <row r="73" spans="1:8" x14ac:dyDescent="0.45">
      <c r="A73" s="989"/>
      <c r="B73" s="371">
        <v>8</v>
      </c>
      <c r="C73" s="371" t="s">
        <v>1555</v>
      </c>
      <c r="D73" t="s">
        <v>1553</v>
      </c>
      <c r="E73" t="s">
        <v>1552</v>
      </c>
      <c r="F73" t="s">
        <v>1554</v>
      </c>
      <c r="G73" t="s">
        <v>1554</v>
      </c>
      <c r="H73" t="s">
        <v>1632</v>
      </c>
    </row>
    <row r="74" spans="1:8" x14ac:dyDescent="0.45">
      <c r="A74" s="989"/>
      <c r="B74" s="371">
        <v>9</v>
      </c>
      <c r="C74" s="371" t="s">
        <v>1543</v>
      </c>
      <c r="D74" t="s">
        <v>1541</v>
      </c>
      <c r="E74" t="s">
        <v>1540</v>
      </c>
      <c r="F74" t="s">
        <v>1542</v>
      </c>
      <c r="G74" t="s">
        <v>1542</v>
      </c>
      <c r="H74" t="s">
        <v>1633</v>
      </c>
    </row>
    <row r="75" spans="1:8" x14ac:dyDescent="0.45">
      <c r="A75" s="989"/>
      <c r="B75" s="371">
        <v>10</v>
      </c>
      <c r="C75" s="371" t="s">
        <v>1551</v>
      </c>
      <c r="D75" t="s">
        <v>1549</v>
      </c>
      <c r="E75" t="s">
        <v>1548</v>
      </c>
      <c r="F75" t="s">
        <v>1550</v>
      </c>
      <c r="G75" t="s">
        <v>1550</v>
      </c>
      <c r="H75" t="s">
        <v>1634</v>
      </c>
    </row>
    <row r="76" spans="1:8" x14ac:dyDescent="0.45">
      <c r="A76" s="989"/>
      <c r="B76" s="371">
        <v>11</v>
      </c>
      <c r="C76" s="371" t="s">
        <v>1539</v>
      </c>
      <c r="D76" t="s">
        <v>1537</v>
      </c>
      <c r="E76" t="s">
        <v>1536</v>
      </c>
      <c r="F76" t="s">
        <v>1538</v>
      </c>
      <c r="G76" t="s">
        <v>1538</v>
      </c>
      <c r="H76" t="s">
        <v>1635</v>
      </c>
    </row>
    <row r="77" spans="1:8" x14ac:dyDescent="0.45">
      <c r="A77" s="989"/>
      <c r="B77" s="371">
        <v>12</v>
      </c>
      <c r="C77" s="371" t="s">
        <v>1547</v>
      </c>
      <c r="D77" t="s">
        <v>1545</v>
      </c>
      <c r="E77" t="s">
        <v>1544</v>
      </c>
      <c r="F77" t="s">
        <v>1546</v>
      </c>
      <c r="G77" t="s">
        <v>1546</v>
      </c>
      <c r="H77" t="s">
        <v>1636</v>
      </c>
    </row>
    <row r="78" spans="1:8" x14ac:dyDescent="0.45">
      <c r="A78" s="990"/>
      <c r="B78" s="371">
        <v>13</v>
      </c>
      <c r="C78" s="371" t="s">
        <v>1535</v>
      </c>
      <c r="D78" t="s">
        <v>1533</v>
      </c>
      <c r="E78" t="s">
        <v>1532</v>
      </c>
      <c r="F78" t="s">
        <v>1534</v>
      </c>
      <c r="G78" t="s">
        <v>1534</v>
      </c>
      <c r="H78" t="s">
        <v>1637</v>
      </c>
    </row>
    <row r="79" spans="1:8" x14ac:dyDescent="0.45">
      <c r="A79" s="993">
        <v>45</v>
      </c>
      <c r="B79" s="371">
        <v>1</v>
      </c>
      <c r="C79" s="371" t="s">
        <v>1567</v>
      </c>
      <c r="D79" t="s">
        <v>1565</v>
      </c>
      <c r="E79" t="s">
        <v>1564</v>
      </c>
      <c r="F79" t="s">
        <v>1566</v>
      </c>
      <c r="G79" t="s">
        <v>1566</v>
      </c>
      <c r="H79" t="s">
        <v>1628</v>
      </c>
    </row>
    <row r="80" spans="1:8" x14ac:dyDescent="0.45">
      <c r="A80" s="989"/>
      <c r="B80" s="371">
        <v>2</v>
      </c>
      <c r="C80" s="371" t="s">
        <v>1563</v>
      </c>
      <c r="D80" t="s">
        <v>1561</v>
      </c>
      <c r="E80" t="s">
        <v>1560</v>
      </c>
      <c r="F80" t="s">
        <v>1562</v>
      </c>
      <c r="G80" t="s">
        <v>1562</v>
      </c>
      <c r="H80" t="s">
        <v>1630</v>
      </c>
    </row>
    <row r="81" spans="1:8" x14ac:dyDescent="0.45">
      <c r="A81" s="989"/>
      <c r="B81" s="371">
        <v>3</v>
      </c>
      <c r="C81" s="371" t="s">
        <v>1559</v>
      </c>
      <c r="D81" t="s">
        <v>1557</v>
      </c>
      <c r="E81" t="s">
        <v>1556</v>
      </c>
      <c r="F81" t="s">
        <v>1558</v>
      </c>
      <c r="G81" t="s">
        <v>1558</v>
      </c>
      <c r="H81" t="s">
        <v>1631</v>
      </c>
    </row>
    <row r="82" spans="1:8" x14ac:dyDescent="0.45">
      <c r="A82" s="989"/>
      <c r="B82" s="371">
        <v>4</v>
      </c>
      <c r="C82" s="371" t="s">
        <v>1555</v>
      </c>
      <c r="D82" t="s">
        <v>1553</v>
      </c>
      <c r="E82" t="s">
        <v>1552</v>
      </c>
      <c r="F82" t="s">
        <v>1554</v>
      </c>
      <c r="G82" t="s">
        <v>1554</v>
      </c>
      <c r="H82" t="s">
        <v>1632</v>
      </c>
    </row>
    <row r="83" spans="1:8" x14ac:dyDescent="0.45">
      <c r="A83" s="989"/>
      <c r="B83" s="371">
        <v>5</v>
      </c>
      <c r="C83" s="371" t="s">
        <v>1543</v>
      </c>
      <c r="D83" t="s">
        <v>1541</v>
      </c>
      <c r="E83" t="s">
        <v>1540</v>
      </c>
      <c r="F83" t="s">
        <v>1542</v>
      </c>
      <c r="G83" t="s">
        <v>1542</v>
      </c>
      <c r="H83" t="s">
        <v>1633</v>
      </c>
    </row>
    <row r="84" spans="1:8" x14ac:dyDescent="0.45">
      <c r="A84" s="989"/>
      <c r="B84" s="371">
        <v>6</v>
      </c>
      <c r="C84" s="371" t="s">
        <v>1551</v>
      </c>
      <c r="D84" t="s">
        <v>1549</v>
      </c>
      <c r="E84" t="s">
        <v>1548</v>
      </c>
      <c r="F84" t="s">
        <v>1550</v>
      </c>
      <c r="G84" t="s">
        <v>1550</v>
      </c>
      <c r="H84" t="s">
        <v>1634</v>
      </c>
    </row>
    <row r="85" spans="1:8" x14ac:dyDescent="0.45">
      <c r="A85" s="989"/>
      <c r="B85" s="371">
        <v>7</v>
      </c>
      <c r="C85" s="371" t="s">
        <v>1539</v>
      </c>
      <c r="D85" t="s">
        <v>1537</v>
      </c>
      <c r="E85" t="s">
        <v>1536</v>
      </c>
      <c r="F85" t="s">
        <v>1538</v>
      </c>
      <c r="G85" t="s">
        <v>1538</v>
      </c>
      <c r="H85" t="s">
        <v>1635</v>
      </c>
    </row>
    <row r="86" spans="1:8" x14ac:dyDescent="0.45">
      <c r="A86" s="989"/>
      <c r="B86" s="371">
        <v>8</v>
      </c>
      <c r="C86" s="371" t="s">
        <v>1547</v>
      </c>
      <c r="D86" t="s">
        <v>1545</v>
      </c>
      <c r="E86" t="s">
        <v>1544</v>
      </c>
      <c r="F86" t="s">
        <v>1546</v>
      </c>
      <c r="G86" t="s">
        <v>1546</v>
      </c>
      <c r="H86" t="s">
        <v>1636</v>
      </c>
    </row>
    <row r="87" spans="1:8" x14ac:dyDescent="0.45">
      <c r="A87" s="989"/>
      <c r="B87" s="371">
        <v>9</v>
      </c>
      <c r="C87" s="371" t="s">
        <v>1535</v>
      </c>
      <c r="D87" t="s">
        <v>1533</v>
      </c>
      <c r="E87" t="s">
        <v>1532</v>
      </c>
      <c r="F87" t="s">
        <v>1534</v>
      </c>
      <c r="G87" t="s">
        <v>1534</v>
      </c>
      <c r="H87" t="s">
        <v>1637</v>
      </c>
    </row>
    <row r="88" spans="1:8" x14ac:dyDescent="0.45">
      <c r="A88" s="989"/>
      <c r="B88" s="371">
        <v>10</v>
      </c>
      <c r="C88" s="371" t="s">
        <v>1520</v>
      </c>
      <c r="D88" t="s">
        <v>1518</v>
      </c>
      <c r="E88" t="s">
        <v>1517</v>
      </c>
      <c r="F88" t="s">
        <v>1519</v>
      </c>
      <c r="G88" t="s">
        <v>1519</v>
      </c>
      <c r="H88" t="s">
        <v>1638</v>
      </c>
    </row>
    <row r="89" spans="1:8" x14ac:dyDescent="0.45">
      <c r="A89" s="989"/>
      <c r="B89" s="371">
        <v>11</v>
      </c>
      <c r="C89" s="371" t="s">
        <v>1531</v>
      </c>
      <c r="D89" t="s">
        <v>1530</v>
      </c>
      <c r="E89" t="s">
        <v>1529</v>
      </c>
      <c r="F89" t="s">
        <v>1513</v>
      </c>
      <c r="G89" t="s">
        <v>1513</v>
      </c>
      <c r="H89" t="s">
        <v>1639</v>
      </c>
    </row>
    <row r="90" spans="1:8" x14ac:dyDescent="0.45">
      <c r="A90" s="989"/>
      <c r="B90" s="371">
        <v>12</v>
      </c>
      <c r="C90" s="371" t="s">
        <v>1516</v>
      </c>
      <c r="D90" t="s">
        <v>1514</v>
      </c>
      <c r="E90" t="s">
        <v>1513</v>
      </c>
      <c r="F90" t="s">
        <v>1515</v>
      </c>
      <c r="G90" t="s">
        <v>1515</v>
      </c>
      <c r="H90" t="s">
        <v>1640</v>
      </c>
    </row>
    <row r="91" spans="1:8" x14ac:dyDescent="0.45">
      <c r="A91" s="990"/>
      <c r="B91" s="371">
        <v>13</v>
      </c>
      <c r="C91" s="371" t="s">
        <v>1528</v>
      </c>
      <c r="D91" t="s">
        <v>1526</v>
      </c>
      <c r="E91" t="s">
        <v>1525</v>
      </c>
      <c r="F91" t="s">
        <v>1527</v>
      </c>
      <c r="G91" t="s">
        <v>1527</v>
      </c>
      <c r="H91" t="s">
        <v>1641</v>
      </c>
    </row>
    <row r="92" spans="1:8" x14ac:dyDescent="0.45">
      <c r="A92" s="993">
        <v>50</v>
      </c>
      <c r="B92" s="371">
        <v>1</v>
      </c>
      <c r="C92" s="371" t="s">
        <v>1543</v>
      </c>
      <c r="D92" t="s">
        <v>1541</v>
      </c>
      <c r="E92" t="s">
        <v>1540</v>
      </c>
      <c r="F92" t="s">
        <v>1542</v>
      </c>
      <c r="G92" t="s">
        <v>1542</v>
      </c>
      <c r="H92" t="s">
        <v>1633</v>
      </c>
    </row>
    <row r="93" spans="1:8" x14ac:dyDescent="0.45">
      <c r="A93" s="989"/>
      <c r="B93" s="371">
        <v>2</v>
      </c>
      <c r="C93" s="371" t="s">
        <v>1539</v>
      </c>
      <c r="D93" t="s">
        <v>1537</v>
      </c>
      <c r="E93" t="s">
        <v>1536</v>
      </c>
      <c r="F93" t="s">
        <v>1538</v>
      </c>
      <c r="G93" t="s">
        <v>1538</v>
      </c>
      <c r="H93" t="s">
        <v>1635</v>
      </c>
    </row>
    <row r="94" spans="1:8" x14ac:dyDescent="0.45">
      <c r="A94" s="989"/>
      <c r="B94" s="371">
        <v>3</v>
      </c>
      <c r="C94" s="371" t="s">
        <v>1535</v>
      </c>
      <c r="D94" t="s">
        <v>1533</v>
      </c>
      <c r="E94" t="s">
        <v>1532</v>
      </c>
      <c r="F94" t="s">
        <v>1534</v>
      </c>
      <c r="G94" t="s">
        <v>1534</v>
      </c>
      <c r="H94" t="s">
        <v>1637</v>
      </c>
    </row>
    <row r="95" spans="1:8" x14ac:dyDescent="0.45">
      <c r="A95" s="989"/>
      <c r="B95" s="371">
        <v>4</v>
      </c>
      <c r="C95" s="371" t="s">
        <v>1520</v>
      </c>
      <c r="D95" t="s">
        <v>1518</v>
      </c>
      <c r="E95" t="s">
        <v>1517</v>
      </c>
      <c r="F95" t="s">
        <v>1519</v>
      </c>
      <c r="G95" t="s">
        <v>1519</v>
      </c>
      <c r="H95" t="s">
        <v>1638</v>
      </c>
    </row>
    <row r="96" spans="1:8" x14ac:dyDescent="0.45">
      <c r="A96" s="989"/>
      <c r="B96" s="371">
        <v>5</v>
      </c>
      <c r="C96" s="371" t="s">
        <v>1531</v>
      </c>
      <c r="D96" t="s">
        <v>1530</v>
      </c>
      <c r="E96" t="s">
        <v>1529</v>
      </c>
      <c r="F96" t="s">
        <v>1513</v>
      </c>
      <c r="G96" t="s">
        <v>1513</v>
      </c>
      <c r="H96" t="s">
        <v>1639</v>
      </c>
    </row>
    <row r="97" spans="1:8" x14ac:dyDescent="0.45">
      <c r="A97" s="989"/>
      <c r="B97" s="371">
        <v>6</v>
      </c>
      <c r="C97" s="371" t="s">
        <v>1516</v>
      </c>
      <c r="D97" t="s">
        <v>1514</v>
      </c>
      <c r="E97" t="s">
        <v>1513</v>
      </c>
      <c r="F97" t="s">
        <v>1515</v>
      </c>
      <c r="G97" t="s">
        <v>1515</v>
      </c>
      <c r="H97" t="s">
        <v>1640</v>
      </c>
    </row>
    <row r="98" spans="1:8" x14ac:dyDescent="0.45">
      <c r="A98" s="989"/>
      <c r="B98" s="371">
        <v>7</v>
      </c>
      <c r="C98" s="371" t="s">
        <v>1528</v>
      </c>
      <c r="D98" t="s">
        <v>1526</v>
      </c>
      <c r="E98" t="s">
        <v>1525</v>
      </c>
      <c r="F98" t="s">
        <v>1527</v>
      </c>
      <c r="G98" t="s">
        <v>1527</v>
      </c>
      <c r="H98" t="s">
        <v>1641</v>
      </c>
    </row>
    <row r="99" spans="1:8" x14ac:dyDescent="0.45">
      <c r="A99" s="989"/>
      <c r="B99" s="371">
        <v>8</v>
      </c>
      <c r="C99" s="371" t="s">
        <v>1512</v>
      </c>
      <c r="D99" t="s">
        <v>1510</v>
      </c>
      <c r="E99" t="s">
        <v>1509</v>
      </c>
      <c r="F99" t="s">
        <v>1511</v>
      </c>
      <c r="G99" t="s">
        <v>1511</v>
      </c>
      <c r="H99" t="s">
        <v>1642</v>
      </c>
    </row>
    <row r="100" spans="1:8" x14ac:dyDescent="0.45">
      <c r="A100" s="989"/>
      <c r="B100" s="371">
        <v>9</v>
      </c>
      <c r="C100" s="371" t="s">
        <v>1524</v>
      </c>
      <c r="D100" t="s">
        <v>1522</v>
      </c>
      <c r="E100" t="s">
        <v>1521</v>
      </c>
      <c r="F100" t="s">
        <v>1523</v>
      </c>
      <c r="G100" t="s">
        <v>1523</v>
      </c>
      <c r="H100" t="s">
        <v>1643</v>
      </c>
    </row>
    <row r="101" spans="1:8" x14ac:dyDescent="0.45">
      <c r="A101" s="989"/>
      <c r="B101" s="371">
        <v>10</v>
      </c>
      <c r="C101" s="371" t="s">
        <v>1492</v>
      </c>
      <c r="D101" t="s">
        <v>1490</v>
      </c>
      <c r="E101" t="s">
        <v>1489</v>
      </c>
      <c r="F101" t="s">
        <v>1491</v>
      </c>
      <c r="G101" t="s">
        <v>1491</v>
      </c>
      <c r="H101" t="s">
        <v>1644</v>
      </c>
    </row>
    <row r="102" spans="1:8" x14ac:dyDescent="0.45">
      <c r="A102" s="989"/>
      <c r="B102" s="371">
        <v>11</v>
      </c>
      <c r="C102" s="371" t="s">
        <v>1508</v>
      </c>
      <c r="D102" t="s">
        <v>1506</v>
      </c>
      <c r="E102" t="s">
        <v>1505</v>
      </c>
      <c r="F102" t="s">
        <v>1507</v>
      </c>
      <c r="G102" t="s">
        <v>1507</v>
      </c>
      <c r="H102" t="s">
        <v>1645</v>
      </c>
    </row>
    <row r="103" spans="1:8" x14ac:dyDescent="0.45">
      <c r="A103" s="990"/>
      <c r="B103" s="371">
        <v>12</v>
      </c>
      <c r="C103" s="371" t="s">
        <v>1488</v>
      </c>
      <c r="D103" t="s">
        <v>1486</v>
      </c>
      <c r="E103" t="s">
        <v>1485</v>
      </c>
      <c r="F103" t="s">
        <v>1487</v>
      </c>
      <c r="G103" t="s">
        <v>1487</v>
      </c>
      <c r="H103" t="s">
        <v>1646</v>
      </c>
    </row>
    <row r="104" spans="1:8" x14ac:dyDescent="0.45">
      <c r="A104" s="993">
        <v>55</v>
      </c>
      <c r="B104" s="371">
        <v>1</v>
      </c>
      <c r="C104" s="371" t="s">
        <v>1520</v>
      </c>
      <c r="D104" t="s">
        <v>1518</v>
      </c>
      <c r="E104" t="s">
        <v>1517</v>
      </c>
      <c r="F104" t="s">
        <v>1519</v>
      </c>
      <c r="G104" t="s">
        <v>1519</v>
      </c>
      <c r="H104" t="s">
        <v>1638</v>
      </c>
    </row>
    <row r="105" spans="1:8" x14ac:dyDescent="0.45">
      <c r="A105" s="989"/>
      <c r="B105" s="371">
        <v>2</v>
      </c>
      <c r="C105" s="371" t="s">
        <v>1516</v>
      </c>
      <c r="D105" t="s">
        <v>1514</v>
      </c>
      <c r="E105" t="s">
        <v>1513</v>
      </c>
      <c r="F105" t="s">
        <v>1515</v>
      </c>
      <c r="G105" t="s">
        <v>1515</v>
      </c>
      <c r="H105" t="s">
        <v>1640</v>
      </c>
    </row>
    <row r="106" spans="1:8" x14ac:dyDescent="0.45">
      <c r="A106" s="989"/>
      <c r="B106" s="371">
        <v>3</v>
      </c>
      <c r="C106" s="371" t="s">
        <v>1512</v>
      </c>
      <c r="D106" t="s">
        <v>1510</v>
      </c>
      <c r="E106" t="s">
        <v>1509</v>
      </c>
      <c r="F106" t="s">
        <v>1511</v>
      </c>
      <c r="G106" t="s">
        <v>1511</v>
      </c>
      <c r="H106" t="s">
        <v>1642</v>
      </c>
    </row>
    <row r="107" spans="1:8" x14ac:dyDescent="0.45">
      <c r="A107" s="989"/>
      <c r="B107" s="371">
        <v>4</v>
      </c>
      <c r="C107" s="371" t="s">
        <v>1492</v>
      </c>
      <c r="D107" t="s">
        <v>1490</v>
      </c>
      <c r="E107" t="s">
        <v>1489</v>
      </c>
      <c r="F107" t="s">
        <v>1491</v>
      </c>
      <c r="G107" t="s">
        <v>1491</v>
      </c>
      <c r="H107" t="s">
        <v>1644</v>
      </c>
    </row>
    <row r="108" spans="1:8" x14ac:dyDescent="0.45">
      <c r="A108" s="989"/>
      <c r="B108" s="371">
        <v>5</v>
      </c>
      <c r="C108" s="371" t="s">
        <v>1508</v>
      </c>
      <c r="D108" t="s">
        <v>1506</v>
      </c>
      <c r="E108" t="s">
        <v>1505</v>
      </c>
      <c r="F108" t="s">
        <v>1507</v>
      </c>
      <c r="G108" t="s">
        <v>1507</v>
      </c>
      <c r="H108" t="s">
        <v>1645</v>
      </c>
    </row>
    <row r="109" spans="1:8" x14ac:dyDescent="0.45">
      <c r="A109" s="989"/>
      <c r="B109" s="371">
        <v>6</v>
      </c>
      <c r="C109" s="371" t="s">
        <v>1488</v>
      </c>
      <c r="D109" t="s">
        <v>1486</v>
      </c>
      <c r="E109" t="s">
        <v>1485</v>
      </c>
      <c r="F109" t="s">
        <v>1487</v>
      </c>
      <c r="G109" t="s">
        <v>1487</v>
      </c>
      <c r="H109" t="s">
        <v>1646</v>
      </c>
    </row>
    <row r="110" spans="1:8" x14ac:dyDescent="0.45">
      <c r="A110" s="989"/>
      <c r="B110" s="371">
        <v>7</v>
      </c>
      <c r="C110" s="371" t="s">
        <v>1504</v>
      </c>
      <c r="D110" t="s">
        <v>1502</v>
      </c>
      <c r="E110" t="s">
        <v>1501</v>
      </c>
      <c r="F110" t="s">
        <v>1503</v>
      </c>
      <c r="G110" t="s">
        <v>1503</v>
      </c>
      <c r="H110" t="s">
        <v>1647</v>
      </c>
    </row>
    <row r="111" spans="1:8" x14ac:dyDescent="0.45">
      <c r="A111" s="989"/>
      <c r="B111" s="371">
        <v>8</v>
      </c>
      <c r="C111" s="371" t="s">
        <v>1484</v>
      </c>
      <c r="D111" t="s">
        <v>1482</v>
      </c>
      <c r="E111" t="s">
        <v>1481</v>
      </c>
      <c r="F111" t="s">
        <v>1483</v>
      </c>
      <c r="G111" t="s">
        <v>1483</v>
      </c>
      <c r="H111" t="s">
        <v>1648</v>
      </c>
    </row>
    <row r="112" spans="1:8" x14ac:dyDescent="0.45">
      <c r="A112" s="989"/>
      <c r="B112" s="371">
        <v>9</v>
      </c>
      <c r="C112" s="371" t="s">
        <v>1500</v>
      </c>
      <c r="D112" t="s">
        <v>1498</v>
      </c>
      <c r="E112" t="s">
        <v>1497</v>
      </c>
      <c r="F112" t="s">
        <v>1499</v>
      </c>
      <c r="G112" t="s">
        <v>1499</v>
      </c>
      <c r="H112" t="s">
        <v>1649</v>
      </c>
    </row>
    <row r="113" spans="1:8" x14ac:dyDescent="0.45">
      <c r="A113" s="989"/>
      <c r="B113" s="371">
        <v>10</v>
      </c>
      <c r="C113" s="371" t="s">
        <v>1480</v>
      </c>
      <c r="D113" t="s">
        <v>1478</v>
      </c>
      <c r="E113" t="s">
        <v>1477</v>
      </c>
      <c r="F113" t="s">
        <v>1479</v>
      </c>
      <c r="G113" t="s">
        <v>1479</v>
      </c>
      <c r="H113" t="s">
        <v>1650</v>
      </c>
    </row>
    <row r="114" spans="1:8" x14ac:dyDescent="0.45">
      <c r="A114" s="989"/>
      <c r="B114" s="371">
        <v>11</v>
      </c>
      <c r="C114" s="371" t="s">
        <v>1496</v>
      </c>
      <c r="D114" t="s">
        <v>1494</v>
      </c>
      <c r="E114" t="s">
        <v>1493</v>
      </c>
      <c r="F114" t="s">
        <v>1495</v>
      </c>
      <c r="G114" t="s">
        <v>1495</v>
      </c>
      <c r="H114" t="s">
        <v>1651</v>
      </c>
    </row>
    <row r="115" spans="1:8" x14ac:dyDescent="0.45">
      <c r="A115" s="990"/>
      <c r="B115" s="371">
        <v>12</v>
      </c>
      <c r="C115" s="371" t="s">
        <v>1464</v>
      </c>
      <c r="D115" t="s">
        <v>1462</v>
      </c>
      <c r="E115" t="s">
        <v>1461</v>
      </c>
      <c r="F115" t="s">
        <v>1463</v>
      </c>
      <c r="G115" t="s">
        <v>1463</v>
      </c>
      <c r="H115" t="s">
        <v>1652</v>
      </c>
    </row>
    <row r="116" spans="1:8" x14ac:dyDescent="0.45">
      <c r="A116" s="993">
        <v>60</v>
      </c>
      <c r="B116" s="371">
        <v>1</v>
      </c>
      <c r="C116" s="371" t="s">
        <v>1492</v>
      </c>
      <c r="D116" t="s">
        <v>1490</v>
      </c>
      <c r="E116" t="s">
        <v>1489</v>
      </c>
      <c r="F116" t="s">
        <v>1491</v>
      </c>
      <c r="G116" t="s">
        <v>1491</v>
      </c>
      <c r="H116" t="s">
        <v>1644</v>
      </c>
    </row>
    <row r="117" spans="1:8" x14ac:dyDescent="0.45">
      <c r="A117" s="989"/>
      <c r="B117" s="371">
        <v>2</v>
      </c>
      <c r="C117" s="371" t="s">
        <v>1488</v>
      </c>
      <c r="D117" t="s">
        <v>1486</v>
      </c>
      <c r="E117" t="s">
        <v>1485</v>
      </c>
      <c r="F117" t="s">
        <v>1487</v>
      </c>
      <c r="G117" t="s">
        <v>1487</v>
      </c>
      <c r="H117" t="s">
        <v>1646</v>
      </c>
    </row>
    <row r="118" spans="1:8" x14ac:dyDescent="0.45">
      <c r="A118" s="989"/>
      <c r="B118" s="371">
        <v>3</v>
      </c>
      <c r="C118" s="371" t="s">
        <v>1484</v>
      </c>
      <c r="D118" t="s">
        <v>1482</v>
      </c>
      <c r="E118" t="s">
        <v>1481</v>
      </c>
      <c r="F118" t="s">
        <v>1483</v>
      </c>
      <c r="G118" t="s">
        <v>1483</v>
      </c>
      <c r="H118" t="s">
        <v>1648</v>
      </c>
    </row>
    <row r="119" spans="1:8" x14ac:dyDescent="0.45">
      <c r="A119" s="989"/>
      <c r="B119" s="371">
        <v>4</v>
      </c>
      <c r="C119" s="371" t="s">
        <v>1480</v>
      </c>
      <c r="D119" t="s">
        <v>1478</v>
      </c>
      <c r="E119" t="s">
        <v>1477</v>
      </c>
      <c r="F119" t="s">
        <v>1479</v>
      </c>
      <c r="G119" t="s">
        <v>1479</v>
      </c>
      <c r="H119" t="s">
        <v>1650</v>
      </c>
    </row>
    <row r="120" spans="1:8" x14ac:dyDescent="0.45">
      <c r="A120" s="989"/>
      <c r="B120" s="371">
        <v>5</v>
      </c>
      <c r="C120" s="371" t="s">
        <v>1464</v>
      </c>
      <c r="D120" t="s">
        <v>1462</v>
      </c>
      <c r="E120" t="s">
        <v>1461</v>
      </c>
      <c r="F120" t="s">
        <v>1463</v>
      </c>
      <c r="G120" t="s">
        <v>1463</v>
      </c>
      <c r="H120" t="s">
        <v>1652</v>
      </c>
    </row>
    <row r="121" spans="1:8" x14ac:dyDescent="0.45">
      <c r="A121" s="989"/>
      <c r="B121" s="371">
        <v>6</v>
      </c>
      <c r="C121" s="371" t="s">
        <v>1460</v>
      </c>
      <c r="D121" t="s">
        <v>1458</v>
      </c>
      <c r="E121" t="s">
        <v>1457</v>
      </c>
      <c r="F121" t="s">
        <v>1459</v>
      </c>
      <c r="G121" t="s">
        <v>1459</v>
      </c>
      <c r="H121" t="s">
        <v>1653</v>
      </c>
    </row>
    <row r="122" spans="1:8" x14ac:dyDescent="0.45">
      <c r="A122" s="989"/>
      <c r="B122" s="371">
        <v>7</v>
      </c>
      <c r="C122" s="371" t="s">
        <v>1476</v>
      </c>
      <c r="D122" t="s">
        <v>1474</v>
      </c>
      <c r="E122" t="s">
        <v>1473</v>
      </c>
      <c r="F122" t="s">
        <v>1475</v>
      </c>
      <c r="G122" t="s">
        <v>1475</v>
      </c>
      <c r="H122" t="s">
        <v>1654</v>
      </c>
    </row>
    <row r="123" spans="1:8" x14ac:dyDescent="0.45">
      <c r="A123" s="989"/>
      <c r="B123" s="371">
        <v>8</v>
      </c>
      <c r="C123" s="371" t="s">
        <v>1456</v>
      </c>
      <c r="D123" t="s">
        <v>1454</v>
      </c>
      <c r="E123" t="s">
        <v>1453</v>
      </c>
      <c r="F123" t="s">
        <v>1455</v>
      </c>
      <c r="G123" t="s">
        <v>1455</v>
      </c>
      <c r="H123" t="s">
        <v>1655</v>
      </c>
    </row>
    <row r="124" spans="1:8" x14ac:dyDescent="0.45">
      <c r="A124" s="989"/>
      <c r="B124" s="371">
        <v>9</v>
      </c>
      <c r="C124" s="371" t="s">
        <v>1472</v>
      </c>
      <c r="D124" t="s">
        <v>1470</v>
      </c>
      <c r="E124" t="s">
        <v>1469</v>
      </c>
      <c r="F124" t="s">
        <v>1471</v>
      </c>
      <c r="G124" t="s">
        <v>1471</v>
      </c>
      <c r="H124" t="s">
        <v>1656</v>
      </c>
    </row>
    <row r="125" spans="1:8" x14ac:dyDescent="0.45">
      <c r="A125" s="989"/>
      <c r="B125" s="371">
        <v>10</v>
      </c>
      <c r="C125" s="371" t="s">
        <v>1452</v>
      </c>
      <c r="D125" t="s">
        <v>1450</v>
      </c>
      <c r="E125" t="s">
        <v>1449</v>
      </c>
      <c r="F125" t="s">
        <v>1451</v>
      </c>
      <c r="G125" t="s">
        <v>1451</v>
      </c>
      <c r="H125" t="s">
        <v>1657</v>
      </c>
    </row>
    <row r="126" spans="1:8" x14ac:dyDescent="0.45">
      <c r="A126" s="990"/>
      <c r="B126" s="371">
        <v>11</v>
      </c>
      <c r="C126" s="371" t="s">
        <v>1468</v>
      </c>
      <c r="D126" t="s">
        <v>1466</v>
      </c>
      <c r="E126" t="s">
        <v>1465</v>
      </c>
      <c r="F126" t="s">
        <v>1467</v>
      </c>
      <c r="G126" t="s">
        <v>1467</v>
      </c>
      <c r="H126" t="s">
        <v>1658</v>
      </c>
    </row>
    <row r="127" spans="1:8" x14ac:dyDescent="0.45">
      <c r="A127" s="993">
        <v>65</v>
      </c>
      <c r="B127" s="371">
        <v>1</v>
      </c>
      <c r="C127" s="371" t="s">
        <v>1464</v>
      </c>
      <c r="D127" t="s">
        <v>1462</v>
      </c>
      <c r="E127" t="s">
        <v>1461</v>
      </c>
      <c r="F127" t="s">
        <v>1463</v>
      </c>
      <c r="G127" t="s">
        <v>1463</v>
      </c>
      <c r="H127" t="s">
        <v>1652</v>
      </c>
    </row>
    <row r="128" spans="1:8" x14ac:dyDescent="0.45">
      <c r="A128" s="989"/>
      <c r="B128" s="371">
        <v>2</v>
      </c>
      <c r="C128" s="371" t="s">
        <v>1460</v>
      </c>
      <c r="D128" t="s">
        <v>1458</v>
      </c>
      <c r="E128" t="s">
        <v>1457</v>
      </c>
      <c r="F128" t="s">
        <v>1459</v>
      </c>
      <c r="G128" t="s">
        <v>1459</v>
      </c>
      <c r="H128" t="s">
        <v>1653</v>
      </c>
    </row>
    <row r="129" spans="1:8" x14ac:dyDescent="0.45">
      <c r="A129" s="989"/>
      <c r="B129" s="371">
        <v>3</v>
      </c>
      <c r="C129" s="371" t="s">
        <v>1456</v>
      </c>
      <c r="D129" t="s">
        <v>1454</v>
      </c>
      <c r="E129" t="s">
        <v>1453</v>
      </c>
      <c r="F129" t="s">
        <v>1455</v>
      </c>
      <c r="G129" t="s">
        <v>1455</v>
      </c>
      <c r="H129" t="s">
        <v>1655</v>
      </c>
    </row>
    <row r="130" spans="1:8" x14ac:dyDescent="0.45">
      <c r="A130" s="989"/>
      <c r="B130" s="371">
        <v>4</v>
      </c>
      <c r="C130" s="371" t="s">
        <v>1452</v>
      </c>
      <c r="D130" t="s">
        <v>1450</v>
      </c>
      <c r="E130" t="s">
        <v>1449</v>
      </c>
      <c r="F130" t="s">
        <v>1451</v>
      </c>
      <c r="G130" t="s">
        <v>1451</v>
      </c>
      <c r="H130" t="s">
        <v>1657</v>
      </c>
    </row>
    <row r="131" spans="1:8" x14ac:dyDescent="0.45">
      <c r="A131" s="989"/>
      <c r="B131" s="371">
        <v>5</v>
      </c>
      <c r="C131" s="371" t="s">
        <v>1424</v>
      </c>
      <c r="D131" t="s">
        <v>1422</v>
      </c>
      <c r="E131" t="s">
        <v>1421</v>
      </c>
      <c r="F131" t="s">
        <v>1423</v>
      </c>
      <c r="G131" t="s">
        <v>1423</v>
      </c>
      <c r="H131" t="s">
        <v>1659</v>
      </c>
    </row>
    <row r="132" spans="1:8" x14ac:dyDescent="0.45">
      <c r="A132" s="989"/>
      <c r="B132" s="371">
        <v>6</v>
      </c>
      <c r="C132" s="371" t="s">
        <v>1448</v>
      </c>
      <c r="D132" t="s">
        <v>1446</v>
      </c>
      <c r="E132" t="s">
        <v>1445</v>
      </c>
      <c r="F132" t="s">
        <v>1447</v>
      </c>
      <c r="G132" t="s">
        <v>1447</v>
      </c>
      <c r="H132" t="s">
        <v>1660</v>
      </c>
    </row>
    <row r="133" spans="1:8" x14ac:dyDescent="0.45">
      <c r="A133" s="989"/>
      <c r="B133" s="371">
        <v>7</v>
      </c>
      <c r="C133" s="371" t="s">
        <v>1444</v>
      </c>
      <c r="D133" t="s">
        <v>1442</v>
      </c>
      <c r="E133" t="s">
        <v>1441</v>
      </c>
      <c r="F133" t="s">
        <v>1443</v>
      </c>
      <c r="G133" t="s">
        <v>1443</v>
      </c>
      <c r="H133" t="s">
        <v>1661</v>
      </c>
    </row>
    <row r="134" spans="1:8" x14ac:dyDescent="0.45">
      <c r="A134" s="989"/>
      <c r="B134" s="371">
        <v>8</v>
      </c>
      <c r="C134" s="371" t="s">
        <v>1416</v>
      </c>
      <c r="D134" t="s">
        <v>1414</v>
      </c>
      <c r="E134" t="s">
        <v>1413</v>
      </c>
      <c r="F134" t="s">
        <v>1415</v>
      </c>
      <c r="G134" t="s">
        <v>1415</v>
      </c>
      <c r="H134" t="s">
        <v>1662</v>
      </c>
    </row>
    <row r="135" spans="1:8" x14ac:dyDescent="0.45">
      <c r="A135" s="989"/>
      <c r="B135" s="371">
        <v>9</v>
      </c>
      <c r="C135" s="371" t="s">
        <v>1440</v>
      </c>
      <c r="D135" t="s">
        <v>1438</v>
      </c>
      <c r="E135" t="s">
        <v>1437</v>
      </c>
      <c r="F135" t="s">
        <v>1439</v>
      </c>
      <c r="G135" t="s">
        <v>1439</v>
      </c>
      <c r="H135" t="s">
        <v>1663</v>
      </c>
    </row>
    <row r="136" spans="1:8" x14ac:dyDescent="0.45">
      <c r="A136" s="989"/>
      <c r="B136" s="371">
        <v>10</v>
      </c>
      <c r="C136" s="371" t="s">
        <v>1436</v>
      </c>
      <c r="D136" t="s">
        <v>1434</v>
      </c>
      <c r="E136" t="s">
        <v>1433</v>
      </c>
      <c r="F136" t="s">
        <v>1435</v>
      </c>
      <c r="G136" t="s">
        <v>1435</v>
      </c>
      <c r="H136" t="s">
        <v>1664</v>
      </c>
    </row>
    <row r="137" spans="1:8" x14ac:dyDescent="0.45">
      <c r="A137" s="989"/>
      <c r="B137" s="371">
        <v>11</v>
      </c>
      <c r="C137" s="371" t="s">
        <v>1412</v>
      </c>
      <c r="D137" t="s">
        <v>1410</v>
      </c>
      <c r="E137" t="s">
        <v>1409</v>
      </c>
      <c r="F137" t="s">
        <v>1411</v>
      </c>
      <c r="G137" t="s">
        <v>1411</v>
      </c>
      <c r="H137" t="s">
        <v>1665</v>
      </c>
    </row>
    <row r="138" spans="1:8" x14ac:dyDescent="0.45">
      <c r="A138" s="989"/>
      <c r="B138" s="371">
        <v>12</v>
      </c>
      <c r="C138" s="371" t="s">
        <v>1432</v>
      </c>
      <c r="D138" t="s">
        <v>1430</v>
      </c>
      <c r="E138" t="s">
        <v>1429</v>
      </c>
      <c r="F138" t="s">
        <v>1431</v>
      </c>
      <c r="G138" t="s">
        <v>1431</v>
      </c>
      <c r="H138" t="s">
        <v>1666</v>
      </c>
    </row>
    <row r="139" spans="1:8" x14ac:dyDescent="0.45">
      <c r="A139" s="990"/>
      <c r="B139" s="371">
        <v>13</v>
      </c>
      <c r="C139" s="371" t="s">
        <v>1428</v>
      </c>
      <c r="D139" t="s">
        <v>1426</v>
      </c>
      <c r="E139" t="s">
        <v>1425</v>
      </c>
      <c r="F139" t="s">
        <v>1427</v>
      </c>
      <c r="G139" t="s">
        <v>1427</v>
      </c>
      <c r="H139" t="s">
        <v>1667</v>
      </c>
    </row>
    <row r="140" spans="1:8" x14ac:dyDescent="0.45">
      <c r="A140" s="993">
        <v>70</v>
      </c>
      <c r="B140" s="371">
        <v>0</v>
      </c>
      <c r="C140" s="371" t="s">
        <v>1424</v>
      </c>
      <c r="D140" t="s">
        <v>1422</v>
      </c>
      <c r="E140" t="s">
        <v>1421</v>
      </c>
      <c r="F140" t="s">
        <v>1423</v>
      </c>
      <c r="G140" t="s">
        <v>1423</v>
      </c>
      <c r="H140" t="s">
        <v>1659</v>
      </c>
    </row>
    <row r="141" spans="1:8" x14ac:dyDescent="0.45">
      <c r="A141" s="989"/>
      <c r="B141" s="371">
        <v>1</v>
      </c>
      <c r="C141" s="371" t="s">
        <v>1420</v>
      </c>
      <c r="D141" t="s">
        <v>1418</v>
      </c>
      <c r="E141" t="s">
        <v>1417</v>
      </c>
      <c r="F141" t="s">
        <v>1419</v>
      </c>
      <c r="G141" t="s">
        <v>1419</v>
      </c>
      <c r="H141" t="s">
        <v>1668</v>
      </c>
    </row>
    <row r="142" spans="1:8" x14ac:dyDescent="0.45">
      <c r="A142" s="989"/>
      <c r="B142" s="371">
        <v>2</v>
      </c>
      <c r="C142" s="371" t="s">
        <v>1416</v>
      </c>
      <c r="D142" t="s">
        <v>1414</v>
      </c>
      <c r="E142" t="s">
        <v>1413</v>
      </c>
      <c r="F142" t="s">
        <v>1415</v>
      </c>
      <c r="G142" t="s">
        <v>1415</v>
      </c>
      <c r="H142" t="s">
        <v>1662</v>
      </c>
    </row>
    <row r="143" spans="1:8" x14ac:dyDescent="0.45">
      <c r="A143" s="989"/>
      <c r="B143" s="371">
        <v>3</v>
      </c>
      <c r="C143" s="371" t="s">
        <v>1412</v>
      </c>
      <c r="D143" t="s">
        <v>1410</v>
      </c>
      <c r="E143" t="s">
        <v>1409</v>
      </c>
      <c r="F143" t="s">
        <v>1411</v>
      </c>
      <c r="G143" t="s">
        <v>1411</v>
      </c>
      <c r="H143" t="s">
        <v>1665</v>
      </c>
    </row>
    <row r="144" spans="1:8" x14ac:dyDescent="0.45">
      <c r="A144" s="989"/>
      <c r="B144" s="371">
        <v>4</v>
      </c>
      <c r="C144" s="371" t="s">
        <v>1388</v>
      </c>
      <c r="D144" t="s">
        <v>1386</v>
      </c>
      <c r="E144" t="s">
        <v>1385</v>
      </c>
      <c r="F144" t="s">
        <v>1387</v>
      </c>
      <c r="G144" t="s">
        <v>1387</v>
      </c>
      <c r="H144" t="s">
        <v>1669</v>
      </c>
    </row>
    <row r="145" spans="1:8" x14ac:dyDescent="0.45">
      <c r="A145" s="989"/>
      <c r="B145" s="371">
        <v>5</v>
      </c>
      <c r="C145" s="371" t="s">
        <v>1408</v>
      </c>
      <c r="D145" t="s">
        <v>1406</v>
      </c>
      <c r="E145" t="s">
        <v>1405</v>
      </c>
      <c r="F145" t="s">
        <v>1407</v>
      </c>
      <c r="G145" t="s">
        <v>1407</v>
      </c>
      <c r="H145" t="s">
        <v>1670</v>
      </c>
    </row>
    <row r="146" spans="1:8" x14ac:dyDescent="0.45">
      <c r="A146" s="989"/>
      <c r="B146" s="371">
        <v>6</v>
      </c>
      <c r="C146" s="371" t="s">
        <v>1404</v>
      </c>
      <c r="D146" t="s">
        <v>1402</v>
      </c>
      <c r="E146" t="s">
        <v>1401</v>
      </c>
      <c r="F146" t="s">
        <v>1403</v>
      </c>
      <c r="G146" t="s">
        <v>1403</v>
      </c>
      <c r="H146" t="s">
        <v>1397</v>
      </c>
    </row>
    <row r="147" spans="1:8" x14ac:dyDescent="0.45">
      <c r="A147" s="989"/>
      <c r="B147" s="371">
        <v>7</v>
      </c>
      <c r="C147" s="371" t="s">
        <v>1380</v>
      </c>
      <c r="D147" t="s">
        <v>1378</v>
      </c>
      <c r="E147" t="s">
        <v>1377</v>
      </c>
      <c r="F147" t="s">
        <v>1379</v>
      </c>
      <c r="G147" t="s">
        <v>1379</v>
      </c>
      <c r="H147" t="s">
        <v>1671</v>
      </c>
    </row>
    <row r="148" spans="1:8" x14ac:dyDescent="0.45">
      <c r="A148" s="989"/>
      <c r="B148" s="371">
        <v>8</v>
      </c>
      <c r="C148" s="371" t="s">
        <v>1400</v>
      </c>
      <c r="D148" t="s">
        <v>1398</v>
      </c>
      <c r="E148" t="s">
        <v>1397</v>
      </c>
      <c r="F148" t="s">
        <v>1399</v>
      </c>
      <c r="G148" t="s">
        <v>1399</v>
      </c>
      <c r="H148" t="s">
        <v>1672</v>
      </c>
    </row>
    <row r="149" spans="1:8" x14ac:dyDescent="0.45">
      <c r="A149" s="989"/>
      <c r="B149" s="371">
        <v>9</v>
      </c>
      <c r="C149" s="371" t="s">
        <v>1376</v>
      </c>
      <c r="D149" t="s">
        <v>1374</v>
      </c>
      <c r="E149" t="s">
        <v>1373</v>
      </c>
      <c r="F149" t="s">
        <v>1375</v>
      </c>
      <c r="G149" t="s">
        <v>1375</v>
      </c>
      <c r="H149" t="s">
        <v>1673</v>
      </c>
    </row>
    <row r="150" spans="1:8" x14ac:dyDescent="0.45">
      <c r="A150" s="989"/>
      <c r="B150" s="371">
        <v>10</v>
      </c>
      <c r="C150" s="371" t="s">
        <v>1396</v>
      </c>
      <c r="D150" t="s">
        <v>1394</v>
      </c>
      <c r="E150" t="s">
        <v>1393</v>
      </c>
      <c r="F150" t="s">
        <v>1395</v>
      </c>
      <c r="G150" t="s">
        <v>1395</v>
      </c>
      <c r="H150" t="s">
        <v>1674</v>
      </c>
    </row>
    <row r="151" spans="1:8" x14ac:dyDescent="0.45">
      <c r="A151" s="989"/>
      <c r="B151" s="371">
        <v>11</v>
      </c>
      <c r="C151" s="371" t="s">
        <v>1392</v>
      </c>
      <c r="D151" t="s">
        <v>1390</v>
      </c>
      <c r="E151" t="s">
        <v>1389</v>
      </c>
      <c r="F151" t="s">
        <v>1391</v>
      </c>
      <c r="G151" t="s">
        <v>1391</v>
      </c>
      <c r="H151" t="s">
        <v>1675</v>
      </c>
    </row>
    <row r="152" spans="1:8" x14ac:dyDescent="0.45">
      <c r="A152" s="990"/>
      <c r="B152" s="371">
        <v>12</v>
      </c>
      <c r="C152" s="371" t="s">
        <v>1348</v>
      </c>
      <c r="D152" t="s">
        <v>1346</v>
      </c>
      <c r="E152" t="s">
        <v>1345</v>
      </c>
      <c r="F152" t="s">
        <v>1347</v>
      </c>
      <c r="G152" t="s">
        <v>1347</v>
      </c>
      <c r="H152" t="s">
        <v>1676</v>
      </c>
    </row>
    <row r="153" spans="1:8" x14ac:dyDescent="0.45">
      <c r="A153" s="993">
        <v>75</v>
      </c>
      <c r="B153" s="371">
        <v>0</v>
      </c>
      <c r="C153" s="371" t="s">
        <v>1388</v>
      </c>
      <c r="D153" t="s">
        <v>1386</v>
      </c>
      <c r="E153" t="s">
        <v>1385</v>
      </c>
      <c r="F153" t="s">
        <v>1387</v>
      </c>
      <c r="G153" t="s">
        <v>1387</v>
      </c>
      <c r="H153" t="s">
        <v>1669</v>
      </c>
    </row>
    <row r="154" spans="1:8" x14ac:dyDescent="0.45">
      <c r="A154" s="989"/>
      <c r="B154" s="371">
        <v>1</v>
      </c>
      <c r="C154" s="371" t="s">
        <v>1384</v>
      </c>
      <c r="D154" t="s">
        <v>1382</v>
      </c>
      <c r="E154" t="s">
        <v>1381</v>
      </c>
      <c r="F154" t="s">
        <v>1383</v>
      </c>
      <c r="G154" t="s">
        <v>1383</v>
      </c>
      <c r="H154" t="s">
        <v>1677</v>
      </c>
    </row>
    <row r="155" spans="1:8" x14ac:dyDescent="0.45">
      <c r="A155" s="989"/>
      <c r="B155" s="371">
        <v>2</v>
      </c>
      <c r="C155" s="371" t="s">
        <v>1380</v>
      </c>
      <c r="D155" t="s">
        <v>1378</v>
      </c>
      <c r="E155" t="s">
        <v>1377</v>
      </c>
      <c r="F155" t="s">
        <v>1379</v>
      </c>
      <c r="G155" t="s">
        <v>1379</v>
      </c>
      <c r="H155" t="s">
        <v>1671</v>
      </c>
    </row>
    <row r="156" spans="1:8" x14ac:dyDescent="0.45">
      <c r="A156" s="989"/>
      <c r="B156" s="371">
        <v>3</v>
      </c>
      <c r="C156" s="371" t="s">
        <v>1376</v>
      </c>
      <c r="D156" t="s">
        <v>1374</v>
      </c>
      <c r="E156" t="s">
        <v>1373</v>
      </c>
      <c r="F156" t="s">
        <v>1375</v>
      </c>
      <c r="G156" t="s">
        <v>1375</v>
      </c>
      <c r="H156" t="s">
        <v>1673</v>
      </c>
    </row>
    <row r="157" spans="1:8" x14ac:dyDescent="0.45">
      <c r="A157" s="989"/>
      <c r="B157" s="371">
        <v>4</v>
      </c>
      <c r="C157" s="371" t="s">
        <v>1348</v>
      </c>
      <c r="D157" t="s">
        <v>1346</v>
      </c>
      <c r="E157" t="s">
        <v>1345</v>
      </c>
      <c r="F157" t="s">
        <v>1347</v>
      </c>
      <c r="G157" t="s">
        <v>1347</v>
      </c>
      <c r="H157" t="s">
        <v>1676</v>
      </c>
    </row>
    <row r="158" spans="1:8" x14ac:dyDescent="0.45">
      <c r="A158" s="989"/>
      <c r="B158" s="371">
        <v>5</v>
      </c>
      <c r="C158" s="371" t="s">
        <v>1372</v>
      </c>
      <c r="D158" t="s">
        <v>1370</v>
      </c>
      <c r="E158" t="s">
        <v>1369</v>
      </c>
      <c r="F158" t="s">
        <v>1371</v>
      </c>
      <c r="G158" t="s">
        <v>1371</v>
      </c>
      <c r="H158" t="s">
        <v>1678</v>
      </c>
    </row>
    <row r="159" spans="1:8" x14ac:dyDescent="0.45">
      <c r="A159" s="989"/>
      <c r="B159" s="371">
        <v>6</v>
      </c>
      <c r="C159" s="371" t="s">
        <v>1368</v>
      </c>
      <c r="D159" t="s">
        <v>1366</v>
      </c>
      <c r="E159" t="s">
        <v>1365</v>
      </c>
      <c r="F159" t="s">
        <v>1367</v>
      </c>
      <c r="G159" t="s">
        <v>1367</v>
      </c>
      <c r="H159" t="s">
        <v>1679</v>
      </c>
    </row>
    <row r="160" spans="1:8" x14ac:dyDescent="0.45">
      <c r="A160" s="989"/>
      <c r="B160" s="371">
        <v>7</v>
      </c>
      <c r="C160" s="371" t="s">
        <v>1340</v>
      </c>
      <c r="D160" t="s">
        <v>1338</v>
      </c>
      <c r="E160" t="s">
        <v>1337</v>
      </c>
      <c r="F160" t="s">
        <v>1339</v>
      </c>
      <c r="G160" t="s">
        <v>1339</v>
      </c>
      <c r="H160" t="s">
        <v>1680</v>
      </c>
    </row>
    <row r="161" spans="1:8" x14ac:dyDescent="0.45">
      <c r="A161" s="989"/>
      <c r="B161" s="371">
        <v>8</v>
      </c>
      <c r="C161" s="371" t="s">
        <v>1364</v>
      </c>
      <c r="D161" t="s">
        <v>1362</v>
      </c>
      <c r="E161" t="s">
        <v>1361</v>
      </c>
      <c r="F161" t="s">
        <v>1363</v>
      </c>
      <c r="G161" t="s">
        <v>1363</v>
      </c>
      <c r="H161" t="s">
        <v>1681</v>
      </c>
    </row>
    <row r="162" spans="1:8" x14ac:dyDescent="0.45">
      <c r="A162" s="989"/>
      <c r="B162" s="371">
        <v>9</v>
      </c>
      <c r="C162" s="371" t="s">
        <v>1336</v>
      </c>
      <c r="D162" t="s">
        <v>1334</v>
      </c>
      <c r="E162" t="s">
        <v>1333</v>
      </c>
      <c r="F162" t="s">
        <v>1335</v>
      </c>
      <c r="G162" t="s">
        <v>1335</v>
      </c>
      <c r="H162" t="s">
        <v>1682</v>
      </c>
    </row>
    <row r="163" spans="1:8" x14ac:dyDescent="0.45">
      <c r="A163" s="989"/>
      <c r="B163" s="371">
        <v>10</v>
      </c>
      <c r="C163" s="371" t="s">
        <v>1360</v>
      </c>
      <c r="D163" t="s">
        <v>1358</v>
      </c>
      <c r="E163" t="s">
        <v>1357</v>
      </c>
      <c r="F163" t="s">
        <v>1359</v>
      </c>
      <c r="G163" t="s">
        <v>1359</v>
      </c>
      <c r="H163" t="s">
        <v>1683</v>
      </c>
    </row>
    <row r="164" spans="1:8" x14ac:dyDescent="0.45">
      <c r="A164" s="989"/>
      <c r="B164" s="371">
        <v>11</v>
      </c>
      <c r="C164" s="371" t="s">
        <v>1356</v>
      </c>
      <c r="D164" t="s">
        <v>1354</v>
      </c>
      <c r="E164" t="s">
        <v>1353</v>
      </c>
      <c r="F164" t="s">
        <v>1355</v>
      </c>
      <c r="G164" t="s">
        <v>1355</v>
      </c>
      <c r="H164" t="s">
        <v>1684</v>
      </c>
    </row>
    <row r="165" spans="1:8" x14ac:dyDescent="0.45">
      <c r="A165" s="989"/>
      <c r="B165" s="371">
        <v>12</v>
      </c>
      <c r="C165" s="371" t="s">
        <v>1332</v>
      </c>
      <c r="D165" t="s">
        <v>1330</v>
      </c>
      <c r="E165" t="s">
        <v>1329</v>
      </c>
      <c r="F165" t="s">
        <v>1331</v>
      </c>
      <c r="G165" t="s">
        <v>1331</v>
      </c>
      <c r="H165" t="s">
        <v>1685</v>
      </c>
    </row>
    <row r="166" spans="1:8" x14ac:dyDescent="0.45">
      <c r="A166" s="989"/>
      <c r="B166" s="371">
        <v>13</v>
      </c>
      <c r="C166" s="371" t="s">
        <v>1352</v>
      </c>
      <c r="D166" t="s">
        <v>1350</v>
      </c>
      <c r="E166" t="s">
        <v>1349</v>
      </c>
      <c r="F166" t="s">
        <v>1351</v>
      </c>
      <c r="G166" t="s">
        <v>1351</v>
      </c>
      <c r="H166" t="s">
        <v>1686</v>
      </c>
    </row>
    <row r="167" spans="1:8" x14ac:dyDescent="0.45">
      <c r="A167" s="990"/>
      <c r="B167" s="371">
        <v>14</v>
      </c>
      <c r="C167" s="371" t="s">
        <v>1328</v>
      </c>
      <c r="D167" t="s">
        <v>1326</v>
      </c>
      <c r="E167" t="s">
        <v>1325</v>
      </c>
      <c r="F167" t="s">
        <v>1327</v>
      </c>
      <c r="G167" t="s">
        <v>1327</v>
      </c>
      <c r="H167" t="s">
        <v>1687</v>
      </c>
    </row>
    <row r="168" spans="1:8" x14ac:dyDescent="0.45">
      <c r="A168" s="994">
        <v>80</v>
      </c>
      <c r="B168" s="371">
        <v>0</v>
      </c>
      <c r="C168" s="371" t="s">
        <v>1348</v>
      </c>
      <c r="D168" t="s">
        <v>1346</v>
      </c>
      <c r="E168" t="s">
        <v>1345</v>
      </c>
      <c r="F168" t="s">
        <v>1347</v>
      </c>
      <c r="G168" t="s">
        <v>1347</v>
      </c>
      <c r="H168" t="s">
        <v>1676</v>
      </c>
    </row>
    <row r="169" spans="1:8" x14ac:dyDescent="0.45">
      <c r="A169" s="995"/>
      <c r="B169" s="371">
        <v>1</v>
      </c>
      <c r="C169" s="371" t="s">
        <v>1344</v>
      </c>
      <c r="D169" t="s">
        <v>1342</v>
      </c>
      <c r="E169" t="s">
        <v>1341</v>
      </c>
      <c r="F169" t="s">
        <v>1343</v>
      </c>
      <c r="G169" t="s">
        <v>1343</v>
      </c>
      <c r="H169" t="s">
        <v>1688</v>
      </c>
    </row>
    <row r="170" spans="1:8" x14ac:dyDescent="0.45">
      <c r="A170" s="995"/>
      <c r="B170" s="371">
        <v>2</v>
      </c>
      <c r="C170" s="371" t="s">
        <v>1340</v>
      </c>
      <c r="D170" t="s">
        <v>1338</v>
      </c>
      <c r="E170" t="s">
        <v>1337</v>
      </c>
      <c r="F170" t="s">
        <v>1339</v>
      </c>
      <c r="G170" t="s">
        <v>1339</v>
      </c>
      <c r="H170" t="s">
        <v>1680</v>
      </c>
    </row>
    <row r="171" spans="1:8" x14ac:dyDescent="0.45">
      <c r="A171" s="995"/>
      <c r="B171" s="371">
        <v>3</v>
      </c>
      <c r="C171" s="371" t="s">
        <v>1336</v>
      </c>
      <c r="D171" t="s">
        <v>1334</v>
      </c>
      <c r="E171" t="s">
        <v>1333</v>
      </c>
      <c r="F171" t="s">
        <v>1335</v>
      </c>
      <c r="G171" t="s">
        <v>1335</v>
      </c>
      <c r="H171" t="s">
        <v>1682</v>
      </c>
    </row>
    <row r="172" spans="1:8" x14ac:dyDescent="0.45">
      <c r="A172" s="995"/>
      <c r="B172" s="371">
        <v>4</v>
      </c>
      <c r="C172" s="371" t="s">
        <v>1332</v>
      </c>
      <c r="D172" t="s">
        <v>1330</v>
      </c>
      <c r="E172" t="s">
        <v>1329</v>
      </c>
      <c r="F172" t="s">
        <v>1331</v>
      </c>
      <c r="G172" t="s">
        <v>1331</v>
      </c>
      <c r="H172" t="s">
        <v>1685</v>
      </c>
    </row>
    <row r="173" spans="1:8" x14ac:dyDescent="0.45">
      <c r="A173" s="995"/>
      <c r="B173" s="371">
        <v>5</v>
      </c>
      <c r="C173" s="371" t="s">
        <v>1328</v>
      </c>
      <c r="D173" t="s">
        <v>1326</v>
      </c>
      <c r="E173" t="s">
        <v>1325</v>
      </c>
      <c r="F173" t="s">
        <v>1327</v>
      </c>
      <c r="G173" t="s">
        <v>1327</v>
      </c>
      <c r="H173" t="s">
        <v>1687</v>
      </c>
    </row>
    <row r="174" spans="1:8" x14ac:dyDescent="0.45">
      <c r="A174" s="995"/>
      <c r="B174" s="371">
        <v>6</v>
      </c>
      <c r="C174" s="371" t="s">
        <v>1324</v>
      </c>
      <c r="D174" t="s">
        <v>1322</v>
      </c>
      <c r="E174" t="s">
        <v>1321</v>
      </c>
      <c r="F174" t="s">
        <v>1323</v>
      </c>
      <c r="G174" t="s">
        <v>1323</v>
      </c>
      <c r="H174" t="s">
        <v>1689</v>
      </c>
    </row>
    <row r="175" spans="1:8" x14ac:dyDescent="0.45">
      <c r="A175" s="995"/>
      <c r="B175" s="371">
        <v>7</v>
      </c>
      <c r="C175" s="371" t="s">
        <v>1320</v>
      </c>
      <c r="D175" t="s">
        <v>1318</v>
      </c>
      <c r="E175" t="s">
        <v>1317</v>
      </c>
      <c r="F175" t="s">
        <v>1319</v>
      </c>
      <c r="G175" t="s">
        <v>1319</v>
      </c>
      <c r="H175" t="s">
        <v>1690</v>
      </c>
    </row>
    <row r="176" spans="1:8" x14ac:dyDescent="0.45">
      <c r="A176" s="995"/>
      <c r="B176" s="371">
        <v>8</v>
      </c>
      <c r="C176" s="371" t="s">
        <v>1316</v>
      </c>
      <c r="D176" t="s">
        <v>1314</v>
      </c>
      <c r="E176" t="s">
        <v>1313</v>
      </c>
      <c r="F176" t="s">
        <v>1315</v>
      </c>
      <c r="G176" t="s">
        <v>1315</v>
      </c>
      <c r="H176" t="s">
        <v>1691</v>
      </c>
    </row>
    <row r="177" spans="1:8" x14ac:dyDescent="0.45">
      <c r="A177" s="995"/>
      <c r="B177" s="371">
        <v>9</v>
      </c>
      <c r="C177" s="371" t="s">
        <v>1312</v>
      </c>
      <c r="D177" t="s">
        <v>1310</v>
      </c>
      <c r="E177" t="s">
        <v>1309</v>
      </c>
      <c r="F177" t="s">
        <v>1311</v>
      </c>
      <c r="G177" t="s">
        <v>1311</v>
      </c>
      <c r="H177" t="s">
        <v>1692</v>
      </c>
    </row>
    <row r="178" spans="1:8" x14ac:dyDescent="0.45">
      <c r="A178" s="995"/>
      <c r="B178" s="371">
        <v>10</v>
      </c>
      <c r="C178" s="371" t="s">
        <v>1308</v>
      </c>
      <c r="D178" t="s">
        <v>1306</v>
      </c>
      <c r="E178" t="s">
        <v>1305</v>
      </c>
      <c r="F178" t="s">
        <v>1307</v>
      </c>
      <c r="G178" t="s">
        <v>1307</v>
      </c>
      <c r="H178" t="s">
        <v>1693</v>
      </c>
    </row>
    <row r="179" spans="1:8" x14ac:dyDescent="0.45">
      <c r="A179" s="995"/>
      <c r="B179" s="371">
        <v>11</v>
      </c>
      <c r="C179" s="371" t="s">
        <v>1304</v>
      </c>
      <c r="D179" t="s">
        <v>1302</v>
      </c>
      <c r="E179" t="s">
        <v>1301</v>
      </c>
      <c r="F179" t="s">
        <v>1303</v>
      </c>
      <c r="G179" t="s">
        <v>1303</v>
      </c>
      <c r="H179" t="s">
        <v>1694</v>
      </c>
    </row>
    <row r="180" spans="1:8" x14ac:dyDescent="0.45">
      <c r="A180" s="995"/>
      <c r="B180" s="371">
        <v>12</v>
      </c>
      <c r="C180" s="371" t="s">
        <v>1300</v>
      </c>
      <c r="D180" t="s">
        <v>1298</v>
      </c>
      <c r="E180" t="s">
        <v>1297</v>
      </c>
      <c r="F180" t="s">
        <v>1299</v>
      </c>
      <c r="G180" t="s">
        <v>1299</v>
      </c>
      <c r="H180" t="s">
        <v>1695</v>
      </c>
    </row>
    <row r="181" spans="1:8" x14ac:dyDescent="0.45">
      <c r="A181" s="995"/>
      <c r="B181" s="371">
        <v>13</v>
      </c>
      <c r="C181" s="371" t="s">
        <v>1296</v>
      </c>
      <c r="D181" t="s">
        <v>1294</v>
      </c>
      <c r="E181" t="s">
        <v>1293</v>
      </c>
      <c r="F181" t="s">
        <v>1295</v>
      </c>
      <c r="G181" t="s">
        <v>1295</v>
      </c>
      <c r="H181" t="s">
        <v>1696</v>
      </c>
    </row>
    <row r="182" spans="1:8" x14ac:dyDescent="0.45">
      <c r="A182" s="995"/>
      <c r="B182" s="371">
        <v>14</v>
      </c>
      <c r="C182" s="371" t="s">
        <v>1292</v>
      </c>
      <c r="D182" t="s">
        <v>1290</v>
      </c>
      <c r="E182" t="s">
        <v>1289</v>
      </c>
      <c r="F182" t="s">
        <v>1291</v>
      </c>
      <c r="G182" t="s">
        <v>1291</v>
      </c>
      <c r="H182" t="s">
        <v>1697</v>
      </c>
    </row>
    <row r="183" spans="1:8" x14ac:dyDescent="0.45">
      <c r="A183" s="991" t="s">
        <v>2182</v>
      </c>
      <c r="B183" s="35">
        <v>0</v>
      </c>
      <c r="C183" s="359"/>
      <c r="D183">
        <v>6290</v>
      </c>
      <c r="E183">
        <v>6353</v>
      </c>
      <c r="F183">
        <v>6496</v>
      </c>
      <c r="G183">
        <v>6496</v>
      </c>
      <c r="H183">
        <v>6691</v>
      </c>
    </row>
    <row r="184" spans="1:8" x14ac:dyDescent="0.45">
      <c r="A184" s="991"/>
      <c r="B184" s="35">
        <v>1</v>
      </c>
      <c r="C184" s="359"/>
      <c r="D184">
        <v>7027</v>
      </c>
      <c r="E184">
        <v>7097</v>
      </c>
      <c r="F184">
        <v>7257</v>
      </c>
      <c r="G184">
        <v>7257</v>
      </c>
      <c r="H184">
        <v>7475</v>
      </c>
    </row>
    <row r="185" spans="1:8" x14ac:dyDescent="0.45">
      <c r="A185" s="991"/>
      <c r="B185" s="35">
        <v>2</v>
      </c>
      <c r="C185" s="359"/>
      <c r="D185">
        <v>7744</v>
      </c>
      <c r="E185">
        <v>7822</v>
      </c>
      <c r="F185">
        <v>7998</v>
      </c>
      <c r="G185">
        <v>7998</v>
      </c>
      <c r="H185">
        <v>8238</v>
      </c>
    </row>
    <row r="186" spans="1:8" x14ac:dyDescent="0.45">
      <c r="A186" s="991"/>
      <c r="B186" s="35">
        <v>3</v>
      </c>
      <c r="C186" s="359"/>
      <c r="D186">
        <v>8461</v>
      </c>
      <c r="E186">
        <v>8545</v>
      </c>
      <c r="F186">
        <v>8738</v>
      </c>
      <c r="G186">
        <v>8738</v>
      </c>
      <c r="H186">
        <v>9000</v>
      </c>
    </row>
    <row r="187" spans="1:8" x14ac:dyDescent="0.45">
      <c r="A187" s="991"/>
      <c r="B187" s="35">
        <v>4</v>
      </c>
      <c r="C187" s="359"/>
      <c r="D187">
        <v>9181</v>
      </c>
      <c r="E187">
        <v>9273</v>
      </c>
      <c r="F187">
        <v>9481</v>
      </c>
      <c r="G187">
        <v>9481</v>
      </c>
      <c r="H187">
        <v>9766</v>
      </c>
    </row>
    <row r="188" spans="1:8" x14ac:dyDescent="0.45">
      <c r="A188" s="991"/>
      <c r="B188" s="35">
        <v>5</v>
      </c>
      <c r="C188" s="359"/>
      <c r="D188">
        <v>9898</v>
      </c>
      <c r="E188">
        <v>9997</v>
      </c>
      <c r="F188">
        <v>10222</v>
      </c>
      <c r="G188">
        <v>10222</v>
      </c>
      <c r="H188">
        <v>10529</v>
      </c>
    </row>
    <row r="189" spans="1:8" x14ac:dyDescent="0.45">
      <c r="A189" s="992"/>
      <c r="B189" s="35">
        <v>6</v>
      </c>
      <c r="C189" s="359"/>
      <c r="D189">
        <v>10616</v>
      </c>
      <c r="E189">
        <v>10722</v>
      </c>
      <c r="F189">
        <v>10963</v>
      </c>
      <c r="G189">
        <v>10963</v>
      </c>
      <c r="H189">
        <v>11292</v>
      </c>
    </row>
    <row r="190" spans="1:8" x14ac:dyDescent="0.45">
      <c r="A190" s="128"/>
    </row>
  </sheetData>
  <mergeCells count="16">
    <mergeCell ref="A183:A189"/>
    <mergeCell ref="A55:A65"/>
    <mergeCell ref="A104:A115"/>
    <mergeCell ref="A33:A43"/>
    <mergeCell ref="A3:A11"/>
    <mergeCell ref="A66:A78"/>
    <mergeCell ref="A22:A32"/>
    <mergeCell ref="A44:A54"/>
    <mergeCell ref="A12:A21"/>
    <mergeCell ref="A168:A182"/>
    <mergeCell ref="A79:A91"/>
    <mergeCell ref="A153:A167"/>
    <mergeCell ref="A127:A139"/>
    <mergeCell ref="A92:A103"/>
    <mergeCell ref="A140:A152"/>
    <mergeCell ref="A116:A126"/>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sheetPr>
  <dimension ref="A1:L197"/>
  <sheetViews>
    <sheetView topLeftCell="B1" workbookViewId="0">
      <selection activeCell="K17" sqref="K17"/>
    </sheetView>
  </sheetViews>
  <sheetFormatPr defaultRowHeight="14.25" x14ac:dyDescent="0.45"/>
  <cols>
    <col min="5" max="6" width="9.46484375" bestFit="1" customWidth="1"/>
    <col min="7" max="7" width="8.796875" bestFit="1" customWidth="1"/>
  </cols>
  <sheetData>
    <row r="1" spans="1:12" x14ac:dyDescent="0.45">
      <c r="A1" t="s">
        <v>1277</v>
      </c>
      <c r="E1" s="362">
        <f>IF(F2&lt;&gt;"", F2-1, DATE(2030,1,1))</f>
        <v>45473</v>
      </c>
      <c r="F1" s="362">
        <f>IF(G2&lt;&gt;"", G2-1, DATE(2030,1,1))</f>
        <v>45716</v>
      </c>
      <c r="G1" s="362">
        <f>IF(H2&lt;&gt;"", H2-1, DATE(2030,1,1))</f>
        <v>46022</v>
      </c>
      <c r="H1" s="362">
        <f>IF(I2&lt;&gt;"", I2-1, DATE(2030,1,1))</f>
        <v>46387</v>
      </c>
      <c r="I1" s="362">
        <f>IF(J2&lt;&gt;"", J2-1, DATE(2030,1,1))</f>
        <v>47484</v>
      </c>
    </row>
    <row r="2" spans="1:12" x14ac:dyDescent="0.45">
      <c r="A2" t="s">
        <v>1276</v>
      </c>
      <c r="E2" s="362">
        <v>45292</v>
      </c>
      <c r="F2" s="362">
        <v>45474</v>
      </c>
      <c r="G2" s="362">
        <v>45717</v>
      </c>
      <c r="H2" s="362">
        <v>46023</v>
      </c>
      <c r="I2" s="362">
        <v>46388</v>
      </c>
    </row>
    <row r="3" spans="1:12" x14ac:dyDescent="0.45">
      <c r="D3" s="35" t="s">
        <v>297</v>
      </c>
      <c r="E3" s="35" t="s">
        <v>296</v>
      </c>
      <c r="F3" s="35" t="s">
        <v>295</v>
      </c>
      <c r="G3" s="35" t="s">
        <v>294</v>
      </c>
      <c r="H3" s="35" t="s">
        <v>1611</v>
      </c>
      <c r="I3" s="35" t="s">
        <v>2243</v>
      </c>
    </row>
    <row r="4" spans="1:12" x14ac:dyDescent="0.45">
      <c r="D4" s="35"/>
      <c r="E4" s="35" t="s">
        <v>1275</v>
      </c>
      <c r="F4" s="35" t="s">
        <v>1275</v>
      </c>
      <c r="G4" s="35" t="s">
        <v>1275</v>
      </c>
      <c r="H4" s="35" t="s">
        <v>1275</v>
      </c>
      <c r="I4" s="35" t="s">
        <v>1275</v>
      </c>
      <c r="K4" s="5" t="s">
        <v>1229</v>
      </c>
      <c r="L4" s="5" t="s">
        <v>2210</v>
      </c>
    </row>
    <row r="5" spans="1:12" x14ac:dyDescent="0.45">
      <c r="A5" s="35" t="s">
        <v>28</v>
      </c>
      <c r="B5" s="35" t="s">
        <v>292</v>
      </c>
      <c r="C5" s="35" t="s">
        <v>291</v>
      </c>
      <c r="D5" s="35" t="s">
        <v>290</v>
      </c>
    </row>
    <row r="6" spans="1:12" x14ac:dyDescent="0.45">
      <c r="A6" s="988">
        <v>4</v>
      </c>
      <c r="B6" s="35" t="s">
        <v>113</v>
      </c>
      <c r="C6" s="35">
        <v>0</v>
      </c>
      <c r="D6" s="35" t="s">
        <v>289</v>
      </c>
      <c r="E6">
        <v>2340</v>
      </c>
      <c r="F6">
        <v>2369.25</v>
      </c>
      <c r="G6">
        <v>2454.54</v>
      </c>
      <c r="H6">
        <v>2545.36</v>
      </c>
      <c r="I6">
        <v>2631.9</v>
      </c>
      <c r="K6">
        <f>IF(
    OR(
        AND(MAX(0, MIN($E$1, DATE(Initialisatie!$C$5,12,31)) - MAX($E$2, DATE(Initialisatie!$C$5,1,1)) + 1) &gt; 0,IFERROR(VALUE($E6),0)=0),
        AND(MAX(0, MIN($F$1, DATE(Initialisatie!$C$5,12,31)) - MAX($F$2, DATE(Initialisatie!$C$5,1,1)) + 1) &gt; 0,IFERROR(VALUE($F6),0)=0),
        AND(MAX(0, MIN($G$1, DATE(Initialisatie!$C$5,12,31)) - MAX($G$2, DATE(Initialisatie!$C$5,1,1)) + 1) &gt; 0,IFERROR(VALUE($G6),0)=0),
        AND(MAX(0, MIN($H$1, DATE(Initialisatie!$C$5,12,31)) - MAX($H$2, DATE(Initialisatie!$C$5,1,1)) + 1) &gt; 0,IFERROR(VALUE($H6),0)=0),
        AND(MAX(0, MIN($I$1, DATE(Initialisatie!$C$5,12,31)) - MAX($I$2, DATE(Initialisatie!$C$5,1,1)) + 1) &gt; 0,IFERROR(VALUE($I6),0)=0)
    ),
    0,
    SUM(
        IFERROR(VALUE($E6),0) * MAX(0, MIN($E$1, DATE(Initialisatie!$C$5,12,31)) - MAX($E$2, DATE(Initialisatie!$C$5,1,1)) + 1),
        IFERROR(VALUE($F6),0) * MAX(0, MIN($F$1, DATE(Initialisatie!$C$5,12,31)) - MAX($F$2, DATE(Initialisatie!$C$5,1,1)) + 1),
        IFERROR(VALUE($G6),0) * MAX(0, MIN($G$1, DATE(Initialisatie!$C$5,12,31)) - MAX($G$2, DATE(Initialisatie!$C$5,1,1)) + 1),
        IFERROR(VALUE($H6),0) * MAX(0, MIN($H$1, DATE(Initialisatie!$C$5,12,31)) - MAX($H$2, DATE(Initialisatie!$C$5,1,1)) + 1),
        IFERROR(VALUE($I6),0) * MAX(0, MIN($I$1, DATE(Initialisatie!$C$5,12,31)) - MAX($I$2, DATE(Initialisatie!$C$5,1,1)) + 1)
    ) / (DATE(Initialisatie!$C$5,12,31) - DATE(Initialisatie!$C$5,1,1) + 1)
)</f>
        <v>2545.36</v>
      </c>
      <c r="L6">
        <f>IF(
    OR(
        AND(MAX(0, IF(MIN($E$1, DATE(Initialisatie!$C$5,12,31)) &lt; MAX($E$2, DATE(Initialisatie!$C$5,1,1)), 0, MONTH(MIN($E$1, DATE(Initialisatie!$C$5,12,31))) - MONTH(MAX($E$2, DATE(Initialisatie!$C$5,1,1))) + 1)) &lt;= 0, IFERROR(VALUE($E6),0)=0),
        AND(MAX(0, IF(MIN($F$1, DATE(Initialisatie!$C$5,12,31)) &lt; MAX($F$2, DATE(Initialisatie!$C$5,1,1)), 0, MONTH(MIN($F$1, DATE(Initialisatie!$C$5,12,31))) - MONTH(MAX($F$2, DATE(Initialisatie!$C$5,1,1))) + 1)) &lt;= 0, IFERROR(VALUE($F6),0)=0),
        AND(MAX(0, IF(MIN($G$1, DATE(Initialisatie!$C$5,12,31)) &lt; MAX($G$2, DATE(Initialisatie!$C$5,1,1)), 0, MONTH(MIN($G$1, DATE(Initialisatie!$C$5,12,31))) - MONTH(MAX($G$2, DATE(Initialisatie!$C$5,1,1))) + 1)) &lt;= 0, IFERROR(VALUE($G6),0)=0),
        AND(MAX(0, IF(MIN($H$1, DATE(Initialisatie!$C$5,12,31)) &lt; MAX($H$2, DATE(Initialisatie!$C$5,1,1)), 0, MONTH(MIN($H$1, DATE(Initialisatie!$C$5,12,31))) - MONTH(MAX($H$2, DATE(Initialisatie!$C$5,1,1))) + 1)) &lt;= 0, IFERROR(VALUE($H6),0)=0),
        AND(MAX(0, IF(MIN($I$1, DATE(Initialisatie!$C$5,12,31)) &lt; MAX($I$2, DATE(Initialisatie!$C$5,1,1)), 0, MONTH(MIN($I$1, DATE(Initialisatie!$C$5,12,31))) - MONTH(MAX($I$2, DATE(Initialisatie!$C$5,1,1))) + 1)) &lt;= 0, IFERROR(VALUE($I6),0)=0)
    ),
    0,
    SUM(
        IFERROR(VALUE($E6),0) * MAX(0, IF(MIN($E$1, DATE(Initialisatie!$C$5,12,31)) &lt; MAX($E$2, DATE(Initialisatie!$C$5,1,1)), 0, MONTH(MIN($E$1, DATE(Initialisatie!$C$5,12,31))) - MONTH(MAX($E$2, DATE(Initialisatie!$C$5,1,1))) + 1)),
        IFERROR(VALUE($F6),0) * MAX(0, IF(MIN($F$1, DATE(Initialisatie!$C$5,12,31)) &lt; MAX($F$2, DATE(Initialisatie!$C$5,1,1)), 0, MONTH(MIN($F$1, DATE(Initialisatie!$C$5,12,31))) - MONTH(MAX($F$2, DATE(Initialisatie!$C$5,1,1))) + 1)),
        IFERROR(VALUE($G6),0) * MAX(0, IF(MIN($G$1, DATE(Initialisatie!$C$5,12,31)) &lt; MAX($G$2, DATE(Initialisatie!$C$5,1,1)), 0, MONTH(MIN($G$1, DATE(Initialisatie!$C$5,12,31))) - MONTH(MAX($G$2, DATE(Initialisatie!$C$5,1,1))) + 1)),
        IFERROR(VALUE($H6),0) * MAX(0, IF(MIN($H$1, DATE(Initialisatie!$C$5,12,31)) &lt; MAX($H$2, DATE(Initialisatie!$C$5,1,1)), 0, MONTH(MIN($H$1, DATE(Initialisatie!$C$5,12,31))) - MONTH(MAX($H$2, DATE(Initialisatie!$C$5,1,1))) + 1)),
        IFERROR(VALUE($I6),0) * MAX(0, IF(MIN($I$1, DATE(Initialisatie!$C$5,12,31)) &lt; MAX($I$2, DATE(Initialisatie!$C$5,1,1)), 0, MONTH(MIN($I$1, DATE(Initialisatie!$C$5,12,31))) - MONTH(MAX($I$2, DATE(Initialisatie!$C$5,1,1))) + 1))
    ) / 12
)</f>
        <v>2545.36</v>
      </c>
    </row>
    <row r="7" spans="1:12" x14ac:dyDescent="0.45">
      <c r="A7" s="989"/>
      <c r="B7" s="35" t="s">
        <v>111</v>
      </c>
      <c r="C7" s="35">
        <v>1</v>
      </c>
      <c r="D7" s="35" t="s">
        <v>288</v>
      </c>
      <c r="E7">
        <v>2340</v>
      </c>
      <c r="F7">
        <v>2369.25</v>
      </c>
      <c r="G7">
        <v>2454.54</v>
      </c>
      <c r="H7">
        <v>2545.36</v>
      </c>
      <c r="I7">
        <v>2631.9</v>
      </c>
      <c r="K7">
        <f>IF(
    OR(
        AND(MAX(0, MIN($E$1, DATE(Initialisatie!$C$5,12,31)) - MAX($E$2, DATE(Initialisatie!$C$5,1,1)) + 1) &gt; 0,IFERROR(VALUE($E7),0)=0),
        AND(MAX(0, MIN($F$1, DATE(Initialisatie!$C$5,12,31)) - MAX($F$2, DATE(Initialisatie!$C$5,1,1)) + 1) &gt; 0,IFERROR(VALUE($F7),0)=0),
        AND(MAX(0, MIN($G$1, DATE(Initialisatie!$C$5,12,31)) - MAX($G$2, DATE(Initialisatie!$C$5,1,1)) + 1) &gt; 0,IFERROR(VALUE($G7),0)=0),
        AND(MAX(0, MIN($H$1, DATE(Initialisatie!$C$5,12,31)) - MAX($H$2, DATE(Initialisatie!$C$5,1,1)) + 1) &gt; 0,IFERROR(VALUE($H7),0)=0),
        AND(MAX(0, MIN($I$1, DATE(Initialisatie!$C$5,12,31)) - MAX($I$2, DATE(Initialisatie!$C$5,1,1)) + 1) &gt; 0,IFERROR(VALUE($I7),0)=0)
    ),
    0,
    SUM(
        IFERROR(VALUE($E7),0) * MAX(0, MIN($E$1, DATE(Initialisatie!$C$5,12,31)) - MAX($E$2, DATE(Initialisatie!$C$5,1,1)) + 1),
        IFERROR(VALUE($F7),0) * MAX(0, MIN($F$1, DATE(Initialisatie!$C$5,12,31)) - MAX($F$2, DATE(Initialisatie!$C$5,1,1)) + 1),
        IFERROR(VALUE($G7),0) * MAX(0, MIN($G$1, DATE(Initialisatie!$C$5,12,31)) - MAX($G$2, DATE(Initialisatie!$C$5,1,1)) + 1),
        IFERROR(VALUE($H7),0) * MAX(0, MIN($H$1, DATE(Initialisatie!$C$5,12,31)) - MAX($H$2, DATE(Initialisatie!$C$5,1,1)) + 1),
        IFERROR(VALUE($I7),0) * MAX(0, MIN($I$1, DATE(Initialisatie!$C$5,12,31)) - MAX($I$2, DATE(Initialisatie!$C$5,1,1)) + 1)
    ) / (DATE(Initialisatie!$C$5,12,31) - DATE(Initialisatie!$C$5,1,1) + 1)
)</f>
        <v>2545.36</v>
      </c>
      <c r="L7">
        <f>IF(
    OR(
        AND(MAX(0, IF(MIN($E$1, DATE(Initialisatie!$C$5,12,31)) &lt; MAX($E$2, DATE(Initialisatie!$C$5,1,1)), 0, MONTH(MIN($E$1, DATE(Initialisatie!$C$5,12,31))) - MONTH(MAX($E$2, DATE(Initialisatie!$C$5,1,1))) + 1)) &lt;= 0, IFERROR(VALUE($E7),0)=0),
        AND(MAX(0, IF(MIN($F$1, DATE(Initialisatie!$C$5,12,31)) &lt; MAX($F$2, DATE(Initialisatie!$C$5,1,1)), 0, MONTH(MIN($F$1, DATE(Initialisatie!$C$5,12,31))) - MONTH(MAX($F$2, DATE(Initialisatie!$C$5,1,1))) + 1)) &lt;= 0, IFERROR(VALUE($F7),0)=0),
        AND(MAX(0, IF(MIN($G$1, DATE(Initialisatie!$C$5,12,31)) &lt; MAX($G$2, DATE(Initialisatie!$C$5,1,1)), 0, MONTH(MIN($G$1, DATE(Initialisatie!$C$5,12,31))) - MONTH(MAX($G$2, DATE(Initialisatie!$C$5,1,1))) + 1)) &lt;= 0, IFERROR(VALUE($G7),0)=0),
        AND(MAX(0, IF(MIN($H$1, DATE(Initialisatie!$C$5,12,31)) &lt; MAX($H$2, DATE(Initialisatie!$C$5,1,1)), 0, MONTH(MIN($H$1, DATE(Initialisatie!$C$5,12,31))) - MONTH(MAX($H$2, DATE(Initialisatie!$C$5,1,1))) + 1)) &lt;= 0, IFERROR(VALUE($H7),0)=0),
        AND(MAX(0, IF(MIN($I$1, DATE(Initialisatie!$C$5,12,31)) &lt; MAX($I$2, DATE(Initialisatie!$C$5,1,1)), 0, MONTH(MIN($I$1, DATE(Initialisatie!$C$5,12,31))) - MONTH(MAX($I$2, DATE(Initialisatie!$C$5,1,1))) + 1)) &lt;= 0, IFERROR(VALUE($I7),0)=0)
    ),
    0,
    SUM(
        IFERROR(VALUE($E7),0) * MAX(0, IF(MIN($E$1, DATE(Initialisatie!$C$5,12,31)) &lt; MAX($E$2, DATE(Initialisatie!$C$5,1,1)), 0, MONTH(MIN($E$1, DATE(Initialisatie!$C$5,12,31))) - MONTH(MAX($E$2, DATE(Initialisatie!$C$5,1,1))) + 1)),
        IFERROR(VALUE($F7),0) * MAX(0, IF(MIN($F$1, DATE(Initialisatie!$C$5,12,31)) &lt; MAX($F$2, DATE(Initialisatie!$C$5,1,1)), 0, MONTH(MIN($F$1, DATE(Initialisatie!$C$5,12,31))) - MONTH(MAX($F$2, DATE(Initialisatie!$C$5,1,1))) + 1)),
        IFERROR(VALUE($G7),0) * MAX(0, IF(MIN($G$1, DATE(Initialisatie!$C$5,12,31)) &lt; MAX($G$2, DATE(Initialisatie!$C$5,1,1)), 0, MONTH(MIN($G$1, DATE(Initialisatie!$C$5,12,31))) - MONTH(MAX($G$2, DATE(Initialisatie!$C$5,1,1))) + 1)),
        IFERROR(VALUE($H7),0) * MAX(0, IF(MIN($H$1, DATE(Initialisatie!$C$5,12,31)) &lt; MAX($H$2, DATE(Initialisatie!$C$5,1,1)), 0, MONTH(MIN($H$1, DATE(Initialisatie!$C$5,12,31))) - MONTH(MAX($H$2, DATE(Initialisatie!$C$5,1,1))) + 1)),
        IFERROR(VALUE($I7),0) * MAX(0, IF(MIN($I$1, DATE(Initialisatie!$C$5,12,31)) &lt; MAX($I$2, DATE(Initialisatie!$C$5,1,1)), 0, MONTH(MIN($I$1, DATE(Initialisatie!$C$5,12,31))) - MONTH(MAX($I$2, DATE(Initialisatie!$C$5,1,1))) + 1))
    ) / 12
)</f>
        <v>2545.36</v>
      </c>
    </row>
    <row r="8" spans="1:12" x14ac:dyDescent="0.45">
      <c r="A8" s="989"/>
      <c r="B8" s="35" t="s">
        <v>101</v>
      </c>
      <c r="C8" s="35">
        <v>2</v>
      </c>
      <c r="D8" s="35" t="s">
        <v>283</v>
      </c>
      <c r="E8">
        <v>2392.52</v>
      </c>
      <c r="F8">
        <v>2422.4299999999998</v>
      </c>
      <c r="G8">
        <v>2509.64</v>
      </c>
      <c r="H8">
        <v>2602.4899999999998</v>
      </c>
      <c r="I8">
        <v>2690.98</v>
      </c>
      <c r="K8">
        <f>IF(
    OR(
        AND(MAX(0, MIN($E$1, DATE(Initialisatie!$C$5,12,31)) - MAX($E$2, DATE(Initialisatie!$C$5,1,1)) + 1) &gt; 0,IFERROR(VALUE($E8),0)=0),
        AND(MAX(0, MIN($F$1, DATE(Initialisatie!$C$5,12,31)) - MAX($F$2, DATE(Initialisatie!$C$5,1,1)) + 1) &gt; 0,IFERROR(VALUE($F8),0)=0),
        AND(MAX(0, MIN($G$1, DATE(Initialisatie!$C$5,12,31)) - MAX($G$2, DATE(Initialisatie!$C$5,1,1)) + 1) &gt; 0,IFERROR(VALUE($G8),0)=0),
        AND(MAX(0, MIN($H$1, DATE(Initialisatie!$C$5,12,31)) - MAX($H$2, DATE(Initialisatie!$C$5,1,1)) + 1) &gt; 0,IFERROR(VALUE($H8),0)=0),
        AND(MAX(0, MIN($I$1, DATE(Initialisatie!$C$5,12,31)) - MAX($I$2, DATE(Initialisatie!$C$5,1,1)) + 1) &gt; 0,IFERROR(VALUE($I8),0)=0)
    ),
    0,
    SUM(
        IFERROR(VALUE($E8),0) * MAX(0, MIN($E$1, DATE(Initialisatie!$C$5,12,31)) - MAX($E$2, DATE(Initialisatie!$C$5,1,1)) + 1),
        IFERROR(VALUE($F8),0) * MAX(0, MIN($F$1, DATE(Initialisatie!$C$5,12,31)) - MAX($F$2, DATE(Initialisatie!$C$5,1,1)) + 1),
        IFERROR(VALUE($G8),0) * MAX(0, MIN($G$1, DATE(Initialisatie!$C$5,12,31)) - MAX($G$2, DATE(Initialisatie!$C$5,1,1)) + 1),
        IFERROR(VALUE($H8),0) * MAX(0, MIN($H$1, DATE(Initialisatie!$C$5,12,31)) - MAX($H$2, DATE(Initialisatie!$C$5,1,1)) + 1),
        IFERROR(VALUE($I8),0) * MAX(0, MIN($I$1, DATE(Initialisatie!$C$5,12,31)) - MAX($I$2, DATE(Initialisatie!$C$5,1,1)) + 1)
    ) / (DATE(Initialisatie!$C$5,12,31) - DATE(Initialisatie!$C$5,1,1) + 1)
)</f>
        <v>2602.4899999999998</v>
      </c>
      <c r="L8">
        <f>IF(
    OR(
        AND(MAX(0, IF(MIN($E$1, DATE(Initialisatie!$C$5,12,31)) &lt; MAX($E$2, DATE(Initialisatie!$C$5,1,1)), 0, MONTH(MIN($E$1, DATE(Initialisatie!$C$5,12,31))) - MONTH(MAX($E$2, DATE(Initialisatie!$C$5,1,1))) + 1)) &lt;= 0, IFERROR(VALUE($E8),0)=0),
        AND(MAX(0, IF(MIN($F$1, DATE(Initialisatie!$C$5,12,31)) &lt; MAX($F$2, DATE(Initialisatie!$C$5,1,1)), 0, MONTH(MIN($F$1, DATE(Initialisatie!$C$5,12,31))) - MONTH(MAX($F$2, DATE(Initialisatie!$C$5,1,1))) + 1)) &lt;= 0, IFERROR(VALUE($F8),0)=0),
        AND(MAX(0, IF(MIN($G$1, DATE(Initialisatie!$C$5,12,31)) &lt; MAX($G$2, DATE(Initialisatie!$C$5,1,1)), 0, MONTH(MIN($G$1, DATE(Initialisatie!$C$5,12,31))) - MONTH(MAX($G$2, DATE(Initialisatie!$C$5,1,1))) + 1)) &lt;= 0, IFERROR(VALUE($G8),0)=0),
        AND(MAX(0, IF(MIN($H$1, DATE(Initialisatie!$C$5,12,31)) &lt; MAX($H$2, DATE(Initialisatie!$C$5,1,1)), 0, MONTH(MIN($H$1, DATE(Initialisatie!$C$5,12,31))) - MONTH(MAX($H$2, DATE(Initialisatie!$C$5,1,1))) + 1)) &lt;= 0, IFERROR(VALUE($H8),0)=0),
        AND(MAX(0, IF(MIN($I$1, DATE(Initialisatie!$C$5,12,31)) &lt; MAX($I$2, DATE(Initialisatie!$C$5,1,1)), 0, MONTH(MIN($I$1, DATE(Initialisatie!$C$5,12,31))) - MONTH(MAX($I$2, DATE(Initialisatie!$C$5,1,1))) + 1)) &lt;= 0, IFERROR(VALUE($I8),0)=0)
    ),
    0,
    SUM(
        IFERROR(VALUE($E8),0) * MAX(0, IF(MIN($E$1, DATE(Initialisatie!$C$5,12,31)) &lt; MAX($E$2, DATE(Initialisatie!$C$5,1,1)), 0, MONTH(MIN($E$1, DATE(Initialisatie!$C$5,12,31))) - MONTH(MAX($E$2, DATE(Initialisatie!$C$5,1,1))) + 1)),
        IFERROR(VALUE($F8),0) * MAX(0, IF(MIN($F$1, DATE(Initialisatie!$C$5,12,31)) &lt; MAX($F$2, DATE(Initialisatie!$C$5,1,1)), 0, MONTH(MIN($F$1, DATE(Initialisatie!$C$5,12,31))) - MONTH(MAX($F$2, DATE(Initialisatie!$C$5,1,1))) + 1)),
        IFERROR(VALUE($G8),0) * MAX(0, IF(MIN($G$1, DATE(Initialisatie!$C$5,12,31)) &lt; MAX($G$2, DATE(Initialisatie!$C$5,1,1)), 0, MONTH(MIN($G$1, DATE(Initialisatie!$C$5,12,31))) - MONTH(MAX($G$2, DATE(Initialisatie!$C$5,1,1))) + 1)),
        IFERROR(VALUE($H8),0) * MAX(0, IF(MIN($H$1, DATE(Initialisatie!$C$5,12,31)) &lt; MAX($H$2, DATE(Initialisatie!$C$5,1,1)), 0, MONTH(MIN($H$1, DATE(Initialisatie!$C$5,12,31))) - MONTH(MAX($H$2, DATE(Initialisatie!$C$5,1,1))) + 1)),
        IFERROR(VALUE($I8),0) * MAX(0, IF(MIN($I$1, DATE(Initialisatie!$C$5,12,31)) &lt; MAX($I$2, DATE(Initialisatie!$C$5,1,1)), 0, MONTH(MIN($I$1, DATE(Initialisatie!$C$5,12,31))) - MONTH(MAX($I$2, DATE(Initialisatie!$C$5,1,1))) + 1))
    ) / 12
)</f>
        <v>2602.4899999999998</v>
      </c>
    </row>
    <row r="9" spans="1:12" x14ac:dyDescent="0.45">
      <c r="A9" s="989"/>
      <c r="B9" s="35" t="s">
        <v>99</v>
      </c>
      <c r="C9" s="35">
        <v>3</v>
      </c>
      <c r="D9" s="35" t="s">
        <v>282</v>
      </c>
      <c r="E9">
        <v>2468.0300000000002</v>
      </c>
      <c r="F9">
        <v>2498.88</v>
      </c>
      <c r="G9">
        <v>2588.84</v>
      </c>
      <c r="H9">
        <v>2684.63</v>
      </c>
      <c r="I9">
        <v>2775.9</v>
      </c>
      <c r="K9">
        <f>IF(
    OR(
        AND(MAX(0, MIN($E$1, DATE(Initialisatie!$C$5,12,31)) - MAX($E$2, DATE(Initialisatie!$C$5,1,1)) + 1) &gt; 0,IFERROR(VALUE($E9),0)=0),
        AND(MAX(0, MIN($F$1, DATE(Initialisatie!$C$5,12,31)) - MAX($F$2, DATE(Initialisatie!$C$5,1,1)) + 1) &gt; 0,IFERROR(VALUE($F9),0)=0),
        AND(MAX(0, MIN($G$1, DATE(Initialisatie!$C$5,12,31)) - MAX($G$2, DATE(Initialisatie!$C$5,1,1)) + 1) &gt; 0,IFERROR(VALUE($G9),0)=0),
        AND(MAX(0, MIN($H$1, DATE(Initialisatie!$C$5,12,31)) - MAX($H$2, DATE(Initialisatie!$C$5,1,1)) + 1) &gt; 0,IFERROR(VALUE($H9),0)=0),
        AND(MAX(0, MIN($I$1, DATE(Initialisatie!$C$5,12,31)) - MAX($I$2, DATE(Initialisatie!$C$5,1,1)) + 1) &gt; 0,IFERROR(VALUE($I9),0)=0)
    ),
    0,
    SUM(
        IFERROR(VALUE($E9),0) * MAX(0, MIN($E$1, DATE(Initialisatie!$C$5,12,31)) - MAX($E$2, DATE(Initialisatie!$C$5,1,1)) + 1),
        IFERROR(VALUE($F9),0) * MAX(0, MIN($F$1, DATE(Initialisatie!$C$5,12,31)) - MAX($F$2, DATE(Initialisatie!$C$5,1,1)) + 1),
        IFERROR(VALUE($G9),0) * MAX(0, MIN($G$1, DATE(Initialisatie!$C$5,12,31)) - MAX($G$2, DATE(Initialisatie!$C$5,1,1)) + 1),
        IFERROR(VALUE($H9),0) * MAX(0, MIN($H$1, DATE(Initialisatie!$C$5,12,31)) - MAX($H$2, DATE(Initialisatie!$C$5,1,1)) + 1),
        IFERROR(VALUE($I9),0) * MAX(0, MIN($I$1, DATE(Initialisatie!$C$5,12,31)) - MAX($I$2, DATE(Initialisatie!$C$5,1,1)) + 1)
    ) / (DATE(Initialisatie!$C$5,12,31) - DATE(Initialisatie!$C$5,1,1) + 1)
)</f>
        <v>2684.63</v>
      </c>
      <c r="L9">
        <f>IF(
    OR(
        AND(MAX(0, IF(MIN($E$1, DATE(Initialisatie!$C$5,12,31)) &lt; MAX($E$2, DATE(Initialisatie!$C$5,1,1)), 0, MONTH(MIN($E$1, DATE(Initialisatie!$C$5,12,31))) - MONTH(MAX($E$2, DATE(Initialisatie!$C$5,1,1))) + 1)) &lt;= 0, IFERROR(VALUE($E9),0)=0),
        AND(MAX(0, IF(MIN($F$1, DATE(Initialisatie!$C$5,12,31)) &lt; MAX($F$2, DATE(Initialisatie!$C$5,1,1)), 0, MONTH(MIN($F$1, DATE(Initialisatie!$C$5,12,31))) - MONTH(MAX($F$2, DATE(Initialisatie!$C$5,1,1))) + 1)) &lt;= 0, IFERROR(VALUE($F9),0)=0),
        AND(MAX(0, IF(MIN($G$1, DATE(Initialisatie!$C$5,12,31)) &lt; MAX($G$2, DATE(Initialisatie!$C$5,1,1)), 0, MONTH(MIN($G$1, DATE(Initialisatie!$C$5,12,31))) - MONTH(MAX($G$2, DATE(Initialisatie!$C$5,1,1))) + 1)) &lt;= 0, IFERROR(VALUE($G9),0)=0),
        AND(MAX(0, IF(MIN($H$1, DATE(Initialisatie!$C$5,12,31)) &lt; MAX($H$2, DATE(Initialisatie!$C$5,1,1)), 0, MONTH(MIN($H$1, DATE(Initialisatie!$C$5,12,31))) - MONTH(MAX($H$2, DATE(Initialisatie!$C$5,1,1))) + 1)) &lt;= 0, IFERROR(VALUE($H9),0)=0),
        AND(MAX(0, IF(MIN($I$1, DATE(Initialisatie!$C$5,12,31)) &lt; MAX($I$2, DATE(Initialisatie!$C$5,1,1)), 0, MONTH(MIN($I$1, DATE(Initialisatie!$C$5,12,31))) - MONTH(MAX($I$2, DATE(Initialisatie!$C$5,1,1))) + 1)) &lt;= 0, IFERROR(VALUE($I9),0)=0)
    ),
    0,
    SUM(
        IFERROR(VALUE($E9),0) * MAX(0, IF(MIN($E$1, DATE(Initialisatie!$C$5,12,31)) &lt; MAX($E$2, DATE(Initialisatie!$C$5,1,1)), 0, MONTH(MIN($E$1, DATE(Initialisatie!$C$5,12,31))) - MONTH(MAX($E$2, DATE(Initialisatie!$C$5,1,1))) + 1)),
        IFERROR(VALUE($F9),0) * MAX(0, IF(MIN($F$1, DATE(Initialisatie!$C$5,12,31)) &lt; MAX($F$2, DATE(Initialisatie!$C$5,1,1)), 0, MONTH(MIN($F$1, DATE(Initialisatie!$C$5,12,31))) - MONTH(MAX($F$2, DATE(Initialisatie!$C$5,1,1))) + 1)),
        IFERROR(VALUE($G9),0) * MAX(0, IF(MIN($G$1, DATE(Initialisatie!$C$5,12,31)) &lt; MAX($G$2, DATE(Initialisatie!$C$5,1,1)), 0, MONTH(MIN($G$1, DATE(Initialisatie!$C$5,12,31))) - MONTH(MAX($G$2, DATE(Initialisatie!$C$5,1,1))) + 1)),
        IFERROR(VALUE($H9),0) * MAX(0, IF(MIN($H$1, DATE(Initialisatie!$C$5,12,31)) &lt; MAX($H$2, DATE(Initialisatie!$C$5,1,1)), 0, MONTH(MIN($H$1, DATE(Initialisatie!$C$5,12,31))) - MONTH(MAX($H$2, DATE(Initialisatie!$C$5,1,1))) + 1)),
        IFERROR(VALUE($I9),0) * MAX(0, IF(MIN($I$1, DATE(Initialisatie!$C$5,12,31)) &lt; MAX($I$2, DATE(Initialisatie!$C$5,1,1)), 0, MONTH(MIN($I$1, DATE(Initialisatie!$C$5,12,31))) - MONTH(MAX($I$2, DATE(Initialisatie!$C$5,1,1))) + 1))
    ) / 12
)</f>
        <v>2684.63</v>
      </c>
    </row>
    <row r="10" spans="1:12" x14ac:dyDescent="0.45">
      <c r="A10" s="989"/>
      <c r="B10" s="35" t="s">
        <v>97</v>
      </c>
      <c r="C10" s="35">
        <v>4</v>
      </c>
      <c r="D10" s="35" t="s">
        <v>281</v>
      </c>
      <c r="E10">
        <v>2545.7600000000002</v>
      </c>
      <c r="F10">
        <v>2577.59</v>
      </c>
      <c r="G10">
        <v>2670.38</v>
      </c>
      <c r="H10">
        <v>2769.18</v>
      </c>
      <c r="I10">
        <v>2863.34</v>
      </c>
      <c r="K10">
        <f>IF(
    OR(
        AND(MAX(0, MIN($E$1, DATE(Initialisatie!$C$5,12,31)) - MAX($E$2, DATE(Initialisatie!$C$5,1,1)) + 1) &gt; 0,IFERROR(VALUE($E10),0)=0),
        AND(MAX(0, MIN($F$1, DATE(Initialisatie!$C$5,12,31)) - MAX($F$2, DATE(Initialisatie!$C$5,1,1)) + 1) &gt; 0,IFERROR(VALUE($F10),0)=0),
        AND(MAX(0, MIN($G$1, DATE(Initialisatie!$C$5,12,31)) - MAX($G$2, DATE(Initialisatie!$C$5,1,1)) + 1) &gt; 0,IFERROR(VALUE($G10),0)=0),
        AND(MAX(0, MIN($H$1, DATE(Initialisatie!$C$5,12,31)) - MAX($H$2, DATE(Initialisatie!$C$5,1,1)) + 1) &gt; 0,IFERROR(VALUE($H10),0)=0),
        AND(MAX(0, MIN($I$1, DATE(Initialisatie!$C$5,12,31)) - MAX($I$2, DATE(Initialisatie!$C$5,1,1)) + 1) &gt; 0,IFERROR(VALUE($I10),0)=0)
    ),
    0,
    SUM(
        IFERROR(VALUE($E10),0) * MAX(0, MIN($E$1, DATE(Initialisatie!$C$5,12,31)) - MAX($E$2, DATE(Initialisatie!$C$5,1,1)) + 1),
        IFERROR(VALUE($F10),0) * MAX(0, MIN($F$1, DATE(Initialisatie!$C$5,12,31)) - MAX($F$2, DATE(Initialisatie!$C$5,1,1)) + 1),
        IFERROR(VALUE($G10),0) * MAX(0, MIN($G$1, DATE(Initialisatie!$C$5,12,31)) - MAX($G$2, DATE(Initialisatie!$C$5,1,1)) + 1),
        IFERROR(VALUE($H10),0) * MAX(0, MIN($H$1, DATE(Initialisatie!$C$5,12,31)) - MAX($H$2, DATE(Initialisatie!$C$5,1,1)) + 1),
        IFERROR(VALUE($I10),0) * MAX(0, MIN($I$1, DATE(Initialisatie!$C$5,12,31)) - MAX($I$2, DATE(Initialisatie!$C$5,1,1)) + 1)
    ) / (DATE(Initialisatie!$C$5,12,31) - DATE(Initialisatie!$C$5,1,1) + 1)
)</f>
        <v>2769.18</v>
      </c>
      <c r="L10">
        <f>IF(
    OR(
        AND(MAX(0, IF(MIN($E$1, DATE(Initialisatie!$C$5,12,31)) &lt; MAX($E$2, DATE(Initialisatie!$C$5,1,1)), 0, MONTH(MIN($E$1, DATE(Initialisatie!$C$5,12,31))) - MONTH(MAX($E$2, DATE(Initialisatie!$C$5,1,1))) + 1)) &lt;= 0, IFERROR(VALUE($E10),0)=0),
        AND(MAX(0, IF(MIN($F$1, DATE(Initialisatie!$C$5,12,31)) &lt; MAX($F$2, DATE(Initialisatie!$C$5,1,1)), 0, MONTH(MIN($F$1, DATE(Initialisatie!$C$5,12,31))) - MONTH(MAX($F$2, DATE(Initialisatie!$C$5,1,1))) + 1)) &lt;= 0, IFERROR(VALUE($F10),0)=0),
        AND(MAX(0, IF(MIN($G$1, DATE(Initialisatie!$C$5,12,31)) &lt; MAX($G$2, DATE(Initialisatie!$C$5,1,1)), 0, MONTH(MIN($G$1, DATE(Initialisatie!$C$5,12,31))) - MONTH(MAX($G$2, DATE(Initialisatie!$C$5,1,1))) + 1)) &lt;= 0, IFERROR(VALUE($G10),0)=0),
        AND(MAX(0, IF(MIN($H$1, DATE(Initialisatie!$C$5,12,31)) &lt; MAX($H$2, DATE(Initialisatie!$C$5,1,1)), 0, MONTH(MIN($H$1, DATE(Initialisatie!$C$5,12,31))) - MONTH(MAX($H$2, DATE(Initialisatie!$C$5,1,1))) + 1)) &lt;= 0, IFERROR(VALUE($H10),0)=0),
        AND(MAX(0, IF(MIN($I$1, DATE(Initialisatie!$C$5,12,31)) &lt; MAX($I$2, DATE(Initialisatie!$C$5,1,1)), 0, MONTH(MIN($I$1, DATE(Initialisatie!$C$5,12,31))) - MONTH(MAX($I$2, DATE(Initialisatie!$C$5,1,1))) + 1)) &lt;= 0, IFERROR(VALUE($I10),0)=0)
    ),
    0,
    SUM(
        IFERROR(VALUE($E10),0) * MAX(0, IF(MIN($E$1, DATE(Initialisatie!$C$5,12,31)) &lt; MAX($E$2, DATE(Initialisatie!$C$5,1,1)), 0, MONTH(MIN($E$1, DATE(Initialisatie!$C$5,12,31))) - MONTH(MAX($E$2, DATE(Initialisatie!$C$5,1,1))) + 1)),
        IFERROR(VALUE($F10),0) * MAX(0, IF(MIN($F$1, DATE(Initialisatie!$C$5,12,31)) &lt; MAX($F$2, DATE(Initialisatie!$C$5,1,1)), 0, MONTH(MIN($F$1, DATE(Initialisatie!$C$5,12,31))) - MONTH(MAX($F$2, DATE(Initialisatie!$C$5,1,1))) + 1)),
        IFERROR(VALUE($G10),0) * MAX(0, IF(MIN($G$1, DATE(Initialisatie!$C$5,12,31)) &lt; MAX($G$2, DATE(Initialisatie!$C$5,1,1)), 0, MONTH(MIN($G$1, DATE(Initialisatie!$C$5,12,31))) - MONTH(MAX($G$2, DATE(Initialisatie!$C$5,1,1))) + 1)),
        IFERROR(VALUE($H10),0) * MAX(0, IF(MIN($H$1, DATE(Initialisatie!$C$5,12,31)) &lt; MAX($H$2, DATE(Initialisatie!$C$5,1,1)), 0, MONTH(MIN($H$1, DATE(Initialisatie!$C$5,12,31))) - MONTH(MAX($H$2, DATE(Initialisatie!$C$5,1,1))) + 1)),
        IFERROR(VALUE($I10),0) * MAX(0, IF(MIN($I$1, DATE(Initialisatie!$C$5,12,31)) &lt; MAX($I$2, DATE(Initialisatie!$C$5,1,1)), 0, MONTH(MIN($I$1, DATE(Initialisatie!$C$5,12,31))) - MONTH(MAX($I$2, DATE(Initialisatie!$C$5,1,1))) + 1))
    ) / 12
)</f>
        <v>2769.18</v>
      </c>
    </row>
    <row r="11" spans="1:12" x14ac:dyDescent="0.45">
      <c r="A11" s="989"/>
      <c r="B11" s="35" t="s">
        <v>95</v>
      </c>
      <c r="C11" s="35">
        <v>5</v>
      </c>
      <c r="D11" s="35" t="s">
        <v>280</v>
      </c>
      <c r="E11">
        <v>2625.68</v>
      </c>
      <c r="F11">
        <v>2658.5</v>
      </c>
      <c r="G11">
        <v>2754.21</v>
      </c>
      <c r="H11">
        <v>2856.12</v>
      </c>
      <c r="I11">
        <v>2953.22</v>
      </c>
      <c r="K11">
        <f>IF(
    OR(
        AND(MAX(0, MIN($E$1, DATE(Initialisatie!$C$5,12,31)) - MAX($E$2, DATE(Initialisatie!$C$5,1,1)) + 1) &gt; 0,IFERROR(VALUE($E11),0)=0),
        AND(MAX(0, MIN($F$1, DATE(Initialisatie!$C$5,12,31)) - MAX($F$2, DATE(Initialisatie!$C$5,1,1)) + 1) &gt; 0,IFERROR(VALUE($F11),0)=0),
        AND(MAX(0, MIN($G$1, DATE(Initialisatie!$C$5,12,31)) - MAX($G$2, DATE(Initialisatie!$C$5,1,1)) + 1) &gt; 0,IFERROR(VALUE($G11),0)=0),
        AND(MAX(0, MIN($H$1, DATE(Initialisatie!$C$5,12,31)) - MAX($H$2, DATE(Initialisatie!$C$5,1,1)) + 1) &gt; 0,IFERROR(VALUE($H11),0)=0),
        AND(MAX(0, MIN($I$1, DATE(Initialisatie!$C$5,12,31)) - MAX($I$2, DATE(Initialisatie!$C$5,1,1)) + 1) &gt; 0,IFERROR(VALUE($I11),0)=0)
    ),
    0,
    SUM(
        IFERROR(VALUE($E11),0) * MAX(0, MIN($E$1, DATE(Initialisatie!$C$5,12,31)) - MAX($E$2, DATE(Initialisatie!$C$5,1,1)) + 1),
        IFERROR(VALUE($F11),0) * MAX(0, MIN($F$1, DATE(Initialisatie!$C$5,12,31)) - MAX($F$2, DATE(Initialisatie!$C$5,1,1)) + 1),
        IFERROR(VALUE($G11),0) * MAX(0, MIN($G$1, DATE(Initialisatie!$C$5,12,31)) - MAX($G$2, DATE(Initialisatie!$C$5,1,1)) + 1),
        IFERROR(VALUE($H11),0) * MAX(0, MIN($H$1, DATE(Initialisatie!$C$5,12,31)) - MAX($H$2, DATE(Initialisatie!$C$5,1,1)) + 1),
        IFERROR(VALUE($I11),0) * MAX(0, MIN($I$1, DATE(Initialisatie!$C$5,12,31)) - MAX($I$2, DATE(Initialisatie!$C$5,1,1)) + 1)
    ) / (DATE(Initialisatie!$C$5,12,31) - DATE(Initialisatie!$C$5,1,1) + 1)
)</f>
        <v>2856.12</v>
      </c>
      <c r="L11">
        <f>IF(
    OR(
        AND(MAX(0, IF(MIN($E$1, DATE(Initialisatie!$C$5,12,31)) &lt; MAX($E$2, DATE(Initialisatie!$C$5,1,1)), 0, MONTH(MIN($E$1, DATE(Initialisatie!$C$5,12,31))) - MONTH(MAX($E$2, DATE(Initialisatie!$C$5,1,1))) + 1)) &lt;= 0, IFERROR(VALUE($E11),0)=0),
        AND(MAX(0, IF(MIN($F$1, DATE(Initialisatie!$C$5,12,31)) &lt; MAX($F$2, DATE(Initialisatie!$C$5,1,1)), 0, MONTH(MIN($F$1, DATE(Initialisatie!$C$5,12,31))) - MONTH(MAX($F$2, DATE(Initialisatie!$C$5,1,1))) + 1)) &lt;= 0, IFERROR(VALUE($F11),0)=0),
        AND(MAX(0, IF(MIN($G$1, DATE(Initialisatie!$C$5,12,31)) &lt; MAX($G$2, DATE(Initialisatie!$C$5,1,1)), 0, MONTH(MIN($G$1, DATE(Initialisatie!$C$5,12,31))) - MONTH(MAX($G$2, DATE(Initialisatie!$C$5,1,1))) + 1)) &lt;= 0, IFERROR(VALUE($G11),0)=0),
        AND(MAX(0, IF(MIN($H$1, DATE(Initialisatie!$C$5,12,31)) &lt; MAX($H$2, DATE(Initialisatie!$C$5,1,1)), 0, MONTH(MIN($H$1, DATE(Initialisatie!$C$5,12,31))) - MONTH(MAX($H$2, DATE(Initialisatie!$C$5,1,1))) + 1)) &lt;= 0, IFERROR(VALUE($H11),0)=0),
        AND(MAX(0, IF(MIN($I$1, DATE(Initialisatie!$C$5,12,31)) &lt; MAX($I$2, DATE(Initialisatie!$C$5,1,1)), 0, MONTH(MIN($I$1, DATE(Initialisatie!$C$5,12,31))) - MONTH(MAX($I$2, DATE(Initialisatie!$C$5,1,1))) + 1)) &lt;= 0, IFERROR(VALUE($I11),0)=0)
    ),
    0,
    SUM(
        IFERROR(VALUE($E11),0) * MAX(0, IF(MIN($E$1, DATE(Initialisatie!$C$5,12,31)) &lt; MAX($E$2, DATE(Initialisatie!$C$5,1,1)), 0, MONTH(MIN($E$1, DATE(Initialisatie!$C$5,12,31))) - MONTH(MAX($E$2, DATE(Initialisatie!$C$5,1,1))) + 1)),
        IFERROR(VALUE($F11),0) * MAX(0, IF(MIN($F$1, DATE(Initialisatie!$C$5,12,31)) &lt; MAX($F$2, DATE(Initialisatie!$C$5,1,1)), 0, MONTH(MIN($F$1, DATE(Initialisatie!$C$5,12,31))) - MONTH(MAX($F$2, DATE(Initialisatie!$C$5,1,1))) + 1)),
        IFERROR(VALUE($G11),0) * MAX(0, IF(MIN($G$1, DATE(Initialisatie!$C$5,12,31)) &lt; MAX($G$2, DATE(Initialisatie!$C$5,1,1)), 0, MONTH(MIN($G$1, DATE(Initialisatie!$C$5,12,31))) - MONTH(MAX($G$2, DATE(Initialisatie!$C$5,1,1))) + 1)),
        IFERROR(VALUE($H11),0) * MAX(0, IF(MIN($H$1, DATE(Initialisatie!$C$5,12,31)) &lt; MAX($H$2, DATE(Initialisatie!$C$5,1,1)), 0, MONTH(MIN($H$1, DATE(Initialisatie!$C$5,12,31))) - MONTH(MAX($H$2, DATE(Initialisatie!$C$5,1,1))) + 1)),
        IFERROR(VALUE($I11),0) * MAX(0, IF(MIN($I$1, DATE(Initialisatie!$C$5,12,31)) &lt; MAX($I$2, DATE(Initialisatie!$C$5,1,1)), 0, MONTH(MIN($I$1, DATE(Initialisatie!$C$5,12,31))) - MONTH(MAX($I$2, DATE(Initialisatie!$C$5,1,1))) + 1))
    ) / 12
)</f>
        <v>2856.1200000000003</v>
      </c>
    </row>
    <row r="12" spans="1:12" x14ac:dyDescent="0.45">
      <c r="A12" s="989"/>
      <c r="B12" s="35" t="s">
        <v>93</v>
      </c>
      <c r="C12" s="35">
        <v>6</v>
      </c>
      <c r="D12" s="35" t="s">
        <v>279</v>
      </c>
      <c r="E12">
        <v>2708.51</v>
      </c>
      <c r="F12">
        <v>2742.37</v>
      </c>
      <c r="G12">
        <v>2841.09</v>
      </c>
      <c r="H12">
        <v>2946.21</v>
      </c>
      <c r="I12">
        <v>3046.39</v>
      </c>
      <c r="K12">
        <f>IF(
    OR(
        AND(MAX(0, MIN($E$1, DATE(Initialisatie!$C$5,12,31)) - MAX($E$2, DATE(Initialisatie!$C$5,1,1)) + 1) &gt; 0,IFERROR(VALUE($E12),0)=0),
        AND(MAX(0, MIN($F$1, DATE(Initialisatie!$C$5,12,31)) - MAX($F$2, DATE(Initialisatie!$C$5,1,1)) + 1) &gt; 0,IFERROR(VALUE($F12),0)=0),
        AND(MAX(0, MIN($G$1, DATE(Initialisatie!$C$5,12,31)) - MAX($G$2, DATE(Initialisatie!$C$5,1,1)) + 1) &gt; 0,IFERROR(VALUE($G12),0)=0),
        AND(MAX(0, MIN($H$1, DATE(Initialisatie!$C$5,12,31)) - MAX($H$2, DATE(Initialisatie!$C$5,1,1)) + 1) &gt; 0,IFERROR(VALUE($H12),0)=0),
        AND(MAX(0, MIN($I$1, DATE(Initialisatie!$C$5,12,31)) - MAX($I$2, DATE(Initialisatie!$C$5,1,1)) + 1) &gt; 0,IFERROR(VALUE($I12),0)=0)
    ),
    0,
    SUM(
        IFERROR(VALUE($E12),0) * MAX(0, MIN($E$1, DATE(Initialisatie!$C$5,12,31)) - MAX($E$2, DATE(Initialisatie!$C$5,1,1)) + 1),
        IFERROR(VALUE($F12),0) * MAX(0, MIN($F$1, DATE(Initialisatie!$C$5,12,31)) - MAX($F$2, DATE(Initialisatie!$C$5,1,1)) + 1),
        IFERROR(VALUE($G12),0) * MAX(0, MIN($G$1, DATE(Initialisatie!$C$5,12,31)) - MAX($G$2, DATE(Initialisatie!$C$5,1,1)) + 1),
        IFERROR(VALUE($H12),0) * MAX(0, MIN($H$1, DATE(Initialisatie!$C$5,12,31)) - MAX($H$2, DATE(Initialisatie!$C$5,1,1)) + 1),
        IFERROR(VALUE($I12),0) * MAX(0, MIN($I$1, DATE(Initialisatie!$C$5,12,31)) - MAX($I$2, DATE(Initialisatie!$C$5,1,1)) + 1)
    ) / (DATE(Initialisatie!$C$5,12,31) - DATE(Initialisatie!$C$5,1,1) + 1)
)</f>
        <v>2946.2099999999996</v>
      </c>
      <c r="L12">
        <f>IF(
    OR(
        AND(MAX(0, IF(MIN($E$1, DATE(Initialisatie!$C$5,12,31)) &lt; MAX($E$2, DATE(Initialisatie!$C$5,1,1)), 0, MONTH(MIN($E$1, DATE(Initialisatie!$C$5,12,31))) - MONTH(MAX($E$2, DATE(Initialisatie!$C$5,1,1))) + 1)) &lt;= 0, IFERROR(VALUE($E12),0)=0),
        AND(MAX(0, IF(MIN($F$1, DATE(Initialisatie!$C$5,12,31)) &lt; MAX($F$2, DATE(Initialisatie!$C$5,1,1)), 0, MONTH(MIN($F$1, DATE(Initialisatie!$C$5,12,31))) - MONTH(MAX($F$2, DATE(Initialisatie!$C$5,1,1))) + 1)) &lt;= 0, IFERROR(VALUE($F12),0)=0),
        AND(MAX(0, IF(MIN($G$1, DATE(Initialisatie!$C$5,12,31)) &lt; MAX($G$2, DATE(Initialisatie!$C$5,1,1)), 0, MONTH(MIN($G$1, DATE(Initialisatie!$C$5,12,31))) - MONTH(MAX($G$2, DATE(Initialisatie!$C$5,1,1))) + 1)) &lt;= 0, IFERROR(VALUE($G12),0)=0),
        AND(MAX(0, IF(MIN($H$1, DATE(Initialisatie!$C$5,12,31)) &lt; MAX($H$2, DATE(Initialisatie!$C$5,1,1)), 0, MONTH(MIN($H$1, DATE(Initialisatie!$C$5,12,31))) - MONTH(MAX($H$2, DATE(Initialisatie!$C$5,1,1))) + 1)) &lt;= 0, IFERROR(VALUE($H12),0)=0),
        AND(MAX(0, IF(MIN($I$1, DATE(Initialisatie!$C$5,12,31)) &lt; MAX($I$2, DATE(Initialisatie!$C$5,1,1)), 0, MONTH(MIN($I$1, DATE(Initialisatie!$C$5,12,31))) - MONTH(MAX($I$2, DATE(Initialisatie!$C$5,1,1))) + 1)) &lt;= 0, IFERROR(VALUE($I12),0)=0)
    ),
    0,
    SUM(
        IFERROR(VALUE($E12),0) * MAX(0, IF(MIN($E$1, DATE(Initialisatie!$C$5,12,31)) &lt; MAX($E$2, DATE(Initialisatie!$C$5,1,1)), 0, MONTH(MIN($E$1, DATE(Initialisatie!$C$5,12,31))) - MONTH(MAX($E$2, DATE(Initialisatie!$C$5,1,1))) + 1)),
        IFERROR(VALUE($F12),0) * MAX(0, IF(MIN($F$1, DATE(Initialisatie!$C$5,12,31)) &lt; MAX($F$2, DATE(Initialisatie!$C$5,1,1)), 0, MONTH(MIN($F$1, DATE(Initialisatie!$C$5,12,31))) - MONTH(MAX($F$2, DATE(Initialisatie!$C$5,1,1))) + 1)),
        IFERROR(VALUE($G12),0) * MAX(0, IF(MIN($G$1, DATE(Initialisatie!$C$5,12,31)) &lt; MAX($G$2, DATE(Initialisatie!$C$5,1,1)), 0, MONTH(MIN($G$1, DATE(Initialisatie!$C$5,12,31))) - MONTH(MAX($G$2, DATE(Initialisatie!$C$5,1,1))) + 1)),
        IFERROR(VALUE($H12),0) * MAX(0, IF(MIN($H$1, DATE(Initialisatie!$C$5,12,31)) &lt; MAX($H$2, DATE(Initialisatie!$C$5,1,1)), 0, MONTH(MIN($H$1, DATE(Initialisatie!$C$5,12,31))) - MONTH(MAX($H$2, DATE(Initialisatie!$C$5,1,1))) + 1)),
        IFERROR(VALUE($I12),0) * MAX(0, IF(MIN($I$1, DATE(Initialisatie!$C$5,12,31)) &lt; MAX($I$2, DATE(Initialisatie!$C$5,1,1)), 0, MONTH(MIN($I$1, DATE(Initialisatie!$C$5,12,31))) - MONTH(MAX($I$2, DATE(Initialisatie!$C$5,1,1))) + 1))
    ) / 12
)</f>
        <v>2946.2100000000005</v>
      </c>
    </row>
    <row r="13" spans="1:12" x14ac:dyDescent="0.45">
      <c r="A13" s="989"/>
      <c r="B13" s="35" t="s">
        <v>91</v>
      </c>
      <c r="C13" s="35">
        <v>7</v>
      </c>
      <c r="D13" s="35" t="s">
        <v>278</v>
      </c>
      <c r="E13">
        <v>2793.51</v>
      </c>
      <c r="F13">
        <v>2828.43</v>
      </c>
      <c r="G13">
        <v>2930.26</v>
      </c>
      <c r="H13">
        <v>3038.68</v>
      </c>
      <c r="I13">
        <v>3141.99</v>
      </c>
      <c r="K13">
        <f>IF(
    OR(
        AND(MAX(0, MIN($E$1, DATE(Initialisatie!$C$5,12,31)) - MAX($E$2, DATE(Initialisatie!$C$5,1,1)) + 1) &gt; 0,IFERROR(VALUE($E13),0)=0),
        AND(MAX(0, MIN($F$1, DATE(Initialisatie!$C$5,12,31)) - MAX($F$2, DATE(Initialisatie!$C$5,1,1)) + 1) &gt; 0,IFERROR(VALUE($F13),0)=0),
        AND(MAX(0, MIN($G$1, DATE(Initialisatie!$C$5,12,31)) - MAX($G$2, DATE(Initialisatie!$C$5,1,1)) + 1) &gt; 0,IFERROR(VALUE($G13),0)=0),
        AND(MAX(0, MIN($H$1, DATE(Initialisatie!$C$5,12,31)) - MAX($H$2, DATE(Initialisatie!$C$5,1,1)) + 1) &gt; 0,IFERROR(VALUE($H13),0)=0),
        AND(MAX(0, MIN($I$1, DATE(Initialisatie!$C$5,12,31)) - MAX($I$2, DATE(Initialisatie!$C$5,1,1)) + 1) &gt; 0,IFERROR(VALUE($I13),0)=0)
    ),
    0,
    SUM(
        IFERROR(VALUE($E13),0) * MAX(0, MIN($E$1, DATE(Initialisatie!$C$5,12,31)) - MAX($E$2, DATE(Initialisatie!$C$5,1,1)) + 1),
        IFERROR(VALUE($F13),0) * MAX(0, MIN($F$1, DATE(Initialisatie!$C$5,12,31)) - MAX($F$2, DATE(Initialisatie!$C$5,1,1)) + 1),
        IFERROR(VALUE($G13),0) * MAX(0, MIN($G$1, DATE(Initialisatie!$C$5,12,31)) - MAX($G$2, DATE(Initialisatie!$C$5,1,1)) + 1),
        IFERROR(VALUE($H13),0) * MAX(0, MIN($H$1, DATE(Initialisatie!$C$5,12,31)) - MAX($H$2, DATE(Initialisatie!$C$5,1,1)) + 1),
        IFERROR(VALUE($I13),0) * MAX(0, MIN($I$1, DATE(Initialisatie!$C$5,12,31)) - MAX($I$2, DATE(Initialisatie!$C$5,1,1)) + 1)
    ) / (DATE(Initialisatie!$C$5,12,31) - DATE(Initialisatie!$C$5,1,1) + 1)
)</f>
        <v>3038.68</v>
      </c>
      <c r="L13">
        <f>IF(
    OR(
        AND(MAX(0, IF(MIN($E$1, DATE(Initialisatie!$C$5,12,31)) &lt; MAX($E$2, DATE(Initialisatie!$C$5,1,1)), 0, MONTH(MIN($E$1, DATE(Initialisatie!$C$5,12,31))) - MONTH(MAX($E$2, DATE(Initialisatie!$C$5,1,1))) + 1)) &lt;= 0, IFERROR(VALUE($E13),0)=0),
        AND(MAX(0, IF(MIN($F$1, DATE(Initialisatie!$C$5,12,31)) &lt; MAX($F$2, DATE(Initialisatie!$C$5,1,1)), 0, MONTH(MIN($F$1, DATE(Initialisatie!$C$5,12,31))) - MONTH(MAX($F$2, DATE(Initialisatie!$C$5,1,1))) + 1)) &lt;= 0, IFERROR(VALUE($F13),0)=0),
        AND(MAX(0, IF(MIN($G$1, DATE(Initialisatie!$C$5,12,31)) &lt; MAX($G$2, DATE(Initialisatie!$C$5,1,1)), 0, MONTH(MIN($G$1, DATE(Initialisatie!$C$5,12,31))) - MONTH(MAX($G$2, DATE(Initialisatie!$C$5,1,1))) + 1)) &lt;= 0, IFERROR(VALUE($G13),0)=0),
        AND(MAX(0, IF(MIN($H$1, DATE(Initialisatie!$C$5,12,31)) &lt; MAX($H$2, DATE(Initialisatie!$C$5,1,1)), 0, MONTH(MIN($H$1, DATE(Initialisatie!$C$5,12,31))) - MONTH(MAX($H$2, DATE(Initialisatie!$C$5,1,1))) + 1)) &lt;= 0, IFERROR(VALUE($H13),0)=0),
        AND(MAX(0, IF(MIN($I$1, DATE(Initialisatie!$C$5,12,31)) &lt; MAX($I$2, DATE(Initialisatie!$C$5,1,1)), 0, MONTH(MIN($I$1, DATE(Initialisatie!$C$5,12,31))) - MONTH(MAX($I$2, DATE(Initialisatie!$C$5,1,1))) + 1)) &lt;= 0, IFERROR(VALUE($I13),0)=0)
    ),
    0,
    SUM(
        IFERROR(VALUE($E13),0) * MAX(0, IF(MIN($E$1, DATE(Initialisatie!$C$5,12,31)) &lt; MAX($E$2, DATE(Initialisatie!$C$5,1,1)), 0, MONTH(MIN($E$1, DATE(Initialisatie!$C$5,12,31))) - MONTH(MAX($E$2, DATE(Initialisatie!$C$5,1,1))) + 1)),
        IFERROR(VALUE($F13),0) * MAX(0, IF(MIN($F$1, DATE(Initialisatie!$C$5,12,31)) &lt; MAX($F$2, DATE(Initialisatie!$C$5,1,1)), 0, MONTH(MIN($F$1, DATE(Initialisatie!$C$5,12,31))) - MONTH(MAX($F$2, DATE(Initialisatie!$C$5,1,1))) + 1)),
        IFERROR(VALUE($G13),0) * MAX(0, IF(MIN($G$1, DATE(Initialisatie!$C$5,12,31)) &lt; MAX($G$2, DATE(Initialisatie!$C$5,1,1)), 0, MONTH(MIN($G$1, DATE(Initialisatie!$C$5,12,31))) - MONTH(MAX($G$2, DATE(Initialisatie!$C$5,1,1))) + 1)),
        IFERROR(VALUE($H13),0) * MAX(0, IF(MIN($H$1, DATE(Initialisatie!$C$5,12,31)) &lt; MAX($H$2, DATE(Initialisatie!$C$5,1,1)), 0, MONTH(MIN($H$1, DATE(Initialisatie!$C$5,12,31))) - MONTH(MAX($H$2, DATE(Initialisatie!$C$5,1,1))) + 1)),
        IFERROR(VALUE($I13),0) * MAX(0, IF(MIN($I$1, DATE(Initialisatie!$C$5,12,31)) &lt; MAX($I$2, DATE(Initialisatie!$C$5,1,1)), 0, MONTH(MIN($I$1, DATE(Initialisatie!$C$5,12,31))) - MONTH(MAX($I$2, DATE(Initialisatie!$C$5,1,1))) + 1))
    ) / 12
)</f>
        <v>3038.68</v>
      </c>
    </row>
    <row r="14" spans="1:12" x14ac:dyDescent="0.45">
      <c r="A14" s="989"/>
      <c r="B14" s="35" t="s">
        <v>89</v>
      </c>
      <c r="C14" s="35">
        <v>8</v>
      </c>
      <c r="D14" s="35" t="s">
        <v>277</v>
      </c>
      <c r="E14">
        <v>2882.2</v>
      </c>
      <c r="F14">
        <v>2918.23</v>
      </c>
      <c r="G14">
        <v>3023.29</v>
      </c>
      <c r="H14">
        <v>3135.15</v>
      </c>
      <c r="I14">
        <v>3241.74</v>
      </c>
      <c r="K14">
        <f>IF(
    OR(
        AND(MAX(0, MIN($E$1, DATE(Initialisatie!$C$5,12,31)) - MAX($E$2, DATE(Initialisatie!$C$5,1,1)) + 1) &gt; 0,IFERROR(VALUE($E14),0)=0),
        AND(MAX(0, MIN($F$1, DATE(Initialisatie!$C$5,12,31)) - MAX($F$2, DATE(Initialisatie!$C$5,1,1)) + 1) &gt; 0,IFERROR(VALUE($F14),0)=0),
        AND(MAX(0, MIN($G$1, DATE(Initialisatie!$C$5,12,31)) - MAX($G$2, DATE(Initialisatie!$C$5,1,1)) + 1) &gt; 0,IFERROR(VALUE($G14),0)=0),
        AND(MAX(0, MIN($H$1, DATE(Initialisatie!$C$5,12,31)) - MAX($H$2, DATE(Initialisatie!$C$5,1,1)) + 1) &gt; 0,IFERROR(VALUE($H14),0)=0),
        AND(MAX(0, MIN($I$1, DATE(Initialisatie!$C$5,12,31)) - MAX($I$2, DATE(Initialisatie!$C$5,1,1)) + 1) &gt; 0,IFERROR(VALUE($I14),0)=0)
    ),
    0,
    SUM(
        IFERROR(VALUE($E14),0) * MAX(0, MIN($E$1, DATE(Initialisatie!$C$5,12,31)) - MAX($E$2, DATE(Initialisatie!$C$5,1,1)) + 1),
        IFERROR(VALUE($F14),0) * MAX(0, MIN($F$1, DATE(Initialisatie!$C$5,12,31)) - MAX($F$2, DATE(Initialisatie!$C$5,1,1)) + 1),
        IFERROR(VALUE($G14),0) * MAX(0, MIN($G$1, DATE(Initialisatie!$C$5,12,31)) - MAX($G$2, DATE(Initialisatie!$C$5,1,1)) + 1),
        IFERROR(VALUE($H14),0) * MAX(0, MIN($H$1, DATE(Initialisatie!$C$5,12,31)) - MAX($H$2, DATE(Initialisatie!$C$5,1,1)) + 1),
        IFERROR(VALUE($I14),0) * MAX(0, MIN($I$1, DATE(Initialisatie!$C$5,12,31)) - MAX($I$2, DATE(Initialisatie!$C$5,1,1)) + 1)
    ) / (DATE(Initialisatie!$C$5,12,31) - DATE(Initialisatie!$C$5,1,1) + 1)
)</f>
        <v>3135.15</v>
      </c>
      <c r="L14">
        <f>IF(
    OR(
        AND(MAX(0, IF(MIN($E$1, DATE(Initialisatie!$C$5,12,31)) &lt; MAX($E$2, DATE(Initialisatie!$C$5,1,1)), 0, MONTH(MIN($E$1, DATE(Initialisatie!$C$5,12,31))) - MONTH(MAX($E$2, DATE(Initialisatie!$C$5,1,1))) + 1)) &lt;= 0, IFERROR(VALUE($E14),0)=0),
        AND(MAX(0, IF(MIN($F$1, DATE(Initialisatie!$C$5,12,31)) &lt; MAX($F$2, DATE(Initialisatie!$C$5,1,1)), 0, MONTH(MIN($F$1, DATE(Initialisatie!$C$5,12,31))) - MONTH(MAX($F$2, DATE(Initialisatie!$C$5,1,1))) + 1)) &lt;= 0, IFERROR(VALUE($F14),0)=0),
        AND(MAX(0, IF(MIN($G$1, DATE(Initialisatie!$C$5,12,31)) &lt; MAX($G$2, DATE(Initialisatie!$C$5,1,1)), 0, MONTH(MIN($G$1, DATE(Initialisatie!$C$5,12,31))) - MONTH(MAX($G$2, DATE(Initialisatie!$C$5,1,1))) + 1)) &lt;= 0, IFERROR(VALUE($G14),0)=0),
        AND(MAX(0, IF(MIN($H$1, DATE(Initialisatie!$C$5,12,31)) &lt; MAX($H$2, DATE(Initialisatie!$C$5,1,1)), 0, MONTH(MIN($H$1, DATE(Initialisatie!$C$5,12,31))) - MONTH(MAX($H$2, DATE(Initialisatie!$C$5,1,1))) + 1)) &lt;= 0, IFERROR(VALUE($H14),0)=0),
        AND(MAX(0, IF(MIN($I$1, DATE(Initialisatie!$C$5,12,31)) &lt; MAX($I$2, DATE(Initialisatie!$C$5,1,1)), 0, MONTH(MIN($I$1, DATE(Initialisatie!$C$5,12,31))) - MONTH(MAX($I$2, DATE(Initialisatie!$C$5,1,1))) + 1)) &lt;= 0, IFERROR(VALUE($I14),0)=0)
    ),
    0,
    SUM(
        IFERROR(VALUE($E14),0) * MAX(0, IF(MIN($E$1, DATE(Initialisatie!$C$5,12,31)) &lt; MAX($E$2, DATE(Initialisatie!$C$5,1,1)), 0, MONTH(MIN($E$1, DATE(Initialisatie!$C$5,12,31))) - MONTH(MAX($E$2, DATE(Initialisatie!$C$5,1,1))) + 1)),
        IFERROR(VALUE($F14),0) * MAX(0, IF(MIN($F$1, DATE(Initialisatie!$C$5,12,31)) &lt; MAX($F$2, DATE(Initialisatie!$C$5,1,1)), 0, MONTH(MIN($F$1, DATE(Initialisatie!$C$5,12,31))) - MONTH(MAX($F$2, DATE(Initialisatie!$C$5,1,1))) + 1)),
        IFERROR(VALUE($G14),0) * MAX(0, IF(MIN($G$1, DATE(Initialisatie!$C$5,12,31)) &lt; MAX($G$2, DATE(Initialisatie!$C$5,1,1)), 0, MONTH(MIN($G$1, DATE(Initialisatie!$C$5,12,31))) - MONTH(MAX($G$2, DATE(Initialisatie!$C$5,1,1))) + 1)),
        IFERROR(VALUE($H14),0) * MAX(0, IF(MIN($H$1, DATE(Initialisatie!$C$5,12,31)) &lt; MAX($H$2, DATE(Initialisatie!$C$5,1,1)), 0, MONTH(MIN($H$1, DATE(Initialisatie!$C$5,12,31))) - MONTH(MAX($H$2, DATE(Initialisatie!$C$5,1,1))) + 1)),
        IFERROR(VALUE($I14),0) * MAX(0, IF(MIN($I$1, DATE(Initialisatie!$C$5,12,31)) &lt; MAX($I$2, DATE(Initialisatie!$C$5,1,1)), 0, MONTH(MIN($I$1, DATE(Initialisatie!$C$5,12,31))) - MONTH(MAX($I$2, DATE(Initialisatie!$C$5,1,1))) + 1))
    ) / 12
)</f>
        <v>3135.15</v>
      </c>
    </row>
    <row r="15" spans="1:12" x14ac:dyDescent="0.45">
      <c r="A15" s="989"/>
      <c r="B15" s="35" t="s">
        <v>87</v>
      </c>
      <c r="C15" s="35">
        <v>9</v>
      </c>
      <c r="D15" s="35" t="s">
        <v>276</v>
      </c>
      <c r="E15">
        <v>2972.98</v>
      </c>
      <c r="F15">
        <v>3010.14</v>
      </c>
      <c r="G15">
        <v>3118.51</v>
      </c>
      <c r="H15">
        <v>3233.89</v>
      </c>
      <c r="I15">
        <v>3343.85</v>
      </c>
      <c r="K15">
        <f>IF(
    OR(
        AND(MAX(0, MIN($E$1, DATE(Initialisatie!$C$5,12,31)) - MAX($E$2, DATE(Initialisatie!$C$5,1,1)) + 1) &gt; 0,IFERROR(VALUE($E15),0)=0),
        AND(MAX(0, MIN($F$1, DATE(Initialisatie!$C$5,12,31)) - MAX($F$2, DATE(Initialisatie!$C$5,1,1)) + 1) &gt; 0,IFERROR(VALUE($F15),0)=0),
        AND(MAX(0, MIN($G$1, DATE(Initialisatie!$C$5,12,31)) - MAX($G$2, DATE(Initialisatie!$C$5,1,1)) + 1) &gt; 0,IFERROR(VALUE($G15),0)=0),
        AND(MAX(0, MIN($H$1, DATE(Initialisatie!$C$5,12,31)) - MAX($H$2, DATE(Initialisatie!$C$5,1,1)) + 1) &gt; 0,IFERROR(VALUE($H15),0)=0),
        AND(MAX(0, MIN($I$1, DATE(Initialisatie!$C$5,12,31)) - MAX($I$2, DATE(Initialisatie!$C$5,1,1)) + 1) &gt; 0,IFERROR(VALUE($I15),0)=0)
    ),
    0,
    SUM(
        IFERROR(VALUE($E15),0) * MAX(0, MIN($E$1, DATE(Initialisatie!$C$5,12,31)) - MAX($E$2, DATE(Initialisatie!$C$5,1,1)) + 1),
        IFERROR(VALUE($F15),0) * MAX(0, MIN($F$1, DATE(Initialisatie!$C$5,12,31)) - MAX($F$2, DATE(Initialisatie!$C$5,1,1)) + 1),
        IFERROR(VALUE($G15),0) * MAX(0, MIN($G$1, DATE(Initialisatie!$C$5,12,31)) - MAX($G$2, DATE(Initialisatie!$C$5,1,1)) + 1),
        IFERROR(VALUE($H15),0) * MAX(0, MIN($H$1, DATE(Initialisatie!$C$5,12,31)) - MAX($H$2, DATE(Initialisatie!$C$5,1,1)) + 1),
        IFERROR(VALUE($I15),0) * MAX(0, MIN($I$1, DATE(Initialisatie!$C$5,12,31)) - MAX($I$2, DATE(Initialisatie!$C$5,1,1)) + 1)
    ) / (DATE(Initialisatie!$C$5,12,31) - DATE(Initialisatie!$C$5,1,1) + 1)
)</f>
        <v>3233.8899999999994</v>
      </c>
      <c r="L15">
        <f>IF(
    OR(
        AND(MAX(0, IF(MIN($E$1, DATE(Initialisatie!$C$5,12,31)) &lt; MAX($E$2, DATE(Initialisatie!$C$5,1,1)), 0, MONTH(MIN($E$1, DATE(Initialisatie!$C$5,12,31))) - MONTH(MAX($E$2, DATE(Initialisatie!$C$5,1,1))) + 1)) &lt;= 0, IFERROR(VALUE($E15),0)=0),
        AND(MAX(0, IF(MIN($F$1, DATE(Initialisatie!$C$5,12,31)) &lt; MAX($F$2, DATE(Initialisatie!$C$5,1,1)), 0, MONTH(MIN($F$1, DATE(Initialisatie!$C$5,12,31))) - MONTH(MAX($F$2, DATE(Initialisatie!$C$5,1,1))) + 1)) &lt;= 0, IFERROR(VALUE($F15),0)=0),
        AND(MAX(0, IF(MIN($G$1, DATE(Initialisatie!$C$5,12,31)) &lt; MAX($G$2, DATE(Initialisatie!$C$5,1,1)), 0, MONTH(MIN($G$1, DATE(Initialisatie!$C$5,12,31))) - MONTH(MAX($G$2, DATE(Initialisatie!$C$5,1,1))) + 1)) &lt;= 0, IFERROR(VALUE($G15),0)=0),
        AND(MAX(0, IF(MIN($H$1, DATE(Initialisatie!$C$5,12,31)) &lt; MAX($H$2, DATE(Initialisatie!$C$5,1,1)), 0, MONTH(MIN($H$1, DATE(Initialisatie!$C$5,12,31))) - MONTH(MAX($H$2, DATE(Initialisatie!$C$5,1,1))) + 1)) &lt;= 0, IFERROR(VALUE($H15),0)=0),
        AND(MAX(0, IF(MIN($I$1, DATE(Initialisatie!$C$5,12,31)) &lt; MAX($I$2, DATE(Initialisatie!$C$5,1,1)), 0, MONTH(MIN($I$1, DATE(Initialisatie!$C$5,12,31))) - MONTH(MAX($I$2, DATE(Initialisatie!$C$5,1,1))) + 1)) &lt;= 0, IFERROR(VALUE($I15),0)=0)
    ),
    0,
    SUM(
        IFERROR(VALUE($E15),0) * MAX(0, IF(MIN($E$1, DATE(Initialisatie!$C$5,12,31)) &lt; MAX($E$2, DATE(Initialisatie!$C$5,1,1)), 0, MONTH(MIN($E$1, DATE(Initialisatie!$C$5,12,31))) - MONTH(MAX($E$2, DATE(Initialisatie!$C$5,1,1))) + 1)),
        IFERROR(VALUE($F15),0) * MAX(0, IF(MIN($F$1, DATE(Initialisatie!$C$5,12,31)) &lt; MAX($F$2, DATE(Initialisatie!$C$5,1,1)), 0, MONTH(MIN($F$1, DATE(Initialisatie!$C$5,12,31))) - MONTH(MAX($F$2, DATE(Initialisatie!$C$5,1,1))) + 1)),
        IFERROR(VALUE($G15),0) * MAX(0, IF(MIN($G$1, DATE(Initialisatie!$C$5,12,31)) &lt; MAX($G$2, DATE(Initialisatie!$C$5,1,1)), 0, MONTH(MIN($G$1, DATE(Initialisatie!$C$5,12,31))) - MONTH(MAX($G$2, DATE(Initialisatie!$C$5,1,1))) + 1)),
        IFERROR(VALUE($H15),0) * MAX(0, IF(MIN($H$1, DATE(Initialisatie!$C$5,12,31)) &lt; MAX($H$2, DATE(Initialisatie!$C$5,1,1)), 0, MONTH(MIN($H$1, DATE(Initialisatie!$C$5,12,31))) - MONTH(MAX($H$2, DATE(Initialisatie!$C$5,1,1))) + 1)),
        IFERROR(VALUE($I15),0) * MAX(0, IF(MIN($I$1, DATE(Initialisatie!$C$5,12,31)) &lt; MAX($I$2, DATE(Initialisatie!$C$5,1,1)), 0, MONTH(MIN($I$1, DATE(Initialisatie!$C$5,12,31))) - MONTH(MAX($I$2, DATE(Initialisatie!$C$5,1,1))) + 1))
    ) / 12
)</f>
        <v>3233.89</v>
      </c>
    </row>
    <row r="16" spans="1:12" x14ac:dyDescent="0.45">
      <c r="A16" s="989"/>
      <c r="B16" s="35" t="s">
        <v>109</v>
      </c>
      <c r="C16" s="35">
        <v>10</v>
      </c>
      <c r="D16" s="35" t="s">
        <v>287</v>
      </c>
      <c r="E16">
        <v>3065.97</v>
      </c>
      <c r="F16">
        <v>3104.3</v>
      </c>
      <c r="G16">
        <v>3216.05</v>
      </c>
      <c r="H16">
        <v>3335.05</v>
      </c>
      <c r="I16">
        <v>3448.44</v>
      </c>
      <c r="K16">
        <f>IF(
    OR(
        AND(MAX(0, MIN($E$1, DATE(Initialisatie!$C$5,12,31)) - MAX($E$2, DATE(Initialisatie!$C$5,1,1)) + 1) &gt; 0,IFERROR(VALUE($E16),0)=0),
        AND(MAX(0, MIN($F$1, DATE(Initialisatie!$C$5,12,31)) - MAX($F$2, DATE(Initialisatie!$C$5,1,1)) + 1) &gt; 0,IFERROR(VALUE($F16),0)=0),
        AND(MAX(0, MIN($G$1, DATE(Initialisatie!$C$5,12,31)) - MAX($G$2, DATE(Initialisatie!$C$5,1,1)) + 1) &gt; 0,IFERROR(VALUE($G16),0)=0),
        AND(MAX(0, MIN($H$1, DATE(Initialisatie!$C$5,12,31)) - MAX($H$2, DATE(Initialisatie!$C$5,1,1)) + 1) &gt; 0,IFERROR(VALUE($H16),0)=0),
        AND(MAX(0, MIN($I$1, DATE(Initialisatie!$C$5,12,31)) - MAX($I$2, DATE(Initialisatie!$C$5,1,1)) + 1) &gt; 0,IFERROR(VALUE($I16),0)=0)
    ),
    0,
    SUM(
        IFERROR(VALUE($E16),0) * MAX(0, MIN($E$1, DATE(Initialisatie!$C$5,12,31)) - MAX($E$2, DATE(Initialisatie!$C$5,1,1)) + 1),
        IFERROR(VALUE($F16),0) * MAX(0, MIN($F$1, DATE(Initialisatie!$C$5,12,31)) - MAX($F$2, DATE(Initialisatie!$C$5,1,1)) + 1),
        IFERROR(VALUE($G16),0) * MAX(0, MIN($G$1, DATE(Initialisatie!$C$5,12,31)) - MAX($G$2, DATE(Initialisatie!$C$5,1,1)) + 1),
        IFERROR(VALUE($H16),0) * MAX(0, MIN($H$1, DATE(Initialisatie!$C$5,12,31)) - MAX($H$2, DATE(Initialisatie!$C$5,1,1)) + 1),
        IFERROR(VALUE($I16),0) * MAX(0, MIN($I$1, DATE(Initialisatie!$C$5,12,31)) - MAX($I$2, DATE(Initialisatie!$C$5,1,1)) + 1)
    ) / (DATE(Initialisatie!$C$5,12,31) - DATE(Initialisatie!$C$5,1,1) + 1)
)</f>
        <v>3335.05</v>
      </c>
      <c r="L16">
        <f>IF(
    OR(
        AND(MAX(0, IF(MIN($E$1, DATE(Initialisatie!$C$5,12,31)) &lt; MAX($E$2, DATE(Initialisatie!$C$5,1,1)), 0, MONTH(MIN($E$1, DATE(Initialisatie!$C$5,12,31))) - MONTH(MAX($E$2, DATE(Initialisatie!$C$5,1,1))) + 1)) &lt;= 0, IFERROR(VALUE($E16),0)=0),
        AND(MAX(0, IF(MIN($F$1, DATE(Initialisatie!$C$5,12,31)) &lt; MAX($F$2, DATE(Initialisatie!$C$5,1,1)), 0, MONTH(MIN($F$1, DATE(Initialisatie!$C$5,12,31))) - MONTH(MAX($F$2, DATE(Initialisatie!$C$5,1,1))) + 1)) &lt;= 0, IFERROR(VALUE($F16),0)=0),
        AND(MAX(0, IF(MIN($G$1, DATE(Initialisatie!$C$5,12,31)) &lt; MAX($G$2, DATE(Initialisatie!$C$5,1,1)), 0, MONTH(MIN($G$1, DATE(Initialisatie!$C$5,12,31))) - MONTH(MAX($G$2, DATE(Initialisatie!$C$5,1,1))) + 1)) &lt;= 0, IFERROR(VALUE($G16),0)=0),
        AND(MAX(0, IF(MIN($H$1, DATE(Initialisatie!$C$5,12,31)) &lt; MAX($H$2, DATE(Initialisatie!$C$5,1,1)), 0, MONTH(MIN($H$1, DATE(Initialisatie!$C$5,12,31))) - MONTH(MAX($H$2, DATE(Initialisatie!$C$5,1,1))) + 1)) &lt;= 0, IFERROR(VALUE($H16),0)=0),
        AND(MAX(0, IF(MIN($I$1, DATE(Initialisatie!$C$5,12,31)) &lt; MAX($I$2, DATE(Initialisatie!$C$5,1,1)), 0, MONTH(MIN($I$1, DATE(Initialisatie!$C$5,12,31))) - MONTH(MAX($I$2, DATE(Initialisatie!$C$5,1,1))) + 1)) &lt;= 0, IFERROR(VALUE($I16),0)=0)
    ),
    0,
    SUM(
        IFERROR(VALUE($E16),0) * MAX(0, IF(MIN($E$1, DATE(Initialisatie!$C$5,12,31)) &lt; MAX($E$2, DATE(Initialisatie!$C$5,1,1)), 0, MONTH(MIN($E$1, DATE(Initialisatie!$C$5,12,31))) - MONTH(MAX($E$2, DATE(Initialisatie!$C$5,1,1))) + 1)),
        IFERROR(VALUE($F16),0) * MAX(0, IF(MIN($F$1, DATE(Initialisatie!$C$5,12,31)) &lt; MAX($F$2, DATE(Initialisatie!$C$5,1,1)), 0, MONTH(MIN($F$1, DATE(Initialisatie!$C$5,12,31))) - MONTH(MAX($F$2, DATE(Initialisatie!$C$5,1,1))) + 1)),
        IFERROR(VALUE($G16),0) * MAX(0, IF(MIN($G$1, DATE(Initialisatie!$C$5,12,31)) &lt; MAX($G$2, DATE(Initialisatie!$C$5,1,1)), 0, MONTH(MIN($G$1, DATE(Initialisatie!$C$5,12,31))) - MONTH(MAX($G$2, DATE(Initialisatie!$C$5,1,1))) + 1)),
        IFERROR(VALUE($H16),0) * MAX(0, IF(MIN($H$1, DATE(Initialisatie!$C$5,12,31)) &lt; MAX($H$2, DATE(Initialisatie!$C$5,1,1)), 0, MONTH(MIN($H$1, DATE(Initialisatie!$C$5,12,31))) - MONTH(MAX($H$2, DATE(Initialisatie!$C$5,1,1))) + 1)),
        IFERROR(VALUE($I16),0) * MAX(0, IF(MIN($I$1, DATE(Initialisatie!$C$5,12,31)) &lt; MAX($I$2, DATE(Initialisatie!$C$5,1,1)), 0, MONTH(MIN($I$1, DATE(Initialisatie!$C$5,12,31))) - MONTH(MAX($I$2, DATE(Initialisatie!$C$5,1,1))) + 1))
    ) / 12
)</f>
        <v>3335.0500000000006</v>
      </c>
    </row>
    <row r="17" spans="1:12" x14ac:dyDescent="0.45">
      <c r="A17" s="989"/>
      <c r="B17" s="35" t="s">
        <v>107</v>
      </c>
      <c r="C17" s="35">
        <v>11</v>
      </c>
      <c r="D17" s="35" t="s">
        <v>286</v>
      </c>
      <c r="E17">
        <v>0</v>
      </c>
      <c r="F17">
        <v>0</v>
      </c>
      <c r="G17">
        <v>0</v>
      </c>
      <c r="H17">
        <v>0</v>
      </c>
      <c r="I17">
        <v>0</v>
      </c>
      <c r="K17">
        <f>IF(
    OR(
        AND(MAX(0, MIN($E$1, DATE(Initialisatie!$C$5,12,31)) - MAX($E$2, DATE(Initialisatie!$C$5,1,1)) + 1) &gt; 0,IFERROR(VALUE($E17),0)=0),
        AND(MAX(0, MIN($F$1, DATE(Initialisatie!$C$5,12,31)) - MAX($F$2, DATE(Initialisatie!$C$5,1,1)) + 1) &gt; 0,IFERROR(VALUE($F17),0)=0),
        AND(MAX(0, MIN($G$1, DATE(Initialisatie!$C$5,12,31)) - MAX($G$2, DATE(Initialisatie!$C$5,1,1)) + 1) &gt; 0,IFERROR(VALUE($G17),0)=0),
        AND(MAX(0, MIN($H$1, DATE(Initialisatie!$C$5,12,31)) - MAX($H$2, DATE(Initialisatie!$C$5,1,1)) + 1) &gt; 0,IFERROR(VALUE($H17),0)=0),
        AND(MAX(0, MIN($I$1, DATE(Initialisatie!$C$5,12,31)) - MAX($I$2, DATE(Initialisatie!$C$5,1,1)) + 1) &gt; 0,IFERROR(VALUE($I17),0)=0)
    ),
    0,
    SUM(
        IFERROR(VALUE($E17),0) * MAX(0, MIN($E$1, DATE(Initialisatie!$C$5,12,31)) - MAX($E$2, DATE(Initialisatie!$C$5,1,1)) + 1),
        IFERROR(VALUE($F17),0) * MAX(0, MIN($F$1, DATE(Initialisatie!$C$5,12,31)) - MAX($F$2, DATE(Initialisatie!$C$5,1,1)) + 1),
        IFERROR(VALUE($G17),0) * MAX(0, MIN($G$1, DATE(Initialisatie!$C$5,12,31)) - MAX($G$2, DATE(Initialisatie!$C$5,1,1)) + 1),
        IFERROR(VALUE($H17),0) * MAX(0, MIN($H$1, DATE(Initialisatie!$C$5,12,31)) - MAX($H$2, DATE(Initialisatie!$C$5,1,1)) + 1),
        IFERROR(VALUE($I17),0) * MAX(0, MIN($I$1, DATE(Initialisatie!$C$5,12,31)) - MAX($I$2, DATE(Initialisatie!$C$5,1,1)) + 1)
    ) / (DATE(Initialisatie!$C$5,12,31) - DATE(Initialisatie!$C$5,1,1) + 1)
)</f>
        <v>0</v>
      </c>
      <c r="L17">
        <f>IF(
    OR(
        AND(MAX(0, IF(MIN($E$1, DATE(Initialisatie!$C$5,12,31)) &lt; MAX($E$2, DATE(Initialisatie!$C$5,1,1)), 0, MONTH(MIN($E$1, DATE(Initialisatie!$C$5,12,31))) - MONTH(MAX($E$2, DATE(Initialisatie!$C$5,1,1))) + 1)) &lt;= 0, IFERROR(VALUE($E17),0)=0),
        AND(MAX(0, IF(MIN($F$1, DATE(Initialisatie!$C$5,12,31)) &lt; MAX($F$2, DATE(Initialisatie!$C$5,1,1)), 0, MONTH(MIN($F$1, DATE(Initialisatie!$C$5,12,31))) - MONTH(MAX($F$2, DATE(Initialisatie!$C$5,1,1))) + 1)) &lt;= 0, IFERROR(VALUE($F17),0)=0),
        AND(MAX(0, IF(MIN($G$1, DATE(Initialisatie!$C$5,12,31)) &lt; MAX($G$2, DATE(Initialisatie!$C$5,1,1)), 0, MONTH(MIN($G$1, DATE(Initialisatie!$C$5,12,31))) - MONTH(MAX($G$2, DATE(Initialisatie!$C$5,1,1))) + 1)) &lt;= 0, IFERROR(VALUE($G17),0)=0),
        AND(MAX(0, IF(MIN($H$1, DATE(Initialisatie!$C$5,12,31)) &lt; MAX($H$2, DATE(Initialisatie!$C$5,1,1)), 0, MONTH(MIN($H$1, DATE(Initialisatie!$C$5,12,31))) - MONTH(MAX($H$2, DATE(Initialisatie!$C$5,1,1))) + 1)) &lt;= 0, IFERROR(VALUE($H17),0)=0),
        AND(MAX(0, IF(MIN($I$1, DATE(Initialisatie!$C$5,12,31)) &lt; MAX($I$2, DATE(Initialisatie!$C$5,1,1)), 0, MONTH(MIN($I$1, DATE(Initialisatie!$C$5,12,31))) - MONTH(MAX($I$2, DATE(Initialisatie!$C$5,1,1))) + 1)) &lt;= 0, IFERROR(VALUE($I17),0)=0)
    ),
    0,
    SUM(
        IFERROR(VALUE($E17),0) * MAX(0, IF(MIN($E$1, DATE(Initialisatie!$C$5,12,31)) &lt; MAX($E$2, DATE(Initialisatie!$C$5,1,1)), 0, MONTH(MIN($E$1, DATE(Initialisatie!$C$5,12,31))) - MONTH(MAX($E$2, DATE(Initialisatie!$C$5,1,1))) + 1)),
        IFERROR(VALUE($F17),0) * MAX(0, IF(MIN($F$1, DATE(Initialisatie!$C$5,12,31)) &lt; MAX($F$2, DATE(Initialisatie!$C$5,1,1)), 0, MONTH(MIN($F$1, DATE(Initialisatie!$C$5,12,31))) - MONTH(MAX($F$2, DATE(Initialisatie!$C$5,1,1))) + 1)),
        IFERROR(VALUE($G17),0) * MAX(0, IF(MIN($G$1, DATE(Initialisatie!$C$5,12,31)) &lt; MAX($G$2, DATE(Initialisatie!$C$5,1,1)), 0, MONTH(MIN($G$1, DATE(Initialisatie!$C$5,12,31))) - MONTH(MAX($G$2, DATE(Initialisatie!$C$5,1,1))) + 1)),
        IFERROR(VALUE($H17),0) * MAX(0, IF(MIN($H$1, DATE(Initialisatie!$C$5,12,31)) &lt; MAX($H$2, DATE(Initialisatie!$C$5,1,1)), 0, MONTH(MIN($H$1, DATE(Initialisatie!$C$5,12,31))) - MONTH(MAX($H$2, DATE(Initialisatie!$C$5,1,1))) + 1)),
        IFERROR(VALUE($I17),0) * MAX(0, IF(MIN($I$1, DATE(Initialisatie!$C$5,12,31)) &lt; MAX($I$2, DATE(Initialisatie!$C$5,1,1)), 0, MONTH(MIN($I$1, DATE(Initialisatie!$C$5,12,31))) - MONTH(MAX($I$2, DATE(Initialisatie!$C$5,1,1))) + 1))
    ) / 12
)</f>
        <v>0</v>
      </c>
    </row>
    <row r="18" spans="1:12" x14ac:dyDescent="0.45">
      <c r="A18" s="989"/>
      <c r="B18" s="35" t="s">
        <v>105</v>
      </c>
      <c r="C18" s="35">
        <v>12</v>
      </c>
      <c r="D18" s="35" t="s">
        <v>285</v>
      </c>
      <c r="E18">
        <v>0</v>
      </c>
      <c r="F18">
        <v>0</v>
      </c>
      <c r="G18">
        <v>0</v>
      </c>
      <c r="H18">
        <v>0</v>
      </c>
      <c r="I18">
        <v>0</v>
      </c>
      <c r="K18">
        <f>IF(
    OR(
        AND(MAX(0, MIN($E$1, DATE(Initialisatie!$C$5,12,31)) - MAX($E$2, DATE(Initialisatie!$C$5,1,1)) + 1) &gt; 0,IFERROR(VALUE($E18),0)=0),
        AND(MAX(0, MIN($F$1, DATE(Initialisatie!$C$5,12,31)) - MAX($F$2, DATE(Initialisatie!$C$5,1,1)) + 1) &gt; 0,IFERROR(VALUE($F18),0)=0),
        AND(MAX(0, MIN($G$1, DATE(Initialisatie!$C$5,12,31)) - MAX($G$2, DATE(Initialisatie!$C$5,1,1)) + 1) &gt; 0,IFERROR(VALUE($G18),0)=0),
        AND(MAX(0, MIN($H$1, DATE(Initialisatie!$C$5,12,31)) - MAX($H$2, DATE(Initialisatie!$C$5,1,1)) + 1) &gt; 0,IFERROR(VALUE($H18),0)=0),
        AND(MAX(0, MIN($I$1, DATE(Initialisatie!$C$5,12,31)) - MAX($I$2, DATE(Initialisatie!$C$5,1,1)) + 1) &gt; 0,IFERROR(VALUE($I18),0)=0)
    ),
    0,
    SUM(
        IFERROR(VALUE($E18),0) * MAX(0, MIN($E$1, DATE(Initialisatie!$C$5,12,31)) - MAX($E$2, DATE(Initialisatie!$C$5,1,1)) + 1),
        IFERROR(VALUE($F18),0) * MAX(0, MIN($F$1, DATE(Initialisatie!$C$5,12,31)) - MAX($F$2, DATE(Initialisatie!$C$5,1,1)) + 1),
        IFERROR(VALUE($G18),0) * MAX(0, MIN($G$1, DATE(Initialisatie!$C$5,12,31)) - MAX($G$2, DATE(Initialisatie!$C$5,1,1)) + 1),
        IFERROR(VALUE($H18),0) * MAX(0, MIN($H$1, DATE(Initialisatie!$C$5,12,31)) - MAX($H$2, DATE(Initialisatie!$C$5,1,1)) + 1),
        IFERROR(VALUE($I18),0) * MAX(0, MIN($I$1, DATE(Initialisatie!$C$5,12,31)) - MAX($I$2, DATE(Initialisatie!$C$5,1,1)) + 1)
    ) / (DATE(Initialisatie!$C$5,12,31) - DATE(Initialisatie!$C$5,1,1) + 1)
)</f>
        <v>0</v>
      </c>
      <c r="L18">
        <f>IF(
    OR(
        AND(MAX(0, IF(MIN($E$1, DATE(Initialisatie!$C$5,12,31)) &lt; MAX($E$2, DATE(Initialisatie!$C$5,1,1)), 0, MONTH(MIN($E$1, DATE(Initialisatie!$C$5,12,31))) - MONTH(MAX($E$2, DATE(Initialisatie!$C$5,1,1))) + 1)) &lt;= 0, IFERROR(VALUE($E18),0)=0),
        AND(MAX(0, IF(MIN($F$1, DATE(Initialisatie!$C$5,12,31)) &lt; MAX($F$2, DATE(Initialisatie!$C$5,1,1)), 0, MONTH(MIN($F$1, DATE(Initialisatie!$C$5,12,31))) - MONTH(MAX($F$2, DATE(Initialisatie!$C$5,1,1))) + 1)) &lt;= 0, IFERROR(VALUE($F18),0)=0),
        AND(MAX(0, IF(MIN($G$1, DATE(Initialisatie!$C$5,12,31)) &lt; MAX($G$2, DATE(Initialisatie!$C$5,1,1)), 0, MONTH(MIN($G$1, DATE(Initialisatie!$C$5,12,31))) - MONTH(MAX($G$2, DATE(Initialisatie!$C$5,1,1))) + 1)) &lt;= 0, IFERROR(VALUE($G18),0)=0),
        AND(MAX(0, IF(MIN($H$1, DATE(Initialisatie!$C$5,12,31)) &lt; MAX($H$2, DATE(Initialisatie!$C$5,1,1)), 0, MONTH(MIN($H$1, DATE(Initialisatie!$C$5,12,31))) - MONTH(MAX($H$2, DATE(Initialisatie!$C$5,1,1))) + 1)) &lt;= 0, IFERROR(VALUE($H18),0)=0),
        AND(MAX(0, IF(MIN($I$1, DATE(Initialisatie!$C$5,12,31)) &lt; MAX($I$2, DATE(Initialisatie!$C$5,1,1)), 0, MONTH(MIN($I$1, DATE(Initialisatie!$C$5,12,31))) - MONTH(MAX($I$2, DATE(Initialisatie!$C$5,1,1))) + 1)) &lt;= 0, IFERROR(VALUE($I18),0)=0)
    ),
    0,
    SUM(
        IFERROR(VALUE($E18),0) * MAX(0, IF(MIN($E$1, DATE(Initialisatie!$C$5,12,31)) &lt; MAX($E$2, DATE(Initialisatie!$C$5,1,1)), 0, MONTH(MIN($E$1, DATE(Initialisatie!$C$5,12,31))) - MONTH(MAX($E$2, DATE(Initialisatie!$C$5,1,1))) + 1)),
        IFERROR(VALUE($F18),0) * MAX(0, IF(MIN($F$1, DATE(Initialisatie!$C$5,12,31)) &lt; MAX($F$2, DATE(Initialisatie!$C$5,1,1)), 0, MONTH(MIN($F$1, DATE(Initialisatie!$C$5,12,31))) - MONTH(MAX($F$2, DATE(Initialisatie!$C$5,1,1))) + 1)),
        IFERROR(VALUE($G18),0) * MAX(0, IF(MIN($G$1, DATE(Initialisatie!$C$5,12,31)) &lt; MAX($G$2, DATE(Initialisatie!$C$5,1,1)), 0, MONTH(MIN($G$1, DATE(Initialisatie!$C$5,12,31))) - MONTH(MAX($G$2, DATE(Initialisatie!$C$5,1,1))) + 1)),
        IFERROR(VALUE($H18),0) * MAX(0, IF(MIN($H$1, DATE(Initialisatie!$C$5,12,31)) &lt; MAX($H$2, DATE(Initialisatie!$C$5,1,1)), 0, MONTH(MIN($H$1, DATE(Initialisatie!$C$5,12,31))) - MONTH(MAX($H$2, DATE(Initialisatie!$C$5,1,1))) + 1)),
        IFERROR(VALUE($I18),0) * MAX(0, IF(MIN($I$1, DATE(Initialisatie!$C$5,12,31)) &lt; MAX($I$2, DATE(Initialisatie!$C$5,1,1)), 0, MONTH(MIN($I$1, DATE(Initialisatie!$C$5,12,31))) - MONTH(MAX($I$2, DATE(Initialisatie!$C$5,1,1))) + 1))
    ) / 12
)</f>
        <v>0</v>
      </c>
    </row>
    <row r="19" spans="1:12" x14ac:dyDescent="0.45">
      <c r="A19" s="989"/>
      <c r="B19" s="35" t="s">
        <v>103</v>
      </c>
      <c r="C19" s="35">
        <v>13</v>
      </c>
      <c r="D19" s="35" t="s">
        <v>284</v>
      </c>
      <c r="E19">
        <v>0</v>
      </c>
      <c r="F19">
        <v>0</v>
      </c>
      <c r="G19">
        <v>0</v>
      </c>
      <c r="H19">
        <v>0</v>
      </c>
      <c r="I19">
        <v>0</v>
      </c>
      <c r="K19">
        <f>IF(
    OR(
        AND(MAX(0, MIN($E$1, DATE(Initialisatie!$C$5,12,31)) - MAX($E$2, DATE(Initialisatie!$C$5,1,1)) + 1) &gt; 0,IFERROR(VALUE($E19),0)=0),
        AND(MAX(0, MIN($F$1, DATE(Initialisatie!$C$5,12,31)) - MAX($F$2, DATE(Initialisatie!$C$5,1,1)) + 1) &gt; 0,IFERROR(VALUE($F19),0)=0),
        AND(MAX(0, MIN($G$1, DATE(Initialisatie!$C$5,12,31)) - MAX($G$2, DATE(Initialisatie!$C$5,1,1)) + 1) &gt; 0,IFERROR(VALUE($G19),0)=0),
        AND(MAX(0, MIN($H$1, DATE(Initialisatie!$C$5,12,31)) - MAX($H$2, DATE(Initialisatie!$C$5,1,1)) + 1) &gt; 0,IFERROR(VALUE($H19),0)=0),
        AND(MAX(0, MIN($I$1, DATE(Initialisatie!$C$5,12,31)) - MAX($I$2, DATE(Initialisatie!$C$5,1,1)) + 1) &gt; 0,IFERROR(VALUE($I19),0)=0)
    ),
    0,
    SUM(
        IFERROR(VALUE($E19),0) * MAX(0, MIN($E$1, DATE(Initialisatie!$C$5,12,31)) - MAX($E$2, DATE(Initialisatie!$C$5,1,1)) + 1),
        IFERROR(VALUE($F19),0) * MAX(0, MIN($F$1, DATE(Initialisatie!$C$5,12,31)) - MAX($F$2, DATE(Initialisatie!$C$5,1,1)) + 1),
        IFERROR(VALUE($G19),0) * MAX(0, MIN($G$1, DATE(Initialisatie!$C$5,12,31)) - MAX($G$2, DATE(Initialisatie!$C$5,1,1)) + 1),
        IFERROR(VALUE($H19),0) * MAX(0, MIN($H$1, DATE(Initialisatie!$C$5,12,31)) - MAX($H$2, DATE(Initialisatie!$C$5,1,1)) + 1),
        IFERROR(VALUE($I19),0) * MAX(0, MIN($I$1, DATE(Initialisatie!$C$5,12,31)) - MAX($I$2, DATE(Initialisatie!$C$5,1,1)) + 1)
    ) / (DATE(Initialisatie!$C$5,12,31) - DATE(Initialisatie!$C$5,1,1) + 1)
)</f>
        <v>0</v>
      </c>
      <c r="L19">
        <f>IF(
    OR(
        AND(MAX(0, IF(MIN($E$1, DATE(Initialisatie!$C$5,12,31)) &lt; MAX($E$2, DATE(Initialisatie!$C$5,1,1)), 0, MONTH(MIN($E$1, DATE(Initialisatie!$C$5,12,31))) - MONTH(MAX($E$2, DATE(Initialisatie!$C$5,1,1))) + 1)) &lt;= 0, IFERROR(VALUE($E19),0)=0),
        AND(MAX(0, IF(MIN($F$1, DATE(Initialisatie!$C$5,12,31)) &lt; MAX($F$2, DATE(Initialisatie!$C$5,1,1)), 0, MONTH(MIN($F$1, DATE(Initialisatie!$C$5,12,31))) - MONTH(MAX($F$2, DATE(Initialisatie!$C$5,1,1))) + 1)) &lt;= 0, IFERROR(VALUE($F19),0)=0),
        AND(MAX(0, IF(MIN($G$1, DATE(Initialisatie!$C$5,12,31)) &lt; MAX($G$2, DATE(Initialisatie!$C$5,1,1)), 0, MONTH(MIN($G$1, DATE(Initialisatie!$C$5,12,31))) - MONTH(MAX($G$2, DATE(Initialisatie!$C$5,1,1))) + 1)) &lt;= 0, IFERROR(VALUE($G19),0)=0),
        AND(MAX(0, IF(MIN($H$1, DATE(Initialisatie!$C$5,12,31)) &lt; MAX($H$2, DATE(Initialisatie!$C$5,1,1)), 0, MONTH(MIN($H$1, DATE(Initialisatie!$C$5,12,31))) - MONTH(MAX($H$2, DATE(Initialisatie!$C$5,1,1))) + 1)) &lt;= 0, IFERROR(VALUE($H19),0)=0),
        AND(MAX(0, IF(MIN($I$1, DATE(Initialisatie!$C$5,12,31)) &lt; MAX($I$2, DATE(Initialisatie!$C$5,1,1)), 0, MONTH(MIN($I$1, DATE(Initialisatie!$C$5,12,31))) - MONTH(MAX($I$2, DATE(Initialisatie!$C$5,1,1))) + 1)) &lt;= 0, IFERROR(VALUE($I19),0)=0)
    ),
    0,
    SUM(
        IFERROR(VALUE($E19),0) * MAX(0, IF(MIN($E$1, DATE(Initialisatie!$C$5,12,31)) &lt; MAX($E$2, DATE(Initialisatie!$C$5,1,1)), 0, MONTH(MIN($E$1, DATE(Initialisatie!$C$5,12,31))) - MONTH(MAX($E$2, DATE(Initialisatie!$C$5,1,1))) + 1)),
        IFERROR(VALUE($F19),0) * MAX(0, IF(MIN($F$1, DATE(Initialisatie!$C$5,12,31)) &lt; MAX($F$2, DATE(Initialisatie!$C$5,1,1)), 0, MONTH(MIN($F$1, DATE(Initialisatie!$C$5,12,31))) - MONTH(MAX($F$2, DATE(Initialisatie!$C$5,1,1))) + 1)),
        IFERROR(VALUE($G19),0) * MAX(0, IF(MIN($G$1, DATE(Initialisatie!$C$5,12,31)) &lt; MAX($G$2, DATE(Initialisatie!$C$5,1,1)), 0, MONTH(MIN($G$1, DATE(Initialisatie!$C$5,12,31))) - MONTH(MAX($G$2, DATE(Initialisatie!$C$5,1,1))) + 1)),
        IFERROR(VALUE($H19),0) * MAX(0, IF(MIN($H$1, DATE(Initialisatie!$C$5,12,31)) &lt; MAX($H$2, DATE(Initialisatie!$C$5,1,1)), 0, MONTH(MIN($H$1, DATE(Initialisatie!$C$5,12,31))) - MONTH(MAX($H$2, DATE(Initialisatie!$C$5,1,1))) + 1)),
        IFERROR(VALUE($I19),0) * MAX(0, IF(MIN($I$1, DATE(Initialisatie!$C$5,12,31)) &lt; MAX($I$2, DATE(Initialisatie!$C$5,1,1)), 0, MONTH(MIN($I$1, DATE(Initialisatie!$C$5,12,31))) - MONTH(MAX($I$2, DATE(Initialisatie!$C$5,1,1))) + 1))
    ) / 12
)</f>
        <v>0</v>
      </c>
    </row>
    <row r="20" spans="1:12" x14ac:dyDescent="0.45">
      <c r="A20" s="989"/>
      <c r="B20" s="35" t="s">
        <v>531</v>
      </c>
      <c r="C20" s="35">
        <v>14</v>
      </c>
      <c r="D20" s="35" t="s">
        <v>275</v>
      </c>
      <c r="E20">
        <v>3162.64</v>
      </c>
      <c r="F20">
        <v>3202.17</v>
      </c>
      <c r="G20">
        <v>3317.45</v>
      </c>
      <c r="H20">
        <v>3440.19</v>
      </c>
      <c r="I20">
        <v>3557.16</v>
      </c>
      <c r="K20">
        <f>IF(
    OR(
        AND(MAX(0, MIN($E$1, DATE(Initialisatie!$C$5,12,31)) - MAX($E$2, DATE(Initialisatie!$C$5,1,1)) + 1) &gt; 0,IFERROR(VALUE($E20),0)=0),
        AND(MAX(0, MIN($F$1, DATE(Initialisatie!$C$5,12,31)) - MAX($F$2, DATE(Initialisatie!$C$5,1,1)) + 1) &gt; 0,IFERROR(VALUE($F20),0)=0),
        AND(MAX(0, MIN($G$1, DATE(Initialisatie!$C$5,12,31)) - MAX($G$2, DATE(Initialisatie!$C$5,1,1)) + 1) &gt; 0,IFERROR(VALUE($G20),0)=0),
        AND(MAX(0, MIN($H$1, DATE(Initialisatie!$C$5,12,31)) - MAX($H$2, DATE(Initialisatie!$C$5,1,1)) + 1) &gt; 0,IFERROR(VALUE($H20),0)=0),
        AND(MAX(0, MIN($I$1, DATE(Initialisatie!$C$5,12,31)) - MAX($I$2, DATE(Initialisatie!$C$5,1,1)) + 1) &gt; 0,IFERROR(VALUE($I20),0)=0)
    ),
    0,
    SUM(
        IFERROR(VALUE($E20),0) * MAX(0, MIN($E$1, DATE(Initialisatie!$C$5,12,31)) - MAX($E$2, DATE(Initialisatie!$C$5,1,1)) + 1),
        IFERROR(VALUE($F20),0) * MAX(0, MIN($F$1, DATE(Initialisatie!$C$5,12,31)) - MAX($F$2, DATE(Initialisatie!$C$5,1,1)) + 1),
        IFERROR(VALUE($G20),0) * MAX(0, MIN($G$1, DATE(Initialisatie!$C$5,12,31)) - MAX($G$2, DATE(Initialisatie!$C$5,1,1)) + 1),
        IFERROR(VALUE($H20),0) * MAX(0, MIN($H$1, DATE(Initialisatie!$C$5,12,31)) - MAX($H$2, DATE(Initialisatie!$C$5,1,1)) + 1),
        IFERROR(VALUE($I20),0) * MAX(0, MIN($I$1, DATE(Initialisatie!$C$5,12,31)) - MAX($I$2, DATE(Initialisatie!$C$5,1,1)) + 1)
    ) / (DATE(Initialisatie!$C$5,12,31) - DATE(Initialisatie!$C$5,1,1) + 1)
)</f>
        <v>3440.19</v>
      </c>
      <c r="L20">
        <f>IF(
    OR(
        AND(MAX(0, IF(MIN($E$1, DATE(Initialisatie!$C$5,12,31)) &lt; MAX($E$2, DATE(Initialisatie!$C$5,1,1)), 0, MONTH(MIN($E$1, DATE(Initialisatie!$C$5,12,31))) - MONTH(MAX($E$2, DATE(Initialisatie!$C$5,1,1))) + 1)) &lt;= 0, IFERROR(VALUE($E20),0)=0),
        AND(MAX(0, IF(MIN($F$1, DATE(Initialisatie!$C$5,12,31)) &lt; MAX($F$2, DATE(Initialisatie!$C$5,1,1)), 0, MONTH(MIN($F$1, DATE(Initialisatie!$C$5,12,31))) - MONTH(MAX($F$2, DATE(Initialisatie!$C$5,1,1))) + 1)) &lt;= 0, IFERROR(VALUE($F20),0)=0),
        AND(MAX(0, IF(MIN($G$1, DATE(Initialisatie!$C$5,12,31)) &lt; MAX($G$2, DATE(Initialisatie!$C$5,1,1)), 0, MONTH(MIN($G$1, DATE(Initialisatie!$C$5,12,31))) - MONTH(MAX($G$2, DATE(Initialisatie!$C$5,1,1))) + 1)) &lt;= 0, IFERROR(VALUE($G20),0)=0),
        AND(MAX(0, IF(MIN($H$1, DATE(Initialisatie!$C$5,12,31)) &lt; MAX($H$2, DATE(Initialisatie!$C$5,1,1)), 0, MONTH(MIN($H$1, DATE(Initialisatie!$C$5,12,31))) - MONTH(MAX($H$2, DATE(Initialisatie!$C$5,1,1))) + 1)) &lt;= 0, IFERROR(VALUE($H20),0)=0),
        AND(MAX(0, IF(MIN($I$1, DATE(Initialisatie!$C$5,12,31)) &lt; MAX($I$2, DATE(Initialisatie!$C$5,1,1)), 0, MONTH(MIN($I$1, DATE(Initialisatie!$C$5,12,31))) - MONTH(MAX($I$2, DATE(Initialisatie!$C$5,1,1))) + 1)) &lt;= 0, IFERROR(VALUE($I20),0)=0)
    ),
    0,
    SUM(
        IFERROR(VALUE($E20),0) * MAX(0, IF(MIN($E$1, DATE(Initialisatie!$C$5,12,31)) &lt; MAX($E$2, DATE(Initialisatie!$C$5,1,1)), 0, MONTH(MIN($E$1, DATE(Initialisatie!$C$5,12,31))) - MONTH(MAX($E$2, DATE(Initialisatie!$C$5,1,1))) + 1)),
        IFERROR(VALUE($F20),0) * MAX(0, IF(MIN($F$1, DATE(Initialisatie!$C$5,12,31)) &lt; MAX($F$2, DATE(Initialisatie!$C$5,1,1)), 0, MONTH(MIN($F$1, DATE(Initialisatie!$C$5,12,31))) - MONTH(MAX($F$2, DATE(Initialisatie!$C$5,1,1))) + 1)),
        IFERROR(VALUE($G20),0) * MAX(0, IF(MIN($G$1, DATE(Initialisatie!$C$5,12,31)) &lt; MAX($G$2, DATE(Initialisatie!$C$5,1,1)), 0, MONTH(MIN($G$1, DATE(Initialisatie!$C$5,12,31))) - MONTH(MAX($G$2, DATE(Initialisatie!$C$5,1,1))) + 1)),
        IFERROR(VALUE($H20),0) * MAX(0, IF(MIN($H$1, DATE(Initialisatie!$C$5,12,31)) &lt; MAX($H$2, DATE(Initialisatie!$C$5,1,1)), 0, MONTH(MIN($H$1, DATE(Initialisatie!$C$5,12,31))) - MONTH(MAX($H$2, DATE(Initialisatie!$C$5,1,1))) + 1)),
        IFERROR(VALUE($I20),0) * MAX(0, IF(MIN($I$1, DATE(Initialisatie!$C$5,12,31)) &lt; MAX($I$2, DATE(Initialisatie!$C$5,1,1)), 0, MONTH(MIN($I$1, DATE(Initialisatie!$C$5,12,31))) - MONTH(MAX($I$2, DATE(Initialisatie!$C$5,1,1))) + 1))
    ) / 12
)</f>
        <v>3440.19</v>
      </c>
    </row>
    <row r="21" spans="1:12" x14ac:dyDescent="0.45">
      <c r="A21" s="990"/>
      <c r="B21" s="35" t="s">
        <v>533</v>
      </c>
      <c r="C21" s="35">
        <v>15</v>
      </c>
      <c r="D21" s="35" t="s">
        <v>274</v>
      </c>
      <c r="E21">
        <v>3262.16</v>
      </c>
      <c r="F21">
        <v>3302.94</v>
      </c>
      <c r="G21">
        <v>3421.84</v>
      </c>
      <c r="H21">
        <v>3548.45</v>
      </c>
      <c r="I21">
        <v>3669.1</v>
      </c>
      <c r="K21">
        <f>IF(
    OR(
        AND(MAX(0, MIN($E$1, DATE(Initialisatie!$C$5,12,31)) - MAX($E$2, DATE(Initialisatie!$C$5,1,1)) + 1) &gt; 0,IFERROR(VALUE($E21),0)=0),
        AND(MAX(0, MIN($F$1, DATE(Initialisatie!$C$5,12,31)) - MAX($F$2, DATE(Initialisatie!$C$5,1,1)) + 1) &gt; 0,IFERROR(VALUE($F21),0)=0),
        AND(MAX(0, MIN($G$1, DATE(Initialisatie!$C$5,12,31)) - MAX($G$2, DATE(Initialisatie!$C$5,1,1)) + 1) &gt; 0,IFERROR(VALUE($G21),0)=0),
        AND(MAX(0, MIN($H$1, DATE(Initialisatie!$C$5,12,31)) - MAX($H$2, DATE(Initialisatie!$C$5,1,1)) + 1) &gt; 0,IFERROR(VALUE($H21),0)=0),
        AND(MAX(0, MIN($I$1, DATE(Initialisatie!$C$5,12,31)) - MAX($I$2, DATE(Initialisatie!$C$5,1,1)) + 1) &gt; 0,IFERROR(VALUE($I21),0)=0)
    ),
    0,
    SUM(
        IFERROR(VALUE($E21),0) * MAX(0, MIN($E$1, DATE(Initialisatie!$C$5,12,31)) - MAX($E$2, DATE(Initialisatie!$C$5,1,1)) + 1),
        IFERROR(VALUE($F21),0) * MAX(0, MIN($F$1, DATE(Initialisatie!$C$5,12,31)) - MAX($F$2, DATE(Initialisatie!$C$5,1,1)) + 1),
        IFERROR(VALUE($G21),0) * MAX(0, MIN($G$1, DATE(Initialisatie!$C$5,12,31)) - MAX($G$2, DATE(Initialisatie!$C$5,1,1)) + 1),
        IFERROR(VALUE($H21),0) * MAX(0, MIN($H$1, DATE(Initialisatie!$C$5,12,31)) - MAX($H$2, DATE(Initialisatie!$C$5,1,1)) + 1),
        IFERROR(VALUE($I21),0) * MAX(0, MIN($I$1, DATE(Initialisatie!$C$5,12,31)) - MAX($I$2, DATE(Initialisatie!$C$5,1,1)) + 1)
    ) / (DATE(Initialisatie!$C$5,12,31) - DATE(Initialisatie!$C$5,1,1) + 1)
)</f>
        <v>3548.45</v>
      </c>
      <c r="L21">
        <f>IF(
    OR(
        AND(MAX(0, IF(MIN($E$1, DATE(Initialisatie!$C$5,12,31)) &lt; MAX($E$2, DATE(Initialisatie!$C$5,1,1)), 0, MONTH(MIN($E$1, DATE(Initialisatie!$C$5,12,31))) - MONTH(MAX($E$2, DATE(Initialisatie!$C$5,1,1))) + 1)) &lt;= 0, IFERROR(VALUE($E21),0)=0),
        AND(MAX(0, IF(MIN($F$1, DATE(Initialisatie!$C$5,12,31)) &lt; MAX($F$2, DATE(Initialisatie!$C$5,1,1)), 0, MONTH(MIN($F$1, DATE(Initialisatie!$C$5,12,31))) - MONTH(MAX($F$2, DATE(Initialisatie!$C$5,1,1))) + 1)) &lt;= 0, IFERROR(VALUE($F21),0)=0),
        AND(MAX(0, IF(MIN($G$1, DATE(Initialisatie!$C$5,12,31)) &lt; MAX($G$2, DATE(Initialisatie!$C$5,1,1)), 0, MONTH(MIN($G$1, DATE(Initialisatie!$C$5,12,31))) - MONTH(MAX($G$2, DATE(Initialisatie!$C$5,1,1))) + 1)) &lt;= 0, IFERROR(VALUE($G21),0)=0),
        AND(MAX(0, IF(MIN($H$1, DATE(Initialisatie!$C$5,12,31)) &lt; MAX($H$2, DATE(Initialisatie!$C$5,1,1)), 0, MONTH(MIN($H$1, DATE(Initialisatie!$C$5,12,31))) - MONTH(MAX($H$2, DATE(Initialisatie!$C$5,1,1))) + 1)) &lt;= 0, IFERROR(VALUE($H21),0)=0),
        AND(MAX(0, IF(MIN($I$1, DATE(Initialisatie!$C$5,12,31)) &lt; MAX($I$2, DATE(Initialisatie!$C$5,1,1)), 0, MONTH(MIN($I$1, DATE(Initialisatie!$C$5,12,31))) - MONTH(MAX($I$2, DATE(Initialisatie!$C$5,1,1))) + 1)) &lt;= 0, IFERROR(VALUE($I21),0)=0)
    ),
    0,
    SUM(
        IFERROR(VALUE($E21),0) * MAX(0, IF(MIN($E$1, DATE(Initialisatie!$C$5,12,31)) &lt; MAX($E$2, DATE(Initialisatie!$C$5,1,1)), 0, MONTH(MIN($E$1, DATE(Initialisatie!$C$5,12,31))) - MONTH(MAX($E$2, DATE(Initialisatie!$C$5,1,1))) + 1)),
        IFERROR(VALUE($F21),0) * MAX(0, IF(MIN($F$1, DATE(Initialisatie!$C$5,12,31)) &lt; MAX($F$2, DATE(Initialisatie!$C$5,1,1)), 0, MONTH(MIN($F$1, DATE(Initialisatie!$C$5,12,31))) - MONTH(MAX($F$2, DATE(Initialisatie!$C$5,1,1))) + 1)),
        IFERROR(VALUE($G21),0) * MAX(0, IF(MIN($G$1, DATE(Initialisatie!$C$5,12,31)) &lt; MAX($G$2, DATE(Initialisatie!$C$5,1,1)), 0, MONTH(MIN($G$1, DATE(Initialisatie!$C$5,12,31))) - MONTH(MAX($G$2, DATE(Initialisatie!$C$5,1,1))) + 1)),
        IFERROR(VALUE($H21),0) * MAX(0, IF(MIN($H$1, DATE(Initialisatie!$C$5,12,31)) &lt; MAX($H$2, DATE(Initialisatie!$C$5,1,1)), 0, MONTH(MIN($H$1, DATE(Initialisatie!$C$5,12,31))) - MONTH(MAX($H$2, DATE(Initialisatie!$C$5,1,1))) + 1)),
        IFERROR(VALUE($I21),0) * MAX(0, IF(MIN($I$1, DATE(Initialisatie!$C$5,12,31)) &lt; MAX($I$2, DATE(Initialisatie!$C$5,1,1)), 0, MONTH(MIN($I$1, DATE(Initialisatie!$C$5,12,31))) - MONTH(MAX($I$2, DATE(Initialisatie!$C$5,1,1))) + 1))
    ) / 12
)</f>
        <v>3548.4499999999994</v>
      </c>
    </row>
    <row r="22" spans="1:12" x14ac:dyDescent="0.45">
      <c r="A22" s="988">
        <v>5</v>
      </c>
      <c r="B22" s="35" t="s">
        <v>113</v>
      </c>
      <c r="C22" s="35">
        <v>0</v>
      </c>
      <c r="D22" s="35" t="s">
        <v>273</v>
      </c>
      <c r="E22">
        <v>2340</v>
      </c>
      <c r="F22">
        <v>2369.25</v>
      </c>
      <c r="G22">
        <v>2454.54</v>
      </c>
      <c r="H22">
        <v>2545.36</v>
      </c>
      <c r="I22">
        <v>2631.9</v>
      </c>
      <c r="K22">
        <f>IF(
    OR(
        AND(MAX(0, MIN($E$1, DATE(Initialisatie!$C$5,12,31)) - MAX($E$2, DATE(Initialisatie!$C$5,1,1)) + 1) &gt; 0,IFERROR(VALUE($E22),0)=0),
        AND(MAX(0, MIN($F$1, DATE(Initialisatie!$C$5,12,31)) - MAX($F$2, DATE(Initialisatie!$C$5,1,1)) + 1) &gt; 0,IFERROR(VALUE($F22),0)=0),
        AND(MAX(0, MIN($G$1, DATE(Initialisatie!$C$5,12,31)) - MAX($G$2, DATE(Initialisatie!$C$5,1,1)) + 1) &gt; 0,IFERROR(VALUE($G22),0)=0),
        AND(MAX(0, MIN($H$1, DATE(Initialisatie!$C$5,12,31)) - MAX($H$2, DATE(Initialisatie!$C$5,1,1)) + 1) &gt; 0,IFERROR(VALUE($H22),0)=0),
        AND(MAX(0, MIN($I$1, DATE(Initialisatie!$C$5,12,31)) - MAX($I$2, DATE(Initialisatie!$C$5,1,1)) + 1) &gt; 0,IFERROR(VALUE($I22),0)=0)
    ),
    0,
    SUM(
        IFERROR(VALUE($E22),0) * MAX(0, MIN($E$1, DATE(Initialisatie!$C$5,12,31)) - MAX($E$2, DATE(Initialisatie!$C$5,1,1)) + 1),
        IFERROR(VALUE($F22),0) * MAX(0, MIN($F$1, DATE(Initialisatie!$C$5,12,31)) - MAX($F$2, DATE(Initialisatie!$C$5,1,1)) + 1),
        IFERROR(VALUE($G22),0) * MAX(0, MIN($G$1, DATE(Initialisatie!$C$5,12,31)) - MAX($G$2, DATE(Initialisatie!$C$5,1,1)) + 1),
        IFERROR(VALUE($H22),0) * MAX(0, MIN($H$1, DATE(Initialisatie!$C$5,12,31)) - MAX($H$2, DATE(Initialisatie!$C$5,1,1)) + 1),
        IFERROR(VALUE($I22),0) * MAX(0, MIN($I$1, DATE(Initialisatie!$C$5,12,31)) - MAX($I$2, DATE(Initialisatie!$C$5,1,1)) + 1)
    ) / (DATE(Initialisatie!$C$5,12,31) - DATE(Initialisatie!$C$5,1,1) + 1)
)</f>
        <v>2545.36</v>
      </c>
      <c r="L22">
        <f>IF(
    OR(
        AND(MAX(0, IF(MIN($E$1, DATE(Initialisatie!$C$5,12,31)) &lt; MAX($E$2, DATE(Initialisatie!$C$5,1,1)), 0, MONTH(MIN($E$1, DATE(Initialisatie!$C$5,12,31))) - MONTH(MAX($E$2, DATE(Initialisatie!$C$5,1,1))) + 1)) &lt;= 0, IFERROR(VALUE($E22),0)=0),
        AND(MAX(0, IF(MIN($F$1, DATE(Initialisatie!$C$5,12,31)) &lt; MAX($F$2, DATE(Initialisatie!$C$5,1,1)), 0, MONTH(MIN($F$1, DATE(Initialisatie!$C$5,12,31))) - MONTH(MAX($F$2, DATE(Initialisatie!$C$5,1,1))) + 1)) &lt;= 0, IFERROR(VALUE($F22),0)=0),
        AND(MAX(0, IF(MIN($G$1, DATE(Initialisatie!$C$5,12,31)) &lt; MAX($G$2, DATE(Initialisatie!$C$5,1,1)), 0, MONTH(MIN($G$1, DATE(Initialisatie!$C$5,12,31))) - MONTH(MAX($G$2, DATE(Initialisatie!$C$5,1,1))) + 1)) &lt;= 0, IFERROR(VALUE($G22),0)=0),
        AND(MAX(0, IF(MIN($H$1, DATE(Initialisatie!$C$5,12,31)) &lt; MAX($H$2, DATE(Initialisatie!$C$5,1,1)), 0, MONTH(MIN($H$1, DATE(Initialisatie!$C$5,12,31))) - MONTH(MAX($H$2, DATE(Initialisatie!$C$5,1,1))) + 1)) &lt;= 0, IFERROR(VALUE($H22),0)=0),
        AND(MAX(0, IF(MIN($I$1, DATE(Initialisatie!$C$5,12,31)) &lt; MAX($I$2, DATE(Initialisatie!$C$5,1,1)), 0, MONTH(MIN($I$1, DATE(Initialisatie!$C$5,12,31))) - MONTH(MAX($I$2, DATE(Initialisatie!$C$5,1,1))) + 1)) &lt;= 0, IFERROR(VALUE($I22),0)=0)
    ),
    0,
    SUM(
        IFERROR(VALUE($E22),0) * MAX(0, IF(MIN($E$1, DATE(Initialisatie!$C$5,12,31)) &lt; MAX($E$2, DATE(Initialisatie!$C$5,1,1)), 0, MONTH(MIN($E$1, DATE(Initialisatie!$C$5,12,31))) - MONTH(MAX($E$2, DATE(Initialisatie!$C$5,1,1))) + 1)),
        IFERROR(VALUE($F22),0) * MAX(0, IF(MIN($F$1, DATE(Initialisatie!$C$5,12,31)) &lt; MAX($F$2, DATE(Initialisatie!$C$5,1,1)), 0, MONTH(MIN($F$1, DATE(Initialisatie!$C$5,12,31))) - MONTH(MAX($F$2, DATE(Initialisatie!$C$5,1,1))) + 1)),
        IFERROR(VALUE($G22),0) * MAX(0, IF(MIN($G$1, DATE(Initialisatie!$C$5,12,31)) &lt; MAX($G$2, DATE(Initialisatie!$C$5,1,1)), 0, MONTH(MIN($G$1, DATE(Initialisatie!$C$5,12,31))) - MONTH(MAX($G$2, DATE(Initialisatie!$C$5,1,1))) + 1)),
        IFERROR(VALUE($H22),0) * MAX(0, IF(MIN($H$1, DATE(Initialisatie!$C$5,12,31)) &lt; MAX($H$2, DATE(Initialisatie!$C$5,1,1)), 0, MONTH(MIN($H$1, DATE(Initialisatie!$C$5,12,31))) - MONTH(MAX($H$2, DATE(Initialisatie!$C$5,1,1))) + 1)),
        IFERROR(VALUE($I22),0) * MAX(0, IF(MIN($I$1, DATE(Initialisatie!$C$5,12,31)) &lt; MAX($I$2, DATE(Initialisatie!$C$5,1,1)), 0, MONTH(MIN($I$1, DATE(Initialisatie!$C$5,12,31))) - MONTH(MAX($I$2, DATE(Initialisatie!$C$5,1,1))) + 1))
    ) / 12
)</f>
        <v>2545.36</v>
      </c>
    </row>
    <row r="23" spans="1:12" x14ac:dyDescent="0.45">
      <c r="A23" s="989"/>
      <c r="B23" s="35" t="s">
        <v>111</v>
      </c>
      <c r="C23" s="35">
        <v>1</v>
      </c>
      <c r="D23" s="35" t="s">
        <v>272</v>
      </c>
      <c r="E23">
        <v>2402.66</v>
      </c>
      <c r="F23">
        <v>2432.69</v>
      </c>
      <c r="G23">
        <v>2520.27</v>
      </c>
      <c r="H23">
        <v>2613.52</v>
      </c>
      <c r="I23">
        <v>2702.38</v>
      </c>
      <c r="K23">
        <f>IF(
    OR(
        AND(MAX(0, MIN($E$1, DATE(Initialisatie!$C$5,12,31)) - MAX($E$2, DATE(Initialisatie!$C$5,1,1)) + 1) &gt; 0,IFERROR(VALUE($E23),0)=0),
        AND(MAX(0, MIN($F$1, DATE(Initialisatie!$C$5,12,31)) - MAX($F$2, DATE(Initialisatie!$C$5,1,1)) + 1) &gt; 0,IFERROR(VALUE($F23),0)=0),
        AND(MAX(0, MIN($G$1, DATE(Initialisatie!$C$5,12,31)) - MAX($G$2, DATE(Initialisatie!$C$5,1,1)) + 1) &gt; 0,IFERROR(VALUE($G23),0)=0),
        AND(MAX(0, MIN($H$1, DATE(Initialisatie!$C$5,12,31)) - MAX($H$2, DATE(Initialisatie!$C$5,1,1)) + 1) &gt; 0,IFERROR(VALUE($H23),0)=0),
        AND(MAX(0, MIN($I$1, DATE(Initialisatie!$C$5,12,31)) - MAX($I$2, DATE(Initialisatie!$C$5,1,1)) + 1) &gt; 0,IFERROR(VALUE($I23),0)=0)
    ),
    0,
    SUM(
        IFERROR(VALUE($E23),0) * MAX(0, MIN($E$1, DATE(Initialisatie!$C$5,12,31)) - MAX($E$2, DATE(Initialisatie!$C$5,1,1)) + 1),
        IFERROR(VALUE($F23),0) * MAX(0, MIN($F$1, DATE(Initialisatie!$C$5,12,31)) - MAX($F$2, DATE(Initialisatie!$C$5,1,1)) + 1),
        IFERROR(VALUE($G23),0) * MAX(0, MIN($G$1, DATE(Initialisatie!$C$5,12,31)) - MAX($G$2, DATE(Initialisatie!$C$5,1,1)) + 1),
        IFERROR(VALUE($H23),0) * MAX(0, MIN($H$1, DATE(Initialisatie!$C$5,12,31)) - MAX($H$2, DATE(Initialisatie!$C$5,1,1)) + 1),
        IFERROR(VALUE($I23),0) * MAX(0, MIN($I$1, DATE(Initialisatie!$C$5,12,31)) - MAX($I$2, DATE(Initialisatie!$C$5,1,1)) + 1)
    ) / (DATE(Initialisatie!$C$5,12,31) - DATE(Initialisatie!$C$5,1,1) + 1)
)</f>
        <v>2613.52</v>
      </c>
      <c r="L23">
        <f>IF(
    OR(
        AND(MAX(0, IF(MIN($E$1, DATE(Initialisatie!$C$5,12,31)) &lt; MAX($E$2, DATE(Initialisatie!$C$5,1,1)), 0, MONTH(MIN($E$1, DATE(Initialisatie!$C$5,12,31))) - MONTH(MAX($E$2, DATE(Initialisatie!$C$5,1,1))) + 1)) &lt;= 0, IFERROR(VALUE($E23),0)=0),
        AND(MAX(0, IF(MIN($F$1, DATE(Initialisatie!$C$5,12,31)) &lt; MAX($F$2, DATE(Initialisatie!$C$5,1,1)), 0, MONTH(MIN($F$1, DATE(Initialisatie!$C$5,12,31))) - MONTH(MAX($F$2, DATE(Initialisatie!$C$5,1,1))) + 1)) &lt;= 0, IFERROR(VALUE($F23),0)=0),
        AND(MAX(0, IF(MIN($G$1, DATE(Initialisatie!$C$5,12,31)) &lt; MAX($G$2, DATE(Initialisatie!$C$5,1,1)), 0, MONTH(MIN($G$1, DATE(Initialisatie!$C$5,12,31))) - MONTH(MAX($G$2, DATE(Initialisatie!$C$5,1,1))) + 1)) &lt;= 0, IFERROR(VALUE($G23),0)=0),
        AND(MAX(0, IF(MIN($H$1, DATE(Initialisatie!$C$5,12,31)) &lt; MAX($H$2, DATE(Initialisatie!$C$5,1,1)), 0, MONTH(MIN($H$1, DATE(Initialisatie!$C$5,12,31))) - MONTH(MAX($H$2, DATE(Initialisatie!$C$5,1,1))) + 1)) &lt;= 0, IFERROR(VALUE($H23),0)=0),
        AND(MAX(0, IF(MIN($I$1, DATE(Initialisatie!$C$5,12,31)) &lt; MAX($I$2, DATE(Initialisatie!$C$5,1,1)), 0, MONTH(MIN($I$1, DATE(Initialisatie!$C$5,12,31))) - MONTH(MAX($I$2, DATE(Initialisatie!$C$5,1,1))) + 1)) &lt;= 0, IFERROR(VALUE($I23),0)=0)
    ),
    0,
    SUM(
        IFERROR(VALUE($E23),0) * MAX(0, IF(MIN($E$1, DATE(Initialisatie!$C$5,12,31)) &lt; MAX($E$2, DATE(Initialisatie!$C$5,1,1)), 0, MONTH(MIN($E$1, DATE(Initialisatie!$C$5,12,31))) - MONTH(MAX($E$2, DATE(Initialisatie!$C$5,1,1))) + 1)),
        IFERROR(VALUE($F23),0) * MAX(0, IF(MIN($F$1, DATE(Initialisatie!$C$5,12,31)) &lt; MAX($F$2, DATE(Initialisatie!$C$5,1,1)), 0, MONTH(MIN($F$1, DATE(Initialisatie!$C$5,12,31))) - MONTH(MAX($F$2, DATE(Initialisatie!$C$5,1,1))) + 1)),
        IFERROR(VALUE($G23),0) * MAX(0, IF(MIN($G$1, DATE(Initialisatie!$C$5,12,31)) &lt; MAX($G$2, DATE(Initialisatie!$C$5,1,1)), 0, MONTH(MIN($G$1, DATE(Initialisatie!$C$5,12,31))) - MONTH(MAX($G$2, DATE(Initialisatie!$C$5,1,1))) + 1)),
        IFERROR(VALUE($H23),0) * MAX(0, IF(MIN($H$1, DATE(Initialisatie!$C$5,12,31)) &lt; MAX($H$2, DATE(Initialisatie!$C$5,1,1)), 0, MONTH(MIN($H$1, DATE(Initialisatie!$C$5,12,31))) - MONTH(MAX($H$2, DATE(Initialisatie!$C$5,1,1))) + 1)),
        IFERROR(VALUE($I23),0) * MAX(0, IF(MIN($I$1, DATE(Initialisatie!$C$5,12,31)) &lt; MAX($I$2, DATE(Initialisatie!$C$5,1,1)), 0, MONTH(MIN($I$1, DATE(Initialisatie!$C$5,12,31))) - MONTH(MAX($I$2, DATE(Initialisatie!$C$5,1,1))) + 1))
    ) / 12
)</f>
        <v>2613.52</v>
      </c>
    </row>
    <row r="24" spans="1:12" x14ac:dyDescent="0.45">
      <c r="A24" s="989"/>
      <c r="B24" s="35" t="s">
        <v>101</v>
      </c>
      <c r="C24" s="35">
        <v>2</v>
      </c>
      <c r="D24" s="35" t="s">
        <v>267</v>
      </c>
      <c r="E24">
        <v>2478.96</v>
      </c>
      <c r="F24">
        <v>2509.94</v>
      </c>
      <c r="G24">
        <v>2600.3000000000002</v>
      </c>
      <c r="H24">
        <v>2696.51</v>
      </c>
      <c r="I24">
        <v>2788.19</v>
      </c>
      <c r="K24">
        <f>IF(
    OR(
        AND(MAX(0, MIN($E$1, DATE(Initialisatie!$C$5,12,31)) - MAX($E$2, DATE(Initialisatie!$C$5,1,1)) + 1) &gt; 0,IFERROR(VALUE($E24),0)=0),
        AND(MAX(0, MIN($F$1, DATE(Initialisatie!$C$5,12,31)) - MAX($F$2, DATE(Initialisatie!$C$5,1,1)) + 1) &gt; 0,IFERROR(VALUE($F24),0)=0),
        AND(MAX(0, MIN($G$1, DATE(Initialisatie!$C$5,12,31)) - MAX($G$2, DATE(Initialisatie!$C$5,1,1)) + 1) &gt; 0,IFERROR(VALUE($G24),0)=0),
        AND(MAX(0, MIN($H$1, DATE(Initialisatie!$C$5,12,31)) - MAX($H$2, DATE(Initialisatie!$C$5,1,1)) + 1) &gt; 0,IFERROR(VALUE($H24),0)=0),
        AND(MAX(0, MIN($I$1, DATE(Initialisatie!$C$5,12,31)) - MAX($I$2, DATE(Initialisatie!$C$5,1,1)) + 1) &gt; 0,IFERROR(VALUE($I24),0)=0)
    ),
    0,
    SUM(
        IFERROR(VALUE($E24),0) * MAX(0, MIN($E$1, DATE(Initialisatie!$C$5,12,31)) - MAX($E$2, DATE(Initialisatie!$C$5,1,1)) + 1),
        IFERROR(VALUE($F24),0) * MAX(0, MIN($F$1, DATE(Initialisatie!$C$5,12,31)) - MAX($F$2, DATE(Initialisatie!$C$5,1,1)) + 1),
        IFERROR(VALUE($G24),0) * MAX(0, MIN($G$1, DATE(Initialisatie!$C$5,12,31)) - MAX($G$2, DATE(Initialisatie!$C$5,1,1)) + 1),
        IFERROR(VALUE($H24),0) * MAX(0, MIN($H$1, DATE(Initialisatie!$C$5,12,31)) - MAX($H$2, DATE(Initialisatie!$C$5,1,1)) + 1),
        IFERROR(VALUE($I24),0) * MAX(0, MIN($I$1, DATE(Initialisatie!$C$5,12,31)) - MAX($I$2, DATE(Initialisatie!$C$5,1,1)) + 1)
    ) / (DATE(Initialisatie!$C$5,12,31) - DATE(Initialisatie!$C$5,1,1) + 1)
)</f>
        <v>2696.51</v>
      </c>
      <c r="L24">
        <f>IF(
    OR(
        AND(MAX(0, IF(MIN($E$1, DATE(Initialisatie!$C$5,12,31)) &lt; MAX($E$2, DATE(Initialisatie!$C$5,1,1)), 0, MONTH(MIN($E$1, DATE(Initialisatie!$C$5,12,31))) - MONTH(MAX($E$2, DATE(Initialisatie!$C$5,1,1))) + 1)) &lt;= 0, IFERROR(VALUE($E24),0)=0),
        AND(MAX(0, IF(MIN($F$1, DATE(Initialisatie!$C$5,12,31)) &lt; MAX($F$2, DATE(Initialisatie!$C$5,1,1)), 0, MONTH(MIN($F$1, DATE(Initialisatie!$C$5,12,31))) - MONTH(MAX($F$2, DATE(Initialisatie!$C$5,1,1))) + 1)) &lt;= 0, IFERROR(VALUE($F24),0)=0),
        AND(MAX(0, IF(MIN($G$1, DATE(Initialisatie!$C$5,12,31)) &lt; MAX($G$2, DATE(Initialisatie!$C$5,1,1)), 0, MONTH(MIN($G$1, DATE(Initialisatie!$C$5,12,31))) - MONTH(MAX($G$2, DATE(Initialisatie!$C$5,1,1))) + 1)) &lt;= 0, IFERROR(VALUE($G24),0)=0),
        AND(MAX(0, IF(MIN($H$1, DATE(Initialisatie!$C$5,12,31)) &lt; MAX($H$2, DATE(Initialisatie!$C$5,1,1)), 0, MONTH(MIN($H$1, DATE(Initialisatie!$C$5,12,31))) - MONTH(MAX($H$2, DATE(Initialisatie!$C$5,1,1))) + 1)) &lt;= 0, IFERROR(VALUE($H24),0)=0),
        AND(MAX(0, IF(MIN($I$1, DATE(Initialisatie!$C$5,12,31)) &lt; MAX($I$2, DATE(Initialisatie!$C$5,1,1)), 0, MONTH(MIN($I$1, DATE(Initialisatie!$C$5,12,31))) - MONTH(MAX($I$2, DATE(Initialisatie!$C$5,1,1))) + 1)) &lt;= 0, IFERROR(VALUE($I24),0)=0)
    ),
    0,
    SUM(
        IFERROR(VALUE($E24),0) * MAX(0, IF(MIN($E$1, DATE(Initialisatie!$C$5,12,31)) &lt; MAX($E$2, DATE(Initialisatie!$C$5,1,1)), 0, MONTH(MIN($E$1, DATE(Initialisatie!$C$5,12,31))) - MONTH(MAX($E$2, DATE(Initialisatie!$C$5,1,1))) + 1)),
        IFERROR(VALUE($F24),0) * MAX(0, IF(MIN($F$1, DATE(Initialisatie!$C$5,12,31)) &lt; MAX($F$2, DATE(Initialisatie!$C$5,1,1)), 0, MONTH(MIN($F$1, DATE(Initialisatie!$C$5,12,31))) - MONTH(MAX($F$2, DATE(Initialisatie!$C$5,1,1))) + 1)),
        IFERROR(VALUE($G24),0) * MAX(0, IF(MIN($G$1, DATE(Initialisatie!$C$5,12,31)) &lt; MAX($G$2, DATE(Initialisatie!$C$5,1,1)), 0, MONTH(MIN($G$1, DATE(Initialisatie!$C$5,12,31))) - MONTH(MAX($G$2, DATE(Initialisatie!$C$5,1,1))) + 1)),
        IFERROR(VALUE($H24),0) * MAX(0, IF(MIN($H$1, DATE(Initialisatie!$C$5,12,31)) &lt; MAX($H$2, DATE(Initialisatie!$C$5,1,1)), 0, MONTH(MIN($H$1, DATE(Initialisatie!$C$5,12,31))) - MONTH(MAX($H$2, DATE(Initialisatie!$C$5,1,1))) + 1)),
        IFERROR(VALUE($I24),0) * MAX(0, IF(MIN($I$1, DATE(Initialisatie!$C$5,12,31)) &lt; MAX($I$2, DATE(Initialisatie!$C$5,1,1)), 0, MONTH(MIN($I$1, DATE(Initialisatie!$C$5,12,31))) - MONTH(MAX($I$2, DATE(Initialisatie!$C$5,1,1))) + 1))
    ) / 12
)</f>
        <v>2696.51</v>
      </c>
    </row>
    <row r="25" spans="1:12" x14ac:dyDescent="0.45">
      <c r="A25" s="989"/>
      <c r="B25" s="35" t="s">
        <v>99</v>
      </c>
      <c r="C25" s="35">
        <v>3</v>
      </c>
      <c r="D25" s="35" t="s">
        <v>266</v>
      </c>
      <c r="E25">
        <v>2558.86</v>
      </c>
      <c r="F25">
        <v>2590.85</v>
      </c>
      <c r="G25">
        <v>2684.12</v>
      </c>
      <c r="H25">
        <v>2783.43</v>
      </c>
      <c r="I25">
        <v>2878.07</v>
      </c>
      <c r="K25">
        <f>IF(
    OR(
        AND(MAX(0, MIN($E$1, DATE(Initialisatie!$C$5,12,31)) - MAX($E$2, DATE(Initialisatie!$C$5,1,1)) + 1) &gt; 0,IFERROR(VALUE($E25),0)=0),
        AND(MAX(0, MIN($F$1, DATE(Initialisatie!$C$5,12,31)) - MAX($F$2, DATE(Initialisatie!$C$5,1,1)) + 1) &gt; 0,IFERROR(VALUE($F25),0)=0),
        AND(MAX(0, MIN($G$1, DATE(Initialisatie!$C$5,12,31)) - MAX($G$2, DATE(Initialisatie!$C$5,1,1)) + 1) &gt; 0,IFERROR(VALUE($G25),0)=0),
        AND(MAX(0, MIN($H$1, DATE(Initialisatie!$C$5,12,31)) - MAX($H$2, DATE(Initialisatie!$C$5,1,1)) + 1) &gt; 0,IFERROR(VALUE($H25),0)=0),
        AND(MAX(0, MIN($I$1, DATE(Initialisatie!$C$5,12,31)) - MAX($I$2, DATE(Initialisatie!$C$5,1,1)) + 1) &gt; 0,IFERROR(VALUE($I25),0)=0)
    ),
    0,
    SUM(
        IFERROR(VALUE($E25),0) * MAX(0, MIN($E$1, DATE(Initialisatie!$C$5,12,31)) - MAX($E$2, DATE(Initialisatie!$C$5,1,1)) + 1),
        IFERROR(VALUE($F25),0) * MAX(0, MIN($F$1, DATE(Initialisatie!$C$5,12,31)) - MAX($F$2, DATE(Initialisatie!$C$5,1,1)) + 1),
        IFERROR(VALUE($G25),0) * MAX(0, MIN($G$1, DATE(Initialisatie!$C$5,12,31)) - MAX($G$2, DATE(Initialisatie!$C$5,1,1)) + 1),
        IFERROR(VALUE($H25),0) * MAX(0, MIN($H$1, DATE(Initialisatie!$C$5,12,31)) - MAX($H$2, DATE(Initialisatie!$C$5,1,1)) + 1),
        IFERROR(VALUE($I25),0) * MAX(0, MIN($I$1, DATE(Initialisatie!$C$5,12,31)) - MAX($I$2, DATE(Initialisatie!$C$5,1,1)) + 1)
    ) / (DATE(Initialisatie!$C$5,12,31) - DATE(Initialisatie!$C$5,1,1) + 1)
)</f>
        <v>2783.43</v>
      </c>
      <c r="L25">
        <f>IF(
    OR(
        AND(MAX(0, IF(MIN($E$1, DATE(Initialisatie!$C$5,12,31)) &lt; MAX($E$2, DATE(Initialisatie!$C$5,1,1)), 0, MONTH(MIN($E$1, DATE(Initialisatie!$C$5,12,31))) - MONTH(MAX($E$2, DATE(Initialisatie!$C$5,1,1))) + 1)) &lt;= 0, IFERROR(VALUE($E25),0)=0),
        AND(MAX(0, IF(MIN($F$1, DATE(Initialisatie!$C$5,12,31)) &lt; MAX($F$2, DATE(Initialisatie!$C$5,1,1)), 0, MONTH(MIN($F$1, DATE(Initialisatie!$C$5,12,31))) - MONTH(MAX($F$2, DATE(Initialisatie!$C$5,1,1))) + 1)) &lt;= 0, IFERROR(VALUE($F25),0)=0),
        AND(MAX(0, IF(MIN($G$1, DATE(Initialisatie!$C$5,12,31)) &lt; MAX($G$2, DATE(Initialisatie!$C$5,1,1)), 0, MONTH(MIN($G$1, DATE(Initialisatie!$C$5,12,31))) - MONTH(MAX($G$2, DATE(Initialisatie!$C$5,1,1))) + 1)) &lt;= 0, IFERROR(VALUE($G25),0)=0),
        AND(MAX(0, IF(MIN($H$1, DATE(Initialisatie!$C$5,12,31)) &lt; MAX($H$2, DATE(Initialisatie!$C$5,1,1)), 0, MONTH(MIN($H$1, DATE(Initialisatie!$C$5,12,31))) - MONTH(MAX($H$2, DATE(Initialisatie!$C$5,1,1))) + 1)) &lt;= 0, IFERROR(VALUE($H25),0)=0),
        AND(MAX(0, IF(MIN($I$1, DATE(Initialisatie!$C$5,12,31)) &lt; MAX($I$2, DATE(Initialisatie!$C$5,1,1)), 0, MONTH(MIN($I$1, DATE(Initialisatie!$C$5,12,31))) - MONTH(MAX($I$2, DATE(Initialisatie!$C$5,1,1))) + 1)) &lt;= 0, IFERROR(VALUE($I25),0)=0)
    ),
    0,
    SUM(
        IFERROR(VALUE($E25),0) * MAX(0, IF(MIN($E$1, DATE(Initialisatie!$C$5,12,31)) &lt; MAX($E$2, DATE(Initialisatie!$C$5,1,1)), 0, MONTH(MIN($E$1, DATE(Initialisatie!$C$5,12,31))) - MONTH(MAX($E$2, DATE(Initialisatie!$C$5,1,1))) + 1)),
        IFERROR(VALUE($F25),0) * MAX(0, IF(MIN($F$1, DATE(Initialisatie!$C$5,12,31)) &lt; MAX($F$2, DATE(Initialisatie!$C$5,1,1)), 0, MONTH(MIN($F$1, DATE(Initialisatie!$C$5,12,31))) - MONTH(MAX($F$2, DATE(Initialisatie!$C$5,1,1))) + 1)),
        IFERROR(VALUE($G25),0) * MAX(0, IF(MIN($G$1, DATE(Initialisatie!$C$5,12,31)) &lt; MAX($G$2, DATE(Initialisatie!$C$5,1,1)), 0, MONTH(MIN($G$1, DATE(Initialisatie!$C$5,12,31))) - MONTH(MAX($G$2, DATE(Initialisatie!$C$5,1,1))) + 1)),
        IFERROR(VALUE($H25),0) * MAX(0, IF(MIN($H$1, DATE(Initialisatie!$C$5,12,31)) &lt; MAX($H$2, DATE(Initialisatie!$C$5,1,1)), 0, MONTH(MIN($H$1, DATE(Initialisatie!$C$5,12,31))) - MONTH(MAX($H$2, DATE(Initialisatie!$C$5,1,1))) + 1)),
        IFERROR(VALUE($I25),0) * MAX(0, IF(MIN($I$1, DATE(Initialisatie!$C$5,12,31)) &lt; MAX($I$2, DATE(Initialisatie!$C$5,1,1)), 0, MONTH(MIN($I$1, DATE(Initialisatie!$C$5,12,31))) - MONTH(MAX($I$2, DATE(Initialisatie!$C$5,1,1))) + 1))
    ) / 12
)</f>
        <v>2783.43</v>
      </c>
    </row>
    <row r="26" spans="1:12" x14ac:dyDescent="0.45">
      <c r="A26" s="989"/>
      <c r="B26" s="35" t="s">
        <v>97</v>
      </c>
      <c r="C26" s="35">
        <v>4</v>
      </c>
      <c r="D26" s="35" t="s">
        <v>265</v>
      </c>
      <c r="E26">
        <v>2640.27</v>
      </c>
      <c r="F26">
        <v>2673.27</v>
      </c>
      <c r="G26">
        <v>2769.51</v>
      </c>
      <c r="H26">
        <v>2871.98</v>
      </c>
      <c r="I26">
        <v>2969.63</v>
      </c>
      <c r="K26">
        <f>IF(
    OR(
        AND(MAX(0, MIN($E$1, DATE(Initialisatie!$C$5,12,31)) - MAX($E$2, DATE(Initialisatie!$C$5,1,1)) + 1) &gt; 0,IFERROR(VALUE($E26),0)=0),
        AND(MAX(0, MIN($F$1, DATE(Initialisatie!$C$5,12,31)) - MAX($F$2, DATE(Initialisatie!$C$5,1,1)) + 1) &gt; 0,IFERROR(VALUE($F26),0)=0),
        AND(MAX(0, MIN($G$1, DATE(Initialisatie!$C$5,12,31)) - MAX($G$2, DATE(Initialisatie!$C$5,1,1)) + 1) &gt; 0,IFERROR(VALUE($G26),0)=0),
        AND(MAX(0, MIN($H$1, DATE(Initialisatie!$C$5,12,31)) - MAX($H$2, DATE(Initialisatie!$C$5,1,1)) + 1) &gt; 0,IFERROR(VALUE($H26),0)=0),
        AND(MAX(0, MIN($I$1, DATE(Initialisatie!$C$5,12,31)) - MAX($I$2, DATE(Initialisatie!$C$5,1,1)) + 1) &gt; 0,IFERROR(VALUE($I26),0)=0)
    ),
    0,
    SUM(
        IFERROR(VALUE($E26),0) * MAX(0, MIN($E$1, DATE(Initialisatie!$C$5,12,31)) - MAX($E$2, DATE(Initialisatie!$C$5,1,1)) + 1),
        IFERROR(VALUE($F26),0) * MAX(0, MIN($F$1, DATE(Initialisatie!$C$5,12,31)) - MAX($F$2, DATE(Initialisatie!$C$5,1,1)) + 1),
        IFERROR(VALUE($G26),0) * MAX(0, MIN($G$1, DATE(Initialisatie!$C$5,12,31)) - MAX($G$2, DATE(Initialisatie!$C$5,1,1)) + 1),
        IFERROR(VALUE($H26),0) * MAX(0, MIN($H$1, DATE(Initialisatie!$C$5,12,31)) - MAX($H$2, DATE(Initialisatie!$C$5,1,1)) + 1),
        IFERROR(VALUE($I26),0) * MAX(0, MIN($I$1, DATE(Initialisatie!$C$5,12,31)) - MAX($I$2, DATE(Initialisatie!$C$5,1,1)) + 1)
    ) / (DATE(Initialisatie!$C$5,12,31) - DATE(Initialisatie!$C$5,1,1) + 1)
)</f>
        <v>2871.98</v>
      </c>
      <c r="L26">
        <f>IF(
    OR(
        AND(MAX(0, IF(MIN($E$1, DATE(Initialisatie!$C$5,12,31)) &lt; MAX($E$2, DATE(Initialisatie!$C$5,1,1)), 0, MONTH(MIN($E$1, DATE(Initialisatie!$C$5,12,31))) - MONTH(MAX($E$2, DATE(Initialisatie!$C$5,1,1))) + 1)) &lt;= 0, IFERROR(VALUE($E26),0)=0),
        AND(MAX(0, IF(MIN($F$1, DATE(Initialisatie!$C$5,12,31)) &lt; MAX($F$2, DATE(Initialisatie!$C$5,1,1)), 0, MONTH(MIN($F$1, DATE(Initialisatie!$C$5,12,31))) - MONTH(MAX($F$2, DATE(Initialisatie!$C$5,1,1))) + 1)) &lt;= 0, IFERROR(VALUE($F26),0)=0),
        AND(MAX(0, IF(MIN($G$1, DATE(Initialisatie!$C$5,12,31)) &lt; MAX($G$2, DATE(Initialisatie!$C$5,1,1)), 0, MONTH(MIN($G$1, DATE(Initialisatie!$C$5,12,31))) - MONTH(MAX($G$2, DATE(Initialisatie!$C$5,1,1))) + 1)) &lt;= 0, IFERROR(VALUE($G26),0)=0),
        AND(MAX(0, IF(MIN($H$1, DATE(Initialisatie!$C$5,12,31)) &lt; MAX($H$2, DATE(Initialisatie!$C$5,1,1)), 0, MONTH(MIN($H$1, DATE(Initialisatie!$C$5,12,31))) - MONTH(MAX($H$2, DATE(Initialisatie!$C$5,1,1))) + 1)) &lt;= 0, IFERROR(VALUE($H26),0)=0),
        AND(MAX(0, IF(MIN($I$1, DATE(Initialisatie!$C$5,12,31)) &lt; MAX($I$2, DATE(Initialisatie!$C$5,1,1)), 0, MONTH(MIN($I$1, DATE(Initialisatie!$C$5,12,31))) - MONTH(MAX($I$2, DATE(Initialisatie!$C$5,1,1))) + 1)) &lt;= 0, IFERROR(VALUE($I26),0)=0)
    ),
    0,
    SUM(
        IFERROR(VALUE($E26),0) * MAX(0, IF(MIN($E$1, DATE(Initialisatie!$C$5,12,31)) &lt; MAX($E$2, DATE(Initialisatie!$C$5,1,1)), 0, MONTH(MIN($E$1, DATE(Initialisatie!$C$5,12,31))) - MONTH(MAX($E$2, DATE(Initialisatie!$C$5,1,1))) + 1)),
        IFERROR(VALUE($F26),0) * MAX(0, IF(MIN($F$1, DATE(Initialisatie!$C$5,12,31)) &lt; MAX($F$2, DATE(Initialisatie!$C$5,1,1)), 0, MONTH(MIN($F$1, DATE(Initialisatie!$C$5,12,31))) - MONTH(MAX($F$2, DATE(Initialisatie!$C$5,1,1))) + 1)),
        IFERROR(VALUE($G26),0) * MAX(0, IF(MIN($G$1, DATE(Initialisatie!$C$5,12,31)) &lt; MAX($G$2, DATE(Initialisatie!$C$5,1,1)), 0, MONTH(MIN($G$1, DATE(Initialisatie!$C$5,12,31))) - MONTH(MAX($G$2, DATE(Initialisatie!$C$5,1,1))) + 1)),
        IFERROR(VALUE($H26),0) * MAX(0, IF(MIN($H$1, DATE(Initialisatie!$C$5,12,31)) &lt; MAX($H$2, DATE(Initialisatie!$C$5,1,1)), 0, MONTH(MIN($H$1, DATE(Initialisatie!$C$5,12,31))) - MONTH(MAX($H$2, DATE(Initialisatie!$C$5,1,1))) + 1)),
        IFERROR(VALUE($I26),0) * MAX(0, IF(MIN($I$1, DATE(Initialisatie!$C$5,12,31)) &lt; MAX($I$2, DATE(Initialisatie!$C$5,1,1)), 0, MONTH(MIN($I$1, DATE(Initialisatie!$C$5,12,31))) - MONTH(MAX($I$2, DATE(Initialisatie!$C$5,1,1))) + 1))
    ) / 12
)</f>
        <v>2871.98</v>
      </c>
    </row>
    <row r="27" spans="1:12" x14ac:dyDescent="0.45">
      <c r="A27" s="989"/>
      <c r="B27" s="35" t="s">
        <v>95</v>
      </c>
      <c r="C27" s="35">
        <v>5</v>
      </c>
      <c r="D27" s="35" t="s">
        <v>264</v>
      </c>
      <c r="E27">
        <v>2725.22</v>
      </c>
      <c r="F27">
        <v>2759.28</v>
      </c>
      <c r="G27">
        <v>2858.62</v>
      </c>
      <c r="H27">
        <v>2964.39</v>
      </c>
      <c r="I27">
        <v>3065.18</v>
      </c>
      <c r="K27">
        <f>IF(
    OR(
        AND(MAX(0, MIN($E$1, DATE(Initialisatie!$C$5,12,31)) - MAX($E$2, DATE(Initialisatie!$C$5,1,1)) + 1) &gt; 0,IFERROR(VALUE($E27),0)=0),
        AND(MAX(0, MIN($F$1, DATE(Initialisatie!$C$5,12,31)) - MAX($F$2, DATE(Initialisatie!$C$5,1,1)) + 1) &gt; 0,IFERROR(VALUE($F27),0)=0),
        AND(MAX(0, MIN($G$1, DATE(Initialisatie!$C$5,12,31)) - MAX($G$2, DATE(Initialisatie!$C$5,1,1)) + 1) &gt; 0,IFERROR(VALUE($G27),0)=0),
        AND(MAX(0, MIN($H$1, DATE(Initialisatie!$C$5,12,31)) - MAX($H$2, DATE(Initialisatie!$C$5,1,1)) + 1) &gt; 0,IFERROR(VALUE($H27),0)=0),
        AND(MAX(0, MIN($I$1, DATE(Initialisatie!$C$5,12,31)) - MAX($I$2, DATE(Initialisatie!$C$5,1,1)) + 1) &gt; 0,IFERROR(VALUE($I27),0)=0)
    ),
    0,
    SUM(
        IFERROR(VALUE($E27),0) * MAX(0, MIN($E$1, DATE(Initialisatie!$C$5,12,31)) - MAX($E$2, DATE(Initialisatie!$C$5,1,1)) + 1),
        IFERROR(VALUE($F27),0) * MAX(0, MIN($F$1, DATE(Initialisatie!$C$5,12,31)) - MAX($F$2, DATE(Initialisatie!$C$5,1,1)) + 1),
        IFERROR(VALUE($G27),0) * MAX(0, MIN($G$1, DATE(Initialisatie!$C$5,12,31)) - MAX($G$2, DATE(Initialisatie!$C$5,1,1)) + 1),
        IFERROR(VALUE($H27),0) * MAX(0, MIN($H$1, DATE(Initialisatie!$C$5,12,31)) - MAX($H$2, DATE(Initialisatie!$C$5,1,1)) + 1),
        IFERROR(VALUE($I27),0) * MAX(0, MIN($I$1, DATE(Initialisatie!$C$5,12,31)) - MAX($I$2, DATE(Initialisatie!$C$5,1,1)) + 1)
    ) / (DATE(Initialisatie!$C$5,12,31) - DATE(Initialisatie!$C$5,1,1) + 1)
)</f>
        <v>2964.3899999999994</v>
      </c>
      <c r="L27">
        <f>IF(
    OR(
        AND(MAX(0, IF(MIN($E$1, DATE(Initialisatie!$C$5,12,31)) &lt; MAX($E$2, DATE(Initialisatie!$C$5,1,1)), 0, MONTH(MIN($E$1, DATE(Initialisatie!$C$5,12,31))) - MONTH(MAX($E$2, DATE(Initialisatie!$C$5,1,1))) + 1)) &lt;= 0, IFERROR(VALUE($E27),0)=0),
        AND(MAX(0, IF(MIN($F$1, DATE(Initialisatie!$C$5,12,31)) &lt; MAX($F$2, DATE(Initialisatie!$C$5,1,1)), 0, MONTH(MIN($F$1, DATE(Initialisatie!$C$5,12,31))) - MONTH(MAX($F$2, DATE(Initialisatie!$C$5,1,1))) + 1)) &lt;= 0, IFERROR(VALUE($F27),0)=0),
        AND(MAX(0, IF(MIN($G$1, DATE(Initialisatie!$C$5,12,31)) &lt; MAX($G$2, DATE(Initialisatie!$C$5,1,1)), 0, MONTH(MIN($G$1, DATE(Initialisatie!$C$5,12,31))) - MONTH(MAX($G$2, DATE(Initialisatie!$C$5,1,1))) + 1)) &lt;= 0, IFERROR(VALUE($G27),0)=0),
        AND(MAX(0, IF(MIN($H$1, DATE(Initialisatie!$C$5,12,31)) &lt; MAX($H$2, DATE(Initialisatie!$C$5,1,1)), 0, MONTH(MIN($H$1, DATE(Initialisatie!$C$5,12,31))) - MONTH(MAX($H$2, DATE(Initialisatie!$C$5,1,1))) + 1)) &lt;= 0, IFERROR(VALUE($H27),0)=0),
        AND(MAX(0, IF(MIN($I$1, DATE(Initialisatie!$C$5,12,31)) &lt; MAX($I$2, DATE(Initialisatie!$C$5,1,1)), 0, MONTH(MIN($I$1, DATE(Initialisatie!$C$5,12,31))) - MONTH(MAX($I$2, DATE(Initialisatie!$C$5,1,1))) + 1)) &lt;= 0, IFERROR(VALUE($I27),0)=0)
    ),
    0,
    SUM(
        IFERROR(VALUE($E27),0) * MAX(0, IF(MIN($E$1, DATE(Initialisatie!$C$5,12,31)) &lt; MAX($E$2, DATE(Initialisatie!$C$5,1,1)), 0, MONTH(MIN($E$1, DATE(Initialisatie!$C$5,12,31))) - MONTH(MAX($E$2, DATE(Initialisatie!$C$5,1,1))) + 1)),
        IFERROR(VALUE($F27),0) * MAX(0, IF(MIN($F$1, DATE(Initialisatie!$C$5,12,31)) &lt; MAX($F$2, DATE(Initialisatie!$C$5,1,1)), 0, MONTH(MIN($F$1, DATE(Initialisatie!$C$5,12,31))) - MONTH(MAX($F$2, DATE(Initialisatie!$C$5,1,1))) + 1)),
        IFERROR(VALUE($G27),0) * MAX(0, IF(MIN($G$1, DATE(Initialisatie!$C$5,12,31)) &lt; MAX($G$2, DATE(Initialisatie!$C$5,1,1)), 0, MONTH(MIN($G$1, DATE(Initialisatie!$C$5,12,31))) - MONTH(MAX($G$2, DATE(Initialisatie!$C$5,1,1))) + 1)),
        IFERROR(VALUE($H27),0) * MAX(0, IF(MIN($H$1, DATE(Initialisatie!$C$5,12,31)) &lt; MAX($H$2, DATE(Initialisatie!$C$5,1,1)), 0, MONTH(MIN($H$1, DATE(Initialisatie!$C$5,12,31))) - MONTH(MAX($H$2, DATE(Initialisatie!$C$5,1,1))) + 1)),
        IFERROR(VALUE($I27),0) * MAX(0, IF(MIN($I$1, DATE(Initialisatie!$C$5,12,31)) &lt; MAX($I$2, DATE(Initialisatie!$C$5,1,1)), 0, MONTH(MIN($I$1, DATE(Initialisatie!$C$5,12,31))) - MONTH(MAX($I$2, DATE(Initialisatie!$C$5,1,1))) + 1))
    ) / 12
)</f>
        <v>2964.39</v>
      </c>
    </row>
    <row r="28" spans="1:12" x14ac:dyDescent="0.45">
      <c r="A28" s="989"/>
      <c r="B28" s="35" t="s">
        <v>93</v>
      </c>
      <c r="C28" s="35">
        <v>6</v>
      </c>
      <c r="D28" s="35" t="s">
        <v>263</v>
      </c>
      <c r="E28">
        <v>2812.43</v>
      </c>
      <c r="F28">
        <v>2847.59</v>
      </c>
      <c r="G28">
        <v>2950.1</v>
      </c>
      <c r="H28">
        <v>3059.25</v>
      </c>
      <c r="I28">
        <v>3163.27</v>
      </c>
      <c r="K28">
        <f>IF(
    OR(
        AND(MAX(0, MIN($E$1, DATE(Initialisatie!$C$5,12,31)) - MAX($E$2, DATE(Initialisatie!$C$5,1,1)) + 1) &gt; 0,IFERROR(VALUE($E28),0)=0),
        AND(MAX(0, MIN($F$1, DATE(Initialisatie!$C$5,12,31)) - MAX($F$2, DATE(Initialisatie!$C$5,1,1)) + 1) &gt; 0,IFERROR(VALUE($F28),0)=0),
        AND(MAX(0, MIN($G$1, DATE(Initialisatie!$C$5,12,31)) - MAX($G$2, DATE(Initialisatie!$C$5,1,1)) + 1) &gt; 0,IFERROR(VALUE($G28),0)=0),
        AND(MAX(0, MIN($H$1, DATE(Initialisatie!$C$5,12,31)) - MAX($H$2, DATE(Initialisatie!$C$5,1,1)) + 1) &gt; 0,IFERROR(VALUE($H28),0)=0),
        AND(MAX(0, MIN($I$1, DATE(Initialisatie!$C$5,12,31)) - MAX($I$2, DATE(Initialisatie!$C$5,1,1)) + 1) &gt; 0,IFERROR(VALUE($I28),0)=0)
    ),
    0,
    SUM(
        IFERROR(VALUE($E28),0) * MAX(0, MIN($E$1, DATE(Initialisatie!$C$5,12,31)) - MAX($E$2, DATE(Initialisatie!$C$5,1,1)) + 1),
        IFERROR(VALUE($F28),0) * MAX(0, MIN($F$1, DATE(Initialisatie!$C$5,12,31)) - MAX($F$2, DATE(Initialisatie!$C$5,1,1)) + 1),
        IFERROR(VALUE($G28),0) * MAX(0, MIN($G$1, DATE(Initialisatie!$C$5,12,31)) - MAX($G$2, DATE(Initialisatie!$C$5,1,1)) + 1),
        IFERROR(VALUE($H28),0) * MAX(0, MIN($H$1, DATE(Initialisatie!$C$5,12,31)) - MAX($H$2, DATE(Initialisatie!$C$5,1,1)) + 1),
        IFERROR(VALUE($I28),0) * MAX(0, MIN($I$1, DATE(Initialisatie!$C$5,12,31)) - MAX($I$2, DATE(Initialisatie!$C$5,1,1)) + 1)
    ) / (DATE(Initialisatie!$C$5,12,31) - DATE(Initialisatie!$C$5,1,1) + 1)
)</f>
        <v>3059.25</v>
      </c>
      <c r="L28">
        <f>IF(
    OR(
        AND(MAX(0, IF(MIN($E$1, DATE(Initialisatie!$C$5,12,31)) &lt; MAX($E$2, DATE(Initialisatie!$C$5,1,1)), 0, MONTH(MIN($E$1, DATE(Initialisatie!$C$5,12,31))) - MONTH(MAX($E$2, DATE(Initialisatie!$C$5,1,1))) + 1)) &lt;= 0, IFERROR(VALUE($E28),0)=0),
        AND(MAX(0, IF(MIN($F$1, DATE(Initialisatie!$C$5,12,31)) &lt; MAX($F$2, DATE(Initialisatie!$C$5,1,1)), 0, MONTH(MIN($F$1, DATE(Initialisatie!$C$5,12,31))) - MONTH(MAX($F$2, DATE(Initialisatie!$C$5,1,1))) + 1)) &lt;= 0, IFERROR(VALUE($F28),0)=0),
        AND(MAX(0, IF(MIN($G$1, DATE(Initialisatie!$C$5,12,31)) &lt; MAX($G$2, DATE(Initialisatie!$C$5,1,1)), 0, MONTH(MIN($G$1, DATE(Initialisatie!$C$5,12,31))) - MONTH(MAX($G$2, DATE(Initialisatie!$C$5,1,1))) + 1)) &lt;= 0, IFERROR(VALUE($G28),0)=0),
        AND(MAX(0, IF(MIN($H$1, DATE(Initialisatie!$C$5,12,31)) &lt; MAX($H$2, DATE(Initialisatie!$C$5,1,1)), 0, MONTH(MIN($H$1, DATE(Initialisatie!$C$5,12,31))) - MONTH(MAX($H$2, DATE(Initialisatie!$C$5,1,1))) + 1)) &lt;= 0, IFERROR(VALUE($H28),0)=0),
        AND(MAX(0, IF(MIN($I$1, DATE(Initialisatie!$C$5,12,31)) &lt; MAX($I$2, DATE(Initialisatie!$C$5,1,1)), 0, MONTH(MIN($I$1, DATE(Initialisatie!$C$5,12,31))) - MONTH(MAX($I$2, DATE(Initialisatie!$C$5,1,1))) + 1)) &lt;= 0, IFERROR(VALUE($I28),0)=0)
    ),
    0,
    SUM(
        IFERROR(VALUE($E28),0) * MAX(0, IF(MIN($E$1, DATE(Initialisatie!$C$5,12,31)) &lt; MAX($E$2, DATE(Initialisatie!$C$5,1,1)), 0, MONTH(MIN($E$1, DATE(Initialisatie!$C$5,12,31))) - MONTH(MAX($E$2, DATE(Initialisatie!$C$5,1,1))) + 1)),
        IFERROR(VALUE($F28),0) * MAX(0, IF(MIN($F$1, DATE(Initialisatie!$C$5,12,31)) &lt; MAX($F$2, DATE(Initialisatie!$C$5,1,1)), 0, MONTH(MIN($F$1, DATE(Initialisatie!$C$5,12,31))) - MONTH(MAX($F$2, DATE(Initialisatie!$C$5,1,1))) + 1)),
        IFERROR(VALUE($G28),0) * MAX(0, IF(MIN($G$1, DATE(Initialisatie!$C$5,12,31)) &lt; MAX($G$2, DATE(Initialisatie!$C$5,1,1)), 0, MONTH(MIN($G$1, DATE(Initialisatie!$C$5,12,31))) - MONTH(MAX($G$2, DATE(Initialisatie!$C$5,1,1))) + 1)),
        IFERROR(VALUE($H28),0) * MAX(0, IF(MIN($H$1, DATE(Initialisatie!$C$5,12,31)) &lt; MAX($H$2, DATE(Initialisatie!$C$5,1,1)), 0, MONTH(MIN($H$1, DATE(Initialisatie!$C$5,12,31))) - MONTH(MAX($H$2, DATE(Initialisatie!$C$5,1,1))) + 1)),
        IFERROR(VALUE($I28),0) * MAX(0, IF(MIN($I$1, DATE(Initialisatie!$C$5,12,31)) &lt; MAX($I$2, DATE(Initialisatie!$C$5,1,1)), 0, MONTH(MIN($I$1, DATE(Initialisatie!$C$5,12,31))) - MONTH(MAX($I$2, DATE(Initialisatie!$C$5,1,1))) + 1))
    ) / 12
)</f>
        <v>3059.25</v>
      </c>
    </row>
    <row r="29" spans="1:12" x14ac:dyDescent="0.45">
      <c r="A29" s="989"/>
      <c r="B29" s="35" t="s">
        <v>91</v>
      </c>
      <c r="C29" s="35">
        <v>7</v>
      </c>
      <c r="D29" s="35" t="s">
        <v>262</v>
      </c>
      <c r="E29">
        <v>2901.8</v>
      </c>
      <c r="F29">
        <v>2938.08</v>
      </c>
      <c r="G29">
        <v>3043.85</v>
      </c>
      <c r="H29">
        <v>3156.47</v>
      </c>
      <c r="I29">
        <v>3263.79</v>
      </c>
      <c r="K29">
        <f>IF(
    OR(
        AND(MAX(0, MIN($E$1, DATE(Initialisatie!$C$5,12,31)) - MAX($E$2, DATE(Initialisatie!$C$5,1,1)) + 1) &gt; 0,IFERROR(VALUE($E29),0)=0),
        AND(MAX(0, MIN($F$1, DATE(Initialisatie!$C$5,12,31)) - MAX($F$2, DATE(Initialisatie!$C$5,1,1)) + 1) &gt; 0,IFERROR(VALUE($F29),0)=0),
        AND(MAX(0, MIN($G$1, DATE(Initialisatie!$C$5,12,31)) - MAX($G$2, DATE(Initialisatie!$C$5,1,1)) + 1) &gt; 0,IFERROR(VALUE($G29),0)=0),
        AND(MAX(0, MIN($H$1, DATE(Initialisatie!$C$5,12,31)) - MAX($H$2, DATE(Initialisatie!$C$5,1,1)) + 1) &gt; 0,IFERROR(VALUE($H29),0)=0),
        AND(MAX(0, MIN($I$1, DATE(Initialisatie!$C$5,12,31)) - MAX($I$2, DATE(Initialisatie!$C$5,1,1)) + 1) &gt; 0,IFERROR(VALUE($I29),0)=0)
    ),
    0,
    SUM(
        IFERROR(VALUE($E29),0) * MAX(0, MIN($E$1, DATE(Initialisatie!$C$5,12,31)) - MAX($E$2, DATE(Initialisatie!$C$5,1,1)) + 1),
        IFERROR(VALUE($F29),0) * MAX(0, MIN($F$1, DATE(Initialisatie!$C$5,12,31)) - MAX($F$2, DATE(Initialisatie!$C$5,1,1)) + 1),
        IFERROR(VALUE($G29),0) * MAX(0, MIN($G$1, DATE(Initialisatie!$C$5,12,31)) - MAX($G$2, DATE(Initialisatie!$C$5,1,1)) + 1),
        IFERROR(VALUE($H29),0) * MAX(0, MIN($H$1, DATE(Initialisatie!$C$5,12,31)) - MAX($H$2, DATE(Initialisatie!$C$5,1,1)) + 1),
        IFERROR(VALUE($I29),0) * MAX(0, MIN($I$1, DATE(Initialisatie!$C$5,12,31)) - MAX($I$2, DATE(Initialisatie!$C$5,1,1)) + 1)
    ) / (DATE(Initialisatie!$C$5,12,31) - DATE(Initialisatie!$C$5,1,1) + 1)
)</f>
        <v>3156.4699999999993</v>
      </c>
      <c r="L29">
        <f>IF(
    OR(
        AND(MAX(0, IF(MIN($E$1, DATE(Initialisatie!$C$5,12,31)) &lt; MAX($E$2, DATE(Initialisatie!$C$5,1,1)), 0, MONTH(MIN($E$1, DATE(Initialisatie!$C$5,12,31))) - MONTH(MAX($E$2, DATE(Initialisatie!$C$5,1,1))) + 1)) &lt;= 0, IFERROR(VALUE($E29),0)=0),
        AND(MAX(0, IF(MIN($F$1, DATE(Initialisatie!$C$5,12,31)) &lt; MAX($F$2, DATE(Initialisatie!$C$5,1,1)), 0, MONTH(MIN($F$1, DATE(Initialisatie!$C$5,12,31))) - MONTH(MAX($F$2, DATE(Initialisatie!$C$5,1,1))) + 1)) &lt;= 0, IFERROR(VALUE($F29),0)=0),
        AND(MAX(0, IF(MIN($G$1, DATE(Initialisatie!$C$5,12,31)) &lt; MAX($G$2, DATE(Initialisatie!$C$5,1,1)), 0, MONTH(MIN($G$1, DATE(Initialisatie!$C$5,12,31))) - MONTH(MAX($G$2, DATE(Initialisatie!$C$5,1,1))) + 1)) &lt;= 0, IFERROR(VALUE($G29),0)=0),
        AND(MAX(0, IF(MIN($H$1, DATE(Initialisatie!$C$5,12,31)) &lt; MAX($H$2, DATE(Initialisatie!$C$5,1,1)), 0, MONTH(MIN($H$1, DATE(Initialisatie!$C$5,12,31))) - MONTH(MAX($H$2, DATE(Initialisatie!$C$5,1,1))) + 1)) &lt;= 0, IFERROR(VALUE($H29),0)=0),
        AND(MAX(0, IF(MIN($I$1, DATE(Initialisatie!$C$5,12,31)) &lt; MAX($I$2, DATE(Initialisatie!$C$5,1,1)), 0, MONTH(MIN($I$1, DATE(Initialisatie!$C$5,12,31))) - MONTH(MAX($I$2, DATE(Initialisatie!$C$5,1,1))) + 1)) &lt;= 0, IFERROR(VALUE($I29),0)=0)
    ),
    0,
    SUM(
        IFERROR(VALUE($E29),0) * MAX(0, IF(MIN($E$1, DATE(Initialisatie!$C$5,12,31)) &lt; MAX($E$2, DATE(Initialisatie!$C$5,1,1)), 0, MONTH(MIN($E$1, DATE(Initialisatie!$C$5,12,31))) - MONTH(MAX($E$2, DATE(Initialisatie!$C$5,1,1))) + 1)),
        IFERROR(VALUE($F29),0) * MAX(0, IF(MIN($F$1, DATE(Initialisatie!$C$5,12,31)) &lt; MAX($F$2, DATE(Initialisatie!$C$5,1,1)), 0, MONTH(MIN($F$1, DATE(Initialisatie!$C$5,12,31))) - MONTH(MAX($F$2, DATE(Initialisatie!$C$5,1,1))) + 1)),
        IFERROR(VALUE($G29),0) * MAX(0, IF(MIN($G$1, DATE(Initialisatie!$C$5,12,31)) &lt; MAX($G$2, DATE(Initialisatie!$C$5,1,1)), 0, MONTH(MIN($G$1, DATE(Initialisatie!$C$5,12,31))) - MONTH(MAX($G$2, DATE(Initialisatie!$C$5,1,1))) + 1)),
        IFERROR(VALUE($H29),0) * MAX(0, IF(MIN($H$1, DATE(Initialisatie!$C$5,12,31)) &lt; MAX($H$2, DATE(Initialisatie!$C$5,1,1)), 0, MONTH(MIN($H$1, DATE(Initialisatie!$C$5,12,31))) - MONTH(MAX($H$2, DATE(Initialisatie!$C$5,1,1))) + 1)),
        IFERROR(VALUE($I29),0) * MAX(0, IF(MIN($I$1, DATE(Initialisatie!$C$5,12,31)) &lt; MAX($I$2, DATE(Initialisatie!$C$5,1,1)), 0, MONTH(MIN($I$1, DATE(Initialisatie!$C$5,12,31))) - MONTH(MAX($I$2, DATE(Initialisatie!$C$5,1,1))) + 1))
    ) / 12
)</f>
        <v>3156.47</v>
      </c>
    </row>
    <row r="30" spans="1:12" x14ac:dyDescent="0.45">
      <c r="A30" s="989"/>
      <c r="B30" s="35" t="s">
        <v>89</v>
      </c>
      <c r="C30" s="35">
        <v>8</v>
      </c>
      <c r="D30" s="35" t="s">
        <v>261</v>
      </c>
      <c r="E30">
        <v>2994.81</v>
      </c>
      <c r="F30">
        <v>3032.24</v>
      </c>
      <c r="G30">
        <v>3141.4</v>
      </c>
      <c r="H30">
        <v>3257.64</v>
      </c>
      <c r="I30">
        <v>3368.39</v>
      </c>
      <c r="K30">
        <f>IF(
    OR(
        AND(MAX(0, MIN($E$1, DATE(Initialisatie!$C$5,12,31)) - MAX($E$2, DATE(Initialisatie!$C$5,1,1)) + 1) &gt; 0,IFERROR(VALUE($E30),0)=0),
        AND(MAX(0, MIN($F$1, DATE(Initialisatie!$C$5,12,31)) - MAX($F$2, DATE(Initialisatie!$C$5,1,1)) + 1) &gt; 0,IFERROR(VALUE($F30),0)=0),
        AND(MAX(0, MIN($G$1, DATE(Initialisatie!$C$5,12,31)) - MAX($G$2, DATE(Initialisatie!$C$5,1,1)) + 1) &gt; 0,IFERROR(VALUE($G30),0)=0),
        AND(MAX(0, MIN($H$1, DATE(Initialisatie!$C$5,12,31)) - MAX($H$2, DATE(Initialisatie!$C$5,1,1)) + 1) &gt; 0,IFERROR(VALUE($H30),0)=0),
        AND(MAX(0, MIN($I$1, DATE(Initialisatie!$C$5,12,31)) - MAX($I$2, DATE(Initialisatie!$C$5,1,1)) + 1) &gt; 0,IFERROR(VALUE($I30),0)=0)
    ),
    0,
    SUM(
        IFERROR(VALUE($E30),0) * MAX(0, MIN($E$1, DATE(Initialisatie!$C$5,12,31)) - MAX($E$2, DATE(Initialisatie!$C$5,1,1)) + 1),
        IFERROR(VALUE($F30),0) * MAX(0, MIN($F$1, DATE(Initialisatie!$C$5,12,31)) - MAX($F$2, DATE(Initialisatie!$C$5,1,1)) + 1),
        IFERROR(VALUE($G30),0) * MAX(0, MIN($G$1, DATE(Initialisatie!$C$5,12,31)) - MAX($G$2, DATE(Initialisatie!$C$5,1,1)) + 1),
        IFERROR(VALUE($H30),0) * MAX(0, MIN($H$1, DATE(Initialisatie!$C$5,12,31)) - MAX($H$2, DATE(Initialisatie!$C$5,1,1)) + 1),
        IFERROR(VALUE($I30),0) * MAX(0, MIN($I$1, DATE(Initialisatie!$C$5,12,31)) - MAX($I$2, DATE(Initialisatie!$C$5,1,1)) + 1)
    ) / (DATE(Initialisatie!$C$5,12,31) - DATE(Initialisatie!$C$5,1,1) + 1)
)</f>
        <v>3257.6399999999994</v>
      </c>
      <c r="L30">
        <f>IF(
    OR(
        AND(MAX(0, IF(MIN($E$1, DATE(Initialisatie!$C$5,12,31)) &lt; MAX($E$2, DATE(Initialisatie!$C$5,1,1)), 0, MONTH(MIN($E$1, DATE(Initialisatie!$C$5,12,31))) - MONTH(MAX($E$2, DATE(Initialisatie!$C$5,1,1))) + 1)) &lt;= 0, IFERROR(VALUE($E30),0)=0),
        AND(MAX(0, IF(MIN($F$1, DATE(Initialisatie!$C$5,12,31)) &lt; MAX($F$2, DATE(Initialisatie!$C$5,1,1)), 0, MONTH(MIN($F$1, DATE(Initialisatie!$C$5,12,31))) - MONTH(MAX($F$2, DATE(Initialisatie!$C$5,1,1))) + 1)) &lt;= 0, IFERROR(VALUE($F30),0)=0),
        AND(MAX(0, IF(MIN($G$1, DATE(Initialisatie!$C$5,12,31)) &lt; MAX($G$2, DATE(Initialisatie!$C$5,1,1)), 0, MONTH(MIN($G$1, DATE(Initialisatie!$C$5,12,31))) - MONTH(MAX($G$2, DATE(Initialisatie!$C$5,1,1))) + 1)) &lt;= 0, IFERROR(VALUE($G30),0)=0),
        AND(MAX(0, IF(MIN($H$1, DATE(Initialisatie!$C$5,12,31)) &lt; MAX($H$2, DATE(Initialisatie!$C$5,1,1)), 0, MONTH(MIN($H$1, DATE(Initialisatie!$C$5,12,31))) - MONTH(MAX($H$2, DATE(Initialisatie!$C$5,1,1))) + 1)) &lt;= 0, IFERROR(VALUE($H30),0)=0),
        AND(MAX(0, IF(MIN($I$1, DATE(Initialisatie!$C$5,12,31)) &lt; MAX($I$2, DATE(Initialisatie!$C$5,1,1)), 0, MONTH(MIN($I$1, DATE(Initialisatie!$C$5,12,31))) - MONTH(MAX($I$2, DATE(Initialisatie!$C$5,1,1))) + 1)) &lt;= 0, IFERROR(VALUE($I30),0)=0)
    ),
    0,
    SUM(
        IFERROR(VALUE($E30),0) * MAX(0, IF(MIN($E$1, DATE(Initialisatie!$C$5,12,31)) &lt; MAX($E$2, DATE(Initialisatie!$C$5,1,1)), 0, MONTH(MIN($E$1, DATE(Initialisatie!$C$5,12,31))) - MONTH(MAX($E$2, DATE(Initialisatie!$C$5,1,1))) + 1)),
        IFERROR(VALUE($F30),0) * MAX(0, IF(MIN($F$1, DATE(Initialisatie!$C$5,12,31)) &lt; MAX($F$2, DATE(Initialisatie!$C$5,1,1)), 0, MONTH(MIN($F$1, DATE(Initialisatie!$C$5,12,31))) - MONTH(MAX($F$2, DATE(Initialisatie!$C$5,1,1))) + 1)),
        IFERROR(VALUE($G30),0) * MAX(0, IF(MIN($G$1, DATE(Initialisatie!$C$5,12,31)) &lt; MAX($G$2, DATE(Initialisatie!$C$5,1,1)), 0, MONTH(MIN($G$1, DATE(Initialisatie!$C$5,12,31))) - MONTH(MAX($G$2, DATE(Initialisatie!$C$5,1,1))) + 1)),
        IFERROR(VALUE($H30),0) * MAX(0, IF(MIN($H$1, DATE(Initialisatie!$C$5,12,31)) &lt; MAX($H$2, DATE(Initialisatie!$C$5,1,1)), 0, MONTH(MIN($H$1, DATE(Initialisatie!$C$5,12,31))) - MONTH(MAX($H$2, DATE(Initialisatie!$C$5,1,1))) + 1)),
        IFERROR(VALUE($I30),0) * MAX(0, IF(MIN($I$1, DATE(Initialisatie!$C$5,12,31)) &lt; MAX($I$2, DATE(Initialisatie!$C$5,1,1)), 0, MONTH(MIN($I$1, DATE(Initialisatie!$C$5,12,31))) - MONTH(MAX($I$2, DATE(Initialisatie!$C$5,1,1))) + 1))
    ) / 12
)</f>
        <v>3257.64</v>
      </c>
    </row>
    <row r="31" spans="1:12" x14ac:dyDescent="0.45">
      <c r="A31" s="989"/>
      <c r="B31" s="35" t="s">
        <v>87</v>
      </c>
      <c r="C31" s="35">
        <v>9</v>
      </c>
      <c r="D31" s="35" t="s">
        <v>260</v>
      </c>
      <c r="E31">
        <v>3090.68</v>
      </c>
      <c r="F31">
        <v>3129.32</v>
      </c>
      <c r="G31">
        <v>3241.97</v>
      </c>
      <c r="H31">
        <v>3361.92</v>
      </c>
      <c r="I31">
        <v>3476.23</v>
      </c>
      <c r="K31">
        <f>IF(
    OR(
        AND(MAX(0, MIN($E$1, DATE(Initialisatie!$C$5,12,31)) - MAX($E$2, DATE(Initialisatie!$C$5,1,1)) + 1) &gt; 0,IFERROR(VALUE($E31),0)=0),
        AND(MAX(0, MIN($F$1, DATE(Initialisatie!$C$5,12,31)) - MAX($F$2, DATE(Initialisatie!$C$5,1,1)) + 1) &gt; 0,IFERROR(VALUE($F31),0)=0),
        AND(MAX(0, MIN($G$1, DATE(Initialisatie!$C$5,12,31)) - MAX($G$2, DATE(Initialisatie!$C$5,1,1)) + 1) &gt; 0,IFERROR(VALUE($G31),0)=0),
        AND(MAX(0, MIN($H$1, DATE(Initialisatie!$C$5,12,31)) - MAX($H$2, DATE(Initialisatie!$C$5,1,1)) + 1) &gt; 0,IFERROR(VALUE($H31),0)=0),
        AND(MAX(0, MIN($I$1, DATE(Initialisatie!$C$5,12,31)) - MAX($I$2, DATE(Initialisatie!$C$5,1,1)) + 1) &gt; 0,IFERROR(VALUE($I31),0)=0)
    ),
    0,
    SUM(
        IFERROR(VALUE($E31),0) * MAX(0, MIN($E$1, DATE(Initialisatie!$C$5,12,31)) - MAX($E$2, DATE(Initialisatie!$C$5,1,1)) + 1),
        IFERROR(VALUE($F31),0) * MAX(0, MIN($F$1, DATE(Initialisatie!$C$5,12,31)) - MAX($F$2, DATE(Initialisatie!$C$5,1,1)) + 1),
        IFERROR(VALUE($G31),0) * MAX(0, MIN($G$1, DATE(Initialisatie!$C$5,12,31)) - MAX($G$2, DATE(Initialisatie!$C$5,1,1)) + 1),
        IFERROR(VALUE($H31),0) * MAX(0, MIN($H$1, DATE(Initialisatie!$C$5,12,31)) - MAX($H$2, DATE(Initialisatie!$C$5,1,1)) + 1),
        IFERROR(VALUE($I31),0) * MAX(0, MIN($I$1, DATE(Initialisatie!$C$5,12,31)) - MAX($I$2, DATE(Initialisatie!$C$5,1,1)) + 1)
    ) / (DATE(Initialisatie!$C$5,12,31) - DATE(Initialisatie!$C$5,1,1) + 1)
)</f>
        <v>3361.92</v>
      </c>
      <c r="L31">
        <f>IF(
    OR(
        AND(MAX(0, IF(MIN($E$1, DATE(Initialisatie!$C$5,12,31)) &lt; MAX($E$2, DATE(Initialisatie!$C$5,1,1)), 0, MONTH(MIN($E$1, DATE(Initialisatie!$C$5,12,31))) - MONTH(MAX($E$2, DATE(Initialisatie!$C$5,1,1))) + 1)) &lt;= 0, IFERROR(VALUE($E31),0)=0),
        AND(MAX(0, IF(MIN($F$1, DATE(Initialisatie!$C$5,12,31)) &lt; MAX($F$2, DATE(Initialisatie!$C$5,1,1)), 0, MONTH(MIN($F$1, DATE(Initialisatie!$C$5,12,31))) - MONTH(MAX($F$2, DATE(Initialisatie!$C$5,1,1))) + 1)) &lt;= 0, IFERROR(VALUE($F31),0)=0),
        AND(MAX(0, IF(MIN($G$1, DATE(Initialisatie!$C$5,12,31)) &lt; MAX($G$2, DATE(Initialisatie!$C$5,1,1)), 0, MONTH(MIN($G$1, DATE(Initialisatie!$C$5,12,31))) - MONTH(MAX($G$2, DATE(Initialisatie!$C$5,1,1))) + 1)) &lt;= 0, IFERROR(VALUE($G31),0)=0),
        AND(MAX(0, IF(MIN($H$1, DATE(Initialisatie!$C$5,12,31)) &lt; MAX($H$2, DATE(Initialisatie!$C$5,1,1)), 0, MONTH(MIN($H$1, DATE(Initialisatie!$C$5,12,31))) - MONTH(MAX($H$2, DATE(Initialisatie!$C$5,1,1))) + 1)) &lt;= 0, IFERROR(VALUE($H31),0)=0),
        AND(MAX(0, IF(MIN($I$1, DATE(Initialisatie!$C$5,12,31)) &lt; MAX($I$2, DATE(Initialisatie!$C$5,1,1)), 0, MONTH(MIN($I$1, DATE(Initialisatie!$C$5,12,31))) - MONTH(MAX($I$2, DATE(Initialisatie!$C$5,1,1))) + 1)) &lt;= 0, IFERROR(VALUE($I31),0)=0)
    ),
    0,
    SUM(
        IFERROR(VALUE($E31),0) * MAX(0, IF(MIN($E$1, DATE(Initialisatie!$C$5,12,31)) &lt; MAX($E$2, DATE(Initialisatie!$C$5,1,1)), 0, MONTH(MIN($E$1, DATE(Initialisatie!$C$5,12,31))) - MONTH(MAX($E$2, DATE(Initialisatie!$C$5,1,1))) + 1)),
        IFERROR(VALUE($F31),0) * MAX(0, IF(MIN($F$1, DATE(Initialisatie!$C$5,12,31)) &lt; MAX($F$2, DATE(Initialisatie!$C$5,1,1)), 0, MONTH(MIN($F$1, DATE(Initialisatie!$C$5,12,31))) - MONTH(MAX($F$2, DATE(Initialisatie!$C$5,1,1))) + 1)),
        IFERROR(VALUE($G31),0) * MAX(0, IF(MIN($G$1, DATE(Initialisatie!$C$5,12,31)) &lt; MAX($G$2, DATE(Initialisatie!$C$5,1,1)), 0, MONTH(MIN($G$1, DATE(Initialisatie!$C$5,12,31))) - MONTH(MAX($G$2, DATE(Initialisatie!$C$5,1,1))) + 1)),
        IFERROR(VALUE($H31),0) * MAX(0, IF(MIN($H$1, DATE(Initialisatie!$C$5,12,31)) &lt; MAX($H$2, DATE(Initialisatie!$C$5,1,1)), 0, MONTH(MIN($H$1, DATE(Initialisatie!$C$5,12,31))) - MONTH(MAX($H$2, DATE(Initialisatie!$C$5,1,1))) + 1)),
        IFERROR(VALUE($I31),0) * MAX(0, IF(MIN($I$1, DATE(Initialisatie!$C$5,12,31)) &lt; MAX($I$2, DATE(Initialisatie!$C$5,1,1)), 0, MONTH(MIN($I$1, DATE(Initialisatie!$C$5,12,31))) - MONTH(MAX($I$2, DATE(Initialisatie!$C$5,1,1))) + 1))
    ) / 12
)</f>
        <v>3361.92</v>
      </c>
    </row>
    <row r="32" spans="1:12" x14ac:dyDescent="0.45">
      <c r="A32" s="989"/>
      <c r="B32" s="35" t="s">
        <v>109</v>
      </c>
      <c r="C32" s="35">
        <v>10</v>
      </c>
      <c r="D32" s="35" t="s">
        <v>271</v>
      </c>
      <c r="E32">
        <v>3189.53</v>
      </c>
      <c r="F32">
        <v>3229.4</v>
      </c>
      <c r="G32">
        <v>3345.66</v>
      </c>
      <c r="H32">
        <v>3469.45</v>
      </c>
      <c r="I32">
        <v>3587.41</v>
      </c>
      <c r="K32">
        <f>IF(
    OR(
        AND(MAX(0, MIN($E$1, DATE(Initialisatie!$C$5,12,31)) - MAX($E$2, DATE(Initialisatie!$C$5,1,1)) + 1) &gt; 0,IFERROR(VALUE($E32),0)=0),
        AND(MAX(0, MIN($F$1, DATE(Initialisatie!$C$5,12,31)) - MAX($F$2, DATE(Initialisatie!$C$5,1,1)) + 1) &gt; 0,IFERROR(VALUE($F32),0)=0),
        AND(MAX(0, MIN($G$1, DATE(Initialisatie!$C$5,12,31)) - MAX($G$2, DATE(Initialisatie!$C$5,1,1)) + 1) &gt; 0,IFERROR(VALUE($G32),0)=0),
        AND(MAX(0, MIN($H$1, DATE(Initialisatie!$C$5,12,31)) - MAX($H$2, DATE(Initialisatie!$C$5,1,1)) + 1) &gt; 0,IFERROR(VALUE($H32),0)=0),
        AND(MAX(0, MIN($I$1, DATE(Initialisatie!$C$5,12,31)) - MAX($I$2, DATE(Initialisatie!$C$5,1,1)) + 1) &gt; 0,IFERROR(VALUE($I32),0)=0)
    ),
    0,
    SUM(
        IFERROR(VALUE($E32),0) * MAX(0, MIN($E$1, DATE(Initialisatie!$C$5,12,31)) - MAX($E$2, DATE(Initialisatie!$C$5,1,1)) + 1),
        IFERROR(VALUE($F32),0) * MAX(0, MIN($F$1, DATE(Initialisatie!$C$5,12,31)) - MAX($F$2, DATE(Initialisatie!$C$5,1,1)) + 1),
        IFERROR(VALUE($G32),0) * MAX(0, MIN($G$1, DATE(Initialisatie!$C$5,12,31)) - MAX($G$2, DATE(Initialisatie!$C$5,1,1)) + 1),
        IFERROR(VALUE($H32),0) * MAX(0, MIN($H$1, DATE(Initialisatie!$C$5,12,31)) - MAX($H$2, DATE(Initialisatie!$C$5,1,1)) + 1),
        IFERROR(VALUE($I32),0) * MAX(0, MIN($I$1, DATE(Initialisatie!$C$5,12,31)) - MAX($I$2, DATE(Initialisatie!$C$5,1,1)) + 1)
    ) / (DATE(Initialisatie!$C$5,12,31) - DATE(Initialisatie!$C$5,1,1) + 1)
)</f>
        <v>3469.45</v>
      </c>
      <c r="L32">
        <f>IF(
    OR(
        AND(MAX(0, IF(MIN($E$1, DATE(Initialisatie!$C$5,12,31)) &lt; MAX($E$2, DATE(Initialisatie!$C$5,1,1)), 0, MONTH(MIN($E$1, DATE(Initialisatie!$C$5,12,31))) - MONTH(MAX($E$2, DATE(Initialisatie!$C$5,1,1))) + 1)) &lt;= 0, IFERROR(VALUE($E32),0)=0),
        AND(MAX(0, IF(MIN($F$1, DATE(Initialisatie!$C$5,12,31)) &lt; MAX($F$2, DATE(Initialisatie!$C$5,1,1)), 0, MONTH(MIN($F$1, DATE(Initialisatie!$C$5,12,31))) - MONTH(MAX($F$2, DATE(Initialisatie!$C$5,1,1))) + 1)) &lt;= 0, IFERROR(VALUE($F32),0)=0),
        AND(MAX(0, IF(MIN($G$1, DATE(Initialisatie!$C$5,12,31)) &lt; MAX($G$2, DATE(Initialisatie!$C$5,1,1)), 0, MONTH(MIN($G$1, DATE(Initialisatie!$C$5,12,31))) - MONTH(MAX($G$2, DATE(Initialisatie!$C$5,1,1))) + 1)) &lt;= 0, IFERROR(VALUE($G32),0)=0),
        AND(MAX(0, IF(MIN($H$1, DATE(Initialisatie!$C$5,12,31)) &lt; MAX($H$2, DATE(Initialisatie!$C$5,1,1)), 0, MONTH(MIN($H$1, DATE(Initialisatie!$C$5,12,31))) - MONTH(MAX($H$2, DATE(Initialisatie!$C$5,1,1))) + 1)) &lt;= 0, IFERROR(VALUE($H32),0)=0),
        AND(MAX(0, IF(MIN($I$1, DATE(Initialisatie!$C$5,12,31)) &lt; MAX($I$2, DATE(Initialisatie!$C$5,1,1)), 0, MONTH(MIN($I$1, DATE(Initialisatie!$C$5,12,31))) - MONTH(MAX($I$2, DATE(Initialisatie!$C$5,1,1))) + 1)) &lt;= 0, IFERROR(VALUE($I32),0)=0)
    ),
    0,
    SUM(
        IFERROR(VALUE($E32),0) * MAX(0, IF(MIN($E$1, DATE(Initialisatie!$C$5,12,31)) &lt; MAX($E$2, DATE(Initialisatie!$C$5,1,1)), 0, MONTH(MIN($E$1, DATE(Initialisatie!$C$5,12,31))) - MONTH(MAX($E$2, DATE(Initialisatie!$C$5,1,1))) + 1)),
        IFERROR(VALUE($F32),0) * MAX(0, IF(MIN($F$1, DATE(Initialisatie!$C$5,12,31)) &lt; MAX($F$2, DATE(Initialisatie!$C$5,1,1)), 0, MONTH(MIN($F$1, DATE(Initialisatie!$C$5,12,31))) - MONTH(MAX($F$2, DATE(Initialisatie!$C$5,1,1))) + 1)),
        IFERROR(VALUE($G32),0) * MAX(0, IF(MIN($G$1, DATE(Initialisatie!$C$5,12,31)) &lt; MAX($G$2, DATE(Initialisatie!$C$5,1,1)), 0, MONTH(MIN($G$1, DATE(Initialisatie!$C$5,12,31))) - MONTH(MAX($G$2, DATE(Initialisatie!$C$5,1,1))) + 1)),
        IFERROR(VALUE($H32),0) * MAX(0, IF(MIN($H$1, DATE(Initialisatie!$C$5,12,31)) &lt; MAX($H$2, DATE(Initialisatie!$C$5,1,1)), 0, MONTH(MIN($H$1, DATE(Initialisatie!$C$5,12,31))) - MONTH(MAX($H$2, DATE(Initialisatie!$C$5,1,1))) + 1)),
        IFERROR(VALUE($I32),0) * MAX(0, IF(MIN($I$1, DATE(Initialisatie!$C$5,12,31)) &lt; MAX($I$2, DATE(Initialisatie!$C$5,1,1)), 0, MONTH(MIN($I$1, DATE(Initialisatie!$C$5,12,31))) - MONTH(MAX($I$2, DATE(Initialisatie!$C$5,1,1))) + 1))
    ) / 12
)</f>
        <v>3469.4499999999994</v>
      </c>
    </row>
    <row r="33" spans="1:12" x14ac:dyDescent="0.45">
      <c r="A33" s="989"/>
      <c r="B33" s="35" t="s">
        <v>107</v>
      </c>
      <c r="C33" s="35">
        <v>11</v>
      </c>
      <c r="D33" s="35" t="s">
        <v>270</v>
      </c>
      <c r="E33">
        <v>3291.92</v>
      </c>
      <c r="F33">
        <v>3333.07</v>
      </c>
      <c r="G33">
        <v>3453.06</v>
      </c>
      <c r="H33">
        <v>3580.82</v>
      </c>
      <c r="I33">
        <v>3702.57</v>
      </c>
      <c r="K33">
        <f>IF(
    OR(
        AND(MAX(0, MIN($E$1, DATE(Initialisatie!$C$5,12,31)) - MAX($E$2, DATE(Initialisatie!$C$5,1,1)) + 1) &gt; 0,IFERROR(VALUE($E33),0)=0),
        AND(MAX(0, MIN($F$1, DATE(Initialisatie!$C$5,12,31)) - MAX($F$2, DATE(Initialisatie!$C$5,1,1)) + 1) &gt; 0,IFERROR(VALUE($F33),0)=0),
        AND(MAX(0, MIN($G$1, DATE(Initialisatie!$C$5,12,31)) - MAX($G$2, DATE(Initialisatie!$C$5,1,1)) + 1) &gt; 0,IFERROR(VALUE($G33),0)=0),
        AND(MAX(0, MIN($H$1, DATE(Initialisatie!$C$5,12,31)) - MAX($H$2, DATE(Initialisatie!$C$5,1,1)) + 1) &gt; 0,IFERROR(VALUE($H33),0)=0),
        AND(MAX(0, MIN($I$1, DATE(Initialisatie!$C$5,12,31)) - MAX($I$2, DATE(Initialisatie!$C$5,1,1)) + 1) &gt; 0,IFERROR(VALUE($I33),0)=0)
    ),
    0,
    SUM(
        IFERROR(VALUE($E33),0) * MAX(0, MIN($E$1, DATE(Initialisatie!$C$5,12,31)) - MAX($E$2, DATE(Initialisatie!$C$5,1,1)) + 1),
        IFERROR(VALUE($F33),0) * MAX(0, MIN($F$1, DATE(Initialisatie!$C$5,12,31)) - MAX($F$2, DATE(Initialisatie!$C$5,1,1)) + 1),
        IFERROR(VALUE($G33),0) * MAX(0, MIN($G$1, DATE(Initialisatie!$C$5,12,31)) - MAX($G$2, DATE(Initialisatie!$C$5,1,1)) + 1),
        IFERROR(VALUE($H33),0) * MAX(0, MIN($H$1, DATE(Initialisatie!$C$5,12,31)) - MAX($H$2, DATE(Initialisatie!$C$5,1,1)) + 1),
        IFERROR(VALUE($I33),0) * MAX(0, MIN($I$1, DATE(Initialisatie!$C$5,12,31)) - MAX($I$2, DATE(Initialisatie!$C$5,1,1)) + 1)
    ) / (DATE(Initialisatie!$C$5,12,31) - DATE(Initialisatie!$C$5,1,1) + 1)
)</f>
        <v>3580.82</v>
      </c>
      <c r="L33">
        <f>IF(
    OR(
        AND(MAX(0, IF(MIN($E$1, DATE(Initialisatie!$C$5,12,31)) &lt; MAX($E$2, DATE(Initialisatie!$C$5,1,1)), 0, MONTH(MIN($E$1, DATE(Initialisatie!$C$5,12,31))) - MONTH(MAX($E$2, DATE(Initialisatie!$C$5,1,1))) + 1)) &lt;= 0, IFERROR(VALUE($E33),0)=0),
        AND(MAX(0, IF(MIN($F$1, DATE(Initialisatie!$C$5,12,31)) &lt; MAX($F$2, DATE(Initialisatie!$C$5,1,1)), 0, MONTH(MIN($F$1, DATE(Initialisatie!$C$5,12,31))) - MONTH(MAX($F$2, DATE(Initialisatie!$C$5,1,1))) + 1)) &lt;= 0, IFERROR(VALUE($F33),0)=0),
        AND(MAX(0, IF(MIN($G$1, DATE(Initialisatie!$C$5,12,31)) &lt; MAX($G$2, DATE(Initialisatie!$C$5,1,1)), 0, MONTH(MIN($G$1, DATE(Initialisatie!$C$5,12,31))) - MONTH(MAX($G$2, DATE(Initialisatie!$C$5,1,1))) + 1)) &lt;= 0, IFERROR(VALUE($G33),0)=0),
        AND(MAX(0, IF(MIN($H$1, DATE(Initialisatie!$C$5,12,31)) &lt; MAX($H$2, DATE(Initialisatie!$C$5,1,1)), 0, MONTH(MIN($H$1, DATE(Initialisatie!$C$5,12,31))) - MONTH(MAX($H$2, DATE(Initialisatie!$C$5,1,1))) + 1)) &lt;= 0, IFERROR(VALUE($H33),0)=0),
        AND(MAX(0, IF(MIN($I$1, DATE(Initialisatie!$C$5,12,31)) &lt; MAX($I$2, DATE(Initialisatie!$C$5,1,1)), 0, MONTH(MIN($I$1, DATE(Initialisatie!$C$5,12,31))) - MONTH(MAX($I$2, DATE(Initialisatie!$C$5,1,1))) + 1)) &lt;= 0, IFERROR(VALUE($I33),0)=0)
    ),
    0,
    SUM(
        IFERROR(VALUE($E33),0) * MAX(0, IF(MIN($E$1, DATE(Initialisatie!$C$5,12,31)) &lt; MAX($E$2, DATE(Initialisatie!$C$5,1,1)), 0, MONTH(MIN($E$1, DATE(Initialisatie!$C$5,12,31))) - MONTH(MAX($E$2, DATE(Initialisatie!$C$5,1,1))) + 1)),
        IFERROR(VALUE($F33),0) * MAX(0, IF(MIN($F$1, DATE(Initialisatie!$C$5,12,31)) &lt; MAX($F$2, DATE(Initialisatie!$C$5,1,1)), 0, MONTH(MIN($F$1, DATE(Initialisatie!$C$5,12,31))) - MONTH(MAX($F$2, DATE(Initialisatie!$C$5,1,1))) + 1)),
        IFERROR(VALUE($G33),0) * MAX(0, IF(MIN($G$1, DATE(Initialisatie!$C$5,12,31)) &lt; MAX($G$2, DATE(Initialisatie!$C$5,1,1)), 0, MONTH(MIN($G$1, DATE(Initialisatie!$C$5,12,31))) - MONTH(MAX($G$2, DATE(Initialisatie!$C$5,1,1))) + 1)),
        IFERROR(VALUE($H33),0) * MAX(0, IF(MIN($H$1, DATE(Initialisatie!$C$5,12,31)) &lt; MAX($H$2, DATE(Initialisatie!$C$5,1,1)), 0, MONTH(MIN($H$1, DATE(Initialisatie!$C$5,12,31))) - MONTH(MAX($H$2, DATE(Initialisatie!$C$5,1,1))) + 1)),
        IFERROR(VALUE($I33),0) * MAX(0, IF(MIN($I$1, DATE(Initialisatie!$C$5,12,31)) &lt; MAX($I$2, DATE(Initialisatie!$C$5,1,1)), 0, MONTH(MIN($I$1, DATE(Initialisatie!$C$5,12,31))) - MONTH(MAX($I$2, DATE(Initialisatie!$C$5,1,1))) + 1))
    ) / 12
)</f>
        <v>3580.82</v>
      </c>
    </row>
    <row r="34" spans="1:12" x14ac:dyDescent="0.45">
      <c r="A34" s="989"/>
      <c r="B34" s="35" t="s">
        <v>105</v>
      </c>
      <c r="C34" s="35">
        <v>12</v>
      </c>
      <c r="D34" s="35" t="s">
        <v>269</v>
      </c>
      <c r="E34">
        <v>0</v>
      </c>
      <c r="F34">
        <v>0</v>
      </c>
      <c r="G34">
        <v>0</v>
      </c>
      <c r="H34">
        <v>0</v>
      </c>
      <c r="I34">
        <v>0</v>
      </c>
      <c r="K34">
        <f>IF(
    OR(
        AND(MAX(0, MIN($E$1, DATE(Initialisatie!$C$5,12,31)) - MAX($E$2, DATE(Initialisatie!$C$5,1,1)) + 1) &gt; 0,IFERROR(VALUE($E34),0)=0),
        AND(MAX(0, MIN($F$1, DATE(Initialisatie!$C$5,12,31)) - MAX($F$2, DATE(Initialisatie!$C$5,1,1)) + 1) &gt; 0,IFERROR(VALUE($F34),0)=0),
        AND(MAX(0, MIN($G$1, DATE(Initialisatie!$C$5,12,31)) - MAX($G$2, DATE(Initialisatie!$C$5,1,1)) + 1) &gt; 0,IFERROR(VALUE($G34),0)=0),
        AND(MAX(0, MIN($H$1, DATE(Initialisatie!$C$5,12,31)) - MAX($H$2, DATE(Initialisatie!$C$5,1,1)) + 1) &gt; 0,IFERROR(VALUE($H34),0)=0),
        AND(MAX(0, MIN($I$1, DATE(Initialisatie!$C$5,12,31)) - MAX($I$2, DATE(Initialisatie!$C$5,1,1)) + 1) &gt; 0,IFERROR(VALUE($I34),0)=0)
    ),
    0,
    SUM(
        IFERROR(VALUE($E34),0) * MAX(0, MIN($E$1, DATE(Initialisatie!$C$5,12,31)) - MAX($E$2, DATE(Initialisatie!$C$5,1,1)) + 1),
        IFERROR(VALUE($F34),0) * MAX(0, MIN($F$1, DATE(Initialisatie!$C$5,12,31)) - MAX($F$2, DATE(Initialisatie!$C$5,1,1)) + 1),
        IFERROR(VALUE($G34),0) * MAX(0, MIN($G$1, DATE(Initialisatie!$C$5,12,31)) - MAX($G$2, DATE(Initialisatie!$C$5,1,1)) + 1),
        IFERROR(VALUE($H34),0) * MAX(0, MIN($H$1, DATE(Initialisatie!$C$5,12,31)) - MAX($H$2, DATE(Initialisatie!$C$5,1,1)) + 1),
        IFERROR(VALUE($I34),0) * MAX(0, MIN($I$1, DATE(Initialisatie!$C$5,12,31)) - MAX($I$2, DATE(Initialisatie!$C$5,1,1)) + 1)
    ) / (DATE(Initialisatie!$C$5,12,31) - DATE(Initialisatie!$C$5,1,1) + 1)
)</f>
        <v>0</v>
      </c>
      <c r="L34">
        <f>IF(
    OR(
        AND(MAX(0, IF(MIN($E$1, DATE(Initialisatie!$C$5,12,31)) &lt; MAX($E$2, DATE(Initialisatie!$C$5,1,1)), 0, MONTH(MIN($E$1, DATE(Initialisatie!$C$5,12,31))) - MONTH(MAX($E$2, DATE(Initialisatie!$C$5,1,1))) + 1)) &lt;= 0, IFERROR(VALUE($E34),0)=0),
        AND(MAX(0, IF(MIN($F$1, DATE(Initialisatie!$C$5,12,31)) &lt; MAX($F$2, DATE(Initialisatie!$C$5,1,1)), 0, MONTH(MIN($F$1, DATE(Initialisatie!$C$5,12,31))) - MONTH(MAX($F$2, DATE(Initialisatie!$C$5,1,1))) + 1)) &lt;= 0, IFERROR(VALUE($F34),0)=0),
        AND(MAX(0, IF(MIN($G$1, DATE(Initialisatie!$C$5,12,31)) &lt; MAX($G$2, DATE(Initialisatie!$C$5,1,1)), 0, MONTH(MIN($G$1, DATE(Initialisatie!$C$5,12,31))) - MONTH(MAX($G$2, DATE(Initialisatie!$C$5,1,1))) + 1)) &lt;= 0, IFERROR(VALUE($G34),0)=0),
        AND(MAX(0, IF(MIN($H$1, DATE(Initialisatie!$C$5,12,31)) &lt; MAX($H$2, DATE(Initialisatie!$C$5,1,1)), 0, MONTH(MIN($H$1, DATE(Initialisatie!$C$5,12,31))) - MONTH(MAX($H$2, DATE(Initialisatie!$C$5,1,1))) + 1)) &lt;= 0, IFERROR(VALUE($H34),0)=0),
        AND(MAX(0, IF(MIN($I$1, DATE(Initialisatie!$C$5,12,31)) &lt; MAX($I$2, DATE(Initialisatie!$C$5,1,1)), 0, MONTH(MIN($I$1, DATE(Initialisatie!$C$5,12,31))) - MONTH(MAX($I$2, DATE(Initialisatie!$C$5,1,1))) + 1)) &lt;= 0, IFERROR(VALUE($I34),0)=0)
    ),
    0,
    SUM(
        IFERROR(VALUE($E34),0) * MAX(0, IF(MIN($E$1, DATE(Initialisatie!$C$5,12,31)) &lt; MAX($E$2, DATE(Initialisatie!$C$5,1,1)), 0, MONTH(MIN($E$1, DATE(Initialisatie!$C$5,12,31))) - MONTH(MAX($E$2, DATE(Initialisatie!$C$5,1,1))) + 1)),
        IFERROR(VALUE($F34),0) * MAX(0, IF(MIN($F$1, DATE(Initialisatie!$C$5,12,31)) &lt; MAX($F$2, DATE(Initialisatie!$C$5,1,1)), 0, MONTH(MIN($F$1, DATE(Initialisatie!$C$5,12,31))) - MONTH(MAX($F$2, DATE(Initialisatie!$C$5,1,1))) + 1)),
        IFERROR(VALUE($G34),0) * MAX(0, IF(MIN($G$1, DATE(Initialisatie!$C$5,12,31)) &lt; MAX($G$2, DATE(Initialisatie!$C$5,1,1)), 0, MONTH(MIN($G$1, DATE(Initialisatie!$C$5,12,31))) - MONTH(MAX($G$2, DATE(Initialisatie!$C$5,1,1))) + 1)),
        IFERROR(VALUE($H34),0) * MAX(0, IF(MIN($H$1, DATE(Initialisatie!$C$5,12,31)) &lt; MAX($H$2, DATE(Initialisatie!$C$5,1,1)), 0, MONTH(MIN($H$1, DATE(Initialisatie!$C$5,12,31))) - MONTH(MAX($H$2, DATE(Initialisatie!$C$5,1,1))) + 1)),
        IFERROR(VALUE($I34),0) * MAX(0, IF(MIN($I$1, DATE(Initialisatie!$C$5,12,31)) &lt; MAX($I$2, DATE(Initialisatie!$C$5,1,1)), 0, MONTH(MIN($I$1, DATE(Initialisatie!$C$5,12,31))) - MONTH(MAX($I$2, DATE(Initialisatie!$C$5,1,1))) + 1))
    ) / 12
)</f>
        <v>0</v>
      </c>
    </row>
    <row r="35" spans="1:12" x14ac:dyDescent="0.45">
      <c r="A35" s="989"/>
      <c r="B35" s="35" t="s">
        <v>103</v>
      </c>
      <c r="C35" s="35">
        <v>13</v>
      </c>
      <c r="D35" s="35" t="s">
        <v>268</v>
      </c>
      <c r="E35">
        <v>0</v>
      </c>
      <c r="F35">
        <v>0</v>
      </c>
      <c r="G35">
        <v>0</v>
      </c>
      <c r="H35">
        <v>0</v>
      </c>
      <c r="I35">
        <v>0</v>
      </c>
      <c r="K35">
        <f>IF(
    OR(
        AND(MAX(0, MIN($E$1, DATE(Initialisatie!$C$5,12,31)) - MAX($E$2, DATE(Initialisatie!$C$5,1,1)) + 1) &gt; 0,IFERROR(VALUE($E35),0)=0),
        AND(MAX(0, MIN($F$1, DATE(Initialisatie!$C$5,12,31)) - MAX($F$2, DATE(Initialisatie!$C$5,1,1)) + 1) &gt; 0,IFERROR(VALUE($F35),0)=0),
        AND(MAX(0, MIN($G$1, DATE(Initialisatie!$C$5,12,31)) - MAX($G$2, DATE(Initialisatie!$C$5,1,1)) + 1) &gt; 0,IFERROR(VALUE($G35),0)=0),
        AND(MAX(0, MIN($H$1, DATE(Initialisatie!$C$5,12,31)) - MAX($H$2, DATE(Initialisatie!$C$5,1,1)) + 1) &gt; 0,IFERROR(VALUE($H35),0)=0),
        AND(MAX(0, MIN($I$1, DATE(Initialisatie!$C$5,12,31)) - MAX($I$2, DATE(Initialisatie!$C$5,1,1)) + 1) &gt; 0,IFERROR(VALUE($I35),0)=0)
    ),
    0,
    SUM(
        IFERROR(VALUE($E35),0) * MAX(0, MIN($E$1, DATE(Initialisatie!$C$5,12,31)) - MAX($E$2, DATE(Initialisatie!$C$5,1,1)) + 1),
        IFERROR(VALUE($F35),0) * MAX(0, MIN($F$1, DATE(Initialisatie!$C$5,12,31)) - MAX($F$2, DATE(Initialisatie!$C$5,1,1)) + 1),
        IFERROR(VALUE($G35),0) * MAX(0, MIN($G$1, DATE(Initialisatie!$C$5,12,31)) - MAX($G$2, DATE(Initialisatie!$C$5,1,1)) + 1),
        IFERROR(VALUE($H35),0) * MAX(0, MIN($H$1, DATE(Initialisatie!$C$5,12,31)) - MAX($H$2, DATE(Initialisatie!$C$5,1,1)) + 1),
        IFERROR(VALUE($I35),0) * MAX(0, MIN($I$1, DATE(Initialisatie!$C$5,12,31)) - MAX($I$2, DATE(Initialisatie!$C$5,1,1)) + 1)
    ) / (DATE(Initialisatie!$C$5,12,31) - DATE(Initialisatie!$C$5,1,1) + 1)
)</f>
        <v>0</v>
      </c>
      <c r="L35">
        <f>IF(
    OR(
        AND(MAX(0, IF(MIN($E$1, DATE(Initialisatie!$C$5,12,31)) &lt; MAX($E$2, DATE(Initialisatie!$C$5,1,1)), 0, MONTH(MIN($E$1, DATE(Initialisatie!$C$5,12,31))) - MONTH(MAX($E$2, DATE(Initialisatie!$C$5,1,1))) + 1)) &lt;= 0, IFERROR(VALUE($E35),0)=0),
        AND(MAX(0, IF(MIN($F$1, DATE(Initialisatie!$C$5,12,31)) &lt; MAX($F$2, DATE(Initialisatie!$C$5,1,1)), 0, MONTH(MIN($F$1, DATE(Initialisatie!$C$5,12,31))) - MONTH(MAX($F$2, DATE(Initialisatie!$C$5,1,1))) + 1)) &lt;= 0, IFERROR(VALUE($F35),0)=0),
        AND(MAX(0, IF(MIN($G$1, DATE(Initialisatie!$C$5,12,31)) &lt; MAX($G$2, DATE(Initialisatie!$C$5,1,1)), 0, MONTH(MIN($G$1, DATE(Initialisatie!$C$5,12,31))) - MONTH(MAX($G$2, DATE(Initialisatie!$C$5,1,1))) + 1)) &lt;= 0, IFERROR(VALUE($G35),0)=0),
        AND(MAX(0, IF(MIN($H$1, DATE(Initialisatie!$C$5,12,31)) &lt; MAX($H$2, DATE(Initialisatie!$C$5,1,1)), 0, MONTH(MIN($H$1, DATE(Initialisatie!$C$5,12,31))) - MONTH(MAX($H$2, DATE(Initialisatie!$C$5,1,1))) + 1)) &lt;= 0, IFERROR(VALUE($H35),0)=0),
        AND(MAX(0, IF(MIN($I$1, DATE(Initialisatie!$C$5,12,31)) &lt; MAX($I$2, DATE(Initialisatie!$C$5,1,1)), 0, MONTH(MIN($I$1, DATE(Initialisatie!$C$5,12,31))) - MONTH(MAX($I$2, DATE(Initialisatie!$C$5,1,1))) + 1)) &lt;= 0, IFERROR(VALUE($I35),0)=0)
    ),
    0,
    SUM(
        IFERROR(VALUE($E35),0) * MAX(0, IF(MIN($E$1, DATE(Initialisatie!$C$5,12,31)) &lt; MAX($E$2, DATE(Initialisatie!$C$5,1,1)), 0, MONTH(MIN($E$1, DATE(Initialisatie!$C$5,12,31))) - MONTH(MAX($E$2, DATE(Initialisatie!$C$5,1,1))) + 1)),
        IFERROR(VALUE($F35),0) * MAX(0, IF(MIN($F$1, DATE(Initialisatie!$C$5,12,31)) &lt; MAX($F$2, DATE(Initialisatie!$C$5,1,1)), 0, MONTH(MIN($F$1, DATE(Initialisatie!$C$5,12,31))) - MONTH(MAX($F$2, DATE(Initialisatie!$C$5,1,1))) + 1)),
        IFERROR(VALUE($G35),0) * MAX(0, IF(MIN($G$1, DATE(Initialisatie!$C$5,12,31)) &lt; MAX($G$2, DATE(Initialisatie!$C$5,1,1)), 0, MONTH(MIN($G$1, DATE(Initialisatie!$C$5,12,31))) - MONTH(MAX($G$2, DATE(Initialisatie!$C$5,1,1))) + 1)),
        IFERROR(VALUE($H35),0) * MAX(0, IF(MIN($H$1, DATE(Initialisatie!$C$5,12,31)) &lt; MAX($H$2, DATE(Initialisatie!$C$5,1,1)), 0, MONTH(MIN($H$1, DATE(Initialisatie!$C$5,12,31))) - MONTH(MAX($H$2, DATE(Initialisatie!$C$5,1,1))) + 1)),
        IFERROR(VALUE($I35),0) * MAX(0, IF(MIN($I$1, DATE(Initialisatie!$C$5,12,31)) &lt; MAX($I$2, DATE(Initialisatie!$C$5,1,1)), 0, MONTH(MIN($I$1, DATE(Initialisatie!$C$5,12,31))) - MONTH(MAX($I$2, DATE(Initialisatie!$C$5,1,1))) + 1))
    ) / 12
)</f>
        <v>0</v>
      </c>
    </row>
    <row r="36" spans="1:12" x14ac:dyDescent="0.45">
      <c r="A36" s="989"/>
      <c r="B36" s="35" t="s">
        <v>531</v>
      </c>
      <c r="C36" s="35">
        <v>14</v>
      </c>
      <c r="D36" s="35" t="s">
        <v>259</v>
      </c>
      <c r="E36">
        <v>3397.3</v>
      </c>
      <c r="F36">
        <v>3439.77</v>
      </c>
      <c r="G36">
        <v>3563.6</v>
      </c>
      <c r="H36">
        <v>3695.45</v>
      </c>
      <c r="I36">
        <v>3821.1</v>
      </c>
      <c r="K36">
        <f>IF(
    OR(
        AND(MAX(0, MIN($E$1, DATE(Initialisatie!$C$5,12,31)) - MAX($E$2, DATE(Initialisatie!$C$5,1,1)) + 1) &gt; 0,IFERROR(VALUE($E36),0)=0),
        AND(MAX(0, MIN($F$1, DATE(Initialisatie!$C$5,12,31)) - MAX($F$2, DATE(Initialisatie!$C$5,1,1)) + 1) &gt; 0,IFERROR(VALUE($F36),0)=0),
        AND(MAX(0, MIN($G$1, DATE(Initialisatie!$C$5,12,31)) - MAX($G$2, DATE(Initialisatie!$C$5,1,1)) + 1) &gt; 0,IFERROR(VALUE($G36),0)=0),
        AND(MAX(0, MIN($H$1, DATE(Initialisatie!$C$5,12,31)) - MAX($H$2, DATE(Initialisatie!$C$5,1,1)) + 1) &gt; 0,IFERROR(VALUE($H36),0)=0),
        AND(MAX(0, MIN($I$1, DATE(Initialisatie!$C$5,12,31)) - MAX($I$2, DATE(Initialisatie!$C$5,1,1)) + 1) &gt; 0,IFERROR(VALUE($I36),0)=0)
    ),
    0,
    SUM(
        IFERROR(VALUE($E36),0) * MAX(0, MIN($E$1, DATE(Initialisatie!$C$5,12,31)) - MAX($E$2, DATE(Initialisatie!$C$5,1,1)) + 1),
        IFERROR(VALUE($F36),0) * MAX(0, MIN($F$1, DATE(Initialisatie!$C$5,12,31)) - MAX($F$2, DATE(Initialisatie!$C$5,1,1)) + 1),
        IFERROR(VALUE($G36),0) * MAX(0, MIN($G$1, DATE(Initialisatie!$C$5,12,31)) - MAX($G$2, DATE(Initialisatie!$C$5,1,1)) + 1),
        IFERROR(VALUE($H36),0) * MAX(0, MIN($H$1, DATE(Initialisatie!$C$5,12,31)) - MAX($H$2, DATE(Initialisatie!$C$5,1,1)) + 1),
        IFERROR(VALUE($I36),0) * MAX(0, MIN($I$1, DATE(Initialisatie!$C$5,12,31)) - MAX($I$2, DATE(Initialisatie!$C$5,1,1)) + 1)
    ) / (DATE(Initialisatie!$C$5,12,31) - DATE(Initialisatie!$C$5,1,1) + 1)
)</f>
        <v>3695.45</v>
      </c>
      <c r="L36">
        <f>IF(
    OR(
        AND(MAX(0, IF(MIN($E$1, DATE(Initialisatie!$C$5,12,31)) &lt; MAX($E$2, DATE(Initialisatie!$C$5,1,1)), 0, MONTH(MIN($E$1, DATE(Initialisatie!$C$5,12,31))) - MONTH(MAX($E$2, DATE(Initialisatie!$C$5,1,1))) + 1)) &lt;= 0, IFERROR(VALUE($E36),0)=0),
        AND(MAX(0, IF(MIN($F$1, DATE(Initialisatie!$C$5,12,31)) &lt; MAX($F$2, DATE(Initialisatie!$C$5,1,1)), 0, MONTH(MIN($F$1, DATE(Initialisatie!$C$5,12,31))) - MONTH(MAX($F$2, DATE(Initialisatie!$C$5,1,1))) + 1)) &lt;= 0, IFERROR(VALUE($F36),0)=0),
        AND(MAX(0, IF(MIN($G$1, DATE(Initialisatie!$C$5,12,31)) &lt; MAX($G$2, DATE(Initialisatie!$C$5,1,1)), 0, MONTH(MIN($G$1, DATE(Initialisatie!$C$5,12,31))) - MONTH(MAX($G$2, DATE(Initialisatie!$C$5,1,1))) + 1)) &lt;= 0, IFERROR(VALUE($G36),0)=0),
        AND(MAX(0, IF(MIN($H$1, DATE(Initialisatie!$C$5,12,31)) &lt; MAX($H$2, DATE(Initialisatie!$C$5,1,1)), 0, MONTH(MIN($H$1, DATE(Initialisatie!$C$5,12,31))) - MONTH(MAX($H$2, DATE(Initialisatie!$C$5,1,1))) + 1)) &lt;= 0, IFERROR(VALUE($H36),0)=0),
        AND(MAX(0, IF(MIN($I$1, DATE(Initialisatie!$C$5,12,31)) &lt; MAX($I$2, DATE(Initialisatie!$C$5,1,1)), 0, MONTH(MIN($I$1, DATE(Initialisatie!$C$5,12,31))) - MONTH(MAX($I$2, DATE(Initialisatie!$C$5,1,1))) + 1)) &lt;= 0, IFERROR(VALUE($I36),0)=0)
    ),
    0,
    SUM(
        IFERROR(VALUE($E36),0) * MAX(0, IF(MIN($E$1, DATE(Initialisatie!$C$5,12,31)) &lt; MAX($E$2, DATE(Initialisatie!$C$5,1,1)), 0, MONTH(MIN($E$1, DATE(Initialisatie!$C$5,12,31))) - MONTH(MAX($E$2, DATE(Initialisatie!$C$5,1,1))) + 1)),
        IFERROR(VALUE($F36),0) * MAX(0, IF(MIN($F$1, DATE(Initialisatie!$C$5,12,31)) &lt; MAX($F$2, DATE(Initialisatie!$C$5,1,1)), 0, MONTH(MIN($F$1, DATE(Initialisatie!$C$5,12,31))) - MONTH(MAX($F$2, DATE(Initialisatie!$C$5,1,1))) + 1)),
        IFERROR(VALUE($G36),0) * MAX(0, IF(MIN($G$1, DATE(Initialisatie!$C$5,12,31)) &lt; MAX($G$2, DATE(Initialisatie!$C$5,1,1)), 0, MONTH(MIN($G$1, DATE(Initialisatie!$C$5,12,31))) - MONTH(MAX($G$2, DATE(Initialisatie!$C$5,1,1))) + 1)),
        IFERROR(VALUE($H36),0) * MAX(0, IF(MIN($H$1, DATE(Initialisatie!$C$5,12,31)) &lt; MAX($H$2, DATE(Initialisatie!$C$5,1,1)), 0, MONTH(MIN($H$1, DATE(Initialisatie!$C$5,12,31))) - MONTH(MAX($H$2, DATE(Initialisatie!$C$5,1,1))) + 1)),
        IFERROR(VALUE($I36),0) * MAX(0, IF(MIN($I$1, DATE(Initialisatie!$C$5,12,31)) &lt; MAX($I$2, DATE(Initialisatie!$C$5,1,1)), 0, MONTH(MIN($I$1, DATE(Initialisatie!$C$5,12,31))) - MONTH(MAX($I$2, DATE(Initialisatie!$C$5,1,1))) + 1))
    ) / 12
)</f>
        <v>3695.4499999999994</v>
      </c>
    </row>
    <row r="37" spans="1:12" x14ac:dyDescent="0.45">
      <c r="A37" s="990"/>
      <c r="B37" s="35" t="s">
        <v>533</v>
      </c>
      <c r="C37" s="35">
        <v>15</v>
      </c>
      <c r="D37" s="35" t="s">
        <v>258</v>
      </c>
      <c r="E37">
        <v>3505.52</v>
      </c>
      <c r="F37">
        <v>3549.34</v>
      </c>
      <c r="G37">
        <v>3677.12</v>
      </c>
      <c r="H37">
        <v>3813.17</v>
      </c>
      <c r="I37">
        <v>3942.82</v>
      </c>
      <c r="K37">
        <f>IF(
    OR(
        AND(MAX(0, MIN($E$1, DATE(Initialisatie!$C$5,12,31)) - MAX($E$2, DATE(Initialisatie!$C$5,1,1)) + 1) &gt; 0,IFERROR(VALUE($E37),0)=0),
        AND(MAX(0, MIN($F$1, DATE(Initialisatie!$C$5,12,31)) - MAX($F$2, DATE(Initialisatie!$C$5,1,1)) + 1) &gt; 0,IFERROR(VALUE($F37),0)=0),
        AND(MAX(0, MIN($G$1, DATE(Initialisatie!$C$5,12,31)) - MAX($G$2, DATE(Initialisatie!$C$5,1,1)) + 1) &gt; 0,IFERROR(VALUE($G37),0)=0),
        AND(MAX(0, MIN($H$1, DATE(Initialisatie!$C$5,12,31)) - MAX($H$2, DATE(Initialisatie!$C$5,1,1)) + 1) &gt; 0,IFERROR(VALUE($H37),0)=0),
        AND(MAX(0, MIN($I$1, DATE(Initialisatie!$C$5,12,31)) - MAX($I$2, DATE(Initialisatie!$C$5,1,1)) + 1) &gt; 0,IFERROR(VALUE($I37),0)=0)
    ),
    0,
    SUM(
        IFERROR(VALUE($E37),0) * MAX(0, MIN($E$1, DATE(Initialisatie!$C$5,12,31)) - MAX($E$2, DATE(Initialisatie!$C$5,1,1)) + 1),
        IFERROR(VALUE($F37),0) * MAX(0, MIN($F$1, DATE(Initialisatie!$C$5,12,31)) - MAX($F$2, DATE(Initialisatie!$C$5,1,1)) + 1),
        IFERROR(VALUE($G37),0) * MAX(0, MIN($G$1, DATE(Initialisatie!$C$5,12,31)) - MAX($G$2, DATE(Initialisatie!$C$5,1,1)) + 1),
        IFERROR(VALUE($H37),0) * MAX(0, MIN($H$1, DATE(Initialisatie!$C$5,12,31)) - MAX($H$2, DATE(Initialisatie!$C$5,1,1)) + 1),
        IFERROR(VALUE($I37),0) * MAX(0, MIN($I$1, DATE(Initialisatie!$C$5,12,31)) - MAX($I$2, DATE(Initialisatie!$C$5,1,1)) + 1)
    ) / (DATE(Initialisatie!$C$5,12,31) - DATE(Initialisatie!$C$5,1,1) + 1)
)</f>
        <v>3813.17</v>
      </c>
      <c r="L37">
        <f>IF(
    OR(
        AND(MAX(0, IF(MIN($E$1, DATE(Initialisatie!$C$5,12,31)) &lt; MAX($E$2, DATE(Initialisatie!$C$5,1,1)), 0, MONTH(MIN($E$1, DATE(Initialisatie!$C$5,12,31))) - MONTH(MAX($E$2, DATE(Initialisatie!$C$5,1,1))) + 1)) &lt;= 0, IFERROR(VALUE($E37),0)=0),
        AND(MAX(0, IF(MIN($F$1, DATE(Initialisatie!$C$5,12,31)) &lt; MAX($F$2, DATE(Initialisatie!$C$5,1,1)), 0, MONTH(MIN($F$1, DATE(Initialisatie!$C$5,12,31))) - MONTH(MAX($F$2, DATE(Initialisatie!$C$5,1,1))) + 1)) &lt;= 0, IFERROR(VALUE($F37),0)=0),
        AND(MAX(0, IF(MIN($G$1, DATE(Initialisatie!$C$5,12,31)) &lt; MAX($G$2, DATE(Initialisatie!$C$5,1,1)), 0, MONTH(MIN($G$1, DATE(Initialisatie!$C$5,12,31))) - MONTH(MAX($G$2, DATE(Initialisatie!$C$5,1,1))) + 1)) &lt;= 0, IFERROR(VALUE($G37),0)=0),
        AND(MAX(0, IF(MIN($H$1, DATE(Initialisatie!$C$5,12,31)) &lt; MAX($H$2, DATE(Initialisatie!$C$5,1,1)), 0, MONTH(MIN($H$1, DATE(Initialisatie!$C$5,12,31))) - MONTH(MAX($H$2, DATE(Initialisatie!$C$5,1,1))) + 1)) &lt;= 0, IFERROR(VALUE($H37),0)=0),
        AND(MAX(0, IF(MIN($I$1, DATE(Initialisatie!$C$5,12,31)) &lt; MAX($I$2, DATE(Initialisatie!$C$5,1,1)), 0, MONTH(MIN($I$1, DATE(Initialisatie!$C$5,12,31))) - MONTH(MAX($I$2, DATE(Initialisatie!$C$5,1,1))) + 1)) &lt;= 0, IFERROR(VALUE($I37),0)=0)
    ),
    0,
    SUM(
        IFERROR(VALUE($E37),0) * MAX(0, IF(MIN($E$1, DATE(Initialisatie!$C$5,12,31)) &lt; MAX($E$2, DATE(Initialisatie!$C$5,1,1)), 0, MONTH(MIN($E$1, DATE(Initialisatie!$C$5,12,31))) - MONTH(MAX($E$2, DATE(Initialisatie!$C$5,1,1))) + 1)),
        IFERROR(VALUE($F37),0) * MAX(0, IF(MIN($F$1, DATE(Initialisatie!$C$5,12,31)) &lt; MAX($F$2, DATE(Initialisatie!$C$5,1,1)), 0, MONTH(MIN($F$1, DATE(Initialisatie!$C$5,12,31))) - MONTH(MAX($F$2, DATE(Initialisatie!$C$5,1,1))) + 1)),
        IFERROR(VALUE($G37),0) * MAX(0, IF(MIN($G$1, DATE(Initialisatie!$C$5,12,31)) &lt; MAX($G$2, DATE(Initialisatie!$C$5,1,1)), 0, MONTH(MIN($G$1, DATE(Initialisatie!$C$5,12,31))) - MONTH(MAX($G$2, DATE(Initialisatie!$C$5,1,1))) + 1)),
        IFERROR(VALUE($H37),0) * MAX(0, IF(MIN($H$1, DATE(Initialisatie!$C$5,12,31)) &lt; MAX($H$2, DATE(Initialisatie!$C$5,1,1)), 0, MONTH(MIN($H$1, DATE(Initialisatie!$C$5,12,31))) - MONTH(MAX($H$2, DATE(Initialisatie!$C$5,1,1))) + 1)),
        IFERROR(VALUE($I37),0) * MAX(0, IF(MIN($I$1, DATE(Initialisatie!$C$5,12,31)) &lt; MAX($I$2, DATE(Initialisatie!$C$5,1,1)), 0, MONTH(MIN($I$1, DATE(Initialisatie!$C$5,12,31))) - MONTH(MAX($I$2, DATE(Initialisatie!$C$5,1,1))) + 1))
    ) / 12
)</f>
        <v>3813.17</v>
      </c>
    </row>
    <row r="38" spans="1:12" x14ac:dyDescent="0.45">
      <c r="A38" s="988">
        <v>6</v>
      </c>
      <c r="B38" s="35" t="s">
        <v>113</v>
      </c>
      <c r="C38" s="35">
        <v>0</v>
      </c>
      <c r="D38" s="35" t="s">
        <v>257</v>
      </c>
      <c r="E38">
        <v>2496.4</v>
      </c>
      <c r="F38">
        <v>2527.6</v>
      </c>
      <c r="G38">
        <v>2618.6</v>
      </c>
      <c r="H38">
        <v>2715.49</v>
      </c>
      <c r="I38">
        <v>2807.81</v>
      </c>
      <c r="K38">
        <f>IF(
    OR(
        AND(MAX(0, MIN($E$1, DATE(Initialisatie!$C$5,12,31)) - MAX($E$2, DATE(Initialisatie!$C$5,1,1)) + 1) &gt; 0,IFERROR(VALUE($E38),0)=0),
        AND(MAX(0, MIN($F$1, DATE(Initialisatie!$C$5,12,31)) - MAX($F$2, DATE(Initialisatie!$C$5,1,1)) + 1) &gt; 0,IFERROR(VALUE($F38),0)=0),
        AND(MAX(0, MIN($G$1, DATE(Initialisatie!$C$5,12,31)) - MAX($G$2, DATE(Initialisatie!$C$5,1,1)) + 1) &gt; 0,IFERROR(VALUE($G38),0)=0),
        AND(MAX(0, MIN($H$1, DATE(Initialisatie!$C$5,12,31)) - MAX($H$2, DATE(Initialisatie!$C$5,1,1)) + 1) &gt; 0,IFERROR(VALUE($H38),0)=0),
        AND(MAX(0, MIN($I$1, DATE(Initialisatie!$C$5,12,31)) - MAX($I$2, DATE(Initialisatie!$C$5,1,1)) + 1) &gt; 0,IFERROR(VALUE($I38),0)=0)
    ),
    0,
    SUM(
        IFERROR(VALUE($E38),0) * MAX(0, MIN($E$1, DATE(Initialisatie!$C$5,12,31)) - MAX($E$2, DATE(Initialisatie!$C$5,1,1)) + 1),
        IFERROR(VALUE($F38),0) * MAX(0, MIN($F$1, DATE(Initialisatie!$C$5,12,31)) - MAX($F$2, DATE(Initialisatie!$C$5,1,1)) + 1),
        IFERROR(VALUE($G38),0) * MAX(0, MIN($G$1, DATE(Initialisatie!$C$5,12,31)) - MAX($G$2, DATE(Initialisatie!$C$5,1,1)) + 1),
        IFERROR(VALUE($H38),0) * MAX(0, MIN($H$1, DATE(Initialisatie!$C$5,12,31)) - MAX($H$2, DATE(Initialisatie!$C$5,1,1)) + 1),
        IFERROR(VALUE($I38),0) * MAX(0, MIN($I$1, DATE(Initialisatie!$C$5,12,31)) - MAX($I$2, DATE(Initialisatie!$C$5,1,1)) + 1)
    ) / (DATE(Initialisatie!$C$5,12,31) - DATE(Initialisatie!$C$5,1,1) + 1)
)</f>
        <v>2715.49</v>
      </c>
      <c r="L38">
        <f>IF(
    OR(
        AND(MAX(0, IF(MIN($E$1, DATE(Initialisatie!$C$5,12,31)) &lt; MAX($E$2, DATE(Initialisatie!$C$5,1,1)), 0, MONTH(MIN($E$1, DATE(Initialisatie!$C$5,12,31))) - MONTH(MAX($E$2, DATE(Initialisatie!$C$5,1,1))) + 1)) &lt;= 0, IFERROR(VALUE($E38),0)=0),
        AND(MAX(0, IF(MIN($F$1, DATE(Initialisatie!$C$5,12,31)) &lt; MAX($F$2, DATE(Initialisatie!$C$5,1,1)), 0, MONTH(MIN($F$1, DATE(Initialisatie!$C$5,12,31))) - MONTH(MAX($F$2, DATE(Initialisatie!$C$5,1,1))) + 1)) &lt;= 0, IFERROR(VALUE($F38),0)=0),
        AND(MAX(0, IF(MIN($G$1, DATE(Initialisatie!$C$5,12,31)) &lt; MAX($G$2, DATE(Initialisatie!$C$5,1,1)), 0, MONTH(MIN($G$1, DATE(Initialisatie!$C$5,12,31))) - MONTH(MAX($G$2, DATE(Initialisatie!$C$5,1,1))) + 1)) &lt;= 0, IFERROR(VALUE($G38),0)=0),
        AND(MAX(0, IF(MIN($H$1, DATE(Initialisatie!$C$5,12,31)) &lt; MAX($H$2, DATE(Initialisatie!$C$5,1,1)), 0, MONTH(MIN($H$1, DATE(Initialisatie!$C$5,12,31))) - MONTH(MAX($H$2, DATE(Initialisatie!$C$5,1,1))) + 1)) &lt;= 0, IFERROR(VALUE($H38),0)=0),
        AND(MAX(0, IF(MIN($I$1, DATE(Initialisatie!$C$5,12,31)) &lt; MAX($I$2, DATE(Initialisatie!$C$5,1,1)), 0, MONTH(MIN($I$1, DATE(Initialisatie!$C$5,12,31))) - MONTH(MAX($I$2, DATE(Initialisatie!$C$5,1,1))) + 1)) &lt;= 0, IFERROR(VALUE($I38),0)=0)
    ),
    0,
    SUM(
        IFERROR(VALUE($E38),0) * MAX(0, IF(MIN($E$1, DATE(Initialisatie!$C$5,12,31)) &lt; MAX($E$2, DATE(Initialisatie!$C$5,1,1)), 0, MONTH(MIN($E$1, DATE(Initialisatie!$C$5,12,31))) - MONTH(MAX($E$2, DATE(Initialisatie!$C$5,1,1))) + 1)),
        IFERROR(VALUE($F38),0) * MAX(0, IF(MIN($F$1, DATE(Initialisatie!$C$5,12,31)) &lt; MAX($F$2, DATE(Initialisatie!$C$5,1,1)), 0, MONTH(MIN($F$1, DATE(Initialisatie!$C$5,12,31))) - MONTH(MAX($F$2, DATE(Initialisatie!$C$5,1,1))) + 1)),
        IFERROR(VALUE($G38),0) * MAX(0, IF(MIN($G$1, DATE(Initialisatie!$C$5,12,31)) &lt; MAX($G$2, DATE(Initialisatie!$C$5,1,1)), 0, MONTH(MIN($G$1, DATE(Initialisatie!$C$5,12,31))) - MONTH(MAX($G$2, DATE(Initialisatie!$C$5,1,1))) + 1)),
        IFERROR(VALUE($H38),0) * MAX(0, IF(MIN($H$1, DATE(Initialisatie!$C$5,12,31)) &lt; MAX($H$2, DATE(Initialisatie!$C$5,1,1)), 0, MONTH(MIN($H$1, DATE(Initialisatie!$C$5,12,31))) - MONTH(MAX($H$2, DATE(Initialisatie!$C$5,1,1))) + 1)),
        IFERROR(VALUE($I38),0) * MAX(0, IF(MIN($I$1, DATE(Initialisatie!$C$5,12,31)) &lt; MAX($I$2, DATE(Initialisatie!$C$5,1,1)), 0, MONTH(MIN($I$1, DATE(Initialisatie!$C$5,12,31))) - MONTH(MAX($I$2, DATE(Initialisatie!$C$5,1,1))) + 1))
    ) / 12
)</f>
        <v>2715.49</v>
      </c>
    </row>
    <row r="39" spans="1:12" x14ac:dyDescent="0.45">
      <c r="A39" s="989"/>
      <c r="B39" s="35" t="s">
        <v>111</v>
      </c>
      <c r="C39" s="35">
        <v>1</v>
      </c>
      <c r="D39" s="35" t="s">
        <v>256</v>
      </c>
      <c r="E39">
        <v>2577.73</v>
      </c>
      <c r="F39">
        <v>2609.9499999999998</v>
      </c>
      <c r="G39">
        <v>2703.91</v>
      </c>
      <c r="H39">
        <v>2803.95</v>
      </c>
      <c r="I39">
        <v>2899.29</v>
      </c>
      <c r="K39">
        <f>IF(
    OR(
        AND(MAX(0, MIN($E$1, DATE(Initialisatie!$C$5,12,31)) - MAX($E$2, DATE(Initialisatie!$C$5,1,1)) + 1) &gt; 0,IFERROR(VALUE($E39),0)=0),
        AND(MAX(0, MIN($F$1, DATE(Initialisatie!$C$5,12,31)) - MAX($F$2, DATE(Initialisatie!$C$5,1,1)) + 1) &gt; 0,IFERROR(VALUE($F39),0)=0),
        AND(MAX(0, MIN($G$1, DATE(Initialisatie!$C$5,12,31)) - MAX($G$2, DATE(Initialisatie!$C$5,1,1)) + 1) &gt; 0,IFERROR(VALUE($G39),0)=0),
        AND(MAX(0, MIN($H$1, DATE(Initialisatie!$C$5,12,31)) - MAX($H$2, DATE(Initialisatie!$C$5,1,1)) + 1) &gt; 0,IFERROR(VALUE($H39),0)=0),
        AND(MAX(0, MIN($I$1, DATE(Initialisatie!$C$5,12,31)) - MAX($I$2, DATE(Initialisatie!$C$5,1,1)) + 1) &gt; 0,IFERROR(VALUE($I39),0)=0)
    ),
    0,
    SUM(
        IFERROR(VALUE($E39),0) * MAX(0, MIN($E$1, DATE(Initialisatie!$C$5,12,31)) - MAX($E$2, DATE(Initialisatie!$C$5,1,1)) + 1),
        IFERROR(VALUE($F39),0) * MAX(0, MIN($F$1, DATE(Initialisatie!$C$5,12,31)) - MAX($F$2, DATE(Initialisatie!$C$5,1,1)) + 1),
        IFERROR(VALUE($G39),0) * MAX(0, MIN($G$1, DATE(Initialisatie!$C$5,12,31)) - MAX($G$2, DATE(Initialisatie!$C$5,1,1)) + 1),
        IFERROR(VALUE($H39),0) * MAX(0, MIN($H$1, DATE(Initialisatie!$C$5,12,31)) - MAX($H$2, DATE(Initialisatie!$C$5,1,1)) + 1),
        IFERROR(VALUE($I39),0) * MAX(0, MIN($I$1, DATE(Initialisatie!$C$5,12,31)) - MAX($I$2, DATE(Initialisatie!$C$5,1,1)) + 1)
    ) / (DATE(Initialisatie!$C$5,12,31) - DATE(Initialisatie!$C$5,1,1) + 1)
)</f>
        <v>2803.95</v>
      </c>
      <c r="L39">
        <f>IF(
    OR(
        AND(MAX(0, IF(MIN($E$1, DATE(Initialisatie!$C$5,12,31)) &lt; MAX($E$2, DATE(Initialisatie!$C$5,1,1)), 0, MONTH(MIN($E$1, DATE(Initialisatie!$C$5,12,31))) - MONTH(MAX($E$2, DATE(Initialisatie!$C$5,1,1))) + 1)) &lt;= 0, IFERROR(VALUE($E39),0)=0),
        AND(MAX(0, IF(MIN($F$1, DATE(Initialisatie!$C$5,12,31)) &lt; MAX($F$2, DATE(Initialisatie!$C$5,1,1)), 0, MONTH(MIN($F$1, DATE(Initialisatie!$C$5,12,31))) - MONTH(MAX($F$2, DATE(Initialisatie!$C$5,1,1))) + 1)) &lt;= 0, IFERROR(VALUE($F39),0)=0),
        AND(MAX(0, IF(MIN($G$1, DATE(Initialisatie!$C$5,12,31)) &lt; MAX($G$2, DATE(Initialisatie!$C$5,1,1)), 0, MONTH(MIN($G$1, DATE(Initialisatie!$C$5,12,31))) - MONTH(MAX($G$2, DATE(Initialisatie!$C$5,1,1))) + 1)) &lt;= 0, IFERROR(VALUE($G39),0)=0),
        AND(MAX(0, IF(MIN($H$1, DATE(Initialisatie!$C$5,12,31)) &lt; MAX($H$2, DATE(Initialisatie!$C$5,1,1)), 0, MONTH(MIN($H$1, DATE(Initialisatie!$C$5,12,31))) - MONTH(MAX($H$2, DATE(Initialisatie!$C$5,1,1))) + 1)) &lt;= 0, IFERROR(VALUE($H39),0)=0),
        AND(MAX(0, IF(MIN($I$1, DATE(Initialisatie!$C$5,12,31)) &lt; MAX($I$2, DATE(Initialisatie!$C$5,1,1)), 0, MONTH(MIN($I$1, DATE(Initialisatie!$C$5,12,31))) - MONTH(MAX($I$2, DATE(Initialisatie!$C$5,1,1))) + 1)) &lt;= 0, IFERROR(VALUE($I39),0)=0)
    ),
    0,
    SUM(
        IFERROR(VALUE($E39),0) * MAX(0, IF(MIN($E$1, DATE(Initialisatie!$C$5,12,31)) &lt; MAX($E$2, DATE(Initialisatie!$C$5,1,1)), 0, MONTH(MIN($E$1, DATE(Initialisatie!$C$5,12,31))) - MONTH(MAX($E$2, DATE(Initialisatie!$C$5,1,1))) + 1)),
        IFERROR(VALUE($F39),0) * MAX(0, IF(MIN($F$1, DATE(Initialisatie!$C$5,12,31)) &lt; MAX($F$2, DATE(Initialisatie!$C$5,1,1)), 0, MONTH(MIN($F$1, DATE(Initialisatie!$C$5,12,31))) - MONTH(MAX($F$2, DATE(Initialisatie!$C$5,1,1))) + 1)),
        IFERROR(VALUE($G39),0) * MAX(0, IF(MIN($G$1, DATE(Initialisatie!$C$5,12,31)) &lt; MAX($G$2, DATE(Initialisatie!$C$5,1,1)), 0, MONTH(MIN($G$1, DATE(Initialisatie!$C$5,12,31))) - MONTH(MAX($G$2, DATE(Initialisatie!$C$5,1,1))) + 1)),
        IFERROR(VALUE($H39),0) * MAX(0, IF(MIN($H$1, DATE(Initialisatie!$C$5,12,31)) &lt; MAX($H$2, DATE(Initialisatie!$C$5,1,1)), 0, MONTH(MIN($H$1, DATE(Initialisatie!$C$5,12,31))) - MONTH(MAX($H$2, DATE(Initialisatie!$C$5,1,1))) + 1)),
        IFERROR(VALUE($I39),0) * MAX(0, IF(MIN($I$1, DATE(Initialisatie!$C$5,12,31)) &lt; MAX($I$2, DATE(Initialisatie!$C$5,1,1)), 0, MONTH(MIN($I$1, DATE(Initialisatie!$C$5,12,31))) - MONTH(MAX($I$2, DATE(Initialisatie!$C$5,1,1))) + 1))
    ) / 12
)</f>
        <v>2803.9499999999994</v>
      </c>
    </row>
    <row r="40" spans="1:12" x14ac:dyDescent="0.45">
      <c r="A40" s="989"/>
      <c r="B40" s="35" t="s">
        <v>101</v>
      </c>
      <c r="C40" s="35">
        <v>2</v>
      </c>
      <c r="D40" s="35" t="s">
        <v>251</v>
      </c>
      <c r="E40">
        <v>2661.32</v>
      </c>
      <c r="F40">
        <v>2694.59</v>
      </c>
      <c r="G40">
        <v>2791.59</v>
      </c>
      <c r="H40">
        <v>2894.88</v>
      </c>
      <c r="I40">
        <v>2993.31</v>
      </c>
      <c r="K40">
        <f>IF(
    OR(
        AND(MAX(0, MIN($E$1, DATE(Initialisatie!$C$5,12,31)) - MAX($E$2, DATE(Initialisatie!$C$5,1,1)) + 1) &gt; 0,IFERROR(VALUE($E40),0)=0),
        AND(MAX(0, MIN($F$1, DATE(Initialisatie!$C$5,12,31)) - MAX($F$2, DATE(Initialisatie!$C$5,1,1)) + 1) &gt; 0,IFERROR(VALUE($F40),0)=0),
        AND(MAX(0, MIN($G$1, DATE(Initialisatie!$C$5,12,31)) - MAX($G$2, DATE(Initialisatie!$C$5,1,1)) + 1) &gt; 0,IFERROR(VALUE($G40),0)=0),
        AND(MAX(0, MIN($H$1, DATE(Initialisatie!$C$5,12,31)) - MAX($H$2, DATE(Initialisatie!$C$5,1,1)) + 1) &gt; 0,IFERROR(VALUE($H40),0)=0),
        AND(MAX(0, MIN($I$1, DATE(Initialisatie!$C$5,12,31)) - MAX($I$2, DATE(Initialisatie!$C$5,1,1)) + 1) &gt; 0,IFERROR(VALUE($I40),0)=0)
    ),
    0,
    SUM(
        IFERROR(VALUE($E40),0) * MAX(0, MIN($E$1, DATE(Initialisatie!$C$5,12,31)) - MAX($E$2, DATE(Initialisatie!$C$5,1,1)) + 1),
        IFERROR(VALUE($F40),0) * MAX(0, MIN($F$1, DATE(Initialisatie!$C$5,12,31)) - MAX($F$2, DATE(Initialisatie!$C$5,1,1)) + 1),
        IFERROR(VALUE($G40),0) * MAX(0, MIN($G$1, DATE(Initialisatie!$C$5,12,31)) - MAX($G$2, DATE(Initialisatie!$C$5,1,1)) + 1),
        IFERROR(VALUE($H40),0) * MAX(0, MIN($H$1, DATE(Initialisatie!$C$5,12,31)) - MAX($H$2, DATE(Initialisatie!$C$5,1,1)) + 1),
        IFERROR(VALUE($I40),0) * MAX(0, MIN($I$1, DATE(Initialisatie!$C$5,12,31)) - MAX($I$2, DATE(Initialisatie!$C$5,1,1)) + 1)
    ) / (DATE(Initialisatie!$C$5,12,31) - DATE(Initialisatie!$C$5,1,1) + 1)
)</f>
        <v>2894.8799999999997</v>
      </c>
      <c r="L40">
        <f>IF(
    OR(
        AND(MAX(0, IF(MIN($E$1, DATE(Initialisatie!$C$5,12,31)) &lt; MAX($E$2, DATE(Initialisatie!$C$5,1,1)), 0, MONTH(MIN($E$1, DATE(Initialisatie!$C$5,12,31))) - MONTH(MAX($E$2, DATE(Initialisatie!$C$5,1,1))) + 1)) &lt;= 0, IFERROR(VALUE($E40),0)=0),
        AND(MAX(0, IF(MIN($F$1, DATE(Initialisatie!$C$5,12,31)) &lt; MAX($F$2, DATE(Initialisatie!$C$5,1,1)), 0, MONTH(MIN($F$1, DATE(Initialisatie!$C$5,12,31))) - MONTH(MAX($F$2, DATE(Initialisatie!$C$5,1,1))) + 1)) &lt;= 0, IFERROR(VALUE($F40),0)=0),
        AND(MAX(0, IF(MIN($G$1, DATE(Initialisatie!$C$5,12,31)) &lt; MAX($G$2, DATE(Initialisatie!$C$5,1,1)), 0, MONTH(MIN($G$1, DATE(Initialisatie!$C$5,12,31))) - MONTH(MAX($G$2, DATE(Initialisatie!$C$5,1,1))) + 1)) &lt;= 0, IFERROR(VALUE($G40),0)=0),
        AND(MAX(0, IF(MIN($H$1, DATE(Initialisatie!$C$5,12,31)) &lt; MAX($H$2, DATE(Initialisatie!$C$5,1,1)), 0, MONTH(MIN($H$1, DATE(Initialisatie!$C$5,12,31))) - MONTH(MAX($H$2, DATE(Initialisatie!$C$5,1,1))) + 1)) &lt;= 0, IFERROR(VALUE($H40),0)=0),
        AND(MAX(0, IF(MIN($I$1, DATE(Initialisatie!$C$5,12,31)) &lt; MAX($I$2, DATE(Initialisatie!$C$5,1,1)), 0, MONTH(MIN($I$1, DATE(Initialisatie!$C$5,12,31))) - MONTH(MAX($I$2, DATE(Initialisatie!$C$5,1,1))) + 1)) &lt;= 0, IFERROR(VALUE($I40),0)=0)
    ),
    0,
    SUM(
        IFERROR(VALUE($E40),0) * MAX(0, IF(MIN($E$1, DATE(Initialisatie!$C$5,12,31)) &lt; MAX($E$2, DATE(Initialisatie!$C$5,1,1)), 0, MONTH(MIN($E$1, DATE(Initialisatie!$C$5,12,31))) - MONTH(MAX($E$2, DATE(Initialisatie!$C$5,1,1))) + 1)),
        IFERROR(VALUE($F40),0) * MAX(0, IF(MIN($F$1, DATE(Initialisatie!$C$5,12,31)) &lt; MAX($F$2, DATE(Initialisatie!$C$5,1,1)), 0, MONTH(MIN($F$1, DATE(Initialisatie!$C$5,12,31))) - MONTH(MAX($F$2, DATE(Initialisatie!$C$5,1,1))) + 1)),
        IFERROR(VALUE($G40),0) * MAX(0, IF(MIN($G$1, DATE(Initialisatie!$C$5,12,31)) &lt; MAX($G$2, DATE(Initialisatie!$C$5,1,1)), 0, MONTH(MIN($G$1, DATE(Initialisatie!$C$5,12,31))) - MONTH(MAX($G$2, DATE(Initialisatie!$C$5,1,1))) + 1)),
        IFERROR(VALUE($H40),0) * MAX(0, IF(MIN($H$1, DATE(Initialisatie!$C$5,12,31)) &lt; MAX($H$2, DATE(Initialisatie!$C$5,1,1)), 0, MONTH(MIN($H$1, DATE(Initialisatie!$C$5,12,31))) - MONTH(MAX($H$2, DATE(Initialisatie!$C$5,1,1))) + 1)),
        IFERROR(VALUE($I40),0) * MAX(0, IF(MIN($I$1, DATE(Initialisatie!$C$5,12,31)) &lt; MAX($I$2, DATE(Initialisatie!$C$5,1,1)), 0, MONTH(MIN($I$1, DATE(Initialisatie!$C$5,12,31))) - MONTH(MAX($I$2, DATE(Initialisatie!$C$5,1,1))) + 1))
    ) / 12
)</f>
        <v>2894.8799999999997</v>
      </c>
    </row>
    <row r="41" spans="1:12" x14ac:dyDescent="0.45">
      <c r="A41" s="989"/>
      <c r="B41" s="35" t="s">
        <v>99</v>
      </c>
      <c r="C41" s="35">
        <v>3</v>
      </c>
      <c r="D41" s="35" t="s">
        <v>250</v>
      </c>
      <c r="E41">
        <v>2747.78</v>
      </c>
      <c r="F41">
        <v>2782.13</v>
      </c>
      <c r="G41">
        <v>2882.29</v>
      </c>
      <c r="H41">
        <v>2988.93</v>
      </c>
      <c r="I41">
        <v>3090.55</v>
      </c>
      <c r="K41">
        <f>IF(
    OR(
        AND(MAX(0, MIN($E$1, DATE(Initialisatie!$C$5,12,31)) - MAX($E$2, DATE(Initialisatie!$C$5,1,1)) + 1) &gt; 0,IFERROR(VALUE($E41),0)=0),
        AND(MAX(0, MIN($F$1, DATE(Initialisatie!$C$5,12,31)) - MAX($F$2, DATE(Initialisatie!$C$5,1,1)) + 1) &gt; 0,IFERROR(VALUE($F41),0)=0),
        AND(MAX(0, MIN($G$1, DATE(Initialisatie!$C$5,12,31)) - MAX($G$2, DATE(Initialisatie!$C$5,1,1)) + 1) &gt; 0,IFERROR(VALUE($G41),0)=0),
        AND(MAX(0, MIN($H$1, DATE(Initialisatie!$C$5,12,31)) - MAX($H$2, DATE(Initialisatie!$C$5,1,1)) + 1) &gt; 0,IFERROR(VALUE($H41),0)=0),
        AND(MAX(0, MIN($I$1, DATE(Initialisatie!$C$5,12,31)) - MAX($I$2, DATE(Initialisatie!$C$5,1,1)) + 1) &gt; 0,IFERROR(VALUE($I41),0)=0)
    ),
    0,
    SUM(
        IFERROR(VALUE($E41),0) * MAX(0, MIN($E$1, DATE(Initialisatie!$C$5,12,31)) - MAX($E$2, DATE(Initialisatie!$C$5,1,1)) + 1),
        IFERROR(VALUE($F41),0) * MAX(0, MIN($F$1, DATE(Initialisatie!$C$5,12,31)) - MAX($F$2, DATE(Initialisatie!$C$5,1,1)) + 1),
        IFERROR(VALUE($G41),0) * MAX(0, MIN($G$1, DATE(Initialisatie!$C$5,12,31)) - MAX($G$2, DATE(Initialisatie!$C$5,1,1)) + 1),
        IFERROR(VALUE($H41),0) * MAX(0, MIN($H$1, DATE(Initialisatie!$C$5,12,31)) - MAX($H$2, DATE(Initialisatie!$C$5,1,1)) + 1),
        IFERROR(VALUE($I41),0) * MAX(0, MIN($I$1, DATE(Initialisatie!$C$5,12,31)) - MAX($I$2, DATE(Initialisatie!$C$5,1,1)) + 1)
    ) / (DATE(Initialisatie!$C$5,12,31) - DATE(Initialisatie!$C$5,1,1) + 1)
)</f>
        <v>2988.93</v>
      </c>
      <c r="L41">
        <f>IF(
    OR(
        AND(MAX(0, IF(MIN($E$1, DATE(Initialisatie!$C$5,12,31)) &lt; MAX($E$2, DATE(Initialisatie!$C$5,1,1)), 0, MONTH(MIN($E$1, DATE(Initialisatie!$C$5,12,31))) - MONTH(MAX($E$2, DATE(Initialisatie!$C$5,1,1))) + 1)) &lt;= 0, IFERROR(VALUE($E41),0)=0),
        AND(MAX(0, IF(MIN($F$1, DATE(Initialisatie!$C$5,12,31)) &lt; MAX($F$2, DATE(Initialisatie!$C$5,1,1)), 0, MONTH(MIN($F$1, DATE(Initialisatie!$C$5,12,31))) - MONTH(MAX($F$2, DATE(Initialisatie!$C$5,1,1))) + 1)) &lt;= 0, IFERROR(VALUE($F41),0)=0),
        AND(MAX(0, IF(MIN($G$1, DATE(Initialisatie!$C$5,12,31)) &lt; MAX($G$2, DATE(Initialisatie!$C$5,1,1)), 0, MONTH(MIN($G$1, DATE(Initialisatie!$C$5,12,31))) - MONTH(MAX($G$2, DATE(Initialisatie!$C$5,1,1))) + 1)) &lt;= 0, IFERROR(VALUE($G41),0)=0),
        AND(MAX(0, IF(MIN($H$1, DATE(Initialisatie!$C$5,12,31)) &lt; MAX($H$2, DATE(Initialisatie!$C$5,1,1)), 0, MONTH(MIN($H$1, DATE(Initialisatie!$C$5,12,31))) - MONTH(MAX($H$2, DATE(Initialisatie!$C$5,1,1))) + 1)) &lt;= 0, IFERROR(VALUE($H41),0)=0),
        AND(MAX(0, IF(MIN($I$1, DATE(Initialisatie!$C$5,12,31)) &lt; MAX($I$2, DATE(Initialisatie!$C$5,1,1)), 0, MONTH(MIN($I$1, DATE(Initialisatie!$C$5,12,31))) - MONTH(MAX($I$2, DATE(Initialisatie!$C$5,1,1))) + 1)) &lt;= 0, IFERROR(VALUE($I41),0)=0)
    ),
    0,
    SUM(
        IFERROR(VALUE($E41),0) * MAX(0, IF(MIN($E$1, DATE(Initialisatie!$C$5,12,31)) &lt; MAX($E$2, DATE(Initialisatie!$C$5,1,1)), 0, MONTH(MIN($E$1, DATE(Initialisatie!$C$5,12,31))) - MONTH(MAX($E$2, DATE(Initialisatie!$C$5,1,1))) + 1)),
        IFERROR(VALUE($F41),0) * MAX(0, IF(MIN($F$1, DATE(Initialisatie!$C$5,12,31)) &lt; MAX($F$2, DATE(Initialisatie!$C$5,1,1)), 0, MONTH(MIN($F$1, DATE(Initialisatie!$C$5,12,31))) - MONTH(MAX($F$2, DATE(Initialisatie!$C$5,1,1))) + 1)),
        IFERROR(VALUE($G41),0) * MAX(0, IF(MIN($G$1, DATE(Initialisatie!$C$5,12,31)) &lt; MAX($G$2, DATE(Initialisatie!$C$5,1,1)), 0, MONTH(MIN($G$1, DATE(Initialisatie!$C$5,12,31))) - MONTH(MAX($G$2, DATE(Initialisatie!$C$5,1,1))) + 1)),
        IFERROR(VALUE($H41),0) * MAX(0, IF(MIN($H$1, DATE(Initialisatie!$C$5,12,31)) &lt; MAX($H$2, DATE(Initialisatie!$C$5,1,1)), 0, MONTH(MIN($H$1, DATE(Initialisatie!$C$5,12,31))) - MONTH(MAX($H$2, DATE(Initialisatie!$C$5,1,1))) + 1)),
        IFERROR(VALUE($I41),0) * MAX(0, IF(MIN($I$1, DATE(Initialisatie!$C$5,12,31)) &lt; MAX($I$2, DATE(Initialisatie!$C$5,1,1)), 0, MONTH(MIN($I$1, DATE(Initialisatie!$C$5,12,31))) - MONTH(MAX($I$2, DATE(Initialisatie!$C$5,1,1))) + 1))
    ) / 12
)</f>
        <v>2988.93</v>
      </c>
    </row>
    <row r="42" spans="1:12" x14ac:dyDescent="0.45">
      <c r="A42" s="989"/>
      <c r="B42" s="35" t="s">
        <v>97</v>
      </c>
      <c r="C42" s="35">
        <v>4</v>
      </c>
      <c r="D42" s="35" t="s">
        <v>249</v>
      </c>
      <c r="E42">
        <v>2837.13</v>
      </c>
      <c r="F42">
        <v>2872.59</v>
      </c>
      <c r="G42">
        <v>2976</v>
      </c>
      <c r="H42">
        <v>3086.12</v>
      </c>
      <c r="I42">
        <v>3191.04</v>
      </c>
      <c r="K42">
        <f>IF(
    OR(
        AND(MAX(0, MIN($E$1, DATE(Initialisatie!$C$5,12,31)) - MAX($E$2, DATE(Initialisatie!$C$5,1,1)) + 1) &gt; 0,IFERROR(VALUE($E42),0)=0),
        AND(MAX(0, MIN($F$1, DATE(Initialisatie!$C$5,12,31)) - MAX($F$2, DATE(Initialisatie!$C$5,1,1)) + 1) &gt; 0,IFERROR(VALUE($F42),0)=0),
        AND(MAX(0, MIN($G$1, DATE(Initialisatie!$C$5,12,31)) - MAX($G$2, DATE(Initialisatie!$C$5,1,1)) + 1) &gt; 0,IFERROR(VALUE($G42),0)=0),
        AND(MAX(0, MIN($H$1, DATE(Initialisatie!$C$5,12,31)) - MAX($H$2, DATE(Initialisatie!$C$5,1,1)) + 1) &gt; 0,IFERROR(VALUE($H42),0)=0),
        AND(MAX(0, MIN($I$1, DATE(Initialisatie!$C$5,12,31)) - MAX($I$2, DATE(Initialisatie!$C$5,1,1)) + 1) &gt; 0,IFERROR(VALUE($I42),0)=0)
    ),
    0,
    SUM(
        IFERROR(VALUE($E42),0) * MAX(0, MIN($E$1, DATE(Initialisatie!$C$5,12,31)) - MAX($E$2, DATE(Initialisatie!$C$5,1,1)) + 1),
        IFERROR(VALUE($F42),0) * MAX(0, MIN($F$1, DATE(Initialisatie!$C$5,12,31)) - MAX($F$2, DATE(Initialisatie!$C$5,1,1)) + 1),
        IFERROR(VALUE($G42),0) * MAX(0, MIN($G$1, DATE(Initialisatie!$C$5,12,31)) - MAX($G$2, DATE(Initialisatie!$C$5,1,1)) + 1),
        IFERROR(VALUE($H42),0) * MAX(0, MIN($H$1, DATE(Initialisatie!$C$5,12,31)) - MAX($H$2, DATE(Initialisatie!$C$5,1,1)) + 1),
        IFERROR(VALUE($I42),0) * MAX(0, MIN($I$1, DATE(Initialisatie!$C$5,12,31)) - MAX($I$2, DATE(Initialisatie!$C$5,1,1)) + 1)
    ) / (DATE(Initialisatie!$C$5,12,31) - DATE(Initialisatie!$C$5,1,1) + 1)
)</f>
        <v>3086.1200000000003</v>
      </c>
      <c r="L42">
        <f>IF(
    OR(
        AND(MAX(0, IF(MIN($E$1, DATE(Initialisatie!$C$5,12,31)) &lt; MAX($E$2, DATE(Initialisatie!$C$5,1,1)), 0, MONTH(MIN($E$1, DATE(Initialisatie!$C$5,12,31))) - MONTH(MAX($E$2, DATE(Initialisatie!$C$5,1,1))) + 1)) &lt;= 0, IFERROR(VALUE($E42),0)=0),
        AND(MAX(0, IF(MIN($F$1, DATE(Initialisatie!$C$5,12,31)) &lt; MAX($F$2, DATE(Initialisatie!$C$5,1,1)), 0, MONTH(MIN($F$1, DATE(Initialisatie!$C$5,12,31))) - MONTH(MAX($F$2, DATE(Initialisatie!$C$5,1,1))) + 1)) &lt;= 0, IFERROR(VALUE($F42),0)=0),
        AND(MAX(0, IF(MIN($G$1, DATE(Initialisatie!$C$5,12,31)) &lt; MAX($G$2, DATE(Initialisatie!$C$5,1,1)), 0, MONTH(MIN($G$1, DATE(Initialisatie!$C$5,12,31))) - MONTH(MAX($G$2, DATE(Initialisatie!$C$5,1,1))) + 1)) &lt;= 0, IFERROR(VALUE($G42),0)=0),
        AND(MAX(0, IF(MIN($H$1, DATE(Initialisatie!$C$5,12,31)) &lt; MAX($H$2, DATE(Initialisatie!$C$5,1,1)), 0, MONTH(MIN($H$1, DATE(Initialisatie!$C$5,12,31))) - MONTH(MAX($H$2, DATE(Initialisatie!$C$5,1,1))) + 1)) &lt;= 0, IFERROR(VALUE($H42),0)=0),
        AND(MAX(0, IF(MIN($I$1, DATE(Initialisatie!$C$5,12,31)) &lt; MAX($I$2, DATE(Initialisatie!$C$5,1,1)), 0, MONTH(MIN($I$1, DATE(Initialisatie!$C$5,12,31))) - MONTH(MAX($I$2, DATE(Initialisatie!$C$5,1,1))) + 1)) &lt;= 0, IFERROR(VALUE($I42),0)=0)
    ),
    0,
    SUM(
        IFERROR(VALUE($E42),0) * MAX(0, IF(MIN($E$1, DATE(Initialisatie!$C$5,12,31)) &lt; MAX($E$2, DATE(Initialisatie!$C$5,1,1)), 0, MONTH(MIN($E$1, DATE(Initialisatie!$C$5,12,31))) - MONTH(MAX($E$2, DATE(Initialisatie!$C$5,1,1))) + 1)),
        IFERROR(VALUE($F42),0) * MAX(0, IF(MIN($F$1, DATE(Initialisatie!$C$5,12,31)) &lt; MAX($F$2, DATE(Initialisatie!$C$5,1,1)), 0, MONTH(MIN($F$1, DATE(Initialisatie!$C$5,12,31))) - MONTH(MAX($F$2, DATE(Initialisatie!$C$5,1,1))) + 1)),
        IFERROR(VALUE($G42),0) * MAX(0, IF(MIN($G$1, DATE(Initialisatie!$C$5,12,31)) &lt; MAX($G$2, DATE(Initialisatie!$C$5,1,1)), 0, MONTH(MIN($G$1, DATE(Initialisatie!$C$5,12,31))) - MONTH(MAX($G$2, DATE(Initialisatie!$C$5,1,1))) + 1)),
        IFERROR(VALUE($H42),0) * MAX(0, IF(MIN($H$1, DATE(Initialisatie!$C$5,12,31)) &lt; MAX($H$2, DATE(Initialisatie!$C$5,1,1)), 0, MONTH(MIN($H$1, DATE(Initialisatie!$C$5,12,31))) - MONTH(MAX($H$2, DATE(Initialisatie!$C$5,1,1))) + 1)),
        IFERROR(VALUE($I42),0) * MAX(0, IF(MIN($I$1, DATE(Initialisatie!$C$5,12,31)) &lt; MAX($I$2, DATE(Initialisatie!$C$5,1,1)), 0, MONTH(MIN($I$1, DATE(Initialisatie!$C$5,12,31))) - MONTH(MAX($I$2, DATE(Initialisatie!$C$5,1,1))) + 1))
    ) / 12
)</f>
        <v>3086.1200000000003</v>
      </c>
    </row>
    <row r="43" spans="1:12" x14ac:dyDescent="0.45">
      <c r="A43" s="989"/>
      <c r="B43" s="35" t="s">
        <v>95</v>
      </c>
      <c r="C43" s="35">
        <v>5</v>
      </c>
      <c r="D43" s="35" t="s">
        <v>248</v>
      </c>
      <c r="E43">
        <v>2929.37</v>
      </c>
      <c r="F43">
        <v>2965.98</v>
      </c>
      <c r="G43">
        <v>3072.76</v>
      </c>
      <c r="H43">
        <v>3186.45</v>
      </c>
      <c r="I43">
        <v>3294.79</v>
      </c>
      <c r="K43">
        <f>IF(
    OR(
        AND(MAX(0, MIN($E$1, DATE(Initialisatie!$C$5,12,31)) - MAX($E$2, DATE(Initialisatie!$C$5,1,1)) + 1) &gt; 0,IFERROR(VALUE($E43),0)=0),
        AND(MAX(0, MIN($F$1, DATE(Initialisatie!$C$5,12,31)) - MAX($F$2, DATE(Initialisatie!$C$5,1,1)) + 1) &gt; 0,IFERROR(VALUE($F43),0)=0),
        AND(MAX(0, MIN($G$1, DATE(Initialisatie!$C$5,12,31)) - MAX($G$2, DATE(Initialisatie!$C$5,1,1)) + 1) &gt; 0,IFERROR(VALUE($G43),0)=0),
        AND(MAX(0, MIN($H$1, DATE(Initialisatie!$C$5,12,31)) - MAX($H$2, DATE(Initialisatie!$C$5,1,1)) + 1) &gt; 0,IFERROR(VALUE($H43),0)=0),
        AND(MAX(0, MIN($I$1, DATE(Initialisatie!$C$5,12,31)) - MAX($I$2, DATE(Initialisatie!$C$5,1,1)) + 1) &gt; 0,IFERROR(VALUE($I43),0)=0)
    ),
    0,
    SUM(
        IFERROR(VALUE($E43),0) * MAX(0, MIN($E$1, DATE(Initialisatie!$C$5,12,31)) - MAX($E$2, DATE(Initialisatie!$C$5,1,1)) + 1),
        IFERROR(VALUE($F43),0) * MAX(0, MIN($F$1, DATE(Initialisatie!$C$5,12,31)) - MAX($F$2, DATE(Initialisatie!$C$5,1,1)) + 1),
        IFERROR(VALUE($G43),0) * MAX(0, MIN($G$1, DATE(Initialisatie!$C$5,12,31)) - MAX($G$2, DATE(Initialisatie!$C$5,1,1)) + 1),
        IFERROR(VALUE($H43),0) * MAX(0, MIN($H$1, DATE(Initialisatie!$C$5,12,31)) - MAX($H$2, DATE(Initialisatie!$C$5,1,1)) + 1),
        IFERROR(VALUE($I43),0) * MAX(0, MIN($I$1, DATE(Initialisatie!$C$5,12,31)) - MAX($I$2, DATE(Initialisatie!$C$5,1,1)) + 1)
    ) / (DATE(Initialisatie!$C$5,12,31) - DATE(Initialisatie!$C$5,1,1) + 1)
)</f>
        <v>3186.45</v>
      </c>
      <c r="L43">
        <f>IF(
    OR(
        AND(MAX(0, IF(MIN($E$1, DATE(Initialisatie!$C$5,12,31)) &lt; MAX($E$2, DATE(Initialisatie!$C$5,1,1)), 0, MONTH(MIN($E$1, DATE(Initialisatie!$C$5,12,31))) - MONTH(MAX($E$2, DATE(Initialisatie!$C$5,1,1))) + 1)) &lt;= 0, IFERROR(VALUE($E43),0)=0),
        AND(MAX(0, IF(MIN($F$1, DATE(Initialisatie!$C$5,12,31)) &lt; MAX($F$2, DATE(Initialisatie!$C$5,1,1)), 0, MONTH(MIN($F$1, DATE(Initialisatie!$C$5,12,31))) - MONTH(MAX($F$2, DATE(Initialisatie!$C$5,1,1))) + 1)) &lt;= 0, IFERROR(VALUE($F43),0)=0),
        AND(MAX(0, IF(MIN($G$1, DATE(Initialisatie!$C$5,12,31)) &lt; MAX($G$2, DATE(Initialisatie!$C$5,1,1)), 0, MONTH(MIN($G$1, DATE(Initialisatie!$C$5,12,31))) - MONTH(MAX($G$2, DATE(Initialisatie!$C$5,1,1))) + 1)) &lt;= 0, IFERROR(VALUE($G43),0)=0),
        AND(MAX(0, IF(MIN($H$1, DATE(Initialisatie!$C$5,12,31)) &lt; MAX($H$2, DATE(Initialisatie!$C$5,1,1)), 0, MONTH(MIN($H$1, DATE(Initialisatie!$C$5,12,31))) - MONTH(MAX($H$2, DATE(Initialisatie!$C$5,1,1))) + 1)) &lt;= 0, IFERROR(VALUE($H43),0)=0),
        AND(MAX(0, IF(MIN($I$1, DATE(Initialisatie!$C$5,12,31)) &lt; MAX($I$2, DATE(Initialisatie!$C$5,1,1)), 0, MONTH(MIN($I$1, DATE(Initialisatie!$C$5,12,31))) - MONTH(MAX($I$2, DATE(Initialisatie!$C$5,1,1))) + 1)) &lt;= 0, IFERROR(VALUE($I43),0)=0)
    ),
    0,
    SUM(
        IFERROR(VALUE($E43),0) * MAX(0, IF(MIN($E$1, DATE(Initialisatie!$C$5,12,31)) &lt; MAX($E$2, DATE(Initialisatie!$C$5,1,1)), 0, MONTH(MIN($E$1, DATE(Initialisatie!$C$5,12,31))) - MONTH(MAX($E$2, DATE(Initialisatie!$C$5,1,1))) + 1)),
        IFERROR(VALUE($F43),0) * MAX(0, IF(MIN($F$1, DATE(Initialisatie!$C$5,12,31)) &lt; MAX($F$2, DATE(Initialisatie!$C$5,1,1)), 0, MONTH(MIN($F$1, DATE(Initialisatie!$C$5,12,31))) - MONTH(MAX($F$2, DATE(Initialisatie!$C$5,1,1))) + 1)),
        IFERROR(VALUE($G43),0) * MAX(0, IF(MIN($G$1, DATE(Initialisatie!$C$5,12,31)) &lt; MAX($G$2, DATE(Initialisatie!$C$5,1,1)), 0, MONTH(MIN($G$1, DATE(Initialisatie!$C$5,12,31))) - MONTH(MAX($G$2, DATE(Initialisatie!$C$5,1,1))) + 1)),
        IFERROR(VALUE($H43),0) * MAX(0, IF(MIN($H$1, DATE(Initialisatie!$C$5,12,31)) &lt; MAX($H$2, DATE(Initialisatie!$C$5,1,1)), 0, MONTH(MIN($H$1, DATE(Initialisatie!$C$5,12,31))) - MONTH(MAX($H$2, DATE(Initialisatie!$C$5,1,1))) + 1)),
        IFERROR(VALUE($I43),0) * MAX(0, IF(MIN($I$1, DATE(Initialisatie!$C$5,12,31)) &lt; MAX($I$2, DATE(Initialisatie!$C$5,1,1)), 0, MONTH(MIN($I$1, DATE(Initialisatie!$C$5,12,31))) - MONTH(MAX($I$2, DATE(Initialisatie!$C$5,1,1))) + 1))
    ) / 12
)</f>
        <v>3186.4499999999994</v>
      </c>
    </row>
    <row r="44" spans="1:12" x14ac:dyDescent="0.45">
      <c r="A44" s="989"/>
      <c r="B44" s="35" t="s">
        <v>93</v>
      </c>
      <c r="C44" s="35">
        <v>6</v>
      </c>
      <c r="D44" s="35" t="s">
        <v>247</v>
      </c>
      <c r="E44">
        <v>3024.58</v>
      </c>
      <c r="F44">
        <v>3062.39</v>
      </c>
      <c r="G44">
        <v>3172.64</v>
      </c>
      <c r="H44">
        <v>3290.03</v>
      </c>
      <c r="I44">
        <v>3401.89</v>
      </c>
      <c r="K44">
        <f>IF(
    OR(
        AND(MAX(0, MIN($E$1, DATE(Initialisatie!$C$5,12,31)) - MAX($E$2, DATE(Initialisatie!$C$5,1,1)) + 1) &gt; 0,IFERROR(VALUE($E44),0)=0),
        AND(MAX(0, MIN($F$1, DATE(Initialisatie!$C$5,12,31)) - MAX($F$2, DATE(Initialisatie!$C$5,1,1)) + 1) &gt; 0,IFERROR(VALUE($F44),0)=0),
        AND(MAX(0, MIN($G$1, DATE(Initialisatie!$C$5,12,31)) - MAX($G$2, DATE(Initialisatie!$C$5,1,1)) + 1) &gt; 0,IFERROR(VALUE($G44),0)=0),
        AND(MAX(0, MIN($H$1, DATE(Initialisatie!$C$5,12,31)) - MAX($H$2, DATE(Initialisatie!$C$5,1,1)) + 1) &gt; 0,IFERROR(VALUE($H44),0)=0),
        AND(MAX(0, MIN($I$1, DATE(Initialisatie!$C$5,12,31)) - MAX($I$2, DATE(Initialisatie!$C$5,1,1)) + 1) &gt; 0,IFERROR(VALUE($I44),0)=0)
    ),
    0,
    SUM(
        IFERROR(VALUE($E44),0) * MAX(0, MIN($E$1, DATE(Initialisatie!$C$5,12,31)) - MAX($E$2, DATE(Initialisatie!$C$5,1,1)) + 1),
        IFERROR(VALUE($F44),0) * MAX(0, MIN($F$1, DATE(Initialisatie!$C$5,12,31)) - MAX($F$2, DATE(Initialisatie!$C$5,1,1)) + 1),
        IFERROR(VALUE($G44),0) * MAX(0, MIN($G$1, DATE(Initialisatie!$C$5,12,31)) - MAX($G$2, DATE(Initialisatie!$C$5,1,1)) + 1),
        IFERROR(VALUE($H44),0) * MAX(0, MIN($H$1, DATE(Initialisatie!$C$5,12,31)) - MAX($H$2, DATE(Initialisatie!$C$5,1,1)) + 1),
        IFERROR(VALUE($I44),0) * MAX(0, MIN($I$1, DATE(Initialisatie!$C$5,12,31)) - MAX($I$2, DATE(Initialisatie!$C$5,1,1)) + 1)
    ) / (DATE(Initialisatie!$C$5,12,31) - DATE(Initialisatie!$C$5,1,1) + 1)
)</f>
        <v>3290.0300000000007</v>
      </c>
      <c r="L44">
        <f>IF(
    OR(
        AND(MAX(0, IF(MIN($E$1, DATE(Initialisatie!$C$5,12,31)) &lt; MAX($E$2, DATE(Initialisatie!$C$5,1,1)), 0, MONTH(MIN($E$1, DATE(Initialisatie!$C$5,12,31))) - MONTH(MAX($E$2, DATE(Initialisatie!$C$5,1,1))) + 1)) &lt;= 0, IFERROR(VALUE($E44),0)=0),
        AND(MAX(0, IF(MIN($F$1, DATE(Initialisatie!$C$5,12,31)) &lt; MAX($F$2, DATE(Initialisatie!$C$5,1,1)), 0, MONTH(MIN($F$1, DATE(Initialisatie!$C$5,12,31))) - MONTH(MAX($F$2, DATE(Initialisatie!$C$5,1,1))) + 1)) &lt;= 0, IFERROR(VALUE($F44),0)=0),
        AND(MAX(0, IF(MIN($G$1, DATE(Initialisatie!$C$5,12,31)) &lt; MAX($G$2, DATE(Initialisatie!$C$5,1,1)), 0, MONTH(MIN($G$1, DATE(Initialisatie!$C$5,12,31))) - MONTH(MAX($G$2, DATE(Initialisatie!$C$5,1,1))) + 1)) &lt;= 0, IFERROR(VALUE($G44),0)=0),
        AND(MAX(0, IF(MIN($H$1, DATE(Initialisatie!$C$5,12,31)) &lt; MAX($H$2, DATE(Initialisatie!$C$5,1,1)), 0, MONTH(MIN($H$1, DATE(Initialisatie!$C$5,12,31))) - MONTH(MAX($H$2, DATE(Initialisatie!$C$5,1,1))) + 1)) &lt;= 0, IFERROR(VALUE($H44),0)=0),
        AND(MAX(0, IF(MIN($I$1, DATE(Initialisatie!$C$5,12,31)) &lt; MAX($I$2, DATE(Initialisatie!$C$5,1,1)), 0, MONTH(MIN($I$1, DATE(Initialisatie!$C$5,12,31))) - MONTH(MAX($I$2, DATE(Initialisatie!$C$5,1,1))) + 1)) &lt;= 0, IFERROR(VALUE($I44),0)=0)
    ),
    0,
    SUM(
        IFERROR(VALUE($E44),0) * MAX(0, IF(MIN($E$1, DATE(Initialisatie!$C$5,12,31)) &lt; MAX($E$2, DATE(Initialisatie!$C$5,1,1)), 0, MONTH(MIN($E$1, DATE(Initialisatie!$C$5,12,31))) - MONTH(MAX($E$2, DATE(Initialisatie!$C$5,1,1))) + 1)),
        IFERROR(VALUE($F44),0) * MAX(0, IF(MIN($F$1, DATE(Initialisatie!$C$5,12,31)) &lt; MAX($F$2, DATE(Initialisatie!$C$5,1,1)), 0, MONTH(MIN($F$1, DATE(Initialisatie!$C$5,12,31))) - MONTH(MAX($F$2, DATE(Initialisatie!$C$5,1,1))) + 1)),
        IFERROR(VALUE($G44),0) * MAX(0, IF(MIN($G$1, DATE(Initialisatie!$C$5,12,31)) &lt; MAX($G$2, DATE(Initialisatie!$C$5,1,1)), 0, MONTH(MIN($G$1, DATE(Initialisatie!$C$5,12,31))) - MONTH(MAX($G$2, DATE(Initialisatie!$C$5,1,1))) + 1)),
        IFERROR(VALUE($H44),0) * MAX(0, IF(MIN($H$1, DATE(Initialisatie!$C$5,12,31)) &lt; MAX($H$2, DATE(Initialisatie!$C$5,1,1)), 0, MONTH(MIN($H$1, DATE(Initialisatie!$C$5,12,31))) - MONTH(MAX($H$2, DATE(Initialisatie!$C$5,1,1))) + 1)),
        IFERROR(VALUE($I44),0) * MAX(0, IF(MIN($I$1, DATE(Initialisatie!$C$5,12,31)) &lt; MAX($I$2, DATE(Initialisatie!$C$5,1,1)), 0, MONTH(MIN($I$1, DATE(Initialisatie!$C$5,12,31))) - MONTH(MAX($I$2, DATE(Initialisatie!$C$5,1,1))) + 1))
    ) / 12
)</f>
        <v>3290.03</v>
      </c>
    </row>
    <row r="45" spans="1:12" x14ac:dyDescent="0.45">
      <c r="A45" s="989"/>
      <c r="B45" s="35" t="s">
        <v>91</v>
      </c>
      <c r="C45" s="35">
        <v>7</v>
      </c>
      <c r="D45" s="35" t="s">
        <v>246</v>
      </c>
      <c r="E45">
        <v>3122.66</v>
      </c>
      <c r="F45">
        <v>3161.69</v>
      </c>
      <c r="G45">
        <v>3275.51</v>
      </c>
      <c r="H45">
        <v>3396.71</v>
      </c>
      <c r="I45">
        <v>3512.19</v>
      </c>
      <c r="K45">
        <f>IF(
    OR(
        AND(MAX(0, MIN($E$1, DATE(Initialisatie!$C$5,12,31)) - MAX($E$2, DATE(Initialisatie!$C$5,1,1)) + 1) &gt; 0,IFERROR(VALUE($E45),0)=0),
        AND(MAX(0, MIN($F$1, DATE(Initialisatie!$C$5,12,31)) - MAX($F$2, DATE(Initialisatie!$C$5,1,1)) + 1) &gt; 0,IFERROR(VALUE($F45),0)=0),
        AND(MAX(0, MIN($G$1, DATE(Initialisatie!$C$5,12,31)) - MAX($G$2, DATE(Initialisatie!$C$5,1,1)) + 1) &gt; 0,IFERROR(VALUE($G45),0)=0),
        AND(MAX(0, MIN($H$1, DATE(Initialisatie!$C$5,12,31)) - MAX($H$2, DATE(Initialisatie!$C$5,1,1)) + 1) &gt; 0,IFERROR(VALUE($H45),0)=0),
        AND(MAX(0, MIN($I$1, DATE(Initialisatie!$C$5,12,31)) - MAX($I$2, DATE(Initialisatie!$C$5,1,1)) + 1) &gt; 0,IFERROR(VALUE($I45),0)=0)
    ),
    0,
    SUM(
        IFERROR(VALUE($E45),0) * MAX(0, MIN($E$1, DATE(Initialisatie!$C$5,12,31)) - MAX($E$2, DATE(Initialisatie!$C$5,1,1)) + 1),
        IFERROR(VALUE($F45),0) * MAX(0, MIN($F$1, DATE(Initialisatie!$C$5,12,31)) - MAX($F$2, DATE(Initialisatie!$C$5,1,1)) + 1),
        IFERROR(VALUE($G45),0) * MAX(0, MIN($G$1, DATE(Initialisatie!$C$5,12,31)) - MAX($G$2, DATE(Initialisatie!$C$5,1,1)) + 1),
        IFERROR(VALUE($H45),0) * MAX(0, MIN($H$1, DATE(Initialisatie!$C$5,12,31)) - MAX($H$2, DATE(Initialisatie!$C$5,1,1)) + 1),
        IFERROR(VALUE($I45),0) * MAX(0, MIN($I$1, DATE(Initialisatie!$C$5,12,31)) - MAX($I$2, DATE(Initialisatie!$C$5,1,1)) + 1)
    ) / (DATE(Initialisatie!$C$5,12,31) - DATE(Initialisatie!$C$5,1,1) + 1)
)</f>
        <v>3396.7099999999996</v>
      </c>
      <c r="L45">
        <f>IF(
    OR(
        AND(MAX(0, IF(MIN($E$1, DATE(Initialisatie!$C$5,12,31)) &lt; MAX($E$2, DATE(Initialisatie!$C$5,1,1)), 0, MONTH(MIN($E$1, DATE(Initialisatie!$C$5,12,31))) - MONTH(MAX($E$2, DATE(Initialisatie!$C$5,1,1))) + 1)) &lt;= 0, IFERROR(VALUE($E45),0)=0),
        AND(MAX(0, IF(MIN($F$1, DATE(Initialisatie!$C$5,12,31)) &lt; MAX($F$2, DATE(Initialisatie!$C$5,1,1)), 0, MONTH(MIN($F$1, DATE(Initialisatie!$C$5,12,31))) - MONTH(MAX($F$2, DATE(Initialisatie!$C$5,1,1))) + 1)) &lt;= 0, IFERROR(VALUE($F45),0)=0),
        AND(MAX(0, IF(MIN($G$1, DATE(Initialisatie!$C$5,12,31)) &lt; MAX($G$2, DATE(Initialisatie!$C$5,1,1)), 0, MONTH(MIN($G$1, DATE(Initialisatie!$C$5,12,31))) - MONTH(MAX($G$2, DATE(Initialisatie!$C$5,1,1))) + 1)) &lt;= 0, IFERROR(VALUE($G45),0)=0),
        AND(MAX(0, IF(MIN($H$1, DATE(Initialisatie!$C$5,12,31)) &lt; MAX($H$2, DATE(Initialisatie!$C$5,1,1)), 0, MONTH(MIN($H$1, DATE(Initialisatie!$C$5,12,31))) - MONTH(MAX($H$2, DATE(Initialisatie!$C$5,1,1))) + 1)) &lt;= 0, IFERROR(VALUE($H45),0)=0),
        AND(MAX(0, IF(MIN($I$1, DATE(Initialisatie!$C$5,12,31)) &lt; MAX($I$2, DATE(Initialisatie!$C$5,1,1)), 0, MONTH(MIN($I$1, DATE(Initialisatie!$C$5,12,31))) - MONTH(MAX($I$2, DATE(Initialisatie!$C$5,1,1))) + 1)) &lt;= 0, IFERROR(VALUE($I45),0)=0)
    ),
    0,
    SUM(
        IFERROR(VALUE($E45),0) * MAX(0, IF(MIN($E$1, DATE(Initialisatie!$C$5,12,31)) &lt; MAX($E$2, DATE(Initialisatie!$C$5,1,1)), 0, MONTH(MIN($E$1, DATE(Initialisatie!$C$5,12,31))) - MONTH(MAX($E$2, DATE(Initialisatie!$C$5,1,1))) + 1)),
        IFERROR(VALUE($F45),0) * MAX(0, IF(MIN($F$1, DATE(Initialisatie!$C$5,12,31)) &lt; MAX($F$2, DATE(Initialisatie!$C$5,1,1)), 0, MONTH(MIN($F$1, DATE(Initialisatie!$C$5,12,31))) - MONTH(MAX($F$2, DATE(Initialisatie!$C$5,1,1))) + 1)),
        IFERROR(VALUE($G45),0) * MAX(0, IF(MIN($G$1, DATE(Initialisatie!$C$5,12,31)) &lt; MAX($G$2, DATE(Initialisatie!$C$5,1,1)), 0, MONTH(MIN($G$1, DATE(Initialisatie!$C$5,12,31))) - MONTH(MAX($G$2, DATE(Initialisatie!$C$5,1,1))) + 1)),
        IFERROR(VALUE($H45),0) * MAX(0, IF(MIN($H$1, DATE(Initialisatie!$C$5,12,31)) &lt; MAX($H$2, DATE(Initialisatie!$C$5,1,1)), 0, MONTH(MIN($H$1, DATE(Initialisatie!$C$5,12,31))) - MONTH(MAX($H$2, DATE(Initialisatie!$C$5,1,1))) + 1)),
        IFERROR(VALUE($I45),0) * MAX(0, IF(MIN($I$1, DATE(Initialisatie!$C$5,12,31)) &lt; MAX($I$2, DATE(Initialisatie!$C$5,1,1)), 0, MONTH(MIN($I$1, DATE(Initialisatie!$C$5,12,31))) - MONTH(MAX($I$2, DATE(Initialisatie!$C$5,1,1))) + 1))
    ) / 12
)</f>
        <v>3396.7100000000005</v>
      </c>
    </row>
    <row r="46" spans="1:12" x14ac:dyDescent="0.45">
      <c r="A46" s="989"/>
      <c r="B46" s="35" t="s">
        <v>89</v>
      </c>
      <c r="C46" s="35">
        <v>8</v>
      </c>
      <c r="D46" s="35" t="s">
        <v>245</v>
      </c>
      <c r="E46">
        <v>3224.38</v>
      </c>
      <c r="F46">
        <v>3264.68</v>
      </c>
      <c r="G46">
        <v>3382.21</v>
      </c>
      <c r="H46">
        <v>3507.35</v>
      </c>
      <c r="I46">
        <v>3626.6</v>
      </c>
      <c r="K46">
        <f>IF(
    OR(
        AND(MAX(0, MIN($E$1, DATE(Initialisatie!$C$5,12,31)) - MAX($E$2, DATE(Initialisatie!$C$5,1,1)) + 1) &gt; 0,IFERROR(VALUE($E46),0)=0),
        AND(MAX(0, MIN($F$1, DATE(Initialisatie!$C$5,12,31)) - MAX($F$2, DATE(Initialisatie!$C$5,1,1)) + 1) &gt; 0,IFERROR(VALUE($F46),0)=0),
        AND(MAX(0, MIN($G$1, DATE(Initialisatie!$C$5,12,31)) - MAX($G$2, DATE(Initialisatie!$C$5,1,1)) + 1) &gt; 0,IFERROR(VALUE($G46),0)=0),
        AND(MAX(0, MIN($H$1, DATE(Initialisatie!$C$5,12,31)) - MAX($H$2, DATE(Initialisatie!$C$5,1,1)) + 1) &gt; 0,IFERROR(VALUE($H46),0)=0),
        AND(MAX(0, MIN($I$1, DATE(Initialisatie!$C$5,12,31)) - MAX($I$2, DATE(Initialisatie!$C$5,1,1)) + 1) &gt; 0,IFERROR(VALUE($I46),0)=0)
    ),
    0,
    SUM(
        IFERROR(VALUE($E46),0) * MAX(0, MIN($E$1, DATE(Initialisatie!$C$5,12,31)) - MAX($E$2, DATE(Initialisatie!$C$5,1,1)) + 1),
        IFERROR(VALUE($F46),0) * MAX(0, MIN($F$1, DATE(Initialisatie!$C$5,12,31)) - MAX($F$2, DATE(Initialisatie!$C$5,1,1)) + 1),
        IFERROR(VALUE($G46),0) * MAX(0, MIN($G$1, DATE(Initialisatie!$C$5,12,31)) - MAX($G$2, DATE(Initialisatie!$C$5,1,1)) + 1),
        IFERROR(VALUE($H46),0) * MAX(0, MIN($H$1, DATE(Initialisatie!$C$5,12,31)) - MAX($H$2, DATE(Initialisatie!$C$5,1,1)) + 1),
        IFERROR(VALUE($I46),0) * MAX(0, MIN($I$1, DATE(Initialisatie!$C$5,12,31)) - MAX($I$2, DATE(Initialisatie!$C$5,1,1)) + 1)
    ) / (DATE(Initialisatie!$C$5,12,31) - DATE(Initialisatie!$C$5,1,1) + 1)
)</f>
        <v>3507.35</v>
      </c>
      <c r="L46">
        <f>IF(
    OR(
        AND(MAX(0, IF(MIN($E$1, DATE(Initialisatie!$C$5,12,31)) &lt; MAX($E$2, DATE(Initialisatie!$C$5,1,1)), 0, MONTH(MIN($E$1, DATE(Initialisatie!$C$5,12,31))) - MONTH(MAX($E$2, DATE(Initialisatie!$C$5,1,1))) + 1)) &lt;= 0, IFERROR(VALUE($E46),0)=0),
        AND(MAX(0, IF(MIN($F$1, DATE(Initialisatie!$C$5,12,31)) &lt; MAX($F$2, DATE(Initialisatie!$C$5,1,1)), 0, MONTH(MIN($F$1, DATE(Initialisatie!$C$5,12,31))) - MONTH(MAX($F$2, DATE(Initialisatie!$C$5,1,1))) + 1)) &lt;= 0, IFERROR(VALUE($F46),0)=0),
        AND(MAX(0, IF(MIN($G$1, DATE(Initialisatie!$C$5,12,31)) &lt; MAX($G$2, DATE(Initialisatie!$C$5,1,1)), 0, MONTH(MIN($G$1, DATE(Initialisatie!$C$5,12,31))) - MONTH(MAX($G$2, DATE(Initialisatie!$C$5,1,1))) + 1)) &lt;= 0, IFERROR(VALUE($G46),0)=0),
        AND(MAX(0, IF(MIN($H$1, DATE(Initialisatie!$C$5,12,31)) &lt; MAX($H$2, DATE(Initialisatie!$C$5,1,1)), 0, MONTH(MIN($H$1, DATE(Initialisatie!$C$5,12,31))) - MONTH(MAX($H$2, DATE(Initialisatie!$C$5,1,1))) + 1)) &lt;= 0, IFERROR(VALUE($H46),0)=0),
        AND(MAX(0, IF(MIN($I$1, DATE(Initialisatie!$C$5,12,31)) &lt; MAX($I$2, DATE(Initialisatie!$C$5,1,1)), 0, MONTH(MIN($I$1, DATE(Initialisatie!$C$5,12,31))) - MONTH(MAX($I$2, DATE(Initialisatie!$C$5,1,1))) + 1)) &lt;= 0, IFERROR(VALUE($I46),0)=0)
    ),
    0,
    SUM(
        IFERROR(VALUE($E46),0) * MAX(0, IF(MIN($E$1, DATE(Initialisatie!$C$5,12,31)) &lt; MAX($E$2, DATE(Initialisatie!$C$5,1,1)), 0, MONTH(MIN($E$1, DATE(Initialisatie!$C$5,12,31))) - MONTH(MAX($E$2, DATE(Initialisatie!$C$5,1,1))) + 1)),
        IFERROR(VALUE($F46),0) * MAX(0, IF(MIN($F$1, DATE(Initialisatie!$C$5,12,31)) &lt; MAX($F$2, DATE(Initialisatie!$C$5,1,1)), 0, MONTH(MIN($F$1, DATE(Initialisatie!$C$5,12,31))) - MONTH(MAX($F$2, DATE(Initialisatie!$C$5,1,1))) + 1)),
        IFERROR(VALUE($G46),0) * MAX(0, IF(MIN($G$1, DATE(Initialisatie!$C$5,12,31)) &lt; MAX($G$2, DATE(Initialisatie!$C$5,1,1)), 0, MONTH(MIN($G$1, DATE(Initialisatie!$C$5,12,31))) - MONTH(MAX($G$2, DATE(Initialisatie!$C$5,1,1))) + 1)),
        IFERROR(VALUE($H46),0) * MAX(0, IF(MIN($H$1, DATE(Initialisatie!$C$5,12,31)) &lt; MAX($H$2, DATE(Initialisatie!$C$5,1,1)), 0, MONTH(MIN($H$1, DATE(Initialisatie!$C$5,12,31))) - MONTH(MAX($H$2, DATE(Initialisatie!$C$5,1,1))) + 1)),
        IFERROR(VALUE($I46),0) * MAX(0, IF(MIN($I$1, DATE(Initialisatie!$C$5,12,31)) &lt; MAX($I$2, DATE(Initialisatie!$C$5,1,1)), 0, MONTH(MIN($I$1, DATE(Initialisatie!$C$5,12,31))) - MONTH(MAX($I$2, DATE(Initialisatie!$C$5,1,1))) + 1))
    ) / 12
)</f>
        <v>3507.35</v>
      </c>
    </row>
    <row r="47" spans="1:12" x14ac:dyDescent="0.45">
      <c r="A47" s="989"/>
      <c r="B47" s="35" t="s">
        <v>87</v>
      </c>
      <c r="C47" s="35">
        <v>9</v>
      </c>
      <c r="D47" s="35" t="s">
        <v>244</v>
      </c>
      <c r="E47">
        <v>3328.97</v>
      </c>
      <c r="F47">
        <v>3370.58</v>
      </c>
      <c r="G47">
        <v>3491.92</v>
      </c>
      <c r="H47">
        <v>3621.12</v>
      </c>
      <c r="I47">
        <v>3744.24</v>
      </c>
      <c r="K47">
        <f>IF(
    OR(
        AND(MAX(0, MIN($E$1, DATE(Initialisatie!$C$5,12,31)) - MAX($E$2, DATE(Initialisatie!$C$5,1,1)) + 1) &gt; 0,IFERROR(VALUE($E47),0)=0),
        AND(MAX(0, MIN($F$1, DATE(Initialisatie!$C$5,12,31)) - MAX($F$2, DATE(Initialisatie!$C$5,1,1)) + 1) &gt; 0,IFERROR(VALUE($F47),0)=0),
        AND(MAX(0, MIN($G$1, DATE(Initialisatie!$C$5,12,31)) - MAX($G$2, DATE(Initialisatie!$C$5,1,1)) + 1) &gt; 0,IFERROR(VALUE($G47),0)=0),
        AND(MAX(0, MIN($H$1, DATE(Initialisatie!$C$5,12,31)) - MAX($H$2, DATE(Initialisatie!$C$5,1,1)) + 1) &gt; 0,IFERROR(VALUE($H47),0)=0),
        AND(MAX(0, MIN($I$1, DATE(Initialisatie!$C$5,12,31)) - MAX($I$2, DATE(Initialisatie!$C$5,1,1)) + 1) &gt; 0,IFERROR(VALUE($I47),0)=0)
    ),
    0,
    SUM(
        IFERROR(VALUE($E47),0) * MAX(0, MIN($E$1, DATE(Initialisatie!$C$5,12,31)) - MAX($E$2, DATE(Initialisatie!$C$5,1,1)) + 1),
        IFERROR(VALUE($F47),0) * MAX(0, MIN($F$1, DATE(Initialisatie!$C$5,12,31)) - MAX($F$2, DATE(Initialisatie!$C$5,1,1)) + 1),
        IFERROR(VALUE($G47),0) * MAX(0, MIN($G$1, DATE(Initialisatie!$C$5,12,31)) - MAX($G$2, DATE(Initialisatie!$C$5,1,1)) + 1),
        IFERROR(VALUE($H47),0) * MAX(0, MIN($H$1, DATE(Initialisatie!$C$5,12,31)) - MAX($H$2, DATE(Initialisatie!$C$5,1,1)) + 1),
        IFERROR(VALUE($I47),0) * MAX(0, MIN($I$1, DATE(Initialisatie!$C$5,12,31)) - MAX($I$2, DATE(Initialisatie!$C$5,1,1)) + 1)
    ) / (DATE(Initialisatie!$C$5,12,31) - DATE(Initialisatie!$C$5,1,1) + 1)
)</f>
        <v>3621.1200000000003</v>
      </c>
      <c r="L47">
        <f>IF(
    OR(
        AND(MAX(0, IF(MIN($E$1, DATE(Initialisatie!$C$5,12,31)) &lt; MAX($E$2, DATE(Initialisatie!$C$5,1,1)), 0, MONTH(MIN($E$1, DATE(Initialisatie!$C$5,12,31))) - MONTH(MAX($E$2, DATE(Initialisatie!$C$5,1,1))) + 1)) &lt;= 0, IFERROR(VALUE($E47),0)=0),
        AND(MAX(0, IF(MIN($F$1, DATE(Initialisatie!$C$5,12,31)) &lt; MAX($F$2, DATE(Initialisatie!$C$5,1,1)), 0, MONTH(MIN($F$1, DATE(Initialisatie!$C$5,12,31))) - MONTH(MAX($F$2, DATE(Initialisatie!$C$5,1,1))) + 1)) &lt;= 0, IFERROR(VALUE($F47),0)=0),
        AND(MAX(0, IF(MIN($G$1, DATE(Initialisatie!$C$5,12,31)) &lt; MAX($G$2, DATE(Initialisatie!$C$5,1,1)), 0, MONTH(MIN($G$1, DATE(Initialisatie!$C$5,12,31))) - MONTH(MAX($G$2, DATE(Initialisatie!$C$5,1,1))) + 1)) &lt;= 0, IFERROR(VALUE($G47),0)=0),
        AND(MAX(0, IF(MIN($H$1, DATE(Initialisatie!$C$5,12,31)) &lt; MAX($H$2, DATE(Initialisatie!$C$5,1,1)), 0, MONTH(MIN($H$1, DATE(Initialisatie!$C$5,12,31))) - MONTH(MAX($H$2, DATE(Initialisatie!$C$5,1,1))) + 1)) &lt;= 0, IFERROR(VALUE($H47),0)=0),
        AND(MAX(0, IF(MIN($I$1, DATE(Initialisatie!$C$5,12,31)) &lt; MAX($I$2, DATE(Initialisatie!$C$5,1,1)), 0, MONTH(MIN($I$1, DATE(Initialisatie!$C$5,12,31))) - MONTH(MAX($I$2, DATE(Initialisatie!$C$5,1,1))) + 1)) &lt;= 0, IFERROR(VALUE($I47),0)=0)
    ),
    0,
    SUM(
        IFERROR(VALUE($E47),0) * MAX(0, IF(MIN($E$1, DATE(Initialisatie!$C$5,12,31)) &lt; MAX($E$2, DATE(Initialisatie!$C$5,1,1)), 0, MONTH(MIN($E$1, DATE(Initialisatie!$C$5,12,31))) - MONTH(MAX($E$2, DATE(Initialisatie!$C$5,1,1))) + 1)),
        IFERROR(VALUE($F47),0) * MAX(0, IF(MIN($F$1, DATE(Initialisatie!$C$5,12,31)) &lt; MAX($F$2, DATE(Initialisatie!$C$5,1,1)), 0, MONTH(MIN($F$1, DATE(Initialisatie!$C$5,12,31))) - MONTH(MAX($F$2, DATE(Initialisatie!$C$5,1,1))) + 1)),
        IFERROR(VALUE($G47),0) * MAX(0, IF(MIN($G$1, DATE(Initialisatie!$C$5,12,31)) &lt; MAX($G$2, DATE(Initialisatie!$C$5,1,1)), 0, MONTH(MIN($G$1, DATE(Initialisatie!$C$5,12,31))) - MONTH(MAX($G$2, DATE(Initialisatie!$C$5,1,1))) + 1)),
        IFERROR(VALUE($H47),0) * MAX(0, IF(MIN($H$1, DATE(Initialisatie!$C$5,12,31)) &lt; MAX($H$2, DATE(Initialisatie!$C$5,1,1)), 0, MONTH(MIN($H$1, DATE(Initialisatie!$C$5,12,31))) - MONTH(MAX($H$2, DATE(Initialisatie!$C$5,1,1))) + 1)),
        IFERROR(VALUE($I47),0) * MAX(0, IF(MIN($I$1, DATE(Initialisatie!$C$5,12,31)) &lt; MAX($I$2, DATE(Initialisatie!$C$5,1,1)), 0, MONTH(MIN($I$1, DATE(Initialisatie!$C$5,12,31))) - MONTH(MAX($I$2, DATE(Initialisatie!$C$5,1,1))) + 1))
    ) / 12
)</f>
        <v>3621.1200000000003</v>
      </c>
    </row>
    <row r="48" spans="1:12" x14ac:dyDescent="0.45">
      <c r="A48" s="989"/>
      <c r="B48" s="35" t="s">
        <v>109</v>
      </c>
      <c r="C48" s="35">
        <v>10</v>
      </c>
      <c r="D48" s="35" t="s">
        <v>255</v>
      </c>
      <c r="E48">
        <v>3437.24</v>
      </c>
      <c r="F48">
        <v>3480.21</v>
      </c>
      <c r="G48">
        <v>3605.49</v>
      </c>
      <c r="H48">
        <v>3738.9</v>
      </c>
      <c r="I48">
        <v>3866.02</v>
      </c>
      <c r="K48">
        <f>IF(
    OR(
        AND(MAX(0, MIN($E$1, DATE(Initialisatie!$C$5,12,31)) - MAX($E$2, DATE(Initialisatie!$C$5,1,1)) + 1) &gt; 0,IFERROR(VALUE($E48),0)=0),
        AND(MAX(0, MIN($F$1, DATE(Initialisatie!$C$5,12,31)) - MAX($F$2, DATE(Initialisatie!$C$5,1,1)) + 1) &gt; 0,IFERROR(VALUE($F48),0)=0),
        AND(MAX(0, MIN($G$1, DATE(Initialisatie!$C$5,12,31)) - MAX($G$2, DATE(Initialisatie!$C$5,1,1)) + 1) &gt; 0,IFERROR(VALUE($G48),0)=0),
        AND(MAX(0, MIN($H$1, DATE(Initialisatie!$C$5,12,31)) - MAX($H$2, DATE(Initialisatie!$C$5,1,1)) + 1) &gt; 0,IFERROR(VALUE($H48),0)=0),
        AND(MAX(0, MIN($I$1, DATE(Initialisatie!$C$5,12,31)) - MAX($I$2, DATE(Initialisatie!$C$5,1,1)) + 1) &gt; 0,IFERROR(VALUE($I48),0)=0)
    ),
    0,
    SUM(
        IFERROR(VALUE($E48),0) * MAX(0, MIN($E$1, DATE(Initialisatie!$C$5,12,31)) - MAX($E$2, DATE(Initialisatie!$C$5,1,1)) + 1),
        IFERROR(VALUE($F48),0) * MAX(0, MIN($F$1, DATE(Initialisatie!$C$5,12,31)) - MAX($F$2, DATE(Initialisatie!$C$5,1,1)) + 1),
        IFERROR(VALUE($G48),0) * MAX(0, MIN($G$1, DATE(Initialisatie!$C$5,12,31)) - MAX($G$2, DATE(Initialisatie!$C$5,1,1)) + 1),
        IFERROR(VALUE($H48),0) * MAX(0, MIN($H$1, DATE(Initialisatie!$C$5,12,31)) - MAX($H$2, DATE(Initialisatie!$C$5,1,1)) + 1),
        IFERROR(VALUE($I48),0) * MAX(0, MIN($I$1, DATE(Initialisatie!$C$5,12,31)) - MAX($I$2, DATE(Initialisatie!$C$5,1,1)) + 1)
    ) / (DATE(Initialisatie!$C$5,12,31) - DATE(Initialisatie!$C$5,1,1) + 1)
)</f>
        <v>3738.9</v>
      </c>
      <c r="L48">
        <f>IF(
    OR(
        AND(MAX(0, IF(MIN($E$1, DATE(Initialisatie!$C$5,12,31)) &lt; MAX($E$2, DATE(Initialisatie!$C$5,1,1)), 0, MONTH(MIN($E$1, DATE(Initialisatie!$C$5,12,31))) - MONTH(MAX($E$2, DATE(Initialisatie!$C$5,1,1))) + 1)) &lt;= 0, IFERROR(VALUE($E48),0)=0),
        AND(MAX(0, IF(MIN($F$1, DATE(Initialisatie!$C$5,12,31)) &lt; MAX($F$2, DATE(Initialisatie!$C$5,1,1)), 0, MONTH(MIN($F$1, DATE(Initialisatie!$C$5,12,31))) - MONTH(MAX($F$2, DATE(Initialisatie!$C$5,1,1))) + 1)) &lt;= 0, IFERROR(VALUE($F48),0)=0),
        AND(MAX(0, IF(MIN($G$1, DATE(Initialisatie!$C$5,12,31)) &lt; MAX($G$2, DATE(Initialisatie!$C$5,1,1)), 0, MONTH(MIN($G$1, DATE(Initialisatie!$C$5,12,31))) - MONTH(MAX($G$2, DATE(Initialisatie!$C$5,1,1))) + 1)) &lt;= 0, IFERROR(VALUE($G48),0)=0),
        AND(MAX(0, IF(MIN($H$1, DATE(Initialisatie!$C$5,12,31)) &lt; MAX($H$2, DATE(Initialisatie!$C$5,1,1)), 0, MONTH(MIN($H$1, DATE(Initialisatie!$C$5,12,31))) - MONTH(MAX($H$2, DATE(Initialisatie!$C$5,1,1))) + 1)) &lt;= 0, IFERROR(VALUE($H48),0)=0),
        AND(MAX(0, IF(MIN($I$1, DATE(Initialisatie!$C$5,12,31)) &lt; MAX($I$2, DATE(Initialisatie!$C$5,1,1)), 0, MONTH(MIN($I$1, DATE(Initialisatie!$C$5,12,31))) - MONTH(MAX($I$2, DATE(Initialisatie!$C$5,1,1))) + 1)) &lt;= 0, IFERROR(VALUE($I48),0)=0)
    ),
    0,
    SUM(
        IFERROR(VALUE($E48),0) * MAX(0, IF(MIN($E$1, DATE(Initialisatie!$C$5,12,31)) &lt; MAX($E$2, DATE(Initialisatie!$C$5,1,1)), 0, MONTH(MIN($E$1, DATE(Initialisatie!$C$5,12,31))) - MONTH(MAX($E$2, DATE(Initialisatie!$C$5,1,1))) + 1)),
        IFERROR(VALUE($F48),0) * MAX(0, IF(MIN($F$1, DATE(Initialisatie!$C$5,12,31)) &lt; MAX($F$2, DATE(Initialisatie!$C$5,1,1)), 0, MONTH(MIN($F$1, DATE(Initialisatie!$C$5,12,31))) - MONTH(MAX($F$2, DATE(Initialisatie!$C$5,1,1))) + 1)),
        IFERROR(VALUE($G48),0) * MAX(0, IF(MIN($G$1, DATE(Initialisatie!$C$5,12,31)) &lt; MAX($G$2, DATE(Initialisatie!$C$5,1,1)), 0, MONTH(MIN($G$1, DATE(Initialisatie!$C$5,12,31))) - MONTH(MAX($G$2, DATE(Initialisatie!$C$5,1,1))) + 1)),
        IFERROR(VALUE($H48),0) * MAX(0, IF(MIN($H$1, DATE(Initialisatie!$C$5,12,31)) &lt; MAX($H$2, DATE(Initialisatie!$C$5,1,1)), 0, MONTH(MIN($H$1, DATE(Initialisatie!$C$5,12,31))) - MONTH(MAX($H$2, DATE(Initialisatie!$C$5,1,1))) + 1)),
        IFERROR(VALUE($I48),0) * MAX(0, IF(MIN($I$1, DATE(Initialisatie!$C$5,12,31)) &lt; MAX($I$2, DATE(Initialisatie!$C$5,1,1)), 0, MONTH(MIN($I$1, DATE(Initialisatie!$C$5,12,31))) - MONTH(MAX($I$2, DATE(Initialisatie!$C$5,1,1))) + 1))
    ) / 12
)</f>
        <v>3738.9</v>
      </c>
    </row>
    <row r="49" spans="1:12" x14ac:dyDescent="0.45">
      <c r="A49" s="989"/>
      <c r="B49" s="35" t="s">
        <v>107</v>
      </c>
      <c r="C49" s="35">
        <v>11</v>
      </c>
      <c r="D49" s="35" t="s">
        <v>254</v>
      </c>
      <c r="E49">
        <v>3549.15</v>
      </c>
      <c r="F49">
        <v>3593.51</v>
      </c>
      <c r="G49">
        <v>3722.88</v>
      </c>
      <c r="H49">
        <v>3860.63</v>
      </c>
      <c r="I49">
        <v>3991.89</v>
      </c>
      <c r="K49">
        <f>IF(
    OR(
        AND(MAX(0, MIN($E$1, DATE(Initialisatie!$C$5,12,31)) - MAX($E$2, DATE(Initialisatie!$C$5,1,1)) + 1) &gt; 0,IFERROR(VALUE($E49),0)=0),
        AND(MAX(0, MIN($F$1, DATE(Initialisatie!$C$5,12,31)) - MAX($F$2, DATE(Initialisatie!$C$5,1,1)) + 1) &gt; 0,IFERROR(VALUE($F49),0)=0),
        AND(MAX(0, MIN($G$1, DATE(Initialisatie!$C$5,12,31)) - MAX($G$2, DATE(Initialisatie!$C$5,1,1)) + 1) &gt; 0,IFERROR(VALUE($G49),0)=0),
        AND(MAX(0, MIN($H$1, DATE(Initialisatie!$C$5,12,31)) - MAX($H$2, DATE(Initialisatie!$C$5,1,1)) + 1) &gt; 0,IFERROR(VALUE($H49),0)=0),
        AND(MAX(0, MIN($I$1, DATE(Initialisatie!$C$5,12,31)) - MAX($I$2, DATE(Initialisatie!$C$5,1,1)) + 1) &gt; 0,IFERROR(VALUE($I49),0)=0)
    ),
    0,
    SUM(
        IFERROR(VALUE($E49),0) * MAX(0, MIN($E$1, DATE(Initialisatie!$C$5,12,31)) - MAX($E$2, DATE(Initialisatie!$C$5,1,1)) + 1),
        IFERROR(VALUE($F49),0) * MAX(0, MIN($F$1, DATE(Initialisatie!$C$5,12,31)) - MAX($F$2, DATE(Initialisatie!$C$5,1,1)) + 1),
        IFERROR(VALUE($G49),0) * MAX(0, MIN($G$1, DATE(Initialisatie!$C$5,12,31)) - MAX($G$2, DATE(Initialisatie!$C$5,1,1)) + 1),
        IFERROR(VALUE($H49),0) * MAX(0, MIN($H$1, DATE(Initialisatie!$C$5,12,31)) - MAX($H$2, DATE(Initialisatie!$C$5,1,1)) + 1),
        IFERROR(VALUE($I49),0) * MAX(0, MIN($I$1, DATE(Initialisatie!$C$5,12,31)) - MAX($I$2, DATE(Initialisatie!$C$5,1,1)) + 1)
    ) / (DATE(Initialisatie!$C$5,12,31) - DATE(Initialisatie!$C$5,1,1) + 1)
)</f>
        <v>3860.6299999999997</v>
      </c>
      <c r="L49">
        <f>IF(
    OR(
        AND(MAX(0, IF(MIN($E$1, DATE(Initialisatie!$C$5,12,31)) &lt; MAX($E$2, DATE(Initialisatie!$C$5,1,1)), 0, MONTH(MIN($E$1, DATE(Initialisatie!$C$5,12,31))) - MONTH(MAX($E$2, DATE(Initialisatie!$C$5,1,1))) + 1)) &lt;= 0, IFERROR(VALUE($E49),0)=0),
        AND(MAX(0, IF(MIN($F$1, DATE(Initialisatie!$C$5,12,31)) &lt; MAX($F$2, DATE(Initialisatie!$C$5,1,1)), 0, MONTH(MIN($F$1, DATE(Initialisatie!$C$5,12,31))) - MONTH(MAX($F$2, DATE(Initialisatie!$C$5,1,1))) + 1)) &lt;= 0, IFERROR(VALUE($F49),0)=0),
        AND(MAX(0, IF(MIN($G$1, DATE(Initialisatie!$C$5,12,31)) &lt; MAX($G$2, DATE(Initialisatie!$C$5,1,1)), 0, MONTH(MIN($G$1, DATE(Initialisatie!$C$5,12,31))) - MONTH(MAX($G$2, DATE(Initialisatie!$C$5,1,1))) + 1)) &lt;= 0, IFERROR(VALUE($G49),0)=0),
        AND(MAX(0, IF(MIN($H$1, DATE(Initialisatie!$C$5,12,31)) &lt; MAX($H$2, DATE(Initialisatie!$C$5,1,1)), 0, MONTH(MIN($H$1, DATE(Initialisatie!$C$5,12,31))) - MONTH(MAX($H$2, DATE(Initialisatie!$C$5,1,1))) + 1)) &lt;= 0, IFERROR(VALUE($H49),0)=0),
        AND(MAX(0, IF(MIN($I$1, DATE(Initialisatie!$C$5,12,31)) &lt; MAX($I$2, DATE(Initialisatie!$C$5,1,1)), 0, MONTH(MIN($I$1, DATE(Initialisatie!$C$5,12,31))) - MONTH(MAX($I$2, DATE(Initialisatie!$C$5,1,1))) + 1)) &lt;= 0, IFERROR(VALUE($I49),0)=0)
    ),
    0,
    SUM(
        IFERROR(VALUE($E49),0) * MAX(0, IF(MIN($E$1, DATE(Initialisatie!$C$5,12,31)) &lt; MAX($E$2, DATE(Initialisatie!$C$5,1,1)), 0, MONTH(MIN($E$1, DATE(Initialisatie!$C$5,12,31))) - MONTH(MAX($E$2, DATE(Initialisatie!$C$5,1,1))) + 1)),
        IFERROR(VALUE($F49),0) * MAX(0, IF(MIN($F$1, DATE(Initialisatie!$C$5,12,31)) &lt; MAX($F$2, DATE(Initialisatie!$C$5,1,1)), 0, MONTH(MIN($F$1, DATE(Initialisatie!$C$5,12,31))) - MONTH(MAX($F$2, DATE(Initialisatie!$C$5,1,1))) + 1)),
        IFERROR(VALUE($G49),0) * MAX(0, IF(MIN($G$1, DATE(Initialisatie!$C$5,12,31)) &lt; MAX($G$2, DATE(Initialisatie!$C$5,1,1)), 0, MONTH(MIN($G$1, DATE(Initialisatie!$C$5,12,31))) - MONTH(MAX($G$2, DATE(Initialisatie!$C$5,1,1))) + 1)),
        IFERROR(VALUE($H49),0) * MAX(0, IF(MIN($H$1, DATE(Initialisatie!$C$5,12,31)) &lt; MAX($H$2, DATE(Initialisatie!$C$5,1,1)), 0, MONTH(MIN($H$1, DATE(Initialisatie!$C$5,12,31))) - MONTH(MAX($H$2, DATE(Initialisatie!$C$5,1,1))) + 1)),
        IFERROR(VALUE($I49),0) * MAX(0, IF(MIN($I$1, DATE(Initialisatie!$C$5,12,31)) &lt; MAX($I$2, DATE(Initialisatie!$C$5,1,1)), 0, MONTH(MIN($I$1, DATE(Initialisatie!$C$5,12,31))) - MONTH(MAX($I$2, DATE(Initialisatie!$C$5,1,1))) + 1))
    ) / 12
)</f>
        <v>3860.6299999999997</v>
      </c>
    </row>
    <row r="50" spans="1:12" x14ac:dyDescent="0.45">
      <c r="A50" s="989"/>
      <c r="B50" s="35" t="s">
        <v>105</v>
      </c>
      <c r="C50" s="35">
        <v>12</v>
      </c>
      <c r="D50" s="35" t="s">
        <v>253</v>
      </c>
      <c r="E50">
        <v>0</v>
      </c>
      <c r="F50">
        <v>0</v>
      </c>
      <c r="G50">
        <v>0</v>
      </c>
      <c r="H50">
        <v>0</v>
      </c>
      <c r="I50">
        <v>0</v>
      </c>
      <c r="K50">
        <f>IF(
    OR(
        AND(MAX(0, MIN($E$1, DATE(Initialisatie!$C$5,12,31)) - MAX($E$2, DATE(Initialisatie!$C$5,1,1)) + 1) &gt; 0,IFERROR(VALUE($E50),0)=0),
        AND(MAX(0, MIN($F$1, DATE(Initialisatie!$C$5,12,31)) - MAX($F$2, DATE(Initialisatie!$C$5,1,1)) + 1) &gt; 0,IFERROR(VALUE($F50),0)=0),
        AND(MAX(0, MIN($G$1, DATE(Initialisatie!$C$5,12,31)) - MAX($G$2, DATE(Initialisatie!$C$5,1,1)) + 1) &gt; 0,IFERROR(VALUE($G50),0)=0),
        AND(MAX(0, MIN($H$1, DATE(Initialisatie!$C$5,12,31)) - MAX($H$2, DATE(Initialisatie!$C$5,1,1)) + 1) &gt; 0,IFERROR(VALUE($H50),0)=0),
        AND(MAX(0, MIN($I$1, DATE(Initialisatie!$C$5,12,31)) - MAX($I$2, DATE(Initialisatie!$C$5,1,1)) + 1) &gt; 0,IFERROR(VALUE($I50),0)=0)
    ),
    0,
    SUM(
        IFERROR(VALUE($E50),0) * MAX(0, MIN($E$1, DATE(Initialisatie!$C$5,12,31)) - MAX($E$2, DATE(Initialisatie!$C$5,1,1)) + 1),
        IFERROR(VALUE($F50),0) * MAX(0, MIN($F$1, DATE(Initialisatie!$C$5,12,31)) - MAX($F$2, DATE(Initialisatie!$C$5,1,1)) + 1),
        IFERROR(VALUE($G50),0) * MAX(0, MIN($G$1, DATE(Initialisatie!$C$5,12,31)) - MAX($G$2, DATE(Initialisatie!$C$5,1,1)) + 1),
        IFERROR(VALUE($H50),0) * MAX(0, MIN($H$1, DATE(Initialisatie!$C$5,12,31)) - MAX($H$2, DATE(Initialisatie!$C$5,1,1)) + 1),
        IFERROR(VALUE($I50),0) * MAX(0, MIN($I$1, DATE(Initialisatie!$C$5,12,31)) - MAX($I$2, DATE(Initialisatie!$C$5,1,1)) + 1)
    ) / (DATE(Initialisatie!$C$5,12,31) - DATE(Initialisatie!$C$5,1,1) + 1)
)</f>
        <v>0</v>
      </c>
      <c r="L50">
        <f>IF(
    OR(
        AND(MAX(0, IF(MIN($E$1, DATE(Initialisatie!$C$5,12,31)) &lt; MAX($E$2, DATE(Initialisatie!$C$5,1,1)), 0, MONTH(MIN($E$1, DATE(Initialisatie!$C$5,12,31))) - MONTH(MAX($E$2, DATE(Initialisatie!$C$5,1,1))) + 1)) &lt;= 0, IFERROR(VALUE($E50),0)=0),
        AND(MAX(0, IF(MIN($F$1, DATE(Initialisatie!$C$5,12,31)) &lt; MAX($F$2, DATE(Initialisatie!$C$5,1,1)), 0, MONTH(MIN($F$1, DATE(Initialisatie!$C$5,12,31))) - MONTH(MAX($F$2, DATE(Initialisatie!$C$5,1,1))) + 1)) &lt;= 0, IFERROR(VALUE($F50),0)=0),
        AND(MAX(0, IF(MIN($G$1, DATE(Initialisatie!$C$5,12,31)) &lt; MAX($G$2, DATE(Initialisatie!$C$5,1,1)), 0, MONTH(MIN($G$1, DATE(Initialisatie!$C$5,12,31))) - MONTH(MAX($G$2, DATE(Initialisatie!$C$5,1,1))) + 1)) &lt;= 0, IFERROR(VALUE($G50),0)=0),
        AND(MAX(0, IF(MIN($H$1, DATE(Initialisatie!$C$5,12,31)) &lt; MAX($H$2, DATE(Initialisatie!$C$5,1,1)), 0, MONTH(MIN($H$1, DATE(Initialisatie!$C$5,12,31))) - MONTH(MAX($H$2, DATE(Initialisatie!$C$5,1,1))) + 1)) &lt;= 0, IFERROR(VALUE($H50),0)=0),
        AND(MAX(0, IF(MIN($I$1, DATE(Initialisatie!$C$5,12,31)) &lt; MAX($I$2, DATE(Initialisatie!$C$5,1,1)), 0, MONTH(MIN($I$1, DATE(Initialisatie!$C$5,12,31))) - MONTH(MAX($I$2, DATE(Initialisatie!$C$5,1,1))) + 1)) &lt;= 0, IFERROR(VALUE($I50),0)=0)
    ),
    0,
    SUM(
        IFERROR(VALUE($E50),0) * MAX(0, IF(MIN($E$1, DATE(Initialisatie!$C$5,12,31)) &lt; MAX($E$2, DATE(Initialisatie!$C$5,1,1)), 0, MONTH(MIN($E$1, DATE(Initialisatie!$C$5,12,31))) - MONTH(MAX($E$2, DATE(Initialisatie!$C$5,1,1))) + 1)),
        IFERROR(VALUE($F50),0) * MAX(0, IF(MIN($F$1, DATE(Initialisatie!$C$5,12,31)) &lt; MAX($F$2, DATE(Initialisatie!$C$5,1,1)), 0, MONTH(MIN($F$1, DATE(Initialisatie!$C$5,12,31))) - MONTH(MAX($F$2, DATE(Initialisatie!$C$5,1,1))) + 1)),
        IFERROR(VALUE($G50),0) * MAX(0, IF(MIN($G$1, DATE(Initialisatie!$C$5,12,31)) &lt; MAX($G$2, DATE(Initialisatie!$C$5,1,1)), 0, MONTH(MIN($G$1, DATE(Initialisatie!$C$5,12,31))) - MONTH(MAX($G$2, DATE(Initialisatie!$C$5,1,1))) + 1)),
        IFERROR(VALUE($H50),0) * MAX(0, IF(MIN($H$1, DATE(Initialisatie!$C$5,12,31)) &lt; MAX($H$2, DATE(Initialisatie!$C$5,1,1)), 0, MONTH(MIN($H$1, DATE(Initialisatie!$C$5,12,31))) - MONTH(MAX($H$2, DATE(Initialisatie!$C$5,1,1))) + 1)),
        IFERROR(VALUE($I50),0) * MAX(0, IF(MIN($I$1, DATE(Initialisatie!$C$5,12,31)) &lt; MAX($I$2, DATE(Initialisatie!$C$5,1,1)), 0, MONTH(MIN($I$1, DATE(Initialisatie!$C$5,12,31))) - MONTH(MAX($I$2, DATE(Initialisatie!$C$5,1,1))) + 1))
    ) / 12
)</f>
        <v>0</v>
      </c>
    </row>
    <row r="51" spans="1:12" x14ac:dyDescent="0.45">
      <c r="A51" s="989"/>
      <c r="B51" s="35" t="s">
        <v>103</v>
      </c>
      <c r="C51" s="35">
        <v>13</v>
      </c>
      <c r="D51" s="35" t="s">
        <v>252</v>
      </c>
      <c r="E51">
        <v>0</v>
      </c>
      <c r="F51">
        <v>0</v>
      </c>
      <c r="G51">
        <v>0</v>
      </c>
      <c r="H51">
        <v>0</v>
      </c>
      <c r="I51">
        <v>0</v>
      </c>
      <c r="K51">
        <f>IF(
    OR(
        AND(MAX(0, MIN($E$1, DATE(Initialisatie!$C$5,12,31)) - MAX($E$2, DATE(Initialisatie!$C$5,1,1)) + 1) &gt; 0,IFERROR(VALUE($E51),0)=0),
        AND(MAX(0, MIN($F$1, DATE(Initialisatie!$C$5,12,31)) - MAX($F$2, DATE(Initialisatie!$C$5,1,1)) + 1) &gt; 0,IFERROR(VALUE($F51),0)=0),
        AND(MAX(0, MIN($G$1, DATE(Initialisatie!$C$5,12,31)) - MAX($G$2, DATE(Initialisatie!$C$5,1,1)) + 1) &gt; 0,IFERROR(VALUE($G51),0)=0),
        AND(MAX(0, MIN($H$1, DATE(Initialisatie!$C$5,12,31)) - MAX($H$2, DATE(Initialisatie!$C$5,1,1)) + 1) &gt; 0,IFERROR(VALUE($H51),0)=0),
        AND(MAX(0, MIN($I$1, DATE(Initialisatie!$C$5,12,31)) - MAX($I$2, DATE(Initialisatie!$C$5,1,1)) + 1) &gt; 0,IFERROR(VALUE($I51),0)=0)
    ),
    0,
    SUM(
        IFERROR(VALUE($E51),0) * MAX(0, MIN($E$1, DATE(Initialisatie!$C$5,12,31)) - MAX($E$2, DATE(Initialisatie!$C$5,1,1)) + 1),
        IFERROR(VALUE($F51),0) * MAX(0, MIN($F$1, DATE(Initialisatie!$C$5,12,31)) - MAX($F$2, DATE(Initialisatie!$C$5,1,1)) + 1),
        IFERROR(VALUE($G51),0) * MAX(0, MIN($G$1, DATE(Initialisatie!$C$5,12,31)) - MAX($G$2, DATE(Initialisatie!$C$5,1,1)) + 1),
        IFERROR(VALUE($H51),0) * MAX(0, MIN($H$1, DATE(Initialisatie!$C$5,12,31)) - MAX($H$2, DATE(Initialisatie!$C$5,1,1)) + 1),
        IFERROR(VALUE($I51),0) * MAX(0, MIN($I$1, DATE(Initialisatie!$C$5,12,31)) - MAX($I$2, DATE(Initialisatie!$C$5,1,1)) + 1)
    ) / (DATE(Initialisatie!$C$5,12,31) - DATE(Initialisatie!$C$5,1,1) + 1)
)</f>
        <v>0</v>
      </c>
      <c r="L51">
        <f>IF(
    OR(
        AND(MAX(0, IF(MIN($E$1, DATE(Initialisatie!$C$5,12,31)) &lt; MAX($E$2, DATE(Initialisatie!$C$5,1,1)), 0, MONTH(MIN($E$1, DATE(Initialisatie!$C$5,12,31))) - MONTH(MAX($E$2, DATE(Initialisatie!$C$5,1,1))) + 1)) &lt;= 0, IFERROR(VALUE($E51),0)=0),
        AND(MAX(0, IF(MIN($F$1, DATE(Initialisatie!$C$5,12,31)) &lt; MAX($F$2, DATE(Initialisatie!$C$5,1,1)), 0, MONTH(MIN($F$1, DATE(Initialisatie!$C$5,12,31))) - MONTH(MAX($F$2, DATE(Initialisatie!$C$5,1,1))) + 1)) &lt;= 0, IFERROR(VALUE($F51),0)=0),
        AND(MAX(0, IF(MIN($G$1, DATE(Initialisatie!$C$5,12,31)) &lt; MAX($G$2, DATE(Initialisatie!$C$5,1,1)), 0, MONTH(MIN($G$1, DATE(Initialisatie!$C$5,12,31))) - MONTH(MAX($G$2, DATE(Initialisatie!$C$5,1,1))) + 1)) &lt;= 0, IFERROR(VALUE($G51),0)=0),
        AND(MAX(0, IF(MIN($H$1, DATE(Initialisatie!$C$5,12,31)) &lt; MAX($H$2, DATE(Initialisatie!$C$5,1,1)), 0, MONTH(MIN($H$1, DATE(Initialisatie!$C$5,12,31))) - MONTH(MAX($H$2, DATE(Initialisatie!$C$5,1,1))) + 1)) &lt;= 0, IFERROR(VALUE($H51),0)=0),
        AND(MAX(0, IF(MIN($I$1, DATE(Initialisatie!$C$5,12,31)) &lt; MAX($I$2, DATE(Initialisatie!$C$5,1,1)), 0, MONTH(MIN($I$1, DATE(Initialisatie!$C$5,12,31))) - MONTH(MAX($I$2, DATE(Initialisatie!$C$5,1,1))) + 1)) &lt;= 0, IFERROR(VALUE($I51),0)=0)
    ),
    0,
    SUM(
        IFERROR(VALUE($E51),0) * MAX(0, IF(MIN($E$1, DATE(Initialisatie!$C$5,12,31)) &lt; MAX($E$2, DATE(Initialisatie!$C$5,1,1)), 0, MONTH(MIN($E$1, DATE(Initialisatie!$C$5,12,31))) - MONTH(MAX($E$2, DATE(Initialisatie!$C$5,1,1))) + 1)),
        IFERROR(VALUE($F51),0) * MAX(0, IF(MIN($F$1, DATE(Initialisatie!$C$5,12,31)) &lt; MAX($F$2, DATE(Initialisatie!$C$5,1,1)), 0, MONTH(MIN($F$1, DATE(Initialisatie!$C$5,12,31))) - MONTH(MAX($F$2, DATE(Initialisatie!$C$5,1,1))) + 1)),
        IFERROR(VALUE($G51),0) * MAX(0, IF(MIN($G$1, DATE(Initialisatie!$C$5,12,31)) &lt; MAX($G$2, DATE(Initialisatie!$C$5,1,1)), 0, MONTH(MIN($G$1, DATE(Initialisatie!$C$5,12,31))) - MONTH(MAX($G$2, DATE(Initialisatie!$C$5,1,1))) + 1)),
        IFERROR(VALUE($H51),0) * MAX(0, IF(MIN($H$1, DATE(Initialisatie!$C$5,12,31)) &lt; MAX($H$2, DATE(Initialisatie!$C$5,1,1)), 0, MONTH(MIN($H$1, DATE(Initialisatie!$C$5,12,31))) - MONTH(MAX($H$2, DATE(Initialisatie!$C$5,1,1))) + 1)),
        IFERROR(VALUE($I51),0) * MAX(0, IF(MIN($I$1, DATE(Initialisatie!$C$5,12,31)) &lt; MAX($I$2, DATE(Initialisatie!$C$5,1,1)), 0, MONTH(MIN($I$1, DATE(Initialisatie!$C$5,12,31))) - MONTH(MAX($I$2, DATE(Initialisatie!$C$5,1,1))) + 1))
    ) / 12
)</f>
        <v>0</v>
      </c>
    </row>
    <row r="52" spans="1:12" x14ac:dyDescent="0.45">
      <c r="A52" s="989"/>
      <c r="B52" s="35" t="s">
        <v>531</v>
      </c>
      <c r="C52" s="35">
        <v>14</v>
      </c>
      <c r="D52" s="35" t="s">
        <v>243</v>
      </c>
      <c r="E52">
        <v>3664.67</v>
      </c>
      <c r="F52">
        <v>3710.47</v>
      </c>
      <c r="G52">
        <v>3844.05</v>
      </c>
      <c r="H52">
        <v>3986.28</v>
      </c>
      <c r="I52">
        <v>4121.8100000000004</v>
      </c>
      <c r="K52">
        <f>IF(
    OR(
        AND(MAX(0, MIN($E$1, DATE(Initialisatie!$C$5,12,31)) - MAX($E$2, DATE(Initialisatie!$C$5,1,1)) + 1) &gt; 0,IFERROR(VALUE($E52),0)=0),
        AND(MAX(0, MIN($F$1, DATE(Initialisatie!$C$5,12,31)) - MAX($F$2, DATE(Initialisatie!$C$5,1,1)) + 1) &gt; 0,IFERROR(VALUE($F52),0)=0),
        AND(MAX(0, MIN($G$1, DATE(Initialisatie!$C$5,12,31)) - MAX($G$2, DATE(Initialisatie!$C$5,1,1)) + 1) &gt; 0,IFERROR(VALUE($G52),0)=0),
        AND(MAX(0, MIN($H$1, DATE(Initialisatie!$C$5,12,31)) - MAX($H$2, DATE(Initialisatie!$C$5,1,1)) + 1) &gt; 0,IFERROR(VALUE($H52),0)=0),
        AND(MAX(0, MIN($I$1, DATE(Initialisatie!$C$5,12,31)) - MAX($I$2, DATE(Initialisatie!$C$5,1,1)) + 1) &gt; 0,IFERROR(VALUE($I52),0)=0)
    ),
    0,
    SUM(
        IFERROR(VALUE($E52),0) * MAX(0, MIN($E$1, DATE(Initialisatie!$C$5,12,31)) - MAX($E$2, DATE(Initialisatie!$C$5,1,1)) + 1),
        IFERROR(VALUE($F52),0) * MAX(0, MIN($F$1, DATE(Initialisatie!$C$5,12,31)) - MAX($F$2, DATE(Initialisatie!$C$5,1,1)) + 1),
        IFERROR(VALUE($G52),0) * MAX(0, MIN($G$1, DATE(Initialisatie!$C$5,12,31)) - MAX($G$2, DATE(Initialisatie!$C$5,1,1)) + 1),
        IFERROR(VALUE($H52),0) * MAX(0, MIN($H$1, DATE(Initialisatie!$C$5,12,31)) - MAX($H$2, DATE(Initialisatie!$C$5,1,1)) + 1),
        IFERROR(VALUE($I52),0) * MAX(0, MIN($I$1, DATE(Initialisatie!$C$5,12,31)) - MAX($I$2, DATE(Initialisatie!$C$5,1,1)) + 1)
    ) / (DATE(Initialisatie!$C$5,12,31) - DATE(Initialisatie!$C$5,1,1) + 1)
)</f>
        <v>3986.2800000000007</v>
      </c>
      <c r="L52">
        <f>IF(
    OR(
        AND(MAX(0, IF(MIN($E$1, DATE(Initialisatie!$C$5,12,31)) &lt; MAX($E$2, DATE(Initialisatie!$C$5,1,1)), 0, MONTH(MIN($E$1, DATE(Initialisatie!$C$5,12,31))) - MONTH(MAX($E$2, DATE(Initialisatie!$C$5,1,1))) + 1)) &lt;= 0, IFERROR(VALUE($E52),0)=0),
        AND(MAX(0, IF(MIN($F$1, DATE(Initialisatie!$C$5,12,31)) &lt; MAX($F$2, DATE(Initialisatie!$C$5,1,1)), 0, MONTH(MIN($F$1, DATE(Initialisatie!$C$5,12,31))) - MONTH(MAX($F$2, DATE(Initialisatie!$C$5,1,1))) + 1)) &lt;= 0, IFERROR(VALUE($F52),0)=0),
        AND(MAX(0, IF(MIN($G$1, DATE(Initialisatie!$C$5,12,31)) &lt; MAX($G$2, DATE(Initialisatie!$C$5,1,1)), 0, MONTH(MIN($G$1, DATE(Initialisatie!$C$5,12,31))) - MONTH(MAX($G$2, DATE(Initialisatie!$C$5,1,1))) + 1)) &lt;= 0, IFERROR(VALUE($G52),0)=0),
        AND(MAX(0, IF(MIN($H$1, DATE(Initialisatie!$C$5,12,31)) &lt; MAX($H$2, DATE(Initialisatie!$C$5,1,1)), 0, MONTH(MIN($H$1, DATE(Initialisatie!$C$5,12,31))) - MONTH(MAX($H$2, DATE(Initialisatie!$C$5,1,1))) + 1)) &lt;= 0, IFERROR(VALUE($H52),0)=0),
        AND(MAX(0, IF(MIN($I$1, DATE(Initialisatie!$C$5,12,31)) &lt; MAX($I$2, DATE(Initialisatie!$C$5,1,1)), 0, MONTH(MIN($I$1, DATE(Initialisatie!$C$5,12,31))) - MONTH(MAX($I$2, DATE(Initialisatie!$C$5,1,1))) + 1)) &lt;= 0, IFERROR(VALUE($I52),0)=0)
    ),
    0,
    SUM(
        IFERROR(VALUE($E52),0) * MAX(0, IF(MIN($E$1, DATE(Initialisatie!$C$5,12,31)) &lt; MAX($E$2, DATE(Initialisatie!$C$5,1,1)), 0, MONTH(MIN($E$1, DATE(Initialisatie!$C$5,12,31))) - MONTH(MAX($E$2, DATE(Initialisatie!$C$5,1,1))) + 1)),
        IFERROR(VALUE($F52),0) * MAX(0, IF(MIN($F$1, DATE(Initialisatie!$C$5,12,31)) &lt; MAX($F$2, DATE(Initialisatie!$C$5,1,1)), 0, MONTH(MIN($F$1, DATE(Initialisatie!$C$5,12,31))) - MONTH(MAX($F$2, DATE(Initialisatie!$C$5,1,1))) + 1)),
        IFERROR(VALUE($G52),0) * MAX(0, IF(MIN($G$1, DATE(Initialisatie!$C$5,12,31)) &lt; MAX($G$2, DATE(Initialisatie!$C$5,1,1)), 0, MONTH(MIN($G$1, DATE(Initialisatie!$C$5,12,31))) - MONTH(MAX($G$2, DATE(Initialisatie!$C$5,1,1))) + 1)),
        IFERROR(VALUE($H52),0) * MAX(0, IF(MIN($H$1, DATE(Initialisatie!$C$5,12,31)) &lt; MAX($H$2, DATE(Initialisatie!$C$5,1,1)), 0, MONTH(MIN($H$1, DATE(Initialisatie!$C$5,12,31))) - MONTH(MAX($H$2, DATE(Initialisatie!$C$5,1,1))) + 1)),
        IFERROR(VALUE($I52),0) * MAX(0, IF(MIN($I$1, DATE(Initialisatie!$C$5,12,31)) &lt; MAX($I$2, DATE(Initialisatie!$C$5,1,1)), 0, MONTH(MIN($I$1, DATE(Initialisatie!$C$5,12,31))) - MONTH(MAX($I$2, DATE(Initialisatie!$C$5,1,1))) + 1))
    ) / 12
)</f>
        <v>3986.28</v>
      </c>
    </row>
    <row r="53" spans="1:12" x14ac:dyDescent="0.45">
      <c r="A53" s="990"/>
      <c r="B53" s="35" t="s">
        <v>533</v>
      </c>
      <c r="C53" s="35">
        <v>15</v>
      </c>
      <c r="D53" s="35" t="s">
        <v>242</v>
      </c>
      <c r="E53">
        <v>3783.09</v>
      </c>
      <c r="F53">
        <v>3830.38</v>
      </c>
      <c r="G53">
        <v>3968.27</v>
      </c>
      <c r="H53">
        <v>4115.1000000000004</v>
      </c>
      <c r="I53">
        <v>4255.01</v>
      </c>
      <c r="K53">
        <f>IF(
    OR(
        AND(MAX(0, MIN($E$1, DATE(Initialisatie!$C$5,12,31)) - MAX($E$2, DATE(Initialisatie!$C$5,1,1)) + 1) &gt; 0,IFERROR(VALUE($E53),0)=0),
        AND(MAX(0, MIN($F$1, DATE(Initialisatie!$C$5,12,31)) - MAX($F$2, DATE(Initialisatie!$C$5,1,1)) + 1) &gt; 0,IFERROR(VALUE($F53),0)=0),
        AND(MAX(0, MIN($G$1, DATE(Initialisatie!$C$5,12,31)) - MAX($G$2, DATE(Initialisatie!$C$5,1,1)) + 1) &gt; 0,IFERROR(VALUE($G53),0)=0),
        AND(MAX(0, MIN($H$1, DATE(Initialisatie!$C$5,12,31)) - MAX($H$2, DATE(Initialisatie!$C$5,1,1)) + 1) &gt; 0,IFERROR(VALUE($H53),0)=0),
        AND(MAX(0, MIN($I$1, DATE(Initialisatie!$C$5,12,31)) - MAX($I$2, DATE(Initialisatie!$C$5,1,1)) + 1) &gt; 0,IFERROR(VALUE($I53),0)=0)
    ),
    0,
    SUM(
        IFERROR(VALUE($E53),0) * MAX(0, MIN($E$1, DATE(Initialisatie!$C$5,12,31)) - MAX($E$2, DATE(Initialisatie!$C$5,1,1)) + 1),
        IFERROR(VALUE($F53),0) * MAX(0, MIN($F$1, DATE(Initialisatie!$C$5,12,31)) - MAX($F$2, DATE(Initialisatie!$C$5,1,1)) + 1),
        IFERROR(VALUE($G53),0) * MAX(0, MIN($G$1, DATE(Initialisatie!$C$5,12,31)) - MAX($G$2, DATE(Initialisatie!$C$5,1,1)) + 1),
        IFERROR(VALUE($H53),0) * MAX(0, MIN($H$1, DATE(Initialisatie!$C$5,12,31)) - MAX($H$2, DATE(Initialisatie!$C$5,1,1)) + 1),
        IFERROR(VALUE($I53),0) * MAX(0, MIN($I$1, DATE(Initialisatie!$C$5,12,31)) - MAX($I$2, DATE(Initialisatie!$C$5,1,1)) + 1)
    ) / (DATE(Initialisatie!$C$5,12,31) - DATE(Initialisatie!$C$5,1,1) + 1)
)</f>
        <v>4115.1000000000004</v>
      </c>
      <c r="L53">
        <f>IF(
    OR(
        AND(MAX(0, IF(MIN($E$1, DATE(Initialisatie!$C$5,12,31)) &lt; MAX($E$2, DATE(Initialisatie!$C$5,1,1)), 0, MONTH(MIN($E$1, DATE(Initialisatie!$C$5,12,31))) - MONTH(MAX($E$2, DATE(Initialisatie!$C$5,1,1))) + 1)) &lt;= 0, IFERROR(VALUE($E53),0)=0),
        AND(MAX(0, IF(MIN($F$1, DATE(Initialisatie!$C$5,12,31)) &lt; MAX($F$2, DATE(Initialisatie!$C$5,1,1)), 0, MONTH(MIN($F$1, DATE(Initialisatie!$C$5,12,31))) - MONTH(MAX($F$2, DATE(Initialisatie!$C$5,1,1))) + 1)) &lt;= 0, IFERROR(VALUE($F53),0)=0),
        AND(MAX(0, IF(MIN($G$1, DATE(Initialisatie!$C$5,12,31)) &lt; MAX($G$2, DATE(Initialisatie!$C$5,1,1)), 0, MONTH(MIN($G$1, DATE(Initialisatie!$C$5,12,31))) - MONTH(MAX($G$2, DATE(Initialisatie!$C$5,1,1))) + 1)) &lt;= 0, IFERROR(VALUE($G53),0)=0),
        AND(MAX(0, IF(MIN($H$1, DATE(Initialisatie!$C$5,12,31)) &lt; MAX($H$2, DATE(Initialisatie!$C$5,1,1)), 0, MONTH(MIN($H$1, DATE(Initialisatie!$C$5,12,31))) - MONTH(MAX($H$2, DATE(Initialisatie!$C$5,1,1))) + 1)) &lt;= 0, IFERROR(VALUE($H53),0)=0),
        AND(MAX(0, IF(MIN($I$1, DATE(Initialisatie!$C$5,12,31)) &lt; MAX($I$2, DATE(Initialisatie!$C$5,1,1)), 0, MONTH(MIN($I$1, DATE(Initialisatie!$C$5,12,31))) - MONTH(MAX($I$2, DATE(Initialisatie!$C$5,1,1))) + 1)) &lt;= 0, IFERROR(VALUE($I53),0)=0)
    ),
    0,
    SUM(
        IFERROR(VALUE($E53),0) * MAX(0, IF(MIN($E$1, DATE(Initialisatie!$C$5,12,31)) &lt; MAX($E$2, DATE(Initialisatie!$C$5,1,1)), 0, MONTH(MIN($E$1, DATE(Initialisatie!$C$5,12,31))) - MONTH(MAX($E$2, DATE(Initialisatie!$C$5,1,1))) + 1)),
        IFERROR(VALUE($F53),0) * MAX(0, IF(MIN($F$1, DATE(Initialisatie!$C$5,12,31)) &lt; MAX($F$2, DATE(Initialisatie!$C$5,1,1)), 0, MONTH(MIN($F$1, DATE(Initialisatie!$C$5,12,31))) - MONTH(MAX($F$2, DATE(Initialisatie!$C$5,1,1))) + 1)),
        IFERROR(VALUE($G53),0) * MAX(0, IF(MIN($G$1, DATE(Initialisatie!$C$5,12,31)) &lt; MAX($G$2, DATE(Initialisatie!$C$5,1,1)), 0, MONTH(MIN($G$1, DATE(Initialisatie!$C$5,12,31))) - MONTH(MAX($G$2, DATE(Initialisatie!$C$5,1,1))) + 1)),
        IFERROR(VALUE($H53),0) * MAX(0, IF(MIN($H$1, DATE(Initialisatie!$C$5,12,31)) &lt; MAX($H$2, DATE(Initialisatie!$C$5,1,1)), 0, MONTH(MIN($H$1, DATE(Initialisatie!$C$5,12,31))) - MONTH(MAX($H$2, DATE(Initialisatie!$C$5,1,1))) + 1)),
        IFERROR(VALUE($I53),0) * MAX(0, IF(MIN($I$1, DATE(Initialisatie!$C$5,12,31)) &lt; MAX($I$2, DATE(Initialisatie!$C$5,1,1)), 0, MONTH(MIN($I$1, DATE(Initialisatie!$C$5,12,31))) - MONTH(MAX($I$2, DATE(Initialisatie!$C$5,1,1))) + 1))
    ) / 12
)</f>
        <v>4115.1000000000004</v>
      </c>
    </row>
    <row r="54" spans="1:12" x14ac:dyDescent="0.45">
      <c r="A54" s="988">
        <v>7</v>
      </c>
      <c r="B54" s="35" t="s">
        <v>113</v>
      </c>
      <c r="C54" s="35">
        <v>0</v>
      </c>
      <c r="D54" s="35" t="s">
        <v>241</v>
      </c>
      <c r="E54">
        <v>2686.74</v>
      </c>
      <c r="F54">
        <v>2720.32</v>
      </c>
      <c r="G54">
        <v>2818.26</v>
      </c>
      <c r="H54">
        <v>2922.53</v>
      </c>
      <c r="I54">
        <v>3021.9</v>
      </c>
      <c r="K54">
        <f>IF(
    OR(
        AND(MAX(0, MIN($E$1, DATE(Initialisatie!$C$5,12,31)) - MAX($E$2, DATE(Initialisatie!$C$5,1,1)) + 1) &gt; 0,IFERROR(VALUE($E54),0)=0),
        AND(MAX(0, MIN($F$1, DATE(Initialisatie!$C$5,12,31)) - MAX($F$2, DATE(Initialisatie!$C$5,1,1)) + 1) &gt; 0,IFERROR(VALUE($F54),0)=0),
        AND(MAX(0, MIN($G$1, DATE(Initialisatie!$C$5,12,31)) - MAX($G$2, DATE(Initialisatie!$C$5,1,1)) + 1) &gt; 0,IFERROR(VALUE($G54),0)=0),
        AND(MAX(0, MIN($H$1, DATE(Initialisatie!$C$5,12,31)) - MAX($H$2, DATE(Initialisatie!$C$5,1,1)) + 1) &gt; 0,IFERROR(VALUE($H54),0)=0),
        AND(MAX(0, MIN($I$1, DATE(Initialisatie!$C$5,12,31)) - MAX($I$2, DATE(Initialisatie!$C$5,1,1)) + 1) &gt; 0,IFERROR(VALUE($I54),0)=0)
    ),
    0,
    SUM(
        IFERROR(VALUE($E54),0) * MAX(0, MIN($E$1, DATE(Initialisatie!$C$5,12,31)) - MAX($E$2, DATE(Initialisatie!$C$5,1,1)) + 1),
        IFERROR(VALUE($F54),0) * MAX(0, MIN($F$1, DATE(Initialisatie!$C$5,12,31)) - MAX($F$2, DATE(Initialisatie!$C$5,1,1)) + 1),
        IFERROR(VALUE($G54),0) * MAX(0, MIN($G$1, DATE(Initialisatie!$C$5,12,31)) - MAX($G$2, DATE(Initialisatie!$C$5,1,1)) + 1),
        IFERROR(VALUE($H54),0) * MAX(0, MIN($H$1, DATE(Initialisatie!$C$5,12,31)) - MAX($H$2, DATE(Initialisatie!$C$5,1,1)) + 1),
        IFERROR(VALUE($I54),0) * MAX(0, MIN($I$1, DATE(Initialisatie!$C$5,12,31)) - MAX($I$2, DATE(Initialisatie!$C$5,1,1)) + 1)
    ) / (DATE(Initialisatie!$C$5,12,31) - DATE(Initialisatie!$C$5,1,1) + 1)
)</f>
        <v>2922.5300000000007</v>
      </c>
      <c r="L54">
        <f>IF(
    OR(
        AND(MAX(0, IF(MIN($E$1, DATE(Initialisatie!$C$5,12,31)) &lt; MAX($E$2, DATE(Initialisatie!$C$5,1,1)), 0, MONTH(MIN($E$1, DATE(Initialisatie!$C$5,12,31))) - MONTH(MAX($E$2, DATE(Initialisatie!$C$5,1,1))) + 1)) &lt;= 0, IFERROR(VALUE($E54),0)=0),
        AND(MAX(0, IF(MIN($F$1, DATE(Initialisatie!$C$5,12,31)) &lt; MAX($F$2, DATE(Initialisatie!$C$5,1,1)), 0, MONTH(MIN($F$1, DATE(Initialisatie!$C$5,12,31))) - MONTH(MAX($F$2, DATE(Initialisatie!$C$5,1,1))) + 1)) &lt;= 0, IFERROR(VALUE($F54),0)=0),
        AND(MAX(0, IF(MIN($G$1, DATE(Initialisatie!$C$5,12,31)) &lt; MAX($G$2, DATE(Initialisatie!$C$5,1,1)), 0, MONTH(MIN($G$1, DATE(Initialisatie!$C$5,12,31))) - MONTH(MAX($G$2, DATE(Initialisatie!$C$5,1,1))) + 1)) &lt;= 0, IFERROR(VALUE($G54),0)=0),
        AND(MAX(0, IF(MIN($H$1, DATE(Initialisatie!$C$5,12,31)) &lt; MAX($H$2, DATE(Initialisatie!$C$5,1,1)), 0, MONTH(MIN($H$1, DATE(Initialisatie!$C$5,12,31))) - MONTH(MAX($H$2, DATE(Initialisatie!$C$5,1,1))) + 1)) &lt;= 0, IFERROR(VALUE($H54),0)=0),
        AND(MAX(0, IF(MIN($I$1, DATE(Initialisatie!$C$5,12,31)) &lt; MAX($I$2, DATE(Initialisatie!$C$5,1,1)), 0, MONTH(MIN($I$1, DATE(Initialisatie!$C$5,12,31))) - MONTH(MAX($I$2, DATE(Initialisatie!$C$5,1,1))) + 1)) &lt;= 0, IFERROR(VALUE($I54),0)=0)
    ),
    0,
    SUM(
        IFERROR(VALUE($E54),0) * MAX(0, IF(MIN($E$1, DATE(Initialisatie!$C$5,12,31)) &lt; MAX($E$2, DATE(Initialisatie!$C$5,1,1)), 0, MONTH(MIN($E$1, DATE(Initialisatie!$C$5,12,31))) - MONTH(MAX($E$2, DATE(Initialisatie!$C$5,1,1))) + 1)),
        IFERROR(VALUE($F54),0) * MAX(0, IF(MIN($F$1, DATE(Initialisatie!$C$5,12,31)) &lt; MAX($F$2, DATE(Initialisatie!$C$5,1,1)), 0, MONTH(MIN($F$1, DATE(Initialisatie!$C$5,12,31))) - MONTH(MAX($F$2, DATE(Initialisatie!$C$5,1,1))) + 1)),
        IFERROR(VALUE($G54),0) * MAX(0, IF(MIN($G$1, DATE(Initialisatie!$C$5,12,31)) &lt; MAX($G$2, DATE(Initialisatie!$C$5,1,1)), 0, MONTH(MIN($G$1, DATE(Initialisatie!$C$5,12,31))) - MONTH(MAX($G$2, DATE(Initialisatie!$C$5,1,1))) + 1)),
        IFERROR(VALUE($H54),0) * MAX(0, IF(MIN($H$1, DATE(Initialisatie!$C$5,12,31)) &lt; MAX($H$2, DATE(Initialisatie!$C$5,1,1)), 0, MONTH(MIN($H$1, DATE(Initialisatie!$C$5,12,31))) - MONTH(MAX($H$2, DATE(Initialisatie!$C$5,1,1))) + 1)),
        IFERROR(VALUE($I54),0) * MAX(0, IF(MIN($I$1, DATE(Initialisatie!$C$5,12,31)) &lt; MAX($I$2, DATE(Initialisatie!$C$5,1,1)), 0, MONTH(MIN($I$1, DATE(Initialisatie!$C$5,12,31))) - MONTH(MAX($I$2, DATE(Initialisatie!$C$5,1,1))) + 1))
    ) / 12
)</f>
        <v>2922.53</v>
      </c>
    </row>
    <row r="55" spans="1:12" x14ac:dyDescent="0.45">
      <c r="A55" s="989"/>
      <c r="B55" s="35" t="s">
        <v>111</v>
      </c>
      <c r="C55" s="35">
        <v>1</v>
      </c>
      <c r="D55" s="35" t="s">
        <v>240</v>
      </c>
      <c r="E55">
        <v>2775.37</v>
      </c>
      <c r="F55">
        <v>2810.07</v>
      </c>
      <c r="G55">
        <v>2911.23</v>
      </c>
      <c r="H55">
        <v>3018.94</v>
      </c>
      <c r="I55">
        <v>3121.59</v>
      </c>
      <c r="K55">
        <f>IF(
    OR(
        AND(MAX(0, MIN($E$1, DATE(Initialisatie!$C$5,12,31)) - MAX($E$2, DATE(Initialisatie!$C$5,1,1)) + 1) &gt; 0,IFERROR(VALUE($E55),0)=0),
        AND(MAX(0, MIN($F$1, DATE(Initialisatie!$C$5,12,31)) - MAX($F$2, DATE(Initialisatie!$C$5,1,1)) + 1) &gt; 0,IFERROR(VALUE($F55),0)=0),
        AND(MAX(0, MIN($G$1, DATE(Initialisatie!$C$5,12,31)) - MAX($G$2, DATE(Initialisatie!$C$5,1,1)) + 1) &gt; 0,IFERROR(VALUE($G55),0)=0),
        AND(MAX(0, MIN($H$1, DATE(Initialisatie!$C$5,12,31)) - MAX($H$2, DATE(Initialisatie!$C$5,1,1)) + 1) &gt; 0,IFERROR(VALUE($H55),0)=0),
        AND(MAX(0, MIN($I$1, DATE(Initialisatie!$C$5,12,31)) - MAX($I$2, DATE(Initialisatie!$C$5,1,1)) + 1) &gt; 0,IFERROR(VALUE($I55),0)=0)
    ),
    0,
    SUM(
        IFERROR(VALUE($E55),0) * MAX(0, MIN($E$1, DATE(Initialisatie!$C$5,12,31)) - MAX($E$2, DATE(Initialisatie!$C$5,1,1)) + 1),
        IFERROR(VALUE($F55),0) * MAX(0, MIN($F$1, DATE(Initialisatie!$C$5,12,31)) - MAX($F$2, DATE(Initialisatie!$C$5,1,1)) + 1),
        IFERROR(VALUE($G55),0) * MAX(0, MIN($G$1, DATE(Initialisatie!$C$5,12,31)) - MAX($G$2, DATE(Initialisatie!$C$5,1,1)) + 1),
        IFERROR(VALUE($H55),0) * MAX(0, MIN($H$1, DATE(Initialisatie!$C$5,12,31)) - MAX($H$2, DATE(Initialisatie!$C$5,1,1)) + 1),
        IFERROR(VALUE($I55),0) * MAX(0, MIN($I$1, DATE(Initialisatie!$C$5,12,31)) - MAX($I$2, DATE(Initialisatie!$C$5,1,1)) + 1)
    ) / (DATE(Initialisatie!$C$5,12,31) - DATE(Initialisatie!$C$5,1,1) + 1)
)</f>
        <v>3018.94</v>
      </c>
      <c r="L55">
        <f>IF(
    OR(
        AND(MAX(0, IF(MIN($E$1, DATE(Initialisatie!$C$5,12,31)) &lt; MAX($E$2, DATE(Initialisatie!$C$5,1,1)), 0, MONTH(MIN($E$1, DATE(Initialisatie!$C$5,12,31))) - MONTH(MAX($E$2, DATE(Initialisatie!$C$5,1,1))) + 1)) &lt;= 0, IFERROR(VALUE($E55),0)=0),
        AND(MAX(0, IF(MIN($F$1, DATE(Initialisatie!$C$5,12,31)) &lt; MAX($F$2, DATE(Initialisatie!$C$5,1,1)), 0, MONTH(MIN($F$1, DATE(Initialisatie!$C$5,12,31))) - MONTH(MAX($F$2, DATE(Initialisatie!$C$5,1,1))) + 1)) &lt;= 0, IFERROR(VALUE($F55),0)=0),
        AND(MAX(0, IF(MIN($G$1, DATE(Initialisatie!$C$5,12,31)) &lt; MAX($G$2, DATE(Initialisatie!$C$5,1,1)), 0, MONTH(MIN($G$1, DATE(Initialisatie!$C$5,12,31))) - MONTH(MAX($G$2, DATE(Initialisatie!$C$5,1,1))) + 1)) &lt;= 0, IFERROR(VALUE($G55),0)=0),
        AND(MAX(0, IF(MIN($H$1, DATE(Initialisatie!$C$5,12,31)) &lt; MAX($H$2, DATE(Initialisatie!$C$5,1,1)), 0, MONTH(MIN($H$1, DATE(Initialisatie!$C$5,12,31))) - MONTH(MAX($H$2, DATE(Initialisatie!$C$5,1,1))) + 1)) &lt;= 0, IFERROR(VALUE($H55),0)=0),
        AND(MAX(0, IF(MIN($I$1, DATE(Initialisatie!$C$5,12,31)) &lt; MAX($I$2, DATE(Initialisatie!$C$5,1,1)), 0, MONTH(MIN($I$1, DATE(Initialisatie!$C$5,12,31))) - MONTH(MAX($I$2, DATE(Initialisatie!$C$5,1,1))) + 1)) &lt;= 0, IFERROR(VALUE($I55),0)=0)
    ),
    0,
    SUM(
        IFERROR(VALUE($E55),0) * MAX(0, IF(MIN($E$1, DATE(Initialisatie!$C$5,12,31)) &lt; MAX($E$2, DATE(Initialisatie!$C$5,1,1)), 0, MONTH(MIN($E$1, DATE(Initialisatie!$C$5,12,31))) - MONTH(MAX($E$2, DATE(Initialisatie!$C$5,1,1))) + 1)),
        IFERROR(VALUE($F55),0) * MAX(0, IF(MIN($F$1, DATE(Initialisatie!$C$5,12,31)) &lt; MAX($F$2, DATE(Initialisatie!$C$5,1,1)), 0, MONTH(MIN($F$1, DATE(Initialisatie!$C$5,12,31))) - MONTH(MAX($F$2, DATE(Initialisatie!$C$5,1,1))) + 1)),
        IFERROR(VALUE($G55),0) * MAX(0, IF(MIN($G$1, DATE(Initialisatie!$C$5,12,31)) &lt; MAX($G$2, DATE(Initialisatie!$C$5,1,1)), 0, MONTH(MIN($G$1, DATE(Initialisatie!$C$5,12,31))) - MONTH(MAX($G$2, DATE(Initialisatie!$C$5,1,1))) + 1)),
        IFERROR(VALUE($H55),0) * MAX(0, IF(MIN($H$1, DATE(Initialisatie!$C$5,12,31)) &lt; MAX($H$2, DATE(Initialisatie!$C$5,1,1)), 0, MONTH(MIN($H$1, DATE(Initialisatie!$C$5,12,31))) - MONTH(MAX($H$2, DATE(Initialisatie!$C$5,1,1))) + 1)),
        IFERROR(VALUE($I55),0) * MAX(0, IF(MIN($I$1, DATE(Initialisatie!$C$5,12,31)) &lt; MAX($I$2, DATE(Initialisatie!$C$5,1,1)), 0, MONTH(MIN($I$1, DATE(Initialisatie!$C$5,12,31))) - MONTH(MAX($I$2, DATE(Initialisatie!$C$5,1,1))) + 1))
    ) / 12
)</f>
        <v>3018.94</v>
      </c>
    </row>
    <row r="56" spans="1:12" x14ac:dyDescent="0.45">
      <c r="A56" s="989"/>
      <c r="B56" s="35" t="s">
        <v>101</v>
      </c>
      <c r="C56" s="35">
        <v>2</v>
      </c>
      <c r="D56" s="35" t="s">
        <v>235</v>
      </c>
      <c r="E56">
        <v>2866.92</v>
      </c>
      <c r="F56">
        <v>2902.75</v>
      </c>
      <c r="G56">
        <v>3007.25</v>
      </c>
      <c r="H56">
        <v>3118.52</v>
      </c>
      <c r="I56">
        <v>3224.55</v>
      </c>
      <c r="K56">
        <f>IF(
    OR(
        AND(MAX(0, MIN($E$1, DATE(Initialisatie!$C$5,12,31)) - MAX($E$2, DATE(Initialisatie!$C$5,1,1)) + 1) &gt; 0,IFERROR(VALUE($E56),0)=0),
        AND(MAX(0, MIN($F$1, DATE(Initialisatie!$C$5,12,31)) - MAX($F$2, DATE(Initialisatie!$C$5,1,1)) + 1) &gt; 0,IFERROR(VALUE($F56),0)=0),
        AND(MAX(0, MIN($G$1, DATE(Initialisatie!$C$5,12,31)) - MAX($G$2, DATE(Initialisatie!$C$5,1,1)) + 1) &gt; 0,IFERROR(VALUE($G56),0)=0),
        AND(MAX(0, MIN($H$1, DATE(Initialisatie!$C$5,12,31)) - MAX($H$2, DATE(Initialisatie!$C$5,1,1)) + 1) &gt; 0,IFERROR(VALUE($H56),0)=0),
        AND(MAX(0, MIN($I$1, DATE(Initialisatie!$C$5,12,31)) - MAX($I$2, DATE(Initialisatie!$C$5,1,1)) + 1) &gt; 0,IFERROR(VALUE($I56),0)=0)
    ),
    0,
    SUM(
        IFERROR(VALUE($E56),0) * MAX(0, MIN($E$1, DATE(Initialisatie!$C$5,12,31)) - MAX($E$2, DATE(Initialisatie!$C$5,1,1)) + 1),
        IFERROR(VALUE($F56),0) * MAX(0, MIN($F$1, DATE(Initialisatie!$C$5,12,31)) - MAX($F$2, DATE(Initialisatie!$C$5,1,1)) + 1),
        IFERROR(VALUE($G56),0) * MAX(0, MIN($G$1, DATE(Initialisatie!$C$5,12,31)) - MAX($G$2, DATE(Initialisatie!$C$5,1,1)) + 1),
        IFERROR(VALUE($H56),0) * MAX(0, MIN($H$1, DATE(Initialisatie!$C$5,12,31)) - MAX($H$2, DATE(Initialisatie!$C$5,1,1)) + 1),
        IFERROR(VALUE($I56),0) * MAX(0, MIN($I$1, DATE(Initialisatie!$C$5,12,31)) - MAX($I$2, DATE(Initialisatie!$C$5,1,1)) + 1)
    ) / (DATE(Initialisatie!$C$5,12,31) - DATE(Initialisatie!$C$5,1,1) + 1)
)</f>
        <v>3118.52</v>
      </c>
      <c r="L56">
        <f>IF(
    OR(
        AND(MAX(0, IF(MIN($E$1, DATE(Initialisatie!$C$5,12,31)) &lt; MAX($E$2, DATE(Initialisatie!$C$5,1,1)), 0, MONTH(MIN($E$1, DATE(Initialisatie!$C$5,12,31))) - MONTH(MAX($E$2, DATE(Initialisatie!$C$5,1,1))) + 1)) &lt;= 0, IFERROR(VALUE($E56),0)=0),
        AND(MAX(0, IF(MIN($F$1, DATE(Initialisatie!$C$5,12,31)) &lt; MAX($F$2, DATE(Initialisatie!$C$5,1,1)), 0, MONTH(MIN($F$1, DATE(Initialisatie!$C$5,12,31))) - MONTH(MAX($F$2, DATE(Initialisatie!$C$5,1,1))) + 1)) &lt;= 0, IFERROR(VALUE($F56),0)=0),
        AND(MAX(0, IF(MIN($G$1, DATE(Initialisatie!$C$5,12,31)) &lt; MAX($G$2, DATE(Initialisatie!$C$5,1,1)), 0, MONTH(MIN($G$1, DATE(Initialisatie!$C$5,12,31))) - MONTH(MAX($G$2, DATE(Initialisatie!$C$5,1,1))) + 1)) &lt;= 0, IFERROR(VALUE($G56),0)=0),
        AND(MAX(0, IF(MIN($H$1, DATE(Initialisatie!$C$5,12,31)) &lt; MAX($H$2, DATE(Initialisatie!$C$5,1,1)), 0, MONTH(MIN($H$1, DATE(Initialisatie!$C$5,12,31))) - MONTH(MAX($H$2, DATE(Initialisatie!$C$5,1,1))) + 1)) &lt;= 0, IFERROR(VALUE($H56),0)=0),
        AND(MAX(0, IF(MIN($I$1, DATE(Initialisatie!$C$5,12,31)) &lt; MAX($I$2, DATE(Initialisatie!$C$5,1,1)), 0, MONTH(MIN($I$1, DATE(Initialisatie!$C$5,12,31))) - MONTH(MAX($I$2, DATE(Initialisatie!$C$5,1,1))) + 1)) &lt;= 0, IFERROR(VALUE($I56),0)=0)
    ),
    0,
    SUM(
        IFERROR(VALUE($E56),0) * MAX(0, IF(MIN($E$1, DATE(Initialisatie!$C$5,12,31)) &lt; MAX($E$2, DATE(Initialisatie!$C$5,1,1)), 0, MONTH(MIN($E$1, DATE(Initialisatie!$C$5,12,31))) - MONTH(MAX($E$2, DATE(Initialisatie!$C$5,1,1))) + 1)),
        IFERROR(VALUE($F56),0) * MAX(0, IF(MIN($F$1, DATE(Initialisatie!$C$5,12,31)) &lt; MAX($F$2, DATE(Initialisatie!$C$5,1,1)), 0, MONTH(MIN($F$1, DATE(Initialisatie!$C$5,12,31))) - MONTH(MAX($F$2, DATE(Initialisatie!$C$5,1,1))) + 1)),
        IFERROR(VALUE($G56),0) * MAX(0, IF(MIN($G$1, DATE(Initialisatie!$C$5,12,31)) &lt; MAX($G$2, DATE(Initialisatie!$C$5,1,1)), 0, MONTH(MIN($G$1, DATE(Initialisatie!$C$5,12,31))) - MONTH(MAX($G$2, DATE(Initialisatie!$C$5,1,1))) + 1)),
        IFERROR(VALUE($H56),0) * MAX(0, IF(MIN($H$1, DATE(Initialisatie!$C$5,12,31)) &lt; MAX($H$2, DATE(Initialisatie!$C$5,1,1)), 0, MONTH(MIN($H$1, DATE(Initialisatie!$C$5,12,31))) - MONTH(MAX($H$2, DATE(Initialisatie!$C$5,1,1))) + 1)),
        IFERROR(VALUE($I56),0) * MAX(0, IF(MIN($I$1, DATE(Initialisatie!$C$5,12,31)) &lt; MAX($I$2, DATE(Initialisatie!$C$5,1,1)), 0, MONTH(MIN($I$1, DATE(Initialisatie!$C$5,12,31))) - MONTH(MAX($I$2, DATE(Initialisatie!$C$5,1,1))) + 1))
    ) / 12
)</f>
        <v>3118.52</v>
      </c>
    </row>
    <row r="57" spans="1:12" x14ac:dyDescent="0.45">
      <c r="A57" s="989"/>
      <c r="B57" s="35" t="s">
        <v>99</v>
      </c>
      <c r="C57" s="35">
        <v>3</v>
      </c>
      <c r="D57" s="35" t="s">
        <v>234</v>
      </c>
      <c r="E57">
        <v>2961.38</v>
      </c>
      <c r="F57">
        <v>2998.4</v>
      </c>
      <c r="G57">
        <v>3106.34</v>
      </c>
      <c r="H57">
        <v>3221.28</v>
      </c>
      <c r="I57">
        <v>3330.8</v>
      </c>
      <c r="K57">
        <f>IF(
    OR(
        AND(MAX(0, MIN($E$1, DATE(Initialisatie!$C$5,12,31)) - MAX($E$2, DATE(Initialisatie!$C$5,1,1)) + 1) &gt; 0,IFERROR(VALUE($E57),0)=0),
        AND(MAX(0, MIN($F$1, DATE(Initialisatie!$C$5,12,31)) - MAX($F$2, DATE(Initialisatie!$C$5,1,1)) + 1) &gt; 0,IFERROR(VALUE($F57),0)=0),
        AND(MAX(0, MIN($G$1, DATE(Initialisatie!$C$5,12,31)) - MAX($G$2, DATE(Initialisatie!$C$5,1,1)) + 1) &gt; 0,IFERROR(VALUE($G57),0)=0),
        AND(MAX(0, MIN($H$1, DATE(Initialisatie!$C$5,12,31)) - MAX($H$2, DATE(Initialisatie!$C$5,1,1)) + 1) &gt; 0,IFERROR(VALUE($H57),0)=0),
        AND(MAX(0, MIN($I$1, DATE(Initialisatie!$C$5,12,31)) - MAX($I$2, DATE(Initialisatie!$C$5,1,1)) + 1) &gt; 0,IFERROR(VALUE($I57),0)=0)
    ),
    0,
    SUM(
        IFERROR(VALUE($E57),0) * MAX(0, MIN($E$1, DATE(Initialisatie!$C$5,12,31)) - MAX($E$2, DATE(Initialisatie!$C$5,1,1)) + 1),
        IFERROR(VALUE($F57),0) * MAX(0, MIN($F$1, DATE(Initialisatie!$C$5,12,31)) - MAX($F$2, DATE(Initialisatie!$C$5,1,1)) + 1),
        IFERROR(VALUE($G57),0) * MAX(0, MIN($G$1, DATE(Initialisatie!$C$5,12,31)) - MAX($G$2, DATE(Initialisatie!$C$5,1,1)) + 1),
        IFERROR(VALUE($H57),0) * MAX(0, MIN($H$1, DATE(Initialisatie!$C$5,12,31)) - MAX($H$2, DATE(Initialisatie!$C$5,1,1)) + 1),
        IFERROR(VALUE($I57),0) * MAX(0, MIN($I$1, DATE(Initialisatie!$C$5,12,31)) - MAX($I$2, DATE(Initialisatie!$C$5,1,1)) + 1)
    ) / (DATE(Initialisatie!$C$5,12,31) - DATE(Initialisatie!$C$5,1,1) + 1)
)</f>
        <v>3221.2800000000007</v>
      </c>
      <c r="L57">
        <f>IF(
    OR(
        AND(MAX(0, IF(MIN($E$1, DATE(Initialisatie!$C$5,12,31)) &lt; MAX($E$2, DATE(Initialisatie!$C$5,1,1)), 0, MONTH(MIN($E$1, DATE(Initialisatie!$C$5,12,31))) - MONTH(MAX($E$2, DATE(Initialisatie!$C$5,1,1))) + 1)) &lt;= 0, IFERROR(VALUE($E57),0)=0),
        AND(MAX(0, IF(MIN($F$1, DATE(Initialisatie!$C$5,12,31)) &lt; MAX($F$2, DATE(Initialisatie!$C$5,1,1)), 0, MONTH(MIN($F$1, DATE(Initialisatie!$C$5,12,31))) - MONTH(MAX($F$2, DATE(Initialisatie!$C$5,1,1))) + 1)) &lt;= 0, IFERROR(VALUE($F57),0)=0),
        AND(MAX(0, IF(MIN($G$1, DATE(Initialisatie!$C$5,12,31)) &lt; MAX($G$2, DATE(Initialisatie!$C$5,1,1)), 0, MONTH(MIN($G$1, DATE(Initialisatie!$C$5,12,31))) - MONTH(MAX($G$2, DATE(Initialisatie!$C$5,1,1))) + 1)) &lt;= 0, IFERROR(VALUE($G57),0)=0),
        AND(MAX(0, IF(MIN($H$1, DATE(Initialisatie!$C$5,12,31)) &lt; MAX($H$2, DATE(Initialisatie!$C$5,1,1)), 0, MONTH(MIN($H$1, DATE(Initialisatie!$C$5,12,31))) - MONTH(MAX($H$2, DATE(Initialisatie!$C$5,1,1))) + 1)) &lt;= 0, IFERROR(VALUE($H57),0)=0),
        AND(MAX(0, IF(MIN($I$1, DATE(Initialisatie!$C$5,12,31)) &lt; MAX($I$2, DATE(Initialisatie!$C$5,1,1)), 0, MONTH(MIN($I$1, DATE(Initialisatie!$C$5,12,31))) - MONTH(MAX($I$2, DATE(Initialisatie!$C$5,1,1))) + 1)) &lt;= 0, IFERROR(VALUE($I57),0)=0)
    ),
    0,
    SUM(
        IFERROR(VALUE($E57),0) * MAX(0, IF(MIN($E$1, DATE(Initialisatie!$C$5,12,31)) &lt; MAX($E$2, DATE(Initialisatie!$C$5,1,1)), 0, MONTH(MIN($E$1, DATE(Initialisatie!$C$5,12,31))) - MONTH(MAX($E$2, DATE(Initialisatie!$C$5,1,1))) + 1)),
        IFERROR(VALUE($F57),0) * MAX(0, IF(MIN($F$1, DATE(Initialisatie!$C$5,12,31)) &lt; MAX($F$2, DATE(Initialisatie!$C$5,1,1)), 0, MONTH(MIN($F$1, DATE(Initialisatie!$C$5,12,31))) - MONTH(MAX($F$2, DATE(Initialisatie!$C$5,1,1))) + 1)),
        IFERROR(VALUE($G57),0) * MAX(0, IF(MIN($G$1, DATE(Initialisatie!$C$5,12,31)) &lt; MAX($G$2, DATE(Initialisatie!$C$5,1,1)), 0, MONTH(MIN($G$1, DATE(Initialisatie!$C$5,12,31))) - MONTH(MAX($G$2, DATE(Initialisatie!$C$5,1,1))) + 1)),
        IFERROR(VALUE($H57),0) * MAX(0, IF(MIN($H$1, DATE(Initialisatie!$C$5,12,31)) &lt; MAX($H$2, DATE(Initialisatie!$C$5,1,1)), 0, MONTH(MIN($H$1, DATE(Initialisatie!$C$5,12,31))) - MONTH(MAX($H$2, DATE(Initialisatie!$C$5,1,1))) + 1)),
        IFERROR(VALUE($I57),0) * MAX(0, IF(MIN($I$1, DATE(Initialisatie!$C$5,12,31)) &lt; MAX($I$2, DATE(Initialisatie!$C$5,1,1)), 0, MONTH(MIN($I$1, DATE(Initialisatie!$C$5,12,31))) - MONTH(MAX($I$2, DATE(Initialisatie!$C$5,1,1))) + 1))
    ) / 12
)</f>
        <v>3221.28</v>
      </c>
    </row>
    <row r="58" spans="1:12" x14ac:dyDescent="0.45">
      <c r="A58" s="989"/>
      <c r="B58" s="35" t="s">
        <v>97</v>
      </c>
      <c r="C58" s="35">
        <v>4</v>
      </c>
      <c r="D58" s="35" t="s">
        <v>233</v>
      </c>
      <c r="E58">
        <v>3059.46</v>
      </c>
      <c r="F58">
        <v>3097.7</v>
      </c>
      <c r="G58">
        <v>3209.22</v>
      </c>
      <c r="H58">
        <v>3327.96</v>
      </c>
      <c r="I58">
        <v>3441.11</v>
      </c>
      <c r="K58">
        <f>IF(
    OR(
        AND(MAX(0, MIN($E$1, DATE(Initialisatie!$C$5,12,31)) - MAX($E$2, DATE(Initialisatie!$C$5,1,1)) + 1) &gt; 0,IFERROR(VALUE($E58),0)=0),
        AND(MAX(0, MIN($F$1, DATE(Initialisatie!$C$5,12,31)) - MAX($F$2, DATE(Initialisatie!$C$5,1,1)) + 1) &gt; 0,IFERROR(VALUE($F58),0)=0),
        AND(MAX(0, MIN($G$1, DATE(Initialisatie!$C$5,12,31)) - MAX($G$2, DATE(Initialisatie!$C$5,1,1)) + 1) &gt; 0,IFERROR(VALUE($G58),0)=0),
        AND(MAX(0, MIN($H$1, DATE(Initialisatie!$C$5,12,31)) - MAX($H$2, DATE(Initialisatie!$C$5,1,1)) + 1) &gt; 0,IFERROR(VALUE($H58),0)=0),
        AND(MAX(0, MIN($I$1, DATE(Initialisatie!$C$5,12,31)) - MAX($I$2, DATE(Initialisatie!$C$5,1,1)) + 1) &gt; 0,IFERROR(VALUE($I58),0)=0)
    ),
    0,
    SUM(
        IFERROR(VALUE($E58),0) * MAX(0, MIN($E$1, DATE(Initialisatie!$C$5,12,31)) - MAX($E$2, DATE(Initialisatie!$C$5,1,1)) + 1),
        IFERROR(VALUE($F58),0) * MAX(0, MIN($F$1, DATE(Initialisatie!$C$5,12,31)) - MAX($F$2, DATE(Initialisatie!$C$5,1,1)) + 1),
        IFERROR(VALUE($G58),0) * MAX(0, MIN($G$1, DATE(Initialisatie!$C$5,12,31)) - MAX($G$2, DATE(Initialisatie!$C$5,1,1)) + 1),
        IFERROR(VALUE($H58),0) * MAX(0, MIN($H$1, DATE(Initialisatie!$C$5,12,31)) - MAX($H$2, DATE(Initialisatie!$C$5,1,1)) + 1),
        IFERROR(VALUE($I58),0) * MAX(0, MIN($I$1, DATE(Initialisatie!$C$5,12,31)) - MAX($I$2, DATE(Initialisatie!$C$5,1,1)) + 1)
    ) / (DATE(Initialisatie!$C$5,12,31) - DATE(Initialisatie!$C$5,1,1) + 1)
)</f>
        <v>3327.9599999999996</v>
      </c>
      <c r="L58">
        <f>IF(
    OR(
        AND(MAX(0, IF(MIN($E$1, DATE(Initialisatie!$C$5,12,31)) &lt; MAX($E$2, DATE(Initialisatie!$C$5,1,1)), 0, MONTH(MIN($E$1, DATE(Initialisatie!$C$5,12,31))) - MONTH(MAX($E$2, DATE(Initialisatie!$C$5,1,1))) + 1)) &lt;= 0, IFERROR(VALUE($E58),0)=0),
        AND(MAX(0, IF(MIN($F$1, DATE(Initialisatie!$C$5,12,31)) &lt; MAX($F$2, DATE(Initialisatie!$C$5,1,1)), 0, MONTH(MIN($F$1, DATE(Initialisatie!$C$5,12,31))) - MONTH(MAX($F$2, DATE(Initialisatie!$C$5,1,1))) + 1)) &lt;= 0, IFERROR(VALUE($F58),0)=0),
        AND(MAX(0, IF(MIN($G$1, DATE(Initialisatie!$C$5,12,31)) &lt; MAX($G$2, DATE(Initialisatie!$C$5,1,1)), 0, MONTH(MIN($G$1, DATE(Initialisatie!$C$5,12,31))) - MONTH(MAX($G$2, DATE(Initialisatie!$C$5,1,1))) + 1)) &lt;= 0, IFERROR(VALUE($G58),0)=0),
        AND(MAX(0, IF(MIN($H$1, DATE(Initialisatie!$C$5,12,31)) &lt; MAX($H$2, DATE(Initialisatie!$C$5,1,1)), 0, MONTH(MIN($H$1, DATE(Initialisatie!$C$5,12,31))) - MONTH(MAX($H$2, DATE(Initialisatie!$C$5,1,1))) + 1)) &lt;= 0, IFERROR(VALUE($H58),0)=0),
        AND(MAX(0, IF(MIN($I$1, DATE(Initialisatie!$C$5,12,31)) &lt; MAX($I$2, DATE(Initialisatie!$C$5,1,1)), 0, MONTH(MIN($I$1, DATE(Initialisatie!$C$5,12,31))) - MONTH(MAX($I$2, DATE(Initialisatie!$C$5,1,1))) + 1)) &lt;= 0, IFERROR(VALUE($I58),0)=0)
    ),
    0,
    SUM(
        IFERROR(VALUE($E58),0) * MAX(0, IF(MIN($E$1, DATE(Initialisatie!$C$5,12,31)) &lt; MAX($E$2, DATE(Initialisatie!$C$5,1,1)), 0, MONTH(MIN($E$1, DATE(Initialisatie!$C$5,12,31))) - MONTH(MAX($E$2, DATE(Initialisatie!$C$5,1,1))) + 1)),
        IFERROR(VALUE($F58),0) * MAX(0, IF(MIN($F$1, DATE(Initialisatie!$C$5,12,31)) &lt; MAX($F$2, DATE(Initialisatie!$C$5,1,1)), 0, MONTH(MIN($F$1, DATE(Initialisatie!$C$5,12,31))) - MONTH(MAX($F$2, DATE(Initialisatie!$C$5,1,1))) + 1)),
        IFERROR(VALUE($G58),0) * MAX(0, IF(MIN($G$1, DATE(Initialisatie!$C$5,12,31)) &lt; MAX($G$2, DATE(Initialisatie!$C$5,1,1)), 0, MONTH(MIN($G$1, DATE(Initialisatie!$C$5,12,31))) - MONTH(MAX($G$2, DATE(Initialisatie!$C$5,1,1))) + 1)),
        IFERROR(VALUE($H58),0) * MAX(0, IF(MIN($H$1, DATE(Initialisatie!$C$5,12,31)) &lt; MAX($H$2, DATE(Initialisatie!$C$5,1,1)), 0, MONTH(MIN($H$1, DATE(Initialisatie!$C$5,12,31))) - MONTH(MAX($H$2, DATE(Initialisatie!$C$5,1,1))) + 1)),
        IFERROR(VALUE($I58),0) * MAX(0, IF(MIN($I$1, DATE(Initialisatie!$C$5,12,31)) &lt; MAX($I$2, DATE(Initialisatie!$C$5,1,1)), 0, MONTH(MIN($I$1, DATE(Initialisatie!$C$5,12,31))) - MONTH(MAX($I$2, DATE(Initialisatie!$C$5,1,1))) + 1))
    ) / 12
)</f>
        <v>3327.9600000000005</v>
      </c>
    </row>
    <row r="59" spans="1:12" x14ac:dyDescent="0.45">
      <c r="A59" s="989"/>
      <c r="B59" s="35" t="s">
        <v>95</v>
      </c>
      <c r="C59" s="35">
        <v>5</v>
      </c>
      <c r="D59" s="35" t="s">
        <v>232</v>
      </c>
      <c r="E59">
        <v>3160.43</v>
      </c>
      <c r="F59">
        <v>3199.93</v>
      </c>
      <c r="G59">
        <v>3315.13</v>
      </c>
      <c r="H59">
        <v>3437.79</v>
      </c>
      <c r="I59">
        <v>3554.67</v>
      </c>
      <c r="K59">
        <f>IF(
    OR(
        AND(MAX(0, MIN($E$1, DATE(Initialisatie!$C$5,12,31)) - MAX($E$2, DATE(Initialisatie!$C$5,1,1)) + 1) &gt; 0,IFERROR(VALUE($E59),0)=0),
        AND(MAX(0, MIN($F$1, DATE(Initialisatie!$C$5,12,31)) - MAX($F$2, DATE(Initialisatie!$C$5,1,1)) + 1) &gt; 0,IFERROR(VALUE($F59),0)=0),
        AND(MAX(0, MIN($G$1, DATE(Initialisatie!$C$5,12,31)) - MAX($G$2, DATE(Initialisatie!$C$5,1,1)) + 1) &gt; 0,IFERROR(VALUE($G59),0)=0),
        AND(MAX(0, MIN($H$1, DATE(Initialisatie!$C$5,12,31)) - MAX($H$2, DATE(Initialisatie!$C$5,1,1)) + 1) &gt; 0,IFERROR(VALUE($H59),0)=0),
        AND(MAX(0, MIN($I$1, DATE(Initialisatie!$C$5,12,31)) - MAX($I$2, DATE(Initialisatie!$C$5,1,1)) + 1) &gt; 0,IFERROR(VALUE($I59),0)=0)
    ),
    0,
    SUM(
        IFERROR(VALUE($E59),0) * MAX(0, MIN($E$1, DATE(Initialisatie!$C$5,12,31)) - MAX($E$2, DATE(Initialisatie!$C$5,1,1)) + 1),
        IFERROR(VALUE($F59),0) * MAX(0, MIN($F$1, DATE(Initialisatie!$C$5,12,31)) - MAX($F$2, DATE(Initialisatie!$C$5,1,1)) + 1),
        IFERROR(VALUE($G59),0) * MAX(0, MIN($G$1, DATE(Initialisatie!$C$5,12,31)) - MAX($G$2, DATE(Initialisatie!$C$5,1,1)) + 1),
        IFERROR(VALUE($H59),0) * MAX(0, MIN($H$1, DATE(Initialisatie!$C$5,12,31)) - MAX($H$2, DATE(Initialisatie!$C$5,1,1)) + 1),
        IFERROR(VALUE($I59),0) * MAX(0, MIN($I$1, DATE(Initialisatie!$C$5,12,31)) - MAX($I$2, DATE(Initialisatie!$C$5,1,1)) + 1)
    ) / (DATE(Initialisatie!$C$5,12,31) - DATE(Initialisatie!$C$5,1,1) + 1)
)</f>
        <v>3437.7900000000004</v>
      </c>
      <c r="L59">
        <f>IF(
    OR(
        AND(MAX(0, IF(MIN($E$1, DATE(Initialisatie!$C$5,12,31)) &lt; MAX($E$2, DATE(Initialisatie!$C$5,1,1)), 0, MONTH(MIN($E$1, DATE(Initialisatie!$C$5,12,31))) - MONTH(MAX($E$2, DATE(Initialisatie!$C$5,1,1))) + 1)) &lt;= 0, IFERROR(VALUE($E59),0)=0),
        AND(MAX(0, IF(MIN($F$1, DATE(Initialisatie!$C$5,12,31)) &lt; MAX($F$2, DATE(Initialisatie!$C$5,1,1)), 0, MONTH(MIN($F$1, DATE(Initialisatie!$C$5,12,31))) - MONTH(MAX($F$2, DATE(Initialisatie!$C$5,1,1))) + 1)) &lt;= 0, IFERROR(VALUE($F59),0)=0),
        AND(MAX(0, IF(MIN($G$1, DATE(Initialisatie!$C$5,12,31)) &lt; MAX($G$2, DATE(Initialisatie!$C$5,1,1)), 0, MONTH(MIN($G$1, DATE(Initialisatie!$C$5,12,31))) - MONTH(MAX($G$2, DATE(Initialisatie!$C$5,1,1))) + 1)) &lt;= 0, IFERROR(VALUE($G59),0)=0),
        AND(MAX(0, IF(MIN($H$1, DATE(Initialisatie!$C$5,12,31)) &lt; MAX($H$2, DATE(Initialisatie!$C$5,1,1)), 0, MONTH(MIN($H$1, DATE(Initialisatie!$C$5,12,31))) - MONTH(MAX($H$2, DATE(Initialisatie!$C$5,1,1))) + 1)) &lt;= 0, IFERROR(VALUE($H59),0)=0),
        AND(MAX(0, IF(MIN($I$1, DATE(Initialisatie!$C$5,12,31)) &lt; MAX($I$2, DATE(Initialisatie!$C$5,1,1)), 0, MONTH(MIN($I$1, DATE(Initialisatie!$C$5,12,31))) - MONTH(MAX($I$2, DATE(Initialisatie!$C$5,1,1))) + 1)) &lt;= 0, IFERROR(VALUE($I59),0)=0)
    ),
    0,
    SUM(
        IFERROR(VALUE($E59),0) * MAX(0, IF(MIN($E$1, DATE(Initialisatie!$C$5,12,31)) &lt; MAX($E$2, DATE(Initialisatie!$C$5,1,1)), 0, MONTH(MIN($E$1, DATE(Initialisatie!$C$5,12,31))) - MONTH(MAX($E$2, DATE(Initialisatie!$C$5,1,1))) + 1)),
        IFERROR(VALUE($F59),0) * MAX(0, IF(MIN($F$1, DATE(Initialisatie!$C$5,12,31)) &lt; MAX($F$2, DATE(Initialisatie!$C$5,1,1)), 0, MONTH(MIN($F$1, DATE(Initialisatie!$C$5,12,31))) - MONTH(MAX($F$2, DATE(Initialisatie!$C$5,1,1))) + 1)),
        IFERROR(VALUE($G59),0) * MAX(0, IF(MIN($G$1, DATE(Initialisatie!$C$5,12,31)) &lt; MAX($G$2, DATE(Initialisatie!$C$5,1,1)), 0, MONTH(MIN($G$1, DATE(Initialisatie!$C$5,12,31))) - MONTH(MAX($G$2, DATE(Initialisatie!$C$5,1,1))) + 1)),
        IFERROR(VALUE($H59),0) * MAX(0, IF(MIN($H$1, DATE(Initialisatie!$C$5,12,31)) &lt; MAX($H$2, DATE(Initialisatie!$C$5,1,1)), 0, MONTH(MIN($H$1, DATE(Initialisatie!$C$5,12,31))) - MONTH(MAX($H$2, DATE(Initialisatie!$C$5,1,1))) + 1)),
        IFERROR(VALUE($I59),0) * MAX(0, IF(MIN($I$1, DATE(Initialisatie!$C$5,12,31)) &lt; MAX($I$2, DATE(Initialisatie!$C$5,1,1)), 0, MONTH(MIN($I$1, DATE(Initialisatie!$C$5,12,31))) - MONTH(MAX($I$2, DATE(Initialisatie!$C$5,1,1))) + 1))
    ) / 12
)</f>
        <v>3437.7899999999995</v>
      </c>
    </row>
    <row r="60" spans="1:12" x14ac:dyDescent="0.45">
      <c r="A60" s="989"/>
      <c r="B60" s="35" t="s">
        <v>93</v>
      </c>
      <c r="C60" s="35">
        <v>6</v>
      </c>
      <c r="D60" s="35" t="s">
        <v>231</v>
      </c>
      <c r="E60">
        <v>3264.32</v>
      </c>
      <c r="F60">
        <v>3305.12</v>
      </c>
      <c r="G60">
        <v>3424.11</v>
      </c>
      <c r="H60">
        <v>3550.8</v>
      </c>
      <c r="I60">
        <v>3671.52</v>
      </c>
      <c r="K60">
        <f>IF(
    OR(
        AND(MAX(0, MIN($E$1, DATE(Initialisatie!$C$5,12,31)) - MAX($E$2, DATE(Initialisatie!$C$5,1,1)) + 1) &gt; 0,IFERROR(VALUE($E60),0)=0),
        AND(MAX(0, MIN($F$1, DATE(Initialisatie!$C$5,12,31)) - MAX($F$2, DATE(Initialisatie!$C$5,1,1)) + 1) &gt; 0,IFERROR(VALUE($F60),0)=0),
        AND(MAX(0, MIN($G$1, DATE(Initialisatie!$C$5,12,31)) - MAX($G$2, DATE(Initialisatie!$C$5,1,1)) + 1) &gt; 0,IFERROR(VALUE($G60),0)=0),
        AND(MAX(0, MIN($H$1, DATE(Initialisatie!$C$5,12,31)) - MAX($H$2, DATE(Initialisatie!$C$5,1,1)) + 1) &gt; 0,IFERROR(VALUE($H60),0)=0),
        AND(MAX(0, MIN($I$1, DATE(Initialisatie!$C$5,12,31)) - MAX($I$2, DATE(Initialisatie!$C$5,1,1)) + 1) &gt; 0,IFERROR(VALUE($I60),0)=0)
    ),
    0,
    SUM(
        IFERROR(VALUE($E60),0) * MAX(0, MIN($E$1, DATE(Initialisatie!$C$5,12,31)) - MAX($E$2, DATE(Initialisatie!$C$5,1,1)) + 1),
        IFERROR(VALUE($F60),0) * MAX(0, MIN($F$1, DATE(Initialisatie!$C$5,12,31)) - MAX($F$2, DATE(Initialisatie!$C$5,1,1)) + 1),
        IFERROR(VALUE($G60),0) * MAX(0, MIN($G$1, DATE(Initialisatie!$C$5,12,31)) - MAX($G$2, DATE(Initialisatie!$C$5,1,1)) + 1),
        IFERROR(VALUE($H60),0) * MAX(0, MIN($H$1, DATE(Initialisatie!$C$5,12,31)) - MAX($H$2, DATE(Initialisatie!$C$5,1,1)) + 1),
        IFERROR(VALUE($I60),0) * MAX(0, MIN($I$1, DATE(Initialisatie!$C$5,12,31)) - MAX($I$2, DATE(Initialisatie!$C$5,1,1)) + 1)
    ) / (DATE(Initialisatie!$C$5,12,31) - DATE(Initialisatie!$C$5,1,1) + 1)
)</f>
        <v>3550.8</v>
      </c>
      <c r="L60">
        <f>IF(
    OR(
        AND(MAX(0, IF(MIN($E$1, DATE(Initialisatie!$C$5,12,31)) &lt; MAX($E$2, DATE(Initialisatie!$C$5,1,1)), 0, MONTH(MIN($E$1, DATE(Initialisatie!$C$5,12,31))) - MONTH(MAX($E$2, DATE(Initialisatie!$C$5,1,1))) + 1)) &lt;= 0, IFERROR(VALUE($E60),0)=0),
        AND(MAX(0, IF(MIN($F$1, DATE(Initialisatie!$C$5,12,31)) &lt; MAX($F$2, DATE(Initialisatie!$C$5,1,1)), 0, MONTH(MIN($F$1, DATE(Initialisatie!$C$5,12,31))) - MONTH(MAX($F$2, DATE(Initialisatie!$C$5,1,1))) + 1)) &lt;= 0, IFERROR(VALUE($F60),0)=0),
        AND(MAX(0, IF(MIN($G$1, DATE(Initialisatie!$C$5,12,31)) &lt; MAX($G$2, DATE(Initialisatie!$C$5,1,1)), 0, MONTH(MIN($G$1, DATE(Initialisatie!$C$5,12,31))) - MONTH(MAX($G$2, DATE(Initialisatie!$C$5,1,1))) + 1)) &lt;= 0, IFERROR(VALUE($G60),0)=0),
        AND(MAX(0, IF(MIN($H$1, DATE(Initialisatie!$C$5,12,31)) &lt; MAX($H$2, DATE(Initialisatie!$C$5,1,1)), 0, MONTH(MIN($H$1, DATE(Initialisatie!$C$5,12,31))) - MONTH(MAX($H$2, DATE(Initialisatie!$C$5,1,1))) + 1)) &lt;= 0, IFERROR(VALUE($H60),0)=0),
        AND(MAX(0, IF(MIN($I$1, DATE(Initialisatie!$C$5,12,31)) &lt; MAX($I$2, DATE(Initialisatie!$C$5,1,1)), 0, MONTH(MIN($I$1, DATE(Initialisatie!$C$5,12,31))) - MONTH(MAX($I$2, DATE(Initialisatie!$C$5,1,1))) + 1)) &lt;= 0, IFERROR(VALUE($I60),0)=0)
    ),
    0,
    SUM(
        IFERROR(VALUE($E60),0) * MAX(0, IF(MIN($E$1, DATE(Initialisatie!$C$5,12,31)) &lt; MAX($E$2, DATE(Initialisatie!$C$5,1,1)), 0, MONTH(MIN($E$1, DATE(Initialisatie!$C$5,12,31))) - MONTH(MAX($E$2, DATE(Initialisatie!$C$5,1,1))) + 1)),
        IFERROR(VALUE($F60),0) * MAX(0, IF(MIN($F$1, DATE(Initialisatie!$C$5,12,31)) &lt; MAX($F$2, DATE(Initialisatie!$C$5,1,1)), 0, MONTH(MIN($F$1, DATE(Initialisatie!$C$5,12,31))) - MONTH(MAX($F$2, DATE(Initialisatie!$C$5,1,1))) + 1)),
        IFERROR(VALUE($G60),0) * MAX(0, IF(MIN($G$1, DATE(Initialisatie!$C$5,12,31)) &lt; MAX($G$2, DATE(Initialisatie!$C$5,1,1)), 0, MONTH(MIN($G$1, DATE(Initialisatie!$C$5,12,31))) - MONTH(MAX($G$2, DATE(Initialisatie!$C$5,1,1))) + 1)),
        IFERROR(VALUE($H60),0) * MAX(0, IF(MIN($H$1, DATE(Initialisatie!$C$5,12,31)) &lt; MAX($H$2, DATE(Initialisatie!$C$5,1,1)), 0, MONTH(MIN($H$1, DATE(Initialisatie!$C$5,12,31))) - MONTH(MAX($H$2, DATE(Initialisatie!$C$5,1,1))) + 1)),
        IFERROR(VALUE($I60),0) * MAX(0, IF(MIN($I$1, DATE(Initialisatie!$C$5,12,31)) &lt; MAX($I$2, DATE(Initialisatie!$C$5,1,1)), 0, MONTH(MIN($I$1, DATE(Initialisatie!$C$5,12,31))) - MONTH(MAX($I$2, DATE(Initialisatie!$C$5,1,1))) + 1))
    ) / 12
)</f>
        <v>3550.8000000000006</v>
      </c>
    </row>
    <row r="61" spans="1:12" x14ac:dyDescent="0.45">
      <c r="A61" s="989"/>
      <c r="B61" s="35" t="s">
        <v>91</v>
      </c>
      <c r="C61" s="35">
        <v>7</v>
      </c>
      <c r="D61" s="35" t="s">
        <v>230</v>
      </c>
      <c r="E61">
        <v>3372.59</v>
      </c>
      <c r="F61">
        <v>3414.75</v>
      </c>
      <c r="G61">
        <v>3537.68</v>
      </c>
      <c r="H61">
        <v>3668.58</v>
      </c>
      <c r="I61">
        <v>3793.31</v>
      </c>
      <c r="K61">
        <f>IF(
    OR(
        AND(MAX(0, MIN($E$1, DATE(Initialisatie!$C$5,12,31)) - MAX($E$2, DATE(Initialisatie!$C$5,1,1)) + 1) &gt; 0,IFERROR(VALUE($E61),0)=0),
        AND(MAX(0, MIN($F$1, DATE(Initialisatie!$C$5,12,31)) - MAX($F$2, DATE(Initialisatie!$C$5,1,1)) + 1) &gt; 0,IFERROR(VALUE($F61),0)=0),
        AND(MAX(0, MIN($G$1, DATE(Initialisatie!$C$5,12,31)) - MAX($G$2, DATE(Initialisatie!$C$5,1,1)) + 1) &gt; 0,IFERROR(VALUE($G61),0)=0),
        AND(MAX(0, MIN($H$1, DATE(Initialisatie!$C$5,12,31)) - MAX($H$2, DATE(Initialisatie!$C$5,1,1)) + 1) &gt; 0,IFERROR(VALUE($H61),0)=0),
        AND(MAX(0, MIN($I$1, DATE(Initialisatie!$C$5,12,31)) - MAX($I$2, DATE(Initialisatie!$C$5,1,1)) + 1) &gt; 0,IFERROR(VALUE($I61),0)=0)
    ),
    0,
    SUM(
        IFERROR(VALUE($E61),0) * MAX(0, MIN($E$1, DATE(Initialisatie!$C$5,12,31)) - MAX($E$2, DATE(Initialisatie!$C$5,1,1)) + 1),
        IFERROR(VALUE($F61),0) * MAX(0, MIN($F$1, DATE(Initialisatie!$C$5,12,31)) - MAX($F$2, DATE(Initialisatie!$C$5,1,1)) + 1),
        IFERROR(VALUE($G61),0) * MAX(0, MIN($G$1, DATE(Initialisatie!$C$5,12,31)) - MAX($G$2, DATE(Initialisatie!$C$5,1,1)) + 1),
        IFERROR(VALUE($H61),0) * MAX(0, MIN($H$1, DATE(Initialisatie!$C$5,12,31)) - MAX($H$2, DATE(Initialisatie!$C$5,1,1)) + 1),
        IFERROR(VALUE($I61),0) * MAX(0, MIN($I$1, DATE(Initialisatie!$C$5,12,31)) - MAX($I$2, DATE(Initialisatie!$C$5,1,1)) + 1)
    ) / (DATE(Initialisatie!$C$5,12,31) - DATE(Initialisatie!$C$5,1,1) + 1)
)</f>
        <v>3668.58</v>
      </c>
      <c r="L61">
        <f>IF(
    OR(
        AND(MAX(0, IF(MIN($E$1, DATE(Initialisatie!$C$5,12,31)) &lt; MAX($E$2, DATE(Initialisatie!$C$5,1,1)), 0, MONTH(MIN($E$1, DATE(Initialisatie!$C$5,12,31))) - MONTH(MAX($E$2, DATE(Initialisatie!$C$5,1,1))) + 1)) &lt;= 0, IFERROR(VALUE($E61),0)=0),
        AND(MAX(0, IF(MIN($F$1, DATE(Initialisatie!$C$5,12,31)) &lt; MAX($F$2, DATE(Initialisatie!$C$5,1,1)), 0, MONTH(MIN($F$1, DATE(Initialisatie!$C$5,12,31))) - MONTH(MAX($F$2, DATE(Initialisatie!$C$5,1,1))) + 1)) &lt;= 0, IFERROR(VALUE($F61),0)=0),
        AND(MAX(0, IF(MIN($G$1, DATE(Initialisatie!$C$5,12,31)) &lt; MAX($G$2, DATE(Initialisatie!$C$5,1,1)), 0, MONTH(MIN($G$1, DATE(Initialisatie!$C$5,12,31))) - MONTH(MAX($G$2, DATE(Initialisatie!$C$5,1,1))) + 1)) &lt;= 0, IFERROR(VALUE($G61),0)=0),
        AND(MAX(0, IF(MIN($H$1, DATE(Initialisatie!$C$5,12,31)) &lt; MAX($H$2, DATE(Initialisatie!$C$5,1,1)), 0, MONTH(MIN($H$1, DATE(Initialisatie!$C$5,12,31))) - MONTH(MAX($H$2, DATE(Initialisatie!$C$5,1,1))) + 1)) &lt;= 0, IFERROR(VALUE($H61),0)=0),
        AND(MAX(0, IF(MIN($I$1, DATE(Initialisatie!$C$5,12,31)) &lt; MAX($I$2, DATE(Initialisatie!$C$5,1,1)), 0, MONTH(MIN($I$1, DATE(Initialisatie!$C$5,12,31))) - MONTH(MAX($I$2, DATE(Initialisatie!$C$5,1,1))) + 1)) &lt;= 0, IFERROR(VALUE($I61),0)=0)
    ),
    0,
    SUM(
        IFERROR(VALUE($E61),0) * MAX(0, IF(MIN($E$1, DATE(Initialisatie!$C$5,12,31)) &lt; MAX($E$2, DATE(Initialisatie!$C$5,1,1)), 0, MONTH(MIN($E$1, DATE(Initialisatie!$C$5,12,31))) - MONTH(MAX($E$2, DATE(Initialisatie!$C$5,1,1))) + 1)),
        IFERROR(VALUE($F61),0) * MAX(0, IF(MIN($F$1, DATE(Initialisatie!$C$5,12,31)) &lt; MAX($F$2, DATE(Initialisatie!$C$5,1,1)), 0, MONTH(MIN($F$1, DATE(Initialisatie!$C$5,12,31))) - MONTH(MAX($F$2, DATE(Initialisatie!$C$5,1,1))) + 1)),
        IFERROR(VALUE($G61),0) * MAX(0, IF(MIN($G$1, DATE(Initialisatie!$C$5,12,31)) &lt; MAX($G$2, DATE(Initialisatie!$C$5,1,1)), 0, MONTH(MIN($G$1, DATE(Initialisatie!$C$5,12,31))) - MONTH(MAX($G$2, DATE(Initialisatie!$C$5,1,1))) + 1)),
        IFERROR(VALUE($H61),0) * MAX(0, IF(MIN($H$1, DATE(Initialisatie!$C$5,12,31)) &lt; MAX($H$2, DATE(Initialisatie!$C$5,1,1)), 0, MONTH(MIN($H$1, DATE(Initialisatie!$C$5,12,31))) - MONTH(MAX($H$2, DATE(Initialisatie!$C$5,1,1))) + 1)),
        IFERROR(VALUE($I61),0) * MAX(0, IF(MIN($I$1, DATE(Initialisatie!$C$5,12,31)) &lt; MAX($I$2, DATE(Initialisatie!$C$5,1,1)), 0, MONTH(MIN($I$1, DATE(Initialisatie!$C$5,12,31))) - MONTH(MAX($I$2, DATE(Initialisatie!$C$5,1,1))) + 1))
    ) / 12
)</f>
        <v>3668.58</v>
      </c>
    </row>
    <row r="62" spans="1:12" x14ac:dyDescent="0.45">
      <c r="A62" s="989"/>
      <c r="B62" s="35" t="s">
        <v>89</v>
      </c>
      <c r="C62" s="35">
        <v>8</v>
      </c>
      <c r="D62" s="35" t="s">
        <v>229</v>
      </c>
      <c r="E62">
        <v>3483.76</v>
      </c>
      <c r="F62">
        <v>3527.31</v>
      </c>
      <c r="G62">
        <v>3654.29</v>
      </c>
      <c r="H62">
        <v>3789.5</v>
      </c>
      <c r="I62">
        <v>3918.35</v>
      </c>
      <c r="K62">
        <f>IF(
    OR(
        AND(MAX(0, MIN($E$1, DATE(Initialisatie!$C$5,12,31)) - MAX($E$2, DATE(Initialisatie!$C$5,1,1)) + 1) &gt; 0,IFERROR(VALUE($E62),0)=0),
        AND(MAX(0, MIN($F$1, DATE(Initialisatie!$C$5,12,31)) - MAX($F$2, DATE(Initialisatie!$C$5,1,1)) + 1) &gt; 0,IFERROR(VALUE($F62),0)=0),
        AND(MAX(0, MIN($G$1, DATE(Initialisatie!$C$5,12,31)) - MAX($G$2, DATE(Initialisatie!$C$5,1,1)) + 1) &gt; 0,IFERROR(VALUE($G62),0)=0),
        AND(MAX(0, MIN($H$1, DATE(Initialisatie!$C$5,12,31)) - MAX($H$2, DATE(Initialisatie!$C$5,1,1)) + 1) &gt; 0,IFERROR(VALUE($H62),0)=0),
        AND(MAX(0, MIN($I$1, DATE(Initialisatie!$C$5,12,31)) - MAX($I$2, DATE(Initialisatie!$C$5,1,1)) + 1) &gt; 0,IFERROR(VALUE($I62),0)=0)
    ),
    0,
    SUM(
        IFERROR(VALUE($E62),0) * MAX(0, MIN($E$1, DATE(Initialisatie!$C$5,12,31)) - MAX($E$2, DATE(Initialisatie!$C$5,1,1)) + 1),
        IFERROR(VALUE($F62),0) * MAX(0, MIN($F$1, DATE(Initialisatie!$C$5,12,31)) - MAX($F$2, DATE(Initialisatie!$C$5,1,1)) + 1),
        IFERROR(VALUE($G62),0) * MAX(0, MIN($G$1, DATE(Initialisatie!$C$5,12,31)) - MAX($G$2, DATE(Initialisatie!$C$5,1,1)) + 1),
        IFERROR(VALUE($H62),0) * MAX(0, MIN($H$1, DATE(Initialisatie!$C$5,12,31)) - MAX($H$2, DATE(Initialisatie!$C$5,1,1)) + 1),
        IFERROR(VALUE($I62),0) * MAX(0, MIN($I$1, DATE(Initialisatie!$C$5,12,31)) - MAX($I$2, DATE(Initialisatie!$C$5,1,1)) + 1)
    ) / (DATE(Initialisatie!$C$5,12,31) - DATE(Initialisatie!$C$5,1,1) + 1)
)</f>
        <v>3789.5</v>
      </c>
      <c r="L62">
        <f>IF(
    OR(
        AND(MAX(0, IF(MIN($E$1, DATE(Initialisatie!$C$5,12,31)) &lt; MAX($E$2, DATE(Initialisatie!$C$5,1,1)), 0, MONTH(MIN($E$1, DATE(Initialisatie!$C$5,12,31))) - MONTH(MAX($E$2, DATE(Initialisatie!$C$5,1,1))) + 1)) &lt;= 0, IFERROR(VALUE($E62),0)=0),
        AND(MAX(0, IF(MIN($F$1, DATE(Initialisatie!$C$5,12,31)) &lt; MAX($F$2, DATE(Initialisatie!$C$5,1,1)), 0, MONTH(MIN($F$1, DATE(Initialisatie!$C$5,12,31))) - MONTH(MAX($F$2, DATE(Initialisatie!$C$5,1,1))) + 1)) &lt;= 0, IFERROR(VALUE($F62),0)=0),
        AND(MAX(0, IF(MIN($G$1, DATE(Initialisatie!$C$5,12,31)) &lt; MAX($G$2, DATE(Initialisatie!$C$5,1,1)), 0, MONTH(MIN($G$1, DATE(Initialisatie!$C$5,12,31))) - MONTH(MAX($G$2, DATE(Initialisatie!$C$5,1,1))) + 1)) &lt;= 0, IFERROR(VALUE($G62),0)=0),
        AND(MAX(0, IF(MIN($H$1, DATE(Initialisatie!$C$5,12,31)) &lt; MAX($H$2, DATE(Initialisatie!$C$5,1,1)), 0, MONTH(MIN($H$1, DATE(Initialisatie!$C$5,12,31))) - MONTH(MAX($H$2, DATE(Initialisatie!$C$5,1,1))) + 1)) &lt;= 0, IFERROR(VALUE($H62),0)=0),
        AND(MAX(0, IF(MIN($I$1, DATE(Initialisatie!$C$5,12,31)) &lt; MAX($I$2, DATE(Initialisatie!$C$5,1,1)), 0, MONTH(MIN($I$1, DATE(Initialisatie!$C$5,12,31))) - MONTH(MAX($I$2, DATE(Initialisatie!$C$5,1,1))) + 1)) &lt;= 0, IFERROR(VALUE($I62),0)=0)
    ),
    0,
    SUM(
        IFERROR(VALUE($E62),0) * MAX(0, IF(MIN($E$1, DATE(Initialisatie!$C$5,12,31)) &lt; MAX($E$2, DATE(Initialisatie!$C$5,1,1)), 0, MONTH(MIN($E$1, DATE(Initialisatie!$C$5,12,31))) - MONTH(MAX($E$2, DATE(Initialisatie!$C$5,1,1))) + 1)),
        IFERROR(VALUE($F62),0) * MAX(0, IF(MIN($F$1, DATE(Initialisatie!$C$5,12,31)) &lt; MAX($F$2, DATE(Initialisatie!$C$5,1,1)), 0, MONTH(MIN($F$1, DATE(Initialisatie!$C$5,12,31))) - MONTH(MAX($F$2, DATE(Initialisatie!$C$5,1,1))) + 1)),
        IFERROR(VALUE($G62),0) * MAX(0, IF(MIN($G$1, DATE(Initialisatie!$C$5,12,31)) &lt; MAX($G$2, DATE(Initialisatie!$C$5,1,1)), 0, MONTH(MIN($G$1, DATE(Initialisatie!$C$5,12,31))) - MONTH(MAX($G$2, DATE(Initialisatie!$C$5,1,1))) + 1)),
        IFERROR(VALUE($H62),0) * MAX(0, IF(MIN($H$1, DATE(Initialisatie!$C$5,12,31)) &lt; MAX($H$2, DATE(Initialisatie!$C$5,1,1)), 0, MONTH(MIN($H$1, DATE(Initialisatie!$C$5,12,31))) - MONTH(MAX($H$2, DATE(Initialisatie!$C$5,1,1))) + 1)),
        IFERROR(VALUE($I62),0) * MAX(0, IF(MIN($I$1, DATE(Initialisatie!$C$5,12,31)) &lt; MAX($I$2, DATE(Initialisatie!$C$5,1,1)), 0, MONTH(MIN($I$1, DATE(Initialisatie!$C$5,12,31))) - MONTH(MAX($I$2, DATE(Initialisatie!$C$5,1,1))) + 1))
    ) / 12
)</f>
        <v>3789.5</v>
      </c>
    </row>
    <row r="63" spans="1:12" x14ac:dyDescent="0.45">
      <c r="A63" s="989"/>
      <c r="B63" s="35" t="s">
        <v>87</v>
      </c>
      <c r="C63" s="35">
        <v>9</v>
      </c>
      <c r="D63" s="35" t="s">
        <v>228</v>
      </c>
      <c r="E63">
        <v>3598.54</v>
      </c>
      <c r="F63">
        <v>3643.52</v>
      </c>
      <c r="G63">
        <v>3774.69</v>
      </c>
      <c r="H63">
        <v>3914.35</v>
      </c>
      <c r="I63">
        <v>4047.44</v>
      </c>
      <c r="K63">
        <f>IF(
    OR(
        AND(MAX(0, MIN($E$1, DATE(Initialisatie!$C$5,12,31)) - MAX($E$2, DATE(Initialisatie!$C$5,1,1)) + 1) &gt; 0,IFERROR(VALUE($E63),0)=0),
        AND(MAX(0, MIN($F$1, DATE(Initialisatie!$C$5,12,31)) - MAX($F$2, DATE(Initialisatie!$C$5,1,1)) + 1) &gt; 0,IFERROR(VALUE($F63),0)=0),
        AND(MAX(0, MIN($G$1, DATE(Initialisatie!$C$5,12,31)) - MAX($G$2, DATE(Initialisatie!$C$5,1,1)) + 1) &gt; 0,IFERROR(VALUE($G63),0)=0),
        AND(MAX(0, MIN($H$1, DATE(Initialisatie!$C$5,12,31)) - MAX($H$2, DATE(Initialisatie!$C$5,1,1)) + 1) &gt; 0,IFERROR(VALUE($H63),0)=0),
        AND(MAX(0, MIN($I$1, DATE(Initialisatie!$C$5,12,31)) - MAX($I$2, DATE(Initialisatie!$C$5,1,1)) + 1) &gt; 0,IFERROR(VALUE($I63),0)=0)
    ),
    0,
    SUM(
        IFERROR(VALUE($E63),0) * MAX(0, MIN($E$1, DATE(Initialisatie!$C$5,12,31)) - MAX($E$2, DATE(Initialisatie!$C$5,1,1)) + 1),
        IFERROR(VALUE($F63),0) * MAX(0, MIN($F$1, DATE(Initialisatie!$C$5,12,31)) - MAX($F$2, DATE(Initialisatie!$C$5,1,1)) + 1),
        IFERROR(VALUE($G63),0) * MAX(0, MIN($G$1, DATE(Initialisatie!$C$5,12,31)) - MAX($G$2, DATE(Initialisatie!$C$5,1,1)) + 1),
        IFERROR(VALUE($H63),0) * MAX(0, MIN($H$1, DATE(Initialisatie!$C$5,12,31)) - MAX($H$2, DATE(Initialisatie!$C$5,1,1)) + 1),
        IFERROR(VALUE($I63),0) * MAX(0, MIN($I$1, DATE(Initialisatie!$C$5,12,31)) - MAX($I$2, DATE(Initialisatie!$C$5,1,1)) + 1)
    ) / (DATE(Initialisatie!$C$5,12,31) - DATE(Initialisatie!$C$5,1,1) + 1)
)</f>
        <v>3914.35</v>
      </c>
      <c r="L63">
        <f>IF(
    OR(
        AND(MAX(0, IF(MIN($E$1, DATE(Initialisatie!$C$5,12,31)) &lt; MAX($E$2, DATE(Initialisatie!$C$5,1,1)), 0, MONTH(MIN($E$1, DATE(Initialisatie!$C$5,12,31))) - MONTH(MAX($E$2, DATE(Initialisatie!$C$5,1,1))) + 1)) &lt;= 0, IFERROR(VALUE($E63),0)=0),
        AND(MAX(0, IF(MIN($F$1, DATE(Initialisatie!$C$5,12,31)) &lt; MAX($F$2, DATE(Initialisatie!$C$5,1,1)), 0, MONTH(MIN($F$1, DATE(Initialisatie!$C$5,12,31))) - MONTH(MAX($F$2, DATE(Initialisatie!$C$5,1,1))) + 1)) &lt;= 0, IFERROR(VALUE($F63),0)=0),
        AND(MAX(0, IF(MIN($G$1, DATE(Initialisatie!$C$5,12,31)) &lt; MAX($G$2, DATE(Initialisatie!$C$5,1,1)), 0, MONTH(MIN($G$1, DATE(Initialisatie!$C$5,12,31))) - MONTH(MAX($G$2, DATE(Initialisatie!$C$5,1,1))) + 1)) &lt;= 0, IFERROR(VALUE($G63),0)=0),
        AND(MAX(0, IF(MIN($H$1, DATE(Initialisatie!$C$5,12,31)) &lt; MAX($H$2, DATE(Initialisatie!$C$5,1,1)), 0, MONTH(MIN($H$1, DATE(Initialisatie!$C$5,12,31))) - MONTH(MAX($H$2, DATE(Initialisatie!$C$5,1,1))) + 1)) &lt;= 0, IFERROR(VALUE($H63),0)=0),
        AND(MAX(0, IF(MIN($I$1, DATE(Initialisatie!$C$5,12,31)) &lt; MAX($I$2, DATE(Initialisatie!$C$5,1,1)), 0, MONTH(MIN($I$1, DATE(Initialisatie!$C$5,12,31))) - MONTH(MAX($I$2, DATE(Initialisatie!$C$5,1,1))) + 1)) &lt;= 0, IFERROR(VALUE($I63),0)=0)
    ),
    0,
    SUM(
        IFERROR(VALUE($E63),0) * MAX(0, IF(MIN($E$1, DATE(Initialisatie!$C$5,12,31)) &lt; MAX($E$2, DATE(Initialisatie!$C$5,1,1)), 0, MONTH(MIN($E$1, DATE(Initialisatie!$C$5,12,31))) - MONTH(MAX($E$2, DATE(Initialisatie!$C$5,1,1))) + 1)),
        IFERROR(VALUE($F63),0) * MAX(0, IF(MIN($F$1, DATE(Initialisatie!$C$5,12,31)) &lt; MAX($F$2, DATE(Initialisatie!$C$5,1,1)), 0, MONTH(MIN($F$1, DATE(Initialisatie!$C$5,12,31))) - MONTH(MAX($F$2, DATE(Initialisatie!$C$5,1,1))) + 1)),
        IFERROR(VALUE($G63),0) * MAX(0, IF(MIN($G$1, DATE(Initialisatie!$C$5,12,31)) &lt; MAX($G$2, DATE(Initialisatie!$C$5,1,1)), 0, MONTH(MIN($G$1, DATE(Initialisatie!$C$5,12,31))) - MONTH(MAX($G$2, DATE(Initialisatie!$C$5,1,1))) + 1)),
        IFERROR(VALUE($H63),0) * MAX(0, IF(MIN($H$1, DATE(Initialisatie!$C$5,12,31)) &lt; MAX($H$2, DATE(Initialisatie!$C$5,1,1)), 0, MONTH(MIN($H$1, DATE(Initialisatie!$C$5,12,31))) - MONTH(MAX($H$2, DATE(Initialisatie!$C$5,1,1))) + 1)),
        IFERROR(VALUE($I63),0) * MAX(0, IF(MIN($I$1, DATE(Initialisatie!$C$5,12,31)) &lt; MAX($I$2, DATE(Initialisatie!$C$5,1,1)), 0, MONTH(MIN($I$1, DATE(Initialisatie!$C$5,12,31))) - MONTH(MAX($I$2, DATE(Initialisatie!$C$5,1,1))) + 1))
    ) / 12
)</f>
        <v>3914.35</v>
      </c>
    </row>
    <row r="64" spans="1:12" x14ac:dyDescent="0.45">
      <c r="A64" s="989"/>
      <c r="B64" s="35" t="s">
        <v>109</v>
      </c>
      <c r="C64" s="35">
        <v>10</v>
      </c>
      <c r="D64" s="35" t="s">
        <v>239</v>
      </c>
      <c r="E64">
        <v>3716.98</v>
      </c>
      <c r="F64">
        <v>3763.44</v>
      </c>
      <c r="G64">
        <v>3898.93</v>
      </c>
      <c r="H64">
        <v>4043.19</v>
      </c>
      <c r="I64">
        <v>4180.66</v>
      </c>
      <c r="K64">
        <f>IF(
    OR(
        AND(MAX(0, MIN($E$1, DATE(Initialisatie!$C$5,12,31)) - MAX($E$2, DATE(Initialisatie!$C$5,1,1)) + 1) &gt; 0,IFERROR(VALUE($E64),0)=0),
        AND(MAX(0, MIN($F$1, DATE(Initialisatie!$C$5,12,31)) - MAX($F$2, DATE(Initialisatie!$C$5,1,1)) + 1) &gt; 0,IFERROR(VALUE($F64),0)=0),
        AND(MAX(0, MIN($G$1, DATE(Initialisatie!$C$5,12,31)) - MAX($G$2, DATE(Initialisatie!$C$5,1,1)) + 1) &gt; 0,IFERROR(VALUE($G64),0)=0),
        AND(MAX(0, MIN($H$1, DATE(Initialisatie!$C$5,12,31)) - MAX($H$2, DATE(Initialisatie!$C$5,1,1)) + 1) &gt; 0,IFERROR(VALUE($H64),0)=0),
        AND(MAX(0, MIN($I$1, DATE(Initialisatie!$C$5,12,31)) - MAX($I$2, DATE(Initialisatie!$C$5,1,1)) + 1) &gt; 0,IFERROR(VALUE($I64),0)=0)
    ),
    0,
    SUM(
        IFERROR(VALUE($E64),0) * MAX(0, MIN($E$1, DATE(Initialisatie!$C$5,12,31)) - MAX($E$2, DATE(Initialisatie!$C$5,1,1)) + 1),
        IFERROR(VALUE($F64),0) * MAX(0, MIN($F$1, DATE(Initialisatie!$C$5,12,31)) - MAX($F$2, DATE(Initialisatie!$C$5,1,1)) + 1),
        IFERROR(VALUE($G64),0) * MAX(0, MIN($G$1, DATE(Initialisatie!$C$5,12,31)) - MAX($G$2, DATE(Initialisatie!$C$5,1,1)) + 1),
        IFERROR(VALUE($H64),0) * MAX(0, MIN($H$1, DATE(Initialisatie!$C$5,12,31)) - MAX($H$2, DATE(Initialisatie!$C$5,1,1)) + 1),
        IFERROR(VALUE($I64),0) * MAX(0, MIN($I$1, DATE(Initialisatie!$C$5,12,31)) - MAX($I$2, DATE(Initialisatie!$C$5,1,1)) + 1)
    ) / (DATE(Initialisatie!$C$5,12,31) - DATE(Initialisatie!$C$5,1,1) + 1)
)</f>
        <v>4043.19</v>
      </c>
      <c r="L64">
        <f>IF(
    OR(
        AND(MAX(0, IF(MIN($E$1, DATE(Initialisatie!$C$5,12,31)) &lt; MAX($E$2, DATE(Initialisatie!$C$5,1,1)), 0, MONTH(MIN($E$1, DATE(Initialisatie!$C$5,12,31))) - MONTH(MAX($E$2, DATE(Initialisatie!$C$5,1,1))) + 1)) &lt;= 0, IFERROR(VALUE($E64),0)=0),
        AND(MAX(0, IF(MIN($F$1, DATE(Initialisatie!$C$5,12,31)) &lt; MAX($F$2, DATE(Initialisatie!$C$5,1,1)), 0, MONTH(MIN($F$1, DATE(Initialisatie!$C$5,12,31))) - MONTH(MAX($F$2, DATE(Initialisatie!$C$5,1,1))) + 1)) &lt;= 0, IFERROR(VALUE($F64),0)=0),
        AND(MAX(0, IF(MIN($G$1, DATE(Initialisatie!$C$5,12,31)) &lt; MAX($G$2, DATE(Initialisatie!$C$5,1,1)), 0, MONTH(MIN($G$1, DATE(Initialisatie!$C$5,12,31))) - MONTH(MAX($G$2, DATE(Initialisatie!$C$5,1,1))) + 1)) &lt;= 0, IFERROR(VALUE($G64),0)=0),
        AND(MAX(0, IF(MIN($H$1, DATE(Initialisatie!$C$5,12,31)) &lt; MAX($H$2, DATE(Initialisatie!$C$5,1,1)), 0, MONTH(MIN($H$1, DATE(Initialisatie!$C$5,12,31))) - MONTH(MAX($H$2, DATE(Initialisatie!$C$5,1,1))) + 1)) &lt;= 0, IFERROR(VALUE($H64),0)=0),
        AND(MAX(0, IF(MIN($I$1, DATE(Initialisatie!$C$5,12,31)) &lt; MAX($I$2, DATE(Initialisatie!$C$5,1,1)), 0, MONTH(MIN($I$1, DATE(Initialisatie!$C$5,12,31))) - MONTH(MAX($I$2, DATE(Initialisatie!$C$5,1,1))) + 1)) &lt;= 0, IFERROR(VALUE($I64),0)=0)
    ),
    0,
    SUM(
        IFERROR(VALUE($E64),0) * MAX(0, IF(MIN($E$1, DATE(Initialisatie!$C$5,12,31)) &lt; MAX($E$2, DATE(Initialisatie!$C$5,1,1)), 0, MONTH(MIN($E$1, DATE(Initialisatie!$C$5,12,31))) - MONTH(MAX($E$2, DATE(Initialisatie!$C$5,1,1))) + 1)),
        IFERROR(VALUE($F64),0) * MAX(0, IF(MIN($F$1, DATE(Initialisatie!$C$5,12,31)) &lt; MAX($F$2, DATE(Initialisatie!$C$5,1,1)), 0, MONTH(MIN($F$1, DATE(Initialisatie!$C$5,12,31))) - MONTH(MAX($F$2, DATE(Initialisatie!$C$5,1,1))) + 1)),
        IFERROR(VALUE($G64),0) * MAX(0, IF(MIN($G$1, DATE(Initialisatie!$C$5,12,31)) &lt; MAX($G$2, DATE(Initialisatie!$C$5,1,1)), 0, MONTH(MIN($G$1, DATE(Initialisatie!$C$5,12,31))) - MONTH(MAX($G$2, DATE(Initialisatie!$C$5,1,1))) + 1)),
        IFERROR(VALUE($H64),0) * MAX(0, IF(MIN($H$1, DATE(Initialisatie!$C$5,12,31)) &lt; MAX($H$2, DATE(Initialisatie!$C$5,1,1)), 0, MONTH(MIN($H$1, DATE(Initialisatie!$C$5,12,31))) - MONTH(MAX($H$2, DATE(Initialisatie!$C$5,1,1))) + 1)),
        IFERROR(VALUE($I64),0) * MAX(0, IF(MIN($I$1, DATE(Initialisatie!$C$5,12,31)) &lt; MAX($I$2, DATE(Initialisatie!$C$5,1,1)), 0, MONTH(MIN($I$1, DATE(Initialisatie!$C$5,12,31))) - MONTH(MAX($I$2, DATE(Initialisatie!$C$5,1,1))) + 1))
    ) / 12
)</f>
        <v>4043.19</v>
      </c>
    </row>
    <row r="65" spans="1:12" x14ac:dyDescent="0.45">
      <c r="A65" s="989"/>
      <c r="B65" s="35" t="s">
        <v>107</v>
      </c>
      <c r="C65" s="35">
        <v>11</v>
      </c>
      <c r="D65" s="35" t="s">
        <v>238</v>
      </c>
      <c r="E65">
        <v>3839.75</v>
      </c>
      <c r="F65">
        <v>3887.75</v>
      </c>
      <c r="G65">
        <v>4027.7</v>
      </c>
      <c r="H65">
        <v>4176.7299999999996</v>
      </c>
      <c r="I65">
        <v>4318.74</v>
      </c>
      <c r="K65">
        <f>IF(
    OR(
        AND(MAX(0, MIN($E$1, DATE(Initialisatie!$C$5,12,31)) - MAX($E$2, DATE(Initialisatie!$C$5,1,1)) + 1) &gt; 0,IFERROR(VALUE($E65),0)=0),
        AND(MAX(0, MIN($F$1, DATE(Initialisatie!$C$5,12,31)) - MAX($F$2, DATE(Initialisatie!$C$5,1,1)) + 1) &gt; 0,IFERROR(VALUE($F65),0)=0),
        AND(MAX(0, MIN($G$1, DATE(Initialisatie!$C$5,12,31)) - MAX($G$2, DATE(Initialisatie!$C$5,1,1)) + 1) &gt; 0,IFERROR(VALUE($G65),0)=0),
        AND(MAX(0, MIN($H$1, DATE(Initialisatie!$C$5,12,31)) - MAX($H$2, DATE(Initialisatie!$C$5,1,1)) + 1) &gt; 0,IFERROR(VALUE($H65),0)=0),
        AND(MAX(0, MIN($I$1, DATE(Initialisatie!$C$5,12,31)) - MAX($I$2, DATE(Initialisatie!$C$5,1,1)) + 1) &gt; 0,IFERROR(VALUE($I65),0)=0)
    ),
    0,
    SUM(
        IFERROR(VALUE($E65),0) * MAX(0, MIN($E$1, DATE(Initialisatie!$C$5,12,31)) - MAX($E$2, DATE(Initialisatie!$C$5,1,1)) + 1),
        IFERROR(VALUE($F65),0) * MAX(0, MIN($F$1, DATE(Initialisatie!$C$5,12,31)) - MAX($F$2, DATE(Initialisatie!$C$5,1,1)) + 1),
        IFERROR(VALUE($G65),0) * MAX(0, MIN($G$1, DATE(Initialisatie!$C$5,12,31)) - MAX($G$2, DATE(Initialisatie!$C$5,1,1)) + 1),
        IFERROR(VALUE($H65),0) * MAX(0, MIN($H$1, DATE(Initialisatie!$C$5,12,31)) - MAX($H$2, DATE(Initialisatie!$C$5,1,1)) + 1),
        IFERROR(VALUE($I65),0) * MAX(0, MIN($I$1, DATE(Initialisatie!$C$5,12,31)) - MAX($I$2, DATE(Initialisatie!$C$5,1,1)) + 1)
    ) / (DATE(Initialisatie!$C$5,12,31) - DATE(Initialisatie!$C$5,1,1) + 1)
)</f>
        <v>4176.7299999999996</v>
      </c>
      <c r="L65">
        <f>IF(
    OR(
        AND(MAX(0, IF(MIN($E$1, DATE(Initialisatie!$C$5,12,31)) &lt; MAX($E$2, DATE(Initialisatie!$C$5,1,1)), 0, MONTH(MIN($E$1, DATE(Initialisatie!$C$5,12,31))) - MONTH(MAX($E$2, DATE(Initialisatie!$C$5,1,1))) + 1)) &lt;= 0, IFERROR(VALUE($E65),0)=0),
        AND(MAX(0, IF(MIN($F$1, DATE(Initialisatie!$C$5,12,31)) &lt; MAX($F$2, DATE(Initialisatie!$C$5,1,1)), 0, MONTH(MIN($F$1, DATE(Initialisatie!$C$5,12,31))) - MONTH(MAX($F$2, DATE(Initialisatie!$C$5,1,1))) + 1)) &lt;= 0, IFERROR(VALUE($F65),0)=0),
        AND(MAX(0, IF(MIN($G$1, DATE(Initialisatie!$C$5,12,31)) &lt; MAX($G$2, DATE(Initialisatie!$C$5,1,1)), 0, MONTH(MIN($G$1, DATE(Initialisatie!$C$5,12,31))) - MONTH(MAX($G$2, DATE(Initialisatie!$C$5,1,1))) + 1)) &lt;= 0, IFERROR(VALUE($G65),0)=0),
        AND(MAX(0, IF(MIN($H$1, DATE(Initialisatie!$C$5,12,31)) &lt; MAX($H$2, DATE(Initialisatie!$C$5,1,1)), 0, MONTH(MIN($H$1, DATE(Initialisatie!$C$5,12,31))) - MONTH(MAX($H$2, DATE(Initialisatie!$C$5,1,1))) + 1)) &lt;= 0, IFERROR(VALUE($H65),0)=0),
        AND(MAX(0, IF(MIN($I$1, DATE(Initialisatie!$C$5,12,31)) &lt; MAX($I$2, DATE(Initialisatie!$C$5,1,1)), 0, MONTH(MIN($I$1, DATE(Initialisatie!$C$5,12,31))) - MONTH(MAX($I$2, DATE(Initialisatie!$C$5,1,1))) + 1)) &lt;= 0, IFERROR(VALUE($I65),0)=0)
    ),
    0,
    SUM(
        IFERROR(VALUE($E65),0) * MAX(0, IF(MIN($E$1, DATE(Initialisatie!$C$5,12,31)) &lt; MAX($E$2, DATE(Initialisatie!$C$5,1,1)), 0, MONTH(MIN($E$1, DATE(Initialisatie!$C$5,12,31))) - MONTH(MAX($E$2, DATE(Initialisatie!$C$5,1,1))) + 1)),
        IFERROR(VALUE($F65),0) * MAX(0, IF(MIN($F$1, DATE(Initialisatie!$C$5,12,31)) &lt; MAX($F$2, DATE(Initialisatie!$C$5,1,1)), 0, MONTH(MIN($F$1, DATE(Initialisatie!$C$5,12,31))) - MONTH(MAX($F$2, DATE(Initialisatie!$C$5,1,1))) + 1)),
        IFERROR(VALUE($G65),0) * MAX(0, IF(MIN($G$1, DATE(Initialisatie!$C$5,12,31)) &lt; MAX($G$2, DATE(Initialisatie!$C$5,1,1)), 0, MONTH(MIN($G$1, DATE(Initialisatie!$C$5,12,31))) - MONTH(MAX($G$2, DATE(Initialisatie!$C$5,1,1))) + 1)),
        IFERROR(VALUE($H65),0) * MAX(0, IF(MIN($H$1, DATE(Initialisatie!$C$5,12,31)) &lt; MAX($H$2, DATE(Initialisatie!$C$5,1,1)), 0, MONTH(MIN($H$1, DATE(Initialisatie!$C$5,12,31))) - MONTH(MAX($H$2, DATE(Initialisatie!$C$5,1,1))) + 1)),
        IFERROR(VALUE($I65),0) * MAX(0, IF(MIN($I$1, DATE(Initialisatie!$C$5,12,31)) &lt; MAX($I$2, DATE(Initialisatie!$C$5,1,1)), 0, MONTH(MIN($I$1, DATE(Initialisatie!$C$5,12,31))) - MONTH(MAX($I$2, DATE(Initialisatie!$C$5,1,1))) + 1))
    ) / 12
)</f>
        <v>4176.7299999999996</v>
      </c>
    </row>
    <row r="66" spans="1:12" x14ac:dyDescent="0.45">
      <c r="A66" s="989"/>
      <c r="B66" s="35" t="s">
        <v>105</v>
      </c>
      <c r="C66" s="35">
        <v>12</v>
      </c>
      <c r="D66" s="35" t="s">
        <v>237</v>
      </c>
      <c r="E66">
        <v>0</v>
      </c>
      <c r="F66">
        <v>0</v>
      </c>
      <c r="G66">
        <v>0</v>
      </c>
      <c r="H66">
        <v>0</v>
      </c>
      <c r="I66">
        <v>0</v>
      </c>
      <c r="K66">
        <f>IF(
    OR(
        AND(MAX(0, MIN($E$1, DATE(Initialisatie!$C$5,12,31)) - MAX($E$2, DATE(Initialisatie!$C$5,1,1)) + 1) &gt; 0,IFERROR(VALUE($E66),0)=0),
        AND(MAX(0, MIN($F$1, DATE(Initialisatie!$C$5,12,31)) - MAX($F$2, DATE(Initialisatie!$C$5,1,1)) + 1) &gt; 0,IFERROR(VALUE($F66),0)=0),
        AND(MAX(0, MIN($G$1, DATE(Initialisatie!$C$5,12,31)) - MAX($G$2, DATE(Initialisatie!$C$5,1,1)) + 1) &gt; 0,IFERROR(VALUE($G66),0)=0),
        AND(MAX(0, MIN($H$1, DATE(Initialisatie!$C$5,12,31)) - MAX($H$2, DATE(Initialisatie!$C$5,1,1)) + 1) &gt; 0,IFERROR(VALUE($H66),0)=0),
        AND(MAX(0, MIN($I$1, DATE(Initialisatie!$C$5,12,31)) - MAX($I$2, DATE(Initialisatie!$C$5,1,1)) + 1) &gt; 0,IFERROR(VALUE($I66),0)=0)
    ),
    0,
    SUM(
        IFERROR(VALUE($E66),0) * MAX(0, MIN($E$1, DATE(Initialisatie!$C$5,12,31)) - MAX($E$2, DATE(Initialisatie!$C$5,1,1)) + 1),
        IFERROR(VALUE($F66),0) * MAX(0, MIN($F$1, DATE(Initialisatie!$C$5,12,31)) - MAX($F$2, DATE(Initialisatie!$C$5,1,1)) + 1),
        IFERROR(VALUE($G66),0) * MAX(0, MIN($G$1, DATE(Initialisatie!$C$5,12,31)) - MAX($G$2, DATE(Initialisatie!$C$5,1,1)) + 1),
        IFERROR(VALUE($H66),0) * MAX(0, MIN($H$1, DATE(Initialisatie!$C$5,12,31)) - MAX($H$2, DATE(Initialisatie!$C$5,1,1)) + 1),
        IFERROR(VALUE($I66),0) * MAX(0, MIN($I$1, DATE(Initialisatie!$C$5,12,31)) - MAX($I$2, DATE(Initialisatie!$C$5,1,1)) + 1)
    ) / (DATE(Initialisatie!$C$5,12,31) - DATE(Initialisatie!$C$5,1,1) + 1)
)</f>
        <v>0</v>
      </c>
      <c r="L66">
        <f>IF(
    OR(
        AND(MAX(0, IF(MIN($E$1, DATE(Initialisatie!$C$5,12,31)) &lt; MAX($E$2, DATE(Initialisatie!$C$5,1,1)), 0, MONTH(MIN($E$1, DATE(Initialisatie!$C$5,12,31))) - MONTH(MAX($E$2, DATE(Initialisatie!$C$5,1,1))) + 1)) &lt;= 0, IFERROR(VALUE($E66),0)=0),
        AND(MAX(0, IF(MIN($F$1, DATE(Initialisatie!$C$5,12,31)) &lt; MAX($F$2, DATE(Initialisatie!$C$5,1,1)), 0, MONTH(MIN($F$1, DATE(Initialisatie!$C$5,12,31))) - MONTH(MAX($F$2, DATE(Initialisatie!$C$5,1,1))) + 1)) &lt;= 0, IFERROR(VALUE($F66),0)=0),
        AND(MAX(0, IF(MIN($G$1, DATE(Initialisatie!$C$5,12,31)) &lt; MAX($G$2, DATE(Initialisatie!$C$5,1,1)), 0, MONTH(MIN($G$1, DATE(Initialisatie!$C$5,12,31))) - MONTH(MAX($G$2, DATE(Initialisatie!$C$5,1,1))) + 1)) &lt;= 0, IFERROR(VALUE($G66),0)=0),
        AND(MAX(0, IF(MIN($H$1, DATE(Initialisatie!$C$5,12,31)) &lt; MAX($H$2, DATE(Initialisatie!$C$5,1,1)), 0, MONTH(MIN($H$1, DATE(Initialisatie!$C$5,12,31))) - MONTH(MAX($H$2, DATE(Initialisatie!$C$5,1,1))) + 1)) &lt;= 0, IFERROR(VALUE($H66),0)=0),
        AND(MAX(0, IF(MIN($I$1, DATE(Initialisatie!$C$5,12,31)) &lt; MAX($I$2, DATE(Initialisatie!$C$5,1,1)), 0, MONTH(MIN($I$1, DATE(Initialisatie!$C$5,12,31))) - MONTH(MAX($I$2, DATE(Initialisatie!$C$5,1,1))) + 1)) &lt;= 0, IFERROR(VALUE($I66),0)=0)
    ),
    0,
    SUM(
        IFERROR(VALUE($E66),0) * MAX(0, IF(MIN($E$1, DATE(Initialisatie!$C$5,12,31)) &lt; MAX($E$2, DATE(Initialisatie!$C$5,1,1)), 0, MONTH(MIN($E$1, DATE(Initialisatie!$C$5,12,31))) - MONTH(MAX($E$2, DATE(Initialisatie!$C$5,1,1))) + 1)),
        IFERROR(VALUE($F66),0) * MAX(0, IF(MIN($F$1, DATE(Initialisatie!$C$5,12,31)) &lt; MAX($F$2, DATE(Initialisatie!$C$5,1,1)), 0, MONTH(MIN($F$1, DATE(Initialisatie!$C$5,12,31))) - MONTH(MAX($F$2, DATE(Initialisatie!$C$5,1,1))) + 1)),
        IFERROR(VALUE($G66),0) * MAX(0, IF(MIN($G$1, DATE(Initialisatie!$C$5,12,31)) &lt; MAX($G$2, DATE(Initialisatie!$C$5,1,1)), 0, MONTH(MIN($G$1, DATE(Initialisatie!$C$5,12,31))) - MONTH(MAX($G$2, DATE(Initialisatie!$C$5,1,1))) + 1)),
        IFERROR(VALUE($H66),0) * MAX(0, IF(MIN($H$1, DATE(Initialisatie!$C$5,12,31)) &lt; MAX($H$2, DATE(Initialisatie!$C$5,1,1)), 0, MONTH(MIN($H$1, DATE(Initialisatie!$C$5,12,31))) - MONTH(MAX($H$2, DATE(Initialisatie!$C$5,1,1))) + 1)),
        IFERROR(VALUE($I66),0) * MAX(0, IF(MIN($I$1, DATE(Initialisatie!$C$5,12,31)) &lt; MAX($I$2, DATE(Initialisatie!$C$5,1,1)), 0, MONTH(MIN($I$1, DATE(Initialisatie!$C$5,12,31))) - MONTH(MAX($I$2, DATE(Initialisatie!$C$5,1,1))) + 1))
    ) / 12
)</f>
        <v>0</v>
      </c>
    </row>
    <row r="67" spans="1:12" x14ac:dyDescent="0.45">
      <c r="A67" s="989"/>
      <c r="B67" s="35" t="s">
        <v>103</v>
      </c>
      <c r="C67" s="35">
        <v>13</v>
      </c>
      <c r="D67" s="35" t="s">
        <v>236</v>
      </c>
      <c r="E67">
        <v>0</v>
      </c>
      <c r="F67">
        <v>0</v>
      </c>
      <c r="G67">
        <v>0</v>
      </c>
      <c r="H67">
        <v>0</v>
      </c>
      <c r="I67">
        <v>0</v>
      </c>
      <c r="K67">
        <f>IF(
    OR(
        AND(MAX(0, MIN($E$1, DATE(Initialisatie!$C$5,12,31)) - MAX($E$2, DATE(Initialisatie!$C$5,1,1)) + 1) &gt; 0,IFERROR(VALUE($E67),0)=0),
        AND(MAX(0, MIN($F$1, DATE(Initialisatie!$C$5,12,31)) - MAX($F$2, DATE(Initialisatie!$C$5,1,1)) + 1) &gt; 0,IFERROR(VALUE($F67),0)=0),
        AND(MAX(0, MIN($G$1, DATE(Initialisatie!$C$5,12,31)) - MAX($G$2, DATE(Initialisatie!$C$5,1,1)) + 1) &gt; 0,IFERROR(VALUE($G67),0)=0),
        AND(MAX(0, MIN($H$1, DATE(Initialisatie!$C$5,12,31)) - MAX($H$2, DATE(Initialisatie!$C$5,1,1)) + 1) &gt; 0,IFERROR(VALUE($H67),0)=0),
        AND(MAX(0, MIN($I$1, DATE(Initialisatie!$C$5,12,31)) - MAX($I$2, DATE(Initialisatie!$C$5,1,1)) + 1) &gt; 0,IFERROR(VALUE($I67),0)=0)
    ),
    0,
    SUM(
        IFERROR(VALUE($E67),0) * MAX(0, MIN($E$1, DATE(Initialisatie!$C$5,12,31)) - MAX($E$2, DATE(Initialisatie!$C$5,1,1)) + 1),
        IFERROR(VALUE($F67),0) * MAX(0, MIN($F$1, DATE(Initialisatie!$C$5,12,31)) - MAX($F$2, DATE(Initialisatie!$C$5,1,1)) + 1),
        IFERROR(VALUE($G67),0) * MAX(0, MIN($G$1, DATE(Initialisatie!$C$5,12,31)) - MAX($G$2, DATE(Initialisatie!$C$5,1,1)) + 1),
        IFERROR(VALUE($H67),0) * MAX(0, MIN($H$1, DATE(Initialisatie!$C$5,12,31)) - MAX($H$2, DATE(Initialisatie!$C$5,1,1)) + 1),
        IFERROR(VALUE($I67),0) * MAX(0, MIN($I$1, DATE(Initialisatie!$C$5,12,31)) - MAX($I$2, DATE(Initialisatie!$C$5,1,1)) + 1)
    ) / (DATE(Initialisatie!$C$5,12,31) - DATE(Initialisatie!$C$5,1,1) + 1)
)</f>
        <v>0</v>
      </c>
      <c r="L67">
        <f>IF(
    OR(
        AND(MAX(0, IF(MIN($E$1, DATE(Initialisatie!$C$5,12,31)) &lt; MAX($E$2, DATE(Initialisatie!$C$5,1,1)), 0, MONTH(MIN($E$1, DATE(Initialisatie!$C$5,12,31))) - MONTH(MAX($E$2, DATE(Initialisatie!$C$5,1,1))) + 1)) &lt;= 0, IFERROR(VALUE($E67),0)=0),
        AND(MAX(0, IF(MIN($F$1, DATE(Initialisatie!$C$5,12,31)) &lt; MAX($F$2, DATE(Initialisatie!$C$5,1,1)), 0, MONTH(MIN($F$1, DATE(Initialisatie!$C$5,12,31))) - MONTH(MAX($F$2, DATE(Initialisatie!$C$5,1,1))) + 1)) &lt;= 0, IFERROR(VALUE($F67),0)=0),
        AND(MAX(0, IF(MIN($G$1, DATE(Initialisatie!$C$5,12,31)) &lt; MAX($G$2, DATE(Initialisatie!$C$5,1,1)), 0, MONTH(MIN($G$1, DATE(Initialisatie!$C$5,12,31))) - MONTH(MAX($G$2, DATE(Initialisatie!$C$5,1,1))) + 1)) &lt;= 0, IFERROR(VALUE($G67),0)=0),
        AND(MAX(0, IF(MIN($H$1, DATE(Initialisatie!$C$5,12,31)) &lt; MAX($H$2, DATE(Initialisatie!$C$5,1,1)), 0, MONTH(MIN($H$1, DATE(Initialisatie!$C$5,12,31))) - MONTH(MAX($H$2, DATE(Initialisatie!$C$5,1,1))) + 1)) &lt;= 0, IFERROR(VALUE($H67),0)=0),
        AND(MAX(0, IF(MIN($I$1, DATE(Initialisatie!$C$5,12,31)) &lt; MAX($I$2, DATE(Initialisatie!$C$5,1,1)), 0, MONTH(MIN($I$1, DATE(Initialisatie!$C$5,12,31))) - MONTH(MAX($I$2, DATE(Initialisatie!$C$5,1,1))) + 1)) &lt;= 0, IFERROR(VALUE($I67),0)=0)
    ),
    0,
    SUM(
        IFERROR(VALUE($E67),0) * MAX(0, IF(MIN($E$1, DATE(Initialisatie!$C$5,12,31)) &lt; MAX($E$2, DATE(Initialisatie!$C$5,1,1)), 0, MONTH(MIN($E$1, DATE(Initialisatie!$C$5,12,31))) - MONTH(MAX($E$2, DATE(Initialisatie!$C$5,1,1))) + 1)),
        IFERROR(VALUE($F67),0) * MAX(0, IF(MIN($F$1, DATE(Initialisatie!$C$5,12,31)) &lt; MAX($F$2, DATE(Initialisatie!$C$5,1,1)), 0, MONTH(MIN($F$1, DATE(Initialisatie!$C$5,12,31))) - MONTH(MAX($F$2, DATE(Initialisatie!$C$5,1,1))) + 1)),
        IFERROR(VALUE($G67),0) * MAX(0, IF(MIN($G$1, DATE(Initialisatie!$C$5,12,31)) &lt; MAX($G$2, DATE(Initialisatie!$C$5,1,1)), 0, MONTH(MIN($G$1, DATE(Initialisatie!$C$5,12,31))) - MONTH(MAX($G$2, DATE(Initialisatie!$C$5,1,1))) + 1)),
        IFERROR(VALUE($H67),0) * MAX(0, IF(MIN($H$1, DATE(Initialisatie!$C$5,12,31)) &lt; MAX($H$2, DATE(Initialisatie!$C$5,1,1)), 0, MONTH(MIN($H$1, DATE(Initialisatie!$C$5,12,31))) - MONTH(MAX($H$2, DATE(Initialisatie!$C$5,1,1))) + 1)),
        IFERROR(VALUE($I67),0) * MAX(0, IF(MIN($I$1, DATE(Initialisatie!$C$5,12,31)) &lt; MAX($I$2, DATE(Initialisatie!$C$5,1,1)), 0, MONTH(MIN($I$1, DATE(Initialisatie!$C$5,12,31))) - MONTH(MAX($I$2, DATE(Initialisatie!$C$5,1,1))) + 1))
    ) / 12
)</f>
        <v>0</v>
      </c>
    </row>
    <row r="68" spans="1:12" x14ac:dyDescent="0.45">
      <c r="A68" s="989"/>
      <c r="B68" s="35" t="s">
        <v>531</v>
      </c>
      <c r="C68" s="35">
        <v>14</v>
      </c>
      <c r="D68" s="35" t="s">
        <v>227</v>
      </c>
      <c r="E68">
        <v>3966.87</v>
      </c>
      <c r="F68">
        <v>4016.46</v>
      </c>
      <c r="G68">
        <v>4161.05</v>
      </c>
      <c r="H68">
        <v>4315.01</v>
      </c>
      <c r="I68">
        <v>4461.72</v>
      </c>
      <c r="K68">
        <f>IF(
    OR(
        AND(MAX(0, MIN($E$1, DATE(Initialisatie!$C$5,12,31)) - MAX($E$2, DATE(Initialisatie!$C$5,1,1)) + 1) &gt; 0,IFERROR(VALUE($E68),0)=0),
        AND(MAX(0, MIN($F$1, DATE(Initialisatie!$C$5,12,31)) - MAX($F$2, DATE(Initialisatie!$C$5,1,1)) + 1) &gt; 0,IFERROR(VALUE($F68),0)=0),
        AND(MAX(0, MIN($G$1, DATE(Initialisatie!$C$5,12,31)) - MAX($G$2, DATE(Initialisatie!$C$5,1,1)) + 1) &gt; 0,IFERROR(VALUE($G68),0)=0),
        AND(MAX(0, MIN($H$1, DATE(Initialisatie!$C$5,12,31)) - MAX($H$2, DATE(Initialisatie!$C$5,1,1)) + 1) &gt; 0,IFERROR(VALUE($H68),0)=0),
        AND(MAX(0, MIN($I$1, DATE(Initialisatie!$C$5,12,31)) - MAX($I$2, DATE(Initialisatie!$C$5,1,1)) + 1) &gt; 0,IFERROR(VALUE($I68),0)=0)
    ),
    0,
    SUM(
        IFERROR(VALUE($E68),0) * MAX(0, MIN($E$1, DATE(Initialisatie!$C$5,12,31)) - MAX($E$2, DATE(Initialisatie!$C$5,1,1)) + 1),
        IFERROR(VALUE($F68),0) * MAX(0, MIN($F$1, DATE(Initialisatie!$C$5,12,31)) - MAX($F$2, DATE(Initialisatie!$C$5,1,1)) + 1),
        IFERROR(VALUE($G68),0) * MAX(0, MIN($G$1, DATE(Initialisatie!$C$5,12,31)) - MAX($G$2, DATE(Initialisatie!$C$5,1,1)) + 1),
        IFERROR(VALUE($H68),0) * MAX(0, MIN($H$1, DATE(Initialisatie!$C$5,12,31)) - MAX($H$2, DATE(Initialisatie!$C$5,1,1)) + 1),
        IFERROR(VALUE($I68),0) * MAX(0, MIN($I$1, DATE(Initialisatie!$C$5,12,31)) - MAX($I$2, DATE(Initialisatie!$C$5,1,1)) + 1)
    ) / (DATE(Initialisatie!$C$5,12,31) - DATE(Initialisatie!$C$5,1,1) + 1)
)</f>
        <v>4315.01</v>
      </c>
      <c r="L68">
        <f>IF(
    OR(
        AND(MAX(0, IF(MIN($E$1, DATE(Initialisatie!$C$5,12,31)) &lt; MAX($E$2, DATE(Initialisatie!$C$5,1,1)), 0, MONTH(MIN($E$1, DATE(Initialisatie!$C$5,12,31))) - MONTH(MAX($E$2, DATE(Initialisatie!$C$5,1,1))) + 1)) &lt;= 0, IFERROR(VALUE($E68),0)=0),
        AND(MAX(0, IF(MIN($F$1, DATE(Initialisatie!$C$5,12,31)) &lt; MAX($F$2, DATE(Initialisatie!$C$5,1,1)), 0, MONTH(MIN($F$1, DATE(Initialisatie!$C$5,12,31))) - MONTH(MAX($F$2, DATE(Initialisatie!$C$5,1,1))) + 1)) &lt;= 0, IFERROR(VALUE($F68),0)=0),
        AND(MAX(0, IF(MIN($G$1, DATE(Initialisatie!$C$5,12,31)) &lt; MAX($G$2, DATE(Initialisatie!$C$5,1,1)), 0, MONTH(MIN($G$1, DATE(Initialisatie!$C$5,12,31))) - MONTH(MAX($G$2, DATE(Initialisatie!$C$5,1,1))) + 1)) &lt;= 0, IFERROR(VALUE($G68),0)=0),
        AND(MAX(0, IF(MIN($H$1, DATE(Initialisatie!$C$5,12,31)) &lt; MAX($H$2, DATE(Initialisatie!$C$5,1,1)), 0, MONTH(MIN($H$1, DATE(Initialisatie!$C$5,12,31))) - MONTH(MAX($H$2, DATE(Initialisatie!$C$5,1,1))) + 1)) &lt;= 0, IFERROR(VALUE($H68),0)=0),
        AND(MAX(0, IF(MIN($I$1, DATE(Initialisatie!$C$5,12,31)) &lt; MAX($I$2, DATE(Initialisatie!$C$5,1,1)), 0, MONTH(MIN($I$1, DATE(Initialisatie!$C$5,12,31))) - MONTH(MAX($I$2, DATE(Initialisatie!$C$5,1,1))) + 1)) &lt;= 0, IFERROR(VALUE($I68),0)=0)
    ),
    0,
    SUM(
        IFERROR(VALUE($E68),0) * MAX(0, IF(MIN($E$1, DATE(Initialisatie!$C$5,12,31)) &lt; MAX($E$2, DATE(Initialisatie!$C$5,1,1)), 0, MONTH(MIN($E$1, DATE(Initialisatie!$C$5,12,31))) - MONTH(MAX($E$2, DATE(Initialisatie!$C$5,1,1))) + 1)),
        IFERROR(VALUE($F68),0) * MAX(0, IF(MIN($F$1, DATE(Initialisatie!$C$5,12,31)) &lt; MAX($F$2, DATE(Initialisatie!$C$5,1,1)), 0, MONTH(MIN($F$1, DATE(Initialisatie!$C$5,12,31))) - MONTH(MAX($F$2, DATE(Initialisatie!$C$5,1,1))) + 1)),
        IFERROR(VALUE($G68),0) * MAX(0, IF(MIN($G$1, DATE(Initialisatie!$C$5,12,31)) &lt; MAX($G$2, DATE(Initialisatie!$C$5,1,1)), 0, MONTH(MIN($G$1, DATE(Initialisatie!$C$5,12,31))) - MONTH(MAX($G$2, DATE(Initialisatie!$C$5,1,1))) + 1)),
        IFERROR(VALUE($H68),0) * MAX(0, IF(MIN($H$1, DATE(Initialisatie!$C$5,12,31)) &lt; MAX($H$2, DATE(Initialisatie!$C$5,1,1)), 0, MONTH(MIN($H$1, DATE(Initialisatie!$C$5,12,31))) - MONTH(MAX($H$2, DATE(Initialisatie!$C$5,1,1))) + 1)),
        IFERROR(VALUE($I68),0) * MAX(0, IF(MIN($I$1, DATE(Initialisatie!$C$5,12,31)) &lt; MAX($I$2, DATE(Initialisatie!$C$5,1,1)), 0, MONTH(MIN($I$1, DATE(Initialisatie!$C$5,12,31))) - MONTH(MAX($I$2, DATE(Initialisatie!$C$5,1,1))) + 1))
    ) / 12
)</f>
        <v>4315.01</v>
      </c>
    </row>
    <row r="69" spans="1:12" x14ac:dyDescent="0.45">
      <c r="A69" s="990"/>
      <c r="B69" s="35" t="s">
        <v>533</v>
      </c>
      <c r="C69" s="35">
        <v>15</v>
      </c>
      <c r="D69" s="35" t="s">
        <v>226</v>
      </c>
      <c r="E69">
        <v>4097.6899999999996</v>
      </c>
      <c r="F69">
        <v>4148.91</v>
      </c>
      <c r="G69">
        <v>4298.2700000000004</v>
      </c>
      <c r="H69">
        <v>4457.3100000000004</v>
      </c>
      <c r="I69">
        <v>4608.8500000000004</v>
      </c>
      <c r="K69">
        <f>IF(
    OR(
        AND(MAX(0, MIN($E$1, DATE(Initialisatie!$C$5,12,31)) - MAX($E$2, DATE(Initialisatie!$C$5,1,1)) + 1) &gt; 0,IFERROR(VALUE($E69),0)=0),
        AND(MAX(0, MIN($F$1, DATE(Initialisatie!$C$5,12,31)) - MAX($F$2, DATE(Initialisatie!$C$5,1,1)) + 1) &gt; 0,IFERROR(VALUE($F69),0)=0),
        AND(MAX(0, MIN($G$1, DATE(Initialisatie!$C$5,12,31)) - MAX($G$2, DATE(Initialisatie!$C$5,1,1)) + 1) &gt; 0,IFERROR(VALUE($G69),0)=0),
        AND(MAX(0, MIN($H$1, DATE(Initialisatie!$C$5,12,31)) - MAX($H$2, DATE(Initialisatie!$C$5,1,1)) + 1) &gt; 0,IFERROR(VALUE($H69),0)=0),
        AND(MAX(0, MIN($I$1, DATE(Initialisatie!$C$5,12,31)) - MAX($I$2, DATE(Initialisatie!$C$5,1,1)) + 1) &gt; 0,IFERROR(VALUE($I69),0)=0)
    ),
    0,
    SUM(
        IFERROR(VALUE($E69),0) * MAX(0, MIN($E$1, DATE(Initialisatie!$C$5,12,31)) - MAX($E$2, DATE(Initialisatie!$C$5,1,1)) + 1),
        IFERROR(VALUE($F69),0) * MAX(0, MIN($F$1, DATE(Initialisatie!$C$5,12,31)) - MAX($F$2, DATE(Initialisatie!$C$5,1,1)) + 1),
        IFERROR(VALUE($G69),0) * MAX(0, MIN($G$1, DATE(Initialisatie!$C$5,12,31)) - MAX($G$2, DATE(Initialisatie!$C$5,1,1)) + 1),
        IFERROR(VALUE($H69),0) * MAX(0, MIN($H$1, DATE(Initialisatie!$C$5,12,31)) - MAX($H$2, DATE(Initialisatie!$C$5,1,1)) + 1),
        IFERROR(VALUE($I69),0) * MAX(0, MIN($I$1, DATE(Initialisatie!$C$5,12,31)) - MAX($I$2, DATE(Initialisatie!$C$5,1,1)) + 1)
    ) / (DATE(Initialisatie!$C$5,12,31) - DATE(Initialisatie!$C$5,1,1) + 1)
)</f>
        <v>4457.3100000000004</v>
      </c>
      <c r="L69">
        <f>IF(
    OR(
        AND(MAX(0, IF(MIN($E$1, DATE(Initialisatie!$C$5,12,31)) &lt; MAX($E$2, DATE(Initialisatie!$C$5,1,1)), 0, MONTH(MIN($E$1, DATE(Initialisatie!$C$5,12,31))) - MONTH(MAX($E$2, DATE(Initialisatie!$C$5,1,1))) + 1)) &lt;= 0, IFERROR(VALUE($E69),0)=0),
        AND(MAX(0, IF(MIN($F$1, DATE(Initialisatie!$C$5,12,31)) &lt; MAX($F$2, DATE(Initialisatie!$C$5,1,1)), 0, MONTH(MIN($F$1, DATE(Initialisatie!$C$5,12,31))) - MONTH(MAX($F$2, DATE(Initialisatie!$C$5,1,1))) + 1)) &lt;= 0, IFERROR(VALUE($F69),0)=0),
        AND(MAX(0, IF(MIN($G$1, DATE(Initialisatie!$C$5,12,31)) &lt; MAX($G$2, DATE(Initialisatie!$C$5,1,1)), 0, MONTH(MIN($G$1, DATE(Initialisatie!$C$5,12,31))) - MONTH(MAX($G$2, DATE(Initialisatie!$C$5,1,1))) + 1)) &lt;= 0, IFERROR(VALUE($G69),0)=0),
        AND(MAX(0, IF(MIN($H$1, DATE(Initialisatie!$C$5,12,31)) &lt; MAX($H$2, DATE(Initialisatie!$C$5,1,1)), 0, MONTH(MIN($H$1, DATE(Initialisatie!$C$5,12,31))) - MONTH(MAX($H$2, DATE(Initialisatie!$C$5,1,1))) + 1)) &lt;= 0, IFERROR(VALUE($H69),0)=0),
        AND(MAX(0, IF(MIN($I$1, DATE(Initialisatie!$C$5,12,31)) &lt; MAX($I$2, DATE(Initialisatie!$C$5,1,1)), 0, MONTH(MIN($I$1, DATE(Initialisatie!$C$5,12,31))) - MONTH(MAX($I$2, DATE(Initialisatie!$C$5,1,1))) + 1)) &lt;= 0, IFERROR(VALUE($I69),0)=0)
    ),
    0,
    SUM(
        IFERROR(VALUE($E69),0) * MAX(0, IF(MIN($E$1, DATE(Initialisatie!$C$5,12,31)) &lt; MAX($E$2, DATE(Initialisatie!$C$5,1,1)), 0, MONTH(MIN($E$1, DATE(Initialisatie!$C$5,12,31))) - MONTH(MAX($E$2, DATE(Initialisatie!$C$5,1,1))) + 1)),
        IFERROR(VALUE($F69),0) * MAX(0, IF(MIN($F$1, DATE(Initialisatie!$C$5,12,31)) &lt; MAX($F$2, DATE(Initialisatie!$C$5,1,1)), 0, MONTH(MIN($F$1, DATE(Initialisatie!$C$5,12,31))) - MONTH(MAX($F$2, DATE(Initialisatie!$C$5,1,1))) + 1)),
        IFERROR(VALUE($G69),0) * MAX(0, IF(MIN($G$1, DATE(Initialisatie!$C$5,12,31)) &lt; MAX($G$2, DATE(Initialisatie!$C$5,1,1)), 0, MONTH(MIN($G$1, DATE(Initialisatie!$C$5,12,31))) - MONTH(MAX($G$2, DATE(Initialisatie!$C$5,1,1))) + 1)),
        IFERROR(VALUE($H69),0) * MAX(0, IF(MIN($H$1, DATE(Initialisatie!$C$5,12,31)) &lt; MAX($H$2, DATE(Initialisatie!$C$5,1,1)), 0, MONTH(MIN($H$1, DATE(Initialisatie!$C$5,12,31))) - MONTH(MAX($H$2, DATE(Initialisatie!$C$5,1,1))) + 1)),
        IFERROR(VALUE($I69),0) * MAX(0, IF(MIN($I$1, DATE(Initialisatie!$C$5,12,31)) &lt; MAX($I$2, DATE(Initialisatie!$C$5,1,1)), 0, MONTH(MIN($I$1, DATE(Initialisatie!$C$5,12,31))) - MONTH(MAX($I$2, DATE(Initialisatie!$C$5,1,1))) + 1))
    ) / 12
)</f>
        <v>4457.3100000000004</v>
      </c>
    </row>
    <row r="70" spans="1:12" x14ac:dyDescent="0.45">
      <c r="A70" s="988">
        <v>8</v>
      </c>
      <c r="B70" s="35" t="s">
        <v>113</v>
      </c>
      <c r="C70" s="35">
        <v>0</v>
      </c>
      <c r="D70" s="35" t="s">
        <v>225</v>
      </c>
      <c r="E70">
        <v>2808.78</v>
      </c>
      <c r="F70">
        <v>2843.89</v>
      </c>
      <c r="G70">
        <v>2946.27</v>
      </c>
      <c r="H70">
        <v>3055.29</v>
      </c>
      <c r="I70">
        <v>3159.17</v>
      </c>
      <c r="K70">
        <f>IF(
    OR(
        AND(MAX(0, MIN($E$1, DATE(Initialisatie!$C$5,12,31)) - MAX($E$2, DATE(Initialisatie!$C$5,1,1)) + 1) &gt; 0,IFERROR(VALUE($E70),0)=0),
        AND(MAX(0, MIN($F$1, DATE(Initialisatie!$C$5,12,31)) - MAX($F$2, DATE(Initialisatie!$C$5,1,1)) + 1) &gt; 0,IFERROR(VALUE($F70),0)=0),
        AND(MAX(0, MIN($G$1, DATE(Initialisatie!$C$5,12,31)) - MAX($G$2, DATE(Initialisatie!$C$5,1,1)) + 1) &gt; 0,IFERROR(VALUE($G70),0)=0),
        AND(MAX(0, MIN($H$1, DATE(Initialisatie!$C$5,12,31)) - MAX($H$2, DATE(Initialisatie!$C$5,1,1)) + 1) &gt; 0,IFERROR(VALUE($H70),0)=0),
        AND(MAX(0, MIN($I$1, DATE(Initialisatie!$C$5,12,31)) - MAX($I$2, DATE(Initialisatie!$C$5,1,1)) + 1) &gt; 0,IFERROR(VALUE($I70),0)=0)
    ),
    0,
    SUM(
        IFERROR(VALUE($E70),0) * MAX(0, MIN($E$1, DATE(Initialisatie!$C$5,12,31)) - MAX($E$2, DATE(Initialisatie!$C$5,1,1)) + 1),
        IFERROR(VALUE($F70),0) * MAX(0, MIN($F$1, DATE(Initialisatie!$C$5,12,31)) - MAX($F$2, DATE(Initialisatie!$C$5,1,1)) + 1),
        IFERROR(VALUE($G70),0) * MAX(0, MIN($G$1, DATE(Initialisatie!$C$5,12,31)) - MAX($G$2, DATE(Initialisatie!$C$5,1,1)) + 1),
        IFERROR(VALUE($H70),0) * MAX(0, MIN($H$1, DATE(Initialisatie!$C$5,12,31)) - MAX($H$2, DATE(Initialisatie!$C$5,1,1)) + 1),
        IFERROR(VALUE($I70),0) * MAX(0, MIN($I$1, DATE(Initialisatie!$C$5,12,31)) - MAX($I$2, DATE(Initialisatie!$C$5,1,1)) + 1)
    ) / (DATE(Initialisatie!$C$5,12,31) - DATE(Initialisatie!$C$5,1,1) + 1)
)</f>
        <v>3055.2900000000004</v>
      </c>
      <c r="L70">
        <f>IF(
    OR(
        AND(MAX(0, IF(MIN($E$1, DATE(Initialisatie!$C$5,12,31)) &lt; MAX($E$2, DATE(Initialisatie!$C$5,1,1)), 0, MONTH(MIN($E$1, DATE(Initialisatie!$C$5,12,31))) - MONTH(MAX($E$2, DATE(Initialisatie!$C$5,1,1))) + 1)) &lt;= 0, IFERROR(VALUE($E70),0)=0),
        AND(MAX(0, IF(MIN($F$1, DATE(Initialisatie!$C$5,12,31)) &lt; MAX($F$2, DATE(Initialisatie!$C$5,1,1)), 0, MONTH(MIN($F$1, DATE(Initialisatie!$C$5,12,31))) - MONTH(MAX($F$2, DATE(Initialisatie!$C$5,1,1))) + 1)) &lt;= 0, IFERROR(VALUE($F70),0)=0),
        AND(MAX(0, IF(MIN($G$1, DATE(Initialisatie!$C$5,12,31)) &lt; MAX($G$2, DATE(Initialisatie!$C$5,1,1)), 0, MONTH(MIN($G$1, DATE(Initialisatie!$C$5,12,31))) - MONTH(MAX($G$2, DATE(Initialisatie!$C$5,1,1))) + 1)) &lt;= 0, IFERROR(VALUE($G70),0)=0),
        AND(MAX(0, IF(MIN($H$1, DATE(Initialisatie!$C$5,12,31)) &lt; MAX($H$2, DATE(Initialisatie!$C$5,1,1)), 0, MONTH(MIN($H$1, DATE(Initialisatie!$C$5,12,31))) - MONTH(MAX($H$2, DATE(Initialisatie!$C$5,1,1))) + 1)) &lt;= 0, IFERROR(VALUE($H70),0)=0),
        AND(MAX(0, IF(MIN($I$1, DATE(Initialisatie!$C$5,12,31)) &lt; MAX($I$2, DATE(Initialisatie!$C$5,1,1)), 0, MONTH(MIN($I$1, DATE(Initialisatie!$C$5,12,31))) - MONTH(MAX($I$2, DATE(Initialisatie!$C$5,1,1))) + 1)) &lt;= 0, IFERROR(VALUE($I70),0)=0)
    ),
    0,
    SUM(
        IFERROR(VALUE($E70),0) * MAX(0, IF(MIN($E$1, DATE(Initialisatie!$C$5,12,31)) &lt; MAX($E$2, DATE(Initialisatie!$C$5,1,1)), 0, MONTH(MIN($E$1, DATE(Initialisatie!$C$5,12,31))) - MONTH(MAX($E$2, DATE(Initialisatie!$C$5,1,1))) + 1)),
        IFERROR(VALUE($F70),0) * MAX(0, IF(MIN($F$1, DATE(Initialisatie!$C$5,12,31)) &lt; MAX($F$2, DATE(Initialisatie!$C$5,1,1)), 0, MONTH(MIN($F$1, DATE(Initialisatie!$C$5,12,31))) - MONTH(MAX($F$2, DATE(Initialisatie!$C$5,1,1))) + 1)),
        IFERROR(VALUE($G70),0) * MAX(0, IF(MIN($G$1, DATE(Initialisatie!$C$5,12,31)) &lt; MAX($G$2, DATE(Initialisatie!$C$5,1,1)), 0, MONTH(MIN($G$1, DATE(Initialisatie!$C$5,12,31))) - MONTH(MAX($G$2, DATE(Initialisatie!$C$5,1,1))) + 1)),
        IFERROR(VALUE($H70),0) * MAX(0, IF(MIN($H$1, DATE(Initialisatie!$C$5,12,31)) &lt; MAX($H$2, DATE(Initialisatie!$C$5,1,1)), 0, MONTH(MIN($H$1, DATE(Initialisatie!$C$5,12,31))) - MONTH(MAX($H$2, DATE(Initialisatie!$C$5,1,1))) + 1)),
        IFERROR(VALUE($I70),0) * MAX(0, IF(MIN($I$1, DATE(Initialisatie!$C$5,12,31)) &lt; MAX($I$2, DATE(Initialisatie!$C$5,1,1)), 0, MONTH(MIN($I$1, DATE(Initialisatie!$C$5,12,31))) - MONTH(MAX($I$2, DATE(Initialisatie!$C$5,1,1))) + 1))
    ) / 12
)</f>
        <v>3055.2899999999995</v>
      </c>
    </row>
    <row r="71" spans="1:12" x14ac:dyDescent="0.45">
      <c r="A71" s="989"/>
      <c r="B71" s="35" t="s">
        <v>111</v>
      </c>
      <c r="C71" s="35">
        <v>1</v>
      </c>
      <c r="D71" s="35" t="s">
        <v>224</v>
      </c>
      <c r="E71">
        <v>2903.22</v>
      </c>
      <c r="F71">
        <v>2939.51</v>
      </c>
      <c r="G71">
        <v>3045.34</v>
      </c>
      <c r="H71">
        <v>3158.01</v>
      </c>
      <c r="I71">
        <v>3265.39</v>
      </c>
      <c r="K71">
        <f>IF(
    OR(
        AND(MAX(0, MIN($E$1, DATE(Initialisatie!$C$5,12,31)) - MAX($E$2, DATE(Initialisatie!$C$5,1,1)) + 1) &gt; 0,IFERROR(VALUE($E71),0)=0),
        AND(MAX(0, MIN($F$1, DATE(Initialisatie!$C$5,12,31)) - MAX($F$2, DATE(Initialisatie!$C$5,1,1)) + 1) &gt; 0,IFERROR(VALUE($F71),0)=0),
        AND(MAX(0, MIN($G$1, DATE(Initialisatie!$C$5,12,31)) - MAX($G$2, DATE(Initialisatie!$C$5,1,1)) + 1) &gt; 0,IFERROR(VALUE($G71),0)=0),
        AND(MAX(0, MIN($H$1, DATE(Initialisatie!$C$5,12,31)) - MAX($H$2, DATE(Initialisatie!$C$5,1,1)) + 1) &gt; 0,IFERROR(VALUE($H71),0)=0),
        AND(MAX(0, MIN($I$1, DATE(Initialisatie!$C$5,12,31)) - MAX($I$2, DATE(Initialisatie!$C$5,1,1)) + 1) &gt; 0,IFERROR(VALUE($I71),0)=0)
    ),
    0,
    SUM(
        IFERROR(VALUE($E71),0) * MAX(0, MIN($E$1, DATE(Initialisatie!$C$5,12,31)) - MAX($E$2, DATE(Initialisatie!$C$5,1,1)) + 1),
        IFERROR(VALUE($F71),0) * MAX(0, MIN($F$1, DATE(Initialisatie!$C$5,12,31)) - MAX($F$2, DATE(Initialisatie!$C$5,1,1)) + 1),
        IFERROR(VALUE($G71),0) * MAX(0, MIN($G$1, DATE(Initialisatie!$C$5,12,31)) - MAX($G$2, DATE(Initialisatie!$C$5,1,1)) + 1),
        IFERROR(VALUE($H71),0) * MAX(0, MIN($H$1, DATE(Initialisatie!$C$5,12,31)) - MAX($H$2, DATE(Initialisatie!$C$5,1,1)) + 1),
        IFERROR(VALUE($I71),0) * MAX(0, MIN($I$1, DATE(Initialisatie!$C$5,12,31)) - MAX($I$2, DATE(Initialisatie!$C$5,1,1)) + 1)
    ) / (DATE(Initialisatie!$C$5,12,31) - DATE(Initialisatie!$C$5,1,1) + 1)
)</f>
        <v>3158.01</v>
      </c>
      <c r="L71">
        <f>IF(
    OR(
        AND(MAX(0, IF(MIN($E$1, DATE(Initialisatie!$C$5,12,31)) &lt; MAX($E$2, DATE(Initialisatie!$C$5,1,1)), 0, MONTH(MIN($E$1, DATE(Initialisatie!$C$5,12,31))) - MONTH(MAX($E$2, DATE(Initialisatie!$C$5,1,1))) + 1)) &lt;= 0, IFERROR(VALUE($E71),0)=0),
        AND(MAX(0, IF(MIN($F$1, DATE(Initialisatie!$C$5,12,31)) &lt; MAX($F$2, DATE(Initialisatie!$C$5,1,1)), 0, MONTH(MIN($F$1, DATE(Initialisatie!$C$5,12,31))) - MONTH(MAX($F$2, DATE(Initialisatie!$C$5,1,1))) + 1)) &lt;= 0, IFERROR(VALUE($F71),0)=0),
        AND(MAX(0, IF(MIN($G$1, DATE(Initialisatie!$C$5,12,31)) &lt; MAX($G$2, DATE(Initialisatie!$C$5,1,1)), 0, MONTH(MIN($G$1, DATE(Initialisatie!$C$5,12,31))) - MONTH(MAX($G$2, DATE(Initialisatie!$C$5,1,1))) + 1)) &lt;= 0, IFERROR(VALUE($G71),0)=0),
        AND(MAX(0, IF(MIN($H$1, DATE(Initialisatie!$C$5,12,31)) &lt; MAX($H$2, DATE(Initialisatie!$C$5,1,1)), 0, MONTH(MIN($H$1, DATE(Initialisatie!$C$5,12,31))) - MONTH(MAX($H$2, DATE(Initialisatie!$C$5,1,1))) + 1)) &lt;= 0, IFERROR(VALUE($H71),0)=0),
        AND(MAX(0, IF(MIN($I$1, DATE(Initialisatie!$C$5,12,31)) &lt; MAX($I$2, DATE(Initialisatie!$C$5,1,1)), 0, MONTH(MIN($I$1, DATE(Initialisatie!$C$5,12,31))) - MONTH(MAX($I$2, DATE(Initialisatie!$C$5,1,1))) + 1)) &lt;= 0, IFERROR(VALUE($I71),0)=0)
    ),
    0,
    SUM(
        IFERROR(VALUE($E71),0) * MAX(0, IF(MIN($E$1, DATE(Initialisatie!$C$5,12,31)) &lt; MAX($E$2, DATE(Initialisatie!$C$5,1,1)), 0, MONTH(MIN($E$1, DATE(Initialisatie!$C$5,12,31))) - MONTH(MAX($E$2, DATE(Initialisatie!$C$5,1,1))) + 1)),
        IFERROR(VALUE($F71),0) * MAX(0, IF(MIN($F$1, DATE(Initialisatie!$C$5,12,31)) &lt; MAX($F$2, DATE(Initialisatie!$C$5,1,1)), 0, MONTH(MIN($F$1, DATE(Initialisatie!$C$5,12,31))) - MONTH(MAX($F$2, DATE(Initialisatie!$C$5,1,1))) + 1)),
        IFERROR(VALUE($G71),0) * MAX(0, IF(MIN($G$1, DATE(Initialisatie!$C$5,12,31)) &lt; MAX($G$2, DATE(Initialisatie!$C$5,1,1)), 0, MONTH(MIN($G$1, DATE(Initialisatie!$C$5,12,31))) - MONTH(MAX($G$2, DATE(Initialisatie!$C$5,1,1))) + 1)),
        IFERROR(VALUE($H71),0) * MAX(0, IF(MIN($H$1, DATE(Initialisatie!$C$5,12,31)) &lt; MAX($H$2, DATE(Initialisatie!$C$5,1,1)), 0, MONTH(MIN($H$1, DATE(Initialisatie!$C$5,12,31))) - MONTH(MAX($H$2, DATE(Initialisatie!$C$5,1,1))) + 1)),
        IFERROR(VALUE($I71),0) * MAX(0, IF(MIN($I$1, DATE(Initialisatie!$C$5,12,31)) &lt; MAX($I$2, DATE(Initialisatie!$C$5,1,1)), 0, MONTH(MIN($I$1, DATE(Initialisatie!$C$5,12,31))) - MONTH(MAX($I$2, DATE(Initialisatie!$C$5,1,1))) + 1))
    ) / 12
)</f>
        <v>3158.01</v>
      </c>
    </row>
    <row r="72" spans="1:12" x14ac:dyDescent="0.45">
      <c r="A72" s="989"/>
      <c r="B72" s="35" t="s">
        <v>101</v>
      </c>
      <c r="C72" s="35">
        <v>2</v>
      </c>
      <c r="D72" s="35" t="s">
        <v>219</v>
      </c>
      <c r="E72">
        <v>2999.85</v>
      </c>
      <c r="F72">
        <v>3037.35</v>
      </c>
      <c r="G72">
        <v>3146.69</v>
      </c>
      <c r="H72">
        <v>3263.12</v>
      </c>
      <c r="I72">
        <v>3374.06</v>
      </c>
      <c r="K72">
        <f>IF(
    OR(
        AND(MAX(0, MIN($E$1, DATE(Initialisatie!$C$5,12,31)) - MAX($E$2, DATE(Initialisatie!$C$5,1,1)) + 1) &gt; 0,IFERROR(VALUE($E72),0)=0),
        AND(MAX(0, MIN($F$1, DATE(Initialisatie!$C$5,12,31)) - MAX($F$2, DATE(Initialisatie!$C$5,1,1)) + 1) &gt; 0,IFERROR(VALUE($F72),0)=0),
        AND(MAX(0, MIN($G$1, DATE(Initialisatie!$C$5,12,31)) - MAX($G$2, DATE(Initialisatie!$C$5,1,1)) + 1) &gt; 0,IFERROR(VALUE($G72),0)=0),
        AND(MAX(0, MIN($H$1, DATE(Initialisatie!$C$5,12,31)) - MAX($H$2, DATE(Initialisatie!$C$5,1,1)) + 1) &gt; 0,IFERROR(VALUE($H72),0)=0),
        AND(MAX(0, MIN($I$1, DATE(Initialisatie!$C$5,12,31)) - MAX($I$2, DATE(Initialisatie!$C$5,1,1)) + 1) &gt; 0,IFERROR(VALUE($I72),0)=0)
    ),
    0,
    SUM(
        IFERROR(VALUE($E72),0) * MAX(0, MIN($E$1, DATE(Initialisatie!$C$5,12,31)) - MAX($E$2, DATE(Initialisatie!$C$5,1,1)) + 1),
        IFERROR(VALUE($F72),0) * MAX(0, MIN($F$1, DATE(Initialisatie!$C$5,12,31)) - MAX($F$2, DATE(Initialisatie!$C$5,1,1)) + 1),
        IFERROR(VALUE($G72),0) * MAX(0, MIN($G$1, DATE(Initialisatie!$C$5,12,31)) - MAX($G$2, DATE(Initialisatie!$C$5,1,1)) + 1),
        IFERROR(VALUE($H72),0) * MAX(0, MIN($H$1, DATE(Initialisatie!$C$5,12,31)) - MAX($H$2, DATE(Initialisatie!$C$5,1,1)) + 1),
        IFERROR(VALUE($I72),0) * MAX(0, MIN($I$1, DATE(Initialisatie!$C$5,12,31)) - MAX($I$2, DATE(Initialisatie!$C$5,1,1)) + 1)
    ) / (DATE(Initialisatie!$C$5,12,31) - DATE(Initialisatie!$C$5,1,1) + 1)
)</f>
        <v>3263.1200000000003</v>
      </c>
      <c r="L72">
        <f>IF(
    OR(
        AND(MAX(0, IF(MIN($E$1, DATE(Initialisatie!$C$5,12,31)) &lt; MAX($E$2, DATE(Initialisatie!$C$5,1,1)), 0, MONTH(MIN($E$1, DATE(Initialisatie!$C$5,12,31))) - MONTH(MAX($E$2, DATE(Initialisatie!$C$5,1,1))) + 1)) &lt;= 0, IFERROR(VALUE($E72),0)=0),
        AND(MAX(0, IF(MIN($F$1, DATE(Initialisatie!$C$5,12,31)) &lt; MAX($F$2, DATE(Initialisatie!$C$5,1,1)), 0, MONTH(MIN($F$1, DATE(Initialisatie!$C$5,12,31))) - MONTH(MAX($F$2, DATE(Initialisatie!$C$5,1,1))) + 1)) &lt;= 0, IFERROR(VALUE($F72),0)=0),
        AND(MAX(0, IF(MIN($G$1, DATE(Initialisatie!$C$5,12,31)) &lt; MAX($G$2, DATE(Initialisatie!$C$5,1,1)), 0, MONTH(MIN($G$1, DATE(Initialisatie!$C$5,12,31))) - MONTH(MAX($G$2, DATE(Initialisatie!$C$5,1,1))) + 1)) &lt;= 0, IFERROR(VALUE($G72),0)=0),
        AND(MAX(0, IF(MIN($H$1, DATE(Initialisatie!$C$5,12,31)) &lt; MAX($H$2, DATE(Initialisatie!$C$5,1,1)), 0, MONTH(MIN($H$1, DATE(Initialisatie!$C$5,12,31))) - MONTH(MAX($H$2, DATE(Initialisatie!$C$5,1,1))) + 1)) &lt;= 0, IFERROR(VALUE($H72),0)=0),
        AND(MAX(0, IF(MIN($I$1, DATE(Initialisatie!$C$5,12,31)) &lt; MAX($I$2, DATE(Initialisatie!$C$5,1,1)), 0, MONTH(MIN($I$1, DATE(Initialisatie!$C$5,12,31))) - MONTH(MAX($I$2, DATE(Initialisatie!$C$5,1,1))) + 1)) &lt;= 0, IFERROR(VALUE($I72),0)=0)
    ),
    0,
    SUM(
        IFERROR(VALUE($E72),0) * MAX(0, IF(MIN($E$1, DATE(Initialisatie!$C$5,12,31)) &lt; MAX($E$2, DATE(Initialisatie!$C$5,1,1)), 0, MONTH(MIN($E$1, DATE(Initialisatie!$C$5,12,31))) - MONTH(MAX($E$2, DATE(Initialisatie!$C$5,1,1))) + 1)),
        IFERROR(VALUE($F72),0) * MAX(0, IF(MIN($F$1, DATE(Initialisatie!$C$5,12,31)) &lt; MAX($F$2, DATE(Initialisatie!$C$5,1,1)), 0, MONTH(MIN($F$1, DATE(Initialisatie!$C$5,12,31))) - MONTH(MAX($F$2, DATE(Initialisatie!$C$5,1,1))) + 1)),
        IFERROR(VALUE($G72),0) * MAX(0, IF(MIN($G$1, DATE(Initialisatie!$C$5,12,31)) &lt; MAX($G$2, DATE(Initialisatie!$C$5,1,1)), 0, MONTH(MIN($G$1, DATE(Initialisatie!$C$5,12,31))) - MONTH(MAX($G$2, DATE(Initialisatie!$C$5,1,1))) + 1)),
        IFERROR(VALUE($H72),0) * MAX(0, IF(MIN($H$1, DATE(Initialisatie!$C$5,12,31)) &lt; MAX($H$2, DATE(Initialisatie!$C$5,1,1)), 0, MONTH(MIN($H$1, DATE(Initialisatie!$C$5,12,31))) - MONTH(MAX($H$2, DATE(Initialisatie!$C$5,1,1))) + 1)),
        IFERROR(VALUE($I72),0) * MAX(0, IF(MIN($I$1, DATE(Initialisatie!$C$5,12,31)) &lt; MAX($I$2, DATE(Initialisatie!$C$5,1,1)), 0, MONTH(MIN($I$1, DATE(Initialisatie!$C$5,12,31))) - MONTH(MAX($I$2, DATE(Initialisatie!$C$5,1,1))) + 1))
    ) / 12
)</f>
        <v>3263.1200000000003</v>
      </c>
    </row>
    <row r="73" spans="1:12" x14ac:dyDescent="0.45">
      <c r="A73" s="989"/>
      <c r="B73" s="35" t="s">
        <v>99</v>
      </c>
      <c r="C73" s="35">
        <v>3</v>
      </c>
      <c r="D73" s="35" t="s">
        <v>218</v>
      </c>
      <c r="E73">
        <v>3100.84</v>
      </c>
      <c r="F73">
        <v>3139.6</v>
      </c>
      <c r="G73">
        <v>3252.63</v>
      </c>
      <c r="H73">
        <v>3372.98</v>
      </c>
      <c r="I73">
        <v>3487.66</v>
      </c>
      <c r="K73">
        <f>IF(
    OR(
        AND(MAX(0, MIN($E$1, DATE(Initialisatie!$C$5,12,31)) - MAX($E$2, DATE(Initialisatie!$C$5,1,1)) + 1) &gt; 0,IFERROR(VALUE($E73),0)=0),
        AND(MAX(0, MIN($F$1, DATE(Initialisatie!$C$5,12,31)) - MAX($F$2, DATE(Initialisatie!$C$5,1,1)) + 1) &gt; 0,IFERROR(VALUE($F73),0)=0),
        AND(MAX(0, MIN($G$1, DATE(Initialisatie!$C$5,12,31)) - MAX($G$2, DATE(Initialisatie!$C$5,1,1)) + 1) &gt; 0,IFERROR(VALUE($G73),0)=0),
        AND(MAX(0, MIN($H$1, DATE(Initialisatie!$C$5,12,31)) - MAX($H$2, DATE(Initialisatie!$C$5,1,1)) + 1) &gt; 0,IFERROR(VALUE($H73),0)=0),
        AND(MAX(0, MIN($I$1, DATE(Initialisatie!$C$5,12,31)) - MAX($I$2, DATE(Initialisatie!$C$5,1,1)) + 1) &gt; 0,IFERROR(VALUE($I73),0)=0)
    ),
    0,
    SUM(
        IFERROR(VALUE($E73),0) * MAX(0, MIN($E$1, DATE(Initialisatie!$C$5,12,31)) - MAX($E$2, DATE(Initialisatie!$C$5,1,1)) + 1),
        IFERROR(VALUE($F73),0) * MAX(0, MIN($F$1, DATE(Initialisatie!$C$5,12,31)) - MAX($F$2, DATE(Initialisatie!$C$5,1,1)) + 1),
        IFERROR(VALUE($G73),0) * MAX(0, MIN($G$1, DATE(Initialisatie!$C$5,12,31)) - MAX($G$2, DATE(Initialisatie!$C$5,1,1)) + 1),
        IFERROR(VALUE($H73),0) * MAX(0, MIN($H$1, DATE(Initialisatie!$C$5,12,31)) - MAX($H$2, DATE(Initialisatie!$C$5,1,1)) + 1),
        IFERROR(VALUE($I73),0) * MAX(0, MIN($I$1, DATE(Initialisatie!$C$5,12,31)) - MAX($I$2, DATE(Initialisatie!$C$5,1,1)) + 1)
    ) / (DATE(Initialisatie!$C$5,12,31) - DATE(Initialisatie!$C$5,1,1) + 1)
)</f>
        <v>3372.98</v>
      </c>
      <c r="L73">
        <f>IF(
    OR(
        AND(MAX(0, IF(MIN($E$1, DATE(Initialisatie!$C$5,12,31)) &lt; MAX($E$2, DATE(Initialisatie!$C$5,1,1)), 0, MONTH(MIN($E$1, DATE(Initialisatie!$C$5,12,31))) - MONTH(MAX($E$2, DATE(Initialisatie!$C$5,1,1))) + 1)) &lt;= 0, IFERROR(VALUE($E73),0)=0),
        AND(MAX(0, IF(MIN($F$1, DATE(Initialisatie!$C$5,12,31)) &lt; MAX($F$2, DATE(Initialisatie!$C$5,1,1)), 0, MONTH(MIN($F$1, DATE(Initialisatie!$C$5,12,31))) - MONTH(MAX($F$2, DATE(Initialisatie!$C$5,1,1))) + 1)) &lt;= 0, IFERROR(VALUE($F73),0)=0),
        AND(MAX(0, IF(MIN($G$1, DATE(Initialisatie!$C$5,12,31)) &lt; MAX($G$2, DATE(Initialisatie!$C$5,1,1)), 0, MONTH(MIN($G$1, DATE(Initialisatie!$C$5,12,31))) - MONTH(MAX($G$2, DATE(Initialisatie!$C$5,1,1))) + 1)) &lt;= 0, IFERROR(VALUE($G73),0)=0),
        AND(MAX(0, IF(MIN($H$1, DATE(Initialisatie!$C$5,12,31)) &lt; MAX($H$2, DATE(Initialisatie!$C$5,1,1)), 0, MONTH(MIN($H$1, DATE(Initialisatie!$C$5,12,31))) - MONTH(MAX($H$2, DATE(Initialisatie!$C$5,1,1))) + 1)) &lt;= 0, IFERROR(VALUE($H73),0)=0),
        AND(MAX(0, IF(MIN($I$1, DATE(Initialisatie!$C$5,12,31)) &lt; MAX($I$2, DATE(Initialisatie!$C$5,1,1)), 0, MONTH(MIN($I$1, DATE(Initialisatie!$C$5,12,31))) - MONTH(MAX($I$2, DATE(Initialisatie!$C$5,1,1))) + 1)) &lt;= 0, IFERROR(VALUE($I73),0)=0)
    ),
    0,
    SUM(
        IFERROR(VALUE($E73),0) * MAX(0, IF(MIN($E$1, DATE(Initialisatie!$C$5,12,31)) &lt; MAX($E$2, DATE(Initialisatie!$C$5,1,1)), 0, MONTH(MIN($E$1, DATE(Initialisatie!$C$5,12,31))) - MONTH(MAX($E$2, DATE(Initialisatie!$C$5,1,1))) + 1)),
        IFERROR(VALUE($F73),0) * MAX(0, IF(MIN($F$1, DATE(Initialisatie!$C$5,12,31)) &lt; MAX($F$2, DATE(Initialisatie!$C$5,1,1)), 0, MONTH(MIN($F$1, DATE(Initialisatie!$C$5,12,31))) - MONTH(MAX($F$2, DATE(Initialisatie!$C$5,1,1))) + 1)),
        IFERROR(VALUE($G73),0) * MAX(0, IF(MIN($G$1, DATE(Initialisatie!$C$5,12,31)) &lt; MAX($G$2, DATE(Initialisatie!$C$5,1,1)), 0, MONTH(MIN($G$1, DATE(Initialisatie!$C$5,12,31))) - MONTH(MAX($G$2, DATE(Initialisatie!$C$5,1,1))) + 1)),
        IFERROR(VALUE($H73),0) * MAX(0, IF(MIN($H$1, DATE(Initialisatie!$C$5,12,31)) &lt; MAX($H$2, DATE(Initialisatie!$C$5,1,1)), 0, MONTH(MIN($H$1, DATE(Initialisatie!$C$5,12,31))) - MONTH(MAX($H$2, DATE(Initialisatie!$C$5,1,1))) + 1)),
        IFERROR(VALUE($I73),0) * MAX(0, IF(MIN($I$1, DATE(Initialisatie!$C$5,12,31)) &lt; MAX($I$2, DATE(Initialisatie!$C$5,1,1)), 0, MONTH(MIN($I$1, DATE(Initialisatie!$C$5,12,31))) - MONTH(MAX($I$2, DATE(Initialisatie!$C$5,1,1))) + 1))
    ) / 12
)</f>
        <v>3372.98</v>
      </c>
    </row>
    <row r="74" spans="1:12" x14ac:dyDescent="0.45">
      <c r="A74" s="989"/>
      <c r="B74" s="35" t="s">
        <v>97</v>
      </c>
      <c r="C74" s="35">
        <v>4</v>
      </c>
      <c r="D74" s="35" t="s">
        <v>217</v>
      </c>
      <c r="E74">
        <v>3204.76</v>
      </c>
      <c r="F74">
        <v>3244.82</v>
      </c>
      <c r="G74">
        <v>3361.64</v>
      </c>
      <c r="H74">
        <v>3486.02</v>
      </c>
      <c r="I74">
        <v>3604.54</v>
      </c>
      <c r="K74">
        <f>IF(
    OR(
        AND(MAX(0, MIN($E$1, DATE(Initialisatie!$C$5,12,31)) - MAX($E$2, DATE(Initialisatie!$C$5,1,1)) + 1) &gt; 0,IFERROR(VALUE($E74),0)=0),
        AND(MAX(0, MIN($F$1, DATE(Initialisatie!$C$5,12,31)) - MAX($F$2, DATE(Initialisatie!$C$5,1,1)) + 1) &gt; 0,IFERROR(VALUE($F74),0)=0),
        AND(MAX(0, MIN($G$1, DATE(Initialisatie!$C$5,12,31)) - MAX($G$2, DATE(Initialisatie!$C$5,1,1)) + 1) &gt; 0,IFERROR(VALUE($G74),0)=0),
        AND(MAX(0, MIN($H$1, DATE(Initialisatie!$C$5,12,31)) - MAX($H$2, DATE(Initialisatie!$C$5,1,1)) + 1) &gt; 0,IFERROR(VALUE($H74),0)=0),
        AND(MAX(0, MIN($I$1, DATE(Initialisatie!$C$5,12,31)) - MAX($I$2, DATE(Initialisatie!$C$5,1,1)) + 1) &gt; 0,IFERROR(VALUE($I74),0)=0)
    ),
    0,
    SUM(
        IFERROR(VALUE($E74),0) * MAX(0, MIN($E$1, DATE(Initialisatie!$C$5,12,31)) - MAX($E$2, DATE(Initialisatie!$C$5,1,1)) + 1),
        IFERROR(VALUE($F74),0) * MAX(0, MIN($F$1, DATE(Initialisatie!$C$5,12,31)) - MAX($F$2, DATE(Initialisatie!$C$5,1,1)) + 1),
        IFERROR(VALUE($G74),0) * MAX(0, MIN($G$1, DATE(Initialisatie!$C$5,12,31)) - MAX($G$2, DATE(Initialisatie!$C$5,1,1)) + 1),
        IFERROR(VALUE($H74),0) * MAX(0, MIN($H$1, DATE(Initialisatie!$C$5,12,31)) - MAX($H$2, DATE(Initialisatie!$C$5,1,1)) + 1),
        IFERROR(VALUE($I74),0) * MAX(0, MIN($I$1, DATE(Initialisatie!$C$5,12,31)) - MAX($I$2, DATE(Initialisatie!$C$5,1,1)) + 1)
    ) / (DATE(Initialisatie!$C$5,12,31) - DATE(Initialisatie!$C$5,1,1) + 1)
)</f>
        <v>3486.02</v>
      </c>
      <c r="L74">
        <f>IF(
    OR(
        AND(MAX(0, IF(MIN($E$1, DATE(Initialisatie!$C$5,12,31)) &lt; MAX($E$2, DATE(Initialisatie!$C$5,1,1)), 0, MONTH(MIN($E$1, DATE(Initialisatie!$C$5,12,31))) - MONTH(MAX($E$2, DATE(Initialisatie!$C$5,1,1))) + 1)) &lt;= 0, IFERROR(VALUE($E74),0)=0),
        AND(MAX(0, IF(MIN($F$1, DATE(Initialisatie!$C$5,12,31)) &lt; MAX($F$2, DATE(Initialisatie!$C$5,1,1)), 0, MONTH(MIN($F$1, DATE(Initialisatie!$C$5,12,31))) - MONTH(MAX($F$2, DATE(Initialisatie!$C$5,1,1))) + 1)) &lt;= 0, IFERROR(VALUE($F74),0)=0),
        AND(MAX(0, IF(MIN($G$1, DATE(Initialisatie!$C$5,12,31)) &lt; MAX($G$2, DATE(Initialisatie!$C$5,1,1)), 0, MONTH(MIN($G$1, DATE(Initialisatie!$C$5,12,31))) - MONTH(MAX($G$2, DATE(Initialisatie!$C$5,1,1))) + 1)) &lt;= 0, IFERROR(VALUE($G74),0)=0),
        AND(MAX(0, IF(MIN($H$1, DATE(Initialisatie!$C$5,12,31)) &lt; MAX($H$2, DATE(Initialisatie!$C$5,1,1)), 0, MONTH(MIN($H$1, DATE(Initialisatie!$C$5,12,31))) - MONTH(MAX($H$2, DATE(Initialisatie!$C$5,1,1))) + 1)) &lt;= 0, IFERROR(VALUE($H74),0)=0),
        AND(MAX(0, IF(MIN($I$1, DATE(Initialisatie!$C$5,12,31)) &lt; MAX($I$2, DATE(Initialisatie!$C$5,1,1)), 0, MONTH(MIN($I$1, DATE(Initialisatie!$C$5,12,31))) - MONTH(MAX($I$2, DATE(Initialisatie!$C$5,1,1))) + 1)) &lt;= 0, IFERROR(VALUE($I74),0)=0)
    ),
    0,
    SUM(
        IFERROR(VALUE($E74),0) * MAX(0, IF(MIN($E$1, DATE(Initialisatie!$C$5,12,31)) &lt; MAX($E$2, DATE(Initialisatie!$C$5,1,1)), 0, MONTH(MIN($E$1, DATE(Initialisatie!$C$5,12,31))) - MONTH(MAX($E$2, DATE(Initialisatie!$C$5,1,1))) + 1)),
        IFERROR(VALUE($F74),0) * MAX(0, IF(MIN($F$1, DATE(Initialisatie!$C$5,12,31)) &lt; MAX($F$2, DATE(Initialisatie!$C$5,1,1)), 0, MONTH(MIN($F$1, DATE(Initialisatie!$C$5,12,31))) - MONTH(MAX($F$2, DATE(Initialisatie!$C$5,1,1))) + 1)),
        IFERROR(VALUE($G74),0) * MAX(0, IF(MIN($G$1, DATE(Initialisatie!$C$5,12,31)) &lt; MAX($G$2, DATE(Initialisatie!$C$5,1,1)), 0, MONTH(MIN($G$1, DATE(Initialisatie!$C$5,12,31))) - MONTH(MAX($G$2, DATE(Initialisatie!$C$5,1,1))) + 1)),
        IFERROR(VALUE($H74),0) * MAX(0, IF(MIN($H$1, DATE(Initialisatie!$C$5,12,31)) &lt; MAX($H$2, DATE(Initialisatie!$C$5,1,1)), 0, MONTH(MIN($H$1, DATE(Initialisatie!$C$5,12,31))) - MONTH(MAX($H$2, DATE(Initialisatie!$C$5,1,1))) + 1)),
        IFERROR(VALUE($I74),0) * MAX(0, IF(MIN($I$1, DATE(Initialisatie!$C$5,12,31)) &lt; MAX($I$2, DATE(Initialisatie!$C$5,1,1)), 0, MONTH(MIN($I$1, DATE(Initialisatie!$C$5,12,31))) - MONTH(MAX($I$2, DATE(Initialisatie!$C$5,1,1))) + 1))
    ) / 12
)</f>
        <v>3486.02</v>
      </c>
    </row>
    <row r="75" spans="1:12" x14ac:dyDescent="0.45">
      <c r="A75" s="989"/>
      <c r="B75" s="35" t="s">
        <v>95</v>
      </c>
      <c r="C75" s="35">
        <v>5</v>
      </c>
      <c r="D75" s="35" t="s">
        <v>216</v>
      </c>
      <c r="E75">
        <v>3311.55</v>
      </c>
      <c r="F75">
        <v>3352.94</v>
      </c>
      <c r="G75">
        <v>3473.65</v>
      </c>
      <c r="H75">
        <v>3602.18</v>
      </c>
      <c r="I75">
        <v>3724.65</v>
      </c>
      <c r="K75">
        <f>IF(
    OR(
        AND(MAX(0, MIN($E$1, DATE(Initialisatie!$C$5,12,31)) - MAX($E$2, DATE(Initialisatie!$C$5,1,1)) + 1) &gt; 0,IFERROR(VALUE($E75),0)=0),
        AND(MAX(0, MIN($F$1, DATE(Initialisatie!$C$5,12,31)) - MAX($F$2, DATE(Initialisatie!$C$5,1,1)) + 1) &gt; 0,IFERROR(VALUE($F75),0)=0),
        AND(MAX(0, MIN($G$1, DATE(Initialisatie!$C$5,12,31)) - MAX($G$2, DATE(Initialisatie!$C$5,1,1)) + 1) &gt; 0,IFERROR(VALUE($G75),0)=0),
        AND(MAX(0, MIN($H$1, DATE(Initialisatie!$C$5,12,31)) - MAX($H$2, DATE(Initialisatie!$C$5,1,1)) + 1) &gt; 0,IFERROR(VALUE($H75),0)=0),
        AND(MAX(0, MIN($I$1, DATE(Initialisatie!$C$5,12,31)) - MAX($I$2, DATE(Initialisatie!$C$5,1,1)) + 1) &gt; 0,IFERROR(VALUE($I75),0)=0)
    ),
    0,
    SUM(
        IFERROR(VALUE($E75),0) * MAX(0, MIN($E$1, DATE(Initialisatie!$C$5,12,31)) - MAX($E$2, DATE(Initialisatie!$C$5,1,1)) + 1),
        IFERROR(VALUE($F75),0) * MAX(0, MIN($F$1, DATE(Initialisatie!$C$5,12,31)) - MAX($F$2, DATE(Initialisatie!$C$5,1,1)) + 1),
        IFERROR(VALUE($G75),0) * MAX(0, MIN($G$1, DATE(Initialisatie!$C$5,12,31)) - MAX($G$2, DATE(Initialisatie!$C$5,1,1)) + 1),
        IFERROR(VALUE($H75),0) * MAX(0, MIN($H$1, DATE(Initialisatie!$C$5,12,31)) - MAX($H$2, DATE(Initialisatie!$C$5,1,1)) + 1),
        IFERROR(VALUE($I75),0) * MAX(0, MIN($I$1, DATE(Initialisatie!$C$5,12,31)) - MAX($I$2, DATE(Initialisatie!$C$5,1,1)) + 1)
    ) / (DATE(Initialisatie!$C$5,12,31) - DATE(Initialisatie!$C$5,1,1) + 1)
)</f>
        <v>3602.18</v>
      </c>
      <c r="L75">
        <f>IF(
    OR(
        AND(MAX(0, IF(MIN($E$1, DATE(Initialisatie!$C$5,12,31)) &lt; MAX($E$2, DATE(Initialisatie!$C$5,1,1)), 0, MONTH(MIN($E$1, DATE(Initialisatie!$C$5,12,31))) - MONTH(MAX($E$2, DATE(Initialisatie!$C$5,1,1))) + 1)) &lt;= 0, IFERROR(VALUE($E75),0)=0),
        AND(MAX(0, IF(MIN($F$1, DATE(Initialisatie!$C$5,12,31)) &lt; MAX($F$2, DATE(Initialisatie!$C$5,1,1)), 0, MONTH(MIN($F$1, DATE(Initialisatie!$C$5,12,31))) - MONTH(MAX($F$2, DATE(Initialisatie!$C$5,1,1))) + 1)) &lt;= 0, IFERROR(VALUE($F75),0)=0),
        AND(MAX(0, IF(MIN($G$1, DATE(Initialisatie!$C$5,12,31)) &lt; MAX($G$2, DATE(Initialisatie!$C$5,1,1)), 0, MONTH(MIN($G$1, DATE(Initialisatie!$C$5,12,31))) - MONTH(MAX($G$2, DATE(Initialisatie!$C$5,1,1))) + 1)) &lt;= 0, IFERROR(VALUE($G75),0)=0),
        AND(MAX(0, IF(MIN($H$1, DATE(Initialisatie!$C$5,12,31)) &lt; MAX($H$2, DATE(Initialisatie!$C$5,1,1)), 0, MONTH(MIN($H$1, DATE(Initialisatie!$C$5,12,31))) - MONTH(MAX($H$2, DATE(Initialisatie!$C$5,1,1))) + 1)) &lt;= 0, IFERROR(VALUE($H75),0)=0),
        AND(MAX(0, IF(MIN($I$1, DATE(Initialisatie!$C$5,12,31)) &lt; MAX($I$2, DATE(Initialisatie!$C$5,1,1)), 0, MONTH(MIN($I$1, DATE(Initialisatie!$C$5,12,31))) - MONTH(MAX($I$2, DATE(Initialisatie!$C$5,1,1))) + 1)) &lt;= 0, IFERROR(VALUE($I75),0)=0)
    ),
    0,
    SUM(
        IFERROR(VALUE($E75),0) * MAX(0, IF(MIN($E$1, DATE(Initialisatie!$C$5,12,31)) &lt; MAX($E$2, DATE(Initialisatie!$C$5,1,1)), 0, MONTH(MIN($E$1, DATE(Initialisatie!$C$5,12,31))) - MONTH(MAX($E$2, DATE(Initialisatie!$C$5,1,1))) + 1)),
        IFERROR(VALUE($F75),0) * MAX(0, IF(MIN($F$1, DATE(Initialisatie!$C$5,12,31)) &lt; MAX($F$2, DATE(Initialisatie!$C$5,1,1)), 0, MONTH(MIN($F$1, DATE(Initialisatie!$C$5,12,31))) - MONTH(MAX($F$2, DATE(Initialisatie!$C$5,1,1))) + 1)),
        IFERROR(VALUE($G75),0) * MAX(0, IF(MIN($G$1, DATE(Initialisatie!$C$5,12,31)) &lt; MAX($G$2, DATE(Initialisatie!$C$5,1,1)), 0, MONTH(MIN($G$1, DATE(Initialisatie!$C$5,12,31))) - MONTH(MAX($G$2, DATE(Initialisatie!$C$5,1,1))) + 1)),
        IFERROR(VALUE($H75),0) * MAX(0, IF(MIN($H$1, DATE(Initialisatie!$C$5,12,31)) &lt; MAX($H$2, DATE(Initialisatie!$C$5,1,1)), 0, MONTH(MIN($H$1, DATE(Initialisatie!$C$5,12,31))) - MONTH(MAX($H$2, DATE(Initialisatie!$C$5,1,1))) + 1)),
        IFERROR(VALUE($I75),0) * MAX(0, IF(MIN($I$1, DATE(Initialisatie!$C$5,12,31)) &lt; MAX($I$2, DATE(Initialisatie!$C$5,1,1)), 0, MONTH(MIN($I$1, DATE(Initialisatie!$C$5,12,31))) - MONTH(MAX($I$2, DATE(Initialisatie!$C$5,1,1))) + 1))
    ) / 12
)</f>
        <v>3602.18</v>
      </c>
    </row>
    <row r="76" spans="1:12" x14ac:dyDescent="0.45">
      <c r="A76" s="989"/>
      <c r="B76" s="35" t="s">
        <v>93</v>
      </c>
      <c r="C76" s="35">
        <v>6</v>
      </c>
      <c r="D76" s="35" t="s">
        <v>215</v>
      </c>
      <c r="E76">
        <v>3422.72</v>
      </c>
      <c r="F76">
        <v>3465.51</v>
      </c>
      <c r="G76">
        <v>3590.26</v>
      </c>
      <c r="H76">
        <v>3723.1</v>
      </c>
      <c r="I76">
        <v>3849.69</v>
      </c>
      <c r="K76">
        <f>IF(
    OR(
        AND(MAX(0, MIN($E$1, DATE(Initialisatie!$C$5,12,31)) - MAX($E$2, DATE(Initialisatie!$C$5,1,1)) + 1) &gt; 0,IFERROR(VALUE($E76),0)=0),
        AND(MAX(0, MIN($F$1, DATE(Initialisatie!$C$5,12,31)) - MAX($F$2, DATE(Initialisatie!$C$5,1,1)) + 1) &gt; 0,IFERROR(VALUE($F76),0)=0),
        AND(MAX(0, MIN($G$1, DATE(Initialisatie!$C$5,12,31)) - MAX($G$2, DATE(Initialisatie!$C$5,1,1)) + 1) &gt; 0,IFERROR(VALUE($G76),0)=0),
        AND(MAX(0, MIN($H$1, DATE(Initialisatie!$C$5,12,31)) - MAX($H$2, DATE(Initialisatie!$C$5,1,1)) + 1) &gt; 0,IFERROR(VALUE($H76),0)=0),
        AND(MAX(0, MIN($I$1, DATE(Initialisatie!$C$5,12,31)) - MAX($I$2, DATE(Initialisatie!$C$5,1,1)) + 1) &gt; 0,IFERROR(VALUE($I76),0)=0)
    ),
    0,
    SUM(
        IFERROR(VALUE($E76),0) * MAX(0, MIN($E$1, DATE(Initialisatie!$C$5,12,31)) - MAX($E$2, DATE(Initialisatie!$C$5,1,1)) + 1),
        IFERROR(VALUE($F76),0) * MAX(0, MIN($F$1, DATE(Initialisatie!$C$5,12,31)) - MAX($F$2, DATE(Initialisatie!$C$5,1,1)) + 1),
        IFERROR(VALUE($G76),0) * MAX(0, MIN($G$1, DATE(Initialisatie!$C$5,12,31)) - MAX($G$2, DATE(Initialisatie!$C$5,1,1)) + 1),
        IFERROR(VALUE($H76),0) * MAX(0, MIN($H$1, DATE(Initialisatie!$C$5,12,31)) - MAX($H$2, DATE(Initialisatie!$C$5,1,1)) + 1),
        IFERROR(VALUE($I76),0) * MAX(0, MIN($I$1, DATE(Initialisatie!$C$5,12,31)) - MAX($I$2, DATE(Initialisatie!$C$5,1,1)) + 1)
    ) / (DATE(Initialisatie!$C$5,12,31) - DATE(Initialisatie!$C$5,1,1) + 1)
)</f>
        <v>3723.1</v>
      </c>
      <c r="L76">
        <f>IF(
    OR(
        AND(MAX(0, IF(MIN($E$1, DATE(Initialisatie!$C$5,12,31)) &lt; MAX($E$2, DATE(Initialisatie!$C$5,1,1)), 0, MONTH(MIN($E$1, DATE(Initialisatie!$C$5,12,31))) - MONTH(MAX($E$2, DATE(Initialisatie!$C$5,1,1))) + 1)) &lt;= 0, IFERROR(VALUE($E76),0)=0),
        AND(MAX(0, IF(MIN($F$1, DATE(Initialisatie!$C$5,12,31)) &lt; MAX($F$2, DATE(Initialisatie!$C$5,1,1)), 0, MONTH(MIN($F$1, DATE(Initialisatie!$C$5,12,31))) - MONTH(MAX($F$2, DATE(Initialisatie!$C$5,1,1))) + 1)) &lt;= 0, IFERROR(VALUE($F76),0)=0),
        AND(MAX(0, IF(MIN($G$1, DATE(Initialisatie!$C$5,12,31)) &lt; MAX($G$2, DATE(Initialisatie!$C$5,1,1)), 0, MONTH(MIN($G$1, DATE(Initialisatie!$C$5,12,31))) - MONTH(MAX($G$2, DATE(Initialisatie!$C$5,1,1))) + 1)) &lt;= 0, IFERROR(VALUE($G76),0)=0),
        AND(MAX(0, IF(MIN($H$1, DATE(Initialisatie!$C$5,12,31)) &lt; MAX($H$2, DATE(Initialisatie!$C$5,1,1)), 0, MONTH(MIN($H$1, DATE(Initialisatie!$C$5,12,31))) - MONTH(MAX($H$2, DATE(Initialisatie!$C$5,1,1))) + 1)) &lt;= 0, IFERROR(VALUE($H76),0)=0),
        AND(MAX(0, IF(MIN($I$1, DATE(Initialisatie!$C$5,12,31)) &lt; MAX($I$2, DATE(Initialisatie!$C$5,1,1)), 0, MONTH(MIN($I$1, DATE(Initialisatie!$C$5,12,31))) - MONTH(MAX($I$2, DATE(Initialisatie!$C$5,1,1))) + 1)) &lt;= 0, IFERROR(VALUE($I76),0)=0)
    ),
    0,
    SUM(
        IFERROR(VALUE($E76),0) * MAX(0, IF(MIN($E$1, DATE(Initialisatie!$C$5,12,31)) &lt; MAX($E$2, DATE(Initialisatie!$C$5,1,1)), 0, MONTH(MIN($E$1, DATE(Initialisatie!$C$5,12,31))) - MONTH(MAX($E$2, DATE(Initialisatie!$C$5,1,1))) + 1)),
        IFERROR(VALUE($F76),0) * MAX(0, IF(MIN($F$1, DATE(Initialisatie!$C$5,12,31)) &lt; MAX($F$2, DATE(Initialisatie!$C$5,1,1)), 0, MONTH(MIN($F$1, DATE(Initialisatie!$C$5,12,31))) - MONTH(MAX($F$2, DATE(Initialisatie!$C$5,1,1))) + 1)),
        IFERROR(VALUE($G76),0) * MAX(0, IF(MIN($G$1, DATE(Initialisatie!$C$5,12,31)) &lt; MAX($G$2, DATE(Initialisatie!$C$5,1,1)), 0, MONTH(MIN($G$1, DATE(Initialisatie!$C$5,12,31))) - MONTH(MAX($G$2, DATE(Initialisatie!$C$5,1,1))) + 1)),
        IFERROR(VALUE($H76),0) * MAX(0, IF(MIN($H$1, DATE(Initialisatie!$C$5,12,31)) &lt; MAX($H$2, DATE(Initialisatie!$C$5,1,1)), 0, MONTH(MIN($H$1, DATE(Initialisatie!$C$5,12,31))) - MONTH(MAX($H$2, DATE(Initialisatie!$C$5,1,1))) + 1)),
        IFERROR(VALUE($I76),0) * MAX(0, IF(MIN($I$1, DATE(Initialisatie!$C$5,12,31)) &lt; MAX($I$2, DATE(Initialisatie!$C$5,1,1)), 0, MONTH(MIN($I$1, DATE(Initialisatie!$C$5,12,31))) - MONTH(MAX($I$2, DATE(Initialisatie!$C$5,1,1))) + 1))
    ) / 12
)</f>
        <v>3723.1</v>
      </c>
    </row>
    <row r="77" spans="1:12" x14ac:dyDescent="0.45">
      <c r="A77" s="989"/>
      <c r="B77" s="35" t="s">
        <v>91</v>
      </c>
      <c r="C77" s="35">
        <v>7</v>
      </c>
      <c r="D77" s="35" t="s">
        <v>214</v>
      </c>
      <c r="E77">
        <v>3537.51</v>
      </c>
      <c r="F77">
        <v>3581.73</v>
      </c>
      <c r="G77">
        <v>3710.67</v>
      </c>
      <c r="H77">
        <v>3847.97</v>
      </c>
      <c r="I77">
        <v>3978.8</v>
      </c>
      <c r="K77">
        <f>IF(
    OR(
        AND(MAX(0, MIN($E$1, DATE(Initialisatie!$C$5,12,31)) - MAX($E$2, DATE(Initialisatie!$C$5,1,1)) + 1) &gt; 0,IFERROR(VALUE($E77),0)=0),
        AND(MAX(0, MIN($F$1, DATE(Initialisatie!$C$5,12,31)) - MAX($F$2, DATE(Initialisatie!$C$5,1,1)) + 1) &gt; 0,IFERROR(VALUE($F77),0)=0),
        AND(MAX(0, MIN($G$1, DATE(Initialisatie!$C$5,12,31)) - MAX($G$2, DATE(Initialisatie!$C$5,1,1)) + 1) &gt; 0,IFERROR(VALUE($G77),0)=0),
        AND(MAX(0, MIN($H$1, DATE(Initialisatie!$C$5,12,31)) - MAX($H$2, DATE(Initialisatie!$C$5,1,1)) + 1) &gt; 0,IFERROR(VALUE($H77),0)=0),
        AND(MAX(0, MIN($I$1, DATE(Initialisatie!$C$5,12,31)) - MAX($I$2, DATE(Initialisatie!$C$5,1,1)) + 1) &gt; 0,IFERROR(VALUE($I77),0)=0)
    ),
    0,
    SUM(
        IFERROR(VALUE($E77),0) * MAX(0, MIN($E$1, DATE(Initialisatie!$C$5,12,31)) - MAX($E$2, DATE(Initialisatie!$C$5,1,1)) + 1),
        IFERROR(VALUE($F77),0) * MAX(0, MIN($F$1, DATE(Initialisatie!$C$5,12,31)) - MAX($F$2, DATE(Initialisatie!$C$5,1,1)) + 1),
        IFERROR(VALUE($G77),0) * MAX(0, MIN($G$1, DATE(Initialisatie!$C$5,12,31)) - MAX($G$2, DATE(Initialisatie!$C$5,1,1)) + 1),
        IFERROR(VALUE($H77),0) * MAX(0, MIN($H$1, DATE(Initialisatie!$C$5,12,31)) - MAX($H$2, DATE(Initialisatie!$C$5,1,1)) + 1),
        IFERROR(VALUE($I77),0) * MAX(0, MIN($I$1, DATE(Initialisatie!$C$5,12,31)) - MAX($I$2, DATE(Initialisatie!$C$5,1,1)) + 1)
    ) / (DATE(Initialisatie!$C$5,12,31) - DATE(Initialisatie!$C$5,1,1) + 1)
)</f>
        <v>3847.9699999999993</v>
      </c>
      <c r="L77">
        <f>IF(
    OR(
        AND(MAX(0, IF(MIN($E$1, DATE(Initialisatie!$C$5,12,31)) &lt; MAX($E$2, DATE(Initialisatie!$C$5,1,1)), 0, MONTH(MIN($E$1, DATE(Initialisatie!$C$5,12,31))) - MONTH(MAX($E$2, DATE(Initialisatie!$C$5,1,1))) + 1)) &lt;= 0, IFERROR(VALUE($E77),0)=0),
        AND(MAX(0, IF(MIN($F$1, DATE(Initialisatie!$C$5,12,31)) &lt; MAX($F$2, DATE(Initialisatie!$C$5,1,1)), 0, MONTH(MIN($F$1, DATE(Initialisatie!$C$5,12,31))) - MONTH(MAX($F$2, DATE(Initialisatie!$C$5,1,1))) + 1)) &lt;= 0, IFERROR(VALUE($F77),0)=0),
        AND(MAX(0, IF(MIN($G$1, DATE(Initialisatie!$C$5,12,31)) &lt; MAX($G$2, DATE(Initialisatie!$C$5,1,1)), 0, MONTH(MIN($G$1, DATE(Initialisatie!$C$5,12,31))) - MONTH(MAX($G$2, DATE(Initialisatie!$C$5,1,1))) + 1)) &lt;= 0, IFERROR(VALUE($G77),0)=0),
        AND(MAX(0, IF(MIN($H$1, DATE(Initialisatie!$C$5,12,31)) &lt; MAX($H$2, DATE(Initialisatie!$C$5,1,1)), 0, MONTH(MIN($H$1, DATE(Initialisatie!$C$5,12,31))) - MONTH(MAX($H$2, DATE(Initialisatie!$C$5,1,1))) + 1)) &lt;= 0, IFERROR(VALUE($H77),0)=0),
        AND(MAX(0, IF(MIN($I$1, DATE(Initialisatie!$C$5,12,31)) &lt; MAX($I$2, DATE(Initialisatie!$C$5,1,1)), 0, MONTH(MIN($I$1, DATE(Initialisatie!$C$5,12,31))) - MONTH(MAX($I$2, DATE(Initialisatie!$C$5,1,1))) + 1)) &lt;= 0, IFERROR(VALUE($I77),0)=0)
    ),
    0,
    SUM(
        IFERROR(VALUE($E77),0) * MAX(0, IF(MIN($E$1, DATE(Initialisatie!$C$5,12,31)) &lt; MAX($E$2, DATE(Initialisatie!$C$5,1,1)), 0, MONTH(MIN($E$1, DATE(Initialisatie!$C$5,12,31))) - MONTH(MAX($E$2, DATE(Initialisatie!$C$5,1,1))) + 1)),
        IFERROR(VALUE($F77),0) * MAX(0, IF(MIN($F$1, DATE(Initialisatie!$C$5,12,31)) &lt; MAX($F$2, DATE(Initialisatie!$C$5,1,1)), 0, MONTH(MIN($F$1, DATE(Initialisatie!$C$5,12,31))) - MONTH(MAX($F$2, DATE(Initialisatie!$C$5,1,1))) + 1)),
        IFERROR(VALUE($G77),0) * MAX(0, IF(MIN($G$1, DATE(Initialisatie!$C$5,12,31)) &lt; MAX($G$2, DATE(Initialisatie!$C$5,1,1)), 0, MONTH(MIN($G$1, DATE(Initialisatie!$C$5,12,31))) - MONTH(MAX($G$2, DATE(Initialisatie!$C$5,1,1))) + 1)),
        IFERROR(VALUE($H77),0) * MAX(0, IF(MIN($H$1, DATE(Initialisatie!$C$5,12,31)) &lt; MAX($H$2, DATE(Initialisatie!$C$5,1,1)), 0, MONTH(MIN($H$1, DATE(Initialisatie!$C$5,12,31))) - MONTH(MAX($H$2, DATE(Initialisatie!$C$5,1,1))) + 1)),
        IFERROR(VALUE($I77),0) * MAX(0, IF(MIN($I$1, DATE(Initialisatie!$C$5,12,31)) &lt; MAX($I$2, DATE(Initialisatie!$C$5,1,1)), 0, MONTH(MIN($I$1, DATE(Initialisatie!$C$5,12,31))) - MONTH(MAX($I$2, DATE(Initialisatie!$C$5,1,1))) + 1))
    ) / 12
)</f>
        <v>3847.97</v>
      </c>
    </row>
    <row r="78" spans="1:12" x14ac:dyDescent="0.45">
      <c r="A78" s="989"/>
      <c r="B78" s="35" t="s">
        <v>89</v>
      </c>
      <c r="C78" s="35">
        <v>8</v>
      </c>
      <c r="D78" s="35" t="s">
        <v>213</v>
      </c>
      <c r="E78">
        <v>3655.94</v>
      </c>
      <c r="F78">
        <v>3701.64</v>
      </c>
      <c r="G78">
        <v>3834.9</v>
      </c>
      <c r="H78">
        <v>3976.79</v>
      </c>
      <c r="I78">
        <v>4112</v>
      </c>
      <c r="K78">
        <f>IF(
    OR(
        AND(MAX(0, MIN($E$1, DATE(Initialisatie!$C$5,12,31)) - MAX($E$2, DATE(Initialisatie!$C$5,1,1)) + 1) &gt; 0,IFERROR(VALUE($E78),0)=0),
        AND(MAX(0, MIN($F$1, DATE(Initialisatie!$C$5,12,31)) - MAX($F$2, DATE(Initialisatie!$C$5,1,1)) + 1) &gt; 0,IFERROR(VALUE($F78),0)=0),
        AND(MAX(0, MIN($G$1, DATE(Initialisatie!$C$5,12,31)) - MAX($G$2, DATE(Initialisatie!$C$5,1,1)) + 1) &gt; 0,IFERROR(VALUE($G78),0)=0),
        AND(MAX(0, MIN($H$1, DATE(Initialisatie!$C$5,12,31)) - MAX($H$2, DATE(Initialisatie!$C$5,1,1)) + 1) &gt; 0,IFERROR(VALUE($H78),0)=0),
        AND(MAX(0, MIN($I$1, DATE(Initialisatie!$C$5,12,31)) - MAX($I$2, DATE(Initialisatie!$C$5,1,1)) + 1) &gt; 0,IFERROR(VALUE($I78),0)=0)
    ),
    0,
    SUM(
        IFERROR(VALUE($E78),0) * MAX(0, MIN($E$1, DATE(Initialisatie!$C$5,12,31)) - MAX($E$2, DATE(Initialisatie!$C$5,1,1)) + 1),
        IFERROR(VALUE($F78),0) * MAX(0, MIN($F$1, DATE(Initialisatie!$C$5,12,31)) - MAX($F$2, DATE(Initialisatie!$C$5,1,1)) + 1),
        IFERROR(VALUE($G78),0) * MAX(0, MIN($G$1, DATE(Initialisatie!$C$5,12,31)) - MAX($G$2, DATE(Initialisatie!$C$5,1,1)) + 1),
        IFERROR(VALUE($H78),0) * MAX(0, MIN($H$1, DATE(Initialisatie!$C$5,12,31)) - MAX($H$2, DATE(Initialisatie!$C$5,1,1)) + 1),
        IFERROR(VALUE($I78),0) * MAX(0, MIN($I$1, DATE(Initialisatie!$C$5,12,31)) - MAX($I$2, DATE(Initialisatie!$C$5,1,1)) + 1)
    ) / (DATE(Initialisatie!$C$5,12,31) - DATE(Initialisatie!$C$5,1,1) + 1)
)</f>
        <v>3976.7900000000004</v>
      </c>
      <c r="L78">
        <f>IF(
    OR(
        AND(MAX(0, IF(MIN($E$1, DATE(Initialisatie!$C$5,12,31)) &lt; MAX($E$2, DATE(Initialisatie!$C$5,1,1)), 0, MONTH(MIN($E$1, DATE(Initialisatie!$C$5,12,31))) - MONTH(MAX($E$2, DATE(Initialisatie!$C$5,1,1))) + 1)) &lt;= 0, IFERROR(VALUE($E78),0)=0),
        AND(MAX(0, IF(MIN($F$1, DATE(Initialisatie!$C$5,12,31)) &lt; MAX($F$2, DATE(Initialisatie!$C$5,1,1)), 0, MONTH(MIN($F$1, DATE(Initialisatie!$C$5,12,31))) - MONTH(MAX($F$2, DATE(Initialisatie!$C$5,1,1))) + 1)) &lt;= 0, IFERROR(VALUE($F78),0)=0),
        AND(MAX(0, IF(MIN($G$1, DATE(Initialisatie!$C$5,12,31)) &lt; MAX($G$2, DATE(Initialisatie!$C$5,1,1)), 0, MONTH(MIN($G$1, DATE(Initialisatie!$C$5,12,31))) - MONTH(MAX($G$2, DATE(Initialisatie!$C$5,1,1))) + 1)) &lt;= 0, IFERROR(VALUE($G78),0)=0),
        AND(MAX(0, IF(MIN($H$1, DATE(Initialisatie!$C$5,12,31)) &lt; MAX($H$2, DATE(Initialisatie!$C$5,1,1)), 0, MONTH(MIN($H$1, DATE(Initialisatie!$C$5,12,31))) - MONTH(MAX($H$2, DATE(Initialisatie!$C$5,1,1))) + 1)) &lt;= 0, IFERROR(VALUE($H78),0)=0),
        AND(MAX(0, IF(MIN($I$1, DATE(Initialisatie!$C$5,12,31)) &lt; MAX($I$2, DATE(Initialisatie!$C$5,1,1)), 0, MONTH(MIN($I$1, DATE(Initialisatie!$C$5,12,31))) - MONTH(MAX($I$2, DATE(Initialisatie!$C$5,1,1))) + 1)) &lt;= 0, IFERROR(VALUE($I78),0)=0)
    ),
    0,
    SUM(
        IFERROR(VALUE($E78),0) * MAX(0, IF(MIN($E$1, DATE(Initialisatie!$C$5,12,31)) &lt; MAX($E$2, DATE(Initialisatie!$C$5,1,1)), 0, MONTH(MIN($E$1, DATE(Initialisatie!$C$5,12,31))) - MONTH(MAX($E$2, DATE(Initialisatie!$C$5,1,1))) + 1)),
        IFERROR(VALUE($F78),0) * MAX(0, IF(MIN($F$1, DATE(Initialisatie!$C$5,12,31)) &lt; MAX($F$2, DATE(Initialisatie!$C$5,1,1)), 0, MONTH(MIN($F$1, DATE(Initialisatie!$C$5,12,31))) - MONTH(MAX($F$2, DATE(Initialisatie!$C$5,1,1))) + 1)),
        IFERROR(VALUE($G78),0) * MAX(0, IF(MIN($G$1, DATE(Initialisatie!$C$5,12,31)) &lt; MAX($G$2, DATE(Initialisatie!$C$5,1,1)), 0, MONTH(MIN($G$1, DATE(Initialisatie!$C$5,12,31))) - MONTH(MAX($G$2, DATE(Initialisatie!$C$5,1,1))) + 1)),
        IFERROR(VALUE($H78),0) * MAX(0, IF(MIN($H$1, DATE(Initialisatie!$C$5,12,31)) &lt; MAX($H$2, DATE(Initialisatie!$C$5,1,1)), 0, MONTH(MIN($H$1, DATE(Initialisatie!$C$5,12,31))) - MONTH(MAX($H$2, DATE(Initialisatie!$C$5,1,1))) + 1)),
        IFERROR(VALUE($I78),0) * MAX(0, IF(MIN($I$1, DATE(Initialisatie!$C$5,12,31)) &lt; MAX($I$2, DATE(Initialisatie!$C$5,1,1)), 0, MONTH(MIN($I$1, DATE(Initialisatie!$C$5,12,31))) - MONTH(MAX($I$2, DATE(Initialisatie!$C$5,1,1))) + 1))
    ) / 12
)</f>
        <v>3976.7899999999995</v>
      </c>
    </row>
    <row r="79" spans="1:12" x14ac:dyDescent="0.45">
      <c r="A79" s="989"/>
      <c r="B79" s="35" t="s">
        <v>87</v>
      </c>
      <c r="C79" s="35">
        <v>9</v>
      </c>
      <c r="D79" s="35" t="s">
        <v>212</v>
      </c>
      <c r="E79">
        <v>3778.71</v>
      </c>
      <c r="F79">
        <v>3825.94</v>
      </c>
      <c r="G79">
        <v>3963.67</v>
      </c>
      <c r="H79">
        <v>4110.33</v>
      </c>
      <c r="I79">
        <v>4250.08</v>
      </c>
      <c r="K79">
        <f>IF(
    OR(
        AND(MAX(0, MIN($E$1, DATE(Initialisatie!$C$5,12,31)) - MAX($E$2, DATE(Initialisatie!$C$5,1,1)) + 1) &gt; 0,IFERROR(VALUE($E79),0)=0),
        AND(MAX(0, MIN($F$1, DATE(Initialisatie!$C$5,12,31)) - MAX($F$2, DATE(Initialisatie!$C$5,1,1)) + 1) &gt; 0,IFERROR(VALUE($F79),0)=0),
        AND(MAX(0, MIN($G$1, DATE(Initialisatie!$C$5,12,31)) - MAX($G$2, DATE(Initialisatie!$C$5,1,1)) + 1) &gt; 0,IFERROR(VALUE($G79),0)=0),
        AND(MAX(0, MIN($H$1, DATE(Initialisatie!$C$5,12,31)) - MAX($H$2, DATE(Initialisatie!$C$5,1,1)) + 1) &gt; 0,IFERROR(VALUE($H79),0)=0),
        AND(MAX(0, MIN($I$1, DATE(Initialisatie!$C$5,12,31)) - MAX($I$2, DATE(Initialisatie!$C$5,1,1)) + 1) &gt; 0,IFERROR(VALUE($I79),0)=0)
    ),
    0,
    SUM(
        IFERROR(VALUE($E79),0) * MAX(0, MIN($E$1, DATE(Initialisatie!$C$5,12,31)) - MAX($E$2, DATE(Initialisatie!$C$5,1,1)) + 1),
        IFERROR(VALUE($F79),0) * MAX(0, MIN($F$1, DATE(Initialisatie!$C$5,12,31)) - MAX($F$2, DATE(Initialisatie!$C$5,1,1)) + 1),
        IFERROR(VALUE($G79),0) * MAX(0, MIN($G$1, DATE(Initialisatie!$C$5,12,31)) - MAX($G$2, DATE(Initialisatie!$C$5,1,1)) + 1),
        IFERROR(VALUE($H79),0) * MAX(0, MIN($H$1, DATE(Initialisatie!$C$5,12,31)) - MAX($H$2, DATE(Initialisatie!$C$5,1,1)) + 1),
        IFERROR(VALUE($I79),0) * MAX(0, MIN($I$1, DATE(Initialisatie!$C$5,12,31)) - MAX($I$2, DATE(Initialisatie!$C$5,1,1)) + 1)
    ) / (DATE(Initialisatie!$C$5,12,31) - DATE(Initialisatie!$C$5,1,1) + 1)
)</f>
        <v>4110.33</v>
      </c>
      <c r="L79">
        <f>IF(
    OR(
        AND(MAX(0, IF(MIN($E$1, DATE(Initialisatie!$C$5,12,31)) &lt; MAX($E$2, DATE(Initialisatie!$C$5,1,1)), 0, MONTH(MIN($E$1, DATE(Initialisatie!$C$5,12,31))) - MONTH(MAX($E$2, DATE(Initialisatie!$C$5,1,1))) + 1)) &lt;= 0, IFERROR(VALUE($E79),0)=0),
        AND(MAX(0, IF(MIN($F$1, DATE(Initialisatie!$C$5,12,31)) &lt; MAX($F$2, DATE(Initialisatie!$C$5,1,1)), 0, MONTH(MIN($F$1, DATE(Initialisatie!$C$5,12,31))) - MONTH(MAX($F$2, DATE(Initialisatie!$C$5,1,1))) + 1)) &lt;= 0, IFERROR(VALUE($F79),0)=0),
        AND(MAX(0, IF(MIN($G$1, DATE(Initialisatie!$C$5,12,31)) &lt; MAX($G$2, DATE(Initialisatie!$C$5,1,1)), 0, MONTH(MIN($G$1, DATE(Initialisatie!$C$5,12,31))) - MONTH(MAX($G$2, DATE(Initialisatie!$C$5,1,1))) + 1)) &lt;= 0, IFERROR(VALUE($G79),0)=0),
        AND(MAX(0, IF(MIN($H$1, DATE(Initialisatie!$C$5,12,31)) &lt; MAX($H$2, DATE(Initialisatie!$C$5,1,1)), 0, MONTH(MIN($H$1, DATE(Initialisatie!$C$5,12,31))) - MONTH(MAX($H$2, DATE(Initialisatie!$C$5,1,1))) + 1)) &lt;= 0, IFERROR(VALUE($H79),0)=0),
        AND(MAX(0, IF(MIN($I$1, DATE(Initialisatie!$C$5,12,31)) &lt; MAX($I$2, DATE(Initialisatie!$C$5,1,1)), 0, MONTH(MIN($I$1, DATE(Initialisatie!$C$5,12,31))) - MONTH(MAX($I$2, DATE(Initialisatie!$C$5,1,1))) + 1)) &lt;= 0, IFERROR(VALUE($I79),0)=0)
    ),
    0,
    SUM(
        IFERROR(VALUE($E79),0) * MAX(0, IF(MIN($E$1, DATE(Initialisatie!$C$5,12,31)) &lt; MAX($E$2, DATE(Initialisatie!$C$5,1,1)), 0, MONTH(MIN($E$1, DATE(Initialisatie!$C$5,12,31))) - MONTH(MAX($E$2, DATE(Initialisatie!$C$5,1,1))) + 1)),
        IFERROR(VALUE($F79),0) * MAX(0, IF(MIN($F$1, DATE(Initialisatie!$C$5,12,31)) &lt; MAX($F$2, DATE(Initialisatie!$C$5,1,1)), 0, MONTH(MIN($F$1, DATE(Initialisatie!$C$5,12,31))) - MONTH(MAX($F$2, DATE(Initialisatie!$C$5,1,1))) + 1)),
        IFERROR(VALUE($G79),0) * MAX(0, IF(MIN($G$1, DATE(Initialisatie!$C$5,12,31)) &lt; MAX($G$2, DATE(Initialisatie!$C$5,1,1)), 0, MONTH(MIN($G$1, DATE(Initialisatie!$C$5,12,31))) - MONTH(MAX($G$2, DATE(Initialisatie!$C$5,1,1))) + 1)),
        IFERROR(VALUE($H79),0) * MAX(0, IF(MIN($H$1, DATE(Initialisatie!$C$5,12,31)) &lt; MAX($H$2, DATE(Initialisatie!$C$5,1,1)), 0, MONTH(MIN($H$1, DATE(Initialisatie!$C$5,12,31))) - MONTH(MAX($H$2, DATE(Initialisatie!$C$5,1,1))) + 1)),
        IFERROR(VALUE($I79),0) * MAX(0, IF(MIN($I$1, DATE(Initialisatie!$C$5,12,31)) &lt; MAX($I$2, DATE(Initialisatie!$C$5,1,1)), 0, MONTH(MIN($I$1, DATE(Initialisatie!$C$5,12,31))) - MONTH(MAX($I$2, DATE(Initialisatie!$C$5,1,1))) + 1))
    ) / 12
)</f>
        <v>4110.33</v>
      </c>
    </row>
    <row r="80" spans="1:12" x14ac:dyDescent="0.45">
      <c r="A80" s="989"/>
      <c r="B80" s="35" t="s">
        <v>109</v>
      </c>
      <c r="C80" s="35">
        <v>10</v>
      </c>
      <c r="D80" s="35" t="s">
        <v>223</v>
      </c>
      <c r="E80">
        <v>3905.15</v>
      </c>
      <c r="F80">
        <v>3953.96</v>
      </c>
      <c r="G80">
        <v>4096.3100000000004</v>
      </c>
      <c r="H80">
        <v>4247.87</v>
      </c>
      <c r="I80">
        <v>4392.3</v>
      </c>
      <c r="K80">
        <f>IF(
    OR(
        AND(MAX(0, MIN($E$1, DATE(Initialisatie!$C$5,12,31)) - MAX($E$2, DATE(Initialisatie!$C$5,1,1)) + 1) &gt; 0,IFERROR(VALUE($E80),0)=0),
        AND(MAX(0, MIN($F$1, DATE(Initialisatie!$C$5,12,31)) - MAX($F$2, DATE(Initialisatie!$C$5,1,1)) + 1) &gt; 0,IFERROR(VALUE($F80),0)=0),
        AND(MAX(0, MIN($G$1, DATE(Initialisatie!$C$5,12,31)) - MAX($G$2, DATE(Initialisatie!$C$5,1,1)) + 1) &gt; 0,IFERROR(VALUE($G80),0)=0),
        AND(MAX(0, MIN($H$1, DATE(Initialisatie!$C$5,12,31)) - MAX($H$2, DATE(Initialisatie!$C$5,1,1)) + 1) &gt; 0,IFERROR(VALUE($H80),0)=0),
        AND(MAX(0, MIN($I$1, DATE(Initialisatie!$C$5,12,31)) - MAX($I$2, DATE(Initialisatie!$C$5,1,1)) + 1) &gt; 0,IFERROR(VALUE($I80),0)=0)
    ),
    0,
    SUM(
        IFERROR(VALUE($E80),0) * MAX(0, MIN($E$1, DATE(Initialisatie!$C$5,12,31)) - MAX($E$2, DATE(Initialisatie!$C$5,1,1)) + 1),
        IFERROR(VALUE($F80),0) * MAX(0, MIN($F$1, DATE(Initialisatie!$C$5,12,31)) - MAX($F$2, DATE(Initialisatie!$C$5,1,1)) + 1),
        IFERROR(VALUE($G80),0) * MAX(0, MIN($G$1, DATE(Initialisatie!$C$5,12,31)) - MAX($G$2, DATE(Initialisatie!$C$5,1,1)) + 1),
        IFERROR(VALUE($H80),0) * MAX(0, MIN($H$1, DATE(Initialisatie!$C$5,12,31)) - MAX($H$2, DATE(Initialisatie!$C$5,1,1)) + 1),
        IFERROR(VALUE($I80),0) * MAX(0, MIN($I$1, DATE(Initialisatie!$C$5,12,31)) - MAX($I$2, DATE(Initialisatie!$C$5,1,1)) + 1)
    ) / (DATE(Initialisatie!$C$5,12,31) - DATE(Initialisatie!$C$5,1,1) + 1)
)</f>
        <v>4247.87</v>
      </c>
      <c r="L80">
        <f>IF(
    OR(
        AND(MAX(0, IF(MIN($E$1, DATE(Initialisatie!$C$5,12,31)) &lt; MAX($E$2, DATE(Initialisatie!$C$5,1,1)), 0, MONTH(MIN($E$1, DATE(Initialisatie!$C$5,12,31))) - MONTH(MAX($E$2, DATE(Initialisatie!$C$5,1,1))) + 1)) &lt;= 0, IFERROR(VALUE($E80),0)=0),
        AND(MAX(0, IF(MIN($F$1, DATE(Initialisatie!$C$5,12,31)) &lt; MAX($F$2, DATE(Initialisatie!$C$5,1,1)), 0, MONTH(MIN($F$1, DATE(Initialisatie!$C$5,12,31))) - MONTH(MAX($F$2, DATE(Initialisatie!$C$5,1,1))) + 1)) &lt;= 0, IFERROR(VALUE($F80),0)=0),
        AND(MAX(0, IF(MIN($G$1, DATE(Initialisatie!$C$5,12,31)) &lt; MAX($G$2, DATE(Initialisatie!$C$5,1,1)), 0, MONTH(MIN($G$1, DATE(Initialisatie!$C$5,12,31))) - MONTH(MAX($G$2, DATE(Initialisatie!$C$5,1,1))) + 1)) &lt;= 0, IFERROR(VALUE($G80),0)=0),
        AND(MAX(0, IF(MIN($H$1, DATE(Initialisatie!$C$5,12,31)) &lt; MAX($H$2, DATE(Initialisatie!$C$5,1,1)), 0, MONTH(MIN($H$1, DATE(Initialisatie!$C$5,12,31))) - MONTH(MAX($H$2, DATE(Initialisatie!$C$5,1,1))) + 1)) &lt;= 0, IFERROR(VALUE($H80),0)=0),
        AND(MAX(0, IF(MIN($I$1, DATE(Initialisatie!$C$5,12,31)) &lt; MAX($I$2, DATE(Initialisatie!$C$5,1,1)), 0, MONTH(MIN($I$1, DATE(Initialisatie!$C$5,12,31))) - MONTH(MAX($I$2, DATE(Initialisatie!$C$5,1,1))) + 1)) &lt;= 0, IFERROR(VALUE($I80),0)=0)
    ),
    0,
    SUM(
        IFERROR(VALUE($E80),0) * MAX(0, IF(MIN($E$1, DATE(Initialisatie!$C$5,12,31)) &lt; MAX($E$2, DATE(Initialisatie!$C$5,1,1)), 0, MONTH(MIN($E$1, DATE(Initialisatie!$C$5,12,31))) - MONTH(MAX($E$2, DATE(Initialisatie!$C$5,1,1))) + 1)),
        IFERROR(VALUE($F80),0) * MAX(0, IF(MIN($F$1, DATE(Initialisatie!$C$5,12,31)) &lt; MAX($F$2, DATE(Initialisatie!$C$5,1,1)), 0, MONTH(MIN($F$1, DATE(Initialisatie!$C$5,12,31))) - MONTH(MAX($F$2, DATE(Initialisatie!$C$5,1,1))) + 1)),
        IFERROR(VALUE($G80),0) * MAX(0, IF(MIN($G$1, DATE(Initialisatie!$C$5,12,31)) &lt; MAX($G$2, DATE(Initialisatie!$C$5,1,1)), 0, MONTH(MIN($G$1, DATE(Initialisatie!$C$5,12,31))) - MONTH(MAX($G$2, DATE(Initialisatie!$C$5,1,1))) + 1)),
        IFERROR(VALUE($H80),0) * MAX(0, IF(MIN($H$1, DATE(Initialisatie!$C$5,12,31)) &lt; MAX($H$2, DATE(Initialisatie!$C$5,1,1)), 0, MONTH(MIN($H$1, DATE(Initialisatie!$C$5,12,31))) - MONTH(MAX($H$2, DATE(Initialisatie!$C$5,1,1))) + 1)),
        IFERROR(VALUE($I80),0) * MAX(0, IF(MIN($I$1, DATE(Initialisatie!$C$5,12,31)) &lt; MAX($I$2, DATE(Initialisatie!$C$5,1,1)), 0, MONTH(MIN($I$1, DATE(Initialisatie!$C$5,12,31))) - MONTH(MAX($I$2, DATE(Initialisatie!$C$5,1,1))) + 1))
    ) / 12
)</f>
        <v>4247.87</v>
      </c>
    </row>
    <row r="81" spans="1:12" x14ac:dyDescent="0.45">
      <c r="A81" s="989"/>
      <c r="B81" s="35" t="s">
        <v>107</v>
      </c>
      <c r="C81" s="35">
        <v>11</v>
      </c>
      <c r="D81" s="35" t="s">
        <v>222</v>
      </c>
      <c r="E81">
        <v>4035.91</v>
      </c>
      <c r="F81">
        <v>4086.36</v>
      </c>
      <c r="G81">
        <v>4233.47</v>
      </c>
      <c r="H81">
        <v>4390.1000000000004</v>
      </c>
      <c r="I81">
        <v>4539.37</v>
      </c>
      <c r="K81">
        <f>IF(
    OR(
        AND(MAX(0, MIN($E$1, DATE(Initialisatie!$C$5,12,31)) - MAX($E$2, DATE(Initialisatie!$C$5,1,1)) + 1) &gt; 0,IFERROR(VALUE($E81),0)=0),
        AND(MAX(0, MIN($F$1, DATE(Initialisatie!$C$5,12,31)) - MAX($F$2, DATE(Initialisatie!$C$5,1,1)) + 1) &gt; 0,IFERROR(VALUE($F81),0)=0),
        AND(MAX(0, MIN($G$1, DATE(Initialisatie!$C$5,12,31)) - MAX($G$2, DATE(Initialisatie!$C$5,1,1)) + 1) &gt; 0,IFERROR(VALUE($G81),0)=0),
        AND(MAX(0, MIN($H$1, DATE(Initialisatie!$C$5,12,31)) - MAX($H$2, DATE(Initialisatie!$C$5,1,1)) + 1) &gt; 0,IFERROR(VALUE($H81),0)=0),
        AND(MAX(0, MIN($I$1, DATE(Initialisatie!$C$5,12,31)) - MAX($I$2, DATE(Initialisatie!$C$5,1,1)) + 1) &gt; 0,IFERROR(VALUE($I81),0)=0)
    ),
    0,
    SUM(
        IFERROR(VALUE($E81),0) * MAX(0, MIN($E$1, DATE(Initialisatie!$C$5,12,31)) - MAX($E$2, DATE(Initialisatie!$C$5,1,1)) + 1),
        IFERROR(VALUE($F81),0) * MAX(0, MIN($F$1, DATE(Initialisatie!$C$5,12,31)) - MAX($F$2, DATE(Initialisatie!$C$5,1,1)) + 1),
        IFERROR(VALUE($G81),0) * MAX(0, MIN($G$1, DATE(Initialisatie!$C$5,12,31)) - MAX($G$2, DATE(Initialisatie!$C$5,1,1)) + 1),
        IFERROR(VALUE($H81),0) * MAX(0, MIN($H$1, DATE(Initialisatie!$C$5,12,31)) - MAX($H$2, DATE(Initialisatie!$C$5,1,1)) + 1),
        IFERROR(VALUE($I81),0) * MAX(0, MIN($I$1, DATE(Initialisatie!$C$5,12,31)) - MAX($I$2, DATE(Initialisatie!$C$5,1,1)) + 1)
    ) / (DATE(Initialisatie!$C$5,12,31) - DATE(Initialisatie!$C$5,1,1) + 1)
)</f>
        <v>4390.1000000000004</v>
      </c>
      <c r="L81">
        <f>IF(
    OR(
        AND(MAX(0, IF(MIN($E$1, DATE(Initialisatie!$C$5,12,31)) &lt; MAX($E$2, DATE(Initialisatie!$C$5,1,1)), 0, MONTH(MIN($E$1, DATE(Initialisatie!$C$5,12,31))) - MONTH(MAX($E$2, DATE(Initialisatie!$C$5,1,1))) + 1)) &lt;= 0, IFERROR(VALUE($E81),0)=0),
        AND(MAX(0, IF(MIN($F$1, DATE(Initialisatie!$C$5,12,31)) &lt; MAX($F$2, DATE(Initialisatie!$C$5,1,1)), 0, MONTH(MIN($F$1, DATE(Initialisatie!$C$5,12,31))) - MONTH(MAX($F$2, DATE(Initialisatie!$C$5,1,1))) + 1)) &lt;= 0, IFERROR(VALUE($F81),0)=0),
        AND(MAX(0, IF(MIN($G$1, DATE(Initialisatie!$C$5,12,31)) &lt; MAX($G$2, DATE(Initialisatie!$C$5,1,1)), 0, MONTH(MIN($G$1, DATE(Initialisatie!$C$5,12,31))) - MONTH(MAX($G$2, DATE(Initialisatie!$C$5,1,1))) + 1)) &lt;= 0, IFERROR(VALUE($G81),0)=0),
        AND(MAX(0, IF(MIN($H$1, DATE(Initialisatie!$C$5,12,31)) &lt; MAX($H$2, DATE(Initialisatie!$C$5,1,1)), 0, MONTH(MIN($H$1, DATE(Initialisatie!$C$5,12,31))) - MONTH(MAX($H$2, DATE(Initialisatie!$C$5,1,1))) + 1)) &lt;= 0, IFERROR(VALUE($H81),0)=0),
        AND(MAX(0, IF(MIN($I$1, DATE(Initialisatie!$C$5,12,31)) &lt; MAX($I$2, DATE(Initialisatie!$C$5,1,1)), 0, MONTH(MIN($I$1, DATE(Initialisatie!$C$5,12,31))) - MONTH(MAX($I$2, DATE(Initialisatie!$C$5,1,1))) + 1)) &lt;= 0, IFERROR(VALUE($I81),0)=0)
    ),
    0,
    SUM(
        IFERROR(VALUE($E81),0) * MAX(0, IF(MIN($E$1, DATE(Initialisatie!$C$5,12,31)) &lt; MAX($E$2, DATE(Initialisatie!$C$5,1,1)), 0, MONTH(MIN($E$1, DATE(Initialisatie!$C$5,12,31))) - MONTH(MAX($E$2, DATE(Initialisatie!$C$5,1,1))) + 1)),
        IFERROR(VALUE($F81),0) * MAX(0, IF(MIN($F$1, DATE(Initialisatie!$C$5,12,31)) &lt; MAX($F$2, DATE(Initialisatie!$C$5,1,1)), 0, MONTH(MIN($F$1, DATE(Initialisatie!$C$5,12,31))) - MONTH(MAX($F$2, DATE(Initialisatie!$C$5,1,1))) + 1)),
        IFERROR(VALUE($G81),0) * MAX(0, IF(MIN($G$1, DATE(Initialisatie!$C$5,12,31)) &lt; MAX($G$2, DATE(Initialisatie!$C$5,1,1)), 0, MONTH(MIN($G$1, DATE(Initialisatie!$C$5,12,31))) - MONTH(MAX($G$2, DATE(Initialisatie!$C$5,1,1))) + 1)),
        IFERROR(VALUE($H81),0) * MAX(0, IF(MIN($H$1, DATE(Initialisatie!$C$5,12,31)) &lt; MAX($H$2, DATE(Initialisatie!$C$5,1,1)), 0, MONTH(MIN($H$1, DATE(Initialisatie!$C$5,12,31))) - MONTH(MAX($H$2, DATE(Initialisatie!$C$5,1,1))) + 1)),
        IFERROR(VALUE($I81),0) * MAX(0, IF(MIN($I$1, DATE(Initialisatie!$C$5,12,31)) &lt; MAX($I$2, DATE(Initialisatie!$C$5,1,1)), 0, MONTH(MIN($I$1, DATE(Initialisatie!$C$5,12,31))) - MONTH(MAX($I$2, DATE(Initialisatie!$C$5,1,1))) + 1))
    ) / 12
)</f>
        <v>4390.1000000000004</v>
      </c>
    </row>
    <row r="82" spans="1:12" x14ac:dyDescent="0.45">
      <c r="A82" s="989"/>
      <c r="B82" s="35" t="s">
        <v>105</v>
      </c>
      <c r="C82" s="35">
        <v>12</v>
      </c>
      <c r="D82" s="35" t="s">
        <v>221</v>
      </c>
      <c r="E82">
        <v>4171.0200000000004</v>
      </c>
      <c r="F82">
        <v>4223.16</v>
      </c>
      <c r="G82">
        <v>4375.2</v>
      </c>
      <c r="H82">
        <v>4537.08</v>
      </c>
      <c r="I82">
        <v>4691.34</v>
      </c>
      <c r="K82">
        <f>IF(
    OR(
        AND(MAX(0, MIN($E$1, DATE(Initialisatie!$C$5,12,31)) - MAX($E$2, DATE(Initialisatie!$C$5,1,1)) + 1) &gt; 0,IFERROR(VALUE($E82),0)=0),
        AND(MAX(0, MIN($F$1, DATE(Initialisatie!$C$5,12,31)) - MAX($F$2, DATE(Initialisatie!$C$5,1,1)) + 1) &gt; 0,IFERROR(VALUE($F82),0)=0),
        AND(MAX(0, MIN($G$1, DATE(Initialisatie!$C$5,12,31)) - MAX($G$2, DATE(Initialisatie!$C$5,1,1)) + 1) &gt; 0,IFERROR(VALUE($G82),0)=0),
        AND(MAX(0, MIN($H$1, DATE(Initialisatie!$C$5,12,31)) - MAX($H$2, DATE(Initialisatie!$C$5,1,1)) + 1) &gt; 0,IFERROR(VALUE($H82),0)=0),
        AND(MAX(0, MIN($I$1, DATE(Initialisatie!$C$5,12,31)) - MAX($I$2, DATE(Initialisatie!$C$5,1,1)) + 1) &gt; 0,IFERROR(VALUE($I82),0)=0)
    ),
    0,
    SUM(
        IFERROR(VALUE($E82),0) * MAX(0, MIN($E$1, DATE(Initialisatie!$C$5,12,31)) - MAX($E$2, DATE(Initialisatie!$C$5,1,1)) + 1),
        IFERROR(VALUE($F82),0) * MAX(0, MIN($F$1, DATE(Initialisatie!$C$5,12,31)) - MAX($F$2, DATE(Initialisatie!$C$5,1,1)) + 1),
        IFERROR(VALUE($G82),0) * MAX(0, MIN($G$1, DATE(Initialisatie!$C$5,12,31)) - MAX($G$2, DATE(Initialisatie!$C$5,1,1)) + 1),
        IFERROR(VALUE($H82),0) * MAX(0, MIN($H$1, DATE(Initialisatie!$C$5,12,31)) - MAX($H$2, DATE(Initialisatie!$C$5,1,1)) + 1),
        IFERROR(VALUE($I82),0) * MAX(0, MIN($I$1, DATE(Initialisatie!$C$5,12,31)) - MAX($I$2, DATE(Initialisatie!$C$5,1,1)) + 1)
    ) / (DATE(Initialisatie!$C$5,12,31) - DATE(Initialisatie!$C$5,1,1) + 1)
)</f>
        <v>4537.08</v>
      </c>
      <c r="L82">
        <f>IF(
    OR(
        AND(MAX(0, IF(MIN($E$1, DATE(Initialisatie!$C$5,12,31)) &lt; MAX($E$2, DATE(Initialisatie!$C$5,1,1)), 0, MONTH(MIN($E$1, DATE(Initialisatie!$C$5,12,31))) - MONTH(MAX($E$2, DATE(Initialisatie!$C$5,1,1))) + 1)) &lt;= 0, IFERROR(VALUE($E82),0)=0),
        AND(MAX(0, IF(MIN($F$1, DATE(Initialisatie!$C$5,12,31)) &lt; MAX($F$2, DATE(Initialisatie!$C$5,1,1)), 0, MONTH(MIN($F$1, DATE(Initialisatie!$C$5,12,31))) - MONTH(MAX($F$2, DATE(Initialisatie!$C$5,1,1))) + 1)) &lt;= 0, IFERROR(VALUE($F82),0)=0),
        AND(MAX(0, IF(MIN($G$1, DATE(Initialisatie!$C$5,12,31)) &lt; MAX($G$2, DATE(Initialisatie!$C$5,1,1)), 0, MONTH(MIN($G$1, DATE(Initialisatie!$C$5,12,31))) - MONTH(MAX($G$2, DATE(Initialisatie!$C$5,1,1))) + 1)) &lt;= 0, IFERROR(VALUE($G82),0)=0),
        AND(MAX(0, IF(MIN($H$1, DATE(Initialisatie!$C$5,12,31)) &lt; MAX($H$2, DATE(Initialisatie!$C$5,1,1)), 0, MONTH(MIN($H$1, DATE(Initialisatie!$C$5,12,31))) - MONTH(MAX($H$2, DATE(Initialisatie!$C$5,1,1))) + 1)) &lt;= 0, IFERROR(VALUE($H82),0)=0),
        AND(MAX(0, IF(MIN($I$1, DATE(Initialisatie!$C$5,12,31)) &lt; MAX($I$2, DATE(Initialisatie!$C$5,1,1)), 0, MONTH(MIN($I$1, DATE(Initialisatie!$C$5,12,31))) - MONTH(MAX($I$2, DATE(Initialisatie!$C$5,1,1))) + 1)) &lt;= 0, IFERROR(VALUE($I82),0)=0)
    ),
    0,
    SUM(
        IFERROR(VALUE($E82),0) * MAX(0, IF(MIN($E$1, DATE(Initialisatie!$C$5,12,31)) &lt; MAX($E$2, DATE(Initialisatie!$C$5,1,1)), 0, MONTH(MIN($E$1, DATE(Initialisatie!$C$5,12,31))) - MONTH(MAX($E$2, DATE(Initialisatie!$C$5,1,1))) + 1)),
        IFERROR(VALUE($F82),0) * MAX(0, IF(MIN($F$1, DATE(Initialisatie!$C$5,12,31)) &lt; MAX($F$2, DATE(Initialisatie!$C$5,1,1)), 0, MONTH(MIN($F$1, DATE(Initialisatie!$C$5,12,31))) - MONTH(MAX($F$2, DATE(Initialisatie!$C$5,1,1))) + 1)),
        IFERROR(VALUE($G82),0) * MAX(0, IF(MIN($G$1, DATE(Initialisatie!$C$5,12,31)) &lt; MAX($G$2, DATE(Initialisatie!$C$5,1,1)), 0, MONTH(MIN($G$1, DATE(Initialisatie!$C$5,12,31))) - MONTH(MAX($G$2, DATE(Initialisatie!$C$5,1,1))) + 1)),
        IFERROR(VALUE($H82),0) * MAX(0, IF(MIN($H$1, DATE(Initialisatie!$C$5,12,31)) &lt; MAX($H$2, DATE(Initialisatie!$C$5,1,1)), 0, MONTH(MIN($H$1, DATE(Initialisatie!$C$5,12,31))) - MONTH(MAX($H$2, DATE(Initialisatie!$C$5,1,1))) + 1)),
        IFERROR(VALUE($I82),0) * MAX(0, IF(MIN($I$1, DATE(Initialisatie!$C$5,12,31)) &lt; MAX($I$2, DATE(Initialisatie!$C$5,1,1)), 0, MONTH(MIN($I$1, DATE(Initialisatie!$C$5,12,31))) - MONTH(MAX($I$2, DATE(Initialisatie!$C$5,1,1))) + 1))
    ) / 12
)</f>
        <v>4537.08</v>
      </c>
    </row>
    <row r="83" spans="1:12" x14ac:dyDescent="0.45">
      <c r="A83" s="989"/>
      <c r="B83" s="35" t="s">
        <v>103</v>
      </c>
      <c r="C83" s="35">
        <v>13</v>
      </c>
      <c r="D83" s="35" t="s">
        <v>220</v>
      </c>
      <c r="E83">
        <v>0</v>
      </c>
      <c r="F83">
        <v>0</v>
      </c>
      <c r="G83">
        <v>0</v>
      </c>
      <c r="H83">
        <v>0</v>
      </c>
      <c r="I83">
        <v>0</v>
      </c>
      <c r="K83">
        <f>IF(
    OR(
        AND(MAX(0, MIN($E$1, DATE(Initialisatie!$C$5,12,31)) - MAX($E$2, DATE(Initialisatie!$C$5,1,1)) + 1) &gt; 0,IFERROR(VALUE($E83),0)=0),
        AND(MAX(0, MIN($F$1, DATE(Initialisatie!$C$5,12,31)) - MAX($F$2, DATE(Initialisatie!$C$5,1,1)) + 1) &gt; 0,IFERROR(VALUE($F83),0)=0),
        AND(MAX(0, MIN($G$1, DATE(Initialisatie!$C$5,12,31)) - MAX($G$2, DATE(Initialisatie!$C$5,1,1)) + 1) &gt; 0,IFERROR(VALUE($G83),0)=0),
        AND(MAX(0, MIN($H$1, DATE(Initialisatie!$C$5,12,31)) - MAX($H$2, DATE(Initialisatie!$C$5,1,1)) + 1) &gt; 0,IFERROR(VALUE($H83),0)=0),
        AND(MAX(0, MIN($I$1, DATE(Initialisatie!$C$5,12,31)) - MAX($I$2, DATE(Initialisatie!$C$5,1,1)) + 1) &gt; 0,IFERROR(VALUE($I83),0)=0)
    ),
    0,
    SUM(
        IFERROR(VALUE($E83),0) * MAX(0, MIN($E$1, DATE(Initialisatie!$C$5,12,31)) - MAX($E$2, DATE(Initialisatie!$C$5,1,1)) + 1),
        IFERROR(VALUE($F83),0) * MAX(0, MIN($F$1, DATE(Initialisatie!$C$5,12,31)) - MAX($F$2, DATE(Initialisatie!$C$5,1,1)) + 1),
        IFERROR(VALUE($G83),0) * MAX(0, MIN($G$1, DATE(Initialisatie!$C$5,12,31)) - MAX($G$2, DATE(Initialisatie!$C$5,1,1)) + 1),
        IFERROR(VALUE($H83),0) * MAX(0, MIN($H$1, DATE(Initialisatie!$C$5,12,31)) - MAX($H$2, DATE(Initialisatie!$C$5,1,1)) + 1),
        IFERROR(VALUE($I83),0) * MAX(0, MIN($I$1, DATE(Initialisatie!$C$5,12,31)) - MAX($I$2, DATE(Initialisatie!$C$5,1,1)) + 1)
    ) / (DATE(Initialisatie!$C$5,12,31) - DATE(Initialisatie!$C$5,1,1) + 1)
)</f>
        <v>0</v>
      </c>
      <c r="L83">
        <f>IF(
    OR(
        AND(MAX(0, IF(MIN($E$1, DATE(Initialisatie!$C$5,12,31)) &lt; MAX($E$2, DATE(Initialisatie!$C$5,1,1)), 0, MONTH(MIN($E$1, DATE(Initialisatie!$C$5,12,31))) - MONTH(MAX($E$2, DATE(Initialisatie!$C$5,1,1))) + 1)) &lt;= 0, IFERROR(VALUE($E83),0)=0),
        AND(MAX(0, IF(MIN($F$1, DATE(Initialisatie!$C$5,12,31)) &lt; MAX($F$2, DATE(Initialisatie!$C$5,1,1)), 0, MONTH(MIN($F$1, DATE(Initialisatie!$C$5,12,31))) - MONTH(MAX($F$2, DATE(Initialisatie!$C$5,1,1))) + 1)) &lt;= 0, IFERROR(VALUE($F83),0)=0),
        AND(MAX(0, IF(MIN($G$1, DATE(Initialisatie!$C$5,12,31)) &lt; MAX($G$2, DATE(Initialisatie!$C$5,1,1)), 0, MONTH(MIN($G$1, DATE(Initialisatie!$C$5,12,31))) - MONTH(MAX($G$2, DATE(Initialisatie!$C$5,1,1))) + 1)) &lt;= 0, IFERROR(VALUE($G83),0)=0),
        AND(MAX(0, IF(MIN($H$1, DATE(Initialisatie!$C$5,12,31)) &lt; MAX($H$2, DATE(Initialisatie!$C$5,1,1)), 0, MONTH(MIN($H$1, DATE(Initialisatie!$C$5,12,31))) - MONTH(MAX($H$2, DATE(Initialisatie!$C$5,1,1))) + 1)) &lt;= 0, IFERROR(VALUE($H83),0)=0),
        AND(MAX(0, IF(MIN($I$1, DATE(Initialisatie!$C$5,12,31)) &lt; MAX($I$2, DATE(Initialisatie!$C$5,1,1)), 0, MONTH(MIN($I$1, DATE(Initialisatie!$C$5,12,31))) - MONTH(MAX($I$2, DATE(Initialisatie!$C$5,1,1))) + 1)) &lt;= 0, IFERROR(VALUE($I83),0)=0)
    ),
    0,
    SUM(
        IFERROR(VALUE($E83),0) * MAX(0, IF(MIN($E$1, DATE(Initialisatie!$C$5,12,31)) &lt; MAX($E$2, DATE(Initialisatie!$C$5,1,1)), 0, MONTH(MIN($E$1, DATE(Initialisatie!$C$5,12,31))) - MONTH(MAX($E$2, DATE(Initialisatie!$C$5,1,1))) + 1)),
        IFERROR(VALUE($F83),0) * MAX(0, IF(MIN($F$1, DATE(Initialisatie!$C$5,12,31)) &lt; MAX($F$2, DATE(Initialisatie!$C$5,1,1)), 0, MONTH(MIN($F$1, DATE(Initialisatie!$C$5,12,31))) - MONTH(MAX($F$2, DATE(Initialisatie!$C$5,1,1))) + 1)),
        IFERROR(VALUE($G83),0) * MAX(0, IF(MIN($G$1, DATE(Initialisatie!$C$5,12,31)) &lt; MAX($G$2, DATE(Initialisatie!$C$5,1,1)), 0, MONTH(MIN($G$1, DATE(Initialisatie!$C$5,12,31))) - MONTH(MAX($G$2, DATE(Initialisatie!$C$5,1,1))) + 1)),
        IFERROR(VALUE($H83),0) * MAX(0, IF(MIN($H$1, DATE(Initialisatie!$C$5,12,31)) &lt; MAX($H$2, DATE(Initialisatie!$C$5,1,1)), 0, MONTH(MIN($H$1, DATE(Initialisatie!$C$5,12,31))) - MONTH(MAX($H$2, DATE(Initialisatie!$C$5,1,1))) + 1)),
        IFERROR(VALUE($I83),0) * MAX(0, IF(MIN($I$1, DATE(Initialisatie!$C$5,12,31)) &lt; MAX($I$2, DATE(Initialisatie!$C$5,1,1)), 0, MONTH(MIN($I$1, DATE(Initialisatie!$C$5,12,31))) - MONTH(MAX($I$2, DATE(Initialisatie!$C$5,1,1))) + 1))
    ) / 12
)</f>
        <v>0</v>
      </c>
    </row>
    <row r="84" spans="1:12" x14ac:dyDescent="0.45">
      <c r="A84" s="989"/>
      <c r="B84" s="35" t="s">
        <v>531</v>
      </c>
      <c r="C84" s="35">
        <v>14</v>
      </c>
      <c r="D84" s="35" t="s">
        <v>211</v>
      </c>
      <c r="E84">
        <v>4310.55</v>
      </c>
      <c r="F84">
        <v>4364.43</v>
      </c>
      <c r="G84">
        <v>4521.55</v>
      </c>
      <c r="H84">
        <v>4688.8500000000004</v>
      </c>
      <c r="I84">
        <v>4848.2700000000004</v>
      </c>
      <c r="K84">
        <f>IF(
    OR(
        AND(MAX(0, MIN($E$1, DATE(Initialisatie!$C$5,12,31)) - MAX($E$2, DATE(Initialisatie!$C$5,1,1)) + 1) &gt; 0,IFERROR(VALUE($E84),0)=0),
        AND(MAX(0, MIN($F$1, DATE(Initialisatie!$C$5,12,31)) - MAX($F$2, DATE(Initialisatie!$C$5,1,1)) + 1) &gt; 0,IFERROR(VALUE($F84),0)=0),
        AND(MAX(0, MIN($G$1, DATE(Initialisatie!$C$5,12,31)) - MAX($G$2, DATE(Initialisatie!$C$5,1,1)) + 1) &gt; 0,IFERROR(VALUE($G84),0)=0),
        AND(MAX(0, MIN($H$1, DATE(Initialisatie!$C$5,12,31)) - MAX($H$2, DATE(Initialisatie!$C$5,1,1)) + 1) &gt; 0,IFERROR(VALUE($H84),0)=0),
        AND(MAX(0, MIN($I$1, DATE(Initialisatie!$C$5,12,31)) - MAX($I$2, DATE(Initialisatie!$C$5,1,1)) + 1) &gt; 0,IFERROR(VALUE($I84),0)=0)
    ),
    0,
    SUM(
        IFERROR(VALUE($E84),0) * MAX(0, MIN($E$1, DATE(Initialisatie!$C$5,12,31)) - MAX($E$2, DATE(Initialisatie!$C$5,1,1)) + 1),
        IFERROR(VALUE($F84),0) * MAX(0, MIN($F$1, DATE(Initialisatie!$C$5,12,31)) - MAX($F$2, DATE(Initialisatie!$C$5,1,1)) + 1),
        IFERROR(VALUE($G84),0) * MAX(0, MIN($G$1, DATE(Initialisatie!$C$5,12,31)) - MAX($G$2, DATE(Initialisatie!$C$5,1,1)) + 1),
        IFERROR(VALUE($H84),0) * MAX(0, MIN($H$1, DATE(Initialisatie!$C$5,12,31)) - MAX($H$2, DATE(Initialisatie!$C$5,1,1)) + 1),
        IFERROR(VALUE($I84),0) * MAX(0, MIN($I$1, DATE(Initialisatie!$C$5,12,31)) - MAX($I$2, DATE(Initialisatie!$C$5,1,1)) + 1)
    ) / (DATE(Initialisatie!$C$5,12,31) - DATE(Initialisatie!$C$5,1,1) + 1)
)</f>
        <v>4688.8500000000004</v>
      </c>
      <c r="L84">
        <f>IF(
    OR(
        AND(MAX(0, IF(MIN($E$1, DATE(Initialisatie!$C$5,12,31)) &lt; MAX($E$2, DATE(Initialisatie!$C$5,1,1)), 0, MONTH(MIN($E$1, DATE(Initialisatie!$C$5,12,31))) - MONTH(MAX($E$2, DATE(Initialisatie!$C$5,1,1))) + 1)) &lt;= 0, IFERROR(VALUE($E84),0)=0),
        AND(MAX(0, IF(MIN($F$1, DATE(Initialisatie!$C$5,12,31)) &lt; MAX($F$2, DATE(Initialisatie!$C$5,1,1)), 0, MONTH(MIN($F$1, DATE(Initialisatie!$C$5,12,31))) - MONTH(MAX($F$2, DATE(Initialisatie!$C$5,1,1))) + 1)) &lt;= 0, IFERROR(VALUE($F84),0)=0),
        AND(MAX(0, IF(MIN($G$1, DATE(Initialisatie!$C$5,12,31)) &lt; MAX($G$2, DATE(Initialisatie!$C$5,1,1)), 0, MONTH(MIN($G$1, DATE(Initialisatie!$C$5,12,31))) - MONTH(MAX($G$2, DATE(Initialisatie!$C$5,1,1))) + 1)) &lt;= 0, IFERROR(VALUE($G84),0)=0),
        AND(MAX(0, IF(MIN($H$1, DATE(Initialisatie!$C$5,12,31)) &lt; MAX($H$2, DATE(Initialisatie!$C$5,1,1)), 0, MONTH(MIN($H$1, DATE(Initialisatie!$C$5,12,31))) - MONTH(MAX($H$2, DATE(Initialisatie!$C$5,1,1))) + 1)) &lt;= 0, IFERROR(VALUE($H84),0)=0),
        AND(MAX(0, IF(MIN($I$1, DATE(Initialisatie!$C$5,12,31)) &lt; MAX($I$2, DATE(Initialisatie!$C$5,1,1)), 0, MONTH(MIN($I$1, DATE(Initialisatie!$C$5,12,31))) - MONTH(MAX($I$2, DATE(Initialisatie!$C$5,1,1))) + 1)) &lt;= 0, IFERROR(VALUE($I84),0)=0)
    ),
    0,
    SUM(
        IFERROR(VALUE($E84),0) * MAX(0, IF(MIN($E$1, DATE(Initialisatie!$C$5,12,31)) &lt; MAX($E$2, DATE(Initialisatie!$C$5,1,1)), 0, MONTH(MIN($E$1, DATE(Initialisatie!$C$5,12,31))) - MONTH(MAX($E$2, DATE(Initialisatie!$C$5,1,1))) + 1)),
        IFERROR(VALUE($F84),0) * MAX(0, IF(MIN($F$1, DATE(Initialisatie!$C$5,12,31)) &lt; MAX($F$2, DATE(Initialisatie!$C$5,1,1)), 0, MONTH(MIN($F$1, DATE(Initialisatie!$C$5,12,31))) - MONTH(MAX($F$2, DATE(Initialisatie!$C$5,1,1))) + 1)),
        IFERROR(VALUE($G84),0) * MAX(0, IF(MIN($G$1, DATE(Initialisatie!$C$5,12,31)) &lt; MAX($G$2, DATE(Initialisatie!$C$5,1,1)), 0, MONTH(MIN($G$1, DATE(Initialisatie!$C$5,12,31))) - MONTH(MAX($G$2, DATE(Initialisatie!$C$5,1,1))) + 1)),
        IFERROR(VALUE($H84),0) * MAX(0, IF(MIN($H$1, DATE(Initialisatie!$C$5,12,31)) &lt; MAX($H$2, DATE(Initialisatie!$C$5,1,1)), 0, MONTH(MIN($H$1, DATE(Initialisatie!$C$5,12,31))) - MONTH(MAX($H$2, DATE(Initialisatie!$C$5,1,1))) + 1)),
        IFERROR(VALUE($I84),0) * MAX(0, IF(MIN($I$1, DATE(Initialisatie!$C$5,12,31)) &lt; MAX($I$2, DATE(Initialisatie!$C$5,1,1)), 0, MONTH(MIN($I$1, DATE(Initialisatie!$C$5,12,31))) - MONTH(MAX($I$2, DATE(Initialisatie!$C$5,1,1))) + 1))
    ) / 12
)</f>
        <v>4688.8500000000004</v>
      </c>
    </row>
    <row r="85" spans="1:12" x14ac:dyDescent="0.45">
      <c r="A85" s="990"/>
      <c r="B85" s="35" t="s">
        <v>533</v>
      </c>
      <c r="C85" s="35">
        <v>15</v>
      </c>
      <c r="D85" s="35" t="s">
        <v>210</v>
      </c>
      <c r="E85">
        <v>4455.12</v>
      </c>
      <c r="F85">
        <v>4510.8100000000004</v>
      </c>
      <c r="G85">
        <v>4673.2</v>
      </c>
      <c r="H85">
        <v>4846.1099999999997</v>
      </c>
      <c r="I85">
        <v>5010.87</v>
      </c>
      <c r="K85">
        <f>IF(
    OR(
        AND(MAX(0, MIN($E$1, DATE(Initialisatie!$C$5,12,31)) - MAX($E$2, DATE(Initialisatie!$C$5,1,1)) + 1) &gt; 0,IFERROR(VALUE($E85),0)=0),
        AND(MAX(0, MIN($F$1, DATE(Initialisatie!$C$5,12,31)) - MAX($F$2, DATE(Initialisatie!$C$5,1,1)) + 1) &gt; 0,IFERROR(VALUE($F85),0)=0),
        AND(MAX(0, MIN($G$1, DATE(Initialisatie!$C$5,12,31)) - MAX($G$2, DATE(Initialisatie!$C$5,1,1)) + 1) &gt; 0,IFERROR(VALUE($G85),0)=0),
        AND(MAX(0, MIN($H$1, DATE(Initialisatie!$C$5,12,31)) - MAX($H$2, DATE(Initialisatie!$C$5,1,1)) + 1) &gt; 0,IFERROR(VALUE($H85),0)=0),
        AND(MAX(0, MIN($I$1, DATE(Initialisatie!$C$5,12,31)) - MAX($I$2, DATE(Initialisatie!$C$5,1,1)) + 1) &gt; 0,IFERROR(VALUE($I85),0)=0)
    ),
    0,
    SUM(
        IFERROR(VALUE($E85),0) * MAX(0, MIN($E$1, DATE(Initialisatie!$C$5,12,31)) - MAX($E$2, DATE(Initialisatie!$C$5,1,1)) + 1),
        IFERROR(VALUE($F85),0) * MAX(0, MIN($F$1, DATE(Initialisatie!$C$5,12,31)) - MAX($F$2, DATE(Initialisatie!$C$5,1,1)) + 1),
        IFERROR(VALUE($G85),0) * MAX(0, MIN($G$1, DATE(Initialisatie!$C$5,12,31)) - MAX($G$2, DATE(Initialisatie!$C$5,1,1)) + 1),
        IFERROR(VALUE($H85),0) * MAX(0, MIN($H$1, DATE(Initialisatie!$C$5,12,31)) - MAX($H$2, DATE(Initialisatie!$C$5,1,1)) + 1),
        IFERROR(VALUE($I85),0) * MAX(0, MIN($I$1, DATE(Initialisatie!$C$5,12,31)) - MAX($I$2, DATE(Initialisatie!$C$5,1,1)) + 1)
    ) / (DATE(Initialisatie!$C$5,12,31) - DATE(Initialisatie!$C$5,1,1) + 1)
)</f>
        <v>4846.1099999999997</v>
      </c>
      <c r="L85">
        <f>IF(
    OR(
        AND(MAX(0, IF(MIN($E$1, DATE(Initialisatie!$C$5,12,31)) &lt; MAX($E$2, DATE(Initialisatie!$C$5,1,1)), 0, MONTH(MIN($E$1, DATE(Initialisatie!$C$5,12,31))) - MONTH(MAX($E$2, DATE(Initialisatie!$C$5,1,1))) + 1)) &lt;= 0, IFERROR(VALUE($E85),0)=0),
        AND(MAX(0, IF(MIN($F$1, DATE(Initialisatie!$C$5,12,31)) &lt; MAX($F$2, DATE(Initialisatie!$C$5,1,1)), 0, MONTH(MIN($F$1, DATE(Initialisatie!$C$5,12,31))) - MONTH(MAX($F$2, DATE(Initialisatie!$C$5,1,1))) + 1)) &lt;= 0, IFERROR(VALUE($F85),0)=0),
        AND(MAX(0, IF(MIN($G$1, DATE(Initialisatie!$C$5,12,31)) &lt; MAX($G$2, DATE(Initialisatie!$C$5,1,1)), 0, MONTH(MIN($G$1, DATE(Initialisatie!$C$5,12,31))) - MONTH(MAX($G$2, DATE(Initialisatie!$C$5,1,1))) + 1)) &lt;= 0, IFERROR(VALUE($G85),0)=0),
        AND(MAX(0, IF(MIN($H$1, DATE(Initialisatie!$C$5,12,31)) &lt; MAX($H$2, DATE(Initialisatie!$C$5,1,1)), 0, MONTH(MIN($H$1, DATE(Initialisatie!$C$5,12,31))) - MONTH(MAX($H$2, DATE(Initialisatie!$C$5,1,1))) + 1)) &lt;= 0, IFERROR(VALUE($H85),0)=0),
        AND(MAX(0, IF(MIN($I$1, DATE(Initialisatie!$C$5,12,31)) &lt; MAX($I$2, DATE(Initialisatie!$C$5,1,1)), 0, MONTH(MIN($I$1, DATE(Initialisatie!$C$5,12,31))) - MONTH(MAX($I$2, DATE(Initialisatie!$C$5,1,1))) + 1)) &lt;= 0, IFERROR(VALUE($I85),0)=0)
    ),
    0,
    SUM(
        IFERROR(VALUE($E85),0) * MAX(0, IF(MIN($E$1, DATE(Initialisatie!$C$5,12,31)) &lt; MAX($E$2, DATE(Initialisatie!$C$5,1,1)), 0, MONTH(MIN($E$1, DATE(Initialisatie!$C$5,12,31))) - MONTH(MAX($E$2, DATE(Initialisatie!$C$5,1,1))) + 1)),
        IFERROR(VALUE($F85),0) * MAX(0, IF(MIN($F$1, DATE(Initialisatie!$C$5,12,31)) &lt; MAX($F$2, DATE(Initialisatie!$C$5,1,1)), 0, MONTH(MIN($F$1, DATE(Initialisatie!$C$5,12,31))) - MONTH(MAX($F$2, DATE(Initialisatie!$C$5,1,1))) + 1)),
        IFERROR(VALUE($G85),0) * MAX(0, IF(MIN($G$1, DATE(Initialisatie!$C$5,12,31)) &lt; MAX($G$2, DATE(Initialisatie!$C$5,1,1)), 0, MONTH(MIN($G$1, DATE(Initialisatie!$C$5,12,31))) - MONTH(MAX($G$2, DATE(Initialisatie!$C$5,1,1))) + 1)),
        IFERROR(VALUE($H85),0) * MAX(0, IF(MIN($H$1, DATE(Initialisatie!$C$5,12,31)) &lt; MAX($H$2, DATE(Initialisatie!$C$5,1,1)), 0, MONTH(MIN($H$1, DATE(Initialisatie!$C$5,12,31))) - MONTH(MAX($H$2, DATE(Initialisatie!$C$5,1,1))) + 1)),
        IFERROR(VALUE($I85),0) * MAX(0, IF(MIN($I$1, DATE(Initialisatie!$C$5,12,31)) &lt; MAX($I$2, DATE(Initialisatie!$C$5,1,1)), 0, MONTH(MIN($I$1, DATE(Initialisatie!$C$5,12,31))) - MONTH(MAX($I$2, DATE(Initialisatie!$C$5,1,1))) + 1))
    ) / 12
)</f>
        <v>4846.1099999999997</v>
      </c>
    </row>
    <row r="86" spans="1:12" x14ac:dyDescent="0.45">
      <c r="A86" s="988">
        <v>9</v>
      </c>
      <c r="B86" s="35" t="s">
        <v>113</v>
      </c>
      <c r="C86" s="35">
        <v>0</v>
      </c>
      <c r="D86" s="35" t="s">
        <v>209</v>
      </c>
      <c r="E86">
        <v>3042.75</v>
      </c>
      <c r="F86">
        <v>3080.79</v>
      </c>
      <c r="G86">
        <v>3191.69</v>
      </c>
      <c r="H86">
        <v>3309.79</v>
      </c>
      <c r="I86">
        <v>3422.32</v>
      </c>
      <c r="K86">
        <f>IF(
    OR(
        AND(MAX(0, MIN($E$1, DATE(Initialisatie!$C$5,12,31)) - MAX($E$2, DATE(Initialisatie!$C$5,1,1)) + 1) &gt; 0,IFERROR(VALUE($E86),0)=0),
        AND(MAX(0, MIN($F$1, DATE(Initialisatie!$C$5,12,31)) - MAX($F$2, DATE(Initialisatie!$C$5,1,1)) + 1) &gt; 0,IFERROR(VALUE($F86),0)=0),
        AND(MAX(0, MIN($G$1, DATE(Initialisatie!$C$5,12,31)) - MAX($G$2, DATE(Initialisatie!$C$5,1,1)) + 1) &gt; 0,IFERROR(VALUE($G86),0)=0),
        AND(MAX(0, MIN($H$1, DATE(Initialisatie!$C$5,12,31)) - MAX($H$2, DATE(Initialisatie!$C$5,1,1)) + 1) &gt; 0,IFERROR(VALUE($H86),0)=0),
        AND(MAX(0, MIN($I$1, DATE(Initialisatie!$C$5,12,31)) - MAX($I$2, DATE(Initialisatie!$C$5,1,1)) + 1) &gt; 0,IFERROR(VALUE($I86),0)=0)
    ),
    0,
    SUM(
        IFERROR(VALUE($E86),0) * MAX(0, MIN($E$1, DATE(Initialisatie!$C$5,12,31)) - MAX($E$2, DATE(Initialisatie!$C$5,1,1)) + 1),
        IFERROR(VALUE($F86),0) * MAX(0, MIN($F$1, DATE(Initialisatie!$C$5,12,31)) - MAX($F$2, DATE(Initialisatie!$C$5,1,1)) + 1),
        IFERROR(VALUE($G86),0) * MAX(0, MIN($G$1, DATE(Initialisatie!$C$5,12,31)) - MAX($G$2, DATE(Initialisatie!$C$5,1,1)) + 1),
        IFERROR(VALUE($H86),0) * MAX(0, MIN($H$1, DATE(Initialisatie!$C$5,12,31)) - MAX($H$2, DATE(Initialisatie!$C$5,1,1)) + 1),
        IFERROR(VALUE($I86),0) * MAX(0, MIN($I$1, DATE(Initialisatie!$C$5,12,31)) - MAX($I$2, DATE(Initialisatie!$C$5,1,1)) + 1)
    ) / (DATE(Initialisatie!$C$5,12,31) - DATE(Initialisatie!$C$5,1,1) + 1)
)</f>
        <v>3309.7900000000004</v>
      </c>
      <c r="L86">
        <f>IF(
    OR(
        AND(MAX(0, IF(MIN($E$1, DATE(Initialisatie!$C$5,12,31)) &lt; MAX($E$2, DATE(Initialisatie!$C$5,1,1)), 0, MONTH(MIN($E$1, DATE(Initialisatie!$C$5,12,31))) - MONTH(MAX($E$2, DATE(Initialisatie!$C$5,1,1))) + 1)) &lt;= 0, IFERROR(VALUE($E86),0)=0),
        AND(MAX(0, IF(MIN($F$1, DATE(Initialisatie!$C$5,12,31)) &lt; MAX($F$2, DATE(Initialisatie!$C$5,1,1)), 0, MONTH(MIN($F$1, DATE(Initialisatie!$C$5,12,31))) - MONTH(MAX($F$2, DATE(Initialisatie!$C$5,1,1))) + 1)) &lt;= 0, IFERROR(VALUE($F86),0)=0),
        AND(MAX(0, IF(MIN($G$1, DATE(Initialisatie!$C$5,12,31)) &lt; MAX($G$2, DATE(Initialisatie!$C$5,1,1)), 0, MONTH(MIN($G$1, DATE(Initialisatie!$C$5,12,31))) - MONTH(MAX($G$2, DATE(Initialisatie!$C$5,1,1))) + 1)) &lt;= 0, IFERROR(VALUE($G86),0)=0),
        AND(MAX(0, IF(MIN($H$1, DATE(Initialisatie!$C$5,12,31)) &lt; MAX($H$2, DATE(Initialisatie!$C$5,1,1)), 0, MONTH(MIN($H$1, DATE(Initialisatie!$C$5,12,31))) - MONTH(MAX($H$2, DATE(Initialisatie!$C$5,1,1))) + 1)) &lt;= 0, IFERROR(VALUE($H86),0)=0),
        AND(MAX(0, IF(MIN($I$1, DATE(Initialisatie!$C$5,12,31)) &lt; MAX($I$2, DATE(Initialisatie!$C$5,1,1)), 0, MONTH(MIN($I$1, DATE(Initialisatie!$C$5,12,31))) - MONTH(MAX($I$2, DATE(Initialisatie!$C$5,1,1))) + 1)) &lt;= 0, IFERROR(VALUE($I86),0)=0)
    ),
    0,
    SUM(
        IFERROR(VALUE($E86),0) * MAX(0, IF(MIN($E$1, DATE(Initialisatie!$C$5,12,31)) &lt; MAX($E$2, DATE(Initialisatie!$C$5,1,1)), 0, MONTH(MIN($E$1, DATE(Initialisatie!$C$5,12,31))) - MONTH(MAX($E$2, DATE(Initialisatie!$C$5,1,1))) + 1)),
        IFERROR(VALUE($F86),0) * MAX(0, IF(MIN($F$1, DATE(Initialisatie!$C$5,12,31)) &lt; MAX($F$2, DATE(Initialisatie!$C$5,1,1)), 0, MONTH(MIN($F$1, DATE(Initialisatie!$C$5,12,31))) - MONTH(MAX($F$2, DATE(Initialisatie!$C$5,1,1))) + 1)),
        IFERROR(VALUE($G86),0) * MAX(0, IF(MIN($G$1, DATE(Initialisatie!$C$5,12,31)) &lt; MAX($G$2, DATE(Initialisatie!$C$5,1,1)), 0, MONTH(MIN($G$1, DATE(Initialisatie!$C$5,12,31))) - MONTH(MAX($G$2, DATE(Initialisatie!$C$5,1,1))) + 1)),
        IFERROR(VALUE($H86),0) * MAX(0, IF(MIN($H$1, DATE(Initialisatie!$C$5,12,31)) &lt; MAX($H$2, DATE(Initialisatie!$C$5,1,1)), 0, MONTH(MIN($H$1, DATE(Initialisatie!$C$5,12,31))) - MONTH(MAX($H$2, DATE(Initialisatie!$C$5,1,1))) + 1)),
        IFERROR(VALUE($I86),0) * MAX(0, IF(MIN($I$1, DATE(Initialisatie!$C$5,12,31)) &lt; MAX($I$2, DATE(Initialisatie!$C$5,1,1)), 0, MONTH(MIN($I$1, DATE(Initialisatie!$C$5,12,31))) - MONTH(MAX($I$2, DATE(Initialisatie!$C$5,1,1))) + 1))
    ) / 12
)</f>
        <v>3309.7899999999995</v>
      </c>
    </row>
    <row r="87" spans="1:12" x14ac:dyDescent="0.45">
      <c r="A87" s="989"/>
      <c r="B87" s="35" t="s">
        <v>111</v>
      </c>
      <c r="C87" s="35">
        <v>1</v>
      </c>
      <c r="D87" s="35" t="s">
        <v>208</v>
      </c>
      <c r="E87">
        <v>3145.92</v>
      </c>
      <c r="F87">
        <v>3185.24</v>
      </c>
      <c r="G87">
        <v>3299.91</v>
      </c>
      <c r="H87">
        <v>3422.01</v>
      </c>
      <c r="I87">
        <v>3538.36</v>
      </c>
      <c r="K87">
        <f>IF(
    OR(
        AND(MAX(0, MIN($E$1, DATE(Initialisatie!$C$5,12,31)) - MAX($E$2, DATE(Initialisatie!$C$5,1,1)) + 1) &gt; 0,IFERROR(VALUE($E87),0)=0),
        AND(MAX(0, MIN($F$1, DATE(Initialisatie!$C$5,12,31)) - MAX($F$2, DATE(Initialisatie!$C$5,1,1)) + 1) &gt; 0,IFERROR(VALUE($F87),0)=0),
        AND(MAX(0, MIN($G$1, DATE(Initialisatie!$C$5,12,31)) - MAX($G$2, DATE(Initialisatie!$C$5,1,1)) + 1) &gt; 0,IFERROR(VALUE($G87),0)=0),
        AND(MAX(0, MIN($H$1, DATE(Initialisatie!$C$5,12,31)) - MAX($H$2, DATE(Initialisatie!$C$5,1,1)) + 1) &gt; 0,IFERROR(VALUE($H87),0)=0),
        AND(MAX(0, MIN($I$1, DATE(Initialisatie!$C$5,12,31)) - MAX($I$2, DATE(Initialisatie!$C$5,1,1)) + 1) &gt; 0,IFERROR(VALUE($I87),0)=0)
    ),
    0,
    SUM(
        IFERROR(VALUE($E87),0) * MAX(0, MIN($E$1, DATE(Initialisatie!$C$5,12,31)) - MAX($E$2, DATE(Initialisatie!$C$5,1,1)) + 1),
        IFERROR(VALUE($F87),0) * MAX(0, MIN($F$1, DATE(Initialisatie!$C$5,12,31)) - MAX($F$2, DATE(Initialisatie!$C$5,1,1)) + 1),
        IFERROR(VALUE($G87),0) * MAX(0, MIN($G$1, DATE(Initialisatie!$C$5,12,31)) - MAX($G$2, DATE(Initialisatie!$C$5,1,1)) + 1),
        IFERROR(VALUE($H87),0) * MAX(0, MIN($H$1, DATE(Initialisatie!$C$5,12,31)) - MAX($H$2, DATE(Initialisatie!$C$5,1,1)) + 1),
        IFERROR(VALUE($I87),0) * MAX(0, MIN($I$1, DATE(Initialisatie!$C$5,12,31)) - MAX($I$2, DATE(Initialisatie!$C$5,1,1)) + 1)
    ) / (DATE(Initialisatie!$C$5,12,31) - DATE(Initialisatie!$C$5,1,1) + 1)
)</f>
        <v>3422.01</v>
      </c>
      <c r="L87">
        <f>IF(
    OR(
        AND(MAX(0, IF(MIN($E$1, DATE(Initialisatie!$C$5,12,31)) &lt; MAX($E$2, DATE(Initialisatie!$C$5,1,1)), 0, MONTH(MIN($E$1, DATE(Initialisatie!$C$5,12,31))) - MONTH(MAX($E$2, DATE(Initialisatie!$C$5,1,1))) + 1)) &lt;= 0, IFERROR(VALUE($E87),0)=0),
        AND(MAX(0, IF(MIN($F$1, DATE(Initialisatie!$C$5,12,31)) &lt; MAX($F$2, DATE(Initialisatie!$C$5,1,1)), 0, MONTH(MIN($F$1, DATE(Initialisatie!$C$5,12,31))) - MONTH(MAX($F$2, DATE(Initialisatie!$C$5,1,1))) + 1)) &lt;= 0, IFERROR(VALUE($F87),0)=0),
        AND(MAX(0, IF(MIN($G$1, DATE(Initialisatie!$C$5,12,31)) &lt; MAX($G$2, DATE(Initialisatie!$C$5,1,1)), 0, MONTH(MIN($G$1, DATE(Initialisatie!$C$5,12,31))) - MONTH(MAX($G$2, DATE(Initialisatie!$C$5,1,1))) + 1)) &lt;= 0, IFERROR(VALUE($G87),0)=0),
        AND(MAX(0, IF(MIN($H$1, DATE(Initialisatie!$C$5,12,31)) &lt; MAX($H$2, DATE(Initialisatie!$C$5,1,1)), 0, MONTH(MIN($H$1, DATE(Initialisatie!$C$5,12,31))) - MONTH(MAX($H$2, DATE(Initialisatie!$C$5,1,1))) + 1)) &lt;= 0, IFERROR(VALUE($H87),0)=0),
        AND(MAX(0, IF(MIN($I$1, DATE(Initialisatie!$C$5,12,31)) &lt; MAX($I$2, DATE(Initialisatie!$C$5,1,1)), 0, MONTH(MIN($I$1, DATE(Initialisatie!$C$5,12,31))) - MONTH(MAX($I$2, DATE(Initialisatie!$C$5,1,1))) + 1)) &lt;= 0, IFERROR(VALUE($I87),0)=0)
    ),
    0,
    SUM(
        IFERROR(VALUE($E87),0) * MAX(0, IF(MIN($E$1, DATE(Initialisatie!$C$5,12,31)) &lt; MAX($E$2, DATE(Initialisatie!$C$5,1,1)), 0, MONTH(MIN($E$1, DATE(Initialisatie!$C$5,12,31))) - MONTH(MAX($E$2, DATE(Initialisatie!$C$5,1,1))) + 1)),
        IFERROR(VALUE($F87),0) * MAX(0, IF(MIN($F$1, DATE(Initialisatie!$C$5,12,31)) &lt; MAX($F$2, DATE(Initialisatie!$C$5,1,1)), 0, MONTH(MIN($F$1, DATE(Initialisatie!$C$5,12,31))) - MONTH(MAX($F$2, DATE(Initialisatie!$C$5,1,1))) + 1)),
        IFERROR(VALUE($G87),0) * MAX(0, IF(MIN($G$1, DATE(Initialisatie!$C$5,12,31)) &lt; MAX($G$2, DATE(Initialisatie!$C$5,1,1)), 0, MONTH(MIN($G$1, DATE(Initialisatie!$C$5,12,31))) - MONTH(MAX($G$2, DATE(Initialisatie!$C$5,1,1))) + 1)),
        IFERROR(VALUE($H87),0) * MAX(0, IF(MIN($H$1, DATE(Initialisatie!$C$5,12,31)) &lt; MAX($H$2, DATE(Initialisatie!$C$5,1,1)), 0, MONTH(MIN($H$1, DATE(Initialisatie!$C$5,12,31))) - MONTH(MAX($H$2, DATE(Initialisatie!$C$5,1,1))) + 1)),
        IFERROR(VALUE($I87),0) * MAX(0, IF(MIN($I$1, DATE(Initialisatie!$C$5,12,31)) &lt; MAX($I$2, DATE(Initialisatie!$C$5,1,1)), 0, MONTH(MIN($I$1, DATE(Initialisatie!$C$5,12,31))) - MONTH(MAX($I$2, DATE(Initialisatie!$C$5,1,1))) + 1))
    ) / 12
)</f>
        <v>3422.01</v>
      </c>
    </row>
    <row r="88" spans="1:12" x14ac:dyDescent="0.45">
      <c r="A88" s="989"/>
      <c r="B88" s="35" t="s">
        <v>101</v>
      </c>
      <c r="C88" s="35">
        <v>2</v>
      </c>
      <c r="D88" s="35" t="s">
        <v>203</v>
      </c>
      <c r="E88">
        <v>3253.47</v>
      </c>
      <c r="F88">
        <v>3294.14</v>
      </c>
      <c r="G88">
        <v>3412.73</v>
      </c>
      <c r="H88">
        <v>3539</v>
      </c>
      <c r="I88">
        <v>3659.32</v>
      </c>
      <c r="K88">
        <f>IF(
    OR(
        AND(MAX(0, MIN($E$1, DATE(Initialisatie!$C$5,12,31)) - MAX($E$2, DATE(Initialisatie!$C$5,1,1)) + 1) &gt; 0,IFERROR(VALUE($E88),0)=0),
        AND(MAX(0, MIN($F$1, DATE(Initialisatie!$C$5,12,31)) - MAX($F$2, DATE(Initialisatie!$C$5,1,1)) + 1) &gt; 0,IFERROR(VALUE($F88),0)=0),
        AND(MAX(0, MIN($G$1, DATE(Initialisatie!$C$5,12,31)) - MAX($G$2, DATE(Initialisatie!$C$5,1,1)) + 1) &gt; 0,IFERROR(VALUE($G88),0)=0),
        AND(MAX(0, MIN($H$1, DATE(Initialisatie!$C$5,12,31)) - MAX($H$2, DATE(Initialisatie!$C$5,1,1)) + 1) &gt; 0,IFERROR(VALUE($H88),0)=0),
        AND(MAX(0, MIN($I$1, DATE(Initialisatie!$C$5,12,31)) - MAX($I$2, DATE(Initialisatie!$C$5,1,1)) + 1) &gt; 0,IFERROR(VALUE($I88),0)=0)
    ),
    0,
    SUM(
        IFERROR(VALUE($E88),0) * MAX(0, MIN($E$1, DATE(Initialisatie!$C$5,12,31)) - MAX($E$2, DATE(Initialisatie!$C$5,1,1)) + 1),
        IFERROR(VALUE($F88),0) * MAX(0, MIN($F$1, DATE(Initialisatie!$C$5,12,31)) - MAX($F$2, DATE(Initialisatie!$C$5,1,1)) + 1),
        IFERROR(VALUE($G88),0) * MAX(0, MIN($G$1, DATE(Initialisatie!$C$5,12,31)) - MAX($G$2, DATE(Initialisatie!$C$5,1,1)) + 1),
        IFERROR(VALUE($H88),0) * MAX(0, MIN($H$1, DATE(Initialisatie!$C$5,12,31)) - MAX($H$2, DATE(Initialisatie!$C$5,1,1)) + 1),
        IFERROR(VALUE($I88),0) * MAX(0, MIN($I$1, DATE(Initialisatie!$C$5,12,31)) - MAX($I$2, DATE(Initialisatie!$C$5,1,1)) + 1)
    ) / (DATE(Initialisatie!$C$5,12,31) - DATE(Initialisatie!$C$5,1,1) + 1)
)</f>
        <v>3539</v>
      </c>
      <c r="L88">
        <f>IF(
    OR(
        AND(MAX(0, IF(MIN($E$1, DATE(Initialisatie!$C$5,12,31)) &lt; MAX($E$2, DATE(Initialisatie!$C$5,1,1)), 0, MONTH(MIN($E$1, DATE(Initialisatie!$C$5,12,31))) - MONTH(MAX($E$2, DATE(Initialisatie!$C$5,1,1))) + 1)) &lt;= 0, IFERROR(VALUE($E88),0)=0),
        AND(MAX(0, IF(MIN($F$1, DATE(Initialisatie!$C$5,12,31)) &lt; MAX($F$2, DATE(Initialisatie!$C$5,1,1)), 0, MONTH(MIN($F$1, DATE(Initialisatie!$C$5,12,31))) - MONTH(MAX($F$2, DATE(Initialisatie!$C$5,1,1))) + 1)) &lt;= 0, IFERROR(VALUE($F88),0)=0),
        AND(MAX(0, IF(MIN($G$1, DATE(Initialisatie!$C$5,12,31)) &lt; MAX($G$2, DATE(Initialisatie!$C$5,1,1)), 0, MONTH(MIN($G$1, DATE(Initialisatie!$C$5,12,31))) - MONTH(MAX($G$2, DATE(Initialisatie!$C$5,1,1))) + 1)) &lt;= 0, IFERROR(VALUE($G88),0)=0),
        AND(MAX(0, IF(MIN($H$1, DATE(Initialisatie!$C$5,12,31)) &lt; MAX($H$2, DATE(Initialisatie!$C$5,1,1)), 0, MONTH(MIN($H$1, DATE(Initialisatie!$C$5,12,31))) - MONTH(MAX($H$2, DATE(Initialisatie!$C$5,1,1))) + 1)) &lt;= 0, IFERROR(VALUE($H88),0)=0),
        AND(MAX(0, IF(MIN($I$1, DATE(Initialisatie!$C$5,12,31)) &lt; MAX($I$2, DATE(Initialisatie!$C$5,1,1)), 0, MONTH(MIN($I$1, DATE(Initialisatie!$C$5,12,31))) - MONTH(MAX($I$2, DATE(Initialisatie!$C$5,1,1))) + 1)) &lt;= 0, IFERROR(VALUE($I88),0)=0)
    ),
    0,
    SUM(
        IFERROR(VALUE($E88),0) * MAX(0, IF(MIN($E$1, DATE(Initialisatie!$C$5,12,31)) &lt; MAX($E$2, DATE(Initialisatie!$C$5,1,1)), 0, MONTH(MIN($E$1, DATE(Initialisatie!$C$5,12,31))) - MONTH(MAX($E$2, DATE(Initialisatie!$C$5,1,1))) + 1)),
        IFERROR(VALUE($F88),0) * MAX(0, IF(MIN($F$1, DATE(Initialisatie!$C$5,12,31)) &lt; MAX($F$2, DATE(Initialisatie!$C$5,1,1)), 0, MONTH(MIN($F$1, DATE(Initialisatie!$C$5,12,31))) - MONTH(MAX($F$2, DATE(Initialisatie!$C$5,1,1))) + 1)),
        IFERROR(VALUE($G88),0) * MAX(0, IF(MIN($G$1, DATE(Initialisatie!$C$5,12,31)) &lt; MAX($G$2, DATE(Initialisatie!$C$5,1,1)), 0, MONTH(MIN($G$1, DATE(Initialisatie!$C$5,12,31))) - MONTH(MAX($G$2, DATE(Initialisatie!$C$5,1,1))) + 1)),
        IFERROR(VALUE($H88),0) * MAX(0, IF(MIN($H$1, DATE(Initialisatie!$C$5,12,31)) &lt; MAX($H$2, DATE(Initialisatie!$C$5,1,1)), 0, MONTH(MIN($H$1, DATE(Initialisatie!$C$5,12,31))) - MONTH(MAX($H$2, DATE(Initialisatie!$C$5,1,1))) + 1)),
        IFERROR(VALUE($I88),0) * MAX(0, IF(MIN($I$1, DATE(Initialisatie!$C$5,12,31)) &lt; MAX($I$2, DATE(Initialisatie!$C$5,1,1)), 0, MONTH(MIN($I$1, DATE(Initialisatie!$C$5,12,31))) - MONTH(MAX($I$2, DATE(Initialisatie!$C$5,1,1))) + 1))
    ) / 12
)</f>
        <v>3539</v>
      </c>
    </row>
    <row r="89" spans="1:12" x14ac:dyDescent="0.45">
      <c r="A89" s="989"/>
      <c r="B89" s="35" t="s">
        <v>99</v>
      </c>
      <c r="C89" s="35">
        <v>3</v>
      </c>
      <c r="D89" s="35" t="s">
        <v>202</v>
      </c>
      <c r="E89">
        <v>3363.86</v>
      </c>
      <c r="F89">
        <v>3405.91</v>
      </c>
      <c r="G89">
        <v>3528.53</v>
      </c>
      <c r="H89">
        <v>3659.08</v>
      </c>
      <c r="I89">
        <v>3783.49</v>
      </c>
      <c r="K89">
        <f>IF(
    OR(
        AND(MAX(0, MIN($E$1, DATE(Initialisatie!$C$5,12,31)) - MAX($E$2, DATE(Initialisatie!$C$5,1,1)) + 1) &gt; 0,IFERROR(VALUE($E89),0)=0),
        AND(MAX(0, MIN($F$1, DATE(Initialisatie!$C$5,12,31)) - MAX($F$2, DATE(Initialisatie!$C$5,1,1)) + 1) &gt; 0,IFERROR(VALUE($F89),0)=0),
        AND(MAX(0, MIN($G$1, DATE(Initialisatie!$C$5,12,31)) - MAX($G$2, DATE(Initialisatie!$C$5,1,1)) + 1) &gt; 0,IFERROR(VALUE($G89),0)=0),
        AND(MAX(0, MIN($H$1, DATE(Initialisatie!$C$5,12,31)) - MAX($H$2, DATE(Initialisatie!$C$5,1,1)) + 1) &gt; 0,IFERROR(VALUE($H89),0)=0),
        AND(MAX(0, MIN($I$1, DATE(Initialisatie!$C$5,12,31)) - MAX($I$2, DATE(Initialisatie!$C$5,1,1)) + 1) &gt; 0,IFERROR(VALUE($I89),0)=0)
    ),
    0,
    SUM(
        IFERROR(VALUE($E89),0) * MAX(0, MIN($E$1, DATE(Initialisatie!$C$5,12,31)) - MAX($E$2, DATE(Initialisatie!$C$5,1,1)) + 1),
        IFERROR(VALUE($F89),0) * MAX(0, MIN($F$1, DATE(Initialisatie!$C$5,12,31)) - MAX($F$2, DATE(Initialisatie!$C$5,1,1)) + 1),
        IFERROR(VALUE($G89),0) * MAX(0, MIN($G$1, DATE(Initialisatie!$C$5,12,31)) - MAX($G$2, DATE(Initialisatie!$C$5,1,1)) + 1),
        IFERROR(VALUE($H89),0) * MAX(0, MIN($H$1, DATE(Initialisatie!$C$5,12,31)) - MAX($H$2, DATE(Initialisatie!$C$5,1,1)) + 1),
        IFERROR(VALUE($I89),0) * MAX(0, MIN($I$1, DATE(Initialisatie!$C$5,12,31)) - MAX($I$2, DATE(Initialisatie!$C$5,1,1)) + 1)
    ) / (DATE(Initialisatie!$C$5,12,31) - DATE(Initialisatie!$C$5,1,1) + 1)
)</f>
        <v>3659.08</v>
      </c>
      <c r="L89">
        <f>IF(
    OR(
        AND(MAX(0, IF(MIN($E$1, DATE(Initialisatie!$C$5,12,31)) &lt; MAX($E$2, DATE(Initialisatie!$C$5,1,1)), 0, MONTH(MIN($E$1, DATE(Initialisatie!$C$5,12,31))) - MONTH(MAX($E$2, DATE(Initialisatie!$C$5,1,1))) + 1)) &lt;= 0, IFERROR(VALUE($E89),0)=0),
        AND(MAX(0, IF(MIN($F$1, DATE(Initialisatie!$C$5,12,31)) &lt; MAX($F$2, DATE(Initialisatie!$C$5,1,1)), 0, MONTH(MIN($F$1, DATE(Initialisatie!$C$5,12,31))) - MONTH(MAX($F$2, DATE(Initialisatie!$C$5,1,1))) + 1)) &lt;= 0, IFERROR(VALUE($F89),0)=0),
        AND(MAX(0, IF(MIN($G$1, DATE(Initialisatie!$C$5,12,31)) &lt; MAX($G$2, DATE(Initialisatie!$C$5,1,1)), 0, MONTH(MIN($G$1, DATE(Initialisatie!$C$5,12,31))) - MONTH(MAX($G$2, DATE(Initialisatie!$C$5,1,1))) + 1)) &lt;= 0, IFERROR(VALUE($G89),0)=0),
        AND(MAX(0, IF(MIN($H$1, DATE(Initialisatie!$C$5,12,31)) &lt; MAX($H$2, DATE(Initialisatie!$C$5,1,1)), 0, MONTH(MIN($H$1, DATE(Initialisatie!$C$5,12,31))) - MONTH(MAX($H$2, DATE(Initialisatie!$C$5,1,1))) + 1)) &lt;= 0, IFERROR(VALUE($H89),0)=0),
        AND(MAX(0, IF(MIN($I$1, DATE(Initialisatie!$C$5,12,31)) &lt; MAX($I$2, DATE(Initialisatie!$C$5,1,1)), 0, MONTH(MIN($I$1, DATE(Initialisatie!$C$5,12,31))) - MONTH(MAX($I$2, DATE(Initialisatie!$C$5,1,1))) + 1)) &lt;= 0, IFERROR(VALUE($I89),0)=0)
    ),
    0,
    SUM(
        IFERROR(VALUE($E89),0) * MAX(0, IF(MIN($E$1, DATE(Initialisatie!$C$5,12,31)) &lt; MAX($E$2, DATE(Initialisatie!$C$5,1,1)), 0, MONTH(MIN($E$1, DATE(Initialisatie!$C$5,12,31))) - MONTH(MAX($E$2, DATE(Initialisatie!$C$5,1,1))) + 1)),
        IFERROR(VALUE($F89),0) * MAX(0, IF(MIN($F$1, DATE(Initialisatie!$C$5,12,31)) &lt; MAX($F$2, DATE(Initialisatie!$C$5,1,1)), 0, MONTH(MIN($F$1, DATE(Initialisatie!$C$5,12,31))) - MONTH(MAX($F$2, DATE(Initialisatie!$C$5,1,1))) + 1)),
        IFERROR(VALUE($G89),0) * MAX(0, IF(MIN($G$1, DATE(Initialisatie!$C$5,12,31)) &lt; MAX($G$2, DATE(Initialisatie!$C$5,1,1)), 0, MONTH(MIN($G$1, DATE(Initialisatie!$C$5,12,31))) - MONTH(MAX($G$2, DATE(Initialisatie!$C$5,1,1))) + 1)),
        IFERROR(VALUE($H89),0) * MAX(0, IF(MIN($H$1, DATE(Initialisatie!$C$5,12,31)) &lt; MAX($H$2, DATE(Initialisatie!$C$5,1,1)), 0, MONTH(MIN($H$1, DATE(Initialisatie!$C$5,12,31))) - MONTH(MAX($H$2, DATE(Initialisatie!$C$5,1,1))) + 1)),
        IFERROR(VALUE($I89),0) * MAX(0, IF(MIN($I$1, DATE(Initialisatie!$C$5,12,31)) &lt; MAX($I$2, DATE(Initialisatie!$C$5,1,1)), 0, MONTH(MIN($I$1, DATE(Initialisatie!$C$5,12,31))) - MONTH(MAX($I$2, DATE(Initialisatie!$C$5,1,1))) + 1))
    ) / 12
)</f>
        <v>3659.08</v>
      </c>
    </row>
    <row r="90" spans="1:12" x14ac:dyDescent="0.45">
      <c r="A90" s="989"/>
      <c r="B90" s="35" t="s">
        <v>97</v>
      </c>
      <c r="C90" s="35">
        <v>4</v>
      </c>
      <c r="D90" s="35" t="s">
        <v>201</v>
      </c>
      <c r="E90">
        <v>3477.95</v>
      </c>
      <c r="F90">
        <v>3521.42</v>
      </c>
      <c r="G90">
        <v>3648.19</v>
      </c>
      <c r="H90">
        <v>3783.17</v>
      </c>
      <c r="I90">
        <v>3911.8</v>
      </c>
      <c r="K90">
        <f>IF(
    OR(
        AND(MAX(0, MIN($E$1, DATE(Initialisatie!$C$5,12,31)) - MAX($E$2, DATE(Initialisatie!$C$5,1,1)) + 1) &gt; 0,IFERROR(VALUE($E90),0)=0),
        AND(MAX(0, MIN($F$1, DATE(Initialisatie!$C$5,12,31)) - MAX($F$2, DATE(Initialisatie!$C$5,1,1)) + 1) &gt; 0,IFERROR(VALUE($F90),0)=0),
        AND(MAX(0, MIN($G$1, DATE(Initialisatie!$C$5,12,31)) - MAX($G$2, DATE(Initialisatie!$C$5,1,1)) + 1) &gt; 0,IFERROR(VALUE($G90),0)=0),
        AND(MAX(0, MIN($H$1, DATE(Initialisatie!$C$5,12,31)) - MAX($H$2, DATE(Initialisatie!$C$5,1,1)) + 1) &gt; 0,IFERROR(VALUE($H90),0)=0),
        AND(MAX(0, MIN($I$1, DATE(Initialisatie!$C$5,12,31)) - MAX($I$2, DATE(Initialisatie!$C$5,1,1)) + 1) &gt; 0,IFERROR(VALUE($I90),0)=0)
    ),
    0,
    SUM(
        IFERROR(VALUE($E90),0) * MAX(0, MIN($E$1, DATE(Initialisatie!$C$5,12,31)) - MAX($E$2, DATE(Initialisatie!$C$5,1,1)) + 1),
        IFERROR(VALUE($F90),0) * MAX(0, MIN($F$1, DATE(Initialisatie!$C$5,12,31)) - MAX($F$2, DATE(Initialisatie!$C$5,1,1)) + 1),
        IFERROR(VALUE($G90),0) * MAX(0, MIN($G$1, DATE(Initialisatie!$C$5,12,31)) - MAX($G$2, DATE(Initialisatie!$C$5,1,1)) + 1),
        IFERROR(VALUE($H90),0) * MAX(0, MIN($H$1, DATE(Initialisatie!$C$5,12,31)) - MAX($H$2, DATE(Initialisatie!$C$5,1,1)) + 1),
        IFERROR(VALUE($I90),0) * MAX(0, MIN($I$1, DATE(Initialisatie!$C$5,12,31)) - MAX($I$2, DATE(Initialisatie!$C$5,1,1)) + 1)
    ) / (DATE(Initialisatie!$C$5,12,31) - DATE(Initialisatie!$C$5,1,1) + 1)
)</f>
        <v>3783.17</v>
      </c>
      <c r="L90">
        <f>IF(
    OR(
        AND(MAX(0, IF(MIN($E$1, DATE(Initialisatie!$C$5,12,31)) &lt; MAX($E$2, DATE(Initialisatie!$C$5,1,1)), 0, MONTH(MIN($E$1, DATE(Initialisatie!$C$5,12,31))) - MONTH(MAX($E$2, DATE(Initialisatie!$C$5,1,1))) + 1)) &lt;= 0, IFERROR(VALUE($E90),0)=0),
        AND(MAX(0, IF(MIN($F$1, DATE(Initialisatie!$C$5,12,31)) &lt; MAX($F$2, DATE(Initialisatie!$C$5,1,1)), 0, MONTH(MIN($F$1, DATE(Initialisatie!$C$5,12,31))) - MONTH(MAX($F$2, DATE(Initialisatie!$C$5,1,1))) + 1)) &lt;= 0, IFERROR(VALUE($F90),0)=0),
        AND(MAX(0, IF(MIN($G$1, DATE(Initialisatie!$C$5,12,31)) &lt; MAX($G$2, DATE(Initialisatie!$C$5,1,1)), 0, MONTH(MIN($G$1, DATE(Initialisatie!$C$5,12,31))) - MONTH(MAX($G$2, DATE(Initialisatie!$C$5,1,1))) + 1)) &lt;= 0, IFERROR(VALUE($G90),0)=0),
        AND(MAX(0, IF(MIN($H$1, DATE(Initialisatie!$C$5,12,31)) &lt; MAX($H$2, DATE(Initialisatie!$C$5,1,1)), 0, MONTH(MIN($H$1, DATE(Initialisatie!$C$5,12,31))) - MONTH(MAX($H$2, DATE(Initialisatie!$C$5,1,1))) + 1)) &lt;= 0, IFERROR(VALUE($H90),0)=0),
        AND(MAX(0, IF(MIN($I$1, DATE(Initialisatie!$C$5,12,31)) &lt; MAX($I$2, DATE(Initialisatie!$C$5,1,1)), 0, MONTH(MIN($I$1, DATE(Initialisatie!$C$5,12,31))) - MONTH(MAX($I$2, DATE(Initialisatie!$C$5,1,1))) + 1)) &lt;= 0, IFERROR(VALUE($I90),0)=0)
    ),
    0,
    SUM(
        IFERROR(VALUE($E90),0) * MAX(0, IF(MIN($E$1, DATE(Initialisatie!$C$5,12,31)) &lt; MAX($E$2, DATE(Initialisatie!$C$5,1,1)), 0, MONTH(MIN($E$1, DATE(Initialisatie!$C$5,12,31))) - MONTH(MAX($E$2, DATE(Initialisatie!$C$5,1,1))) + 1)),
        IFERROR(VALUE($F90),0) * MAX(0, IF(MIN($F$1, DATE(Initialisatie!$C$5,12,31)) &lt; MAX($F$2, DATE(Initialisatie!$C$5,1,1)), 0, MONTH(MIN($F$1, DATE(Initialisatie!$C$5,12,31))) - MONTH(MAX($F$2, DATE(Initialisatie!$C$5,1,1))) + 1)),
        IFERROR(VALUE($G90),0) * MAX(0, IF(MIN($G$1, DATE(Initialisatie!$C$5,12,31)) &lt; MAX($G$2, DATE(Initialisatie!$C$5,1,1)), 0, MONTH(MIN($G$1, DATE(Initialisatie!$C$5,12,31))) - MONTH(MAX($G$2, DATE(Initialisatie!$C$5,1,1))) + 1)),
        IFERROR(VALUE($H90),0) * MAX(0, IF(MIN($H$1, DATE(Initialisatie!$C$5,12,31)) &lt; MAX($H$2, DATE(Initialisatie!$C$5,1,1)), 0, MONTH(MIN($H$1, DATE(Initialisatie!$C$5,12,31))) - MONTH(MAX($H$2, DATE(Initialisatie!$C$5,1,1))) + 1)),
        IFERROR(VALUE($I90),0) * MAX(0, IF(MIN($I$1, DATE(Initialisatie!$C$5,12,31)) &lt; MAX($I$2, DATE(Initialisatie!$C$5,1,1)), 0, MONTH(MIN($I$1, DATE(Initialisatie!$C$5,12,31))) - MONTH(MAX($I$2, DATE(Initialisatie!$C$5,1,1))) + 1))
    ) / 12
)</f>
        <v>3783.17</v>
      </c>
    </row>
    <row r="91" spans="1:12" x14ac:dyDescent="0.45">
      <c r="A91" s="989"/>
      <c r="B91" s="35" t="s">
        <v>95</v>
      </c>
      <c r="C91" s="35">
        <v>5</v>
      </c>
      <c r="D91" s="35" t="s">
        <v>200</v>
      </c>
      <c r="E91">
        <v>3596.36</v>
      </c>
      <c r="F91">
        <v>3641.31</v>
      </c>
      <c r="G91">
        <v>3772.4</v>
      </c>
      <c r="H91">
        <v>3911.98</v>
      </c>
      <c r="I91">
        <v>4044.98</v>
      </c>
      <c r="K91">
        <f>IF(
    OR(
        AND(MAX(0, MIN($E$1, DATE(Initialisatie!$C$5,12,31)) - MAX($E$2, DATE(Initialisatie!$C$5,1,1)) + 1) &gt; 0,IFERROR(VALUE($E91),0)=0),
        AND(MAX(0, MIN($F$1, DATE(Initialisatie!$C$5,12,31)) - MAX($F$2, DATE(Initialisatie!$C$5,1,1)) + 1) &gt; 0,IFERROR(VALUE($F91),0)=0),
        AND(MAX(0, MIN($G$1, DATE(Initialisatie!$C$5,12,31)) - MAX($G$2, DATE(Initialisatie!$C$5,1,1)) + 1) &gt; 0,IFERROR(VALUE($G91),0)=0),
        AND(MAX(0, MIN($H$1, DATE(Initialisatie!$C$5,12,31)) - MAX($H$2, DATE(Initialisatie!$C$5,1,1)) + 1) &gt; 0,IFERROR(VALUE($H91),0)=0),
        AND(MAX(0, MIN($I$1, DATE(Initialisatie!$C$5,12,31)) - MAX($I$2, DATE(Initialisatie!$C$5,1,1)) + 1) &gt; 0,IFERROR(VALUE($I91),0)=0)
    ),
    0,
    SUM(
        IFERROR(VALUE($E91),0) * MAX(0, MIN($E$1, DATE(Initialisatie!$C$5,12,31)) - MAX($E$2, DATE(Initialisatie!$C$5,1,1)) + 1),
        IFERROR(VALUE($F91),0) * MAX(0, MIN($F$1, DATE(Initialisatie!$C$5,12,31)) - MAX($F$2, DATE(Initialisatie!$C$5,1,1)) + 1),
        IFERROR(VALUE($G91),0) * MAX(0, MIN($G$1, DATE(Initialisatie!$C$5,12,31)) - MAX($G$2, DATE(Initialisatie!$C$5,1,1)) + 1),
        IFERROR(VALUE($H91),0) * MAX(0, MIN($H$1, DATE(Initialisatie!$C$5,12,31)) - MAX($H$2, DATE(Initialisatie!$C$5,1,1)) + 1),
        IFERROR(VALUE($I91),0) * MAX(0, MIN($I$1, DATE(Initialisatie!$C$5,12,31)) - MAX($I$2, DATE(Initialisatie!$C$5,1,1)) + 1)
    ) / (DATE(Initialisatie!$C$5,12,31) - DATE(Initialisatie!$C$5,1,1) + 1)
)</f>
        <v>3911.98</v>
      </c>
      <c r="L91">
        <f>IF(
    OR(
        AND(MAX(0, IF(MIN($E$1, DATE(Initialisatie!$C$5,12,31)) &lt; MAX($E$2, DATE(Initialisatie!$C$5,1,1)), 0, MONTH(MIN($E$1, DATE(Initialisatie!$C$5,12,31))) - MONTH(MAX($E$2, DATE(Initialisatie!$C$5,1,1))) + 1)) &lt;= 0, IFERROR(VALUE($E91),0)=0),
        AND(MAX(0, IF(MIN($F$1, DATE(Initialisatie!$C$5,12,31)) &lt; MAX($F$2, DATE(Initialisatie!$C$5,1,1)), 0, MONTH(MIN($F$1, DATE(Initialisatie!$C$5,12,31))) - MONTH(MAX($F$2, DATE(Initialisatie!$C$5,1,1))) + 1)) &lt;= 0, IFERROR(VALUE($F91),0)=0),
        AND(MAX(0, IF(MIN($G$1, DATE(Initialisatie!$C$5,12,31)) &lt; MAX($G$2, DATE(Initialisatie!$C$5,1,1)), 0, MONTH(MIN($G$1, DATE(Initialisatie!$C$5,12,31))) - MONTH(MAX($G$2, DATE(Initialisatie!$C$5,1,1))) + 1)) &lt;= 0, IFERROR(VALUE($G91),0)=0),
        AND(MAX(0, IF(MIN($H$1, DATE(Initialisatie!$C$5,12,31)) &lt; MAX($H$2, DATE(Initialisatie!$C$5,1,1)), 0, MONTH(MIN($H$1, DATE(Initialisatie!$C$5,12,31))) - MONTH(MAX($H$2, DATE(Initialisatie!$C$5,1,1))) + 1)) &lt;= 0, IFERROR(VALUE($H91),0)=0),
        AND(MAX(0, IF(MIN($I$1, DATE(Initialisatie!$C$5,12,31)) &lt; MAX($I$2, DATE(Initialisatie!$C$5,1,1)), 0, MONTH(MIN($I$1, DATE(Initialisatie!$C$5,12,31))) - MONTH(MAX($I$2, DATE(Initialisatie!$C$5,1,1))) + 1)) &lt;= 0, IFERROR(VALUE($I91),0)=0)
    ),
    0,
    SUM(
        IFERROR(VALUE($E91),0) * MAX(0, IF(MIN($E$1, DATE(Initialisatie!$C$5,12,31)) &lt; MAX($E$2, DATE(Initialisatie!$C$5,1,1)), 0, MONTH(MIN($E$1, DATE(Initialisatie!$C$5,12,31))) - MONTH(MAX($E$2, DATE(Initialisatie!$C$5,1,1))) + 1)),
        IFERROR(VALUE($F91),0) * MAX(0, IF(MIN($F$1, DATE(Initialisatie!$C$5,12,31)) &lt; MAX($F$2, DATE(Initialisatie!$C$5,1,1)), 0, MONTH(MIN($F$1, DATE(Initialisatie!$C$5,12,31))) - MONTH(MAX($F$2, DATE(Initialisatie!$C$5,1,1))) + 1)),
        IFERROR(VALUE($G91),0) * MAX(0, IF(MIN($G$1, DATE(Initialisatie!$C$5,12,31)) &lt; MAX($G$2, DATE(Initialisatie!$C$5,1,1)), 0, MONTH(MIN($G$1, DATE(Initialisatie!$C$5,12,31))) - MONTH(MAX($G$2, DATE(Initialisatie!$C$5,1,1))) + 1)),
        IFERROR(VALUE($H91),0) * MAX(0, IF(MIN($H$1, DATE(Initialisatie!$C$5,12,31)) &lt; MAX($H$2, DATE(Initialisatie!$C$5,1,1)), 0, MONTH(MIN($H$1, DATE(Initialisatie!$C$5,12,31))) - MONTH(MAX($H$2, DATE(Initialisatie!$C$5,1,1))) + 1)),
        IFERROR(VALUE($I91),0) * MAX(0, IF(MIN($I$1, DATE(Initialisatie!$C$5,12,31)) &lt; MAX($I$2, DATE(Initialisatie!$C$5,1,1)), 0, MONTH(MIN($I$1, DATE(Initialisatie!$C$5,12,31))) - MONTH(MAX($I$2, DATE(Initialisatie!$C$5,1,1))) + 1))
    ) / 12
)</f>
        <v>3911.98</v>
      </c>
    </row>
    <row r="92" spans="1:12" x14ac:dyDescent="0.45">
      <c r="A92" s="989"/>
      <c r="B92" s="35" t="s">
        <v>93</v>
      </c>
      <c r="C92" s="35">
        <v>6</v>
      </c>
      <c r="D92" s="35" t="s">
        <v>199</v>
      </c>
      <c r="E92">
        <v>3718.4</v>
      </c>
      <c r="F92">
        <v>3764.88</v>
      </c>
      <c r="G92">
        <v>3900.42</v>
      </c>
      <c r="H92">
        <v>4044.73</v>
      </c>
      <c r="I92">
        <v>4182.25</v>
      </c>
      <c r="K92">
        <f>IF(
    OR(
        AND(MAX(0, MIN($E$1, DATE(Initialisatie!$C$5,12,31)) - MAX($E$2, DATE(Initialisatie!$C$5,1,1)) + 1) &gt; 0,IFERROR(VALUE($E92),0)=0),
        AND(MAX(0, MIN($F$1, DATE(Initialisatie!$C$5,12,31)) - MAX($F$2, DATE(Initialisatie!$C$5,1,1)) + 1) &gt; 0,IFERROR(VALUE($F92),0)=0),
        AND(MAX(0, MIN($G$1, DATE(Initialisatie!$C$5,12,31)) - MAX($G$2, DATE(Initialisatie!$C$5,1,1)) + 1) &gt; 0,IFERROR(VALUE($G92),0)=0),
        AND(MAX(0, MIN($H$1, DATE(Initialisatie!$C$5,12,31)) - MAX($H$2, DATE(Initialisatie!$C$5,1,1)) + 1) &gt; 0,IFERROR(VALUE($H92),0)=0),
        AND(MAX(0, MIN($I$1, DATE(Initialisatie!$C$5,12,31)) - MAX($I$2, DATE(Initialisatie!$C$5,1,1)) + 1) &gt; 0,IFERROR(VALUE($I92),0)=0)
    ),
    0,
    SUM(
        IFERROR(VALUE($E92),0) * MAX(0, MIN($E$1, DATE(Initialisatie!$C$5,12,31)) - MAX($E$2, DATE(Initialisatie!$C$5,1,1)) + 1),
        IFERROR(VALUE($F92),0) * MAX(0, MIN($F$1, DATE(Initialisatie!$C$5,12,31)) - MAX($F$2, DATE(Initialisatie!$C$5,1,1)) + 1),
        IFERROR(VALUE($G92),0) * MAX(0, MIN($G$1, DATE(Initialisatie!$C$5,12,31)) - MAX($G$2, DATE(Initialisatie!$C$5,1,1)) + 1),
        IFERROR(VALUE($H92),0) * MAX(0, MIN($H$1, DATE(Initialisatie!$C$5,12,31)) - MAX($H$2, DATE(Initialisatie!$C$5,1,1)) + 1),
        IFERROR(VALUE($I92),0) * MAX(0, MIN($I$1, DATE(Initialisatie!$C$5,12,31)) - MAX($I$2, DATE(Initialisatie!$C$5,1,1)) + 1)
    ) / (DATE(Initialisatie!$C$5,12,31) - DATE(Initialisatie!$C$5,1,1) + 1)
)</f>
        <v>4044.73</v>
      </c>
      <c r="L92">
        <f>IF(
    OR(
        AND(MAX(0, IF(MIN($E$1, DATE(Initialisatie!$C$5,12,31)) &lt; MAX($E$2, DATE(Initialisatie!$C$5,1,1)), 0, MONTH(MIN($E$1, DATE(Initialisatie!$C$5,12,31))) - MONTH(MAX($E$2, DATE(Initialisatie!$C$5,1,1))) + 1)) &lt;= 0, IFERROR(VALUE($E92),0)=0),
        AND(MAX(0, IF(MIN($F$1, DATE(Initialisatie!$C$5,12,31)) &lt; MAX($F$2, DATE(Initialisatie!$C$5,1,1)), 0, MONTH(MIN($F$1, DATE(Initialisatie!$C$5,12,31))) - MONTH(MAX($F$2, DATE(Initialisatie!$C$5,1,1))) + 1)) &lt;= 0, IFERROR(VALUE($F92),0)=0),
        AND(MAX(0, IF(MIN($G$1, DATE(Initialisatie!$C$5,12,31)) &lt; MAX($G$2, DATE(Initialisatie!$C$5,1,1)), 0, MONTH(MIN($G$1, DATE(Initialisatie!$C$5,12,31))) - MONTH(MAX($G$2, DATE(Initialisatie!$C$5,1,1))) + 1)) &lt;= 0, IFERROR(VALUE($G92),0)=0),
        AND(MAX(0, IF(MIN($H$1, DATE(Initialisatie!$C$5,12,31)) &lt; MAX($H$2, DATE(Initialisatie!$C$5,1,1)), 0, MONTH(MIN($H$1, DATE(Initialisatie!$C$5,12,31))) - MONTH(MAX($H$2, DATE(Initialisatie!$C$5,1,1))) + 1)) &lt;= 0, IFERROR(VALUE($H92),0)=0),
        AND(MAX(0, IF(MIN($I$1, DATE(Initialisatie!$C$5,12,31)) &lt; MAX($I$2, DATE(Initialisatie!$C$5,1,1)), 0, MONTH(MIN($I$1, DATE(Initialisatie!$C$5,12,31))) - MONTH(MAX($I$2, DATE(Initialisatie!$C$5,1,1))) + 1)) &lt;= 0, IFERROR(VALUE($I92),0)=0)
    ),
    0,
    SUM(
        IFERROR(VALUE($E92),0) * MAX(0, IF(MIN($E$1, DATE(Initialisatie!$C$5,12,31)) &lt; MAX($E$2, DATE(Initialisatie!$C$5,1,1)), 0, MONTH(MIN($E$1, DATE(Initialisatie!$C$5,12,31))) - MONTH(MAX($E$2, DATE(Initialisatie!$C$5,1,1))) + 1)),
        IFERROR(VALUE($F92),0) * MAX(0, IF(MIN($F$1, DATE(Initialisatie!$C$5,12,31)) &lt; MAX($F$2, DATE(Initialisatie!$C$5,1,1)), 0, MONTH(MIN($F$1, DATE(Initialisatie!$C$5,12,31))) - MONTH(MAX($F$2, DATE(Initialisatie!$C$5,1,1))) + 1)),
        IFERROR(VALUE($G92),0) * MAX(0, IF(MIN($G$1, DATE(Initialisatie!$C$5,12,31)) &lt; MAX($G$2, DATE(Initialisatie!$C$5,1,1)), 0, MONTH(MIN($G$1, DATE(Initialisatie!$C$5,12,31))) - MONTH(MAX($G$2, DATE(Initialisatie!$C$5,1,1))) + 1)),
        IFERROR(VALUE($H92),0) * MAX(0, IF(MIN($H$1, DATE(Initialisatie!$C$5,12,31)) &lt; MAX($H$2, DATE(Initialisatie!$C$5,1,1)), 0, MONTH(MIN($H$1, DATE(Initialisatie!$C$5,12,31))) - MONTH(MAX($H$2, DATE(Initialisatie!$C$5,1,1))) + 1)),
        IFERROR(VALUE($I92),0) * MAX(0, IF(MIN($I$1, DATE(Initialisatie!$C$5,12,31)) &lt; MAX($I$2, DATE(Initialisatie!$C$5,1,1)), 0, MONTH(MIN($I$1, DATE(Initialisatie!$C$5,12,31))) - MONTH(MAX($I$2, DATE(Initialisatie!$C$5,1,1))) + 1))
    ) / 12
)</f>
        <v>4044.73</v>
      </c>
    </row>
    <row r="93" spans="1:12" x14ac:dyDescent="0.45">
      <c r="A93" s="989"/>
      <c r="B93" s="35" t="s">
        <v>91</v>
      </c>
      <c r="C93" s="35">
        <v>7</v>
      </c>
      <c r="D93" s="35" t="s">
        <v>198</v>
      </c>
      <c r="E93">
        <v>3844.84</v>
      </c>
      <c r="F93">
        <v>3892.9</v>
      </c>
      <c r="G93">
        <v>4033.05</v>
      </c>
      <c r="H93">
        <v>4182.2700000000004</v>
      </c>
      <c r="I93">
        <v>4324.47</v>
      </c>
      <c r="K93">
        <f>IF(
    OR(
        AND(MAX(0, MIN($E$1, DATE(Initialisatie!$C$5,12,31)) - MAX($E$2, DATE(Initialisatie!$C$5,1,1)) + 1) &gt; 0,IFERROR(VALUE($E93),0)=0),
        AND(MAX(0, MIN($F$1, DATE(Initialisatie!$C$5,12,31)) - MAX($F$2, DATE(Initialisatie!$C$5,1,1)) + 1) &gt; 0,IFERROR(VALUE($F93),0)=0),
        AND(MAX(0, MIN($G$1, DATE(Initialisatie!$C$5,12,31)) - MAX($G$2, DATE(Initialisatie!$C$5,1,1)) + 1) &gt; 0,IFERROR(VALUE($G93),0)=0),
        AND(MAX(0, MIN($H$1, DATE(Initialisatie!$C$5,12,31)) - MAX($H$2, DATE(Initialisatie!$C$5,1,1)) + 1) &gt; 0,IFERROR(VALUE($H93),0)=0),
        AND(MAX(0, MIN($I$1, DATE(Initialisatie!$C$5,12,31)) - MAX($I$2, DATE(Initialisatie!$C$5,1,1)) + 1) &gt; 0,IFERROR(VALUE($I93),0)=0)
    ),
    0,
    SUM(
        IFERROR(VALUE($E93),0) * MAX(0, MIN($E$1, DATE(Initialisatie!$C$5,12,31)) - MAX($E$2, DATE(Initialisatie!$C$5,1,1)) + 1),
        IFERROR(VALUE($F93),0) * MAX(0, MIN($F$1, DATE(Initialisatie!$C$5,12,31)) - MAX($F$2, DATE(Initialisatie!$C$5,1,1)) + 1),
        IFERROR(VALUE($G93),0) * MAX(0, MIN($G$1, DATE(Initialisatie!$C$5,12,31)) - MAX($G$2, DATE(Initialisatie!$C$5,1,1)) + 1),
        IFERROR(VALUE($H93),0) * MAX(0, MIN($H$1, DATE(Initialisatie!$C$5,12,31)) - MAX($H$2, DATE(Initialisatie!$C$5,1,1)) + 1),
        IFERROR(VALUE($I93),0) * MAX(0, MIN($I$1, DATE(Initialisatie!$C$5,12,31)) - MAX($I$2, DATE(Initialisatie!$C$5,1,1)) + 1)
    ) / (DATE(Initialisatie!$C$5,12,31) - DATE(Initialisatie!$C$5,1,1) + 1)
)</f>
        <v>4182.2700000000004</v>
      </c>
      <c r="L93">
        <f>IF(
    OR(
        AND(MAX(0, IF(MIN($E$1, DATE(Initialisatie!$C$5,12,31)) &lt; MAX($E$2, DATE(Initialisatie!$C$5,1,1)), 0, MONTH(MIN($E$1, DATE(Initialisatie!$C$5,12,31))) - MONTH(MAX($E$2, DATE(Initialisatie!$C$5,1,1))) + 1)) &lt;= 0, IFERROR(VALUE($E93),0)=0),
        AND(MAX(0, IF(MIN($F$1, DATE(Initialisatie!$C$5,12,31)) &lt; MAX($F$2, DATE(Initialisatie!$C$5,1,1)), 0, MONTH(MIN($F$1, DATE(Initialisatie!$C$5,12,31))) - MONTH(MAX($F$2, DATE(Initialisatie!$C$5,1,1))) + 1)) &lt;= 0, IFERROR(VALUE($F93),0)=0),
        AND(MAX(0, IF(MIN($G$1, DATE(Initialisatie!$C$5,12,31)) &lt; MAX($G$2, DATE(Initialisatie!$C$5,1,1)), 0, MONTH(MIN($G$1, DATE(Initialisatie!$C$5,12,31))) - MONTH(MAX($G$2, DATE(Initialisatie!$C$5,1,1))) + 1)) &lt;= 0, IFERROR(VALUE($G93),0)=0),
        AND(MAX(0, IF(MIN($H$1, DATE(Initialisatie!$C$5,12,31)) &lt; MAX($H$2, DATE(Initialisatie!$C$5,1,1)), 0, MONTH(MIN($H$1, DATE(Initialisatie!$C$5,12,31))) - MONTH(MAX($H$2, DATE(Initialisatie!$C$5,1,1))) + 1)) &lt;= 0, IFERROR(VALUE($H93),0)=0),
        AND(MAX(0, IF(MIN($I$1, DATE(Initialisatie!$C$5,12,31)) &lt; MAX($I$2, DATE(Initialisatie!$C$5,1,1)), 0, MONTH(MIN($I$1, DATE(Initialisatie!$C$5,12,31))) - MONTH(MAX($I$2, DATE(Initialisatie!$C$5,1,1))) + 1)) &lt;= 0, IFERROR(VALUE($I93),0)=0)
    ),
    0,
    SUM(
        IFERROR(VALUE($E93),0) * MAX(0, IF(MIN($E$1, DATE(Initialisatie!$C$5,12,31)) &lt; MAX($E$2, DATE(Initialisatie!$C$5,1,1)), 0, MONTH(MIN($E$1, DATE(Initialisatie!$C$5,12,31))) - MONTH(MAX($E$2, DATE(Initialisatie!$C$5,1,1))) + 1)),
        IFERROR(VALUE($F93),0) * MAX(0, IF(MIN($F$1, DATE(Initialisatie!$C$5,12,31)) &lt; MAX($F$2, DATE(Initialisatie!$C$5,1,1)), 0, MONTH(MIN($F$1, DATE(Initialisatie!$C$5,12,31))) - MONTH(MAX($F$2, DATE(Initialisatie!$C$5,1,1))) + 1)),
        IFERROR(VALUE($G93),0) * MAX(0, IF(MIN($G$1, DATE(Initialisatie!$C$5,12,31)) &lt; MAX($G$2, DATE(Initialisatie!$C$5,1,1)), 0, MONTH(MIN($G$1, DATE(Initialisatie!$C$5,12,31))) - MONTH(MAX($G$2, DATE(Initialisatie!$C$5,1,1))) + 1)),
        IFERROR(VALUE($H93),0) * MAX(0, IF(MIN($H$1, DATE(Initialisatie!$C$5,12,31)) &lt; MAX($H$2, DATE(Initialisatie!$C$5,1,1)), 0, MONTH(MIN($H$1, DATE(Initialisatie!$C$5,12,31))) - MONTH(MAX($H$2, DATE(Initialisatie!$C$5,1,1))) + 1)),
        IFERROR(VALUE($I93),0) * MAX(0, IF(MIN($I$1, DATE(Initialisatie!$C$5,12,31)) &lt; MAX($I$2, DATE(Initialisatie!$C$5,1,1)), 0, MONTH(MIN($I$1, DATE(Initialisatie!$C$5,12,31))) - MONTH(MAX($I$2, DATE(Initialisatie!$C$5,1,1))) + 1))
    ) / 12
)</f>
        <v>4182.2700000000004</v>
      </c>
    </row>
    <row r="94" spans="1:12" x14ac:dyDescent="0.45">
      <c r="A94" s="989"/>
      <c r="B94" s="35" t="s">
        <v>89</v>
      </c>
      <c r="C94" s="35">
        <v>8</v>
      </c>
      <c r="D94" s="35" t="s">
        <v>197</v>
      </c>
      <c r="E94">
        <v>3975.6</v>
      </c>
      <c r="F94">
        <v>4025.3</v>
      </c>
      <c r="G94">
        <v>4170.21</v>
      </c>
      <c r="H94">
        <v>4324.51</v>
      </c>
      <c r="I94">
        <v>4471.54</v>
      </c>
      <c r="K94">
        <f>IF(
    OR(
        AND(MAX(0, MIN($E$1, DATE(Initialisatie!$C$5,12,31)) - MAX($E$2, DATE(Initialisatie!$C$5,1,1)) + 1) &gt; 0,IFERROR(VALUE($E94),0)=0),
        AND(MAX(0, MIN($F$1, DATE(Initialisatie!$C$5,12,31)) - MAX($F$2, DATE(Initialisatie!$C$5,1,1)) + 1) &gt; 0,IFERROR(VALUE($F94),0)=0),
        AND(MAX(0, MIN($G$1, DATE(Initialisatie!$C$5,12,31)) - MAX($G$2, DATE(Initialisatie!$C$5,1,1)) + 1) &gt; 0,IFERROR(VALUE($G94),0)=0),
        AND(MAX(0, MIN($H$1, DATE(Initialisatie!$C$5,12,31)) - MAX($H$2, DATE(Initialisatie!$C$5,1,1)) + 1) &gt; 0,IFERROR(VALUE($H94),0)=0),
        AND(MAX(0, MIN($I$1, DATE(Initialisatie!$C$5,12,31)) - MAX($I$2, DATE(Initialisatie!$C$5,1,1)) + 1) &gt; 0,IFERROR(VALUE($I94),0)=0)
    ),
    0,
    SUM(
        IFERROR(VALUE($E94),0) * MAX(0, MIN($E$1, DATE(Initialisatie!$C$5,12,31)) - MAX($E$2, DATE(Initialisatie!$C$5,1,1)) + 1),
        IFERROR(VALUE($F94),0) * MAX(0, MIN($F$1, DATE(Initialisatie!$C$5,12,31)) - MAX($F$2, DATE(Initialisatie!$C$5,1,1)) + 1),
        IFERROR(VALUE($G94),0) * MAX(0, MIN($G$1, DATE(Initialisatie!$C$5,12,31)) - MAX($G$2, DATE(Initialisatie!$C$5,1,1)) + 1),
        IFERROR(VALUE($H94),0) * MAX(0, MIN($H$1, DATE(Initialisatie!$C$5,12,31)) - MAX($H$2, DATE(Initialisatie!$C$5,1,1)) + 1),
        IFERROR(VALUE($I94),0) * MAX(0, MIN($I$1, DATE(Initialisatie!$C$5,12,31)) - MAX($I$2, DATE(Initialisatie!$C$5,1,1)) + 1)
    ) / (DATE(Initialisatie!$C$5,12,31) - DATE(Initialisatie!$C$5,1,1) + 1)
)</f>
        <v>4324.51</v>
      </c>
      <c r="L94">
        <f>IF(
    OR(
        AND(MAX(0, IF(MIN($E$1, DATE(Initialisatie!$C$5,12,31)) &lt; MAX($E$2, DATE(Initialisatie!$C$5,1,1)), 0, MONTH(MIN($E$1, DATE(Initialisatie!$C$5,12,31))) - MONTH(MAX($E$2, DATE(Initialisatie!$C$5,1,1))) + 1)) &lt;= 0, IFERROR(VALUE($E94),0)=0),
        AND(MAX(0, IF(MIN($F$1, DATE(Initialisatie!$C$5,12,31)) &lt; MAX($F$2, DATE(Initialisatie!$C$5,1,1)), 0, MONTH(MIN($F$1, DATE(Initialisatie!$C$5,12,31))) - MONTH(MAX($F$2, DATE(Initialisatie!$C$5,1,1))) + 1)) &lt;= 0, IFERROR(VALUE($F94),0)=0),
        AND(MAX(0, IF(MIN($G$1, DATE(Initialisatie!$C$5,12,31)) &lt; MAX($G$2, DATE(Initialisatie!$C$5,1,1)), 0, MONTH(MIN($G$1, DATE(Initialisatie!$C$5,12,31))) - MONTH(MAX($G$2, DATE(Initialisatie!$C$5,1,1))) + 1)) &lt;= 0, IFERROR(VALUE($G94),0)=0),
        AND(MAX(0, IF(MIN($H$1, DATE(Initialisatie!$C$5,12,31)) &lt; MAX($H$2, DATE(Initialisatie!$C$5,1,1)), 0, MONTH(MIN($H$1, DATE(Initialisatie!$C$5,12,31))) - MONTH(MAX($H$2, DATE(Initialisatie!$C$5,1,1))) + 1)) &lt;= 0, IFERROR(VALUE($H94),0)=0),
        AND(MAX(0, IF(MIN($I$1, DATE(Initialisatie!$C$5,12,31)) &lt; MAX($I$2, DATE(Initialisatie!$C$5,1,1)), 0, MONTH(MIN($I$1, DATE(Initialisatie!$C$5,12,31))) - MONTH(MAX($I$2, DATE(Initialisatie!$C$5,1,1))) + 1)) &lt;= 0, IFERROR(VALUE($I94),0)=0)
    ),
    0,
    SUM(
        IFERROR(VALUE($E94),0) * MAX(0, IF(MIN($E$1, DATE(Initialisatie!$C$5,12,31)) &lt; MAX($E$2, DATE(Initialisatie!$C$5,1,1)), 0, MONTH(MIN($E$1, DATE(Initialisatie!$C$5,12,31))) - MONTH(MAX($E$2, DATE(Initialisatie!$C$5,1,1))) + 1)),
        IFERROR(VALUE($F94),0) * MAX(0, IF(MIN($F$1, DATE(Initialisatie!$C$5,12,31)) &lt; MAX($F$2, DATE(Initialisatie!$C$5,1,1)), 0, MONTH(MIN($F$1, DATE(Initialisatie!$C$5,12,31))) - MONTH(MAX($F$2, DATE(Initialisatie!$C$5,1,1))) + 1)),
        IFERROR(VALUE($G94),0) * MAX(0, IF(MIN($G$1, DATE(Initialisatie!$C$5,12,31)) &lt; MAX($G$2, DATE(Initialisatie!$C$5,1,1)), 0, MONTH(MIN($G$1, DATE(Initialisatie!$C$5,12,31))) - MONTH(MAX($G$2, DATE(Initialisatie!$C$5,1,1))) + 1)),
        IFERROR(VALUE($H94),0) * MAX(0, IF(MIN($H$1, DATE(Initialisatie!$C$5,12,31)) &lt; MAX($H$2, DATE(Initialisatie!$C$5,1,1)), 0, MONTH(MIN($H$1, DATE(Initialisatie!$C$5,12,31))) - MONTH(MAX($H$2, DATE(Initialisatie!$C$5,1,1))) + 1)),
        IFERROR(VALUE($I94),0) * MAX(0, IF(MIN($I$1, DATE(Initialisatie!$C$5,12,31)) &lt; MAX($I$2, DATE(Initialisatie!$C$5,1,1)), 0, MONTH(MIN($I$1, DATE(Initialisatie!$C$5,12,31))) - MONTH(MAX($I$2, DATE(Initialisatie!$C$5,1,1))) + 1))
    ) / 12
)</f>
        <v>4324.51</v>
      </c>
    </row>
    <row r="95" spans="1:12" x14ac:dyDescent="0.45">
      <c r="A95" s="989"/>
      <c r="B95" s="35" t="s">
        <v>87</v>
      </c>
      <c r="C95" s="35">
        <v>9</v>
      </c>
      <c r="D95" s="35" t="s">
        <v>196</v>
      </c>
      <c r="E95">
        <v>4110.7299999999996</v>
      </c>
      <c r="F95">
        <v>4162.12</v>
      </c>
      <c r="G95">
        <v>4311.95</v>
      </c>
      <c r="H95">
        <v>4471.5</v>
      </c>
      <c r="I95">
        <v>4623.53</v>
      </c>
      <c r="K95">
        <f>IF(
    OR(
        AND(MAX(0, MIN($E$1, DATE(Initialisatie!$C$5,12,31)) - MAX($E$2, DATE(Initialisatie!$C$5,1,1)) + 1) &gt; 0,IFERROR(VALUE($E95),0)=0),
        AND(MAX(0, MIN($F$1, DATE(Initialisatie!$C$5,12,31)) - MAX($F$2, DATE(Initialisatie!$C$5,1,1)) + 1) &gt; 0,IFERROR(VALUE($F95),0)=0),
        AND(MAX(0, MIN($G$1, DATE(Initialisatie!$C$5,12,31)) - MAX($G$2, DATE(Initialisatie!$C$5,1,1)) + 1) &gt; 0,IFERROR(VALUE($G95),0)=0),
        AND(MAX(0, MIN($H$1, DATE(Initialisatie!$C$5,12,31)) - MAX($H$2, DATE(Initialisatie!$C$5,1,1)) + 1) &gt; 0,IFERROR(VALUE($H95),0)=0),
        AND(MAX(0, MIN($I$1, DATE(Initialisatie!$C$5,12,31)) - MAX($I$2, DATE(Initialisatie!$C$5,1,1)) + 1) &gt; 0,IFERROR(VALUE($I95),0)=0)
    ),
    0,
    SUM(
        IFERROR(VALUE($E95),0) * MAX(0, MIN($E$1, DATE(Initialisatie!$C$5,12,31)) - MAX($E$2, DATE(Initialisatie!$C$5,1,1)) + 1),
        IFERROR(VALUE($F95),0) * MAX(0, MIN($F$1, DATE(Initialisatie!$C$5,12,31)) - MAX($F$2, DATE(Initialisatie!$C$5,1,1)) + 1),
        IFERROR(VALUE($G95),0) * MAX(0, MIN($G$1, DATE(Initialisatie!$C$5,12,31)) - MAX($G$2, DATE(Initialisatie!$C$5,1,1)) + 1),
        IFERROR(VALUE($H95),0) * MAX(0, MIN($H$1, DATE(Initialisatie!$C$5,12,31)) - MAX($H$2, DATE(Initialisatie!$C$5,1,1)) + 1),
        IFERROR(VALUE($I95),0) * MAX(0, MIN($I$1, DATE(Initialisatie!$C$5,12,31)) - MAX($I$2, DATE(Initialisatie!$C$5,1,1)) + 1)
    ) / (DATE(Initialisatie!$C$5,12,31) - DATE(Initialisatie!$C$5,1,1) + 1)
)</f>
        <v>4471.5</v>
      </c>
      <c r="L95">
        <f>IF(
    OR(
        AND(MAX(0, IF(MIN($E$1, DATE(Initialisatie!$C$5,12,31)) &lt; MAX($E$2, DATE(Initialisatie!$C$5,1,1)), 0, MONTH(MIN($E$1, DATE(Initialisatie!$C$5,12,31))) - MONTH(MAX($E$2, DATE(Initialisatie!$C$5,1,1))) + 1)) &lt;= 0, IFERROR(VALUE($E95),0)=0),
        AND(MAX(0, IF(MIN($F$1, DATE(Initialisatie!$C$5,12,31)) &lt; MAX($F$2, DATE(Initialisatie!$C$5,1,1)), 0, MONTH(MIN($F$1, DATE(Initialisatie!$C$5,12,31))) - MONTH(MAX($F$2, DATE(Initialisatie!$C$5,1,1))) + 1)) &lt;= 0, IFERROR(VALUE($F95),0)=0),
        AND(MAX(0, IF(MIN($G$1, DATE(Initialisatie!$C$5,12,31)) &lt; MAX($G$2, DATE(Initialisatie!$C$5,1,1)), 0, MONTH(MIN($G$1, DATE(Initialisatie!$C$5,12,31))) - MONTH(MAX($G$2, DATE(Initialisatie!$C$5,1,1))) + 1)) &lt;= 0, IFERROR(VALUE($G95),0)=0),
        AND(MAX(0, IF(MIN($H$1, DATE(Initialisatie!$C$5,12,31)) &lt; MAX($H$2, DATE(Initialisatie!$C$5,1,1)), 0, MONTH(MIN($H$1, DATE(Initialisatie!$C$5,12,31))) - MONTH(MAX($H$2, DATE(Initialisatie!$C$5,1,1))) + 1)) &lt;= 0, IFERROR(VALUE($H95),0)=0),
        AND(MAX(0, IF(MIN($I$1, DATE(Initialisatie!$C$5,12,31)) &lt; MAX($I$2, DATE(Initialisatie!$C$5,1,1)), 0, MONTH(MIN($I$1, DATE(Initialisatie!$C$5,12,31))) - MONTH(MAX($I$2, DATE(Initialisatie!$C$5,1,1))) + 1)) &lt;= 0, IFERROR(VALUE($I95),0)=0)
    ),
    0,
    SUM(
        IFERROR(VALUE($E95),0) * MAX(0, IF(MIN($E$1, DATE(Initialisatie!$C$5,12,31)) &lt; MAX($E$2, DATE(Initialisatie!$C$5,1,1)), 0, MONTH(MIN($E$1, DATE(Initialisatie!$C$5,12,31))) - MONTH(MAX($E$2, DATE(Initialisatie!$C$5,1,1))) + 1)),
        IFERROR(VALUE($F95),0) * MAX(0, IF(MIN($F$1, DATE(Initialisatie!$C$5,12,31)) &lt; MAX($F$2, DATE(Initialisatie!$C$5,1,1)), 0, MONTH(MIN($F$1, DATE(Initialisatie!$C$5,12,31))) - MONTH(MAX($F$2, DATE(Initialisatie!$C$5,1,1))) + 1)),
        IFERROR(VALUE($G95),0) * MAX(0, IF(MIN($G$1, DATE(Initialisatie!$C$5,12,31)) &lt; MAX($G$2, DATE(Initialisatie!$C$5,1,1)), 0, MONTH(MIN($G$1, DATE(Initialisatie!$C$5,12,31))) - MONTH(MAX($G$2, DATE(Initialisatie!$C$5,1,1))) + 1)),
        IFERROR(VALUE($H95),0) * MAX(0, IF(MIN($H$1, DATE(Initialisatie!$C$5,12,31)) &lt; MAX($H$2, DATE(Initialisatie!$C$5,1,1)), 0, MONTH(MIN($H$1, DATE(Initialisatie!$C$5,12,31))) - MONTH(MAX($H$2, DATE(Initialisatie!$C$5,1,1))) + 1)),
        IFERROR(VALUE($I95),0) * MAX(0, IF(MIN($I$1, DATE(Initialisatie!$C$5,12,31)) &lt; MAX($I$2, DATE(Initialisatie!$C$5,1,1)), 0, MONTH(MIN($I$1, DATE(Initialisatie!$C$5,12,31))) - MONTH(MAX($I$2, DATE(Initialisatie!$C$5,1,1))) + 1))
    ) / 12
)</f>
        <v>4471.5</v>
      </c>
    </row>
    <row r="96" spans="1:12" x14ac:dyDescent="0.45">
      <c r="A96" s="989"/>
      <c r="B96" s="35" t="s">
        <v>109</v>
      </c>
      <c r="C96" s="35">
        <v>10</v>
      </c>
      <c r="D96" s="35" t="s">
        <v>207</v>
      </c>
      <c r="E96">
        <v>4250.96</v>
      </c>
      <c r="F96">
        <v>4304.09</v>
      </c>
      <c r="G96">
        <v>4459.04</v>
      </c>
      <c r="H96">
        <v>4624.03</v>
      </c>
      <c r="I96">
        <v>4781.24</v>
      </c>
      <c r="K96">
        <f>IF(
    OR(
        AND(MAX(0, MIN($E$1, DATE(Initialisatie!$C$5,12,31)) - MAX($E$2, DATE(Initialisatie!$C$5,1,1)) + 1) &gt; 0,IFERROR(VALUE($E96),0)=0),
        AND(MAX(0, MIN($F$1, DATE(Initialisatie!$C$5,12,31)) - MAX($F$2, DATE(Initialisatie!$C$5,1,1)) + 1) &gt; 0,IFERROR(VALUE($F96),0)=0),
        AND(MAX(0, MIN($G$1, DATE(Initialisatie!$C$5,12,31)) - MAX($G$2, DATE(Initialisatie!$C$5,1,1)) + 1) &gt; 0,IFERROR(VALUE($G96),0)=0),
        AND(MAX(0, MIN($H$1, DATE(Initialisatie!$C$5,12,31)) - MAX($H$2, DATE(Initialisatie!$C$5,1,1)) + 1) &gt; 0,IFERROR(VALUE($H96),0)=0),
        AND(MAX(0, MIN($I$1, DATE(Initialisatie!$C$5,12,31)) - MAX($I$2, DATE(Initialisatie!$C$5,1,1)) + 1) &gt; 0,IFERROR(VALUE($I96),0)=0)
    ),
    0,
    SUM(
        IFERROR(VALUE($E96),0) * MAX(0, MIN($E$1, DATE(Initialisatie!$C$5,12,31)) - MAX($E$2, DATE(Initialisatie!$C$5,1,1)) + 1),
        IFERROR(VALUE($F96),0) * MAX(0, MIN($F$1, DATE(Initialisatie!$C$5,12,31)) - MAX($F$2, DATE(Initialisatie!$C$5,1,1)) + 1),
        IFERROR(VALUE($G96),0) * MAX(0, MIN($G$1, DATE(Initialisatie!$C$5,12,31)) - MAX($G$2, DATE(Initialisatie!$C$5,1,1)) + 1),
        IFERROR(VALUE($H96),0) * MAX(0, MIN($H$1, DATE(Initialisatie!$C$5,12,31)) - MAX($H$2, DATE(Initialisatie!$C$5,1,1)) + 1),
        IFERROR(VALUE($I96),0) * MAX(0, MIN($I$1, DATE(Initialisatie!$C$5,12,31)) - MAX($I$2, DATE(Initialisatie!$C$5,1,1)) + 1)
    ) / (DATE(Initialisatie!$C$5,12,31) - DATE(Initialisatie!$C$5,1,1) + 1)
)</f>
        <v>4624.03</v>
      </c>
      <c r="L96">
        <f>IF(
    OR(
        AND(MAX(0, IF(MIN($E$1, DATE(Initialisatie!$C$5,12,31)) &lt; MAX($E$2, DATE(Initialisatie!$C$5,1,1)), 0, MONTH(MIN($E$1, DATE(Initialisatie!$C$5,12,31))) - MONTH(MAX($E$2, DATE(Initialisatie!$C$5,1,1))) + 1)) &lt;= 0, IFERROR(VALUE($E96),0)=0),
        AND(MAX(0, IF(MIN($F$1, DATE(Initialisatie!$C$5,12,31)) &lt; MAX($F$2, DATE(Initialisatie!$C$5,1,1)), 0, MONTH(MIN($F$1, DATE(Initialisatie!$C$5,12,31))) - MONTH(MAX($F$2, DATE(Initialisatie!$C$5,1,1))) + 1)) &lt;= 0, IFERROR(VALUE($F96),0)=0),
        AND(MAX(0, IF(MIN($G$1, DATE(Initialisatie!$C$5,12,31)) &lt; MAX($G$2, DATE(Initialisatie!$C$5,1,1)), 0, MONTH(MIN($G$1, DATE(Initialisatie!$C$5,12,31))) - MONTH(MAX($G$2, DATE(Initialisatie!$C$5,1,1))) + 1)) &lt;= 0, IFERROR(VALUE($G96),0)=0),
        AND(MAX(0, IF(MIN($H$1, DATE(Initialisatie!$C$5,12,31)) &lt; MAX($H$2, DATE(Initialisatie!$C$5,1,1)), 0, MONTH(MIN($H$1, DATE(Initialisatie!$C$5,12,31))) - MONTH(MAX($H$2, DATE(Initialisatie!$C$5,1,1))) + 1)) &lt;= 0, IFERROR(VALUE($H96),0)=0),
        AND(MAX(0, IF(MIN($I$1, DATE(Initialisatie!$C$5,12,31)) &lt; MAX($I$2, DATE(Initialisatie!$C$5,1,1)), 0, MONTH(MIN($I$1, DATE(Initialisatie!$C$5,12,31))) - MONTH(MAX($I$2, DATE(Initialisatie!$C$5,1,1))) + 1)) &lt;= 0, IFERROR(VALUE($I96),0)=0)
    ),
    0,
    SUM(
        IFERROR(VALUE($E96),0) * MAX(0, IF(MIN($E$1, DATE(Initialisatie!$C$5,12,31)) &lt; MAX($E$2, DATE(Initialisatie!$C$5,1,1)), 0, MONTH(MIN($E$1, DATE(Initialisatie!$C$5,12,31))) - MONTH(MAX($E$2, DATE(Initialisatie!$C$5,1,1))) + 1)),
        IFERROR(VALUE($F96),0) * MAX(0, IF(MIN($F$1, DATE(Initialisatie!$C$5,12,31)) &lt; MAX($F$2, DATE(Initialisatie!$C$5,1,1)), 0, MONTH(MIN($F$1, DATE(Initialisatie!$C$5,12,31))) - MONTH(MAX($F$2, DATE(Initialisatie!$C$5,1,1))) + 1)),
        IFERROR(VALUE($G96),0) * MAX(0, IF(MIN($G$1, DATE(Initialisatie!$C$5,12,31)) &lt; MAX($G$2, DATE(Initialisatie!$C$5,1,1)), 0, MONTH(MIN($G$1, DATE(Initialisatie!$C$5,12,31))) - MONTH(MAX($G$2, DATE(Initialisatie!$C$5,1,1))) + 1)),
        IFERROR(VALUE($H96),0) * MAX(0, IF(MIN($H$1, DATE(Initialisatie!$C$5,12,31)) &lt; MAX($H$2, DATE(Initialisatie!$C$5,1,1)), 0, MONTH(MIN($H$1, DATE(Initialisatie!$C$5,12,31))) - MONTH(MAX($H$2, DATE(Initialisatie!$C$5,1,1))) + 1)),
        IFERROR(VALUE($I96),0) * MAX(0, IF(MIN($I$1, DATE(Initialisatie!$C$5,12,31)) &lt; MAX($I$2, DATE(Initialisatie!$C$5,1,1)), 0, MONTH(MIN($I$1, DATE(Initialisatie!$C$5,12,31))) - MONTH(MAX($I$2, DATE(Initialisatie!$C$5,1,1))) + 1))
    ) / 12
)</f>
        <v>4624.03</v>
      </c>
    </row>
    <row r="97" spans="1:12" x14ac:dyDescent="0.45">
      <c r="A97" s="989"/>
      <c r="B97" s="35" t="s">
        <v>107</v>
      </c>
      <c r="C97" s="35">
        <v>11</v>
      </c>
      <c r="D97" s="35" t="s">
        <v>206</v>
      </c>
      <c r="E97">
        <v>4395.55</v>
      </c>
      <c r="F97">
        <v>4450.5</v>
      </c>
      <c r="G97">
        <v>4610.72</v>
      </c>
      <c r="H97">
        <v>4781.3100000000004</v>
      </c>
      <c r="I97">
        <v>4943.88</v>
      </c>
      <c r="K97">
        <f>IF(
    OR(
        AND(MAX(0, MIN($E$1, DATE(Initialisatie!$C$5,12,31)) - MAX($E$2, DATE(Initialisatie!$C$5,1,1)) + 1) &gt; 0,IFERROR(VALUE($E97),0)=0),
        AND(MAX(0, MIN($F$1, DATE(Initialisatie!$C$5,12,31)) - MAX($F$2, DATE(Initialisatie!$C$5,1,1)) + 1) &gt; 0,IFERROR(VALUE($F97),0)=0),
        AND(MAX(0, MIN($G$1, DATE(Initialisatie!$C$5,12,31)) - MAX($G$2, DATE(Initialisatie!$C$5,1,1)) + 1) &gt; 0,IFERROR(VALUE($G97),0)=0),
        AND(MAX(0, MIN($H$1, DATE(Initialisatie!$C$5,12,31)) - MAX($H$2, DATE(Initialisatie!$C$5,1,1)) + 1) &gt; 0,IFERROR(VALUE($H97),0)=0),
        AND(MAX(0, MIN($I$1, DATE(Initialisatie!$C$5,12,31)) - MAX($I$2, DATE(Initialisatie!$C$5,1,1)) + 1) &gt; 0,IFERROR(VALUE($I97),0)=0)
    ),
    0,
    SUM(
        IFERROR(VALUE($E97),0) * MAX(0, MIN($E$1, DATE(Initialisatie!$C$5,12,31)) - MAX($E$2, DATE(Initialisatie!$C$5,1,1)) + 1),
        IFERROR(VALUE($F97),0) * MAX(0, MIN($F$1, DATE(Initialisatie!$C$5,12,31)) - MAX($F$2, DATE(Initialisatie!$C$5,1,1)) + 1),
        IFERROR(VALUE($G97),0) * MAX(0, MIN($G$1, DATE(Initialisatie!$C$5,12,31)) - MAX($G$2, DATE(Initialisatie!$C$5,1,1)) + 1),
        IFERROR(VALUE($H97),0) * MAX(0, MIN($H$1, DATE(Initialisatie!$C$5,12,31)) - MAX($H$2, DATE(Initialisatie!$C$5,1,1)) + 1),
        IFERROR(VALUE($I97),0) * MAX(0, MIN($I$1, DATE(Initialisatie!$C$5,12,31)) - MAX($I$2, DATE(Initialisatie!$C$5,1,1)) + 1)
    ) / (DATE(Initialisatie!$C$5,12,31) - DATE(Initialisatie!$C$5,1,1) + 1)
)</f>
        <v>4781.3100000000004</v>
      </c>
      <c r="L97">
        <f>IF(
    OR(
        AND(MAX(0, IF(MIN($E$1, DATE(Initialisatie!$C$5,12,31)) &lt; MAX($E$2, DATE(Initialisatie!$C$5,1,1)), 0, MONTH(MIN($E$1, DATE(Initialisatie!$C$5,12,31))) - MONTH(MAX($E$2, DATE(Initialisatie!$C$5,1,1))) + 1)) &lt;= 0, IFERROR(VALUE($E97),0)=0),
        AND(MAX(0, IF(MIN($F$1, DATE(Initialisatie!$C$5,12,31)) &lt; MAX($F$2, DATE(Initialisatie!$C$5,1,1)), 0, MONTH(MIN($F$1, DATE(Initialisatie!$C$5,12,31))) - MONTH(MAX($F$2, DATE(Initialisatie!$C$5,1,1))) + 1)) &lt;= 0, IFERROR(VALUE($F97),0)=0),
        AND(MAX(0, IF(MIN($G$1, DATE(Initialisatie!$C$5,12,31)) &lt; MAX($G$2, DATE(Initialisatie!$C$5,1,1)), 0, MONTH(MIN($G$1, DATE(Initialisatie!$C$5,12,31))) - MONTH(MAX($G$2, DATE(Initialisatie!$C$5,1,1))) + 1)) &lt;= 0, IFERROR(VALUE($G97),0)=0),
        AND(MAX(0, IF(MIN($H$1, DATE(Initialisatie!$C$5,12,31)) &lt; MAX($H$2, DATE(Initialisatie!$C$5,1,1)), 0, MONTH(MIN($H$1, DATE(Initialisatie!$C$5,12,31))) - MONTH(MAX($H$2, DATE(Initialisatie!$C$5,1,1))) + 1)) &lt;= 0, IFERROR(VALUE($H97),0)=0),
        AND(MAX(0, IF(MIN($I$1, DATE(Initialisatie!$C$5,12,31)) &lt; MAX($I$2, DATE(Initialisatie!$C$5,1,1)), 0, MONTH(MIN($I$1, DATE(Initialisatie!$C$5,12,31))) - MONTH(MAX($I$2, DATE(Initialisatie!$C$5,1,1))) + 1)) &lt;= 0, IFERROR(VALUE($I97),0)=0)
    ),
    0,
    SUM(
        IFERROR(VALUE($E97),0) * MAX(0, IF(MIN($E$1, DATE(Initialisatie!$C$5,12,31)) &lt; MAX($E$2, DATE(Initialisatie!$C$5,1,1)), 0, MONTH(MIN($E$1, DATE(Initialisatie!$C$5,12,31))) - MONTH(MAX($E$2, DATE(Initialisatie!$C$5,1,1))) + 1)),
        IFERROR(VALUE($F97),0) * MAX(0, IF(MIN($F$1, DATE(Initialisatie!$C$5,12,31)) &lt; MAX($F$2, DATE(Initialisatie!$C$5,1,1)), 0, MONTH(MIN($F$1, DATE(Initialisatie!$C$5,12,31))) - MONTH(MAX($F$2, DATE(Initialisatie!$C$5,1,1))) + 1)),
        IFERROR(VALUE($G97),0) * MAX(0, IF(MIN($G$1, DATE(Initialisatie!$C$5,12,31)) &lt; MAX($G$2, DATE(Initialisatie!$C$5,1,1)), 0, MONTH(MIN($G$1, DATE(Initialisatie!$C$5,12,31))) - MONTH(MAX($G$2, DATE(Initialisatie!$C$5,1,1))) + 1)),
        IFERROR(VALUE($H97),0) * MAX(0, IF(MIN($H$1, DATE(Initialisatie!$C$5,12,31)) &lt; MAX($H$2, DATE(Initialisatie!$C$5,1,1)), 0, MONTH(MIN($H$1, DATE(Initialisatie!$C$5,12,31))) - MONTH(MAX($H$2, DATE(Initialisatie!$C$5,1,1))) + 1)),
        IFERROR(VALUE($I97),0) * MAX(0, IF(MIN($I$1, DATE(Initialisatie!$C$5,12,31)) &lt; MAX($I$2, DATE(Initialisatie!$C$5,1,1)), 0, MONTH(MIN($I$1, DATE(Initialisatie!$C$5,12,31))) - MONTH(MAX($I$2, DATE(Initialisatie!$C$5,1,1))) + 1))
    ) / 12
)</f>
        <v>4781.3100000000004</v>
      </c>
    </row>
    <row r="98" spans="1:12" x14ac:dyDescent="0.45">
      <c r="A98" s="989"/>
      <c r="B98" s="35" t="s">
        <v>105</v>
      </c>
      <c r="C98" s="35">
        <v>12</v>
      </c>
      <c r="D98" s="35" t="s">
        <v>205</v>
      </c>
      <c r="E98">
        <v>4544.51</v>
      </c>
      <c r="F98">
        <v>4601.3100000000004</v>
      </c>
      <c r="G98">
        <v>4766.96</v>
      </c>
      <c r="H98">
        <v>4943.34</v>
      </c>
      <c r="I98">
        <v>5111.41</v>
      </c>
      <c r="K98">
        <f>IF(
    OR(
        AND(MAX(0, MIN($E$1, DATE(Initialisatie!$C$5,12,31)) - MAX($E$2, DATE(Initialisatie!$C$5,1,1)) + 1) &gt; 0,IFERROR(VALUE($E98),0)=0),
        AND(MAX(0, MIN($F$1, DATE(Initialisatie!$C$5,12,31)) - MAX($F$2, DATE(Initialisatie!$C$5,1,1)) + 1) &gt; 0,IFERROR(VALUE($F98),0)=0),
        AND(MAX(0, MIN($G$1, DATE(Initialisatie!$C$5,12,31)) - MAX($G$2, DATE(Initialisatie!$C$5,1,1)) + 1) &gt; 0,IFERROR(VALUE($G98),0)=0),
        AND(MAX(0, MIN($H$1, DATE(Initialisatie!$C$5,12,31)) - MAX($H$2, DATE(Initialisatie!$C$5,1,1)) + 1) &gt; 0,IFERROR(VALUE($H98),0)=0),
        AND(MAX(0, MIN($I$1, DATE(Initialisatie!$C$5,12,31)) - MAX($I$2, DATE(Initialisatie!$C$5,1,1)) + 1) &gt; 0,IFERROR(VALUE($I98),0)=0)
    ),
    0,
    SUM(
        IFERROR(VALUE($E98),0) * MAX(0, MIN($E$1, DATE(Initialisatie!$C$5,12,31)) - MAX($E$2, DATE(Initialisatie!$C$5,1,1)) + 1),
        IFERROR(VALUE($F98),0) * MAX(0, MIN($F$1, DATE(Initialisatie!$C$5,12,31)) - MAX($F$2, DATE(Initialisatie!$C$5,1,1)) + 1),
        IFERROR(VALUE($G98),0) * MAX(0, MIN($G$1, DATE(Initialisatie!$C$5,12,31)) - MAX($G$2, DATE(Initialisatie!$C$5,1,1)) + 1),
        IFERROR(VALUE($H98),0) * MAX(0, MIN($H$1, DATE(Initialisatie!$C$5,12,31)) - MAX($H$2, DATE(Initialisatie!$C$5,1,1)) + 1),
        IFERROR(VALUE($I98),0) * MAX(0, MIN($I$1, DATE(Initialisatie!$C$5,12,31)) - MAX($I$2, DATE(Initialisatie!$C$5,1,1)) + 1)
    ) / (DATE(Initialisatie!$C$5,12,31) - DATE(Initialisatie!$C$5,1,1) + 1)
)</f>
        <v>4943.34</v>
      </c>
      <c r="L98">
        <f>IF(
    OR(
        AND(MAX(0, IF(MIN($E$1, DATE(Initialisatie!$C$5,12,31)) &lt; MAX($E$2, DATE(Initialisatie!$C$5,1,1)), 0, MONTH(MIN($E$1, DATE(Initialisatie!$C$5,12,31))) - MONTH(MAX($E$2, DATE(Initialisatie!$C$5,1,1))) + 1)) &lt;= 0, IFERROR(VALUE($E98),0)=0),
        AND(MAX(0, IF(MIN($F$1, DATE(Initialisatie!$C$5,12,31)) &lt; MAX($F$2, DATE(Initialisatie!$C$5,1,1)), 0, MONTH(MIN($F$1, DATE(Initialisatie!$C$5,12,31))) - MONTH(MAX($F$2, DATE(Initialisatie!$C$5,1,1))) + 1)) &lt;= 0, IFERROR(VALUE($F98),0)=0),
        AND(MAX(0, IF(MIN($G$1, DATE(Initialisatie!$C$5,12,31)) &lt; MAX($G$2, DATE(Initialisatie!$C$5,1,1)), 0, MONTH(MIN($G$1, DATE(Initialisatie!$C$5,12,31))) - MONTH(MAX($G$2, DATE(Initialisatie!$C$5,1,1))) + 1)) &lt;= 0, IFERROR(VALUE($G98),0)=0),
        AND(MAX(0, IF(MIN($H$1, DATE(Initialisatie!$C$5,12,31)) &lt; MAX($H$2, DATE(Initialisatie!$C$5,1,1)), 0, MONTH(MIN($H$1, DATE(Initialisatie!$C$5,12,31))) - MONTH(MAX($H$2, DATE(Initialisatie!$C$5,1,1))) + 1)) &lt;= 0, IFERROR(VALUE($H98),0)=0),
        AND(MAX(0, IF(MIN($I$1, DATE(Initialisatie!$C$5,12,31)) &lt; MAX($I$2, DATE(Initialisatie!$C$5,1,1)), 0, MONTH(MIN($I$1, DATE(Initialisatie!$C$5,12,31))) - MONTH(MAX($I$2, DATE(Initialisatie!$C$5,1,1))) + 1)) &lt;= 0, IFERROR(VALUE($I98),0)=0)
    ),
    0,
    SUM(
        IFERROR(VALUE($E98),0) * MAX(0, IF(MIN($E$1, DATE(Initialisatie!$C$5,12,31)) &lt; MAX($E$2, DATE(Initialisatie!$C$5,1,1)), 0, MONTH(MIN($E$1, DATE(Initialisatie!$C$5,12,31))) - MONTH(MAX($E$2, DATE(Initialisatie!$C$5,1,1))) + 1)),
        IFERROR(VALUE($F98),0) * MAX(0, IF(MIN($F$1, DATE(Initialisatie!$C$5,12,31)) &lt; MAX($F$2, DATE(Initialisatie!$C$5,1,1)), 0, MONTH(MIN($F$1, DATE(Initialisatie!$C$5,12,31))) - MONTH(MAX($F$2, DATE(Initialisatie!$C$5,1,1))) + 1)),
        IFERROR(VALUE($G98),0) * MAX(0, IF(MIN($G$1, DATE(Initialisatie!$C$5,12,31)) &lt; MAX($G$2, DATE(Initialisatie!$C$5,1,1)), 0, MONTH(MIN($G$1, DATE(Initialisatie!$C$5,12,31))) - MONTH(MAX($G$2, DATE(Initialisatie!$C$5,1,1))) + 1)),
        IFERROR(VALUE($H98),0) * MAX(0, IF(MIN($H$1, DATE(Initialisatie!$C$5,12,31)) &lt; MAX($H$2, DATE(Initialisatie!$C$5,1,1)), 0, MONTH(MIN($H$1, DATE(Initialisatie!$C$5,12,31))) - MONTH(MAX($H$2, DATE(Initialisatie!$C$5,1,1))) + 1)),
        IFERROR(VALUE($I98),0) * MAX(0, IF(MIN($I$1, DATE(Initialisatie!$C$5,12,31)) &lt; MAX($I$2, DATE(Initialisatie!$C$5,1,1)), 0, MONTH(MIN($I$1, DATE(Initialisatie!$C$5,12,31))) - MONTH(MAX($I$2, DATE(Initialisatie!$C$5,1,1))) + 1))
    ) / 12
)</f>
        <v>4943.34</v>
      </c>
    </row>
    <row r="99" spans="1:12" x14ac:dyDescent="0.45">
      <c r="A99" s="989"/>
      <c r="B99" s="35" t="s">
        <v>103</v>
      </c>
      <c r="C99" s="35">
        <v>13</v>
      </c>
      <c r="D99" s="35" t="s">
        <v>204</v>
      </c>
      <c r="E99">
        <v>0</v>
      </c>
      <c r="F99">
        <v>0</v>
      </c>
      <c r="G99">
        <v>0</v>
      </c>
      <c r="H99">
        <v>0</v>
      </c>
      <c r="I99">
        <v>0</v>
      </c>
      <c r="K99">
        <f>IF(
    OR(
        AND(MAX(0, MIN($E$1, DATE(Initialisatie!$C$5,12,31)) - MAX($E$2, DATE(Initialisatie!$C$5,1,1)) + 1) &gt; 0,IFERROR(VALUE($E99),0)=0),
        AND(MAX(0, MIN($F$1, DATE(Initialisatie!$C$5,12,31)) - MAX($F$2, DATE(Initialisatie!$C$5,1,1)) + 1) &gt; 0,IFERROR(VALUE($F99),0)=0),
        AND(MAX(0, MIN($G$1, DATE(Initialisatie!$C$5,12,31)) - MAX($G$2, DATE(Initialisatie!$C$5,1,1)) + 1) &gt; 0,IFERROR(VALUE($G99),0)=0),
        AND(MAX(0, MIN($H$1, DATE(Initialisatie!$C$5,12,31)) - MAX($H$2, DATE(Initialisatie!$C$5,1,1)) + 1) &gt; 0,IFERROR(VALUE($H99),0)=0),
        AND(MAX(0, MIN($I$1, DATE(Initialisatie!$C$5,12,31)) - MAX($I$2, DATE(Initialisatie!$C$5,1,1)) + 1) &gt; 0,IFERROR(VALUE($I99),0)=0)
    ),
    0,
    SUM(
        IFERROR(VALUE($E99),0) * MAX(0, MIN($E$1, DATE(Initialisatie!$C$5,12,31)) - MAX($E$2, DATE(Initialisatie!$C$5,1,1)) + 1),
        IFERROR(VALUE($F99),0) * MAX(0, MIN($F$1, DATE(Initialisatie!$C$5,12,31)) - MAX($F$2, DATE(Initialisatie!$C$5,1,1)) + 1),
        IFERROR(VALUE($G99),0) * MAX(0, MIN($G$1, DATE(Initialisatie!$C$5,12,31)) - MAX($G$2, DATE(Initialisatie!$C$5,1,1)) + 1),
        IFERROR(VALUE($H99),0) * MAX(0, MIN($H$1, DATE(Initialisatie!$C$5,12,31)) - MAX($H$2, DATE(Initialisatie!$C$5,1,1)) + 1),
        IFERROR(VALUE($I99),0) * MAX(0, MIN($I$1, DATE(Initialisatie!$C$5,12,31)) - MAX($I$2, DATE(Initialisatie!$C$5,1,1)) + 1)
    ) / (DATE(Initialisatie!$C$5,12,31) - DATE(Initialisatie!$C$5,1,1) + 1)
)</f>
        <v>0</v>
      </c>
      <c r="L99">
        <f>IF(
    OR(
        AND(MAX(0, IF(MIN($E$1, DATE(Initialisatie!$C$5,12,31)) &lt; MAX($E$2, DATE(Initialisatie!$C$5,1,1)), 0, MONTH(MIN($E$1, DATE(Initialisatie!$C$5,12,31))) - MONTH(MAX($E$2, DATE(Initialisatie!$C$5,1,1))) + 1)) &lt;= 0, IFERROR(VALUE($E99),0)=0),
        AND(MAX(0, IF(MIN($F$1, DATE(Initialisatie!$C$5,12,31)) &lt; MAX($F$2, DATE(Initialisatie!$C$5,1,1)), 0, MONTH(MIN($F$1, DATE(Initialisatie!$C$5,12,31))) - MONTH(MAX($F$2, DATE(Initialisatie!$C$5,1,1))) + 1)) &lt;= 0, IFERROR(VALUE($F99),0)=0),
        AND(MAX(0, IF(MIN($G$1, DATE(Initialisatie!$C$5,12,31)) &lt; MAX($G$2, DATE(Initialisatie!$C$5,1,1)), 0, MONTH(MIN($G$1, DATE(Initialisatie!$C$5,12,31))) - MONTH(MAX($G$2, DATE(Initialisatie!$C$5,1,1))) + 1)) &lt;= 0, IFERROR(VALUE($G99),0)=0),
        AND(MAX(0, IF(MIN($H$1, DATE(Initialisatie!$C$5,12,31)) &lt; MAX($H$2, DATE(Initialisatie!$C$5,1,1)), 0, MONTH(MIN($H$1, DATE(Initialisatie!$C$5,12,31))) - MONTH(MAX($H$2, DATE(Initialisatie!$C$5,1,1))) + 1)) &lt;= 0, IFERROR(VALUE($H99),0)=0),
        AND(MAX(0, IF(MIN($I$1, DATE(Initialisatie!$C$5,12,31)) &lt; MAX($I$2, DATE(Initialisatie!$C$5,1,1)), 0, MONTH(MIN($I$1, DATE(Initialisatie!$C$5,12,31))) - MONTH(MAX($I$2, DATE(Initialisatie!$C$5,1,1))) + 1)) &lt;= 0, IFERROR(VALUE($I99),0)=0)
    ),
    0,
    SUM(
        IFERROR(VALUE($E99),0) * MAX(0, IF(MIN($E$1, DATE(Initialisatie!$C$5,12,31)) &lt; MAX($E$2, DATE(Initialisatie!$C$5,1,1)), 0, MONTH(MIN($E$1, DATE(Initialisatie!$C$5,12,31))) - MONTH(MAX($E$2, DATE(Initialisatie!$C$5,1,1))) + 1)),
        IFERROR(VALUE($F99),0) * MAX(0, IF(MIN($F$1, DATE(Initialisatie!$C$5,12,31)) &lt; MAX($F$2, DATE(Initialisatie!$C$5,1,1)), 0, MONTH(MIN($F$1, DATE(Initialisatie!$C$5,12,31))) - MONTH(MAX($F$2, DATE(Initialisatie!$C$5,1,1))) + 1)),
        IFERROR(VALUE($G99),0) * MAX(0, IF(MIN($G$1, DATE(Initialisatie!$C$5,12,31)) &lt; MAX($G$2, DATE(Initialisatie!$C$5,1,1)), 0, MONTH(MIN($G$1, DATE(Initialisatie!$C$5,12,31))) - MONTH(MAX($G$2, DATE(Initialisatie!$C$5,1,1))) + 1)),
        IFERROR(VALUE($H99),0) * MAX(0, IF(MIN($H$1, DATE(Initialisatie!$C$5,12,31)) &lt; MAX($H$2, DATE(Initialisatie!$C$5,1,1)), 0, MONTH(MIN($H$1, DATE(Initialisatie!$C$5,12,31))) - MONTH(MAX($H$2, DATE(Initialisatie!$C$5,1,1))) + 1)),
        IFERROR(VALUE($I99),0) * MAX(0, IF(MIN($I$1, DATE(Initialisatie!$C$5,12,31)) &lt; MAX($I$2, DATE(Initialisatie!$C$5,1,1)), 0, MONTH(MIN($I$1, DATE(Initialisatie!$C$5,12,31))) - MONTH(MAX($I$2, DATE(Initialisatie!$C$5,1,1))) + 1))
    ) / 12
)</f>
        <v>0</v>
      </c>
    </row>
    <row r="100" spans="1:12" x14ac:dyDescent="0.45">
      <c r="A100" s="989"/>
      <c r="B100" s="35" t="s">
        <v>531</v>
      </c>
      <c r="C100" s="35">
        <v>14</v>
      </c>
      <c r="D100" s="35" t="s">
        <v>195</v>
      </c>
      <c r="E100">
        <v>4699.25</v>
      </c>
      <c r="F100">
        <v>4757.99</v>
      </c>
      <c r="G100">
        <v>4929.28</v>
      </c>
      <c r="H100">
        <v>5111.66</v>
      </c>
      <c r="I100">
        <v>5285.46</v>
      </c>
      <c r="K100">
        <f>IF(
    OR(
        AND(MAX(0, MIN($E$1, DATE(Initialisatie!$C$5,12,31)) - MAX($E$2, DATE(Initialisatie!$C$5,1,1)) + 1) &gt; 0,IFERROR(VALUE($E100),0)=0),
        AND(MAX(0, MIN($F$1, DATE(Initialisatie!$C$5,12,31)) - MAX($F$2, DATE(Initialisatie!$C$5,1,1)) + 1) &gt; 0,IFERROR(VALUE($F100),0)=0),
        AND(MAX(0, MIN($G$1, DATE(Initialisatie!$C$5,12,31)) - MAX($G$2, DATE(Initialisatie!$C$5,1,1)) + 1) &gt; 0,IFERROR(VALUE($G100),0)=0),
        AND(MAX(0, MIN($H$1, DATE(Initialisatie!$C$5,12,31)) - MAX($H$2, DATE(Initialisatie!$C$5,1,1)) + 1) &gt; 0,IFERROR(VALUE($H100),0)=0),
        AND(MAX(0, MIN($I$1, DATE(Initialisatie!$C$5,12,31)) - MAX($I$2, DATE(Initialisatie!$C$5,1,1)) + 1) &gt; 0,IFERROR(VALUE($I100),0)=0)
    ),
    0,
    SUM(
        IFERROR(VALUE($E100),0) * MAX(0, MIN($E$1, DATE(Initialisatie!$C$5,12,31)) - MAX($E$2, DATE(Initialisatie!$C$5,1,1)) + 1),
        IFERROR(VALUE($F100),0) * MAX(0, MIN($F$1, DATE(Initialisatie!$C$5,12,31)) - MAX($F$2, DATE(Initialisatie!$C$5,1,1)) + 1),
        IFERROR(VALUE($G100),0) * MAX(0, MIN($G$1, DATE(Initialisatie!$C$5,12,31)) - MAX($G$2, DATE(Initialisatie!$C$5,1,1)) + 1),
        IFERROR(VALUE($H100),0) * MAX(0, MIN($H$1, DATE(Initialisatie!$C$5,12,31)) - MAX($H$2, DATE(Initialisatie!$C$5,1,1)) + 1),
        IFERROR(VALUE($I100),0) * MAX(0, MIN($I$1, DATE(Initialisatie!$C$5,12,31)) - MAX($I$2, DATE(Initialisatie!$C$5,1,1)) + 1)
    ) / (DATE(Initialisatie!$C$5,12,31) - DATE(Initialisatie!$C$5,1,1) + 1)
)</f>
        <v>5111.66</v>
      </c>
      <c r="L100">
        <f>IF(
    OR(
        AND(MAX(0, IF(MIN($E$1, DATE(Initialisatie!$C$5,12,31)) &lt; MAX($E$2, DATE(Initialisatie!$C$5,1,1)), 0, MONTH(MIN($E$1, DATE(Initialisatie!$C$5,12,31))) - MONTH(MAX($E$2, DATE(Initialisatie!$C$5,1,1))) + 1)) &lt;= 0, IFERROR(VALUE($E100),0)=0),
        AND(MAX(0, IF(MIN($F$1, DATE(Initialisatie!$C$5,12,31)) &lt; MAX($F$2, DATE(Initialisatie!$C$5,1,1)), 0, MONTH(MIN($F$1, DATE(Initialisatie!$C$5,12,31))) - MONTH(MAX($F$2, DATE(Initialisatie!$C$5,1,1))) + 1)) &lt;= 0, IFERROR(VALUE($F100),0)=0),
        AND(MAX(0, IF(MIN($G$1, DATE(Initialisatie!$C$5,12,31)) &lt; MAX($G$2, DATE(Initialisatie!$C$5,1,1)), 0, MONTH(MIN($G$1, DATE(Initialisatie!$C$5,12,31))) - MONTH(MAX($G$2, DATE(Initialisatie!$C$5,1,1))) + 1)) &lt;= 0, IFERROR(VALUE($G100),0)=0),
        AND(MAX(0, IF(MIN($H$1, DATE(Initialisatie!$C$5,12,31)) &lt; MAX($H$2, DATE(Initialisatie!$C$5,1,1)), 0, MONTH(MIN($H$1, DATE(Initialisatie!$C$5,12,31))) - MONTH(MAX($H$2, DATE(Initialisatie!$C$5,1,1))) + 1)) &lt;= 0, IFERROR(VALUE($H100),0)=0),
        AND(MAX(0, IF(MIN($I$1, DATE(Initialisatie!$C$5,12,31)) &lt; MAX($I$2, DATE(Initialisatie!$C$5,1,1)), 0, MONTH(MIN($I$1, DATE(Initialisatie!$C$5,12,31))) - MONTH(MAX($I$2, DATE(Initialisatie!$C$5,1,1))) + 1)) &lt;= 0, IFERROR(VALUE($I100),0)=0)
    ),
    0,
    SUM(
        IFERROR(VALUE($E100),0) * MAX(0, IF(MIN($E$1, DATE(Initialisatie!$C$5,12,31)) &lt; MAX($E$2, DATE(Initialisatie!$C$5,1,1)), 0, MONTH(MIN($E$1, DATE(Initialisatie!$C$5,12,31))) - MONTH(MAX($E$2, DATE(Initialisatie!$C$5,1,1))) + 1)),
        IFERROR(VALUE($F100),0) * MAX(0, IF(MIN($F$1, DATE(Initialisatie!$C$5,12,31)) &lt; MAX($F$2, DATE(Initialisatie!$C$5,1,1)), 0, MONTH(MIN($F$1, DATE(Initialisatie!$C$5,12,31))) - MONTH(MAX($F$2, DATE(Initialisatie!$C$5,1,1))) + 1)),
        IFERROR(VALUE($G100),0) * MAX(0, IF(MIN($G$1, DATE(Initialisatie!$C$5,12,31)) &lt; MAX($G$2, DATE(Initialisatie!$C$5,1,1)), 0, MONTH(MIN($G$1, DATE(Initialisatie!$C$5,12,31))) - MONTH(MAX($G$2, DATE(Initialisatie!$C$5,1,1))) + 1)),
        IFERROR(VALUE($H100),0) * MAX(0, IF(MIN($H$1, DATE(Initialisatie!$C$5,12,31)) &lt; MAX($H$2, DATE(Initialisatie!$C$5,1,1)), 0, MONTH(MIN($H$1, DATE(Initialisatie!$C$5,12,31))) - MONTH(MAX($H$2, DATE(Initialisatie!$C$5,1,1))) + 1)),
        IFERROR(VALUE($I100),0) * MAX(0, IF(MIN($I$1, DATE(Initialisatie!$C$5,12,31)) &lt; MAX($I$2, DATE(Initialisatie!$C$5,1,1)), 0, MONTH(MIN($I$1, DATE(Initialisatie!$C$5,12,31))) - MONTH(MAX($I$2, DATE(Initialisatie!$C$5,1,1))) + 1))
    ) / 12
)</f>
        <v>5111.66</v>
      </c>
    </row>
    <row r="101" spans="1:12" x14ac:dyDescent="0.45">
      <c r="A101" s="990"/>
      <c r="B101" s="35" t="s">
        <v>533</v>
      </c>
      <c r="C101" s="35">
        <v>15</v>
      </c>
      <c r="D101" s="35" t="s">
        <v>194</v>
      </c>
      <c r="E101">
        <v>4859.08</v>
      </c>
      <c r="F101">
        <v>4919.8100000000004</v>
      </c>
      <c r="G101">
        <v>5096.93</v>
      </c>
      <c r="H101">
        <v>5285.51</v>
      </c>
      <c r="I101">
        <v>5465.22</v>
      </c>
      <c r="K101">
        <f>IF(
    OR(
        AND(MAX(0, MIN($E$1, DATE(Initialisatie!$C$5,12,31)) - MAX($E$2, DATE(Initialisatie!$C$5,1,1)) + 1) &gt; 0,IFERROR(VALUE($E101),0)=0),
        AND(MAX(0, MIN($F$1, DATE(Initialisatie!$C$5,12,31)) - MAX($F$2, DATE(Initialisatie!$C$5,1,1)) + 1) &gt; 0,IFERROR(VALUE($F101),0)=0),
        AND(MAX(0, MIN($G$1, DATE(Initialisatie!$C$5,12,31)) - MAX($G$2, DATE(Initialisatie!$C$5,1,1)) + 1) &gt; 0,IFERROR(VALUE($G101),0)=0),
        AND(MAX(0, MIN($H$1, DATE(Initialisatie!$C$5,12,31)) - MAX($H$2, DATE(Initialisatie!$C$5,1,1)) + 1) &gt; 0,IFERROR(VALUE($H101),0)=0),
        AND(MAX(0, MIN($I$1, DATE(Initialisatie!$C$5,12,31)) - MAX($I$2, DATE(Initialisatie!$C$5,1,1)) + 1) &gt; 0,IFERROR(VALUE($I101),0)=0)
    ),
    0,
    SUM(
        IFERROR(VALUE($E101),0) * MAX(0, MIN($E$1, DATE(Initialisatie!$C$5,12,31)) - MAX($E$2, DATE(Initialisatie!$C$5,1,1)) + 1),
        IFERROR(VALUE($F101),0) * MAX(0, MIN($F$1, DATE(Initialisatie!$C$5,12,31)) - MAX($F$2, DATE(Initialisatie!$C$5,1,1)) + 1),
        IFERROR(VALUE($G101),0) * MAX(0, MIN($G$1, DATE(Initialisatie!$C$5,12,31)) - MAX($G$2, DATE(Initialisatie!$C$5,1,1)) + 1),
        IFERROR(VALUE($H101),0) * MAX(0, MIN($H$1, DATE(Initialisatie!$C$5,12,31)) - MAX($H$2, DATE(Initialisatie!$C$5,1,1)) + 1),
        IFERROR(VALUE($I101),0) * MAX(0, MIN($I$1, DATE(Initialisatie!$C$5,12,31)) - MAX($I$2, DATE(Initialisatie!$C$5,1,1)) + 1)
    ) / (DATE(Initialisatie!$C$5,12,31) - DATE(Initialisatie!$C$5,1,1) + 1)
)</f>
        <v>5285.51</v>
      </c>
      <c r="L101">
        <f>IF(
    OR(
        AND(MAX(0, IF(MIN($E$1, DATE(Initialisatie!$C$5,12,31)) &lt; MAX($E$2, DATE(Initialisatie!$C$5,1,1)), 0, MONTH(MIN($E$1, DATE(Initialisatie!$C$5,12,31))) - MONTH(MAX($E$2, DATE(Initialisatie!$C$5,1,1))) + 1)) &lt;= 0, IFERROR(VALUE($E101),0)=0),
        AND(MAX(0, IF(MIN($F$1, DATE(Initialisatie!$C$5,12,31)) &lt; MAX($F$2, DATE(Initialisatie!$C$5,1,1)), 0, MONTH(MIN($F$1, DATE(Initialisatie!$C$5,12,31))) - MONTH(MAX($F$2, DATE(Initialisatie!$C$5,1,1))) + 1)) &lt;= 0, IFERROR(VALUE($F101),0)=0),
        AND(MAX(0, IF(MIN($G$1, DATE(Initialisatie!$C$5,12,31)) &lt; MAX($G$2, DATE(Initialisatie!$C$5,1,1)), 0, MONTH(MIN($G$1, DATE(Initialisatie!$C$5,12,31))) - MONTH(MAX($G$2, DATE(Initialisatie!$C$5,1,1))) + 1)) &lt;= 0, IFERROR(VALUE($G101),0)=0),
        AND(MAX(0, IF(MIN($H$1, DATE(Initialisatie!$C$5,12,31)) &lt; MAX($H$2, DATE(Initialisatie!$C$5,1,1)), 0, MONTH(MIN($H$1, DATE(Initialisatie!$C$5,12,31))) - MONTH(MAX($H$2, DATE(Initialisatie!$C$5,1,1))) + 1)) &lt;= 0, IFERROR(VALUE($H101),0)=0),
        AND(MAX(0, IF(MIN($I$1, DATE(Initialisatie!$C$5,12,31)) &lt; MAX($I$2, DATE(Initialisatie!$C$5,1,1)), 0, MONTH(MIN($I$1, DATE(Initialisatie!$C$5,12,31))) - MONTH(MAX($I$2, DATE(Initialisatie!$C$5,1,1))) + 1)) &lt;= 0, IFERROR(VALUE($I101),0)=0)
    ),
    0,
    SUM(
        IFERROR(VALUE($E101),0) * MAX(0, IF(MIN($E$1, DATE(Initialisatie!$C$5,12,31)) &lt; MAX($E$2, DATE(Initialisatie!$C$5,1,1)), 0, MONTH(MIN($E$1, DATE(Initialisatie!$C$5,12,31))) - MONTH(MAX($E$2, DATE(Initialisatie!$C$5,1,1))) + 1)),
        IFERROR(VALUE($F101),0) * MAX(0, IF(MIN($F$1, DATE(Initialisatie!$C$5,12,31)) &lt; MAX($F$2, DATE(Initialisatie!$C$5,1,1)), 0, MONTH(MIN($F$1, DATE(Initialisatie!$C$5,12,31))) - MONTH(MAX($F$2, DATE(Initialisatie!$C$5,1,1))) + 1)),
        IFERROR(VALUE($G101),0) * MAX(0, IF(MIN($G$1, DATE(Initialisatie!$C$5,12,31)) &lt; MAX($G$2, DATE(Initialisatie!$C$5,1,1)), 0, MONTH(MIN($G$1, DATE(Initialisatie!$C$5,12,31))) - MONTH(MAX($G$2, DATE(Initialisatie!$C$5,1,1))) + 1)),
        IFERROR(VALUE($H101),0) * MAX(0, IF(MIN($H$1, DATE(Initialisatie!$C$5,12,31)) &lt; MAX($H$2, DATE(Initialisatie!$C$5,1,1)), 0, MONTH(MIN($H$1, DATE(Initialisatie!$C$5,12,31))) - MONTH(MAX($H$2, DATE(Initialisatie!$C$5,1,1))) + 1)),
        IFERROR(VALUE($I101),0) * MAX(0, IF(MIN($I$1, DATE(Initialisatie!$C$5,12,31)) &lt; MAX($I$2, DATE(Initialisatie!$C$5,1,1)), 0, MONTH(MIN($I$1, DATE(Initialisatie!$C$5,12,31))) - MONTH(MAX($I$2, DATE(Initialisatie!$C$5,1,1))) + 1))
    ) / 12
)</f>
        <v>5285.51</v>
      </c>
    </row>
    <row r="102" spans="1:12" x14ac:dyDescent="0.45">
      <c r="A102" s="988">
        <v>10</v>
      </c>
      <c r="B102" s="35" t="s">
        <v>113</v>
      </c>
      <c r="C102" s="35">
        <v>0</v>
      </c>
      <c r="D102" s="35" t="s">
        <v>193</v>
      </c>
      <c r="E102">
        <v>3310.84</v>
      </c>
      <c r="F102">
        <v>3352.22</v>
      </c>
      <c r="G102">
        <v>3472.9</v>
      </c>
      <c r="H102">
        <v>3601.4</v>
      </c>
      <c r="I102">
        <v>3723.85</v>
      </c>
      <c r="K102">
        <f>IF(
    OR(
        AND(MAX(0, MIN($E$1, DATE(Initialisatie!$C$5,12,31)) - MAX($E$2, DATE(Initialisatie!$C$5,1,1)) + 1) &gt; 0,IFERROR(VALUE($E102),0)=0),
        AND(MAX(0, MIN($F$1, DATE(Initialisatie!$C$5,12,31)) - MAX($F$2, DATE(Initialisatie!$C$5,1,1)) + 1) &gt; 0,IFERROR(VALUE($F102),0)=0),
        AND(MAX(0, MIN($G$1, DATE(Initialisatie!$C$5,12,31)) - MAX($G$2, DATE(Initialisatie!$C$5,1,1)) + 1) &gt; 0,IFERROR(VALUE($G102),0)=0),
        AND(MAX(0, MIN($H$1, DATE(Initialisatie!$C$5,12,31)) - MAX($H$2, DATE(Initialisatie!$C$5,1,1)) + 1) &gt; 0,IFERROR(VALUE($H102),0)=0),
        AND(MAX(0, MIN($I$1, DATE(Initialisatie!$C$5,12,31)) - MAX($I$2, DATE(Initialisatie!$C$5,1,1)) + 1) &gt; 0,IFERROR(VALUE($I102),0)=0)
    ),
    0,
    SUM(
        IFERROR(VALUE($E102),0) * MAX(0, MIN($E$1, DATE(Initialisatie!$C$5,12,31)) - MAX($E$2, DATE(Initialisatie!$C$5,1,1)) + 1),
        IFERROR(VALUE($F102),0) * MAX(0, MIN($F$1, DATE(Initialisatie!$C$5,12,31)) - MAX($F$2, DATE(Initialisatie!$C$5,1,1)) + 1),
        IFERROR(VALUE($G102),0) * MAX(0, MIN($G$1, DATE(Initialisatie!$C$5,12,31)) - MAX($G$2, DATE(Initialisatie!$C$5,1,1)) + 1),
        IFERROR(VALUE($H102),0) * MAX(0, MIN($H$1, DATE(Initialisatie!$C$5,12,31)) - MAX($H$2, DATE(Initialisatie!$C$5,1,1)) + 1),
        IFERROR(VALUE($I102),0) * MAX(0, MIN($I$1, DATE(Initialisatie!$C$5,12,31)) - MAX($I$2, DATE(Initialisatie!$C$5,1,1)) + 1)
    ) / (DATE(Initialisatie!$C$5,12,31) - DATE(Initialisatie!$C$5,1,1) + 1)
)</f>
        <v>3601.4</v>
      </c>
      <c r="L102">
        <f>IF(
    OR(
        AND(MAX(0, IF(MIN($E$1, DATE(Initialisatie!$C$5,12,31)) &lt; MAX($E$2, DATE(Initialisatie!$C$5,1,1)), 0, MONTH(MIN($E$1, DATE(Initialisatie!$C$5,12,31))) - MONTH(MAX($E$2, DATE(Initialisatie!$C$5,1,1))) + 1)) &lt;= 0, IFERROR(VALUE($E102),0)=0),
        AND(MAX(0, IF(MIN($F$1, DATE(Initialisatie!$C$5,12,31)) &lt; MAX($F$2, DATE(Initialisatie!$C$5,1,1)), 0, MONTH(MIN($F$1, DATE(Initialisatie!$C$5,12,31))) - MONTH(MAX($F$2, DATE(Initialisatie!$C$5,1,1))) + 1)) &lt;= 0, IFERROR(VALUE($F102),0)=0),
        AND(MAX(0, IF(MIN($G$1, DATE(Initialisatie!$C$5,12,31)) &lt; MAX($G$2, DATE(Initialisatie!$C$5,1,1)), 0, MONTH(MIN($G$1, DATE(Initialisatie!$C$5,12,31))) - MONTH(MAX($G$2, DATE(Initialisatie!$C$5,1,1))) + 1)) &lt;= 0, IFERROR(VALUE($G102),0)=0),
        AND(MAX(0, IF(MIN($H$1, DATE(Initialisatie!$C$5,12,31)) &lt; MAX($H$2, DATE(Initialisatie!$C$5,1,1)), 0, MONTH(MIN($H$1, DATE(Initialisatie!$C$5,12,31))) - MONTH(MAX($H$2, DATE(Initialisatie!$C$5,1,1))) + 1)) &lt;= 0, IFERROR(VALUE($H102),0)=0),
        AND(MAX(0, IF(MIN($I$1, DATE(Initialisatie!$C$5,12,31)) &lt; MAX($I$2, DATE(Initialisatie!$C$5,1,1)), 0, MONTH(MIN($I$1, DATE(Initialisatie!$C$5,12,31))) - MONTH(MAX($I$2, DATE(Initialisatie!$C$5,1,1))) + 1)) &lt;= 0, IFERROR(VALUE($I102),0)=0)
    ),
    0,
    SUM(
        IFERROR(VALUE($E102),0) * MAX(0, IF(MIN($E$1, DATE(Initialisatie!$C$5,12,31)) &lt; MAX($E$2, DATE(Initialisatie!$C$5,1,1)), 0, MONTH(MIN($E$1, DATE(Initialisatie!$C$5,12,31))) - MONTH(MAX($E$2, DATE(Initialisatie!$C$5,1,1))) + 1)),
        IFERROR(VALUE($F102),0) * MAX(0, IF(MIN($F$1, DATE(Initialisatie!$C$5,12,31)) &lt; MAX($F$2, DATE(Initialisatie!$C$5,1,1)), 0, MONTH(MIN($F$1, DATE(Initialisatie!$C$5,12,31))) - MONTH(MAX($F$2, DATE(Initialisatie!$C$5,1,1))) + 1)),
        IFERROR(VALUE($G102),0) * MAX(0, IF(MIN($G$1, DATE(Initialisatie!$C$5,12,31)) &lt; MAX($G$2, DATE(Initialisatie!$C$5,1,1)), 0, MONTH(MIN($G$1, DATE(Initialisatie!$C$5,12,31))) - MONTH(MAX($G$2, DATE(Initialisatie!$C$5,1,1))) + 1)),
        IFERROR(VALUE($H102),0) * MAX(0, IF(MIN($H$1, DATE(Initialisatie!$C$5,12,31)) &lt; MAX($H$2, DATE(Initialisatie!$C$5,1,1)), 0, MONTH(MIN($H$1, DATE(Initialisatie!$C$5,12,31))) - MONTH(MAX($H$2, DATE(Initialisatie!$C$5,1,1))) + 1)),
        IFERROR(VALUE($I102),0) * MAX(0, IF(MIN($I$1, DATE(Initialisatie!$C$5,12,31)) &lt; MAX($I$2, DATE(Initialisatie!$C$5,1,1)), 0, MONTH(MIN($I$1, DATE(Initialisatie!$C$5,12,31))) - MONTH(MAX($I$2, DATE(Initialisatie!$C$5,1,1))) + 1))
    ) / 12
)</f>
        <v>3601.4</v>
      </c>
    </row>
    <row r="103" spans="1:12" x14ac:dyDescent="0.45">
      <c r="A103" s="989"/>
      <c r="B103" s="35" t="s">
        <v>111</v>
      </c>
      <c r="C103" s="35">
        <v>1</v>
      </c>
      <c r="D103" s="35" t="s">
        <v>192</v>
      </c>
      <c r="E103">
        <v>3424.89</v>
      </c>
      <c r="F103">
        <v>3467.7</v>
      </c>
      <c r="G103">
        <v>3592.54</v>
      </c>
      <c r="H103">
        <v>3725.47</v>
      </c>
      <c r="I103">
        <v>3852.13</v>
      </c>
      <c r="K103">
        <f>IF(
    OR(
        AND(MAX(0, MIN($E$1, DATE(Initialisatie!$C$5,12,31)) - MAX($E$2, DATE(Initialisatie!$C$5,1,1)) + 1) &gt; 0,IFERROR(VALUE($E103),0)=0),
        AND(MAX(0, MIN($F$1, DATE(Initialisatie!$C$5,12,31)) - MAX($F$2, DATE(Initialisatie!$C$5,1,1)) + 1) &gt; 0,IFERROR(VALUE($F103),0)=0),
        AND(MAX(0, MIN($G$1, DATE(Initialisatie!$C$5,12,31)) - MAX($G$2, DATE(Initialisatie!$C$5,1,1)) + 1) &gt; 0,IFERROR(VALUE($G103),0)=0),
        AND(MAX(0, MIN($H$1, DATE(Initialisatie!$C$5,12,31)) - MAX($H$2, DATE(Initialisatie!$C$5,1,1)) + 1) &gt; 0,IFERROR(VALUE($H103),0)=0),
        AND(MAX(0, MIN($I$1, DATE(Initialisatie!$C$5,12,31)) - MAX($I$2, DATE(Initialisatie!$C$5,1,1)) + 1) &gt; 0,IFERROR(VALUE($I103),0)=0)
    ),
    0,
    SUM(
        IFERROR(VALUE($E103),0) * MAX(0, MIN($E$1, DATE(Initialisatie!$C$5,12,31)) - MAX($E$2, DATE(Initialisatie!$C$5,1,1)) + 1),
        IFERROR(VALUE($F103),0) * MAX(0, MIN($F$1, DATE(Initialisatie!$C$5,12,31)) - MAX($F$2, DATE(Initialisatie!$C$5,1,1)) + 1),
        IFERROR(VALUE($G103),0) * MAX(0, MIN($G$1, DATE(Initialisatie!$C$5,12,31)) - MAX($G$2, DATE(Initialisatie!$C$5,1,1)) + 1),
        IFERROR(VALUE($H103),0) * MAX(0, MIN($H$1, DATE(Initialisatie!$C$5,12,31)) - MAX($H$2, DATE(Initialisatie!$C$5,1,1)) + 1),
        IFERROR(VALUE($I103),0) * MAX(0, MIN($I$1, DATE(Initialisatie!$C$5,12,31)) - MAX($I$2, DATE(Initialisatie!$C$5,1,1)) + 1)
    ) / (DATE(Initialisatie!$C$5,12,31) - DATE(Initialisatie!$C$5,1,1) + 1)
)</f>
        <v>3725.4699999999993</v>
      </c>
      <c r="L103">
        <f>IF(
    OR(
        AND(MAX(0, IF(MIN($E$1, DATE(Initialisatie!$C$5,12,31)) &lt; MAX($E$2, DATE(Initialisatie!$C$5,1,1)), 0, MONTH(MIN($E$1, DATE(Initialisatie!$C$5,12,31))) - MONTH(MAX($E$2, DATE(Initialisatie!$C$5,1,1))) + 1)) &lt;= 0, IFERROR(VALUE($E103),0)=0),
        AND(MAX(0, IF(MIN($F$1, DATE(Initialisatie!$C$5,12,31)) &lt; MAX($F$2, DATE(Initialisatie!$C$5,1,1)), 0, MONTH(MIN($F$1, DATE(Initialisatie!$C$5,12,31))) - MONTH(MAX($F$2, DATE(Initialisatie!$C$5,1,1))) + 1)) &lt;= 0, IFERROR(VALUE($F103),0)=0),
        AND(MAX(0, IF(MIN($G$1, DATE(Initialisatie!$C$5,12,31)) &lt; MAX($G$2, DATE(Initialisatie!$C$5,1,1)), 0, MONTH(MIN($G$1, DATE(Initialisatie!$C$5,12,31))) - MONTH(MAX($G$2, DATE(Initialisatie!$C$5,1,1))) + 1)) &lt;= 0, IFERROR(VALUE($G103),0)=0),
        AND(MAX(0, IF(MIN($H$1, DATE(Initialisatie!$C$5,12,31)) &lt; MAX($H$2, DATE(Initialisatie!$C$5,1,1)), 0, MONTH(MIN($H$1, DATE(Initialisatie!$C$5,12,31))) - MONTH(MAX($H$2, DATE(Initialisatie!$C$5,1,1))) + 1)) &lt;= 0, IFERROR(VALUE($H103),0)=0),
        AND(MAX(0, IF(MIN($I$1, DATE(Initialisatie!$C$5,12,31)) &lt; MAX($I$2, DATE(Initialisatie!$C$5,1,1)), 0, MONTH(MIN($I$1, DATE(Initialisatie!$C$5,12,31))) - MONTH(MAX($I$2, DATE(Initialisatie!$C$5,1,1))) + 1)) &lt;= 0, IFERROR(VALUE($I103),0)=0)
    ),
    0,
    SUM(
        IFERROR(VALUE($E103),0) * MAX(0, IF(MIN($E$1, DATE(Initialisatie!$C$5,12,31)) &lt; MAX($E$2, DATE(Initialisatie!$C$5,1,1)), 0, MONTH(MIN($E$1, DATE(Initialisatie!$C$5,12,31))) - MONTH(MAX($E$2, DATE(Initialisatie!$C$5,1,1))) + 1)),
        IFERROR(VALUE($F103),0) * MAX(0, IF(MIN($F$1, DATE(Initialisatie!$C$5,12,31)) &lt; MAX($F$2, DATE(Initialisatie!$C$5,1,1)), 0, MONTH(MIN($F$1, DATE(Initialisatie!$C$5,12,31))) - MONTH(MAX($F$2, DATE(Initialisatie!$C$5,1,1))) + 1)),
        IFERROR(VALUE($G103),0) * MAX(0, IF(MIN($G$1, DATE(Initialisatie!$C$5,12,31)) &lt; MAX($G$2, DATE(Initialisatie!$C$5,1,1)), 0, MONTH(MIN($G$1, DATE(Initialisatie!$C$5,12,31))) - MONTH(MAX($G$2, DATE(Initialisatie!$C$5,1,1))) + 1)),
        IFERROR(VALUE($H103),0) * MAX(0, IF(MIN($H$1, DATE(Initialisatie!$C$5,12,31)) &lt; MAX($H$2, DATE(Initialisatie!$C$5,1,1)), 0, MONTH(MIN($H$1, DATE(Initialisatie!$C$5,12,31))) - MONTH(MAX($H$2, DATE(Initialisatie!$C$5,1,1))) + 1)),
        IFERROR(VALUE($I103),0) * MAX(0, IF(MIN($I$1, DATE(Initialisatie!$C$5,12,31)) &lt; MAX($I$2, DATE(Initialisatie!$C$5,1,1)), 0, MONTH(MIN($I$1, DATE(Initialisatie!$C$5,12,31))) - MONTH(MAX($I$2, DATE(Initialisatie!$C$5,1,1))) + 1))
    ) / 12
)</f>
        <v>3725.47</v>
      </c>
    </row>
    <row r="104" spans="1:12" x14ac:dyDescent="0.45">
      <c r="A104" s="989"/>
      <c r="B104" s="35" t="s">
        <v>101</v>
      </c>
      <c r="C104" s="35">
        <v>2</v>
      </c>
      <c r="D104" s="35" t="s">
        <v>187</v>
      </c>
      <c r="E104">
        <v>3543.35</v>
      </c>
      <c r="F104">
        <v>3587.64</v>
      </c>
      <c r="G104">
        <v>3716.79</v>
      </c>
      <c r="H104">
        <v>3854.31</v>
      </c>
      <c r="I104">
        <v>3985.36</v>
      </c>
      <c r="K104">
        <f>IF(
    OR(
        AND(MAX(0, MIN($E$1, DATE(Initialisatie!$C$5,12,31)) - MAX($E$2, DATE(Initialisatie!$C$5,1,1)) + 1) &gt; 0,IFERROR(VALUE($E104),0)=0),
        AND(MAX(0, MIN($F$1, DATE(Initialisatie!$C$5,12,31)) - MAX($F$2, DATE(Initialisatie!$C$5,1,1)) + 1) &gt; 0,IFERROR(VALUE($F104),0)=0),
        AND(MAX(0, MIN($G$1, DATE(Initialisatie!$C$5,12,31)) - MAX($G$2, DATE(Initialisatie!$C$5,1,1)) + 1) &gt; 0,IFERROR(VALUE($G104),0)=0),
        AND(MAX(0, MIN($H$1, DATE(Initialisatie!$C$5,12,31)) - MAX($H$2, DATE(Initialisatie!$C$5,1,1)) + 1) &gt; 0,IFERROR(VALUE($H104),0)=0),
        AND(MAX(0, MIN($I$1, DATE(Initialisatie!$C$5,12,31)) - MAX($I$2, DATE(Initialisatie!$C$5,1,1)) + 1) &gt; 0,IFERROR(VALUE($I104),0)=0)
    ),
    0,
    SUM(
        IFERROR(VALUE($E104),0) * MAX(0, MIN($E$1, DATE(Initialisatie!$C$5,12,31)) - MAX($E$2, DATE(Initialisatie!$C$5,1,1)) + 1),
        IFERROR(VALUE($F104),0) * MAX(0, MIN($F$1, DATE(Initialisatie!$C$5,12,31)) - MAX($F$2, DATE(Initialisatie!$C$5,1,1)) + 1),
        IFERROR(VALUE($G104),0) * MAX(0, MIN($G$1, DATE(Initialisatie!$C$5,12,31)) - MAX($G$2, DATE(Initialisatie!$C$5,1,1)) + 1),
        IFERROR(VALUE($H104),0) * MAX(0, MIN($H$1, DATE(Initialisatie!$C$5,12,31)) - MAX($H$2, DATE(Initialisatie!$C$5,1,1)) + 1),
        IFERROR(VALUE($I104),0) * MAX(0, MIN($I$1, DATE(Initialisatie!$C$5,12,31)) - MAX($I$2, DATE(Initialisatie!$C$5,1,1)) + 1)
    ) / (DATE(Initialisatie!$C$5,12,31) - DATE(Initialisatie!$C$5,1,1) + 1)
)</f>
        <v>3854.31</v>
      </c>
      <c r="L104">
        <f>IF(
    OR(
        AND(MAX(0, IF(MIN($E$1, DATE(Initialisatie!$C$5,12,31)) &lt; MAX($E$2, DATE(Initialisatie!$C$5,1,1)), 0, MONTH(MIN($E$1, DATE(Initialisatie!$C$5,12,31))) - MONTH(MAX($E$2, DATE(Initialisatie!$C$5,1,1))) + 1)) &lt;= 0, IFERROR(VALUE($E104),0)=0),
        AND(MAX(0, IF(MIN($F$1, DATE(Initialisatie!$C$5,12,31)) &lt; MAX($F$2, DATE(Initialisatie!$C$5,1,1)), 0, MONTH(MIN($F$1, DATE(Initialisatie!$C$5,12,31))) - MONTH(MAX($F$2, DATE(Initialisatie!$C$5,1,1))) + 1)) &lt;= 0, IFERROR(VALUE($F104),0)=0),
        AND(MAX(0, IF(MIN($G$1, DATE(Initialisatie!$C$5,12,31)) &lt; MAX($G$2, DATE(Initialisatie!$C$5,1,1)), 0, MONTH(MIN($G$1, DATE(Initialisatie!$C$5,12,31))) - MONTH(MAX($G$2, DATE(Initialisatie!$C$5,1,1))) + 1)) &lt;= 0, IFERROR(VALUE($G104),0)=0),
        AND(MAX(0, IF(MIN($H$1, DATE(Initialisatie!$C$5,12,31)) &lt; MAX($H$2, DATE(Initialisatie!$C$5,1,1)), 0, MONTH(MIN($H$1, DATE(Initialisatie!$C$5,12,31))) - MONTH(MAX($H$2, DATE(Initialisatie!$C$5,1,1))) + 1)) &lt;= 0, IFERROR(VALUE($H104),0)=0),
        AND(MAX(0, IF(MIN($I$1, DATE(Initialisatie!$C$5,12,31)) &lt; MAX($I$2, DATE(Initialisatie!$C$5,1,1)), 0, MONTH(MIN($I$1, DATE(Initialisatie!$C$5,12,31))) - MONTH(MAX($I$2, DATE(Initialisatie!$C$5,1,1))) + 1)) &lt;= 0, IFERROR(VALUE($I104),0)=0)
    ),
    0,
    SUM(
        IFERROR(VALUE($E104),0) * MAX(0, IF(MIN($E$1, DATE(Initialisatie!$C$5,12,31)) &lt; MAX($E$2, DATE(Initialisatie!$C$5,1,1)), 0, MONTH(MIN($E$1, DATE(Initialisatie!$C$5,12,31))) - MONTH(MAX($E$2, DATE(Initialisatie!$C$5,1,1))) + 1)),
        IFERROR(VALUE($F104),0) * MAX(0, IF(MIN($F$1, DATE(Initialisatie!$C$5,12,31)) &lt; MAX($F$2, DATE(Initialisatie!$C$5,1,1)), 0, MONTH(MIN($F$1, DATE(Initialisatie!$C$5,12,31))) - MONTH(MAX($F$2, DATE(Initialisatie!$C$5,1,1))) + 1)),
        IFERROR(VALUE($G104),0) * MAX(0, IF(MIN($G$1, DATE(Initialisatie!$C$5,12,31)) &lt; MAX($G$2, DATE(Initialisatie!$C$5,1,1)), 0, MONTH(MIN($G$1, DATE(Initialisatie!$C$5,12,31))) - MONTH(MAX($G$2, DATE(Initialisatie!$C$5,1,1))) + 1)),
        IFERROR(VALUE($H104),0) * MAX(0, IF(MIN($H$1, DATE(Initialisatie!$C$5,12,31)) &lt; MAX($H$2, DATE(Initialisatie!$C$5,1,1)), 0, MONTH(MIN($H$1, DATE(Initialisatie!$C$5,12,31))) - MONTH(MAX($H$2, DATE(Initialisatie!$C$5,1,1))) + 1)),
        IFERROR(VALUE($I104),0) * MAX(0, IF(MIN($I$1, DATE(Initialisatie!$C$5,12,31)) &lt; MAX($I$2, DATE(Initialisatie!$C$5,1,1)), 0, MONTH(MIN($I$1, DATE(Initialisatie!$C$5,12,31))) - MONTH(MAX($I$2, DATE(Initialisatie!$C$5,1,1))) + 1))
    ) / 12
)</f>
        <v>3854.31</v>
      </c>
    </row>
    <row r="105" spans="1:12" x14ac:dyDescent="0.45">
      <c r="A105" s="989"/>
      <c r="B105" s="35" t="s">
        <v>99</v>
      </c>
      <c r="C105" s="35">
        <v>3</v>
      </c>
      <c r="D105" s="35" t="s">
        <v>186</v>
      </c>
      <c r="E105">
        <v>3665.38</v>
      </c>
      <c r="F105">
        <v>3711.19</v>
      </c>
      <c r="G105">
        <v>3844.8</v>
      </c>
      <c r="H105">
        <v>3987.05</v>
      </c>
      <c r="I105">
        <v>4122.6099999999997</v>
      </c>
      <c r="K105">
        <f>IF(
    OR(
        AND(MAX(0, MIN($E$1, DATE(Initialisatie!$C$5,12,31)) - MAX($E$2, DATE(Initialisatie!$C$5,1,1)) + 1) &gt; 0,IFERROR(VALUE($E105),0)=0),
        AND(MAX(0, MIN($F$1, DATE(Initialisatie!$C$5,12,31)) - MAX($F$2, DATE(Initialisatie!$C$5,1,1)) + 1) &gt; 0,IFERROR(VALUE($F105),0)=0),
        AND(MAX(0, MIN($G$1, DATE(Initialisatie!$C$5,12,31)) - MAX($G$2, DATE(Initialisatie!$C$5,1,1)) + 1) &gt; 0,IFERROR(VALUE($G105),0)=0),
        AND(MAX(0, MIN($H$1, DATE(Initialisatie!$C$5,12,31)) - MAX($H$2, DATE(Initialisatie!$C$5,1,1)) + 1) &gt; 0,IFERROR(VALUE($H105),0)=0),
        AND(MAX(0, MIN($I$1, DATE(Initialisatie!$C$5,12,31)) - MAX($I$2, DATE(Initialisatie!$C$5,1,1)) + 1) &gt; 0,IFERROR(VALUE($I105),0)=0)
    ),
    0,
    SUM(
        IFERROR(VALUE($E105),0) * MAX(0, MIN($E$1, DATE(Initialisatie!$C$5,12,31)) - MAX($E$2, DATE(Initialisatie!$C$5,1,1)) + 1),
        IFERROR(VALUE($F105),0) * MAX(0, MIN($F$1, DATE(Initialisatie!$C$5,12,31)) - MAX($F$2, DATE(Initialisatie!$C$5,1,1)) + 1),
        IFERROR(VALUE($G105),0) * MAX(0, MIN($G$1, DATE(Initialisatie!$C$5,12,31)) - MAX($G$2, DATE(Initialisatie!$C$5,1,1)) + 1),
        IFERROR(VALUE($H105),0) * MAX(0, MIN($H$1, DATE(Initialisatie!$C$5,12,31)) - MAX($H$2, DATE(Initialisatie!$C$5,1,1)) + 1),
        IFERROR(VALUE($I105),0) * MAX(0, MIN($I$1, DATE(Initialisatie!$C$5,12,31)) - MAX($I$2, DATE(Initialisatie!$C$5,1,1)) + 1)
    ) / (DATE(Initialisatie!$C$5,12,31) - DATE(Initialisatie!$C$5,1,1) + 1)
)</f>
        <v>3987.05</v>
      </c>
      <c r="L105">
        <f>IF(
    OR(
        AND(MAX(0, IF(MIN($E$1, DATE(Initialisatie!$C$5,12,31)) &lt; MAX($E$2, DATE(Initialisatie!$C$5,1,1)), 0, MONTH(MIN($E$1, DATE(Initialisatie!$C$5,12,31))) - MONTH(MAX($E$2, DATE(Initialisatie!$C$5,1,1))) + 1)) &lt;= 0, IFERROR(VALUE($E105),0)=0),
        AND(MAX(0, IF(MIN($F$1, DATE(Initialisatie!$C$5,12,31)) &lt; MAX($F$2, DATE(Initialisatie!$C$5,1,1)), 0, MONTH(MIN($F$1, DATE(Initialisatie!$C$5,12,31))) - MONTH(MAX($F$2, DATE(Initialisatie!$C$5,1,1))) + 1)) &lt;= 0, IFERROR(VALUE($F105),0)=0),
        AND(MAX(0, IF(MIN($G$1, DATE(Initialisatie!$C$5,12,31)) &lt; MAX($G$2, DATE(Initialisatie!$C$5,1,1)), 0, MONTH(MIN($G$1, DATE(Initialisatie!$C$5,12,31))) - MONTH(MAX($G$2, DATE(Initialisatie!$C$5,1,1))) + 1)) &lt;= 0, IFERROR(VALUE($G105),0)=0),
        AND(MAX(0, IF(MIN($H$1, DATE(Initialisatie!$C$5,12,31)) &lt; MAX($H$2, DATE(Initialisatie!$C$5,1,1)), 0, MONTH(MIN($H$1, DATE(Initialisatie!$C$5,12,31))) - MONTH(MAX($H$2, DATE(Initialisatie!$C$5,1,1))) + 1)) &lt;= 0, IFERROR(VALUE($H105),0)=0),
        AND(MAX(0, IF(MIN($I$1, DATE(Initialisatie!$C$5,12,31)) &lt; MAX($I$2, DATE(Initialisatie!$C$5,1,1)), 0, MONTH(MIN($I$1, DATE(Initialisatie!$C$5,12,31))) - MONTH(MAX($I$2, DATE(Initialisatie!$C$5,1,1))) + 1)) &lt;= 0, IFERROR(VALUE($I105),0)=0)
    ),
    0,
    SUM(
        IFERROR(VALUE($E105),0) * MAX(0, IF(MIN($E$1, DATE(Initialisatie!$C$5,12,31)) &lt; MAX($E$2, DATE(Initialisatie!$C$5,1,1)), 0, MONTH(MIN($E$1, DATE(Initialisatie!$C$5,12,31))) - MONTH(MAX($E$2, DATE(Initialisatie!$C$5,1,1))) + 1)),
        IFERROR(VALUE($F105),0) * MAX(0, IF(MIN($F$1, DATE(Initialisatie!$C$5,12,31)) &lt; MAX($F$2, DATE(Initialisatie!$C$5,1,1)), 0, MONTH(MIN($F$1, DATE(Initialisatie!$C$5,12,31))) - MONTH(MAX($F$2, DATE(Initialisatie!$C$5,1,1))) + 1)),
        IFERROR(VALUE($G105),0) * MAX(0, IF(MIN($G$1, DATE(Initialisatie!$C$5,12,31)) &lt; MAX($G$2, DATE(Initialisatie!$C$5,1,1)), 0, MONTH(MIN($G$1, DATE(Initialisatie!$C$5,12,31))) - MONTH(MAX($G$2, DATE(Initialisatie!$C$5,1,1))) + 1)),
        IFERROR(VALUE($H105),0) * MAX(0, IF(MIN($H$1, DATE(Initialisatie!$C$5,12,31)) &lt; MAX($H$2, DATE(Initialisatie!$C$5,1,1)), 0, MONTH(MIN($H$1, DATE(Initialisatie!$C$5,12,31))) - MONTH(MAX($H$2, DATE(Initialisatie!$C$5,1,1))) + 1)),
        IFERROR(VALUE($I105),0) * MAX(0, IF(MIN($I$1, DATE(Initialisatie!$C$5,12,31)) &lt; MAX($I$2, DATE(Initialisatie!$C$5,1,1)), 0, MONTH(MIN($I$1, DATE(Initialisatie!$C$5,12,31))) - MONTH(MAX($I$2, DATE(Initialisatie!$C$5,1,1))) + 1))
    ) / 12
)</f>
        <v>3987.0500000000006</v>
      </c>
    </row>
    <row r="106" spans="1:12" x14ac:dyDescent="0.45">
      <c r="A106" s="989"/>
      <c r="B106" s="35" t="s">
        <v>97</v>
      </c>
      <c r="C106" s="35">
        <v>4</v>
      </c>
      <c r="D106" s="35" t="s">
        <v>185</v>
      </c>
      <c r="E106">
        <v>3791.83</v>
      </c>
      <c r="F106">
        <v>3839.23</v>
      </c>
      <c r="G106">
        <v>3977.44</v>
      </c>
      <c r="H106">
        <v>4124.6099999999997</v>
      </c>
      <c r="I106">
        <v>4264.84</v>
      </c>
      <c r="K106">
        <f>IF(
    OR(
        AND(MAX(0, MIN($E$1, DATE(Initialisatie!$C$5,12,31)) - MAX($E$2, DATE(Initialisatie!$C$5,1,1)) + 1) &gt; 0,IFERROR(VALUE($E106),0)=0),
        AND(MAX(0, MIN($F$1, DATE(Initialisatie!$C$5,12,31)) - MAX($F$2, DATE(Initialisatie!$C$5,1,1)) + 1) &gt; 0,IFERROR(VALUE($F106),0)=0),
        AND(MAX(0, MIN($G$1, DATE(Initialisatie!$C$5,12,31)) - MAX($G$2, DATE(Initialisatie!$C$5,1,1)) + 1) &gt; 0,IFERROR(VALUE($G106),0)=0),
        AND(MAX(0, MIN($H$1, DATE(Initialisatie!$C$5,12,31)) - MAX($H$2, DATE(Initialisatie!$C$5,1,1)) + 1) &gt; 0,IFERROR(VALUE($H106),0)=0),
        AND(MAX(0, MIN($I$1, DATE(Initialisatie!$C$5,12,31)) - MAX($I$2, DATE(Initialisatie!$C$5,1,1)) + 1) &gt; 0,IFERROR(VALUE($I106),0)=0)
    ),
    0,
    SUM(
        IFERROR(VALUE($E106),0) * MAX(0, MIN($E$1, DATE(Initialisatie!$C$5,12,31)) - MAX($E$2, DATE(Initialisatie!$C$5,1,1)) + 1),
        IFERROR(VALUE($F106),0) * MAX(0, MIN($F$1, DATE(Initialisatie!$C$5,12,31)) - MAX($F$2, DATE(Initialisatie!$C$5,1,1)) + 1),
        IFERROR(VALUE($G106),0) * MAX(0, MIN($G$1, DATE(Initialisatie!$C$5,12,31)) - MAX($G$2, DATE(Initialisatie!$C$5,1,1)) + 1),
        IFERROR(VALUE($H106),0) * MAX(0, MIN($H$1, DATE(Initialisatie!$C$5,12,31)) - MAX($H$2, DATE(Initialisatie!$C$5,1,1)) + 1),
        IFERROR(VALUE($I106),0) * MAX(0, MIN($I$1, DATE(Initialisatie!$C$5,12,31)) - MAX($I$2, DATE(Initialisatie!$C$5,1,1)) + 1)
    ) / (DATE(Initialisatie!$C$5,12,31) - DATE(Initialisatie!$C$5,1,1) + 1)
)</f>
        <v>4124.6099999999997</v>
      </c>
      <c r="L106">
        <f>IF(
    OR(
        AND(MAX(0, IF(MIN($E$1, DATE(Initialisatie!$C$5,12,31)) &lt; MAX($E$2, DATE(Initialisatie!$C$5,1,1)), 0, MONTH(MIN($E$1, DATE(Initialisatie!$C$5,12,31))) - MONTH(MAX($E$2, DATE(Initialisatie!$C$5,1,1))) + 1)) &lt;= 0, IFERROR(VALUE($E106),0)=0),
        AND(MAX(0, IF(MIN($F$1, DATE(Initialisatie!$C$5,12,31)) &lt; MAX($F$2, DATE(Initialisatie!$C$5,1,1)), 0, MONTH(MIN($F$1, DATE(Initialisatie!$C$5,12,31))) - MONTH(MAX($F$2, DATE(Initialisatie!$C$5,1,1))) + 1)) &lt;= 0, IFERROR(VALUE($F106),0)=0),
        AND(MAX(0, IF(MIN($G$1, DATE(Initialisatie!$C$5,12,31)) &lt; MAX($G$2, DATE(Initialisatie!$C$5,1,1)), 0, MONTH(MIN($G$1, DATE(Initialisatie!$C$5,12,31))) - MONTH(MAX($G$2, DATE(Initialisatie!$C$5,1,1))) + 1)) &lt;= 0, IFERROR(VALUE($G106),0)=0),
        AND(MAX(0, IF(MIN($H$1, DATE(Initialisatie!$C$5,12,31)) &lt; MAX($H$2, DATE(Initialisatie!$C$5,1,1)), 0, MONTH(MIN($H$1, DATE(Initialisatie!$C$5,12,31))) - MONTH(MAX($H$2, DATE(Initialisatie!$C$5,1,1))) + 1)) &lt;= 0, IFERROR(VALUE($H106),0)=0),
        AND(MAX(0, IF(MIN($I$1, DATE(Initialisatie!$C$5,12,31)) &lt; MAX($I$2, DATE(Initialisatie!$C$5,1,1)), 0, MONTH(MIN($I$1, DATE(Initialisatie!$C$5,12,31))) - MONTH(MAX($I$2, DATE(Initialisatie!$C$5,1,1))) + 1)) &lt;= 0, IFERROR(VALUE($I106),0)=0)
    ),
    0,
    SUM(
        IFERROR(VALUE($E106),0) * MAX(0, IF(MIN($E$1, DATE(Initialisatie!$C$5,12,31)) &lt; MAX($E$2, DATE(Initialisatie!$C$5,1,1)), 0, MONTH(MIN($E$1, DATE(Initialisatie!$C$5,12,31))) - MONTH(MAX($E$2, DATE(Initialisatie!$C$5,1,1))) + 1)),
        IFERROR(VALUE($F106),0) * MAX(0, IF(MIN($F$1, DATE(Initialisatie!$C$5,12,31)) &lt; MAX($F$2, DATE(Initialisatie!$C$5,1,1)), 0, MONTH(MIN($F$1, DATE(Initialisatie!$C$5,12,31))) - MONTH(MAX($F$2, DATE(Initialisatie!$C$5,1,1))) + 1)),
        IFERROR(VALUE($G106),0) * MAX(0, IF(MIN($G$1, DATE(Initialisatie!$C$5,12,31)) &lt; MAX($G$2, DATE(Initialisatie!$C$5,1,1)), 0, MONTH(MIN($G$1, DATE(Initialisatie!$C$5,12,31))) - MONTH(MAX($G$2, DATE(Initialisatie!$C$5,1,1))) + 1)),
        IFERROR(VALUE($H106),0) * MAX(0, IF(MIN($H$1, DATE(Initialisatie!$C$5,12,31)) &lt; MAX($H$2, DATE(Initialisatie!$C$5,1,1)), 0, MONTH(MIN($H$1, DATE(Initialisatie!$C$5,12,31))) - MONTH(MAX($H$2, DATE(Initialisatie!$C$5,1,1))) + 1)),
        IFERROR(VALUE($I106),0) * MAX(0, IF(MIN($I$1, DATE(Initialisatie!$C$5,12,31)) &lt; MAX($I$2, DATE(Initialisatie!$C$5,1,1)), 0, MONTH(MIN($I$1, DATE(Initialisatie!$C$5,12,31))) - MONTH(MAX($I$2, DATE(Initialisatie!$C$5,1,1))) + 1))
    ) / 12
)</f>
        <v>4124.6099999999997</v>
      </c>
    </row>
    <row r="107" spans="1:12" x14ac:dyDescent="0.45">
      <c r="A107" s="989"/>
      <c r="B107" s="35" t="s">
        <v>95</v>
      </c>
      <c r="C107" s="35">
        <v>5</v>
      </c>
      <c r="D107" s="35" t="s">
        <v>184</v>
      </c>
      <c r="E107">
        <v>3922.58</v>
      </c>
      <c r="F107">
        <v>3971.61</v>
      </c>
      <c r="G107">
        <v>4114.59</v>
      </c>
      <c r="H107">
        <v>4266.83</v>
      </c>
      <c r="I107">
        <v>4411.8999999999996</v>
      </c>
      <c r="K107">
        <f>IF(
    OR(
        AND(MAX(0, MIN($E$1, DATE(Initialisatie!$C$5,12,31)) - MAX($E$2, DATE(Initialisatie!$C$5,1,1)) + 1) &gt; 0,IFERROR(VALUE($E107),0)=0),
        AND(MAX(0, MIN($F$1, DATE(Initialisatie!$C$5,12,31)) - MAX($F$2, DATE(Initialisatie!$C$5,1,1)) + 1) &gt; 0,IFERROR(VALUE($F107),0)=0),
        AND(MAX(0, MIN($G$1, DATE(Initialisatie!$C$5,12,31)) - MAX($G$2, DATE(Initialisatie!$C$5,1,1)) + 1) &gt; 0,IFERROR(VALUE($G107),0)=0),
        AND(MAX(0, MIN($H$1, DATE(Initialisatie!$C$5,12,31)) - MAX($H$2, DATE(Initialisatie!$C$5,1,1)) + 1) &gt; 0,IFERROR(VALUE($H107),0)=0),
        AND(MAX(0, MIN($I$1, DATE(Initialisatie!$C$5,12,31)) - MAX($I$2, DATE(Initialisatie!$C$5,1,1)) + 1) &gt; 0,IFERROR(VALUE($I107),0)=0)
    ),
    0,
    SUM(
        IFERROR(VALUE($E107),0) * MAX(0, MIN($E$1, DATE(Initialisatie!$C$5,12,31)) - MAX($E$2, DATE(Initialisatie!$C$5,1,1)) + 1),
        IFERROR(VALUE($F107),0) * MAX(0, MIN($F$1, DATE(Initialisatie!$C$5,12,31)) - MAX($F$2, DATE(Initialisatie!$C$5,1,1)) + 1),
        IFERROR(VALUE($G107),0) * MAX(0, MIN($G$1, DATE(Initialisatie!$C$5,12,31)) - MAX($G$2, DATE(Initialisatie!$C$5,1,1)) + 1),
        IFERROR(VALUE($H107),0) * MAX(0, MIN($H$1, DATE(Initialisatie!$C$5,12,31)) - MAX($H$2, DATE(Initialisatie!$C$5,1,1)) + 1),
        IFERROR(VALUE($I107),0) * MAX(0, MIN($I$1, DATE(Initialisatie!$C$5,12,31)) - MAX($I$2, DATE(Initialisatie!$C$5,1,1)) + 1)
    ) / (DATE(Initialisatie!$C$5,12,31) - DATE(Initialisatie!$C$5,1,1) + 1)
)</f>
        <v>4266.83</v>
      </c>
      <c r="L107">
        <f>IF(
    OR(
        AND(MAX(0, IF(MIN($E$1, DATE(Initialisatie!$C$5,12,31)) &lt; MAX($E$2, DATE(Initialisatie!$C$5,1,1)), 0, MONTH(MIN($E$1, DATE(Initialisatie!$C$5,12,31))) - MONTH(MAX($E$2, DATE(Initialisatie!$C$5,1,1))) + 1)) &lt;= 0, IFERROR(VALUE($E107),0)=0),
        AND(MAX(0, IF(MIN($F$1, DATE(Initialisatie!$C$5,12,31)) &lt; MAX($F$2, DATE(Initialisatie!$C$5,1,1)), 0, MONTH(MIN($F$1, DATE(Initialisatie!$C$5,12,31))) - MONTH(MAX($F$2, DATE(Initialisatie!$C$5,1,1))) + 1)) &lt;= 0, IFERROR(VALUE($F107),0)=0),
        AND(MAX(0, IF(MIN($G$1, DATE(Initialisatie!$C$5,12,31)) &lt; MAX($G$2, DATE(Initialisatie!$C$5,1,1)), 0, MONTH(MIN($G$1, DATE(Initialisatie!$C$5,12,31))) - MONTH(MAX($G$2, DATE(Initialisatie!$C$5,1,1))) + 1)) &lt;= 0, IFERROR(VALUE($G107),0)=0),
        AND(MAX(0, IF(MIN($H$1, DATE(Initialisatie!$C$5,12,31)) &lt; MAX($H$2, DATE(Initialisatie!$C$5,1,1)), 0, MONTH(MIN($H$1, DATE(Initialisatie!$C$5,12,31))) - MONTH(MAX($H$2, DATE(Initialisatie!$C$5,1,1))) + 1)) &lt;= 0, IFERROR(VALUE($H107),0)=0),
        AND(MAX(0, IF(MIN($I$1, DATE(Initialisatie!$C$5,12,31)) &lt; MAX($I$2, DATE(Initialisatie!$C$5,1,1)), 0, MONTH(MIN($I$1, DATE(Initialisatie!$C$5,12,31))) - MONTH(MAX($I$2, DATE(Initialisatie!$C$5,1,1))) + 1)) &lt;= 0, IFERROR(VALUE($I107),0)=0)
    ),
    0,
    SUM(
        IFERROR(VALUE($E107),0) * MAX(0, IF(MIN($E$1, DATE(Initialisatie!$C$5,12,31)) &lt; MAX($E$2, DATE(Initialisatie!$C$5,1,1)), 0, MONTH(MIN($E$1, DATE(Initialisatie!$C$5,12,31))) - MONTH(MAX($E$2, DATE(Initialisatie!$C$5,1,1))) + 1)),
        IFERROR(VALUE($F107),0) * MAX(0, IF(MIN($F$1, DATE(Initialisatie!$C$5,12,31)) &lt; MAX($F$2, DATE(Initialisatie!$C$5,1,1)), 0, MONTH(MIN($F$1, DATE(Initialisatie!$C$5,12,31))) - MONTH(MAX($F$2, DATE(Initialisatie!$C$5,1,1))) + 1)),
        IFERROR(VALUE($G107),0) * MAX(0, IF(MIN($G$1, DATE(Initialisatie!$C$5,12,31)) &lt; MAX($G$2, DATE(Initialisatie!$C$5,1,1)), 0, MONTH(MIN($G$1, DATE(Initialisatie!$C$5,12,31))) - MONTH(MAX($G$2, DATE(Initialisatie!$C$5,1,1))) + 1)),
        IFERROR(VALUE($H107),0) * MAX(0, IF(MIN($H$1, DATE(Initialisatie!$C$5,12,31)) &lt; MAX($H$2, DATE(Initialisatie!$C$5,1,1)), 0, MONTH(MIN($H$1, DATE(Initialisatie!$C$5,12,31))) - MONTH(MAX($H$2, DATE(Initialisatie!$C$5,1,1))) + 1)),
        IFERROR(VALUE($I107),0) * MAX(0, IF(MIN($I$1, DATE(Initialisatie!$C$5,12,31)) &lt; MAX($I$2, DATE(Initialisatie!$C$5,1,1)), 0, MONTH(MIN($I$1, DATE(Initialisatie!$C$5,12,31))) - MONTH(MAX($I$2, DATE(Initialisatie!$C$5,1,1))) + 1))
    ) / 12
)</f>
        <v>4266.83</v>
      </c>
    </row>
    <row r="108" spans="1:12" x14ac:dyDescent="0.45">
      <c r="A108" s="989"/>
      <c r="B108" s="35" t="s">
        <v>93</v>
      </c>
      <c r="C108" s="35">
        <v>6</v>
      </c>
      <c r="D108" s="35" t="s">
        <v>183</v>
      </c>
      <c r="E108">
        <v>4057.69</v>
      </c>
      <c r="F108">
        <v>4108.42</v>
      </c>
      <c r="G108">
        <v>4256.32</v>
      </c>
      <c r="H108">
        <v>4413.8</v>
      </c>
      <c r="I108">
        <v>4563.87</v>
      </c>
      <c r="K108">
        <f>IF(
    OR(
        AND(MAX(0, MIN($E$1, DATE(Initialisatie!$C$5,12,31)) - MAX($E$2, DATE(Initialisatie!$C$5,1,1)) + 1) &gt; 0,IFERROR(VALUE($E108),0)=0),
        AND(MAX(0, MIN($F$1, DATE(Initialisatie!$C$5,12,31)) - MAX($F$2, DATE(Initialisatie!$C$5,1,1)) + 1) &gt; 0,IFERROR(VALUE($F108),0)=0),
        AND(MAX(0, MIN($G$1, DATE(Initialisatie!$C$5,12,31)) - MAX($G$2, DATE(Initialisatie!$C$5,1,1)) + 1) &gt; 0,IFERROR(VALUE($G108),0)=0),
        AND(MAX(0, MIN($H$1, DATE(Initialisatie!$C$5,12,31)) - MAX($H$2, DATE(Initialisatie!$C$5,1,1)) + 1) &gt; 0,IFERROR(VALUE($H108),0)=0),
        AND(MAX(0, MIN($I$1, DATE(Initialisatie!$C$5,12,31)) - MAX($I$2, DATE(Initialisatie!$C$5,1,1)) + 1) &gt; 0,IFERROR(VALUE($I108),0)=0)
    ),
    0,
    SUM(
        IFERROR(VALUE($E108),0) * MAX(0, MIN($E$1, DATE(Initialisatie!$C$5,12,31)) - MAX($E$2, DATE(Initialisatie!$C$5,1,1)) + 1),
        IFERROR(VALUE($F108),0) * MAX(0, MIN($F$1, DATE(Initialisatie!$C$5,12,31)) - MAX($F$2, DATE(Initialisatie!$C$5,1,1)) + 1),
        IFERROR(VALUE($G108),0) * MAX(0, MIN($G$1, DATE(Initialisatie!$C$5,12,31)) - MAX($G$2, DATE(Initialisatie!$C$5,1,1)) + 1),
        IFERROR(VALUE($H108),0) * MAX(0, MIN($H$1, DATE(Initialisatie!$C$5,12,31)) - MAX($H$2, DATE(Initialisatie!$C$5,1,1)) + 1),
        IFERROR(VALUE($I108),0) * MAX(0, MIN($I$1, DATE(Initialisatie!$C$5,12,31)) - MAX($I$2, DATE(Initialisatie!$C$5,1,1)) + 1)
    ) / (DATE(Initialisatie!$C$5,12,31) - DATE(Initialisatie!$C$5,1,1) + 1)
)</f>
        <v>4413.8</v>
      </c>
      <c r="L108">
        <f>IF(
    OR(
        AND(MAX(0, IF(MIN($E$1, DATE(Initialisatie!$C$5,12,31)) &lt; MAX($E$2, DATE(Initialisatie!$C$5,1,1)), 0, MONTH(MIN($E$1, DATE(Initialisatie!$C$5,12,31))) - MONTH(MAX($E$2, DATE(Initialisatie!$C$5,1,1))) + 1)) &lt;= 0, IFERROR(VALUE($E108),0)=0),
        AND(MAX(0, IF(MIN($F$1, DATE(Initialisatie!$C$5,12,31)) &lt; MAX($F$2, DATE(Initialisatie!$C$5,1,1)), 0, MONTH(MIN($F$1, DATE(Initialisatie!$C$5,12,31))) - MONTH(MAX($F$2, DATE(Initialisatie!$C$5,1,1))) + 1)) &lt;= 0, IFERROR(VALUE($F108),0)=0),
        AND(MAX(0, IF(MIN($G$1, DATE(Initialisatie!$C$5,12,31)) &lt; MAX($G$2, DATE(Initialisatie!$C$5,1,1)), 0, MONTH(MIN($G$1, DATE(Initialisatie!$C$5,12,31))) - MONTH(MAX($G$2, DATE(Initialisatie!$C$5,1,1))) + 1)) &lt;= 0, IFERROR(VALUE($G108),0)=0),
        AND(MAX(0, IF(MIN($H$1, DATE(Initialisatie!$C$5,12,31)) &lt; MAX($H$2, DATE(Initialisatie!$C$5,1,1)), 0, MONTH(MIN($H$1, DATE(Initialisatie!$C$5,12,31))) - MONTH(MAX($H$2, DATE(Initialisatie!$C$5,1,1))) + 1)) &lt;= 0, IFERROR(VALUE($H108),0)=0),
        AND(MAX(0, IF(MIN($I$1, DATE(Initialisatie!$C$5,12,31)) &lt; MAX($I$2, DATE(Initialisatie!$C$5,1,1)), 0, MONTH(MIN($I$1, DATE(Initialisatie!$C$5,12,31))) - MONTH(MAX($I$2, DATE(Initialisatie!$C$5,1,1))) + 1)) &lt;= 0, IFERROR(VALUE($I108),0)=0)
    ),
    0,
    SUM(
        IFERROR(VALUE($E108),0) * MAX(0, IF(MIN($E$1, DATE(Initialisatie!$C$5,12,31)) &lt; MAX($E$2, DATE(Initialisatie!$C$5,1,1)), 0, MONTH(MIN($E$1, DATE(Initialisatie!$C$5,12,31))) - MONTH(MAX($E$2, DATE(Initialisatie!$C$5,1,1))) + 1)),
        IFERROR(VALUE($F108),0) * MAX(0, IF(MIN($F$1, DATE(Initialisatie!$C$5,12,31)) &lt; MAX($F$2, DATE(Initialisatie!$C$5,1,1)), 0, MONTH(MIN($F$1, DATE(Initialisatie!$C$5,12,31))) - MONTH(MAX($F$2, DATE(Initialisatie!$C$5,1,1))) + 1)),
        IFERROR(VALUE($G108),0) * MAX(0, IF(MIN($G$1, DATE(Initialisatie!$C$5,12,31)) &lt; MAX($G$2, DATE(Initialisatie!$C$5,1,1)), 0, MONTH(MIN($G$1, DATE(Initialisatie!$C$5,12,31))) - MONTH(MAX($G$2, DATE(Initialisatie!$C$5,1,1))) + 1)),
        IFERROR(VALUE($H108),0) * MAX(0, IF(MIN($H$1, DATE(Initialisatie!$C$5,12,31)) &lt; MAX($H$2, DATE(Initialisatie!$C$5,1,1)), 0, MONTH(MIN($H$1, DATE(Initialisatie!$C$5,12,31))) - MONTH(MAX($H$2, DATE(Initialisatie!$C$5,1,1))) + 1)),
        IFERROR(VALUE($I108),0) * MAX(0, IF(MIN($I$1, DATE(Initialisatie!$C$5,12,31)) &lt; MAX($I$2, DATE(Initialisatie!$C$5,1,1)), 0, MONTH(MIN($I$1, DATE(Initialisatie!$C$5,12,31))) - MONTH(MAX($I$2, DATE(Initialisatie!$C$5,1,1))) + 1))
    ) / 12
)</f>
        <v>4413.8</v>
      </c>
    </row>
    <row r="109" spans="1:12" x14ac:dyDescent="0.45">
      <c r="A109" s="989"/>
      <c r="B109" s="35" t="s">
        <v>91</v>
      </c>
      <c r="C109" s="35">
        <v>7</v>
      </c>
      <c r="D109" s="35" t="s">
        <v>182</v>
      </c>
      <c r="E109">
        <v>4197.93</v>
      </c>
      <c r="F109">
        <v>4250.41</v>
      </c>
      <c r="G109">
        <v>4403.42</v>
      </c>
      <c r="H109">
        <v>4566.3500000000004</v>
      </c>
      <c r="I109">
        <v>4721.6000000000004</v>
      </c>
      <c r="K109">
        <f>IF(
    OR(
        AND(MAX(0, MIN($E$1, DATE(Initialisatie!$C$5,12,31)) - MAX($E$2, DATE(Initialisatie!$C$5,1,1)) + 1) &gt; 0,IFERROR(VALUE($E109),0)=0),
        AND(MAX(0, MIN($F$1, DATE(Initialisatie!$C$5,12,31)) - MAX($F$2, DATE(Initialisatie!$C$5,1,1)) + 1) &gt; 0,IFERROR(VALUE($F109),0)=0),
        AND(MAX(0, MIN($G$1, DATE(Initialisatie!$C$5,12,31)) - MAX($G$2, DATE(Initialisatie!$C$5,1,1)) + 1) &gt; 0,IFERROR(VALUE($G109),0)=0),
        AND(MAX(0, MIN($H$1, DATE(Initialisatie!$C$5,12,31)) - MAX($H$2, DATE(Initialisatie!$C$5,1,1)) + 1) &gt; 0,IFERROR(VALUE($H109),0)=0),
        AND(MAX(0, MIN($I$1, DATE(Initialisatie!$C$5,12,31)) - MAX($I$2, DATE(Initialisatie!$C$5,1,1)) + 1) &gt; 0,IFERROR(VALUE($I109),0)=0)
    ),
    0,
    SUM(
        IFERROR(VALUE($E109),0) * MAX(0, MIN($E$1, DATE(Initialisatie!$C$5,12,31)) - MAX($E$2, DATE(Initialisatie!$C$5,1,1)) + 1),
        IFERROR(VALUE($F109),0) * MAX(0, MIN($F$1, DATE(Initialisatie!$C$5,12,31)) - MAX($F$2, DATE(Initialisatie!$C$5,1,1)) + 1),
        IFERROR(VALUE($G109),0) * MAX(0, MIN($G$1, DATE(Initialisatie!$C$5,12,31)) - MAX($G$2, DATE(Initialisatie!$C$5,1,1)) + 1),
        IFERROR(VALUE($H109),0) * MAX(0, MIN($H$1, DATE(Initialisatie!$C$5,12,31)) - MAX($H$2, DATE(Initialisatie!$C$5,1,1)) + 1),
        IFERROR(VALUE($I109),0) * MAX(0, MIN($I$1, DATE(Initialisatie!$C$5,12,31)) - MAX($I$2, DATE(Initialisatie!$C$5,1,1)) + 1)
    ) / (DATE(Initialisatie!$C$5,12,31) - DATE(Initialisatie!$C$5,1,1) + 1)
)</f>
        <v>4566.3500000000004</v>
      </c>
      <c r="L109">
        <f>IF(
    OR(
        AND(MAX(0, IF(MIN($E$1, DATE(Initialisatie!$C$5,12,31)) &lt; MAX($E$2, DATE(Initialisatie!$C$5,1,1)), 0, MONTH(MIN($E$1, DATE(Initialisatie!$C$5,12,31))) - MONTH(MAX($E$2, DATE(Initialisatie!$C$5,1,1))) + 1)) &lt;= 0, IFERROR(VALUE($E109),0)=0),
        AND(MAX(0, IF(MIN($F$1, DATE(Initialisatie!$C$5,12,31)) &lt; MAX($F$2, DATE(Initialisatie!$C$5,1,1)), 0, MONTH(MIN($F$1, DATE(Initialisatie!$C$5,12,31))) - MONTH(MAX($F$2, DATE(Initialisatie!$C$5,1,1))) + 1)) &lt;= 0, IFERROR(VALUE($F109),0)=0),
        AND(MAX(0, IF(MIN($G$1, DATE(Initialisatie!$C$5,12,31)) &lt; MAX($G$2, DATE(Initialisatie!$C$5,1,1)), 0, MONTH(MIN($G$1, DATE(Initialisatie!$C$5,12,31))) - MONTH(MAX($G$2, DATE(Initialisatie!$C$5,1,1))) + 1)) &lt;= 0, IFERROR(VALUE($G109),0)=0),
        AND(MAX(0, IF(MIN($H$1, DATE(Initialisatie!$C$5,12,31)) &lt; MAX($H$2, DATE(Initialisatie!$C$5,1,1)), 0, MONTH(MIN($H$1, DATE(Initialisatie!$C$5,12,31))) - MONTH(MAX($H$2, DATE(Initialisatie!$C$5,1,1))) + 1)) &lt;= 0, IFERROR(VALUE($H109),0)=0),
        AND(MAX(0, IF(MIN($I$1, DATE(Initialisatie!$C$5,12,31)) &lt; MAX($I$2, DATE(Initialisatie!$C$5,1,1)), 0, MONTH(MIN($I$1, DATE(Initialisatie!$C$5,12,31))) - MONTH(MAX($I$2, DATE(Initialisatie!$C$5,1,1))) + 1)) &lt;= 0, IFERROR(VALUE($I109),0)=0)
    ),
    0,
    SUM(
        IFERROR(VALUE($E109),0) * MAX(0, IF(MIN($E$1, DATE(Initialisatie!$C$5,12,31)) &lt; MAX($E$2, DATE(Initialisatie!$C$5,1,1)), 0, MONTH(MIN($E$1, DATE(Initialisatie!$C$5,12,31))) - MONTH(MAX($E$2, DATE(Initialisatie!$C$5,1,1))) + 1)),
        IFERROR(VALUE($F109),0) * MAX(0, IF(MIN($F$1, DATE(Initialisatie!$C$5,12,31)) &lt; MAX($F$2, DATE(Initialisatie!$C$5,1,1)), 0, MONTH(MIN($F$1, DATE(Initialisatie!$C$5,12,31))) - MONTH(MAX($F$2, DATE(Initialisatie!$C$5,1,1))) + 1)),
        IFERROR(VALUE($G109),0) * MAX(0, IF(MIN($G$1, DATE(Initialisatie!$C$5,12,31)) &lt; MAX($G$2, DATE(Initialisatie!$C$5,1,1)), 0, MONTH(MIN($G$1, DATE(Initialisatie!$C$5,12,31))) - MONTH(MAX($G$2, DATE(Initialisatie!$C$5,1,1))) + 1)),
        IFERROR(VALUE($H109),0) * MAX(0, IF(MIN($H$1, DATE(Initialisatie!$C$5,12,31)) &lt; MAX($H$2, DATE(Initialisatie!$C$5,1,1)), 0, MONTH(MIN($H$1, DATE(Initialisatie!$C$5,12,31))) - MONTH(MAX($H$2, DATE(Initialisatie!$C$5,1,1))) + 1)),
        IFERROR(VALUE($I109),0) * MAX(0, IF(MIN($I$1, DATE(Initialisatie!$C$5,12,31)) &lt; MAX($I$2, DATE(Initialisatie!$C$5,1,1)), 0, MONTH(MIN($I$1, DATE(Initialisatie!$C$5,12,31))) - MONTH(MAX($I$2, DATE(Initialisatie!$C$5,1,1))) + 1))
    ) / 12
)</f>
        <v>4566.3500000000004</v>
      </c>
    </row>
    <row r="110" spans="1:12" x14ac:dyDescent="0.45">
      <c r="A110" s="989"/>
      <c r="B110" s="35" t="s">
        <v>89</v>
      </c>
      <c r="C110" s="35">
        <v>8</v>
      </c>
      <c r="D110" s="35" t="s">
        <v>181</v>
      </c>
      <c r="E110">
        <v>4343.25</v>
      </c>
      <c r="F110">
        <v>4397.54</v>
      </c>
      <c r="G110">
        <v>4555.8500000000004</v>
      </c>
      <c r="H110">
        <v>4724.42</v>
      </c>
      <c r="I110">
        <v>4885.05</v>
      </c>
      <c r="K110">
        <f>IF(
    OR(
        AND(MAX(0, MIN($E$1, DATE(Initialisatie!$C$5,12,31)) - MAX($E$2, DATE(Initialisatie!$C$5,1,1)) + 1) &gt; 0,IFERROR(VALUE($E110),0)=0),
        AND(MAX(0, MIN($F$1, DATE(Initialisatie!$C$5,12,31)) - MAX($F$2, DATE(Initialisatie!$C$5,1,1)) + 1) &gt; 0,IFERROR(VALUE($F110),0)=0),
        AND(MAX(0, MIN($G$1, DATE(Initialisatie!$C$5,12,31)) - MAX($G$2, DATE(Initialisatie!$C$5,1,1)) + 1) &gt; 0,IFERROR(VALUE($G110),0)=0),
        AND(MAX(0, MIN($H$1, DATE(Initialisatie!$C$5,12,31)) - MAX($H$2, DATE(Initialisatie!$C$5,1,1)) + 1) &gt; 0,IFERROR(VALUE($H110),0)=0),
        AND(MAX(0, MIN($I$1, DATE(Initialisatie!$C$5,12,31)) - MAX($I$2, DATE(Initialisatie!$C$5,1,1)) + 1) &gt; 0,IFERROR(VALUE($I110),0)=0)
    ),
    0,
    SUM(
        IFERROR(VALUE($E110),0) * MAX(0, MIN($E$1, DATE(Initialisatie!$C$5,12,31)) - MAX($E$2, DATE(Initialisatie!$C$5,1,1)) + 1),
        IFERROR(VALUE($F110),0) * MAX(0, MIN($F$1, DATE(Initialisatie!$C$5,12,31)) - MAX($F$2, DATE(Initialisatie!$C$5,1,1)) + 1),
        IFERROR(VALUE($G110),0) * MAX(0, MIN($G$1, DATE(Initialisatie!$C$5,12,31)) - MAX($G$2, DATE(Initialisatie!$C$5,1,1)) + 1),
        IFERROR(VALUE($H110),0) * MAX(0, MIN($H$1, DATE(Initialisatie!$C$5,12,31)) - MAX($H$2, DATE(Initialisatie!$C$5,1,1)) + 1),
        IFERROR(VALUE($I110),0) * MAX(0, MIN($I$1, DATE(Initialisatie!$C$5,12,31)) - MAX($I$2, DATE(Initialisatie!$C$5,1,1)) + 1)
    ) / (DATE(Initialisatie!$C$5,12,31) - DATE(Initialisatie!$C$5,1,1) + 1)
)</f>
        <v>4724.42</v>
      </c>
      <c r="L110">
        <f>IF(
    OR(
        AND(MAX(0, IF(MIN($E$1, DATE(Initialisatie!$C$5,12,31)) &lt; MAX($E$2, DATE(Initialisatie!$C$5,1,1)), 0, MONTH(MIN($E$1, DATE(Initialisatie!$C$5,12,31))) - MONTH(MAX($E$2, DATE(Initialisatie!$C$5,1,1))) + 1)) &lt;= 0, IFERROR(VALUE($E110),0)=0),
        AND(MAX(0, IF(MIN($F$1, DATE(Initialisatie!$C$5,12,31)) &lt; MAX($F$2, DATE(Initialisatie!$C$5,1,1)), 0, MONTH(MIN($F$1, DATE(Initialisatie!$C$5,12,31))) - MONTH(MAX($F$2, DATE(Initialisatie!$C$5,1,1))) + 1)) &lt;= 0, IFERROR(VALUE($F110),0)=0),
        AND(MAX(0, IF(MIN($G$1, DATE(Initialisatie!$C$5,12,31)) &lt; MAX($G$2, DATE(Initialisatie!$C$5,1,1)), 0, MONTH(MIN($G$1, DATE(Initialisatie!$C$5,12,31))) - MONTH(MAX($G$2, DATE(Initialisatie!$C$5,1,1))) + 1)) &lt;= 0, IFERROR(VALUE($G110),0)=0),
        AND(MAX(0, IF(MIN($H$1, DATE(Initialisatie!$C$5,12,31)) &lt; MAX($H$2, DATE(Initialisatie!$C$5,1,1)), 0, MONTH(MIN($H$1, DATE(Initialisatie!$C$5,12,31))) - MONTH(MAX($H$2, DATE(Initialisatie!$C$5,1,1))) + 1)) &lt;= 0, IFERROR(VALUE($H110),0)=0),
        AND(MAX(0, IF(MIN($I$1, DATE(Initialisatie!$C$5,12,31)) &lt; MAX($I$2, DATE(Initialisatie!$C$5,1,1)), 0, MONTH(MIN($I$1, DATE(Initialisatie!$C$5,12,31))) - MONTH(MAX($I$2, DATE(Initialisatie!$C$5,1,1))) + 1)) &lt;= 0, IFERROR(VALUE($I110),0)=0)
    ),
    0,
    SUM(
        IFERROR(VALUE($E110),0) * MAX(0, IF(MIN($E$1, DATE(Initialisatie!$C$5,12,31)) &lt; MAX($E$2, DATE(Initialisatie!$C$5,1,1)), 0, MONTH(MIN($E$1, DATE(Initialisatie!$C$5,12,31))) - MONTH(MAX($E$2, DATE(Initialisatie!$C$5,1,1))) + 1)),
        IFERROR(VALUE($F110),0) * MAX(0, IF(MIN($F$1, DATE(Initialisatie!$C$5,12,31)) &lt; MAX($F$2, DATE(Initialisatie!$C$5,1,1)), 0, MONTH(MIN($F$1, DATE(Initialisatie!$C$5,12,31))) - MONTH(MAX($F$2, DATE(Initialisatie!$C$5,1,1))) + 1)),
        IFERROR(VALUE($G110),0) * MAX(0, IF(MIN($G$1, DATE(Initialisatie!$C$5,12,31)) &lt; MAX($G$2, DATE(Initialisatie!$C$5,1,1)), 0, MONTH(MIN($G$1, DATE(Initialisatie!$C$5,12,31))) - MONTH(MAX($G$2, DATE(Initialisatie!$C$5,1,1))) + 1)),
        IFERROR(VALUE($H110),0) * MAX(0, IF(MIN($H$1, DATE(Initialisatie!$C$5,12,31)) &lt; MAX($H$2, DATE(Initialisatie!$C$5,1,1)), 0, MONTH(MIN($H$1, DATE(Initialisatie!$C$5,12,31))) - MONTH(MAX($H$2, DATE(Initialisatie!$C$5,1,1))) + 1)),
        IFERROR(VALUE($I110),0) * MAX(0, IF(MIN($I$1, DATE(Initialisatie!$C$5,12,31)) &lt; MAX($I$2, DATE(Initialisatie!$C$5,1,1)), 0, MONTH(MIN($I$1, DATE(Initialisatie!$C$5,12,31))) - MONTH(MAX($I$2, DATE(Initialisatie!$C$5,1,1))) + 1))
    ) / 12
)</f>
        <v>4724.42</v>
      </c>
    </row>
    <row r="111" spans="1:12" x14ac:dyDescent="0.45">
      <c r="A111" s="989"/>
      <c r="B111" s="35" t="s">
        <v>87</v>
      </c>
      <c r="C111" s="35">
        <v>9</v>
      </c>
      <c r="D111" s="35" t="s">
        <v>180</v>
      </c>
      <c r="E111">
        <v>4492.8999999999996</v>
      </c>
      <c r="F111">
        <v>4549.0600000000004</v>
      </c>
      <c r="G111">
        <v>4712.83</v>
      </c>
      <c r="H111">
        <v>4887.2</v>
      </c>
      <c r="I111">
        <v>5053.37</v>
      </c>
      <c r="K111">
        <f>IF(
    OR(
        AND(MAX(0, MIN($E$1, DATE(Initialisatie!$C$5,12,31)) - MAX($E$2, DATE(Initialisatie!$C$5,1,1)) + 1) &gt; 0,IFERROR(VALUE($E111),0)=0),
        AND(MAX(0, MIN($F$1, DATE(Initialisatie!$C$5,12,31)) - MAX($F$2, DATE(Initialisatie!$C$5,1,1)) + 1) &gt; 0,IFERROR(VALUE($F111),0)=0),
        AND(MAX(0, MIN($G$1, DATE(Initialisatie!$C$5,12,31)) - MAX($G$2, DATE(Initialisatie!$C$5,1,1)) + 1) &gt; 0,IFERROR(VALUE($G111),0)=0),
        AND(MAX(0, MIN($H$1, DATE(Initialisatie!$C$5,12,31)) - MAX($H$2, DATE(Initialisatie!$C$5,1,1)) + 1) &gt; 0,IFERROR(VALUE($H111),0)=0),
        AND(MAX(0, MIN($I$1, DATE(Initialisatie!$C$5,12,31)) - MAX($I$2, DATE(Initialisatie!$C$5,1,1)) + 1) &gt; 0,IFERROR(VALUE($I111),0)=0)
    ),
    0,
    SUM(
        IFERROR(VALUE($E111),0) * MAX(0, MIN($E$1, DATE(Initialisatie!$C$5,12,31)) - MAX($E$2, DATE(Initialisatie!$C$5,1,1)) + 1),
        IFERROR(VALUE($F111),0) * MAX(0, MIN($F$1, DATE(Initialisatie!$C$5,12,31)) - MAX($F$2, DATE(Initialisatie!$C$5,1,1)) + 1),
        IFERROR(VALUE($G111),0) * MAX(0, MIN($G$1, DATE(Initialisatie!$C$5,12,31)) - MAX($G$2, DATE(Initialisatie!$C$5,1,1)) + 1),
        IFERROR(VALUE($H111),0) * MAX(0, MIN($H$1, DATE(Initialisatie!$C$5,12,31)) - MAX($H$2, DATE(Initialisatie!$C$5,1,1)) + 1),
        IFERROR(VALUE($I111),0) * MAX(0, MIN($I$1, DATE(Initialisatie!$C$5,12,31)) - MAX($I$2, DATE(Initialisatie!$C$5,1,1)) + 1)
    ) / (DATE(Initialisatie!$C$5,12,31) - DATE(Initialisatie!$C$5,1,1) + 1)
)</f>
        <v>4887.2</v>
      </c>
      <c r="L111">
        <f>IF(
    OR(
        AND(MAX(0, IF(MIN($E$1, DATE(Initialisatie!$C$5,12,31)) &lt; MAX($E$2, DATE(Initialisatie!$C$5,1,1)), 0, MONTH(MIN($E$1, DATE(Initialisatie!$C$5,12,31))) - MONTH(MAX($E$2, DATE(Initialisatie!$C$5,1,1))) + 1)) &lt;= 0, IFERROR(VALUE($E111),0)=0),
        AND(MAX(0, IF(MIN($F$1, DATE(Initialisatie!$C$5,12,31)) &lt; MAX($F$2, DATE(Initialisatie!$C$5,1,1)), 0, MONTH(MIN($F$1, DATE(Initialisatie!$C$5,12,31))) - MONTH(MAX($F$2, DATE(Initialisatie!$C$5,1,1))) + 1)) &lt;= 0, IFERROR(VALUE($F111),0)=0),
        AND(MAX(0, IF(MIN($G$1, DATE(Initialisatie!$C$5,12,31)) &lt; MAX($G$2, DATE(Initialisatie!$C$5,1,1)), 0, MONTH(MIN($G$1, DATE(Initialisatie!$C$5,12,31))) - MONTH(MAX($G$2, DATE(Initialisatie!$C$5,1,1))) + 1)) &lt;= 0, IFERROR(VALUE($G111),0)=0),
        AND(MAX(0, IF(MIN($H$1, DATE(Initialisatie!$C$5,12,31)) &lt; MAX($H$2, DATE(Initialisatie!$C$5,1,1)), 0, MONTH(MIN($H$1, DATE(Initialisatie!$C$5,12,31))) - MONTH(MAX($H$2, DATE(Initialisatie!$C$5,1,1))) + 1)) &lt;= 0, IFERROR(VALUE($H111),0)=0),
        AND(MAX(0, IF(MIN($I$1, DATE(Initialisatie!$C$5,12,31)) &lt; MAX($I$2, DATE(Initialisatie!$C$5,1,1)), 0, MONTH(MIN($I$1, DATE(Initialisatie!$C$5,12,31))) - MONTH(MAX($I$2, DATE(Initialisatie!$C$5,1,1))) + 1)) &lt;= 0, IFERROR(VALUE($I111),0)=0)
    ),
    0,
    SUM(
        IFERROR(VALUE($E111),0) * MAX(0, IF(MIN($E$1, DATE(Initialisatie!$C$5,12,31)) &lt; MAX($E$2, DATE(Initialisatie!$C$5,1,1)), 0, MONTH(MIN($E$1, DATE(Initialisatie!$C$5,12,31))) - MONTH(MAX($E$2, DATE(Initialisatie!$C$5,1,1))) + 1)),
        IFERROR(VALUE($F111),0) * MAX(0, IF(MIN($F$1, DATE(Initialisatie!$C$5,12,31)) &lt; MAX($F$2, DATE(Initialisatie!$C$5,1,1)), 0, MONTH(MIN($F$1, DATE(Initialisatie!$C$5,12,31))) - MONTH(MAX($F$2, DATE(Initialisatie!$C$5,1,1))) + 1)),
        IFERROR(VALUE($G111),0) * MAX(0, IF(MIN($G$1, DATE(Initialisatie!$C$5,12,31)) &lt; MAX($G$2, DATE(Initialisatie!$C$5,1,1)), 0, MONTH(MIN($G$1, DATE(Initialisatie!$C$5,12,31))) - MONTH(MAX($G$2, DATE(Initialisatie!$C$5,1,1))) + 1)),
        IFERROR(VALUE($H111),0) * MAX(0, IF(MIN($H$1, DATE(Initialisatie!$C$5,12,31)) &lt; MAX($H$2, DATE(Initialisatie!$C$5,1,1)), 0, MONTH(MIN($H$1, DATE(Initialisatie!$C$5,12,31))) - MONTH(MAX($H$2, DATE(Initialisatie!$C$5,1,1))) + 1)),
        IFERROR(VALUE($I111),0) * MAX(0, IF(MIN($I$1, DATE(Initialisatie!$C$5,12,31)) &lt; MAX($I$2, DATE(Initialisatie!$C$5,1,1)), 0, MONTH(MIN($I$1, DATE(Initialisatie!$C$5,12,31))) - MONTH(MAX($I$2, DATE(Initialisatie!$C$5,1,1))) + 1))
    ) / 12
)</f>
        <v>4887.2</v>
      </c>
    </row>
    <row r="112" spans="1:12" x14ac:dyDescent="0.45">
      <c r="A112" s="989"/>
      <c r="B112" s="35" t="s">
        <v>109</v>
      </c>
      <c r="C112" s="35">
        <v>10</v>
      </c>
      <c r="D112" s="35" t="s">
        <v>191</v>
      </c>
      <c r="E112">
        <v>4647.66</v>
      </c>
      <c r="F112">
        <v>4705.76</v>
      </c>
      <c r="G112">
        <v>4875.16</v>
      </c>
      <c r="H112">
        <v>5055.54</v>
      </c>
      <c r="I112">
        <v>5227.43</v>
      </c>
      <c r="K112">
        <f>IF(
    OR(
        AND(MAX(0, MIN($E$1, DATE(Initialisatie!$C$5,12,31)) - MAX($E$2, DATE(Initialisatie!$C$5,1,1)) + 1) &gt; 0,IFERROR(VALUE($E112),0)=0),
        AND(MAX(0, MIN($F$1, DATE(Initialisatie!$C$5,12,31)) - MAX($F$2, DATE(Initialisatie!$C$5,1,1)) + 1) &gt; 0,IFERROR(VALUE($F112),0)=0),
        AND(MAX(0, MIN($G$1, DATE(Initialisatie!$C$5,12,31)) - MAX($G$2, DATE(Initialisatie!$C$5,1,1)) + 1) &gt; 0,IFERROR(VALUE($G112),0)=0),
        AND(MAX(0, MIN($H$1, DATE(Initialisatie!$C$5,12,31)) - MAX($H$2, DATE(Initialisatie!$C$5,1,1)) + 1) &gt; 0,IFERROR(VALUE($H112),0)=0),
        AND(MAX(0, MIN($I$1, DATE(Initialisatie!$C$5,12,31)) - MAX($I$2, DATE(Initialisatie!$C$5,1,1)) + 1) &gt; 0,IFERROR(VALUE($I112),0)=0)
    ),
    0,
    SUM(
        IFERROR(VALUE($E112),0) * MAX(0, MIN($E$1, DATE(Initialisatie!$C$5,12,31)) - MAX($E$2, DATE(Initialisatie!$C$5,1,1)) + 1),
        IFERROR(VALUE($F112),0) * MAX(0, MIN($F$1, DATE(Initialisatie!$C$5,12,31)) - MAX($F$2, DATE(Initialisatie!$C$5,1,1)) + 1),
        IFERROR(VALUE($G112),0) * MAX(0, MIN($G$1, DATE(Initialisatie!$C$5,12,31)) - MAX($G$2, DATE(Initialisatie!$C$5,1,1)) + 1),
        IFERROR(VALUE($H112),0) * MAX(0, MIN($H$1, DATE(Initialisatie!$C$5,12,31)) - MAX($H$2, DATE(Initialisatie!$C$5,1,1)) + 1),
        IFERROR(VALUE($I112),0) * MAX(0, MIN($I$1, DATE(Initialisatie!$C$5,12,31)) - MAX($I$2, DATE(Initialisatie!$C$5,1,1)) + 1)
    ) / (DATE(Initialisatie!$C$5,12,31) - DATE(Initialisatie!$C$5,1,1) + 1)
)</f>
        <v>5055.54</v>
      </c>
      <c r="L112">
        <f>IF(
    OR(
        AND(MAX(0, IF(MIN($E$1, DATE(Initialisatie!$C$5,12,31)) &lt; MAX($E$2, DATE(Initialisatie!$C$5,1,1)), 0, MONTH(MIN($E$1, DATE(Initialisatie!$C$5,12,31))) - MONTH(MAX($E$2, DATE(Initialisatie!$C$5,1,1))) + 1)) &lt;= 0, IFERROR(VALUE($E112),0)=0),
        AND(MAX(0, IF(MIN($F$1, DATE(Initialisatie!$C$5,12,31)) &lt; MAX($F$2, DATE(Initialisatie!$C$5,1,1)), 0, MONTH(MIN($F$1, DATE(Initialisatie!$C$5,12,31))) - MONTH(MAX($F$2, DATE(Initialisatie!$C$5,1,1))) + 1)) &lt;= 0, IFERROR(VALUE($F112),0)=0),
        AND(MAX(0, IF(MIN($G$1, DATE(Initialisatie!$C$5,12,31)) &lt; MAX($G$2, DATE(Initialisatie!$C$5,1,1)), 0, MONTH(MIN($G$1, DATE(Initialisatie!$C$5,12,31))) - MONTH(MAX($G$2, DATE(Initialisatie!$C$5,1,1))) + 1)) &lt;= 0, IFERROR(VALUE($G112),0)=0),
        AND(MAX(0, IF(MIN($H$1, DATE(Initialisatie!$C$5,12,31)) &lt; MAX($H$2, DATE(Initialisatie!$C$5,1,1)), 0, MONTH(MIN($H$1, DATE(Initialisatie!$C$5,12,31))) - MONTH(MAX($H$2, DATE(Initialisatie!$C$5,1,1))) + 1)) &lt;= 0, IFERROR(VALUE($H112),0)=0),
        AND(MAX(0, IF(MIN($I$1, DATE(Initialisatie!$C$5,12,31)) &lt; MAX($I$2, DATE(Initialisatie!$C$5,1,1)), 0, MONTH(MIN($I$1, DATE(Initialisatie!$C$5,12,31))) - MONTH(MAX($I$2, DATE(Initialisatie!$C$5,1,1))) + 1)) &lt;= 0, IFERROR(VALUE($I112),0)=0)
    ),
    0,
    SUM(
        IFERROR(VALUE($E112),0) * MAX(0, IF(MIN($E$1, DATE(Initialisatie!$C$5,12,31)) &lt; MAX($E$2, DATE(Initialisatie!$C$5,1,1)), 0, MONTH(MIN($E$1, DATE(Initialisatie!$C$5,12,31))) - MONTH(MAX($E$2, DATE(Initialisatie!$C$5,1,1))) + 1)),
        IFERROR(VALUE($F112),0) * MAX(0, IF(MIN($F$1, DATE(Initialisatie!$C$5,12,31)) &lt; MAX($F$2, DATE(Initialisatie!$C$5,1,1)), 0, MONTH(MIN($F$1, DATE(Initialisatie!$C$5,12,31))) - MONTH(MAX($F$2, DATE(Initialisatie!$C$5,1,1))) + 1)),
        IFERROR(VALUE($G112),0) * MAX(0, IF(MIN($G$1, DATE(Initialisatie!$C$5,12,31)) &lt; MAX($G$2, DATE(Initialisatie!$C$5,1,1)), 0, MONTH(MIN($G$1, DATE(Initialisatie!$C$5,12,31))) - MONTH(MAX($G$2, DATE(Initialisatie!$C$5,1,1))) + 1)),
        IFERROR(VALUE($H112),0) * MAX(0, IF(MIN($H$1, DATE(Initialisatie!$C$5,12,31)) &lt; MAX($H$2, DATE(Initialisatie!$C$5,1,1)), 0, MONTH(MIN($H$1, DATE(Initialisatie!$C$5,12,31))) - MONTH(MAX($H$2, DATE(Initialisatie!$C$5,1,1))) + 1)),
        IFERROR(VALUE($I112),0) * MAX(0, IF(MIN($I$1, DATE(Initialisatie!$C$5,12,31)) &lt; MAX($I$2, DATE(Initialisatie!$C$5,1,1)), 0, MONTH(MIN($I$1, DATE(Initialisatie!$C$5,12,31))) - MONTH(MAX($I$2, DATE(Initialisatie!$C$5,1,1))) + 1))
    ) / 12
)</f>
        <v>5055.54</v>
      </c>
    </row>
    <row r="113" spans="1:12" x14ac:dyDescent="0.45">
      <c r="A113" s="989"/>
      <c r="B113" s="35" t="s">
        <v>107</v>
      </c>
      <c r="C113" s="35">
        <v>11</v>
      </c>
      <c r="D113" s="35" t="s">
        <v>190</v>
      </c>
      <c r="E113">
        <v>4808.22</v>
      </c>
      <c r="F113">
        <v>4868.33</v>
      </c>
      <c r="G113">
        <v>5043.59</v>
      </c>
      <c r="H113">
        <v>5230.2</v>
      </c>
      <c r="I113">
        <v>5408.03</v>
      </c>
      <c r="K113">
        <f>IF(
    OR(
        AND(MAX(0, MIN($E$1, DATE(Initialisatie!$C$5,12,31)) - MAX($E$2, DATE(Initialisatie!$C$5,1,1)) + 1) &gt; 0,IFERROR(VALUE($E113),0)=0),
        AND(MAX(0, MIN($F$1, DATE(Initialisatie!$C$5,12,31)) - MAX($F$2, DATE(Initialisatie!$C$5,1,1)) + 1) &gt; 0,IFERROR(VALUE($F113),0)=0),
        AND(MAX(0, MIN($G$1, DATE(Initialisatie!$C$5,12,31)) - MAX($G$2, DATE(Initialisatie!$C$5,1,1)) + 1) &gt; 0,IFERROR(VALUE($G113),0)=0),
        AND(MAX(0, MIN($H$1, DATE(Initialisatie!$C$5,12,31)) - MAX($H$2, DATE(Initialisatie!$C$5,1,1)) + 1) &gt; 0,IFERROR(VALUE($H113),0)=0),
        AND(MAX(0, MIN($I$1, DATE(Initialisatie!$C$5,12,31)) - MAX($I$2, DATE(Initialisatie!$C$5,1,1)) + 1) &gt; 0,IFERROR(VALUE($I113),0)=0)
    ),
    0,
    SUM(
        IFERROR(VALUE($E113),0) * MAX(0, MIN($E$1, DATE(Initialisatie!$C$5,12,31)) - MAX($E$2, DATE(Initialisatie!$C$5,1,1)) + 1),
        IFERROR(VALUE($F113),0) * MAX(0, MIN($F$1, DATE(Initialisatie!$C$5,12,31)) - MAX($F$2, DATE(Initialisatie!$C$5,1,1)) + 1),
        IFERROR(VALUE($G113),0) * MAX(0, MIN($G$1, DATE(Initialisatie!$C$5,12,31)) - MAX($G$2, DATE(Initialisatie!$C$5,1,1)) + 1),
        IFERROR(VALUE($H113),0) * MAX(0, MIN($H$1, DATE(Initialisatie!$C$5,12,31)) - MAX($H$2, DATE(Initialisatie!$C$5,1,1)) + 1),
        IFERROR(VALUE($I113),0) * MAX(0, MIN($I$1, DATE(Initialisatie!$C$5,12,31)) - MAX($I$2, DATE(Initialisatie!$C$5,1,1)) + 1)
    ) / (DATE(Initialisatie!$C$5,12,31) - DATE(Initialisatie!$C$5,1,1) + 1)
)</f>
        <v>5230.2</v>
      </c>
      <c r="L113">
        <f>IF(
    OR(
        AND(MAX(0, IF(MIN($E$1, DATE(Initialisatie!$C$5,12,31)) &lt; MAX($E$2, DATE(Initialisatie!$C$5,1,1)), 0, MONTH(MIN($E$1, DATE(Initialisatie!$C$5,12,31))) - MONTH(MAX($E$2, DATE(Initialisatie!$C$5,1,1))) + 1)) &lt;= 0, IFERROR(VALUE($E113),0)=0),
        AND(MAX(0, IF(MIN($F$1, DATE(Initialisatie!$C$5,12,31)) &lt; MAX($F$2, DATE(Initialisatie!$C$5,1,1)), 0, MONTH(MIN($F$1, DATE(Initialisatie!$C$5,12,31))) - MONTH(MAX($F$2, DATE(Initialisatie!$C$5,1,1))) + 1)) &lt;= 0, IFERROR(VALUE($F113),0)=0),
        AND(MAX(0, IF(MIN($G$1, DATE(Initialisatie!$C$5,12,31)) &lt; MAX($G$2, DATE(Initialisatie!$C$5,1,1)), 0, MONTH(MIN($G$1, DATE(Initialisatie!$C$5,12,31))) - MONTH(MAX($G$2, DATE(Initialisatie!$C$5,1,1))) + 1)) &lt;= 0, IFERROR(VALUE($G113),0)=0),
        AND(MAX(0, IF(MIN($H$1, DATE(Initialisatie!$C$5,12,31)) &lt; MAX($H$2, DATE(Initialisatie!$C$5,1,1)), 0, MONTH(MIN($H$1, DATE(Initialisatie!$C$5,12,31))) - MONTH(MAX($H$2, DATE(Initialisatie!$C$5,1,1))) + 1)) &lt;= 0, IFERROR(VALUE($H113),0)=0),
        AND(MAX(0, IF(MIN($I$1, DATE(Initialisatie!$C$5,12,31)) &lt; MAX($I$2, DATE(Initialisatie!$C$5,1,1)), 0, MONTH(MIN($I$1, DATE(Initialisatie!$C$5,12,31))) - MONTH(MAX($I$2, DATE(Initialisatie!$C$5,1,1))) + 1)) &lt;= 0, IFERROR(VALUE($I113),0)=0)
    ),
    0,
    SUM(
        IFERROR(VALUE($E113),0) * MAX(0, IF(MIN($E$1, DATE(Initialisatie!$C$5,12,31)) &lt; MAX($E$2, DATE(Initialisatie!$C$5,1,1)), 0, MONTH(MIN($E$1, DATE(Initialisatie!$C$5,12,31))) - MONTH(MAX($E$2, DATE(Initialisatie!$C$5,1,1))) + 1)),
        IFERROR(VALUE($F113),0) * MAX(0, IF(MIN($F$1, DATE(Initialisatie!$C$5,12,31)) &lt; MAX($F$2, DATE(Initialisatie!$C$5,1,1)), 0, MONTH(MIN($F$1, DATE(Initialisatie!$C$5,12,31))) - MONTH(MAX($F$2, DATE(Initialisatie!$C$5,1,1))) + 1)),
        IFERROR(VALUE($G113),0) * MAX(0, IF(MIN($G$1, DATE(Initialisatie!$C$5,12,31)) &lt; MAX($G$2, DATE(Initialisatie!$C$5,1,1)), 0, MONTH(MIN($G$1, DATE(Initialisatie!$C$5,12,31))) - MONTH(MAX($G$2, DATE(Initialisatie!$C$5,1,1))) + 1)),
        IFERROR(VALUE($H113),0) * MAX(0, IF(MIN($H$1, DATE(Initialisatie!$C$5,12,31)) &lt; MAX($H$2, DATE(Initialisatie!$C$5,1,1)), 0, MONTH(MIN($H$1, DATE(Initialisatie!$C$5,12,31))) - MONTH(MAX($H$2, DATE(Initialisatie!$C$5,1,1))) + 1)),
        IFERROR(VALUE($I113),0) * MAX(0, IF(MIN($I$1, DATE(Initialisatie!$C$5,12,31)) &lt; MAX($I$2, DATE(Initialisatie!$C$5,1,1)), 0, MONTH(MIN($I$1, DATE(Initialisatie!$C$5,12,31))) - MONTH(MAX($I$2, DATE(Initialisatie!$C$5,1,1))) + 1))
    ) / 12
)</f>
        <v>5230.2</v>
      </c>
    </row>
    <row r="114" spans="1:12" x14ac:dyDescent="0.45">
      <c r="A114" s="989"/>
      <c r="B114" s="35" t="s">
        <v>105</v>
      </c>
      <c r="C114" s="35">
        <v>12</v>
      </c>
      <c r="D114" s="35" t="s">
        <v>189</v>
      </c>
      <c r="E114">
        <v>4973.88</v>
      </c>
      <c r="F114">
        <v>5036.05</v>
      </c>
      <c r="G114">
        <v>5217.3500000000004</v>
      </c>
      <c r="H114">
        <v>5410.39</v>
      </c>
      <c r="I114">
        <v>5594.35</v>
      </c>
      <c r="K114">
        <f>IF(
    OR(
        AND(MAX(0, MIN($E$1, DATE(Initialisatie!$C$5,12,31)) - MAX($E$2, DATE(Initialisatie!$C$5,1,1)) + 1) &gt; 0,IFERROR(VALUE($E114),0)=0),
        AND(MAX(0, MIN($F$1, DATE(Initialisatie!$C$5,12,31)) - MAX($F$2, DATE(Initialisatie!$C$5,1,1)) + 1) &gt; 0,IFERROR(VALUE($F114),0)=0),
        AND(MAX(0, MIN($G$1, DATE(Initialisatie!$C$5,12,31)) - MAX($G$2, DATE(Initialisatie!$C$5,1,1)) + 1) &gt; 0,IFERROR(VALUE($G114),0)=0),
        AND(MAX(0, MIN($H$1, DATE(Initialisatie!$C$5,12,31)) - MAX($H$2, DATE(Initialisatie!$C$5,1,1)) + 1) &gt; 0,IFERROR(VALUE($H114),0)=0),
        AND(MAX(0, MIN($I$1, DATE(Initialisatie!$C$5,12,31)) - MAX($I$2, DATE(Initialisatie!$C$5,1,1)) + 1) &gt; 0,IFERROR(VALUE($I114),0)=0)
    ),
    0,
    SUM(
        IFERROR(VALUE($E114),0) * MAX(0, MIN($E$1, DATE(Initialisatie!$C$5,12,31)) - MAX($E$2, DATE(Initialisatie!$C$5,1,1)) + 1),
        IFERROR(VALUE($F114),0) * MAX(0, MIN($F$1, DATE(Initialisatie!$C$5,12,31)) - MAX($F$2, DATE(Initialisatie!$C$5,1,1)) + 1),
        IFERROR(VALUE($G114),0) * MAX(0, MIN($G$1, DATE(Initialisatie!$C$5,12,31)) - MAX($G$2, DATE(Initialisatie!$C$5,1,1)) + 1),
        IFERROR(VALUE($H114),0) * MAX(0, MIN($H$1, DATE(Initialisatie!$C$5,12,31)) - MAX($H$2, DATE(Initialisatie!$C$5,1,1)) + 1),
        IFERROR(VALUE($I114),0) * MAX(0, MIN($I$1, DATE(Initialisatie!$C$5,12,31)) - MAX($I$2, DATE(Initialisatie!$C$5,1,1)) + 1)
    ) / (DATE(Initialisatie!$C$5,12,31) - DATE(Initialisatie!$C$5,1,1) + 1)
)</f>
        <v>5410.39</v>
      </c>
      <c r="L114">
        <f>IF(
    OR(
        AND(MAX(0, IF(MIN($E$1, DATE(Initialisatie!$C$5,12,31)) &lt; MAX($E$2, DATE(Initialisatie!$C$5,1,1)), 0, MONTH(MIN($E$1, DATE(Initialisatie!$C$5,12,31))) - MONTH(MAX($E$2, DATE(Initialisatie!$C$5,1,1))) + 1)) &lt;= 0, IFERROR(VALUE($E114),0)=0),
        AND(MAX(0, IF(MIN($F$1, DATE(Initialisatie!$C$5,12,31)) &lt; MAX($F$2, DATE(Initialisatie!$C$5,1,1)), 0, MONTH(MIN($F$1, DATE(Initialisatie!$C$5,12,31))) - MONTH(MAX($F$2, DATE(Initialisatie!$C$5,1,1))) + 1)) &lt;= 0, IFERROR(VALUE($F114),0)=0),
        AND(MAX(0, IF(MIN($G$1, DATE(Initialisatie!$C$5,12,31)) &lt; MAX($G$2, DATE(Initialisatie!$C$5,1,1)), 0, MONTH(MIN($G$1, DATE(Initialisatie!$C$5,12,31))) - MONTH(MAX($G$2, DATE(Initialisatie!$C$5,1,1))) + 1)) &lt;= 0, IFERROR(VALUE($G114),0)=0),
        AND(MAX(0, IF(MIN($H$1, DATE(Initialisatie!$C$5,12,31)) &lt; MAX($H$2, DATE(Initialisatie!$C$5,1,1)), 0, MONTH(MIN($H$1, DATE(Initialisatie!$C$5,12,31))) - MONTH(MAX($H$2, DATE(Initialisatie!$C$5,1,1))) + 1)) &lt;= 0, IFERROR(VALUE($H114),0)=0),
        AND(MAX(0, IF(MIN($I$1, DATE(Initialisatie!$C$5,12,31)) &lt; MAX($I$2, DATE(Initialisatie!$C$5,1,1)), 0, MONTH(MIN($I$1, DATE(Initialisatie!$C$5,12,31))) - MONTH(MAX($I$2, DATE(Initialisatie!$C$5,1,1))) + 1)) &lt;= 0, IFERROR(VALUE($I114),0)=0)
    ),
    0,
    SUM(
        IFERROR(VALUE($E114),0) * MAX(0, IF(MIN($E$1, DATE(Initialisatie!$C$5,12,31)) &lt; MAX($E$2, DATE(Initialisatie!$C$5,1,1)), 0, MONTH(MIN($E$1, DATE(Initialisatie!$C$5,12,31))) - MONTH(MAX($E$2, DATE(Initialisatie!$C$5,1,1))) + 1)),
        IFERROR(VALUE($F114),0) * MAX(0, IF(MIN($F$1, DATE(Initialisatie!$C$5,12,31)) &lt; MAX($F$2, DATE(Initialisatie!$C$5,1,1)), 0, MONTH(MIN($F$1, DATE(Initialisatie!$C$5,12,31))) - MONTH(MAX($F$2, DATE(Initialisatie!$C$5,1,1))) + 1)),
        IFERROR(VALUE($G114),0) * MAX(0, IF(MIN($G$1, DATE(Initialisatie!$C$5,12,31)) &lt; MAX($G$2, DATE(Initialisatie!$C$5,1,1)), 0, MONTH(MIN($G$1, DATE(Initialisatie!$C$5,12,31))) - MONTH(MAX($G$2, DATE(Initialisatie!$C$5,1,1))) + 1)),
        IFERROR(VALUE($H114),0) * MAX(0, IF(MIN($H$1, DATE(Initialisatie!$C$5,12,31)) &lt; MAX($H$2, DATE(Initialisatie!$C$5,1,1)), 0, MONTH(MIN($H$1, DATE(Initialisatie!$C$5,12,31))) - MONTH(MAX($H$2, DATE(Initialisatie!$C$5,1,1))) + 1)),
        IFERROR(VALUE($I114),0) * MAX(0, IF(MIN($I$1, DATE(Initialisatie!$C$5,12,31)) &lt; MAX($I$2, DATE(Initialisatie!$C$5,1,1)), 0, MONTH(MIN($I$1, DATE(Initialisatie!$C$5,12,31))) - MONTH(MAX($I$2, DATE(Initialisatie!$C$5,1,1))) + 1))
    ) / 12
)</f>
        <v>5410.39</v>
      </c>
    </row>
    <row r="115" spans="1:12" x14ac:dyDescent="0.45">
      <c r="A115" s="989"/>
      <c r="B115" s="35" t="s">
        <v>103</v>
      </c>
      <c r="C115" s="35">
        <v>13</v>
      </c>
      <c r="D115" s="35" t="s">
        <v>188</v>
      </c>
      <c r="E115">
        <v>0</v>
      </c>
      <c r="F115">
        <v>0</v>
      </c>
      <c r="G115">
        <v>0</v>
      </c>
      <c r="H115">
        <v>0</v>
      </c>
      <c r="I115">
        <v>0</v>
      </c>
      <c r="K115">
        <f>IF(
    OR(
        AND(MAX(0, MIN($E$1, DATE(Initialisatie!$C$5,12,31)) - MAX($E$2, DATE(Initialisatie!$C$5,1,1)) + 1) &gt; 0,IFERROR(VALUE($E115),0)=0),
        AND(MAX(0, MIN($F$1, DATE(Initialisatie!$C$5,12,31)) - MAX($F$2, DATE(Initialisatie!$C$5,1,1)) + 1) &gt; 0,IFERROR(VALUE($F115),0)=0),
        AND(MAX(0, MIN($G$1, DATE(Initialisatie!$C$5,12,31)) - MAX($G$2, DATE(Initialisatie!$C$5,1,1)) + 1) &gt; 0,IFERROR(VALUE($G115),0)=0),
        AND(MAX(0, MIN($H$1, DATE(Initialisatie!$C$5,12,31)) - MAX($H$2, DATE(Initialisatie!$C$5,1,1)) + 1) &gt; 0,IFERROR(VALUE($H115),0)=0),
        AND(MAX(0, MIN($I$1, DATE(Initialisatie!$C$5,12,31)) - MAX($I$2, DATE(Initialisatie!$C$5,1,1)) + 1) &gt; 0,IFERROR(VALUE($I115),0)=0)
    ),
    0,
    SUM(
        IFERROR(VALUE($E115),0) * MAX(0, MIN($E$1, DATE(Initialisatie!$C$5,12,31)) - MAX($E$2, DATE(Initialisatie!$C$5,1,1)) + 1),
        IFERROR(VALUE($F115),0) * MAX(0, MIN($F$1, DATE(Initialisatie!$C$5,12,31)) - MAX($F$2, DATE(Initialisatie!$C$5,1,1)) + 1),
        IFERROR(VALUE($G115),0) * MAX(0, MIN($G$1, DATE(Initialisatie!$C$5,12,31)) - MAX($G$2, DATE(Initialisatie!$C$5,1,1)) + 1),
        IFERROR(VALUE($H115),0) * MAX(0, MIN($H$1, DATE(Initialisatie!$C$5,12,31)) - MAX($H$2, DATE(Initialisatie!$C$5,1,1)) + 1),
        IFERROR(VALUE($I115),0) * MAX(0, MIN($I$1, DATE(Initialisatie!$C$5,12,31)) - MAX($I$2, DATE(Initialisatie!$C$5,1,1)) + 1)
    ) / (DATE(Initialisatie!$C$5,12,31) - DATE(Initialisatie!$C$5,1,1) + 1)
)</f>
        <v>0</v>
      </c>
      <c r="L115">
        <f>IF(
    OR(
        AND(MAX(0, IF(MIN($E$1, DATE(Initialisatie!$C$5,12,31)) &lt; MAX($E$2, DATE(Initialisatie!$C$5,1,1)), 0, MONTH(MIN($E$1, DATE(Initialisatie!$C$5,12,31))) - MONTH(MAX($E$2, DATE(Initialisatie!$C$5,1,1))) + 1)) &lt;= 0, IFERROR(VALUE($E115),0)=0),
        AND(MAX(0, IF(MIN($F$1, DATE(Initialisatie!$C$5,12,31)) &lt; MAX($F$2, DATE(Initialisatie!$C$5,1,1)), 0, MONTH(MIN($F$1, DATE(Initialisatie!$C$5,12,31))) - MONTH(MAX($F$2, DATE(Initialisatie!$C$5,1,1))) + 1)) &lt;= 0, IFERROR(VALUE($F115),0)=0),
        AND(MAX(0, IF(MIN($G$1, DATE(Initialisatie!$C$5,12,31)) &lt; MAX($G$2, DATE(Initialisatie!$C$5,1,1)), 0, MONTH(MIN($G$1, DATE(Initialisatie!$C$5,12,31))) - MONTH(MAX($G$2, DATE(Initialisatie!$C$5,1,1))) + 1)) &lt;= 0, IFERROR(VALUE($G115),0)=0),
        AND(MAX(0, IF(MIN($H$1, DATE(Initialisatie!$C$5,12,31)) &lt; MAX($H$2, DATE(Initialisatie!$C$5,1,1)), 0, MONTH(MIN($H$1, DATE(Initialisatie!$C$5,12,31))) - MONTH(MAX($H$2, DATE(Initialisatie!$C$5,1,1))) + 1)) &lt;= 0, IFERROR(VALUE($H115),0)=0),
        AND(MAX(0, IF(MIN($I$1, DATE(Initialisatie!$C$5,12,31)) &lt; MAX($I$2, DATE(Initialisatie!$C$5,1,1)), 0, MONTH(MIN($I$1, DATE(Initialisatie!$C$5,12,31))) - MONTH(MAX($I$2, DATE(Initialisatie!$C$5,1,1))) + 1)) &lt;= 0, IFERROR(VALUE($I115),0)=0)
    ),
    0,
    SUM(
        IFERROR(VALUE($E115),0) * MAX(0, IF(MIN($E$1, DATE(Initialisatie!$C$5,12,31)) &lt; MAX($E$2, DATE(Initialisatie!$C$5,1,1)), 0, MONTH(MIN($E$1, DATE(Initialisatie!$C$5,12,31))) - MONTH(MAX($E$2, DATE(Initialisatie!$C$5,1,1))) + 1)),
        IFERROR(VALUE($F115),0) * MAX(0, IF(MIN($F$1, DATE(Initialisatie!$C$5,12,31)) &lt; MAX($F$2, DATE(Initialisatie!$C$5,1,1)), 0, MONTH(MIN($F$1, DATE(Initialisatie!$C$5,12,31))) - MONTH(MAX($F$2, DATE(Initialisatie!$C$5,1,1))) + 1)),
        IFERROR(VALUE($G115),0) * MAX(0, IF(MIN($G$1, DATE(Initialisatie!$C$5,12,31)) &lt; MAX($G$2, DATE(Initialisatie!$C$5,1,1)), 0, MONTH(MIN($G$1, DATE(Initialisatie!$C$5,12,31))) - MONTH(MAX($G$2, DATE(Initialisatie!$C$5,1,1))) + 1)),
        IFERROR(VALUE($H115),0) * MAX(0, IF(MIN($H$1, DATE(Initialisatie!$C$5,12,31)) &lt; MAX($H$2, DATE(Initialisatie!$C$5,1,1)), 0, MONTH(MIN($H$1, DATE(Initialisatie!$C$5,12,31))) - MONTH(MAX($H$2, DATE(Initialisatie!$C$5,1,1))) + 1)),
        IFERROR(VALUE($I115),0) * MAX(0, IF(MIN($I$1, DATE(Initialisatie!$C$5,12,31)) &lt; MAX($I$2, DATE(Initialisatie!$C$5,1,1)), 0, MONTH(MIN($I$1, DATE(Initialisatie!$C$5,12,31))) - MONTH(MAX($I$2, DATE(Initialisatie!$C$5,1,1))) + 1))
    ) / 12
)</f>
        <v>0</v>
      </c>
    </row>
    <row r="116" spans="1:12" x14ac:dyDescent="0.45">
      <c r="A116" s="989"/>
      <c r="B116" s="35" t="s">
        <v>531</v>
      </c>
      <c r="C116" s="35">
        <v>14</v>
      </c>
      <c r="D116" s="35" t="s">
        <v>179</v>
      </c>
      <c r="E116">
        <v>5145.34</v>
      </c>
      <c r="F116">
        <v>5209.66</v>
      </c>
      <c r="G116">
        <v>5397.21</v>
      </c>
      <c r="H116">
        <v>5596.91</v>
      </c>
      <c r="I116">
        <v>5787.2</v>
      </c>
      <c r="K116">
        <f>IF(
    OR(
        AND(MAX(0, MIN($E$1, DATE(Initialisatie!$C$5,12,31)) - MAX($E$2, DATE(Initialisatie!$C$5,1,1)) + 1) &gt; 0,IFERROR(VALUE($E116),0)=0),
        AND(MAX(0, MIN($F$1, DATE(Initialisatie!$C$5,12,31)) - MAX($F$2, DATE(Initialisatie!$C$5,1,1)) + 1) &gt; 0,IFERROR(VALUE($F116),0)=0),
        AND(MAX(0, MIN($G$1, DATE(Initialisatie!$C$5,12,31)) - MAX($G$2, DATE(Initialisatie!$C$5,1,1)) + 1) &gt; 0,IFERROR(VALUE($G116),0)=0),
        AND(MAX(0, MIN($H$1, DATE(Initialisatie!$C$5,12,31)) - MAX($H$2, DATE(Initialisatie!$C$5,1,1)) + 1) &gt; 0,IFERROR(VALUE($H116),0)=0),
        AND(MAX(0, MIN($I$1, DATE(Initialisatie!$C$5,12,31)) - MAX($I$2, DATE(Initialisatie!$C$5,1,1)) + 1) &gt; 0,IFERROR(VALUE($I116),0)=0)
    ),
    0,
    SUM(
        IFERROR(VALUE($E116),0) * MAX(0, MIN($E$1, DATE(Initialisatie!$C$5,12,31)) - MAX($E$2, DATE(Initialisatie!$C$5,1,1)) + 1),
        IFERROR(VALUE($F116),0) * MAX(0, MIN($F$1, DATE(Initialisatie!$C$5,12,31)) - MAX($F$2, DATE(Initialisatie!$C$5,1,1)) + 1),
        IFERROR(VALUE($G116),0) * MAX(0, MIN($G$1, DATE(Initialisatie!$C$5,12,31)) - MAX($G$2, DATE(Initialisatie!$C$5,1,1)) + 1),
        IFERROR(VALUE($H116),0) * MAX(0, MIN($H$1, DATE(Initialisatie!$C$5,12,31)) - MAX($H$2, DATE(Initialisatie!$C$5,1,1)) + 1),
        IFERROR(VALUE($I116),0) * MAX(0, MIN($I$1, DATE(Initialisatie!$C$5,12,31)) - MAX($I$2, DATE(Initialisatie!$C$5,1,1)) + 1)
    ) / (DATE(Initialisatie!$C$5,12,31) - DATE(Initialisatie!$C$5,1,1) + 1)
)</f>
        <v>5596.91</v>
      </c>
      <c r="L116">
        <f>IF(
    OR(
        AND(MAX(0, IF(MIN($E$1, DATE(Initialisatie!$C$5,12,31)) &lt; MAX($E$2, DATE(Initialisatie!$C$5,1,1)), 0, MONTH(MIN($E$1, DATE(Initialisatie!$C$5,12,31))) - MONTH(MAX($E$2, DATE(Initialisatie!$C$5,1,1))) + 1)) &lt;= 0, IFERROR(VALUE($E116),0)=0),
        AND(MAX(0, IF(MIN($F$1, DATE(Initialisatie!$C$5,12,31)) &lt; MAX($F$2, DATE(Initialisatie!$C$5,1,1)), 0, MONTH(MIN($F$1, DATE(Initialisatie!$C$5,12,31))) - MONTH(MAX($F$2, DATE(Initialisatie!$C$5,1,1))) + 1)) &lt;= 0, IFERROR(VALUE($F116),0)=0),
        AND(MAX(0, IF(MIN($G$1, DATE(Initialisatie!$C$5,12,31)) &lt; MAX($G$2, DATE(Initialisatie!$C$5,1,1)), 0, MONTH(MIN($G$1, DATE(Initialisatie!$C$5,12,31))) - MONTH(MAX($G$2, DATE(Initialisatie!$C$5,1,1))) + 1)) &lt;= 0, IFERROR(VALUE($G116),0)=0),
        AND(MAX(0, IF(MIN($H$1, DATE(Initialisatie!$C$5,12,31)) &lt; MAX($H$2, DATE(Initialisatie!$C$5,1,1)), 0, MONTH(MIN($H$1, DATE(Initialisatie!$C$5,12,31))) - MONTH(MAX($H$2, DATE(Initialisatie!$C$5,1,1))) + 1)) &lt;= 0, IFERROR(VALUE($H116),0)=0),
        AND(MAX(0, IF(MIN($I$1, DATE(Initialisatie!$C$5,12,31)) &lt; MAX($I$2, DATE(Initialisatie!$C$5,1,1)), 0, MONTH(MIN($I$1, DATE(Initialisatie!$C$5,12,31))) - MONTH(MAX($I$2, DATE(Initialisatie!$C$5,1,1))) + 1)) &lt;= 0, IFERROR(VALUE($I116),0)=0)
    ),
    0,
    SUM(
        IFERROR(VALUE($E116),0) * MAX(0, IF(MIN($E$1, DATE(Initialisatie!$C$5,12,31)) &lt; MAX($E$2, DATE(Initialisatie!$C$5,1,1)), 0, MONTH(MIN($E$1, DATE(Initialisatie!$C$5,12,31))) - MONTH(MAX($E$2, DATE(Initialisatie!$C$5,1,1))) + 1)),
        IFERROR(VALUE($F116),0) * MAX(0, IF(MIN($F$1, DATE(Initialisatie!$C$5,12,31)) &lt; MAX($F$2, DATE(Initialisatie!$C$5,1,1)), 0, MONTH(MIN($F$1, DATE(Initialisatie!$C$5,12,31))) - MONTH(MAX($F$2, DATE(Initialisatie!$C$5,1,1))) + 1)),
        IFERROR(VALUE($G116),0) * MAX(0, IF(MIN($G$1, DATE(Initialisatie!$C$5,12,31)) &lt; MAX($G$2, DATE(Initialisatie!$C$5,1,1)), 0, MONTH(MIN($G$1, DATE(Initialisatie!$C$5,12,31))) - MONTH(MAX($G$2, DATE(Initialisatie!$C$5,1,1))) + 1)),
        IFERROR(VALUE($H116),0) * MAX(0, IF(MIN($H$1, DATE(Initialisatie!$C$5,12,31)) &lt; MAX($H$2, DATE(Initialisatie!$C$5,1,1)), 0, MONTH(MIN($H$1, DATE(Initialisatie!$C$5,12,31))) - MONTH(MAX($H$2, DATE(Initialisatie!$C$5,1,1))) + 1)),
        IFERROR(VALUE($I116),0) * MAX(0, IF(MIN($I$1, DATE(Initialisatie!$C$5,12,31)) &lt; MAX($I$2, DATE(Initialisatie!$C$5,1,1)), 0, MONTH(MIN($I$1, DATE(Initialisatie!$C$5,12,31))) - MONTH(MAX($I$2, DATE(Initialisatie!$C$5,1,1))) + 1))
    ) / 12
)</f>
        <v>5596.91</v>
      </c>
    </row>
    <row r="117" spans="1:12" x14ac:dyDescent="0.45">
      <c r="A117" s="990"/>
      <c r="B117" s="35" t="s">
        <v>533</v>
      </c>
      <c r="C117" s="35">
        <v>15</v>
      </c>
      <c r="D117" s="35" t="s">
        <v>178</v>
      </c>
      <c r="E117">
        <v>5323.36</v>
      </c>
      <c r="F117">
        <v>5389.91</v>
      </c>
      <c r="G117">
        <v>5583.94</v>
      </c>
      <c r="H117">
        <v>5790.55</v>
      </c>
      <c r="I117">
        <v>5987.43</v>
      </c>
      <c r="K117">
        <f>IF(
    OR(
        AND(MAX(0, MIN($E$1, DATE(Initialisatie!$C$5,12,31)) - MAX($E$2, DATE(Initialisatie!$C$5,1,1)) + 1) &gt; 0,IFERROR(VALUE($E117),0)=0),
        AND(MAX(0, MIN($F$1, DATE(Initialisatie!$C$5,12,31)) - MAX($F$2, DATE(Initialisatie!$C$5,1,1)) + 1) &gt; 0,IFERROR(VALUE($F117),0)=0),
        AND(MAX(0, MIN($G$1, DATE(Initialisatie!$C$5,12,31)) - MAX($G$2, DATE(Initialisatie!$C$5,1,1)) + 1) &gt; 0,IFERROR(VALUE($G117),0)=0),
        AND(MAX(0, MIN($H$1, DATE(Initialisatie!$C$5,12,31)) - MAX($H$2, DATE(Initialisatie!$C$5,1,1)) + 1) &gt; 0,IFERROR(VALUE($H117),0)=0),
        AND(MAX(0, MIN($I$1, DATE(Initialisatie!$C$5,12,31)) - MAX($I$2, DATE(Initialisatie!$C$5,1,1)) + 1) &gt; 0,IFERROR(VALUE($I117),0)=0)
    ),
    0,
    SUM(
        IFERROR(VALUE($E117),0) * MAX(0, MIN($E$1, DATE(Initialisatie!$C$5,12,31)) - MAX($E$2, DATE(Initialisatie!$C$5,1,1)) + 1),
        IFERROR(VALUE($F117),0) * MAX(0, MIN($F$1, DATE(Initialisatie!$C$5,12,31)) - MAX($F$2, DATE(Initialisatie!$C$5,1,1)) + 1),
        IFERROR(VALUE($G117),0) * MAX(0, MIN($G$1, DATE(Initialisatie!$C$5,12,31)) - MAX($G$2, DATE(Initialisatie!$C$5,1,1)) + 1),
        IFERROR(VALUE($H117),0) * MAX(0, MIN($H$1, DATE(Initialisatie!$C$5,12,31)) - MAX($H$2, DATE(Initialisatie!$C$5,1,1)) + 1),
        IFERROR(VALUE($I117),0) * MAX(0, MIN($I$1, DATE(Initialisatie!$C$5,12,31)) - MAX($I$2, DATE(Initialisatie!$C$5,1,1)) + 1)
    ) / (DATE(Initialisatie!$C$5,12,31) - DATE(Initialisatie!$C$5,1,1) + 1)
)</f>
        <v>5790.55</v>
      </c>
      <c r="L117">
        <f>IF(
    OR(
        AND(MAX(0, IF(MIN($E$1, DATE(Initialisatie!$C$5,12,31)) &lt; MAX($E$2, DATE(Initialisatie!$C$5,1,1)), 0, MONTH(MIN($E$1, DATE(Initialisatie!$C$5,12,31))) - MONTH(MAX($E$2, DATE(Initialisatie!$C$5,1,1))) + 1)) &lt;= 0, IFERROR(VALUE($E117),0)=0),
        AND(MAX(0, IF(MIN($F$1, DATE(Initialisatie!$C$5,12,31)) &lt; MAX($F$2, DATE(Initialisatie!$C$5,1,1)), 0, MONTH(MIN($F$1, DATE(Initialisatie!$C$5,12,31))) - MONTH(MAX($F$2, DATE(Initialisatie!$C$5,1,1))) + 1)) &lt;= 0, IFERROR(VALUE($F117),0)=0),
        AND(MAX(0, IF(MIN($G$1, DATE(Initialisatie!$C$5,12,31)) &lt; MAX($G$2, DATE(Initialisatie!$C$5,1,1)), 0, MONTH(MIN($G$1, DATE(Initialisatie!$C$5,12,31))) - MONTH(MAX($G$2, DATE(Initialisatie!$C$5,1,1))) + 1)) &lt;= 0, IFERROR(VALUE($G117),0)=0),
        AND(MAX(0, IF(MIN($H$1, DATE(Initialisatie!$C$5,12,31)) &lt; MAX($H$2, DATE(Initialisatie!$C$5,1,1)), 0, MONTH(MIN($H$1, DATE(Initialisatie!$C$5,12,31))) - MONTH(MAX($H$2, DATE(Initialisatie!$C$5,1,1))) + 1)) &lt;= 0, IFERROR(VALUE($H117),0)=0),
        AND(MAX(0, IF(MIN($I$1, DATE(Initialisatie!$C$5,12,31)) &lt; MAX($I$2, DATE(Initialisatie!$C$5,1,1)), 0, MONTH(MIN($I$1, DATE(Initialisatie!$C$5,12,31))) - MONTH(MAX($I$2, DATE(Initialisatie!$C$5,1,1))) + 1)) &lt;= 0, IFERROR(VALUE($I117),0)=0)
    ),
    0,
    SUM(
        IFERROR(VALUE($E117),0) * MAX(0, IF(MIN($E$1, DATE(Initialisatie!$C$5,12,31)) &lt; MAX($E$2, DATE(Initialisatie!$C$5,1,1)), 0, MONTH(MIN($E$1, DATE(Initialisatie!$C$5,12,31))) - MONTH(MAX($E$2, DATE(Initialisatie!$C$5,1,1))) + 1)),
        IFERROR(VALUE($F117),0) * MAX(0, IF(MIN($F$1, DATE(Initialisatie!$C$5,12,31)) &lt; MAX($F$2, DATE(Initialisatie!$C$5,1,1)), 0, MONTH(MIN($F$1, DATE(Initialisatie!$C$5,12,31))) - MONTH(MAX($F$2, DATE(Initialisatie!$C$5,1,1))) + 1)),
        IFERROR(VALUE($G117),0) * MAX(0, IF(MIN($G$1, DATE(Initialisatie!$C$5,12,31)) &lt; MAX($G$2, DATE(Initialisatie!$C$5,1,1)), 0, MONTH(MIN($G$1, DATE(Initialisatie!$C$5,12,31))) - MONTH(MAX($G$2, DATE(Initialisatie!$C$5,1,1))) + 1)),
        IFERROR(VALUE($H117),0) * MAX(0, IF(MIN($H$1, DATE(Initialisatie!$C$5,12,31)) &lt; MAX($H$2, DATE(Initialisatie!$C$5,1,1)), 0, MONTH(MIN($H$1, DATE(Initialisatie!$C$5,12,31))) - MONTH(MAX($H$2, DATE(Initialisatie!$C$5,1,1))) + 1)),
        IFERROR(VALUE($I117),0) * MAX(0, IF(MIN($I$1, DATE(Initialisatie!$C$5,12,31)) &lt; MAX($I$2, DATE(Initialisatie!$C$5,1,1)), 0, MONTH(MIN($I$1, DATE(Initialisatie!$C$5,12,31))) - MONTH(MAX($I$2, DATE(Initialisatie!$C$5,1,1))) + 1))
    ) / 12
)</f>
        <v>5790.55</v>
      </c>
    </row>
    <row r="118" spans="1:12" x14ac:dyDescent="0.45">
      <c r="A118" s="988">
        <v>11</v>
      </c>
      <c r="B118" s="35" t="s">
        <v>113</v>
      </c>
      <c r="C118" s="35">
        <v>0</v>
      </c>
      <c r="D118" s="35" t="s">
        <v>177</v>
      </c>
      <c r="E118">
        <v>3786.7</v>
      </c>
      <c r="F118">
        <v>3834.03</v>
      </c>
      <c r="G118">
        <v>3972.06</v>
      </c>
      <c r="H118">
        <v>4119.0200000000004</v>
      </c>
      <c r="I118">
        <v>4259.07</v>
      </c>
      <c r="K118">
        <f>IF(
    OR(
        AND(MAX(0, MIN($E$1, DATE(Initialisatie!$C$5,12,31)) - MAX($E$2, DATE(Initialisatie!$C$5,1,1)) + 1) &gt; 0,IFERROR(VALUE($E118),0)=0),
        AND(MAX(0, MIN($F$1, DATE(Initialisatie!$C$5,12,31)) - MAX($F$2, DATE(Initialisatie!$C$5,1,1)) + 1) &gt; 0,IFERROR(VALUE($F118),0)=0),
        AND(MAX(0, MIN($G$1, DATE(Initialisatie!$C$5,12,31)) - MAX($G$2, DATE(Initialisatie!$C$5,1,1)) + 1) &gt; 0,IFERROR(VALUE($G118),0)=0),
        AND(MAX(0, MIN($H$1, DATE(Initialisatie!$C$5,12,31)) - MAX($H$2, DATE(Initialisatie!$C$5,1,1)) + 1) &gt; 0,IFERROR(VALUE($H118),0)=0),
        AND(MAX(0, MIN($I$1, DATE(Initialisatie!$C$5,12,31)) - MAX($I$2, DATE(Initialisatie!$C$5,1,1)) + 1) &gt; 0,IFERROR(VALUE($I118),0)=0)
    ),
    0,
    SUM(
        IFERROR(VALUE($E118),0) * MAX(0, MIN($E$1, DATE(Initialisatie!$C$5,12,31)) - MAX($E$2, DATE(Initialisatie!$C$5,1,1)) + 1),
        IFERROR(VALUE($F118),0) * MAX(0, MIN($F$1, DATE(Initialisatie!$C$5,12,31)) - MAX($F$2, DATE(Initialisatie!$C$5,1,1)) + 1),
        IFERROR(VALUE($G118),0) * MAX(0, MIN($G$1, DATE(Initialisatie!$C$5,12,31)) - MAX($G$2, DATE(Initialisatie!$C$5,1,1)) + 1),
        IFERROR(VALUE($H118),0) * MAX(0, MIN($H$1, DATE(Initialisatie!$C$5,12,31)) - MAX($H$2, DATE(Initialisatie!$C$5,1,1)) + 1),
        IFERROR(VALUE($I118),0) * MAX(0, MIN($I$1, DATE(Initialisatie!$C$5,12,31)) - MAX($I$2, DATE(Initialisatie!$C$5,1,1)) + 1)
    ) / (DATE(Initialisatie!$C$5,12,31) - DATE(Initialisatie!$C$5,1,1) + 1)
)</f>
        <v>4119.0200000000004</v>
      </c>
      <c r="L118">
        <f>IF(
    OR(
        AND(MAX(0, IF(MIN($E$1, DATE(Initialisatie!$C$5,12,31)) &lt; MAX($E$2, DATE(Initialisatie!$C$5,1,1)), 0, MONTH(MIN($E$1, DATE(Initialisatie!$C$5,12,31))) - MONTH(MAX($E$2, DATE(Initialisatie!$C$5,1,1))) + 1)) &lt;= 0, IFERROR(VALUE($E118),0)=0),
        AND(MAX(0, IF(MIN($F$1, DATE(Initialisatie!$C$5,12,31)) &lt; MAX($F$2, DATE(Initialisatie!$C$5,1,1)), 0, MONTH(MIN($F$1, DATE(Initialisatie!$C$5,12,31))) - MONTH(MAX($F$2, DATE(Initialisatie!$C$5,1,1))) + 1)) &lt;= 0, IFERROR(VALUE($F118),0)=0),
        AND(MAX(0, IF(MIN($G$1, DATE(Initialisatie!$C$5,12,31)) &lt; MAX($G$2, DATE(Initialisatie!$C$5,1,1)), 0, MONTH(MIN($G$1, DATE(Initialisatie!$C$5,12,31))) - MONTH(MAX($G$2, DATE(Initialisatie!$C$5,1,1))) + 1)) &lt;= 0, IFERROR(VALUE($G118),0)=0),
        AND(MAX(0, IF(MIN($H$1, DATE(Initialisatie!$C$5,12,31)) &lt; MAX($H$2, DATE(Initialisatie!$C$5,1,1)), 0, MONTH(MIN($H$1, DATE(Initialisatie!$C$5,12,31))) - MONTH(MAX($H$2, DATE(Initialisatie!$C$5,1,1))) + 1)) &lt;= 0, IFERROR(VALUE($H118),0)=0),
        AND(MAX(0, IF(MIN($I$1, DATE(Initialisatie!$C$5,12,31)) &lt; MAX($I$2, DATE(Initialisatie!$C$5,1,1)), 0, MONTH(MIN($I$1, DATE(Initialisatie!$C$5,12,31))) - MONTH(MAX($I$2, DATE(Initialisatie!$C$5,1,1))) + 1)) &lt;= 0, IFERROR(VALUE($I118),0)=0)
    ),
    0,
    SUM(
        IFERROR(VALUE($E118),0) * MAX(0, IF(MIN($E$1, DATE(Initialisatie!$C$5,12,31)) &lt; MAX($E$2, DATE(Initialisatie!$C$5,1,1)), 0, MONTH(MIN($E$1, DATE(Initialisatie!$C$5,12,31))) - MONTH(MAX($E$2, DATE(Initialisatie!$C$5,1,1))) + 1)),
        IFERROR(VALUE($F118),0) * MAX(0, IF(MIN($F$1, DATE(Initialisatie!$C$5,12,31)) &lt; MAX($F$2, DATE(Initialisatie!$C$5,1,1)), 0, MONTH(MIN($F$1, DATE(Initialisatie!$C$5,12,31))) - MONTH(MAX($F$2, DATE(Initialisatie!$C$5,1,1))) + 1)),
        IFERROR(VALUE($G118),0) * MAX(0, IF(MIN($G$1, DATE(Initialisatie!$C$5,12,31)) &lt; MAX($G$2, DATE(Initialisatie!$C$5,1,1)), 0, MONTH(MIN($G$1, DATE(Initialisatie!$C$5,12,31))) - MONTH(MAX($G$2, DATE(Initialisatie!$C$5,1,1))) + 1)),
        IFERROR(VALUE($H118),0) * MAX(0, IF(MIN($H$1, DATE(Initialisatie!$C$5,12,31)) &lt; MAX($H$2, DATE(Initialisatie!$C$5,1,1)), 0, MONTH(MIN($H$1, DATE(Initialisatie!$C$5,12,31))) - MONTH(MAX($H$2, DATE(Initialisatie!$C$5,1,1))) + 1)),
        IFERROR(VALUE($I118),0) * MAX(0, IF(MIN($I$1, DATE(Initialisatie!$C$5,12,31)) &lt; MAX($I$2, DATE(Initialisatie!$C$5,1,1)), 0, MONTH(MIN($I$1, DATE(Initialisatie!$C$5,12,31))) - MONTH(MAX($I$2, DATE(Initialisatie!$C$5,1,1))) + 1))
    ) / 12
)</f>
        <v>4119.0200000000004</v>
      </c>
    </row>
    <row r="119" spans="1:12" x14ac:dyDescent="0.45">
      <c r="A119" s="989"/>
      <c r="B119" s="35" t="s">
        <v>111</v>
      </c>
      <c r="C119" s="35">
        <v>1</v>
      </c>
      <c r="D119" s="35" t="s">
        <v>176</v>
      </c>
      <c r="E119">
        <v>3919.68</v>
      </c>
      <c r="F119">
        <v>3968.68</v>
      </c>
      <c r="G119">
        <v>4111.55</v>
      </c>
      <c r="H119">
        <v>4263.68</v>
      </c>
      <c r="I119">
        <v>4408.6400000000003</v>
      </c>
      <c r="K119">
        <f>IF(
    OR(
        AND(MAX(0, MIN($E$1, DATE(Initialisatie!$C$5,12,31)) - MAX($E$2, DATE(Initialisatie!$C$5,1,1)) + 1) &gt; 0,IFERROR(VALUE($E119),0)=0),
        AND(MAX(0, MIN($F$1, DATE(Initialisatie!$C$5,12,31)) - MAX($F$2, DATE(Initialisatie!$C$5,1,1)) + 1) &gt; 0,IFERROR(VALUE($F119),0)=0),
        AND(MAX(0, MIN($G$1, DATE(Initialisatie!$C$5,12,31)) - MAX($G$2, DATE(Initialisatie!$C$5,1,1)) + 1) &gt; 0,IFERROR(VALUE($G119),0)=0),
        AND(MAX(0, MIN($H$1, DATE(Initialisatie!$C$5,12,31)) - MAX($H$2, DATE(Initialisatie!$C$5,1,1)) + 1) &gt; 0,IFERROR(VALUE($H119),0)=0),
        AND(MAX(0, MIN($I$1, DATE(Initialisatie!$C$5,12,31)) - MAX($I$2, DATE(Initialisatie!$C$5,1,1)) + 1) &gt; 0,IFERROR(VALUE($I119),0)=0)
    ),
    0,
    SUM(
        IFERROR(VALUE($E119),0) * MAX(0, MIN($E$1, DATE(Initialisatie!$C$5,12,31)) - MAX($E$2, DATE(Initialisatie!$C$5,1,1)) + 1),
        IFERROR(VALUE($F119),0) * MAX(0, MIN($F$1, DATE(Initialisatie!$C$5,12,31)) - MAX($F$2, DATE(Initialisatie!$C$5,1,1)) + 1),
        IFERROR(VALUE($G119),0) * MAX(0, MIN($G$1, DATE(Initialisatie!$C$5,12,31)) - MAX($G$2, DATE(Initialisatie!$C$5,1,1)) + 1),
        IFERROR(VALUE($H119),0) * MAX(0, MIN($H$1, DATE(Initialisatie!$C$5,12,31)) - MAX($H$2, DATE(Initialisatie!$C$5,1,1)) + 1),
        IFERROR(VALUE($I119),0) * MAX(0, MIN($I$1, DATE(Initialisatie!$C$5,12,31)) - MAX($I$2, DATE(Initialisatie!$C$5,1,1)) + 1)
    ) / (DATE(Initialisatie!$C$5,12,31) - DATE(Initialisatie!$C$5,1,1) + 1)
)</f>
        <v>4263.68</v>
      </c>
      <c r="L119">
        <f>IF(
    OR(
        AND(MAX(0, IF(MIN($E$1, DATE(Initialisatie!$C$5,12,31)) &lt; MAX($E$2, DATE(Initialisatie!$C$5,1,1)), 0, MONTH(MIN($E$1, DATE(Initialisatie!$C$5,12,31))) - MONTH(MAX($E$2, DATE(Initialisatie!$C$5,1,1))) + 1)) &lt;= 0, IFERROR(VALUE($E119),0)=0),
        AND(MAX(0, IF(MIN($F$1, DATE(Initialisatie!$C$5,12,31)) &lt; MAX($F$2, DATE(Initialisatie!$C$5,1,1)), 0, MONTH(MIN($F$1, DATE(Initialisatie!$C$5,12,31))) - MONTH(MAX($F$2, DATE(Initialisatie!$C$5,1,1))) + 1)) &lt;= 0, IFERROR(VALUE($F119),0)=0),
        AND(MAX(0, IF(MIN($G$1, DATE(Initialisatie!$C$5,12,31)) &lt; MAX($G$2, DATE(Initialisatie!$C$5,1,1)), 0, MONTH(MIN($G$1, DATE(Initialisatie!$C$5,12,31))) - MONTH(MAX($G$2, DATE(Initialisatie!$C$5,1,1))) + 1)) &lt;= 0, IFERROR(VALUE($G119),0)=0),
        AND(MAX(0, IF(MIN($H$1, DATE(Initialisatie!$C$5,12,31)) &lt; MAX($H$2, DATE(Initialisatie!$C$5,1,1)), 0, MONTH(MIN($H$1, DATE(Initialisatie!$C$5,12,31))) - MONTH(MAX($H$2, DATE(Initialisatie!$C$5,1,1))) + 1)) &lt;= 0, IFERROR(VALUE($H119),0)=0),
        AND(MAX(0, IF(MIN($I$1, DATE(Initialisatie!$C$5,12,31)) &lt; MAX($I$2, DATE(Initialisatie!$C$5,1,1)), 0, MONTH(MIN($I$1, DATE(Initialisatie!$C$5,12,31))) - MONTH(MAX($I$2, DATE(Initialisatie!$C$5,1,1))) + 1)) &lt;= 0, IFERROR(VALUE($I119),0)=0)
    ),
    0,
    SUM(
        IFERROR(VALUE($E119),0) * MAX(0, IF(MIN($E$1, DATE(Initialisatie!$C$5,12,31)) &lt; MAX($E$2, DATE(Initialisatie!$C$5,1,1)), 0, MONTH(MIN($E$1, DATE(Initialisatie!$C$5,12,31))) - MONTH(MAX($E$2, DATE(Initialisatie!$C$5,1,1))) + 1)),
        IFERROR(VALUE($F119),0) * MAX(0, IF(MIN($F$1, DATE(Initialisatie!$C$5,12,31)) &lt; MAX($F$2, DATE(Initialisatie!$C$5,1,1)), 0, MONTH(MIN($F$1, DATE(Initialisatie!$C$5,12,31))) - MONTH(MAX($F$2, DATE(Initialisatie!$C$5,1,1))) + 1)),
        IFERROR(VALUE($G119),0) * MAX(0, IF(MIN($G$1, DATE(Initialisatie!$C$5,12,31)) &lt; MAX($G$2, DATE(Initialisatie!$C$5,1,1)), 0, MONTH(MIN($G$1, DATE(Initialisatie!$C$5,12,31))) - MONTH(MAX($G$2, DATE(Initialisatie!$C$5,1,1))) + 1)),
        IFERROR(VALUE($H119),0) * MAX(0, IF(MIN($H$1, DATE(Initialisatie!$C$5,12,31)) &lt; MAX($H$2, DATE(Initialisatie!$C$5,1,1)), 0, MONTH(MIN($H$1, DATE(Initialisatie!$C$5,12,31))) - MONTH(MAX($H$2, DATE(Initialisatie!$C$5,1,1))) + 1)),
        IFERROR(VALUE($I119),0) * MAX(0, IF(MIN($I$1, DATE(Initialisatie!$C$5,12,31)) &lt; MAX($I$2, DATE(Initialisatie!$C$5,1,1)), 0, MONTH(MIN($I$1, DATE(Initialisatie!$C$5,12,31))) - MONTH(MAX($I$2, DATE(Initialisatie!$C$5,1,1))) + 1))
    ) / 12
)</f>
        <v>4263.68</v>
      </c>
    </row>
    <row r="120" spans="1:12" x14ac:dyDescent="0.45">
      <c r="A120" s="989"/>
      <c r="B120" s="35" t="s">
        <v>101</v>
      </c>
      <c r="C120" s="35">
        <v>2</v>
      </c>
      <c r="D120" s="35" t="s">
        <v>171</v>
      </c>
      <c r="E120">
        <v>4057.01</v>
      </c>
      <c r="F120">
        <v>4107.72</v>
      </c>
      <c r="G120">
        <v>4255.6000000000004</v>
      </c>
      <c r="H120">
        <v>4413.0600000000004</v>
      </c>
      <c r="I120">
        <v>4563.1000000000004</v>
      </c>
      <c r="K120">
        <f>IF(
    OR(
        AND(MAX(0, MIN($E$1, DATE(Initialisatie!$C$5,12,31)) - MAX($E$2, DATE(Initialisatie!$C$5,1,1)) + 1) &gt; 0,IFERROR(VALUE($E120),0)=0),
        AND(MAX(0, MIN($F$1, DATE(Initialisatie!$C$5,12,31)) - MAX($F$2, DATE(Initialisatie!$C$5,1,1)) + 1) &gt; 0,IFERROR(VALUE($F120),0)=0),
        AND(MAX(0, MIN($G$1, DATE(Initialisatie!$C$5,12,31)) - MAX($G$2, DATE(Initialisatie!$C$5,1,1)) + 1) &gt; 0,IFERROR(VALUE($G120),0)=0),
        AND(MAX(0, MIN($H$1, DATE(Initialisatie!$C$5,12,31)) - MAX($H$2, DATE(Initialisatie!$C$5,1,1)) + 1) &gt; 0,IFERROR(VALUE($H120),0)=0),
        AND(MAX(0, MIN($I$1, DATE(Initialisatie!$C$5,12,31)) - MAX($I$2, DATE(Initialisatie!$C$5,1,1)) + 1) &gt; 0,IFERROR(VALUE($I120),0)=0)
    ),
    0,
    SUM(
        IFERROR(VALUE($E120),0) * MAX(0, MIN($E$1, DATE(Initialisatie!$C$5,12,31)) - MAX($E$2, DATE(Initialisatie!$C$5,1,1)) + 1),
        IFERROR(VALUE($F120),0) * MAX(0, MIN($F$1, DATE(Initialisatie!$C$5,12,31)) - MAX($F$2, DATE(Initialisatie!$C$5,1,1)) + 1),
        IFERROR(VALUE($G120),0) * MAX(0, MIN($G$1, DATE(Initialisatie!$C$5,12,31)) - MAX($G$2, DATE(Initialisatie!$C$5,1,1)) + 1),
        IFERROR(VALUE($H120),0) * MAX(0, MIN($H$1, DATE(Initialisatie!$C$5,12,31)) - MAX($H$2, DATE(Initialisatie!$C$5,1,1)) + 1),
        IFERROR(VALUE($I120),0) * MAX(0, MIN($I$1, DATE(Initialisatie!$C$5,12,31)) - MAX($I$2, DATE(Initialisatie!$C$5,1,1)) + 1)
    ) / (DATE(Initialisatie!$C$5,12,31) - DATE(Initialisatie!$C$5,1,1) + 1)
)</f>
        <v>4413.0600000000004</v>
      </c>
      <c r="L120">
        <f>IF(
    OR(
        AND(MAX(0, IF(MIN($E$1, DATE(Initialisatie!$C$5,12,31)) &lt; MAX($E$2, DATE(Initialisatie!$C$5,1,1)), 0, MONTH(MIN($E$1, DATE(Initialisatie!$C$5,12,31))) - MONTH(MAX($E$2, DATE(Initialisatie!$C$5,1,1))) + 1)) &lt;= 0, IFERROR(VALUE($E120),0)=0),
        AND(MAX(0, IF(MIN($F$1, DATE(Initialisatie!$C$5,12,31)) &lt; MAX($F$2, DATE(Initialisatie!$C$5,1,1)), 0, MONTH(MIN($F$1, DATE(Initialisatie!$C$5,12,31))) - MONTH(MAX($F$2, DATE(Initialisatie!$C$5,1,1))) + 1)) &lt;= 0, IFERROR(VALUE($F120),0)=0),
        AND(MAX(0, IF(MIN($G$1, DATE(Initialisatie!$C$5,12,31)) &lt; MAX($G$2, DATE(Initialisatie!$C$5,1,1)), 0, MONTH(MIN($G$1, DATE(Initialisatie!$C$5,12,31))) - MONTH(MAX($G$2, DATE(Initialisatie!$C$5,1,1))) + 1)) &lt;= 0, IFERROR(VALUE($G120),0)=0),
        AND(MAX(0, IF(MIN($H$1, DATE(Initialisatie!$C$5,12,31)) &lt; MAX($H$2, DATE(Initialisatie!$C$5,1,1)), 0, MONTH(MIN($H$1, DATE(Initialisatie!$C$5,12,31))) - MONTH(MAX($H$2, DATE(Initialisatie!$C$5,1,1))) + 1)) &lt;= 0, IFERROR(VALUE($H120),0)=0),
        AND(MAX(0, IF(MIN($I$1, DATE(Initialisatie!$C$5,12,31)) &lt; MAX($I$2, DATE(Initialisatie!$C$5,1,1)), 0, MONTH(MIN($I$1, DATE(Initialisatie!$C$5,12,31))) - MONTH(MAX($I$2, DATE(Initialisatie!$C$5,1,1))) + 1)) &lt;= 0, IFERROR(VALUE($I120),0)=0)
    ),
    0,
    SUM(
        IFERROR(VALUE($E120),0) * MAX(0, IF(MIN($E$1, DATE(Initialisatie!$C$5,12,31)) &lt; MAX($E$2, DATE(Initialisatie!$C$5,1,1)), 0, MONTH(MIN($E$1, DATE(Initialisatie!$C$5,12,31))) - MONTH(MAX($E$2, DATE(Initialisatie!$C$5,1,1))) + 1)),
        IFERROR(VALUE($F120),0) * MAX(0, IF(MIN($F$1, DATE(Initialisatie!$C$5,12,31)) &lt; MAX($F$2, DATE(Initialisatie!$C$5,1,1)), 0, MONTH(MIN($F$1, DATE(Initialisatie!$C$5,12,31))) - MONTH(MAX($F$2, DATE(Initialisatie!$C$5,1,1))) + 1)),
        IFERROR(VALUE($G120),0) * MAX(0, IF(MIN($G$1, DATE(Initialisatie!$C$5,12,31)) &lt; MAX($G$2, DATE(Initialisatie!$C$5,1,1)), 0, MONTH(MIN($G$1, DATE(Initialisatie!$C$5,12,31))) - MONTH(MAX($G$2, DATE(Initialisatie!$C$5,1,1))) + 1)),
        IFERROR(VALUE($H120),0) * MAX(0, IF(MIN($H$1, DATE(Initialisatie!$C$5,12,31)) &lt; MAX($H$2, DATE(Initialisatie!$C$5,1,1)), 0, MONTH(MIN($H$1, DATE(Initialisatie!$C$5,12,31))) - MONTH(MAX($H$2, DATE(Initialisatie!$C$5,1,1))) + 1)),
        IFERROR(VALUE($I120),0) * MAX(0, IF(MIN($I$1, DATE(Initialisatie!$C$5,12,31)) &lt; MAX($I$2, DATE(Initialisatie!$C$5,1,1)), 0, MONTH(MIN($I$1, DATE(Initialisatie!$C$5,12,31))) - MONTH(MAX($I$2, DATE(Initialisatie!$C$5,1,1))) + 1))
    ) / 12
)</f>
        <v>4413.0600000000004</v>
      </c>
    </row>
    <row r="121" spans="1:12" x14ac:dyDescent="0.45">
      <c r="A121" s="989"/>
      <c r="B121" s="35" t="s">
        <v>99</v>
      </c>
      <c r="C121" s="35">
        <v>3</v>
      </c>
      <c r="D121" s="35" t="s">
        <v>170</v>
      </c>
      <c r="E121">
        <v>4198.67</v>
      </c>
      <c r="F121">
        <v>4251.1499999999996</v>
      </c>
      <c r="G121">
        <v>4404.1899999999996</v>
      </c>
      <c r="H121">
        <v>4567.1499999999996</v>
      </c>
      <c r="I121">
        <v>4722.43</v>
      </c>
      <c r="K121">
        <f>IF(
    OR(
        AND(MAX(0, MIN($E$1, DATE(Initialisatie!$C$5,12,31)) - MAX($E$2, DATE(Initialisatie!$C$5,1,1)) + 1) &gt; 0,IFERROR(VALUE($E121),0)=0),
        AND(MAX(0, MIN($F$1, DATE(Initialisatie!$C$5,12,31)) - MAX($F$2, DATE(Initialisatie!$C$5,1,1)) + 1) &gt; 0,IFERROR(VALUE($F121),0)=0),
        AND(MAX(0, MIN($G$1, DATE(Initialisatie!$C$5,12,31)) - MAX($G$2, DATE(Initialisatie!$C$5,1,1)) + 1) &gt; 0,IFERROR(VALUE($G121),0)=0),
        AND(MAX(0, MIN($H$1, DATE(Initialisatie!$C$5,12,31)) - MAX($H$2, DATE(Initialisatie!$C$5,1,1)) + 1) &gt; 0,IFERROR(VALUE($H121),0)=0),
        AND(MAX(0, MIN($I$1, DATE(Initialisatie!$C$5,12,31)) - MAX($I$2, DATE(Initialisatie!$C$5,1,1)) + 1) &gt; 0,IFERROR(VALUE($I121),0)=0)
    ),
    0,
    SUM(
        IFERROR(VALUE($E121),0) * MAX(0, MIN($E$1, DATE(Initialisatie!$C$5,12,31)) - MAX($E$2, DATE(Initialisatie!$C$5,1,1)) + 1),
        IFERROR(VALUE($F121),0) * MAX(0, MIN($F$1, DATE(Initialisatie!$C$5,12,31)) - MAX($F$2, DATE(Initialisatie!$C$5,1,1)) + 1),
        IFERROR(VALUE($G121),0) * MAX(0, MIN($G$1, DATE(Initialisatie!$C$5,12,31)) - MAX($G$2, DATE(Initialisatie!$C$5,1,1)) + 1),
        IFERROR(VALUE($H121),0) * MAX(0, MIN($H$1, DATE(Initialisatie!$C$5,12,31)) - MAX($H$2, DATE(Initialisatie!$C$5,1,1)) + 1),
        IFERROR(VALUE($I121),0) * MAX(0, MIN($I$1, DATE(Initialisatie!$C$5,12,31)) - MAX($I$2, DATE(Initialisatie!$C$5,1,1)) + 1)
    ) / (DATE(Initialisatie!$C$5,12,31) - DATE(Initialisatie!$C$5,1,1) + 1)
)</f>
        <v>4567.1499999999996</v>
      </c>
      <c r="L121">
        <f>IF(
    OR(
        AND(MAX(0, IF(MIN($E$1, DATE(Initialisatie!$C$5,12,31)) &lt; MAX($E$2, DATE(Initialisatie!$C$5,1,1)), 0, MONTH(MIN($E$1, DATE(Initialisatie!$C$5,12,31))) - MONTH(MAX($E$2, DATE(Initialisatie!$C$5,1,1))) + 1)) &lt;= 0, IFERROR(VALUE($E121),0)=0),
        AND(MAX(0, IF(MIN($F$1, DATE(Initialisatie!$C$5,12,31)) &lt; MAX($F$2, DATE(Initialisatie!$C$5,1,1)), 0, MONTH(MIN($F$1, DATE(Initialisatie!$C$5,12,31))) - MONTH(MAX($F$2, DATE(Initialisatie!$C$5,1,1))) + 1)) &lt;= 0, IFERROR(VALUE($F121),0)=0),
        AND(MAX(0, IF(MIN($G$1, DATE(Initialisatie!$C$5,12,31)) &lt; MAX($G$2, DATE(Initialisatie!$C$5,1,1)), 0, MONTH(MIN($G$1, DATE(Initialisatie!$C$5,12,31))) - MONTH(MAX($G$2, DATE(Initialisatie!$C$5,1,1))) + 1)) &lt;= 0, IFERROR(VALUE($G121),0)=0),
        AND(MAX(0, IF(MIN($H$1, DATE(Initialisatie!$C$5,12,31)) &lt; MAX($H$2, DATE(Initialisatie!$C$5,1,1)), 0, MONTH(MIN($H$1, DATE(Initialisatie!$C$5,12,31))) - MONTH(MAX($H$2, DATE(Initialisatie!$C$5,1,1))) + 1)) &lt;= 0, IFERROR(VALUE($H121),0)=0),
        AND(MAX(0, IF(MIN($I$1, DATE(Initialisatie!$C$5,12,31)) &lt; MAX($I$2, DATE(Initialisatie!$C$5,1,1)), 0, MONTH(MIN($I$1, DATE(Initialisatie!$C$5,12,31))) - MONTH(MAX($I$2, DATE(Initialisatie!$C$5,1,1))) + 1)) &lt;= 0, IFERROR(VALUE($I121),0)=0)
    ),
    0,
    SUM(
        IFERROR(VALUE($E121),0) * MAX(0, IF(MIN($E$1, DATE(Initialisatie!$C$5,12,31)) &lt; MAX($E$2, DATE(Initialisatie!$C$5,1,1)), 0, MONTH(MIN($E$1, DATE(Initialisatie!$C$5,12,31))) - MONTH(MAX($E$2, DATE(Initialisatie!$C$5,1,1))) + 1)),
        IFERROR(VALUE($F121),0) * MAX(0, IF(MIN($F$1, DATE(Initialisatie!$C$5,12,31)) &lt; MAX($F$2, DATE(Initialisatie!$C$5,1,1)), 0, MONTH(MIN($F$1, DATE(Initialisatie!$C$5,12,31))) - MONTH(MAX($F$2, DATE(Initialisatie!$C$5,1,1))) + 1)),
        IFERROR(VALUE($G121),0) * MAX(0, IF(MIN($G$1, DATE(Initialisatie!$C$5,12,31)) &lt; MAX($G$2, DATE(Initialisatie!$C$5,1,1)), 0, MONTH(MIN($G$1, DATE(Initialisatie!$C$5,12,31))) - MONTH(MAX($G$2, DATE(Initialisatie!$C$5,1,1))) + 1)),
        IFERROR(VALUE($H121),0) * MAX(0, IF(MIN($H$1, DATE(Initialisatie!$C$5,12,31)) &lt; MAX($H$2, DATE(Initialisatie!$C$5,1,1)), 0, MONTH(MIN($H$1, DATE(Initialisatie!$C$5,12,31))) - MONTH(MAX($H$2, DATE(Initialisatie!$C$5,1,1))) + 1)),
        IFERROR(VALUE($I121),0) * MAX(0, IF(MIN($I$1, DATE(Initialisatie!$C$5,12,31)) &lt; MAX($I$2, DATE(Initialisatie!$C$5,1,1)), 0, MONTH(MIN($I$1, DATE(Initialisatie!$C$5,12,31))) - MONTH(MAX($I$2, DATE(Initialisatie!$C$5,1,1))) + 1))
    ) / 12
)</f>
        <v>4567.1499999999996</v>
      </c>
    </row>
    <row r="122" spans="1:12" x14ac:dyDescent="0.45">
      <c r="A122" s="989"/>
      <c r="B122" s="35" t="s">
        <v>97</v>
      </c>
      <c r="C122" s="35">
        <v>4</v>
      </c>
      <c r="D122" s="35" t="s">
        <v>169</v>
      </c>
      <c r="E122">
        <v>4345.4399999999996</v>
      </c>
      <c r="F122">
        <v>4399.76</v>
      </c>
      <c r="G122">
        <v>4558.1499999999996</v>
      </c>
      <c r="H122">
        <v>4726.8</v>
      </c>
      <c r="I122">
        <v>4887.51</v>
      </c>
      <c r="K122">
        <f>IF(
    OR(
        AND(MAX(0, MIN($E$1, DATE(Initialisatie!$C$5,12,31)) - MAX($E$2, DATE(Initialisatie!$C$5,1,1)) + 1) &gt; 0,IFERROR(VALUE($E122),0)=0),
        AND(MAX(0, MIN($F$1, DATE(Initialisatie!$C$5,12,31)) - MAX($F$2, DATE(Initialisatie!$C$5,1,1)) + 1) &gt; 0,IFERROR(VALUE($F122),0)=0),
        AND(MAX(0, MIN($G$1, DATE(Initialisatie!$C$5,12,31)) - MAX($G$2, DATE(Initialisatie!$C$5,1,1)) + 1) &gt; 0,IFERROR(VALUE($G122),0)=0),
        AND(MAX(0, MIN($H$1, DATE(Initialisatie!$C$5,12,31)) - MAX($H$2, DATE(Initialisatie!$C$5,1,1)) + 1) &gt; 0,IFERROR(VALUE($H122),0)=0),
        AND(MAX(0, MIN($I$1, DATE(Initialisatie!$C$5,12,31)) - MAX($I$2, DATE(Initialisatie!$C$5,1,1)) + 1) &gt; 0,IFERROR(VALUE($I122),0)=0)
    ),
    0,
    SUM(
        IFERROR(VALUE($E122),0) * MAX(0, MIN($E$1, DATE(Initialisatie!$C$5,12,31)) - MAX($E$2, DATE(Initialisatie!$C$5,1,1)) + 1),
        IFERROR(VALUE($F122),0) * MAX(0, MIN($F$1, DATE(Initialisatie!$C$5,12,31)) - MAX($F$2, DATE(Initialisatie!$C$5,1,1)) + 1),
        IFERROR(VALUE($G122),0) * MAX(0, MIN($G$1, DATE(Initialisatie!$C$5,12,31)) - MAX($G$2, DATE(Initialisatie!$C$5,1,1)) + 1),
        IFERROR(VALUE($H122),0) * MAX(0, MIN($H$1, DATE(Initialisatie!$C$5,12,31)) - MAX($H$2, DATE(Initialisatie!$C$5,1,1)) + 1),
        IFERROR(VALUE($I122),0) * MAX(0, MIN($I$1, DATE(Initialisatie!$C$5,12,31)) - MAX($I$2, DATE(Initialisatie!$C$5,1,1)) + 1)
    ) / (DATE(Initialisatie!$C$5,12,31) - DATE(Initialisatie!$C$5,1,1) + 1)
)</f>
        <v>4726.8</v>
      </c>
      <c r="L122">
        <f>IF(
    OR(
        AND(MAX(0, IF(MIN($E$1, DATE(Initialisatie!$C$5,12,31)) &lt; MAX($E$2, DATE(Initialisatie!$C$5,1,1)), 0, MONTH(MIN($E$1, DATE(Initialisatie!$C$5,12,31))) - MONTH(MAX($E$2, DATE(Initialisatie!$C$5,1,1))) + 1)) &lt;= 0, IFERROR(VALUE($E122),0)=0),
        AND(MAX(0, IF(MIN($F$1, DATE(Initialisatie!$C$5,12,31)) &lt; MAX($F$2, DATE(Initialisatie!$C$5,1,1)), 0, MONTH(MIN($F$1, DATE(Initialisatie!$C$5,12,31))) - MONTH(MAX($F$2, DATE(Initialisatie!$C$5,1,1))) + 1)) &lt;= 0, IFERROR(VALUE($F122),0)=0),
        AND(MAX(0, IF(MIN($G$1, DATE(Initialisatie!$C$5,12,31)) &lt; MAX($G$2, DATE(Initialisatie!$C$5,1,1)), 0, MONTH(MIN($G$1, DATE(Initialisatie!$C$5,12,31))) - MONTH(MAX($G$2, DATE(Initialisatie!$C$5,1,1))) + 1)) &lt;= 0, IFERROR(VALUE($G122),0)=0),
        AND(MAX(0, IF(MIN($H$1, DATE(Initialisatie!$C$5,12,31)) &lt; MAX($H$2, DATE(Initialisatie!$C$5,1,1)), 0, MONTH(MIN($H$1, DATE(Initialisatie!$C$5,12,31))) - MONTH(MAX($H$2, DATE(Initialisatie!$C$5,1,1))) + 1)) &lt;= 0, IFERROR(VALUE($H122),0)=0),
        AND(MAX(0, IF(MIN($I$1, DATE(Initialisatie!$C$5,12,31)) &lt; MAX($I$2, DATE(Initialisatie!$C$5,1,1)), 0, MONTH(MIN($I$1, DATE(Initialisatie!$C$5,12,31))) - MONTH(MAX($I$2, DATE(Initialisatie!$C$5,1,1))) + 1)) &lt;= 0, IFERROR(VALUE($I122),0)=0)
    ),
    0,
    SUM(
        IFERROR(VALUE($E122),0) * MAX(0, IF(MIN($E$1, DATE(Initialisatie!$C$5,12,31)) &lt; MAX($E$2, DATE(Initialisatie!$C$5,1,1)), 0, MONTH(MIN($E$1, DATE(Initialisatie!$C$5,12,31))) - MONTH(MAX($E$2, DATE(Initialisatie!$C$5,1,1))) + 1)),
        IFERROR(VALUE($F122),0) * MAX(0, IF(MIN($F$1, DATE(Initialisatie!$C$5,12,31)) &lt; MAX($F$2, DATE(Initialisatie!$C$5,1,1)), 0, MONTH(MIN($F$1, DATE(Initialisatie!$C$5,12,31))) - MONTH(MAX($F$2, DATE(Initialisatie!$C$5,1,1))) + 1)),
        IFERROR(VALUE($G122),0) * MAX(0, IF(MIN($G$1, DATE(Initialisatie!$C$5,12,31)) &lt; MAX($G$2, DATE(Initialisatie!$C$5,1,1)), 0, MONTH(MIN($G$1, DATE(Initialisatie!$C$5,12,31))) - MONTH(MAX($G$2, DATE(Initialisatie!$C$5,1,1))) + 1)),
        IFERROR(VALUE($H122),0) * MAX(0, IF(MIN($H$1, DATE(Initialisatie!$C$5,12,31)) &lt; MAX($H$2, DATE(Initialisatie!$C$5,1,1)), 0, MONTH(MIN($H$1, DATE(Initialisatie!$C$5,12,31))) - MONTH(MAX($H$2, DATE(Initialisatie!$C$5,1,1))) + 1)),
        IFERROR(VALUE($I122),0) * MAX(0, IF(MIN($I$1, DATE(Initialisatie!$C$5,12,31)) &lt; MAX($I$2, DATE(Initialisatie!$C$5,1,1)), 0, MONTH(MIN($I$1, DATE(Initialisatie!$C$5,12,31))) - MONTH(MAX($I$2, DATE(Initialisatie!$C$5,1,1))) + 1))
    ) / 12
)</f>
        <v>4726.8</v>
      </c>
    </row>
    <row r="123" spans="1:12" x14ac:dyDescent="0.45">
      <c r="A123" s="989"/>
      <c r="B123" s="35" t="s">
        <v>95</v>
      </c>
      <c r="C123" s="35">
        <v>5</v>
      </c>
      <c r="D123" s="35" t="s">
        <v>168</v>
      </c>
      <c r="E123">
        <v>4497.9799999999996</v>
      </c>
      <c r="F123">
        <v>4554.21</v>
      </c>
      <c r="G123">
        <v>4718.16</v>
      </c>
      <c r="H123">
        <v>4892.7299999999996</v>
      </c>
      <c r="I123">
        <v>5059.08</v>
      </c>
      <c r="K123">
        <f>IF(
    OR(
        AND(MAX(0, MIN($E$1, DATE(Initialisatie!$C$5,12,31)) - MAX($E$2, DATE(Initialisatie!$C$5,1,1)) + 1) &gt; 0,IFERROR(VALUE($E123),0)=0),
        AND(MAX(0, MIN($F$1, DATE(Initialisatie!$C$5,12,31)) - MAX($F$2, DATE(Initialisatie!$C$5,1,1)) + 1) &gt; 0,IFERROR(VALUE($F123),0)=0),
        AND(MAX(0, MIN($G$1, DATE(Initialisatie!$C$5,12,31)) - MAX($G$2, DATE(Initialisatie!$C$5,1,1)) + 1) &gt; 0,IFERROR(VALUE($G123),0)=0),
        AND(MAX(0, MIN($H$1, DATE(Initialisatie!$C$5,12,31)) - MAX($H$2, DATE(Initialisatie!$C$5,1,1)) + 1) &gt; 0,IFERROR(VALUE($H123),0)=0),
        AND(MAX(0, MIN($I$1, DATE(Initialisatie!$C$5,12,31)) - MAX($I$2, DATE(Initialisatie!$C$5,1,1)) + 1) &gt; 0,IFERROR(VALUE($I123),0)=0)
    ),
    0,
    SUM(
        IFERROR(VALUE($E123),0) * MAX(0, MIN($E$1, DATE(Initialisatie!$C$5,12,31)) - MAX($E$2, DATE(Initialisatie!$C$5,1,1)) + 1),
        IFERROR(VALUE($F123),0) * MAX(0, MIN($F$1, DATE(Initialisatie!$C$5,12,31)) - MAX($F$2, DATE(Initialisatie!$C$5,1,1)) + 1),
        IFERROR(VALUE($G123),0) * MAX(0, MIN($G$1, DATE(Initialisatie!$C$5,12,31)) - MAX($G$2, DATE(Initialisatie!$C$5,1,1)) + 1),
        IFERROR(VALUE($H123),0) * MAX(0, MIN($H$1, DATE(Initialisatie!$C$5,12,31)) - MAX($H$2, DATE(Initialisatie!$C$5,1,1)) + 1),
        IFERROR(VALUE($I123),0) * MAX(0, MIN($I$1, DATE(Initialisatie!$C$5,12,31)) - MAX($I$2, DATE(Initialisatie!$C$5,1,1)) + 1)
    ) / (DATE(Initialisatie!$C$5,12,31) - DATE(Initialisatie!$C$5,1,1) + 1)
)</f>
        <v>4892.7299999999996</v>
      </c>
      <c r="L123">
        <f>IF(
    OR(
        AND(MAX(0, IF(MIN($E$1, DATE(Initialisatie!$C$5,12,31)) &lt; MAX($E$2, DATE(Initialisatie!$C$5,1,1)), 0, MONTH(MIN($E$1, DATE(Initialisatie!$C$5,12,31))) - MONTH(MAX($E$2, DATE(Initialisatie!$C$5,1,1))) + 1)) &lt;= 0, IFERROR(VALUE($E123),0)=0),
        AND(MAX(0, IF(MIN($F$1, DATE(Initialisatie!$C$5,12,31)) &lt; MAX($F$2, DATE(Initialisatie!$C$5,1,1)), 0, MONTH(MIN($F$1, DATE(Initialisatie!$C$5,12,31))) - MONTH(MAX($F$2, DATE(Initialisatie!$C$5,1,1))) + 1)) &lt;= 0, IFERROR(VALUE($F123),0)=0),
        AND(MAX(0, IF(MIN($G$1, DATE(Initialisatie!$C$5,12,31)) &lt; MAX($G$2, DATE(Initialisatie!$C$5,1,1)), 0, MONTH(MIN($G$1, DATE(Initialisatie!$C$5,12,31))) - MONTH(MAX($G$2, DATE(Initialisatie!$C$5,1,1))) + 1)) &lt;= 0, IFERROR(VALUE($G123),0)=0),
        AND(MAX(0, IF(MIN($H$1, DATE(Initialisatie!$C$5,12,31)) &lt; MAX($H$2, DATE(Initialisatie!$C$5,1,1)), 0, MONTH(MIN($H$1, DATE(Initialisatie!$C$5,12,31))) - MONTH(MAX($H$2, DATE(Initialisatie!$C$5,1,1))) + 1)) &lt;= 0, IFERROR(VALUE($H123),0)=0),
        AND(MAX(0, IF(MIN($I$1, DATE(Initialisatie!$C$5,12,31)) &lt; MAX($I$2, DATE(Initialisatie!$C$5,1,1)), 0, MONTH(MIN($I$1, DATE(Initialisatie!$C$5,12,31))) - MONTH(MAX($I$2, DATE(Initialisatie!$C$5,1,1))) + 1)) &lt;= 0, IFERROR(VALUE($I123),0)=0)
    ),
    0,
    SUM(
        IFERROR(VALUE($E123),0) * MAX(0, IF(MIN($E$1, DATE(Initialisatie!$C$5,12,31)) &lt; MAX($E$2, DATE(Initialisatie!$C$5,1,1)), 0, MONTH(MIN($E$1, DATE(Initialisatie!$C$5,12,31))) - MONTH(MAX($E$2, DATE(Initialisatie!$C$5,1,1))) + 1)),
        IFERROR(VALUE($F123),0) * MAX(0, IF(MIN($F$1, DATE(Initialisatie!$C$5,12,31)) &lt; MAX($F$2, DATE(Initialisatie!$C$5,1,1)), 0, MONTH(MIN($F$1, DATE(Initialisatie!$C$5,12,31))) - MONTH(MAX($F$2, DATE(Initialisatie!$C$5,1,1))) + 1)),
        IFERROR(VALUE($G123),0) * MAX(0, IF(MIN($G$1, DATE(Initialisatie!$C$5,12,31)) &lt; MAX($G$2, DATE(Initialisatie!$C$5,1,1)), 0, MONTH(MIN($G$1, DATE(Initialisatie!$C$5,12,31))) - MONTH(MAX($G$2, DATE(Initialisatie!$C$5,1,1))) + 1)),
        IFERROR(VALUE($H123),0) * MAX(0, IF(MIN($H$1, DATE(Initialisatie!$C$5,12,31)) &lt; MAX($H$2, DATE(Initialisatie!$C$5,1,1)), 0, MONTH(MIN($H$1, DATE(Initialisatie!$C$5,12,31))) - MONTH(MAX($H$2, DATE(Initialisatie!$C$5,1,1))) + 1)),
        IFERROR(VALUE($I123),0) * MAX(0, IF(MIN($I$1, DATE(Initialisatie!$C$5,12,31)) &lt; MAX($I$2, DATE(Initialisatie!$C$5,1,1)), 0, MONTH(MIN($I$1, DATE(Initialisatie!$C$5,12,31))) - MONTH(MAX($I$2, DATE(Initialisatie!$C$5,1,1))) + 1))
    ) / 12
)</f>
        <v>4892.7299999999996</v>
      </c>
    </row>
    <row r="124" spans="1:12" x14ac:dyDescent="0.45">
      <c r="A124" s="989"/>
      <c r="B124" s="35" t="s">
        <v>93</v>
      </c>
      <c r="C124" s="35">
        <v>6</v>
      </c>
      <c r="D124" s="35" t="s">
        <v>167</v>
      </c>
      <c r="E124">
        <v>4654.91</v>
      </c>
      <c r="F124">
        <v>4713.1000000000004</v>
      </c>
      <c r="G124">
        <v>4882.7700000000004</v>
      </c>
      <c r="H124">
        <v>5063.43</v>
      </c>
      <c r="I124">
        <v>5235.59</v>
      </c>
      <c r="K124">
        <f>IF(
    OR(
        AND(MAX(0, MIN($E$1, DATE(Initialisatie!$C$5,12,31)) - MAX($E$2, DATE(Initialisatie!$C$5,1,1)) + 1) &gt; 0,IFERROR(VALUE($E124),0)=0),
        AND(MAX(0, MIN($F$1, DATE(Initialisatie!$C$5,12,31)) - MAX($F$2, DATE(Initialisatie!$C$5,1,1)) + 1) &gt; 0,IFERROR(VALUE($F124),0)=0),
        AND(MAX(0, MIN($G$1, DATE(Initialisatie!$C$5,12,31)) - MAX($G$2, DATE(Initialisatie!$C$5,1,1)) + 1) &gt; 0,IFERROR(VALUE($G124),0)=0),
        AND(MAX(0, MIN($H$1, DATE(Initialisatie!$C$5,12,31)) - MAX($H$2, DATE(Initialisatie!$C$5,1,1)) + 1) &gt; 0,IFERROR(VALUE($H124),0)=0),
        AND(MAX(0, MIN($I$1, DATE(Initialisatie!$C$5,12,31)) - MAX($I$2, DATE(Initialisatie!$C$5,1,1)) + 1) &gt; 0,IFERROR(VALUE($I124),0)=0)
    ),
    0,
    SUM(
        IFERROR(VALUE($E124),0) * MAX(0, MIN($E$1, DATE(Initialisatie!$C$5,12,31)) - MAX($E$2, DATE(Initialisatie!$C$5,1,1)) + 1),
        IFERROR(VALUE($F124),0) * MAX(0, MIN($F$1, DATE(Initialisatie!$C$5,12,31)) - MAX($F$2, DATE(Initialisatie!$C$5,1,1)) + 1),
        IFERROR(VALUE($G124),0) * MAX(0, MIN($G$1, DATE(Initialisatie!$C$5,12,31)) - MAX($G$2, DATE(Initialisatie!$C$5,1,1)) + 1),
        IFERROR(VALUE($H124),0) * MAX(0, MIN($H$1, DATE(Initialisatie!$C$5,12,31)) - MAX($H$2, DATE(Initialisatie!$C$5,1,1)) + 1),
        IFERROR(VALUE($I124),0) * MAX(0, MIN($I$1, DATE(Initialisatie!$C$5,12,31)) - MAX($I$2, DATE(Initialisatie!$C$5,1,1)) + 1)
    ) / (DATE(Initialisatie!$C$5,12,31) - DATE(Initialisatie!$C$5,1,1) + 1)
)</f>
        <v>5063.43</v>
      </c>
      <c r="L124">
        <f>IF(
    OR(
        AND(MAX(0, IF(MIN($E$1, DATE(Initialisatie!$C$5,12,31)) &lt; MAX($E$2, DATE(Initialisatie!$C$5,1,1)), 0, MONTH(MIN($E$1, DATE(Initialisatie!$C$5,12,31))) - MONTH(MAX($E$2, DATE(Initialisatie!$C$5,1,1))) + 1)) &lt;= 0, IFERROR(VALUE($E124),0)=0),
        AND(MAX(0, IF(MIN($F$1, DATE(Initialisatie!$C$5,12,31)) &lt; MAX($F$2, DATE(Initialisatie!$C$5,1,1)), 0, MONTH(MIN($F$1, DATE(Initialisatie!$C$5,12,31))) - MONTH(MAX($F$2, DATE(Initialisatie!$C$5,1,1))) + 1)) &lt;= 0, IFERROR(VALUE($F124),0)=0),
        AND(MAX(0, IF(MIN($G$1, DATE(Initialisatie!$C$5,12,31)) &lt; MAX($G$2, DATE(Initialisatie!$C$5,1,1)), 0, MONTH(MIN($G$1, DATE(Initialisatie!$C$5,12,31))) - MONTH(MAX($G$2, DATE(Initialisatie!$C$5,1,1))) + 1)) &lt;= 0, IFERROR(VALUE($G124),0)=0),
        AND(MAX(0, IF(MIN($H$1, DATE(Initialisatie!$C$5,12,31)) &lt; MAX($H$2, DATE(Initialisatie!$C$5,1,1)), 0, MONTH(MIN($H$1, DATE(Initialisatie!$C$5,12,31))) - MONTH(MAX($H$2, DATE(Initialisatie!$C$5,1,1))) + 1)) &lt;= 0, IFERROR(VALUE($H124),0)=0),
        AND(MAX(0, IF(MIN($I$1, DATE(Initialisatie!$C$5,12,31)) &lt; MAX($I$2, DATE(Initialisatie!$C$5,1,1)), 0, MONTH(MIN($I$1, DATE(Initialisatie!$C$5,12,31))) - MONTH(MAX($I$2, DATE(Initialisatie!$C$5,1,1))) + 1)) &lt;= 0, IFERROR(VALUE($I124),0)=0)
    ),
    0,
    SUM(
        IFERROR(VALUE($E124),0) * MAX(0, IF(MIN($E$1, DATE(Initialisatie!$C$5,12,31)) &lt; MAX($E$2, DATE(Initialisatie!$C$5,1,1)), 0, MONTH(MIN($E$1, DATE(Initialisatie!$C$5,12,31))) - MONTH(MAX($E$2, DATE(Initialisatie!$C$5,1,1))) + 1)),
        IFERROR(VALUE($F124),0) * MAX(0, IF(MIN($F$1, DATE(Initialisatie!$C$5,12,31)) &lt; MAX($F$2, DATE(Initialisatie!$C$5,1,1)), 0, MONTH(MIN($F$1, DATE(Initialisatie!$C$5,12,31))) - MONTH(MAX($F$2, DATE(Initialisatie!$C$5,1,1))) + 1)),
        IFERROR(VALUE($G124),0) * MAX(0, IF(MIN($G$1, DATE(Initialisatie!$C$5,12,31)) &lt; MAX($G$2, DATE(Initialisatie!$C$5,1,1)), 0, MONTH(MIN($G$1, DATE(Initialisatie!$C$5,12,31))) - MONTH(MAX($G$2, DATE(Initialisatie!$C$5,1,1))) + 1)),
        IFERROR(VALUE($H124),0) * MAX(0, IF(MIN($H$1, DATE(Initialisatie!$C$5,12,31)) &lt; MAX($H$2, DATE(Initialisatie!$C$5,1,1)), 0, MONTH(MIN($H$1, DATE(Initialisatie!$C$5,12,31))) - MONTH(MAX($H$2, DATE(Initialisatie!$C$5,1,1))) + 1)),
        IFERROR(VALUE($I124),0) * MAX(0, IF(MIN($I$1, DATE(Initialisatie!$C$5,12,31)) &lt; MAX($I$2, DATE(Initialisatie!$C$5,1,1)), 0, MONTH(MIN($I$1, DATE(Initialisatie!$C$5,12,31))) - MONTH(MAX($I$2, DATE(Initialisatie!$C$5,1,1))) + 1))
    ) / 12
)</f>
        <v>5063.43</v>
      </c>
    </row>
    <row r="125" spans="1:12" x14ac:dyDescent="0.45">
      <c r="A125" s="989"/>
      <c r="B125" s="35" t="s">
        <v>91</v>
      </c>
      <c r="C125" s="35">
        <v>7</v>
      </c>
      <c r="D125" s="35" t="s">
        <v>166</v>
      </c>
      <c r="E125">
        <v>4817.68</v>
      </c>
      <c r="F125">
        <v>4877.8999999999996</v>
      </c>
      <c r="G125">
        <v>5053.5</v>
      </c>
      <c r="H125">
        <v>5240.4799999999996</v>
      </c>
      <c r="I125">
        <v>5418.66</v>
      </c>
      <c r="K125">
        <f>IF(
    OR(
        AND(MAX(0, MIN($E$1, DATE(Initialisatie!$C$5,12,31)) - MAX($E$2, DATE(Initialisatie!$C$5,1,1)) + 1) &gt; 0,IFERROR(VALUE($E125),0)=0),
        AND(MAX(0, MIN($F$1, DATE(Initialisatie!$C$5,12,31)) - MAX($F$2, DATE(Initialisatie!$C$5,1,1)) + 1) &gt; 0,IFERROR(VALUE($F125),0)=0),
        AND(MAX(0, MIN($G$1, DATE(Initialisatie!$C$5,12,31)) - MAX($G$2, DATE(Initialisatie!$C$5,1,1)) + 1) &gt; 0,IFERROR(VALUE($G125),0)=0),
        AND(MAX(0, MIN($H$1, DATE(Initialisatie!$C$5,12,31)) - MAX($H$2, DATE(Initialisatie!$C$5,1,1)) + 1) &gt; 0,IFERROR(VALUE($H125),0)=0),
        AND(MAX(0, MIN($I$1, DATE(Initialisatie!$C$5,12,31)) - MAX($I$2, DATE(Initialisatie!$C$5,1,1)) + 1) &gt; 0,IFERROR(VALUE($I125),0)=0)
    ),
    0,
    SUM(
        IFERROR(VALUE($E125),0) * MAX(0, MIN($E$1, DATE(Initialisatie!$C$5,12,31)) - MAX($E$2, DATE(Initialisatie!$C$5,1,1)) + 1),
        IFERROR(VALUE($F125),0) * MAX(0, MIN($F$1, DATE(Initialisatie!$C$5,12,31)) - MAX($F$2, DATE(Initialisatie!$C$5,1,1)) + 1),
        IFERROR(VALUE($G125),0) * MAX(0, MIN($G$1, DATE(Initialisatie!$C$5,12,31)) - MAX($G$2, DATE(Initialisatie!$C$5,1,1)) + 1),
        IFERROR(VALUE($H125),0) * MAX(0, MIN($H$1, DATE(Initialisatie!$C$5,12,31)) - MAX($H$2, DATE(Initialisatie!$C$5,1,1)) + 1),
        IFERROR(VALUE($I125),0) * MAX(0, MIN($I$1, DATE(Initialisatie!$C$5,12,31)) - MAX($I$2, DATE(Initialisatie!$C$5,1,1)) + 1)
    ) / (DATE(Initialisatie!$C$5,12,31) - DATE(Initialisatie!$C$5,1,1) + 1)
)</f>
        <v>5240.4799999999996</v>
      </c>
      <c r="L125">
        <f>IF(
    OR(
        AND(MAX(0, IF(MIN($E$1, DATE(Initialisatie!$C$5,12,31)) &lt; MAX($E$2, DATE(Initialisatie!$C$5,1,1)), 0, MONTH(MIN($E$1, DATE(Initialisatie!$C$5,12,31))) - MONTH(MAX($E$2, DATE(Initialisatie!$C$5,1,1))) + 1)) &lt;= 0, IFERROR(VALUE($E125),0)=0),
        AND(MAX(0, IF(MIN($F$1, DATE(Initialisatie!$C$5,12,31)) &lt; MAX($F$2, DATE(Initialisatie!$C$5,1,1)), 0, MONTH(MIN($F$1, DATE(Initialisatie!$C$5,12,31))) - MONTH(MAX($F$2, DATE(Initialisatie!$C$5,1,1))) + 1)) &lt;= 0, IFERROR(VALUE($F125),0)=0),
        AND(MAX(0, IF(MIN($G$1, DATE(Initialisatie!$C$5,12,31)) &lt; MAX($G$2, DATE(Initialisatie!$C$5,1,1)), 0, MONTH(MIN($G$1, DATE(Initialisatie!$C$5,12,31))) - MONTH(MAX($G$2, DATE(Initialisatie!$C$5,1,1))) + 1)) &lt;= 0, IFERROR(VALUE($G125),0)=0),
        AND(MAX(0, IF(MIN($H$1, DATE(Initialisatie!$C$5,12,31)) &lt; MAX($H$2, DATE(Initialisatie!$C$5,1,1)), 0, MONTH(MIN($H$1, DATE(Initialisatie!$C$5,12,31))) - MONTH(MAX($H$2, DATE(Initialisatie!$C$5,1,1))) + 1)) &lt;= 0, IFERROR(VALUE($H125),0)=0),
        AND(MAX(0, IF(MIN($I$1, DATE(Initialisatie!$C$5,12,31)) &lt; MAX($I$2, DATE(Initialisatie!$C$5,1,1)), 0, MONTH(MIN($I$1, DATE(Initialisatie!$C$5,12,31))) - MONTH(MAX($I$2, DATE(Initialisatie!$C$5,1,1))) + 1)) &lt;= 0, IFERROR(VALUE($I125),0)=0)
    ),
    0,
    SUM(
        IFERROR(VALUE($E125),0) * MAX(0, IF(MIN($E$1, DATE(Initialisatie!$C$5,12,31)) &lt; MAX($E$2, DATE(Initialisatie!$C$5,1,1)), 0, MONTH(MIN($E$1, DATE(Initialisatie!$C$5,12,31))) - MONTH(MAX($E$2, DATE(Initialisatie!$C$5,1,1))) + 1)),
        IFERROR(VALUE($F125),0) * MAX(0, IF(MIN($F$1, DATE(Initialisatie!$C$5,12,31)) &lt; MAX($F$2, DATE(Initialisatie!$C$5,1,1)), 0, MONTH(MIN($F$1, DATE(Initialisatie!$C$5,12,31))) - MONTH(MAX($F$2, DATE(Initialisatie!$C$5,1,1))) + 1)),
        IFERROR(VALUE($G125),0) * MAX(0, IF(MIN($G$1, DATE(Initialisatie!$C$5,12,31)) &lt; MAX($G$2, DATE(Initialisatie!$C$5,1,1)), 0, MONTH(MIN($G$1, DATE(Initialisatie!$C$5,12,31))) - MONTH(MAX($G$2, DATE(Initialisatie!$C$5,1,1))) + 1)),
        IFERROR(VALUE($H125),0) * MAX(0, IF(MIN($H$1, DATE(Initialisatie!$C$5,12,31)) &lt; MAX($H$2, DATE(Initialisatie!$C$5,1,1)), 0, MONTH(MIN($H$1, DATE(Initialisatie!$C$5,12,31))) - MONTH(MAX($H$2, DATE(Initialisatie!$C$5,1,1))) + 1)),
        IFERROR(VALUE($I125),0) * MAX(0, IF(MIN($I$1, DATE(Initialisatie!$C$5,12,31)) &lt; MAX($I$2, DATE(Initialisatie!$C$5,1,1)), 0, MONTH(MIN($I$1, DATE(Initialisatie!$C$5,12,31))) - MONTH(MAX($I$2, DATE(Initialisatie!$C$5,1,1))) + 1))
    ) / 12
)</f>
        <v>5240.4799999999996</v>
      </c>
    </row>
    <row r="126" spans="1:12" x14ac:dyDescent="0.45">
      <c r="A126" s="989"/>
      <c r="B126" s="35" t="s">
        <v>89</v>
      </c>
      <c r="C126" s="35">
        <v>8</v>
      </c>
      <c r="D126" s="35" t="s">
        <v>165</v>
      </c>
      <c r="E126">
        <v>4986.9399999999996</v>
      </c>
      <c r="F126">
        <v>5049.28</v>
      </c>
      <c r="G126">
        <v>5231.05</v>
      </c>
      <c r="H126">
        <v>5424.6</v>
      </c>
      <c r="I126">
        <v>5609.04</v>
      </c>
      <c r="K126">
        <f>IF(
    OR(
        AND(MAX(0, MIN($E$1, DATE(Initialisatie!$C$5,12,31)) - MAX($E$2, DATE(Initialisatie!$C$5,1,1)) + 1) &gt; 0,IFERROR(VALUE($E126),0)=0),
        AND(MAX(0, MIN($F$1, DATE(Initialisatie!$C$5,12,31)) - MAX($F$2, DATE(Initialisatie!$C$5,1,1)) + 1) &gt; 0,IFERROR(VALUE($F126),0)=0),
        AND(MAX(0, MIN($G$1, DATE(Initialisatie!$C$5,12,31)) - MAX($G$2, DATE(Initialisatie!$C$5,1,1)) + 1) &gt; 0,IFERROR(VALUE($G126),0)=0),
        AND(MAX(0, MIN($H$1, DATE(Initialisatie!$C$5,12,31)) - MAX($H$2, DATE(Initialisatie!$C$5,1,1)) + 1) &gt; 0,IFERROR(VALUE($H126),0)=0),
        AND(MAX(0, MIN($I$1, DATE(Initialisatie!$C$5,12,31)) - MAX($I$2, DATE(Initialisatie!$C$5,1,1)) + 1) &gt; 0,IFERROR(VALUE($I126),0)=0)
    ),
    0,
    SUM(
        IFERROR(VALUE($E126),0) * MAX(0, MIN($E$1, DATE(Initialisatie!$C$5,12,31)) - MAX($E$2, DATE(Initialisatie!$C$5,1,1)) + 1),
        IFERROR(VALUE($F126),0) * MAX(0, MIN($F$1, DATE(Initialisatie!$C$5,12,31)) - MAX($F$2, DATE(Initialisatie!$C$5,1,1)) + 1),
        IFERROR(VALUE($G126),0) * MAX(0, MIN($G$1, DATE(Initialisatie!$C$5,12,31)) - MAX($G$2, DATE(Initialisatie!$C$5,1,1)) + 1),
        IFERROR(VALUE($H126),0) * MAX(0, MIN($H$1, DATE(Initialisatie!$C$5,12,31)) - MAX($H$2, DATE(Initialisatie!$C$5,1,1)) + 1),
        IFERROR(VALUE($I126),0) * MAX(0, MIN($I$1, DATE(Initialisatie!$C$5,12,31)) - MAX($I$2, DATE(Initialisatie!$C$5,1,1)) + 1)
    ) / (DATE(Initialisatie!$C$5,12,31) - DATE(Initialisatie!$C$5,1,1) + 1)
)</f>
        <v>5424.6</v>
      </c>
      <c r="L126">
        <f>IF(
    OR(
        AND(MAX(0, IF(MIN($E$1, DATE(Initialisatie!$C$5,12,31)) &lt; MAX($E$2, DATE(Initialisatie!$C$5,1,1)), 0, MONTH(MIN($E$1, DATE(Initialisatie!$C$5,12,31))) - MONTH(MAX($E$2, DATE(Initialisatie!$C$5,1,1))) + 1)) &lt;= 0, IFERROR(VALUE($E126),0)=0),
        AND(MAX(0, IF(MIN($F$1, DATE(Initialisatie!$C$5,12,31)) &lt; MAX($F$2, DATE(Initialisatie!$C$5,1,1)), 0, MONTH(MIN($F$1, DATE(Initialisatie!$C$5,12,31))) - MONTH(MAX($F$2, DATE(Initialisatie!$C$5,1,1))) + 1)) &lt;= 0, IFERROR(VALUE($F126),0)=0),
        AND(MAX(0, IF(MIN($G$1, DATE(Initialisatie!$C$5,12,31)) &lt; MAX($G$2, DATE(Initialisatie!$C$5,1,1)), 0, MONTH(MIN($G$1, DATE(Initialisatie!$C$5,12,31))) - MONTH(MAX($G$2, DATE(Initialisatie!$C$5,1,1))) + 1)) &lt;= 0, IFERROR(VALUE($G126),0)=0),
        AND(MAX(0, IF(MIN($H$1, DATE(Initialisatie!$C$5,12,31)) &lt; MAX($H$2, DATE(Initialisatie!$C$5,1,1)), 0, MONTH(MIN($H$1, DATE(Initialisatie!$C$5,12,31))) - MONTH(MAX($H$2, DATE(Initialisatie!$C$5,1,1))) + 1)) &lt;= 0, IFERROR(VALUE($H126),0)=0),
        AND(MAX(0, IF(MIN($I$1, DATE(Initialisatie!$C$5,12,31)) &lt; MAX($I$2, DATE(Initialisatie!$C$5,1,1)), 0, MONTH(MIN($I$1, DATE(Initialisatie!$C$5,12,31))) - MONTH(MAX($I$2, DATE(Initialisatie!$C$5,1,1))) + 1)) &lt;= 0, IFERROR(VALUE($I126),0)=0)
    ),
    0,
    SUM(
        IFERROR(VALUE($E126),0) * MAX(0, IF(MIN($E$1, DATE(Initialisatie!$C$5,12,31)) &lt; MAX($E$2, DATE(Initialisatie!$C$5,1,1)), 0, MONTH(MIN($E$1, DATE(Initialisatie!$C$5,12,31))) - MONTH(MAX($E$2, DATE(Initialisatie!$C$5,1,1))) + 1)),
        IFERROR(VALUE($F126),0) * MAX(0, IF(MIN($F$1, DATE(Initialisatie!$C$5,12,31)) &lt; MAX($F$2, DATE(Initialisatie!$C$5,1,1)), 0, MONTH(MIN($F$1, DATE(Initialisatie!$C$5,12,31))) - MONTH(MAX($F$2, DATE(Initialisatie!$C$5,1,1))) + 1)),
        IFERROR(VALUE($G126),0) * MAX(0, IF(MIN($G$1, DATE(Initialisatie!$C$5,12,31)) &lt; MAX($G$2, DATE(Initialisatie!$C$5,1,1)), 0, MONTH(MIN($G$1, DATE(Initialisatie!$C$5,12,31))) - MONTH(MAX($G$2, DATE(Initialisatie!$C$5,1,1))) + 1)),
        IFERROR(VALUE($H126),0) * MAX(0, IF(MIN($H$1, DATE(Initialisatie!$C$5,12,31)) &lt; MAX($H$2, DATE(Initialisatie!$C$5,1,1)), 0, MONTH(MIN($H$1, DATE(Initialisatie!$C$5,12,31))) - MONTH(MAX($H$2, DATE(Initialisatie!$C$5,1,1))) + 1)),
        IFERROR(VALUE($I126),0) * MAX(0, IF(MIN($I$1, DATE(Initialisatie!$C$5,12,31)) &lt; MAX($I$2, DATE(Initialisatie!$C$5,1,1)), 0, MONTH(MIN($I$1, DATE(Initialisatie!$C$5,12,31))) - MONTH(MAX($I$2, DATE(Initialisatie!$C$5,1,1))) + 1))
    ) / 12
)</f>
        <v>5424.6</v>
      </c>
    </row>
    <row r="127" spans="1:12" x14ac:dyDescent="0.45">
      <c r="A127" s="989"/>
      <c r="B127" s="35" t="s">
        <v>87</v>
      </c>
      <c r="C127" s="35">
        <v>9</v>
      </c>
      <c r="D127" s="35" t="s">
        <v>164</v>
      </c>
      <c r="E127">
        <v>5161.33</v>
      </c>
      <c r="F127">
        <v>5225.84</v>
      </c>
      <c r="G127">
        <v>5413.97</v>
      </c>
      <c r="H127">
        <v>5614.29</v>
      </c>
      <c r="I127">
        <v>5805.18</v>
      </c>
      <c r="K127">
        <f>IF(
    OR(
        AND(MAX(0, MIN($E$1, DATE(Initialisatie!$C$5,12,31)) - MAX($E$2, DATE(Initialisatie!$C$5,1,1)) + 1) &gt; 0,IFERROR(VALUE($E127),0)=0),
        AND(MAX(0, MIN($F$1, DATE(Initialisatie!$C$5,12,31)) - MAX($F$2, DATE(Initialisatie!$C$5,1,1)) + 1) &gt; 0,IFERROR(VALUE($F127),0)=0),
        AND(MAX(0, MIN($G$1, DATE(Initialisatie!$C$5,12,31)) - MAX($G$2, DATE(Initialisatie!$C$5,1,1)) + 1) &gt; 0,IFERROR(VALUE($G127),0)=0),
        AND(MAX(0, MIN($H$1, DATE(Initialisatie!$C$5,12,31)) - MAX($H$2, DATE(Initialisatie!$C$5,1,1)) + 1) &gt; 0,IFERROR(VALUE($H127),0)=0),
        AND(MAX(0, MIN($I$1, DATE(Initialisatie!$C$5,12,31)) - MAX($I$2, DATE(Initialisatie!$C$5,1,1)) + 1) &gt; 0,IFERROR(VALUE($I127),0)=0)
    ),
    0,
    SUM(
        IFERROR(VALUE($E127),0) * MAX(0, MIN($E$1, DATE(Initialisatie!$C$5,12,31)) - MAX($E$2, DATE(Initialisatie!$C$5,1,1)) + 1),
        IFERROR(VALUE($F127),0) * MAX(0, MIN($F$1, DATE(Initialisatie!$C$5,12,31)) - MAX($F$2, DATE(Initialisatie!$C$5,1,1)) + 1),
        IFERROR(VALUE($G127),0) * MAX(0, MIN($G$1, DATE(Initialisatie!$C$5,12,31)) - MAX($G$2, DATE(Initialisatie!$C$5,1,1)) + 1),
        IFERROR(VALUE($H127),0) * MAX(0, MIN($H$1, DATE(Initialisatie!$C$5,12,31)) - MAX($H$2, DATE(Initialisatie!$C$5,1,1)) + 1),
        IFERROR(VALUE($I127),0) * MAX(0, MIN($I$1, DATE(Initialisatie!$C$5,12,31)) - MAX($I$2, DATE(Initialisatie!$C$5,1,1)) + 1)
    ) / (DATE(Initialisatie!$C$5,12,31) - DATE(Initialisatie!$C$5,1,1) + 1)
)</f>
        <v>5614.29</v>
      </c>
      <c r="L127">
        <f>IF(
    OR(
        AND(MAX(0, IF(MIN($E$1, DATE(Initialisatie!$C$5,12,31)) &lt; MAX($E$2, DATE(Initialisatie!$C$5,1,1)), 0, MONTH(MIN($E$1, DATE(Initialisatie!$C$5,12,31))) - MONTH(MAX($E$2, DATE(Initialisatie!$C$5,1,1))) + 1)) &lt;= 0, IFERROR(VALUE($E127),0)=0),
        AND(MAX(0, IF(MIN($F$1, DATE(Initialisatie!$C$5,12,31)) &lt; MAX($F$2, DATE(Initialisatie!$C$5,1,1)), 0, MONTH(MIN($F$1, DATE(Initialisatie!$C$5,12,31))) - MONTH(MAX($F$2, DATE(Initialisatie!$C$5,1,1))) + 1)) &lt;= 0, IFERROR(VALUE($F127),0)=0),
        AND(MAX(0, IF(MIN($G$1, DATE(Initialisatie!$C$5,12,31)) &lt; MAX($G$2, DATE(Initialisatie!$C$5,1,1)), 0, MONTH(MIN($G$1, DATE(Initialisatie!$C$5,12,31))) - MONTH(MAX($G$2, DATE(Initialisatie!$C$5,1,1))) + 1)) &lt;= 0, IFERROR(VALUE($G127),0)=0),
        AND(MAX(0, IF(MIN($H$1, DATE(Initialisatie!$C$5,12,31)) &lt; MAX($H$2, DATE(Initialisatie!$C$5,1,1)), 0, MONTH(MIN($H$1, DATE(Initialisatie!$C$5,12,31))) - MONTH(MAX($H$2, DATE(Initialisatie!$C$5,1,1))) + 1)) &lt;= 0, IFERROR(VALUE($H127),0)=0),
        AND(MAX(0, IF(MIN($I$1, DATE(Initialisatie!$C$5,12,31)) &lt; MAX($I$2, DATE(Initialisatie!$C$5,1,1)), 0, MONTH(MIN($I$1, DATE(Initialisatie!$C$5,12,31))) - MONTH(MAX($I$2, DATE(Initialisatie!$C$5,1,1))) + 1)) &lt;= 0, IFERROR(VALUE($I127),0)=0)
    ),
    0,
    SUM(
        IFERROR(VALUE($E127),0) * MAX(0, IF(MIN($E$1, DATE(Initialisatie!$C$5,12,31)) &lt; MAX($E$2, DATE(Initialisatie!$C$5,1,1)), 0, MONTH(MIN($E$1, DATE(Initialisatie!$C$5,12,31))) - MONTH(MAX($E$2, DATE(Initialisatie!$C$5,1,1))) + 1)),
        IFERROR(VALUE($F127),0) * MAX(0, IF(MIN($F$1, DATE(Initialisatie!$C$5,12,31)) &lt; MAX($F$2, DATE(Initialisatie!$C$5,1,1)), 0, MONTH(MIN($F$1, DATE(Initialisatie!$C$5,12,31))) - MONTH(MAX($F$2, DATE(Initialisatie!$C$5,1,1))) + 1)),
        IFERROR(VALUE($G127),0) * MAX(0, IF(MIN($G$1, DATE(Initialisatie!$C$5,12,31)) &lt; MAX($G$2, DATE(Initialisatie!$C$5,1,1)), 0, MONTH(MIN($G$1, DATE(Initialisatie!$C$5,12,31))) - MONTH(MAX($G$2, DATE(Initialisatie!$C$5,1,1))) + 1)),
        IFERROR(VALUE($H127),0) * MAX(0, IF(MIN($H$1, DATE(Initialisatie!$C$5,12,31)) &lt; MAX($H$2, DATE(Initialisatie!$C$5,1,1)), 0, MONTH(MIN($H$1, DATE(Initialisatie!$C$5,12,31))) - MONTH(MAX($H$2, DATE(Initialisatie!$C$5,1,1))) + 1)),
        IFERROR(VALUE($I127),0) * MAX(0, IF(MIN($I$1, DATE(Initialisatie!$C$5,12,31)) &lt; MAX($I$2, DATE(Initialisatie!$C$5,1,1)), 0, MONTH(MIN($I$1, DATE(Initialisatie!$C$5,12,31))) - MONTH(MAX($I$2, DATE(Initialisatie!$C$5,1,1))) + 1))
    ) / 12
)</f>
        <v>5614.29</v>
      </c>
    </row>
    <row r="128" spans="1:12" x14ac:dyDescent="0.45">
      <c r="A128" s="989"/>
      <c r="B128" s="35" t="s">
        <v>109</v>
      </c>
      <c r="C128" s="35">
        <v>10</v>
      </c>
      <c r="D128" s="35" t="s">
        <v>175</v>
      </c>
      <c r="E128">
        <v>5341.5</v>
      </c>
      <c r="F128">
        <v>5408.27</v>
      </c>
      <c r="G128">
        <v>5602.97</v>
      </c>
      <c r="H128">
        <v>5810.28</v>
      </c>
      <c r="I128">
        <v>6007.83</v>
      </c>
      <c r="K128">
        <f>IF(
    OR(
        AND(MAX(0, MIN($E$1, DATE(Initialisatie!$C$5,12,31)) - MAX($E$2, DATE(Initialisatie!$C$5,1,1)) + 1) &gt; 0,IFERROR(VALUE($E128),0)=0),
        AND(MAX(0, MIN($F$1, DATE(Initialisatie!$C$5,12,31)) - MAX($F$2, DATE(Initialisatie!$C$5,1,1)) + 1) &gt; 0,IFERROR(VALUE($F128),0)=0),
        AND(MAX(0, MIN($G$1, DATE(Initialisatie!$C$5,12,31)) - MAX($G$2, DATE(Initialisatie!$C$5,1,1)) + 1) &gt; 0,IFERROR(VALUE($G128),0)=0),
        AND(MAX(0, MIN($H$1, DATE(Initialisatie!$C$5,12,31)) - MAX($H$2, DATE(Initialisatie!$C$5,1,1)) + 1) &gt; 0,IFERROR(VALUE($H128),0)=0),
        AND(MAX(0, MIN($I$1, DATE(Initialisatie!$C$5,12,31)) - MAX($I$2, DATE(Initialisatie!$C$5,1,1)) + 1) &gt; 0,IFERROR(VALUE($I128),0)=0)
    ),
    0,
    SUM(
        IFERROR(VALUE($E128),0) * MAX(0, MIN($E$1, DATE(Initialisatie!$C$5,12,31)) - MAX($E$2, DATE(Initialisatie!$C$5,1,1)) + 1),
        IFERROR(VALUE($F128),0) * MAX(0, MIN($F$1, DATE(Initialisatie!$C$5,12,31)) - MAX($F$2, DATE(Initialisatie!$C$5,1,1)) + 1),
        IFERROR(VALUE($G128),0) * MAX(0, MIN($G$1, DATE(Initialisatie!$C$5,12,31)) - MAX($G$2, DATE(Initialisatie!$C$5,1,1)) + 1),
        IFERROR(VALUE($H128),0) * MAX(0, MIN($H$1, DATE(Initialisatie!$C$5,12,31)) - MAX($H$2, DATE(Initialisatie!$C$5,1,1)) + 1),
        IFERROR(VALUE($I128),0) * MAX(0, MIN($I$1, DATE(Initialisatie!$C$5,12,31)) - MAX($I$2, DATE(Initialisatie!$C$5,1,1)) + 1)
    ) / (DATE(Initialisatie!$C$5,12,31) - DATE(Initialisatie!$C$5,1,1) + 1)
)</f>
        <v>5810.2799999999988</v>
      </c>
      <c r="L128">
        <f>IF(
    OR(
        AND(MAX(0, IF(MIN($E$1, DATE(Initialisatie!$C$5,12,31)) &lt; MAX($E$2, DATE(Initialisatie!$C$5,1,1)), 0, MONTH(MIN($E$1, DATE(Initialisatie!$C$5,12,31))) - MONTH(MAX($E$2, DATE(Initialisatie!$C$5,1,1))) + 1)) &lt;= 0, IFERROR(VALUE($E128),0)=0),
        AND(MAX(0, IF(MIN($F$1, DATE(Initialisatie!$C$5,12,31)) &lt; MAX($F$2, DATE(Initialisatie!$C$5,1,1)), 0, MONTH(MIN($F$1, DATE(Initialisatie!$C$5,12,31))) - MONTH(MAX($F$2, DATE(Initialisatie!$C$5,1,1))) + 1)) &lt;= 0, IFERROR(VALUE($F128),0)=0),
        AND(MAX(0, IF(MIN($G$1, DATE(Initialisatie!$C$5,12,31)) &lt; MAX($G$2, DATE(Initialisatie!$C$5,1,1)), 0, MONTH(MIN($G$1, DATE(Initialisatie!$C$5,12,31))) - MONTH(MAX($G$2, DATE(Initialisatie!$C$5,1,1))) + 1)) &lt;= 0, IFERROR(VALUE($G128),0)=0),
        AND(MAX(0, IF(MIN($H$1, DATE(Initialisatie!$C$5,12,31)) &lt; MAX($H$2, DATE(Initialisatie!$C$5,1,1)), 0, MONTH(MIN($H$1, DATE(Initialisatie!$C$5,12,31))) - MONTH(MAX($H$2, DATE(Initialisatie!$C$5,1,1))) + 1)) &lt;= 0, IFERROR(VALUE($H128),0)=0),
        AND(MAX(0, IF(MIN($I$1, DATE(Initialisatie!$C$5,12,31)) &lt; MAX($I$2, DATE(Initialisatie!$C$5,1,1)), 0, MONTH(MIN($I$1, DATE(Initialisatie!$C$5,12,31))) - MONTH(MAX($I$2, DATE(Initialisatie!$C$5,1,1))) + 1)) &lt;= 0, IFERROR(VALUE($I128),0)=0)
    ),
    0,
    SUM(
        IFERROR(VALUE($E128),0) * MAX(0, IF(MIN($E$1, DATE(Initialisatie!$C$5,12,31)) &lt; MAX($E$2, DATE(Initialisatie!$C$5,1,1)), 0, MONTH(MIN($E$1, DATE(Initialisatie!$C$5,12,31))) - MONTH(MAX($E$2, DATE(Initialisatie!$C$5,1,1))) + 1)),
        IFERROR(VALUE($F128),0) * MAX(0, IF(MIN($F$1, DATE(Initialisatie!$C$5,12,31)) &lt; MAX($F$2, DATE(Initialisatie!$C$5,1,1)), 0, MONTH(MIN($F$1, DATE(Initialisatie!$C$5,12,31))) - MONTH(MAX($F$2, DATE(Initialisatie!$C$5,1,1))) + 1)),
        IFERROR(VALUE($G128),0) * MAX(0, IF(MIN($G$1, DATE(Initialisatie!$C$5,12,31)) &lt; MAX($G$2, DATE(Initialisatie!$C$5,1,1)), 0, MONTH(MIN($G$1, DATE(Initialisatie!$C$5,12,31))) - MONTH(MAX($G$2, DATE(Initialisatie!$C$5,1,1))) + 1)),
        IFERROR(VALUE($H128),0) * MAX(0, IF(MIN($H$1, DATE(Initialisatie!$C$5,12,31)) &lt; MAX($H$2, DATE(Initialisatie!$C$5,1,1)), 0, MONTH(MIN($H$1, DATE(Initialisatie!$C$5,12,31))) - MONTH(MAX($H$2, DATE(Initialisatie!$C$5,1,1))) + 1)),
        IFERROR(VALUE($I128),0) * MAX(0, IF(MIN($I$1, DATE(Initialisatie!$C$5,12,31)) &lt; MAX($I$2, DATE(Initialisatie!$C$5,1,1)), 0, MONTH(MIN($I$1, DATE(Initialisatie!$C$5,12,31))) - MONTH(MAX($I$2, DATE(Initialisatie!$C$5,1,1))) + 1))
    ) / 12
)</f>
        <v>5810.28</v>
      </c>
    </row>
    <row r="129" spans="1:12" x14ac:dyDescent="0.45">
      <c r="A129" s="989"/>
      <c r="B129" s="35" t="s">
        <v>107</v>
      </c>
      <c r="C129" s="35">
        <v>11</v>
      </c>
      <c r="D129" s="35" t="s">
        <v>174</v>
      </c>
      <c r="E129">
        <v>5528.95</v>
      </c>
      <c r="F129">
        <v>5598.06</v>
      </c>
      <c r="G129">
        <v>5799.59</v>
      </c>
      <c r="H129">
        <v>6014.17</v>
      </c>
      <c r="I129">
        <v>6218.66</v>
      </c>
      <c r="K129">
        <f>IF(
    OR(
        AND(MAX(0, MIN($E$1, DATE(Initialisatie!$C$5,12,31)) - MAX($E$2, DATE(Initialisatie!$C$5,1,1)) + 1) &gt; 0,IFERROR(VALUE($E129),0)=0),
        AND(MAX(0, MIN($F$1, DATE(Initialisatie!$C$5,12,31)) - MAX($F$2, DATE(Initialisatie!$C$5,1,1)) + 1) &gt; 0,IFERROR(VALUE($F129),0)=0),
        AND(MAX(0, MIN($G$1, DATE(Initialisatie!$C$5,12,31)) - MAX($G$2, DATE(Initialisatie!$C$5,1,1)) + 1) &gt; 0,IFERROR(VALUE($G129),0)=0),
        AND(MAX(0, MIN($H$1, DATE(Initialisatie!$C$5,12,31)) - MAX($H$2, DATE(Initialisatie!$C$5,1,1)) + 1) &gt; 0,IFERROR(VALUE($H129),0)=0),
        AND(MAX(0, MIN($I$1, DATE(Initialisatie!$C$5,12,31)) - MAX($I$2, DATE(Initialisatie!$C$5,1,1)) + 1) &gt; 0,IFERROR(VALUE($I129),0)=0)
    ),
    0,
    SUM(
        IFERROR(VALUE($E129),0) * MAX(0, MIN($E$1, DATE(Initialisatie!$C$5,12,31)) - MAX($E$2, DATE(Initialisatie!$C$5,1,1)) + 1),
        IFERROR(VALUE($F129),0) * MAX(0, MIN($F$1, DATE(Initialisatie!$C$5,12,31)) - MAX($F$2, DATE(Initialisatie!$C$5,1,1)) + 1),
        IFERROR(VALUE($G129),0) * MAX(0, MIN($G$1, DATE(Initialisatie!$C$5,12,31)) - MAX($G$2, DATE(Initialisatie!$C$5,1,1)) + 1),
        IFERROR(VALUE($H129),0) * MAX(0, MIN($H$1, DATE(Initialisatie!$C$5,12,31)) - MAX($H$2, DATE(Initialisatie!$C$5,1,1)) + 1),
        IFERROR(VALUE($I129),0) * MAX(0, MIN($I$1, DATE(Initialisatie!$C$5,12,31)) - MAX($I$2, DATE(Initialisatie!$C$5,1,1)) + 1)
    ) / (DATE(Initialisatie!$C$5,12,31) - DATE(Initialisatie!$C$5,1,1) + 1)
)</f>
        <v>6014.1699999999992</v>
      </c>
      <c r="L129">
        <f>IF(
    OR(
        AND(MAX(0, IF(MIN($E$1, DATE(Initialisatie!$C$5,12,31)) &lt; MAX($E$2, DATE(Initialisatie!$C$5,1,1)), 0, MONTH(MIN($E$1, DATE(Initialisatie!$C$5,12,31))) - MONTH(MAX($E$2, DATE(Initialisatie!$C$5,1,1))) + 1)) &lt;= 0, IFERROR(VALUE($E129),0)=0),
        AND(MAX(0, IF(MIN($F$1, DATE(Initialisatie!$C$5,12,31)) &lt; MAX($F$2, DATE(Initialisatie!$C$5,1,1)), 0, MONTH(MIN($F$1, DATE(Initialisatie!$C$5,12,31))) - MONTH(MAX($F$2, DATE(Initialisatie!$C$5,1,1))) + 1)) &lt;= 0, IFERROR(VALUE($F129),0)=0),
        AND(MAX(0, IF(MIN($G$1, DATE(Initialisatie!$C$5,12,31)) &lt; MAX($G$2, DATE(Initialisatie!$C$5,1,1)), 0, MONTH(MIN($G$1, DATE(Initialisatie!$C$5,12,31))) - MONTH(MAX($G$2, DATE(Initialisatie!$C$5,1,1))) + 1)) &lt;= 0, IFERROR(VALUE($G129),0)=0),
        AND(MAX(0, IF(MIN($H$1, DATE(Initialisatie!$C$5,12,31)) &lt; MAX($H$2, DATE(Initialisatie!$C$5,1,1)), 0, MONTH(MIN($H$1, DATE(Initialisatie!$C$5,12,31))) - MONTH(MAX($H$2, DATE(Initialisatie!$C$5,1,1))) + 1)) &lt;= 0, IFERROR(VALUE($H129),0)=0),
        AND(MAX(0, IF(MIN($I$1, DATE(Initialisatie!$C$5,12,31)) &lt; MAX($I$2, DATE(Initialisatie!$C$5,1,1)), 0, MONTH(MIN($I$1, DATE(Initialisatie!$C$5,12,31))) - MONTH(MAX($I$2, DATE(Initialisatie!$C$5,1,1))) + 1)) &lt;= 0, IFERROR(VALUE($I129),0)=0)
    ),
    0,
    SUM(
        IFERROR(VALUE($E129),0) * MAX(0, IF(MIN($E$1, DATE(Initialisatie!$C$5,12,31)) &lt; MAX($E$2, DATE(Initialisatie!$C$5,1,1)), 0, MONTH(MIN($E$1, DATE(Initialisatie!$C$5,12,31))) - MONTH(MAX($E$2, DATE(Initialisatie!$C$5,1,1))) + 1)),
        IFERROR(VALUE($F129),0) * MAX(0, IF(MIN($F$1, DATE(Initialisatie!$C$5,12,31)) &lt; MAX($F$2, DATE(Initialisatie!$C$5,1,1)), 0, MONTH(MIN($F$1, DATE(Initialisatie!$C$5,12,31))) - MONTH(MAX($F$2, DATE(Initialisatie!$C$5,1,1))) + 1)),
        IFERROR(VALUE($G129),0) * MAX(0, IF(MIN($G$1, DATE(Initialisatie!$C$5,12,31)) &lt; MAX($G$2, DATE(Initialisatie!$C$5,1,1)), 0, MONTH(MIN($G$1, DATE(Initialisatie!$C$5,12,31))) - MONTH(MAX($G$2, DATE(Initialisatie!$C$5,1,1))) + 1)),
        IFERROR(VALUE($H129),0) * MAX(0, IF(MIN($H$1, DATE(Initialisatie!$C$5,12,31)) &lt; MAX($H$2, DATE(Initialisatie!$C$5,1,1)), 0, MONTH(MIN($H$1, DATE(Initialisatie!$C$5,12,31))) - MONTH(MAX($H$2, DATE(Initialisatie!$C$5,1,1))) + 1)),
        IFERROR(VALUE($I129),0) * MAX(0, IF(MIN($I$1, DATE(Initialisatie!$C$5,12,31)) &lt; MAX($I$2, DATE(Initialisatie!$C$5,1,1)), 0, MONTH(MIN($I$1, DATE(Initialisatie!$C$5,12,31))) - MONTH(MAX($I$2, DATE(Initialisatie!$C$5,1,1))) + 1))
    ) / 12
)</f>
        <v>6014.170000000001</v>
      </c>
    </row>
    <row r="130" spans="1:12" x14ac:dyDescent="0.45">
      <c r="A130" s="989"/>
      <c r="B130" s="35" t="s">
        <v>105</v>
      </c>
      <c r="C130" s="35">
        <v>12</v>
      </c>
      <c r="D130" s="35" t="s">
        <v>173</v>
      </c>
      <c r="E130">
        <v>5722.2</v>
      </c>
      <c r="F130">
        <v>5793.72</v>
      </c>
      <c r="G130">
        <v>6002.3</v>
      </c>
      <c r="H130">
        <v>6224.38</v>
      </c>
      <c r="I130">
        <v>6436.01</v>
      </c>
      <c r="K130">
        <f>IF(
    OR(
        AND(MAX(0, MIN($E$1, DATE(Initialisatie!$C$5,12,31)) - MAX($E$2, DATE(Initialisatie!$C$5,1,1)) + 1) &gt; 0,IFERROR(VALUE($E130),0)=0),
        AND(MAX(0, MIN($F$1, DATE(Initialisatie!$C$5,12,31)) - MAX($F$2, DATE(Initialisatie!$C$5,1,1)) + 1) &gt; 0,IFERROR(VALUE($F130),0)=0),
        AND(MAX(0, MIN($G$1, DATE(Initialisatie!$C$5,12,31)) - MAX($G$2, DATE(Initialisatie!$C$5,1,1)) + 1) &gt; 0,IFERROR(VALUE($G130),0)=0),
        AND(MAX(0, MIN($H$1, DATE(Initialisatie!$C$5,12,31)) - MAX($H$2, DATE(Initialisatie!$C$5,1,1)) + 1) &gt; 0,IFERROR(VALUE($H130),0)=0),
        AND(MAX(0, MIN($I$1, DATE(Initialisatie!$C$5,12,31)) - MAX($I$2, DATE(Initialisatie!$C$5,1,1)) + 1) &gt; 0,IFERROR(VALUE($I130),0)=0)
    ),
    0,
    SUM(
        IFERROR(VALUE($E130),0) * MAX(0, MIN($E$1, DATE(Initialisatie!$C$5,12,31)) - MAX($E$2, DATE(Initialisatie!$C$5,1,1)) + 1),
        IFERROR(VALUE($F130),0) * MAX(0, MIN($F$1, DATE(Initialisatie!$C$5,12,31)) - MAX($F$2, DATE(Initialisatie!$C$5,1,1)) + 1),
        IFERROR(VALUE($G130),0) * MAX(0, MIN($G$1, DATE(Initialisatie!$C$5,12,31)) - MAX($G$2, DATE(Initialisatie!$C$5,1,1)) + 1),
        IFERROR(VALUE($H130),0) * MAX(0, MIN($H$1, DATE(Initialisatie!$C$5,12,31)) - MAX($H$2, DATE(Initialisatie!$C$5,1,1)) + 1),
        IFERROR(VALUE($I130),0) * MAX(0, MIN($I$1, DATE(Initialisatie!$C$5,12,31)) - MAX($I$2, DATE(Initialisatie!$C$5,1,1)) + 1)
    ) / (DATE(Initialisatie!$C$5,12,31) - DATE(Initialisatie!$C$5,1,1) + 1)
)</f>
        <v>6224.38</v>
      </c>
      <c r="L130">
        <f>IF(
    OR(
        AND(MAX(0, IF(MIN($E$1, DATE(Initialisatie!$C$5,12,31)) &lt; MAX($E$2, DATE(Initialisatie!$C$5,1,1)), 0, MONTH(MIN($E$1, DATE(Initialisatie!$C$5,12,31))) - MONTH(MAX($E$2, DATE(Initialisatie!$C$5,1,1))) + 1)) &lt;= 0, IFERROR(VALUE($E130),0)=0),
        AND(MAX(0, IF(MIN($F$1, DATE(Initialisatie!$C$5,12,31)) &lt; MAX($F$2, DATE(Initialisatie!$C$5,1,1)), 0, MONTH(MIN($F$1, DATE(Initialisatie!$C$5,12,31))) - MONTH(MAX($F$2, DATE(Initialisatie!$C$5,1,1))) + 1)) &lt;= 0, IFERROR(VALUE($F130),0)=0),
        AND(MAX(0, IF(MIN($G$1, DATE(Initialisatie!$C$5,12,31)) &lt; MAX($G$2, DATE(Initialisatie!$C$5,1,1)), 0, MONTH(MIN($G$1, DATE(Initialisatie!$C$5,12,31))) - MONTH(MAX($G$2, DATE(Initialisatie!$C$5,1,1))) + 1)) &lt;= 0, IFERROR(VALUE($G130),0)=0),
        AND(MAX(0, IF(MIN($H$1, DATE(Initialisatie!$C$5,12,31)) &lt; MAX($H$2, DATE(Initialisatie!$C$5,1,1)), 0, MONTH(MIN($H$1, DATE(Initialisatie!$C$5,12,31))) - MONTH(MAX($H$2, DATE(Initialisatie!$C$5,1,1))) + 1)) &lt;= 0, IFERROR(VALUE($H130),0)=0),
        AND(MAX(0, IF(MIN($I$1, DATE(Initialisatie!$C$5,12,31)) &lt; MAX($I$2, DATE(Initialisatie!$C$5,1,1)), 0, MONTH(MIN($I$1, DATE(Initialisatie!$C$5,12,31))) - MONTH(MAX($I$2, DATE(Initialisatie!$C$5,1,1))) + 1)) &lt;= 0, IFERROR(VALUE($I130),0)=0)
    ),
    0,
    SUM(
        IFERROR(VALUE($E130),0) * MAX(0, IF(MIN($E$1, DATE(Initialisatie!$C$5,12,31)) &lt; MAX($E$2, DATE(Initialisatie!$C$5,1,1)), 0, MONTH(MIN($E$1, DATE(Initialisatie!$C$5,12,31))) - MONTH(MAX($E$2, DATE(Initialisatie!$C$5,1,1))) + 1)),
        IFERROR(VALUE($F130),0) * MAX(0, IF(MIN($F$1, DATE(Initialisatie!$C$5,12,31)) &lt; MAX($F$2, DATE(Initialisatie!$C$5,1,1)), 0, MONTH(MIN($F$1, DATE(Initialisatie!$C$5,12,31))) - MONTH(MAX($F$2, DATE(Initialisatie!$C$5,1,1))) + 1)),
        IFERROR(VALUE($G130),0) * MAX(0, IF(MIN($G$1, DATE(Initialisatie!$C$5,12,31)) &lt; MAX($G$2, DATE(Initialisatie!$C$5,1,1)), 0, MONTH(MIN($G$1, DATE(Initialisatie!$C$5,12,31))) - MONTH(MAX($G$2, DATE(Initialisatie!$C$5,1,1))) + 1)),
        IFERROR(VALUE($H130),0) * MAX(0, IF(MIN($H$1, DATE(Initialisatie!$C$5,12,31)) &lt; MAX($H$2, DATE(Initialisatie!$C$5,1,1)), 0, MONTH(MIN($H$1, DATE(Initialisatie!$C$5,12,31))) - MONTH(MAX($H$2, DATE(Initialisatie!$C$5,1,1))) + 1)),
        IFERROR(VALUE($I130),0) * MAX(0, IF(MIN($I$1, DATE(Initialisatie!$C$5,12,31)) &lt; MAX($I$2, DATE(Initialisatie!$C$5,1,1)), 0, MONTH(MIN($I$1, DATE(Initialisatie!$C$5,12,31))) - MONTH(MAX($I$2, DATE(Initialisatie!$C$5,1,1))) + 1))
    ) / 12
)</f>
        <v>6224.38</v>
      </c>
    </row>
    <row r="131" spans="1:12" x14ac:dyDescent="0.45">
      <c r="A131" s="989"/>
      <c r="B131" s="35" t="s">
        <v>103</v>
      </c>
      <c r="C131" s="35">
        <v>13</v>
      </c>
      <c r="D131" s="35" t="s">
        <v>172</v>
      </c>
      <c r="E131">
        <v>0</v>
      </c>
      <c r="F131">
        <v>0</v>
      </c>
      <c r="G131">
        <v>0</v>
      </c>
      <c r="H131">
        <v>0</v>
      </c>
      <c r="I131">
        <v>0</v>
      </c>
      <c r="K131">
        <f>IF(
    OR(
        AND(MAX(0, MIN($E$1, DATE(Initialisatie!$C$5,12,31)) - MAX($E$2, DATE(Initialisatie!$C$5,1,1)) + 1) &gt; 0,IFERROR(VALUE($E131),0)=0),
        AND(MAX(0, MIN($F$1, DATE(Initialisatie!$C$5,12,31)) - MAX($F$2, DATE(Initialisatie!$C$5,1,1)) + 1) &gt; 0,IFERROR(VALUE($F131),0)=0),
        AND(MAX(0, MIN($G$1, DATE(Initialisatie!$C$5,12,31)) - MAX($G$2, DATE(Initialisatie!$C$5,1,1)) + 1) &gt; 0,IFERROR(VALUE($G131),0)=0),
        AND(MAX(0, MIN($H$1, DATE(Initialisatie!$C$5,12,31)) - MAX($H$2, DATE(Initialisatie!$C$5,1,1)) + 1) &gt; 0,IFERROR(VALUE($H131),0)=0),
        AND(MAX(0, MIN($I$1, DATE(Initialisatie!$C$5,12,31)) - MAX($I$2, DATE(Initialisatie!$C$5,1,1)) + 1) &gt; 0,IFERROR(VALUE($I131),0)=0)
    ),
    0,
    SUM(
        IFERROR(VALUE($E131),0) * MAX(0, MIN($E$1, DATE(Initialisatie!$C$5,12,31)) - MAX($E$2, DATE(Initialisatie!$C$5,1,1)) + 1),
        IFERROR(VALUE($F131),0) * MAX(0, MIN($F$1, DATE(Initialisatie!$C$5,12,31)) - MAX($F$2, DATE(Initialisatie!$C$5,1,1)) + 1),
        IFERROR(VALUE($G131),0) * MAX(0, MIN($G$1, DATE(Initialisatie!$C$5,12,31)) - MAX($G$2, DATE(Initialisatie!$C$5,1,1)) + 1),
        IFERROR(VALUE($H131),0) * MAX(0, MIN($H$1, DATE(Initialisatie!$C$5,12,31)) - MAX($H$2, DATE(Initialisatie!$C$5,1,1)) + 1),
        IFERROR(VALUE($I131),0) * MAX(0, MIN($I$1, DATE(Initialisatie!$C$5,12,31)) - MAX($I$2, DATE(Initialisatie!$C$5,1,1)) + 1)
    ) / (DATE(Initialisatie!$C$5,12,31) - DATE(Initialisatie!$C$5,1,1) + 1)
)</f>
        <v>0</v>
      </c>
      <c r="L131">
        <f>IF(
    OR(
        AND(MAX(0, IF(MIN($E$1, DATE(Initialisatie!$C$5,12,31)) &lt; MAX($E$2, DATE(Initialisatie!$C$5,1,1)), 0, MONTH(MIN($E$1, DATE(Initialisatie!$C$5,12,31))) - MONTH(MAX($E$2, DATE(Initialisatie!$C$5,1,1))) + 1)) &lt;= 0, IFERROR(VALUE($E131),0)=0),
        AND(MAX(0, IF(MIN($F$1, DATE(Initialisatie!$C$5,12,31)) &lt; MAX($F$2, DATE(Initialisatie!$C$5,1,1)), 0, MONTH(MIN($F$1, DATE(Initialisatie!$C$5,12,31))) - MONTH(MAX($F$2, DATE(Initialisatie!$C$5,1,1))) + 1)) &lt;= 0, IFERROR(VALUE($F131),0)=0),
        AND(MAX(0, IF(MIN($G$1, DATE(Initialisatie!$C$5,12,31)) &lt; MAX($G$2, DATE(Initialisatie!$C$5,1,1)), 0, MONTH(MIN($G$1, DATE(Initialisatie!$C$5,12,31))) - MONTH(MAX($G$2, DATE(Initialisatie!$C$5,1,1))) + 1)) &lt;= 0, IFERROR(VALUE($G131),0)=0),
        AND(MAX(0, IF(MIN($H$1, DATE(Initialisatie!$C$5,12,31)) &lt; MAX($H$2, DATE(Initialisatie!$C$5,1,1)), 0, MONTH(MIN($H$1, DATE(Initialisatie!$C$5,12,31))) - MONTH(MAX($H$2, DATE(Initialisatie!$C$5,1,1))) + 1)) &lt;= 0, IFERROR(VALUE($H131),0)=0),
        AND(MAX(0, IF(MIN($I$1, DATE(Initialisatie!$C$5,12,31)) &lt; MAX($I$2, DATE(Initialisatie!$C$5,1,1)), 0, MONTH(MIN($I$1, DATE(Initialisatie!$C$5,12,31))) - MONTH(MAX($I$2, DATE(Initialisatie!$C$5,1,1))) + 1)) &lt;= 0, IFERROR(VALUE($I131),0)=0)
    ),
    0,
    SUM(
        IFERROR(VALUE($E131),0) * MAX(0, IF(MIN($E$1, DATE(Initialisatie!$C$5,12,31)) &lt; MAX($E$2, DATE(Initialisatie!$C$5,1,1)), 0, MONTH(MIN($E$1, DATE(Initialisatie!$C$5,12,31))) - MONTH(MAX($E$2, DATE(Initialisatie!$C$5,1,1))) + 1)),
        IFERROR(VALUE($F131),0) * MAX(0, IF(MIN($F$1, DATE(Initialisatie!$C$5,12,31)) &lt; MAX($F$2, DATE(Initialisatie!$C$5,1,1)), 0, MONTH(MIN($F$1, DATE(Initialisatie!$C$5,12,31))) - MONTH(MAX($F$2, DATE(Initialisatie!$C$5,1,1))) + 1)),
        IFERROR(VALUE($G131),0) * MAX(0, IF(MIN($G$1, DATE(Initialisatie!$C$5,12,31)) &lt; MAX($G$2, DATE(Initialisatie!$C$5,1,1)), 0, MONTH(MIN($G$1, DATE(Initialisatie!$C$5,12,31))) - MONTH(MAX($G$2, DATE(Initialisatie!$C$5,1,1))) + 1)),
        IFERROR(VALUE($H131),0) * MAX(0, IF(MIN($H$1, DATE(Initialisatie!$C$5,12,31)) &lt; MAX($H$2, DATE(Initialisatie!$C$5,1,1)), 0, MONTH(MIN($H$1, DATE(Initialisatie!$C$5,12,31))) - MONTH(MAX($H$2, DATE(Initialisatie!$C$5,1,1))) + 1)),
        IFERROR(VALUE($I131),0) * MAX(0, IF(MIN($I$1, DATE(Initialisatie!$C$5,12,31)) &lt; MAX($I$2, DATE(Initialisatie!$C$5,1,1)), 0, MONTH(MIN($I$1, DATE(Initialisatie!$C$5,12,31))) - MONTH(MAX($I$2, DATE(Initialisatie!$C$5,1,1))) + 1))
    ) / 12
)</f>
        <v>0</v>
      </c>
    </row>
    <row r="132" spans="1:12" x14ac:dyDescent="0.45">
      <c r="A132" s="989"/>
      <c r="B132" s="35" t="s">
        <v>531</v>
      </c>
      <c r="C132" s="35">
        <v>14</v>
      </c>
      <c r="D132" s="35" t="s">
        <v>163</v>
      </c>
      <c r="E132">
        <v>5922.75</v>
      </c>
      <c r="F132">
        <v>5996.79</v>
      </c>
      <c r="G132">
        <v>6212.67</v>
      </c>
      <c r="H132">
        <v>6442.54</v>
      </c>
      <c r="I132">
        <v>6661.59</v>
      </c>
      <c r="K132">
        <f>IF(
    OR(
        AND(MAX(0, MIN($E$1, DATE(Initialisatie!$C$5,12,31)) - MAX($E$2, DATE(Initialisatie!$C$5,1,1)) + 1) &gt; 0,IFERROR(VALUE($E132),0)=0),
        AND(MAX(0, MIN($F$1, DATE(Initialisatie!$C$5,12,31)) - MAX($F$2, DATE(Initialisatie!$C$5,1,1)) + 1) &gt; 0,IFERROR(VALUE($F132),0)=0),
        AND(MAX(0, MIN($G$1, DATE(Initialisatie!$C$5,12,31)) - MAX($G$2, DATE(Initialisatie!$C$5,1,1)) + 1) &gt; 0,IFERROR(VALUE($G132),0)=0),
        AND(MAX(0, MIN($H$1, DATE(Initialisatie!$C$5,12,31)) - MAX($H$2, DATE(Initialisatie!$C$5,1,1)) + 1) &gt; 0,IFERROR(VALUE($H132),0)=0),
        AND(MAX(0, MIN($I$1, DATE(Initialisatie!$C$5,12,31)) - MAX($I$2, DATE(Initialisatie!$C$5,1,1)) + 1) &gt; 0,IFERROR(VALUE($I132),0)=0)
    ),
    0,
    SUM(
        IFERROR(VALUE($E132),0) * MAX(0, MIN($E$1, DATE(Initialisatie!$C$5,12,31)) - MAX($E$2, DATE(Initialisatie!$C$5,1,1)) + 1),
        IFERROR(VALUE($F132),0) * MAX(0, MIN($F$1, DATE(Initialisatie!$C$5,12,31)) - MAX($F$2, DATE(Initialisatie!$C$5,1,1)) + 1),
        IFERROR(VALUE($G132),0) * MAX(0, MIN($G$1, DATE(Initialisatie!$C$5,12,31)) - MAX($G$2, DATE(Initialisatie!$C$5,1,1)) + 1),
        IFERROR(VALUE($H132),0) * MAX(0, MIN($H$1, DATE(Initialisatie!$C$5,12,31)) - MAX($H$2, DATE(Initialisatie!$C$5,1,1)) + 1),
        IFERROR(VALUE($I132),0) * MAX(0, MIN($I$1, DATE(Initialisatie!$C$5,12,31)) - MAX($I$2, DATE(Initialisatie!$C$5,1,1)) + 1)
    ) / (DATE(Initialisatie!$C$5,12,31) - DATE(Initialisatie!$C$5,1,1) + 1)
)</f>
        <v>6442.54</v>
      </c>
      <c r="L132">
        <f>IF(
    OR(
        AND(MAX(0, IF(MIN($E$1, DATE(Initialisatie!$C$5,12,31)) &lt; MAX($E$2, DATE(Initialisatie!$C$5,1,1)), 0, MONTH(MIN($E$1, DATE(Initialisatie!$C$5,12,31))) - MONTH(MAX($E$2, DATE(Initialisatie!$C$5,1,1))) + 1)) &lt;= 0, IFERROR(VALUE($E132),0)=0),
        AND(MAX(0, IF(MIN($F$1, DATE(Initialisatie!$C$5,12,31)) &lt; MAX($F$2, DATE(Initialisatie!$C$5,1,1)), 0, MONTH(MIN($F$1, DATE(Initialisatie!$C$5,12,31))) - MONTH(MAX($F$2, DATE(Initialisatie!$C$5,1,1))) + 1)) &lt;= 0, IFERROR(VALUE($F132),0)=0),
        AND(MAX(0, IF(MIN($G$1, DATE(Initialisatie!$C$5,12,31)) &lt; MAX($G$2, DATE(Initialisatie!$C$5,1,1)), 0, MONTH(MIN($G$1, DATE(Initialisatie!$C$5,12,31))) - MONTH(MAX($G$2, DATE(Initialisatie!$C$5,1,1))) + 1)) &lt;= 0, IFERROR(VALUE($G132),0)=0),
        AND(MAX(0, IF(MIN($H$1, DATE(Initialisatie!$C$5,12,31)) &lt; MAX($H$2, DATE(Initialisatie!$C$5,1,1)), 0, MONTH(MIN($H$1, DATE(Initialisatie!$C$5,12,31))) - MONTH(MAX($H$2, DATE(Initialisatie!$C$5,1,1))) + 1)) &lt;= 0, IFERROR(VALUE($H132),0)=0),
        AND(MAX(0, IF(MIN($I$1, DATE(Initialisatie!$C$5,12,31)) &lt; MAX($I$2, DATE(Initialisatie!$C$5,1,1)), 0, MONTH(MIN($I$1, DATE(Initialisatie!$C$5,12,31))) - MONTH(MAX($I$2, DATE(Initialisatie!$C$5,1,1))) + 1)) &lt;= 0, IFERROR(VALUE($I132),0)=0)
    ),
    0,
    SUM(
        IFERROR(VALUE($E132),0) * MAX(0, IF(MIN($E$1, DATE(Initialisatie!$C$5,12,31)) &lt; MAX($E$2, DATE(Initialisatie!$C$5,1,1)), 0, MONTH(MIN($E$1, DATE(Initialisatie!$C$5,12,31))) - MONTH(MAX($E$2, DATE(Initialisatie!$C$5,1,1))) + 1)),
        IFERROR(VALUE($F132),0) * MAX(0, IF(MIN($F$1, DATE(Initialisatie!$C$5,12,31)) &lt; MAX($F$2, DATE(Initialisatie!$C$5,1,1)), 0, MONTH(MIN($F$1, DATE(Initialisatie!$C$5,12,31))) - MONTH(MAX($F$2, DATE(Initialisatie!$C$5,1,1))) + 1)),
        IFERROR(VALUE($G132),0) * MAX(0, IF(MIN($G$1, DATE(Initialisatie!$C$5,12,31)) &lt; MAX($G$2, DATE(Initialisatie!$C$5,1,1)), 0, MONTH(MIN($G$1, DATE(Initialisatie!$C$5,12,31))) - MONTH(MAX($G$2, DATE(Initialisatie!$C$5,1,1))) + 1)),
        IFERROR(VALUE($H132),0) * MAX(0, IF(MIN($H$1, DATE(Initialisatie!$C$5,12,31)) &lt; MAX($H$2, DATE(Initialisatie!$C$5,1,1)), 0, MONTH(MIN($H$1, DATE(Initialisatie!$C$5,12,31))) - MONTH(MAX($H$2, DATE(Initialisatie!$C$5,1,1))) + 1)),
        IFERROR(VALUE($I132),0) * MAX(0, IF(MIN($I$1, DATE(Initialisatie!$C$5,12,31)) &lt; MAX($I$2, DATE(Initialisatie!$C$5,1,1)), 0, MONTH(MIN($I$1, DATE(Initialisatie!$C$5,12,31))) - MONTH(MAX($I$2, DATE(Initialisatie!$C$5,1,1))) + 1))
    ) / 12
)</f>
        <v>6442.54</v>
      </c>
    </row>
    <row r="133" spans="1:12" x14ac:dyDescent="0.45">
      <c r="A133" s="990"/>
      <c r="B133" s="35" t="s">
        <v>533</v>
      </c>
      <c r="C133" s="35">
        <v>15</v>
      </c>
      <c r="D133" s="35" t="s">
        <v>162</v>
      </c>
      <c r="E133">
        <v>6129.76</v>
      </c>
      <c r="F133">
        <v>6206.38</v>
      </c>
      <c r="G133">
        <v>6429.81</v>
      </c>
      <c r="H133">
        <v>6667.71</v>
      </c>
      <c r="I133">
        <v>6894.42</v>
      </c>
      <c r="K133">
        <f>IF(
    OR(
        AND(MAX(0, MIN($E$1, DATE(Initialisatie!$C$5,12,31)) - MAX($E$2, DATE(Initialisatie!$C$5,1,1)) + 1) &gt; 0,IFERROR(VALUE($E133),0)=0),
        AND(MAX(0, MIN($F$1, DATE(Initialisatie!$C$5,12,31)) - MAX($F$2, DATE(Initialisatie!$C$5,1,1)) + 1) &gt; 0,IFERROR(VALUE($F133),0)=0),
        AND(MAX(0, MIN($G$1, DATE(Initialisatie!$C$5,12,31)) - MAX($G$2, DATE(Initialisatie!$C$5,1,1)) + 1) &gt; 0,IFERROR(VALUE($G133),0)=0),
        AND(MAX(0, MIN($H$1, DATE(Initialisatie!$C$5,12,31)) - MAX($H$2, DATE(Initialisatie!$C$5,1,1)) + 1) &gt; 0,IFERROR(VALUE($H133),0)=0),
        AND(MAX(0, MIN($I$1, DATE(Initialisatie!$C$5,12,31)) - MAX($I$2, DATE(Initialisatie!$C$5,1,1)) + 1) &gt; 0,IFERROR(VALUE($I133),0)=0)
    ),
    0,
    SUM(
        IFERROR(VALUE($E133),0) * MAX(0, MIN($E$1, DATE(Initialisatie!$C$5,12,31)) - MAX($E$2, DATE(Initialisatie!$C$5,1,1)) + 1),
        IFERROR(VALUE($F133),0) * MAX(0, MIN($F$1, DATE(Initialisatie!$C$5,12,31)) - MAX($F$2, DATE(Initialisatie!$C$5,1,1)) + 1),
        IFERROR(VALUE($G133),0) * MAX(0, MIN($G$1, DATE(Initialisatie!$C$5,12,31)) - MAX($G$2, DATE(Initialisatie!$C$5,1,1)) + 1),
        IFERROR(VALUE($H133),0) * MAX(0, MIN($H$1, DATE(Initialisatie!$C$5,12,31)) - MAX($H$2, DATE(Initialisatie!$C$5,1,1)) + 1),
        IFERROR(VALUE($I133),0) * MAX(0, MIN($I$1, DATE(Initialisatie!$C$5,12,31)) - MAX($I$2, DATE(Initialisatie!$C$5,1,1)) + 1)
    ) / (DATE(Initialisatie!$C$5,12,31) - DATE(Initialisatie!$C$5,1,1) + 1)
)</f>
        <v>6667.71</v>
      </c>
      <c r="L133">
        <f>IF(
    OR(
        AND(MAX(0, IF(MIN($E$1, DATE(Initialisatie!$C$5,12,31)) &lt; MAX($E$2, DATE(Initialisatie!$C$5,1,1)), 0, MONTH(MIN($E$1, DATE(Initialisatie!$C$5,12,31))) - MONTH(MAX($E$2, DATE(Initialisatie!$C$5,1,1))) + 1)) &lt;= 0, IFERROR(VALUE($E133),0)=0),
        AND(MAX(0, IF(MIN($F$1, DATE(Initialisatie!$C$5,12,31)) &lt; MAX($F$2, DATE(Initialisatie!$C$5,1,1)), 0, MONTH(MIN($F$1, DATE(Initialisatie!$C$5,12,31))) - MONTH(MAX($F$2, DATE(Initialisatie!$C$5,1,1))) + 1)) &lt;= 0, IFERROR(VALUE($F133),0)=0),
        AND(MAX(0, IF(MIN($G$1, DATE(Initialisatie!$C$5,12,31)) &lt; MAX($G$2, DATE(Initialisatie!$C$5,1,1)), 0, MONTH(MIN($G$1, DATE(Initialisatie!$C$5,12,31))) - MONTH(MAX($G$2, DATE(Initialisatie!$C$5,1,1))) + 1)) &lt;= 0, IFERROR(VALUE($G133),0)=0),
        AND(MAX(0, IF(MIN($H$1, DATE(Initialisatie!$C$5,12,31)) &lt; MAX($H$2, DATE(Initialisatie!$C$5,1,1)), 0, MONTH(MIN($H$1, DATE(Initialisatie!$C$5,12,31))) - MONTH(MAX($H$2, DATE(Initialisatie!$C$5,1,1))) + 1)) &lt;= 0, IFERROR(VALUE($H133),0)=0),
        AND(MAX(0, IF(MIN($I$1, DATE(Initialisatie!$C$5,12,31)) &lt; MAX($I$2, DATE(Initialisatie!$C$5,1,1)), 0, MONTH(MIN($I$1, DATE(Initialisatie!$C$5,12,31))) - MONTH(MAX($I$2, DATE(Initialisatie!$C$5,1,1))) + 1)) &lt;= 0, IFERROR(VALUE($I133),0)=0)
    ),
    0,
    SUM(
        IFERROR(VALUE($E133),0) * MAX(0, IF(MIN($E$1, DATE(Initialisatie!$C$5,12,31)) &lt; MAX($E$2, DATE(Initialisatie!$C$5,1,1)), 0, MONTH(MIN($E$1, DATE(Initialisatie!$C$5,12,31))) - MONTH(MAX($E$2, DATE(Initialisatie!$C$5,1,1))) + 1)),
        IFERROR(VALUE($F133),0) * MAX(0, IF(MIN($F$1, DATE(Initialisatie!$C$5,12,31)) &lt; MAX($F$2, DATE(Initialisatie!$C$5,1,1)), 0, MONTH(MIN($F$1, DATE(Initialisatie!$C$5,12,31))) - MONTH(MAX($F$2, DATE(Initialisatie!$C$5,1,1))) + 1)),
        IFERROR(VALUE($G133),0) * MAX(0, IF(MIN($G$1, DATE(Initialisatie!$C$5,12,31)) &lt; MAX($G$2, DATE(Initialisatie!$C$5,1,1)), 0, MONTH(MIN($G$1, DATE(Initialisatie!$C$5,12,31))) - MONTH(MAX($G$2, DATE(Initialisatie!$C$5,1,1))) + 1)),
        IFERROR(VALUE($H133),0) * MAX(0, IF(MIN($H$1, DATE(Initialisatie!$C$5,12,31)) &lt; MAX($H$2, DATE(Initialisatie!$C$5,1,1)), 0, MONTH(MIN($H$1, DATE(Initialisatie!$C$5,12,31))) - MONTH(MAX($H$2, DATE(Initialisatie!$C$5,1,1))) + 1)),
        IFERROR(VALUE($I133),0) * MAX(0, IF(MIN($I$1, DATE(Initialisatie!$C$5,12,31)) &lt; MAX($I$2, DATE(Initialisatie!$C$5,1,1)), 0, MONTH(MIN($I$1, DATE(Initialisatie!$C$5,12,31))) - MONTH(MAX($I$2, DATE(Initialisatie!$C$5,1,1))) + 1))
    ) / 12
)</f>
        <v>6667.71</v>
      </c>
    </row>
    <row r="134" spans="1:12" x14ac:dyDescent="0.45">
      <c r="A134" s="988">
        <v>12</v>
      </c>
      <c r="B134" s="35" t="s">
        <v>113</v>
      </c>
      <c r="C134" s="35">
        <v>0</v>
      </c>
      <c r="D134" s="35" t="s">
        <v>161</v>
      </c>
      <c r="E134">
        <v>4171.0200000000004</v>
      </c>
      <c r="F134">
        <v>4223.16</v>
      </c>
      <c r="G134">
        <v>4375.2</v>
      </c>
      <c r="H134">
        <v>4537.08</v>
      </c>
      <c r="I134">
        <v>4691.34</v>
      </c>
      <c r="K134">
        <f>IF(
    OR(
        AND(MAX(0, MIN($E$1, DATE(Initialisatie!$C$5,12,31)) - MAX($E$2, DATE(Initialisatie!$C$5,1,1)) + 1) &gt; 0,IFERROR(VALUE($E134),0)=0),
        AND(MAX(0, MIN($F$1, DATE(Initialisatie!$C$5,12,31)) - MAX($F$2, DATE(Initialisatie!$C$5,1,1)) + 1) &gt; 0,IFERROR(VALUE($F134),0)=0),
        AND(MAX(0, MIN($G$1, DATE(Initialisatie!$C$5,12,31)) - MAX($G$2, DATE(Initialisatie!$C$5,1,1)) + 1) &gt; 0,IFERROR(VALUE($G134),0)=0),
        AND(MAX(0, MIN($H$1, DATE(Initialisatie!$C$5,12,31)) - MAX($H$2, DATE(Initialisatie!$C$5,1,1)) + 1) &gt; 0,IFERROR(VALUE($H134),0)=0),
        AND(MAX(0, MIN($I$1, DATE(Initialisatie!$C$5,12,31)) - MAX($I$2, DATE(Initialisatie!$C$5,1,1)) + 1) &gt; 0,IFERROR(VALUE($I134),0)=0)
    ),
    0,
    SUM(
        IFERROR(VALUE($E134),0) * MAX(0, MIN($E$1, DATE(Initialisatie!$C$5,12,31)) - MAX($E$2, DATE(Initialisatie!$C$5,1,1)) + 1),
        IFERROR(VALUE($F134),0) * MAX(0, MIN($F$1, DATE(Initialisatie!$C$5,12,31)) - MAX($F$2, DATE(Initialisatie!$C$5,1,1)) + 1),
        IFERROR(VALUE($G134),0) * MAX(0, MIN($G$1, DATE(Initialisatie!$C$5,12,31)) - MAX($G$2, DATE(Initialisatie!$C$5,1,1)) + 1),
        IFERROR(VALUE($H134),0) * MAX(0, MIN($H$1, DATE(Initialisatie!$C$5,12,31)) - MAX($H$2, DATE(Initialisatie!$C$5,1,1)) + 1),
        IFERROR(VALUE($I134),0) * MAX(0, MIN($I$1, DATE(Initialisatie!$C$5,12,31)) - MAX($I$2, DATE(Initialisatie!$C$5,1,1)) + 1)
    ) / (DATE(Initialisatie!$C$5,12,31) - DATE(Initialisatie!$C$5,1,1) + 1)
)</f>
        <v>4537.08</v>
      </c>
      <c r="L134">
        <f>IF(
    OR(
        AND(MAX(0, IF(MIN($E$1, DATE(Initialisatie!$C$5,12,31)) &lt; MAX($E$2, DATE(Initialisatie!$C$5,1,1)), 0, MONTH(MIN($E$1, DATE(Initialisatie!$C$5,12,31))) - MONTH(MAX($E$2, DATE(Initialisatie!$C$5,1,1))) + 1)) &lt;= 0, IFERROR(VALUE($E134),0)=0),
        AND(MAX(0, IF(MIN($F$1, DATE(Initialisatie!$C$5,12,31)) &lt; MAX($F$2, DATE(Initialisatie!$C$5,1,1)), 0, MONTH(MIN($F$1, DATE(Initialisatie!$C$5,12,31))) - MONTH(MAX($F$2, DATE(Initialisatie!$C$5,1,1))) + 1)) &lt;= 0, IFERROR(VALUE($F134),0)=0),
        AND(MAX(0, IF(MIN($G$1, DATE(Initialisatie!$C$5,12,31)) &lt; MAX($G$2, DATE(Initialisatie!$C$5,1,1)), 0, MONTH(MIN($G$1, DATE(Initialisatie!$C$5,12,31))) - MONTH(MAX($G$2, DATE(Initialisatie!$C$5,1,1))) + 1)) &lt;= 0, IFERROR(VALUE($G134),0)=0),
        AND(MAX(0, IF(MIN($H$1, DATE(Initialisatie!$C$5,12,31)) &lt; MAX($H$2, DATE(Initialisatie!$C$5,1,1)), 0, MONTH(MIN($H$1, DATE(Initialisatie!$C$5,12,31))) - MONTH(MAX($H$2, DATE(Initialisatie!$C$5,1,1))) + 1)) &lt;= 0, IFERROR(VALUE($H134),0)=0),
        AND(MAX(0, IF(MIN($I$1, DATE(Initialisatie!$C$5,12,31)) &lt; MAX($I$2, DATE(Initialisatie!$C$5,1,1)), 0, MONTH(MIN($I$1, DATE(Initialisatie!$C$5,12,31))) - MONTH(MAX($I$2, DATE(Initialisatie!$C$5,1,1))) + 1)) &lt;= 0, IFERROR(VALUE($I134),0)=0)
    ),
    0,
    SUM(
        IFERROR(VALUE($E134),0) * MAX(0, IF(MIN($E$1, DATE(Initialisatie!$C$5,12,31)) &lt; MAX($E$2, DATE(Initialisatie!$C$5,1,1)), 0, MONTH(MIN($E$1, DATE(Initialisatie!$C$5,12,31))) - MONTH(MAX($E$2, DATE(Initialisatie!$C$5,1,1))) + 1)),
        IFERROR(VALUE($F134),0) * MAX(0, IF(MIN($F$1, DATE(Initialisatie!$C$5,12,31)) &lt; MAX($F$2, DATE(Initialisatie!$C$5,1,1)), 0, MONTH(MIN($F$1, DATE(Initialisatie!$C$5,12,31))) - MONTH(MAX($F$2, DATE(Initialisatie!$C$5,1,1))) + 1)),
        IFERROR(VALUE($G134),0) * MAX(0, IF(MIN($G$1, DATE(Initialisatie!$C$5,12,31)) &lt; MAX($G$2, DATE(Initialisatie!$C$5,1,1)), 0, MONTH(MIN($G$1, DATE(Initialisatie!$C$5,12,31))) - MONTH(MAX($G$2, DATE(Initialisatie!$C$5,1,1))) + 1)),
        IFERROR(VALUE($H134),0) * MAX(0, IF(MIN($H$1, DATE(Initialisatie!$C$5,12,31)) &lt; MAX($H$2, DATE(Initialisatie!$C$5,1,1)), 0, MONTH(MIN($H$1, DATE(Initialisatie!$C$5,12,31))) - MONTH(MAX($H$2, DATE(Initialisatie!$C$5,1,1))) + 1)),
        IFERROR(VALUE($I134),0) * MAX(0, IF(MIN($I$1, DATE(Initialisatie!$C$5,12,31)) &lt; MAX($I$2, DATE(Initialisatie!$C$5,1,1)), 0, MONTH(MIN($I$1, DATE(Initialisatie!$C$5,12,31))) - MONTH(MAX($I$2, DATE(Initialisatie!$C$5,1,1))) + 1))
    ) / 12
)</f>
        <v>4537.08</v>
      </c>
    </row>
    <row r="135" spans="1:12" x14ac:dyDescent="0.45">
      <c r="A135" s="989"/>
      <c r="B135" s="35" t="s">
        <v>111</v>
      </c>
      <c r="C135" s="35">
        <v>1</v>
      </c>
      <c r="D135" s="35" t="s">
        <v>160</v>
      </c>
      <c r="E135">
        <v>4319.25</v>
      </c>
      <c r="F135">
        <v>4373.24</v>
      </c>
      <c r="G135">
        <v>4530.68</v>
      </c>
      <c r="H135">
        <v>4698.32</v>
      </c>
      <c r="I135">
        <v>4858.0600000000004</v>
      </c>
      <c r="K135">
        <f>IF(
    OR(
        AND(MAX(0, MIN($E$1, DATE(Initialisatie!$C$5,12,31)) - MAX($E$2, DATE(Initialisatie!$C$5,1,1)) + 1) &gt; 0,IFERROR(VALUE($E135),0)=0),
        AND(MAX(0, MIN($F$1, DATE(Initialisatie!$C$5,12,31)) - MAX($F$2, DATE(Initialisatie!$C$5,1,1)) + 1) &gt; 0,IFERROR(VALUE($F135),0)=0),
        AND(MAX(0, MIN($G$1, DATE(Initialisatie!$C$5,12,31)) - MAX($G$2, DATE(Initialisatie!$C$5,1,1)) + 1) &gt; 0,IFERROR(VALUE($G135),0)=0),
        AND(MAX(0, MIN($H$1, DATE(Initialisatie!$C$5,12,31)) - MAX($H$2, DATE(Initialisatie!$C$5,1,1)) + 1) &gt; 0,IFERROR(VALUE($H135),0)=0),
        AND(MAX(0, MIN($I$1, DATE(Initialisatie!$C$5,12,31)) - MAX($I$2, DATE(Initialisatie!$C$5,1,1)) + 1) &gt; 0,IFERROR(VALUE($I135),0)=0)
    ),
    0,
    SUM(
        IFERROR(VALUE($E135),0) * MAX(0, MIN($E$1, DATE(Initialisatie!$C$5,12,31)) - MAX($E$2, DATE(Initialisatie!$C$5,1,1)) + 1),
        IFERROR(VALUE($F135),0) * MAX(0, MIN($F$1, DATE(Initialisatie!$C$5,12,31)) - MAX($F$2, DATE(Initialisatie!$C$5,1,1)) + 1),
        IFERROR(VALUE($G135),0) * MAX(0, MIN($G$1, DATE(Initialisatie!$C$5,12,31)) - MAX($G$2, DATE(Initialisatie!$C$5,1,1)) + 1),
        IFERROR(VALUE($H135),0) * MAX(0, MIN($H$1, DATE(Initialisatie!$C$5,12,31)) - MAX($H$2, DATE(Initialisatie!$C$5,1,1)) + 1),
        IFERROR(VALUE($I135),0) * MAX(0, MIN($I$1, DATE(Initialisatie!$C$5,12,31)) - MAX($I$2, DATE(Initialisatie!$C$5,1,1)) + 1)
    ) / (DATE(Initialisatie!$C$5,12,31) - DATE(Initialisatie!$C$5,1,1) + 1)
)</f>
        <v>4698.32</v>
      </c>
      <c r="L135">
        <f>IF(
    OR(
        AND(MAX(0, IF(MIN($E$1, DATE(Initialisatie!$C$5,12,31)) &lt; MAX($E$2, DATE(Initialisatie!$C$5,1,1)), 0, MONTH(MIN($E$1, DATE(Initialisatie!$C$5,12,31))) - MONTH(MAX($E$2, DATE(Initialisatie!$C$5,1,1))) + 1)) &lt;= 0, IFERROR(VALUE($E135),0)=0),
        AND(MAX(0, IF(MIN($F$1, DATE(Initialisatie!$C$5,12,31)) &lt; MAX($F$2, DATE(Initialisatie!$C$5,1,1)), 0, MONTH(MIN($F$1, DATE(Initialisatie!$C$5,12,31))) - MONTH(MAX($F$2, DATE(Initialisatie!$C$5,1,1))) + 1)) &lt;= 0, IFERROR(VALUE($F135),0)=0),
        AND(MAX(0, IF(MIN($G$1, DATE(Initialisatie!$C$5,12,31)) &lt; MAX($G$2, DATE(Initialisatie!$C$5,1,1)), 0, MONTH(MIN($G$1, DATE(Initialisatie!$C$5,12,31))) - MONTH(MAX($G$2, DATE(Initialisatie!$C$5,1,1))) + 1)) &lt;= 0, IFERROR(VALUE($G135),0)=0),
        AND(MAX(0, IF(MIN($H$1, DATE(Initialisatie!$C$5,12,31)) &lt; MAX($H$2, DATE(Initialisatie!$C$5,1,1)), 0, MONTH(MIN($H$1, DATE(Initialisatie!$C$5,12,31))) - MONTH(MAX($H$2, DATE(Initialisatie!$C$5,1,1))) + 1)) &lt;= 0, IFERROR(VALUE($H135),0)=0),
        AND(MAX(0, IF(MIN($I$1, DATE(Initialisatie!$C$5,12,31)) &lt; MAX($I$2, DATE(Initialisatie!$C$5,1,1)), 0, MONTH(MIN($I$1, DATE(Initialisatie!$C$5,12,31))) - MONTH(MAX($I$2, DATE(Initialisatie!$C$5,1,1))) + 1)) &lt;= 0, IFERROR(VALUE($I135),0)=0)
    ),
    0,
    SUM(
        IFERROR(VALUE($E135),0) * MAX(0, IF(MIN($E$1, DATE(Initialisatie!$C$5,12,31)) &lt; MAX($E$2, DATE(Initialisatie!$C$5,1,1)), 0, MONTH(MIN($E$1, DATE(Initialisatie!$C$5,12,31))) - MONTH(MAX($E$2, DATE(Initialisatie!$C$5,1,1))) + 1)),
        IFERROR(VALUE($F135),0) * MAX(0, IF(MIN($F$1, DATE(Initialisatie!$C$5,12,31)) &lt; MAX($F$2, DATE(Initialisatie!$C$5,1,1)), 0, MONTH(MIN($F$1, DATE(Initialisatie!$C$5,12,31))) - MONTH(MAX($F$2, DATE(Initialisatie!$C$5,1,1))) + 1)),
        IFERROR(VALUE($G135),0) * MAX(0, IF(MIN($G$1, DATE(Initialisatie!$C$5,12,31)) &lt; MAX($G$2, DATE(Initialisatie!$C$5,1,1)), 0, MONTH(MIN($G$1, DATE(Initialisatie!$C$5,12,31))) - MONTH(MAX($G$2, DATE(Initialisatie!$C$5,1,1))) + 1)),
        IFERROR(VALUE($H135),0) * MAX(0, IF(MIN($H$1, DATE(Initialisatie!$C$5,12,31)) &lt; MAX($H$2, DATE(Initialisatie!$C$5,1,1)), 0, MONTH(MIN($H$1, DATE(Initialisatie!$C$5,12,31))) - MONTH(MAX($H$2, DATE(Initialisatie!$C$5,1,1))) + 1)),
        IFERROR(VALUE($I135),0) * MAX(0, IF(MIN($I$1, DATE(Initialisatie!$C$5,12,31)) &lt; MAX($I$2, DATE(Initialisatie!$C$5,1,1)), 0, MONTH(MIN($I$1, DATE(Initialisatie!$C$5,12,31))) - MONTH(MAX($I$2, DATE(Initialisatie!$C$5,1,1))) + 1))
    ) / 12
)</f>
        <v>4698.32</v>
      </c>
    </row>
    <row r="136" spans="1:12" x14ac:dyDescent="0.45">
      <c r="A136" s="989"/>
      <c r="B136" s="35" t="s">
        <v>101</v>
      </c>
      <c r="C136" s="35">
        <v>2</v>
      </c>
      <c r="D136" s="35" t="s">
        <v>155</v>
      </c>
      <c r="E136">
        <v>4472.5600000000004</v>
      </c>
      <c r="F136">
        <v>4528.47</v>
      </c>
      <c r="G136">
        <v>4691.5</v>
      </c>
      <c r="H136">
        <v>4865.08</v>
      </c>
      <c r="I136">
        <v>5030.49</v>
      </c>
      <c r="K136">
        <f>IF(
    OR(
        AND(MAX(0, MIN($E$1, DATE(Initialisatie!$C$5,12,31)) - MAX($E$2, DATE(Initialisatie!$C$5,1,1)) + 1) &gt; 0,IFERROR(VALUE($E136),0)=0),
        AND(MAX(0, MIN($F$1, DATE(Initialisatie!$C$5,12,31)) - MAX($F$2, DATE(Initialisatie!$C$5,1,1)) + 1) &gt; 0,IFERROR(VALUE($F136),0)=0),
        AND(MAX(0, MIN($G$1, DATE(Initialisatie!$C$5,12,31)) - MAX($G$2, DATE(Initialisatie!$C$5,1,1)) + 1) &gt; 0,IFERROR(VALUE($G136),0)=0),
        AND(MAX(0, MIN($H$1, DATE(Initialisatie!$C$5,12,31)) - MAX($H$2, DATE(Initialisatie!$C$5,1,1)) + 1) &gt; 0,IFERROR(VALUE($H136),0)=0),
        AND(MAX(0, MIN($I$1, DATE(Initialisatie!$C$5,12,31)) - MAX($I$2, DATE(Initialisatie!$C$5,1,1)) + 1) &gt; 0,IFERROR(VALUE($I136),0)=0)
    ),
    0,
    SUM(
        IFERROR(VALUE($E136),0) * MAX(0, MIN($E$1, DATE(Initialisatie!$C$5,12,31)) - MAX($E$2, DATE(Initialisatie!$C$5,1,1)) + 1),
        IFERROR(VALUE($F136),0) * MAX(0, MIN($F$1, DATE(Initialisatie!$C$5,12,31)) - MAX($F$2, DATE(Initialisatie!$C$5,1,1)) + 1),
        IFERROR(VALUE($G136),0) * MAX(0, MIN($G$1, DATE(Initialisatie!$C$5,12,31)) - MAX($G$2, DATE(Initialisatie!$C$5,1,1)) + 1),
        IFERROR(VALUE($H136),0) * MAX(0, MIN($H$1, DATE(Initialisatie!$C$5,12,31)) - MAX($H$2, DATE(Initialisatie!$C$5,1,1)) + 1),
        IFERROR(VALUE($I136),0) * MAX(0, MIN($I$1, DATE(Initialisatie!$C$5,12,31)) - MAX($I$2, DATE(Initialisatie!$C$5,1,1)) + 1)
    ) / (DATE(Initialisatie!$C$5,12,31) - DATE(Initialisatie!$C$5,1,1) + 1)
)</f>
        <v>4865.08</v>
      </c>
      <c r="L136">
        <f>IF(
    OR(
        AND(MAX(0, IF(MIN($E$1, DATE(Initialisatie!$C$5,12,31)) &lt; MAX($E$2, DATE(Initialisatie!$C$5,1,1)), 0, MONTH(MIN($E$1, DATE(Initialisatie!$C$5,12,31))) - MONTH(MAX($E$2, DATE(Initialisatie!$C$5,1,1))) + 1)) &lt;= 0, IFERROR(VALUE($E136),0)=0),
        AND(MAX(0, IF(MIN($F$1, DATE(Initialisatie!$C$5,12,31)) &lt; MAX($F$2, DATE(Initialisatie!$C$5,1,1)), 0, MONTH(MIN($F$1, DATE(Initialisatie!$C$5,12,31))) - MONTH(MAX($F$2, DATE(Initialisatie!$C$5,1,1))) + 1)) &lt;= 0, IFERROR(VALUE($F136),0)=0),
        AND(MAX(0, IF(MIN($G$1, DATE(Initialisatie!$C$5,12,31)) &lt; MAX($G$2, DATE(Initialisatie!$C$5,1,1)), 0, MONTH(MIN($G$1, DATE(Initialisatie!$C$5,12,31))) - MONTH(MAX($G$2, DATE(Initialisatie!$C$5,1,1))) + 1)) &lt;= 0, IFERROR(VALUE($G136),0)=0),
        AND(MAX(0, IF(MIN($H$1, DATE(Initialisatie!$C$5,12,31)) &lt; MAX($H$2, DATE(Initialisatie!$C$5,1,1)), 0, MONTH(MIN($H$1, DATE(Initialisatie!$C$5,12,31))) - MONTH(MAX($H$2, DATE(Initialisatie!$C$5,1,1))) + 1)) &lt;= 0, IFERROR(VALUE($H136),0)=0),
        AND(MAX(0, IF(MIN($I$1, DATE(Initialisatie!$C$5,12,31)) &lt; MAX($I$2, DATE(Initialisatie!$C$5,1,1)), 0, MONTH(MIN($I$1, DATE(Initialisatie!$C$5,12,31))) - MONTH(MAX($I$2, DATE(Initialisatie!$C$5,1,1))) + 1)) &lt;= 0, IFERROR(VALUE($I136),0)=0)
    ),
    0,
    SUM(
        IFERROR(VALUE($E136),0) * MAX(0, IF(MIN($E$1, DATE(Initialisatie!$C$5,12,31)) &lt; MAX($E$2, DATE(Initialisatie!$C$5,1,1)), 0, MONTH(MIN($E$1, DATE(Initialisatie!$C$5,12,31))) - MONTH(MAX($E$2, DATE(Initialisatie!$C$5,1,1))) + 1)),
        IFERROR(VALUE($F136),0) * MAX(0, IF(MIN($F$1, DATE(Initialisatie!$C$5,12,31)) &lt; MAX($F$2, DATE(Initialisatie!$C$5,1,1)), 0, MONTH(MIN($F$1, DATE(Initialisatie!$C$5,12,31))) - MONTH(MAX($F$2, DATE(Initialisatie!$C$5,1,1))) + 1)),
        IFERROR(VALUE($G136),0) * MAX(0, IF(MIN($G$1, DATE(Initialisatie!$C$5,12,31)) &lt; MAX($G$2, DATE(Initialisatie!$C$5,1,1)), 0, MONTH(MIN($G$1, DATE(Initialisatie!$C$5,12,31))) - MONTH(MAX($G$2, DATE(Initialisatie!$C$5,1,1))) + 1)),
        IFERROR(VALUE($H136),0) * MAX(0, IF(MIN($H$1, DATE(Initialisatie!$C$5,12,31)) &lt; MAX($H$2, DATE(Initialisatie!$C$5,1,1)), 0, MONTH(MIN($H$1, DATE(Initialisatie!$C$5,12,31))) - MONTH(MAX($H$2, DATE(Initialisatie!$C$5,1,1))) + 1)),
        IFERROR(VALUE($I136),0) * MAX(0, IF(MIN($I$1, DATE(Initialisatie!$C$5,12,31)) &lt; MAX($I$2, DATE(Initialisatie!$C$5,1,1)), 0, MONTH(MIN($I$1, DATE(Initialisatie!$C$5,12,31))) - MONTH(MAX($I$2, DATE(Initialisatie!$C$5,1,1))) + 1))
    ) / 12
)</f>
        <v>4865.08</v>
      </c>
    </row>
    <row r="137" spans="1:12" x14ac:dyDescent="0.45">
      <c r="A137" s="989"/>
      <c r="B137" s="35" t="s">
        <v>99</v>
      </c>
      <c r="C137" s="35">
        <v>3</v>
      </c>
      <c r="D137" s="35" t="s">
        <v>154</v>
      </c>
      <c r="E137">
        <v>4630.93</v>
      </c>
      <c r="F137">
        <v>4688.8100000000004</v>
      </c>
      <c r="G137">
        <v>4857.6099999999997</v>
      </c>
      <c r="H137">
        <v>5037.34</v>
      </c>
      <c r="I137">
        <v>5208.6099999999997</v>
      </c>
      <c r="K137">
        <f>IF(
    OR(
        AND(MAX(0, MIN($E$1, DATE(Initialisatie!$C$5,12,31)) - MAX($E$2, DATE(Initialisatie!$C$5,1,1)) + 1) &gt; 0,IFERROR(VALUE($E137),0)=0),
        AND(MAX(0, MIN($F$1, DATE(Initialisatie!$C$5,12,31)) - MAX($F$2, DATE(Initialisatie!$C$5,1,1)) + 1) &gt; 0,IFERROR(VALUE($F137),0)=0),
        AND(MAX(0, MIN($G$1, DATE(Initialisatie!$C$5,12,31)) - MAX($G$2, DATE(Initialisatie!$C$5,1,1)) + 1) &gt; 0,IFERROR(VALUE($G137),0)=0),
        AND(MAX(0, MIN($H$1, DATE(Initialisatie!$C$5,12,31)) - MAX($H$2, DATE(Initialisatie!$C$5,1,1)) + 1) &gt; 0,IFERROR(VALUE($H137),0)=0),
        AND(MAX(0, MIN($I$1, DATE(Initialisatie!$C$5,12,31)) - MAX($I$2, DATE(Initialisatie!$C$5,1,1)) + 1) &gt; 0,IFERROR(VALUE($I137),0)=0)
    ),
    0,
    SUM(
        IFERROR(VALUE($E137),0) * MAX(0, MIN($E$1, DATE(Initialisatie!$C$5,12,31)) - MAX($E$2, DATE(Initialisatie!$C$5,1,1)) + 1),
        IFERROR(VALUE($F137),0) * MAX(0, MIN($F$1, DATE(Initialisatie!$C$5,12,31)) - MAX($F$2, DATE(Initialisatie!$C$5,1,1)) + 1),
        IFERROR(VALUE($G137),0) * MAX(0, MIN($G$1, DATE(Initialisatie!$C$5,12,31)) - MAX($G$2, DATE(Initialisatie!$C$5,1,1)) + 1),
        IFERROR(VALUE($H137),0) * MAX(0, MIN($H$1, DATE(Initialisatie!$C$5,12,31)) - MAX($H$2, DATE(Initialisatie!$C$5,1,1)) + 1),
        IFERROR(VALUE($I137),0) * MAX(0, MIN($I$1, DATE(Initialisatie!$C$5,12,31)) - MAX($I$2, DATE(Initialisatie!$C$5,1,1)) + 1)
    ) / (DATE(Initialisatie!$C$5,12,31) - DATE(Initialisatie!$C$5,1,1) + 1)
)</f>
        <v>5037.34</v>
      </c>
      <c r="L137">
        <f>IF(
    OR(
        AND(MAX(0, IF(MIN($E$1, DATE(Initialisatie!$C$5,12,31)) &lt; MAX($E$2, DATE(Initialisatie!$C$5,1,1)), 0, MONTH(MIN($E$1, DATE(Initialisatie!$C$5,12,31))) - MONTH(MAX($E$2, DATE(Initialisatie!$C$5,1,1))) + 1)) &lt;= 0, IFERROR(VALUE($E137),0)=0),
        AND(MAX(0, IF(MIN($F$1, DATE(Initialisatie!$C$5,12,31)) &lt; MAX($F$2, DATE(Initialisatie!$C$5,1,1)), 0, MONTH(MIN($F$1, DATE(Initialisatie!$C$5,12,31))) - MONTH(MAX($F$2, DATE(Initialisatie!$C$5,1,1))) + 1)) &lt;= 0, IFERROR(VALUE($F137),0)=0),
        AND(MAX(0, IF(MIN($G$1, DATE(Initialisatie!$C$5,12,31)) &lt; MAX($G$2, DATE(Initialisatie!$C$5,1,1)), 0, MONTH(MIN($G$1, DATE(Initialisatie!$C$5,12,31))) - MONTH(MAX($G$2, DATE(Initialisatie!$C$5,1,1))) + 1)) &lt;= 0, IFERROR(VALUE($G137),0)=0),
        AND(MAX(0, IF(MIN($H$1, DATE(Initialisatie!$C$5,12,31)) &lt; MAX($H$2, DATE(Initialisatie!$C$5,1,1)), 0, MONTH(MIN($H$1, DATE(Initialisatie!$C$5,12,31))) - MONTH(MAX($H$2, DATE(Initialisatie!$C$5,1,1))) + 1)) &lt;= 0, IFERROR(VALUE($H137),0)=0),
        AND(MAX(0, IF(MIN($I$1, DATE(Initialisatie!$C$5,12,31)) &lt; MAX($I$2, DATE(Initialisatie!$C$5,1,1)), 0, MONTH(MIN($I$1, DATE(Initialisatie!$C$5,12,31))) - MONTH(MAX($I$2, DATE(Initialisatie!$C$5,1,1))) + 1)) &lt;= 0, IFERROR(VALUE($I137),0)=0)
    ),
    0,
    SUM(
        IFERROR(VALUE($E137),0) * MAX(0, IF(MIN($E$1, DATE(Initialisatie!$C$5,12,31)) &lt; MAX($E$2, DATE(Initialisatie!$C$5,1,1)), 0, MONTH(MIN($E$1, DATE(Initialisatie!$C$5,12,31))) - MONTH(MAX($E$2, DATE(Initialisatie!$C$5,1,1))) + 1)),
        IFERROR(VALUE($F137),0) * MAX(0, IF(MIN($F$1, DATE(Initialisatie!$C$5,12,31)) &lt; MAX($F$2, DATE(Initialisatie!$C$5,1,1)), 0, MONTH(MIN($F$1, DATE(Initialisatie!$C$5,12,31))) - MONTH(MAX($F$2, DATE(Initialisatie!$C$5,1,1))) + 1)),
        IFERROR(VALUE($G137),0) * MAX(0, IF(MIN($G$1, DATE(Initialisatie!$C$5,12,31)) &lt; MAX($G$2, DATE(Initialisatie!$C$5,1,1)), 0, MONTH(MIN($G$1, DATE(Initialisatie!$C$5,12,31))) - MONTH(MAX($G$2, DATE(Initialisatie!$C$5,1,1))) + 1)),
        IFERROR(VALUE($H137),0) * MAX(0, IF(MIN($H$1, DATE(Initialisatie!$C$5,12,31)) &lt; MAX($H$2, DATE(Initialisatie!$C$5,1,1)), 0, MONTH(MIN($H$1, DATE(Initialisatie!$C$5,12,31))) - MONTH(MAX($H$2, DATE(Initialisatie!$C$5,1,1))) + 1)),
        IFERROR(VALUE($I137),0) * MAX(0, IF(MIN($I$1, DATE(Initialisatie!$C$5,12,31)) &lt; MAX($I$2, DATE(Initialisatie!$C$5,1,1)), 0, MONTH(MIN($I$1, DATE(Initialisatie!$C$5,12,31))) - MONTH(MAX($I$2, DATE(Initialisatie!$C$5,1,1))) + 1))
    ) / 12
)</f>
        <v>5037.34</v>
      </c>
    </row>
    <row r="138" spans="1:12" x14ac:dyDescent="0.45">
      <c r="A138" s="989"/>
      <c r="B138" s="35" t="s">
        <v>97</v>
      </c>
      <c r="C138" s="35">
        <v>4</v>
      </c>
      <c r="D138" s="35" t="s">
        <v>153</v>
      </c>
      <c r="E138">
        <v>4795.88</v>
      </c>
      <c r="F138">
        <v>4855.82</v>
      </c>
      <c r="G138">
        <v>5030.63</v>
      </c>
      <c r="H138">
        <v>5216.7700000000004</v>
      </c>
      <c r="I138">
        <v>5394.14</v>
      </c>
      <c r="K138">
        <f>IF(
    OR(
        AND(MAX(0, MIN($E$1, DATE(Initialisatie!$C$5,12,31)) - MAX($E$2, DATE(Initialisatie!$C$5,1,1)) + 1) &gt; 0,IFERROR(VALUE($E138),0)=0),
        AND(MAX(0, MIN($F$1, DATE(Initialisatie!$C$5,12,31)) - MAX($F$2, DATE(Initialisatie!$C$5,1,1)) + 1) &gt; 0,IFERROR(VALUE($F138),0)=0),
        AND(MAX(0, MIN($G$1, DATE(Initialisatie!$C$5,12,31)) - MAX($G$2, DATE(Initialisatie!$C$5,1,1)) + 1) &gt; 0,IFERROR(VALUE($G138),0)=0),
        AND(MAX(0, MIN($H$1, DATE(Initialisatie!$C$5,12,31)) - MAX($H$2, DATE(Initialisatie!$C$5,1,1)) + 1) &gt; 0,IFERROR(VALUE($H138),0)=0),
        AND(MAX(0, MIN($I$1, DATE(Initialisatie!$C$5,12,31)) - MAX($I$2, DATE(Initialisatie!$C$5,1,1)) + 1) &gt; 0,IFERROR(VALUE($I138),0)=0)
    ),
    0,
    SUM(
        IFERROR(VALUE($E138),0) * MAX(0, MIN($E$1, DATE(Initialisatie!$C$5,12,31)) - MAX($E$2, DATE(Initialisatie!$C$5,1,1)) + 1),
        IFERROR(VALUE($F138),0) * MAX(0, MIN($F$1, DATE(Initialisatie!$C$5,12,31)) - MAX($F$2, DATE(Initialisatie!$C$5,1,1)) + 1),
        IFERROR(VALUE($G138),0) * MAX(0, MIN($G$1, DATE(Initialisatie!$C$5,12,31)) - MAX($G$2, DATE(Initialisatie!$C$5,1,1)) + 1),
        IFERROR(VALUE($H138),0) * MAX(0, MIN($H$1, DATE(Initialisatie!$C$5,12,31)) - MAX($H$2, DATE(Initialisatie!$C$5,1,1)) + 1),
        IFERROR(VALUE($I138),0) * MAX(0, MIN($I$1, DATE(Initialisatie!$C$5,12,31)) - MAX($I$2, DATE(Initialisatie!$C$5,1,1)) + 1)
    ) / (DATE(Initialisatie!$C$5,12,31) - DATE(Initialisatie!$C$5,1,1) + 1)
)</f>
        <v>5216.7700000000004</v>
      </c>
      <c r="L138">
        <f>IF(
    OR(
        AND(MAX(0, IF(MIN($E$1, DATE(Initialisatie!$C$5,12,31)) &lt; MAX($E$2, DATE(Initialisatie!$C$5,1,1)), 0, MONTH(MIN($E$1, DATE(Initialisatie!$C$5,12,31))) - MONTH(MAX($E$2, DATE(Initialisatie!$C$5,1,1))) + 1)) &lt;= 0, IFERROR(VALUE($E138),0)=0),
        AND(MAX(0, IF(MIN($F$1, DATE(Initialisatie!$C$5,12,31)) &lt; MAX($F$2, DATE(Initialisatie!$C$5,1,1)), 0, MONTH(MIN($F$1, DATE(Initialisatie!$C$5,12,31))) - MONTH(MAX($F$2, DATE(Initialisatie!$C$5,1,1))) + 1)) &lt;= 0, IFERROR(VALUE($F138),0)=0),
        AND(MAX(0, IF(MIN($G$1, DATE(Initialisatie!$C$5,12,31)) &lt; MAX($G$2, DATE(Initialisatie!$C$5,1,1)), 0, MONTH(MIN($G$1, DATE(Initialisatie!$C$5,12,31))) - MONTH(MAX($G$2, DATE(Initialisatie!$C$5,1,1))) + 1)) &lt;= 0, IFERROR(VALUE($G138),0)=0),
        AND(MAX(0, IF(MIN($H$1, DATE(Initialisatie!$C$5,12,31)) &lt; MAX($H$2, DATE(Initialisatie!$C$5,1,1)), 0, MONTH(MIN($H$1, DATE(Initialisatie!$C$5,12,31))) - MONTH(MAX($H$2, DATE(Initialisatie!$C$5,1,1))) + 1)) &lt;= 0, IFERROR(VALUE($H138),0)=0),
        AND(MAX(0, IF(MIN($I$1, DATE(Initialisatie!$C$5,12,31)) &lt; MAX($I$2, DATE(Initialisatie!$C$5,1,1)), 0, MONTH(MIN($I$1, DATE(Initialisatie!$C$5,12,31))) - MONTH(MAX($I$2, DATE(Initialisatie!$C$5,1,1))) + 1)) &lt;= 0, IFERROR(VALUE($I138),0)=0)
    ),
    0,
    SUM(
        IFERROR(VALUE($E138),0) * MAX(0, IF(MIN($E$1, DATE(Initialisatie!$C$5,12,31)) &lt; MAX($E$2, DATE(Initialisatie!$C$5,1,1)), 0, MONTH(MIN($E$1, DATE(Initialisatie!$C$5,12,31))) - MONTH(MAX($E$2, DATE(Initialisatie!$C$5,1,1))) + 1)),
        IFERROR(VALUE($F138),0) * MAX(0, IF(MIN($F$1, DATE(Initialisatie!$C$5,12,31)) &lt; MAX($F$2, DATE(Initialisatie!$C$5,1,1)), 0, MONTH(MIN($F$1, DATE(Initialisatie!$C$5,12,31))) - MONTH(MAX($F$2, DATE(Initialisatie!$C$5,1,1))) + 1)),
        IFERROR(VALUE($G138),0) * MAX(0, IF(MIN($G$1, DATE(Initialisatie!$C$5,12,31)) &lt; MAX($G$2, DATE(Initialisatie!$C$5,1,1)), 0, MONTH(MIN($G$1, DATE(Initialisatie!$C$5,12,31))) - MONTH(MAX($G$2, DATE(Initialisatie!$C$5,1,1))) + 1)),
        IFERROR(VALUE($H138),0) * MAX(0, IF(MIN($H$1, DATE(Initialisatie!$C$5,12,31)) &lt; MAX($H$2, DATE(Initialisatie!$C$5,1,1)), 0, MONTH(MIN($H$1, DATE(Initialisatie!$C$5,12,31))) - MONTH(MAX($H$2, DATE(Initialisatie!$C$5,1,1))) + 1)),
        IFERROR(VALUE($I138),0) * MAX(0, IF(MIN($I$1, DATE(Initialisatie!$C$5,12,31)) &lt; MAX($I$2, DATE(Initialisatie!$C$5,1,1)), 0, MONTH(MIN($I$1, DATE(Initialisatie!$C$5,12,31))) - MONTH(MAX($I$2, DATE(Initialisatie!$C$5,1,1))) + 1))
    ) / 12
)</f>
        <v>5216.7700000000004</v>
      </c>
    </row>
    <row r="139" spans="1:12" x14ac:dyDescent="0.45">
      <c r="A139" s="989"/>
      <c r="B139" s="35" t="s">
        <v>95</v>
      </c>
      <c r="C139" s="35">
        <v>5</v>
      </c>
      <c r="D139" s="35" t="s">
        <v>152</v>
      </c>
      <c r="E139">
        <v>4965.8999999999996</v>
      </c>
      <c r="F139">
        <v>5027.9799999999996</v>
      </c>
      <c r="G139">
        <v>5208.9799999999996</v>
      </c>
      <c r="H139">
        <v>5401.72</v>
      </c>
      <c r="I139">
        <v>5585.38</v>
      </c>
      <c r="K139">
        <f>IF(
    OR(
        AND(MAX(0, MIN($E$1, DATE(Initialisatie!$C$5,12,31)) - MAX($E$2, DATE(Initialisatie!$C$5,1,1)) + 1) &gt; 0,IFERROR(VALUE($E139),0)=0),
        AND(MAX(0, MIN($F$1, DATE(Initialisatie!$C$5,12,31)) - MAX($F$2, DATE(Initialisatie!$C$5,1,1)) + 1) &gt; 0,IFERROR(VALUE($F139),0)=0),
        AND(MAX(0, MIN($G$1, DATE(Initialisatie!$C$5,12,31)) - MAX($G$2, DATE(Initialisatie!$C$5,1,1)) + 1) &gt; 0,IFERROR(VALUE($G139),0)=0),
        AND(MAX(0, MIN($H$1, DATE(Initialisatie!$C$5,12,31)) - MAX($H$2, DATE(Initialisatie!$C$5,1,1)) + 1) &gt; 0,IFERROR(VALUE($H139),0)=0),
        AND(MAX(0, MIN($I$1, DATE(Initialisatie!$C$5,12,31)) - MAX($I$2, DATE(Initialisatie!$C$5,1,1)) + 1) &gt; 0,IFERROR(VALUE($I139),0)=0)
    ),
    0,
    SUM(
        IFERROR(VALUE($E139),0) * MAX(0, MIN($E$1, DATE(Initialisatie!$C$5,12,31)) - MAX($E$2, DATE(Initialisatie!$C$5,1,1)) + 1),
        IFERROR(VALUE($F139),0) * MAX(0, MIN($F$1, DATE(Initialisatie!$C$5,12,31)) - MAX($F$2, DATE(Initialisatie!$C$5,1,1)) + 1),
        IFERROR(VALUE($G139),0) * MAX(0, MIN($G$1, DATE(Initialisatie!$C$5,12,31)) - MAX($G$2, DATE(Initialisatie!$C$5,1,1)) + 1),
        IFERROR(VALUE($H139),0) * MAX(0, MIN($H$1, DATE(Initialisatie!$C$5,12,31)) - MAX($H$2, DATE(Initialisatie!$C$5,1,1)) + 1),
        IFERROR(VALUE($I139),0) * MAX(0, MIN($I$1, DATE(Initialisatie!$C$5,12,31)) - MAX($I$2, DATE(Initialisatie!$C$5,1,1)) + 1)
    ) / (DATE(Initialisatie!$C$5,12,31) - DATE(Initialisatie!$C$5,1,1) + 1)
)</f>
        <v>5401.72</v>
      </c>
      <c r="L139">
        <f>IF(
    OR(
        AND(MAX(0, IF(MIN($E$1, DATE(Initialisatie!$C$5,12,31)) &lt; MAX($E$2, DATE(Initialisatie!$C$5,1,1)), 0, MONTH(MIN($E$1, DATE(Initialisatie!$C$5,12,31))) - MONTH(MAX($E$2, DATE(Initialisatie!$C$5,1,1))) + 1)) &lt;= 0, IFERROR(VALUE($E139),0)=0),
        AND(MAX(0, IF(MIN($F$1, DATE(Initialisatie!$C$5,12,31)) &lt; MAX($F$2, DATE(Initialisatie!$C$5,1,1)), 0, MONTH(MIN($F$1, DATE(Initialisatie!$C$5,12,31))) - MONTH(MAX($F$2, DATE(Initialisatie!$C$5,1,1))) + 1)) &lt;= 0, IFERROR(VALUE($F139),0)=0),
        AND(MAX(0, IF(MIN($G$1, DATE(Initialisatie!$C$5,12,31)) &lt; MAX($G$2, DATE(Initialisatie!$C$5,1,1)), 0, MONTH(MIN($G$1, DATE(Initialisatie!$C$5,12,31))) - MONTH(MAX($G$2, DATE(Initialisatie!$C$5,1,1))) + 1)) &lt;= 0, IFERROR(VALUE($G139),0)=0),
        AND(MAX(0, IF(MIN($H$1, DATE(Initialisatie!$C$5,12,31)) &lt; MAX($H$2, DATE(Initialisatie!$C$5,1,1)), 0, MONTH(MIN($H$1, DATE(Initialisatie!$C$5,12,31))) - MONTH(MAX($H$2, DATE(Initialisatie!$C$5,1,1))) + 1)) &lt;= 0, IFERROR(VALUE($H139),0)=0),
        AND(MAX(0, IF(MIN($I$1, DATE(Initialisatie!$C$5,12,31)) &lt; MAX($I$2, DATE(Initialisatie!$C$5,1,1)), 0, MONTH(MIN($I$1, DATE(Initialisatie!$C$5,12,31))) - MONTH(MAX($I$2, DATE(Initialisatie!$C$5,1,1))) + 1)) &lt;= 0, IFERROR(VALUE($I139),0)=0)
    ),
    0,
    SUM(
        IFERROR(VALUE($E139),0) * MAX(0, IF(MIN($E$1, DATE(Initialisatie!$C$5,12,31)) &lt; MAX($E$2, DATE(Initialisatie!$C$5,1,1)), 0, MONTH(MIN($E$1, DATE(Initialisatie!$C$5,12,31))) - MONTH(MAX($E$2, DATE(Initialisatie!$C$5,1,1))) + 1)),
        IFERROR(VALUE($F139),0) * MAX(0, IF(MIN($F$1, DATE(Initialisatie!$C$5,12,31)) &lt; MAX($F$2, DATE(Initialisatie!$C$5,1,1)), 0, MONTH(MIN($F$1, DATE(Initialisatie!$C$5,12,31))) - MONTH(MAX($F$2, DATE(Initialisatie!$C$5,1,1))) + 1)),
        IFERROR(VALUE($G139),0) * MAX(0, IF(MIN($G$1, DATE(Initialisatie!$C$5,12,31)) &lt; MAX($G$2, DATE(Initialisatie!$C$5,1,1)), 0, MONTH(MIN($G$1, DATE(Initialisatie!$C$5,12,31))) - MONTH(MAX($G$2, DATE(Initialisatie!$C$5,1,1))) + 1)),
        IFERROR(VALUE($H139),0) * MAX(0, IF(MIN($H$1, DATE(Initialisatie!$C$5,12,31)) &lt; MAX($H$2, DATE(Initialisatie!$C$5,1,1)), 0, MONTH(MIN($H$1, DATE(Initialisatie!$C$5,12,31))) - MONTH(MAX($H$2, DATE(Initialisatie!$C$5,1,1))) + 1)),
        IFERROR(VALUE($I139),0) * MAX(0, IF(MIN($I$1, DATE(Initialisatie!$C$5,12,31)) &lt; MAX($I$2, DATE(Initialisatie!$C$5,1,1)), 0, MONTH(MIN($I$1, DATE(Initialisatie!$C$5,12,31))) - MONTH(MAX($I$2, DATE(Initialisatie!$C$5,1,1))) + 1))
    ) / 12
)</f>
        <v>5401.72</v>
      </c>
    </row>
    <row r="140" spans="1:12" x14ac:dyDescent="0.45">
      <c r="A140" s="989"/>
      <c r="B140" s="35" t="s">
        <v>93</v>
      </c>
      <c r="C140" s="35">
        <v>6</v>
      </c>
      <c r="D140" s="35" t="s">
        <v>151</v>
      </c>
      <c r="E140">
        <v>5142.43</v>
      </c>
      <c r="F140">
        <v>5206.72</v>
      </c>
      <c r="G140">
        <v>5394.16</v>
      </c>
      <c r="H140">
        <v>5593.74</v>
      </c>
      <c r="I140">
        <v>5783.93</v>
      </c>
      <c r="K140">
        <f>IF(
    OR(
        AND(MAX(0, MIN($E$1, DATE(Initialisatie!$C$5,12,31)) - MAX($E$2, DATE(Initialisatie!$C$5,1,1)) + 1) &gt; 0,IFERROR(VALUE($E140),0)=0),
        AND(MAX(0, MIN($F$1, DATE(Initialisatie!$C$5,12,31)) - MAX($F$2, DATE(Initialisatie!$C$5,1,1)) + 1) &gt; 0,IFERROR(VALUE($F140),0)=0),
        AND(MAX(0, MIN($G$1, DATE(Initialisatie!$C$5,12,31)) - MAX($G$2, DATE(Initialisatie!$C$5,1,1)) + 1) &gt; 0,IFERROR(VALUE($G140),0)=0),
        AND(MAX(0, MIN($H$1, DATE(Initialisatie!$C$5,12,31)) - MAX($H$2, DATE(Initialisatie!$C$5,1,1)) + 1) &gt; 0,IFERROR(VALUE($H140),0)=0),
        AND(MAX(0, MIN($I$1, DATE(Initialisatie!$C$5,12,31)) - MAX($I$2, DATE(Initialisatie!$C$5,1,1)) + 1) &gt; 0,IFERROR(VALUE($I140),0)=0)
    ),
    0,
    SUM(
        IFERROR(VALUE($E140),0) * MAX(0, MIN($E$1, DATE(Initialisatie!$C$5,12,31)) - MAX($E$2, DATE(Initialisatie!$C$5,1,1)) + 1),
        IFERROR(VALUE($F140),0) * MAX(0, MIN($F$1, DATE(Initialisatie!$C$5,12,31)) - MAX($F$2, DATE(Initialisatie!$C$5,1,1)) + 1),
        IFERROR(VALUE($G140),0) * MAX(0, MIN($G$1, DATE(Initialisatie!$C$5,12,31)) - MAX($G$2, DATE(Initialisatie!$C$5,1,1)) + 1),
        IFERROR(VALUE($H140),0) * MAX(0, MIN($H$1, DATE(Initialisatie!$C$5,12,31)) - MAX($H$2, DATE(Initialisatie!$C$5,1,1)) + 1),
        IFERROR(VALUE($I140),0) * MAX(0, MIN($I$1, DATE(Initialisatie!$C$5,12,31)) - MAX($I$2, DATE(Initialisatie!$C$5,1,1)) + 1)
    ) / (DATE(Initialisatie!$C$5,12,31) - DATE(Initialisatie!$C$5,1,1) + 1)
)</f>
        <v>5593.74</v>
      </c>
      <c r="L140">
        <f>IF(
    OR(
        AND(MAX(0, IF(MIN($E$1, DATE(Initialisatie!$C$5,12,31)) &lt; MAX($E$2, DATE(Initialisatie!$C$5,1,1)), 0, MONTH(MIN($E$1, DATE(Initialisatie!$C$5,12,31))) - MONTH(MAX($E$2, DATE(Initialisatie!$C$5,1,1))) + 1)) &lt;= 0, IFERROR(VALUE($E140),0)=0),
        AND(MAX(0, IF(MIN($F$1, DATE(Initialisatie!$C$5,12,31)) &lt; MAX($F$2, DATE(Initialisatie!$C$5,1,1)), 0, MONTH(MIN($F$1, DATE(Initialisatie!$C$5,12,31))) - MONTH(MAX($F$2, DATE(Initialisatie!$C$5,1,1))) + 1)) &lt;= 0, IFERROR(VALUE($F140),0)=0),
        AND(MAX(0, IF(MIN($G$1, DATE(Initialisatie!$C$5,12,31)) &lt; MAX($G$2, DATE(Initialisatie!$C$5,1,1)), 0, MONTH(MIN($G$1, DATE(Initialisatie!$C$5,12,31))) - MONTH(MAX($G$2, DATE(Initialisatie!$C$5,1,1))) + 1)) &lt;= 0, IFERROR(VALUE($G140),0)=0),
        AND(MAX(0, IF(MIN($H$1, DATE(Initialisatie!$C$5,12,31)) &lt; MAX($H$2, DATE(Initialisatie!$C$5,1,1)), 0, MONTH(MIN($H$1, DATE(Initialisatie!$C$5,12,31))) - MONTH(MAX($H$2, DATE(Initialisatie!$C$5,1,1))) + 1)) &lt;= 0, IFERROR(VALUE($H140),0)=0),
        AND(MAX(0, IF(MIN($I$1, DATE(Initialisatie!$C$5,12,31)) &lt; MAX($I$2, DATE(Initialisatie!$C$5,1,1)), 0, MONTH(MIN($I$1, DATE(Initialisatie!$C$5,12,31))) - MONTH(MAX($I$2, DATE(Initialisatie!$C$5,1,1))) + 1)) &lt;= 0, IFERROR(VALUE($I140),0)=0)
    ),
    0,
    SUM(
        IFERROR(VALUE($E140),0) * MAX(0, IF(MIN($E$1, DATE(Initialisatie!$C$5,12,31)) &lt; MAX($E$2, DATE(Initialisatie!$C$5,1,1)), 0, MONTH(MIN($E$1, DATE(Initialisatie!$C$5,12,31))) - MONTH(MAX($E$2, DATE(Initialisatie!$C$5,1,1))) + 1)),
        IFERROR(VALUE($F140),0) * MAX(0, IF(MIN($F$1, DATE(Initialisatie!$C$5,12,31)) &lt; MAX($F$2, DATE(Initialisatie!$C$5,1,1)), 0, MONTH(MIN($F$1, DATE(Initialisatie!$C$5,12,31))) - MONTH(MAX($F$2, DATE(Initialisatie!$C$5,1,1))) + 1)),
        IFERROR(VALUE($G140),0) * MAX(0, IF(MIN($G$1, DATE(Initialisatie!$C$5,12,31)) &lt; MAX($G$2, DATE(Initialisatie!$C$5,1,1)), 0, MONTH(MIN($G$1, DATE(Initialisatie!$C$5,12,31))) - MONTH(MAX($G$2, DATE(Initialisatie!$C$5,1,1))) + 1)),
        IFERROR(VALUE($H140),0) * MAX(0, IF(MIN($H$1, DATE(Initialisatie!$C$5,12,31)) &lt; MAX($H$2, DATE(Initialisatie!$C$5,1,1)), 0, MONTH(MIN($H$1, DATE(Initialisatie!$C$5,12,31))) - MONTH(MAX($H$2, DATE(Initialisatie!$C$5,1,1))) + 1)),
        IFERROR(VALUE($I140),0) * MAX(0, IF(MIN($I$1, DATE(Initialisatie!$C$5,12,31)) &lt; MAX($I$2, DATE(Initialisatie!$C$5,1,1)), 0, MONTH(MIN($I$1, DATE(Initialisatie!$C$5,12,31))) - MONTH(MAX($I$2, DATE(Initialisatie!$C$5,1,1))) + 1))
    ) / 12
)</f>
        <v>5593.7400000000007</v>
      </c>
    </row>
    <row r="141" spans="1:12" x14ac:dyDescent="0.45">
      <c r="A141" s="989"/>
      <c r="B141" s="35" t="s">
        <v>91</v>
      </c>
      <c r="C141" s="35">
        <v>7</v>
      </c>
      <c r="D141" s="35" t="s">
        <v>150</v>
      </c>
      <c r="E141">
        <v>5324.82</v>
      </c>
      <c r="F141">
        <v>5391.39</v>
      </c>
      <c r="G141">
        <v>5585.48</v>
      </c>
      <c r="H141">
        <v>5792.14</v>
      </c>
      <c r="I141">
        <v>5989.07</v>
      </c>
      <c r="K141">
        <f>IF(
    OR(
        AND(MAX(0, MIN($E$1, DATE(Initialisatie!$C$5,12,31)) - MAX($E$2, DATE(Initialisatie!$C$5,1,1)) + 1) &gt; 0,IFERROR(VALUE($E141),0)=0),
        AND(MAX(0, MIN($F$1, DATE(Initialisatie!$C$5,12,31)) - MAX($F$2, DATE(Initialisatie!$C$5,1,1)) + 1) &gt; 0,IFERROR(VALUE($F141),0)=0),
        AND(MAX(0, MIN($G$1, DATE(Initialisatie!$C$5,12,31)) - MAX($G$2, DATE(Initialisatie!$C$5,1,1)) + 1) &gt; 0,IFERROR(VALUE($G141),0)=0),
        AND(MAX(0, MIN($H$1, DATE(Initialisatie!$C$5,12,31)) - MAX($H$2, DATE(Initialisatie!$C$5,1,1)) + 1) &gt; 0,IFERROR(VALUE($H141),0)=0),
        AND(MAX(0, MIN($I$1, DATE(Initialisatie!$C$5,12,31)) - MAX($I$2, DATE(Initialisatie!$C$5,1,1)) + 1) &gt; 0,IFERROR(VALUE($I141),0)=0)
    ),
    0,
    SUM(
        IFERROR(VALUE($E141),0) * MAX(0, MIN($E$1, DATE(Initialisatie!$C$5,12,31)) - MAX($E$2, DATE(Initialisatie!$C$5,1,1)) + 1),
        IFERROR(VALUE($F141),0) * MAX(0, MIN($F$1, DATE(Initialisatie!$C$5,12,31)) - MAX($F$2, DATE(Initialisatie!$C$5,1,1)) + 1),
        IFERROR(VALUE($G141),0) * MAX(0, MIN($G$1, DATE(Initialisatie!$C$5,12,31)) - MAX($G$2, DATE(Initialisatie!$C$5,1,1)) + 1),
        IFERROR(VALUE($H141),0) * MAX(0, MIN($H$1, DATE(Initialisatie!$C$5,12,31)) - MAX($H$2, DATE(Initialisatie!$C$5,1,1)) + 1),
        IFERROR(VALUE($I141),0) * MAX(0, MIN($I$1, DATE(Initialisatie!$C$5,12,31)) - MAX($I$2, DATE(Initialisatie!$C$5,1,1)) + 1)
    ) / (DATE(Initialisatie!$C$5,12,31) - DATE(Initialisatie!$C$5,1,1) + 1)
)</f>
        <v>5792.14</v>
      </c>
      <c r="L141">
        <f>IF(
    OR(
        AND(MAX(0, IF(MIN($E$1, DATE(Initialisatie!$C$5,12,31)) &lt; MAX($E$2, DATE(Initialisatie!$C$5,1,1)), 0, MONTH(MIN($E$1, DATE(Initialisatie!$C$5,12,31))) - MONTH(MAX($E$2, DATE(Initialisatie!$C$5,1,1))) + 1)) &lt;= 0, IFERROR(VALUE($E141),0)=0),
        AND(MAX(0, IF(MIN($F$1, DATE(Initialisatie!$C$5,12,31)) &lt; MAX($F$2, DATE(Initialisatie!$C$5,1,1)), 0, MONTH(MIN($F$1, DATE(Initialisatie!$C$5,12,31))) - MONTH(MAX($F$2, DATE(Initialisatie!$C$5,1,1))) + 1)) &lt;= 0, IFERROR(VALUE($F141),0)=0),
        AND(MAX(0, IF(MIN($G$1, DATE(Initialisatie!$C$5,12,31)) &lt; MAX($G$2, DATE(Initialisatie!$C$5,1,1)), 0, MONTH(MIN($G$1, DATE(Initialisatie!$C$5,12,31))) - MONTH(MAX($G$2, DATE(Initialisatie!$C$5,1,1))) + 1)) &lt;= 0, IFERROR(VALUE($G141),0)=0),
        AND(MAX(0, IF(MIN($H$1, DATE(Initialisatie!$C$5,12,31)) &lt; MAX($H$2, DATE(Initialisatie!$C$5,1,1)), 0, MONTH(MIN($H$1, DATE(Initialisatie!$C$5,12,31))) - MONTH(MAX($H$2, DATE(Initialisatie!$C$5,1,1))) + 1)) &lt;= 0, IFERROR(VALUE($H141),0)=0),
        AND(MAX(0, IF(MIN($I$1, DATE(Initialisatie!$C$5,12,31)) &lt; MAX($I$2, DATE(Initialisatie!$C$5,1,1)), 0, MONTH(MIN($I$1, DATE(Initialisatie!$C$5,12,31))) - MONTH(MAX($I$2, DATE(Initialisatie!$C$5,1,1))) + 1)) &lt;= 0, IFERROR(VALUE($I141),0)=0)
    ),
    0,
    SUM(
        IFERROR(VALUE($E141),0) * MAX(0, IF(MIN($E$1, DATE(Initialisatie!$C$5,12,31)) &lt; MAX($E$2, DATE(Initialisatie!$C$5,1,1)), 0, MONTH(MIN($E$1, DATE(Initialisatie!$C$5,12,31))) - MONTH(MAX($E$2, DATE(Initialisatie!$C$5,1,1))) + 1)),
        IFERROR(VALUE($F141),0) * MAX(0, IF(MIN($F$1, DATE(Initialisatie!$C$5,12,31)) &lt; MAX($F$2, DATE(Initialisatie!$C$5,1,1)), 0, MONTH(MIN($F$1, DATE(Initialisatie!$C$5,12,31))) - MONTH(MAX($F$2, DATE(Initialisatie!$C$5,1,1))) + 1)),
        IFERROR(VALUE($G141),0) * MAX(0, IF(MIN($G$1, DATE(Initialisatie!$C$5,12,31)) &lt; MAX($G$2, DATE(Initialisatie!$C$5,1,1)), 0, MONTH(MIN($G$1, DATE(Initialisatie!$C$5,12,31))) - MONTH(MAX($G$2, DATE(Initialisatie!$C$5,1,1))) + 1)),
        IFERROR(VALUE($H141),0) * MAX(0, IF(MIN($H$1, DATE(Initialisatie!$C$5,12,31)) &lt; MAX($H$2, DATE(Initialisatie!$C$5,1,1)), 0, MONTH(MIN($H$1, DATE(Initialisatie!$C$5,12,31))) - MONTH(MAX($H$2, DATE(Initialisatie!$C$5,1,1))) + 1)),
        IFERROR(VALUE($I141),0) * MAX(0, IF(MIN($I$1, DATE(Initialisatie!$C$5,12,31)) &lt; MAX($I$2, DATE(Initialisatie!$C$5,1,1)), 0, MONTH(MIN($I$1, DATE(Initialisatie!$C$5,12,31))) - MONTH(MAX($I$2, DATE(Initialisatie!$C$5,1,1))) + 1))
    ) / 12
)</f>
        <v>5792.14</v>
      </c>
    </row>
    <row r="142" spans="1:12" x14ac:dyDescent="0.45">
      <c r="A142" s="989"/>
      <c r="B142" s="35" t="s">
        <v>89</v>
      </c>
      <c r="C142" s="35">
        <v>8</v>
      </c>
      <c r="D142" s="35" t="s">
        <v>149</v>
      </c>
      <c r="E142">
        <v>5513.7</v>
      </c>
      <c r="F142">
        <v>5582.63</v>
      </c>
      <c r="G142">
        <v>5783.6</v>
      </c>
      <c r="H142">
        <v>5997.59</v>
      </c>
      <c r="I142">
        <v>6201.51</v>
      </c>
      <c r="K142">
        <f>IF(
    OR(
        AND(MAX(0, MIN($E$1, DATE(Initialisatie!$C$5,12,31)) - MAX($E$2, DATE(Initialisatie!$C$5,1,1)) + 1) &gt; 0,IFERROR(VALUE($E142),0)=0),
        AND(MAX(0, MIN($F$1, DATE(Initialisatie!$C$5,12,31)) - MAX($F$2, DATE(Initialisatie!$C$5,1,1)) + 1) &gt; 0,IFERROR(VALUE($F142),0)=0),
        AND(MAX(0, MIN($G$1, DATE(Initialisatie!$C$5,12,31)) - MAX($G$2, DATE(Initialisatie!$C$5,1,1)) + 1) &gt; 0,IFERROR(VALUE($G142),0)=0),
        AND(MAX(0, MIN($H$1, DATE(Initialisatie!$C$5,12,31)) - MAX($H$2, DATE(Initialisatie!$C$5,1,1)) + 1) &gt; 0,IFERROR(VALUE($H142),0)=0),
        AND(MAX(0, MIN($I$1, DATE(Initialisatie!$C$5,12,31)) - MAX($I$2, DATE(Initialisatie!$C$5,1,1)) + 1) &gt; 0,IFERROR(VALUE($I142),0)=0)
    ),
    0,
    SUM(
        IFERROR(VALUE($E142),0) * MAX(0, MIN($E$1, DATE(Initialisatie!$C$5,12,31)) - MAX($E$2, DATE(Initialisatie!$C$5,1,1)) + 1),
        IFERROR(VALUE($F142),0) * MAX(0, MIN($F$1, DATE(Initialisatie!$C$5,12,31)) - MAX($F$2, DATE(Initialisatie!$C$5,1,1)) + 1),
        IFERROR(VALUE($G142),0) * MAX(0, MIN($G$1, DATE(Initialisatie!$C$5,12,31)) - MAX($G$2, DATE(Initialisatie!$C$5,1,1)) + 1),
        IFERROR(VALUE($H142),0) * MAX(0, MIN($H$1, DATE(Initialisatie!$C$5,12,31)) - MAX($H$2, DATE(Initialisatie!$C$5,1,1)) + 1),
        IFERROR(VALUE($I142),0) * MAX(0, MIN($I$1, DATE(Initialisatie!$C$5,12,31)) - MAX($I$2, DATE(Initialisatie!$C$5,1,1)) + 1)
    ) / (DATE(Initialisatie!$C$5,12,31) - DATE(Initialisatie!$C$5,1,1) + 1)
)</f>
        <v>5997.59</v>
      </c>
      <c r="L142">
        <f>IF(
    OR(
        AND(MAX(0, IF(MIN($E$1, DATE(Initialisatie!$C$5,12,31)) &lt; MAX($E$2, DATE(Initialisatie!$C$5,1,1)), 0, MONTH(MIN($E$1, DATE(Initialisatie!$C$5,12,31))) - MONTH(MAX($E$2, DATE(Initialisatie!$C$5,1,1))) + 1)) &lt;= 0, IFERROR(VALUE($E142),0)=0),
        AND(MAX(0, IF(MIN($F$1, DATE(Initialisatie!$C$5,12,31)) &lt; MAX($F$2, DATE(Initialisatie!$C$5,1,1)), 0, MONTH(MIN($F$1, DATE(Initialisatie!$C$5,12,31))) - MONTH(MAX($F$2, DATE(Initialisatie!$C$5,1,1))) + 1)) &lt;= 0, IFERROR(VALUE($F142),0)=0),
        AND(MAX(0, IF(MIN($G$1, DATE(Initialisatie!$C$5,12,31)) &lt; MAX($G$2, DATE(Initialisatie!$C$5,1,1)), 0, MONTH(MIN($G$1, DATE(Initialisatie!$C$5,12,31))) - MONTH(MAX($G$2, DATE(Initialisatie!$C$5,1,1))) + 1)) &lt;= 0, IFERROR(VALUE($G142),0)=0),
        AND(MAX(0, IF(MIN($H$1, DATE(Initialisatie!$C$5,12,31)) &lt; MAX($H$2, DATE(Initialisatie!$C$5,1,1)), 0, MONTH(MIN($H$1, DATE(Initialisatie!$C$5,12,31))) - MONTH(MAX($H$2, DATE(Initialisatie!$C$5,1,1))) + 1)) &lt;= 0, IFERROR(VALUE($H142),0)=0),
        AND(MAX(0, IF(MIN($I$1, DATE(Initialisatie!$C$5,12,31)) &lt; MAX($I$2, DATE(Initialisatie!$C$5,1,1)), 0, MONTH(MIN($I$1, DATE(Initialisatie!$C$5,12,31))) - MONTH(MAX($I$2, DATE(Initialisatie!$C$5,1,1))) + 1)) &lt;= 0, IFERROR(VALUE($I142),0)=0)
    ),
    0,
    SUM(
        IFERROR(VALUE($E142),0) * MAX(0, IF(MIN($E$1, DATE(Initialisatie!$C$5,12,31)) &lt; MAX($E$2, DATE(Initialisatie!$C$5,1,1)), 0, MONTH(MIN($E$1, DATE(Initialisatie!$C$5,12,31))) - MONTH(MAX($E$2, DATE(Initialisatie!$C$5,1,1))) + 1)),
        IFERROR(VALUE($F142),0) * MAX(0, IF(MIN($F$1, DATE(Initialisatie!$C$5,12,31)) &lt; MAX($F$2, DATE(Initialisatie!$C$5,1,1)), 0, MONTH(MIN($F$1, DATE(Initialisatie!$C$5,12,31))) - MONTH(MAX($F$2, DATE(Initialisatie!$C$5,1,1))) + 1)),
        IFERROR(VALUE($G142),0) * MAX(0, IF(MIN($G$1, DATE(Initialisatie!$C$5,12,31)) &lt; MAX($G$2, DATE(Initialisatie!$C$5,1,1)), 0, MONTH(MIN($G$1, DATE(Initialisatie!$C$5,12,31))) - MONTH(MAX($G$2, DATE(Initialisatie!$C$5,1,1))) + 1)),
        IFERROR(VALUE($H142),0) * MAX(0, IF(MIN($H$1, DATE(Initialisatie!$C$5,12,31)) &lt; MAX($H$2, DATE(Initialisatie!$C$5,1,1)), 0, MONTH(MIN($H$1, DATE(Initialisatie!$C$5,12,31))) - MONTH(MAX($H$2, DATE(Initialisatie!$C$5,1,1))) + 1)),
        IFERROR(VALUE($I142),0) * MAX(0, IF(MIN($I$1, DATE(Initialisatie!$C$5,12,31)) &lt; MAX($I$2, DATE(Initialisatie!$C$5,1,1)), 0, MONTH(MIN($I$1, DATE(Initialisatie!$C$5,12,31))) - MONTH(MAX($I$2, DATE(Initialisatie!$C$5,1,1))) + 1))
    ) / 12
)</f>
        <v>5997.59</v>
      </c>
    </row>
    <row r="143" spans="1:12" x14ac:dyDescent="0.45">
      <c r="A143" s="989"/>
      <c r="B143" s="35" t="s">
        <v>87</v>
      </c>
      <c r="C143" s="35">
        <v>9</v>
      </c>
      <c r="D143" s="35" t="s">
        <v>148</v>
      </c>
      <c r="E143">
        <v>5709.14</v>
      </c>
      <c r="F143">
        <v>5780.5</v>
      </c>
      <c r="G143">
        <v>5988.6</v>
      </c>
      <c r="H143">
        <v>6210.18</v>
      </c>
      <c r="I143">
        <v>6421.33</v>
      </c>
      <c r="K143">
        <f>IF(
    OR(
        AND(MAX(0, MIN($E$1, DATE(Initialisatie!$C$5,12,31)) - MAX($E$2, DATE(Initialisatie!$C$5,1,1)) + 1) &gt; 0,IFERROR(VALUE($E143),0)=0),
        AND(MAX(0, MIN($F$1, DATE(Initialisatie!$C$5,12,31)) - MAX($F$2, DATE(Initialisatie!$C$5,1,1)) + 1) &gt; 0,IFERROR(VALUE($F143),0)=0),
        AND(MAX(0, MIN($G$1, DATE(Initialisatie!$C$5,12,31)) - MAX($G$2, DATE(Initialisatie!$C$5,1,1)) + 1) &gt; 0,IFERROR(VALUE($G143),0)=0),
        AND(MAX(0, MIN($H$1, DATE(Initialisatie!$C$5,12,31)) - MAX($H$2, DATE(Initialisatie!$C$5,1,1)) + 1) &gt; 0,IFERROR(VALUE($H143),0)=0),
        AND(MAX(0, MIN($I$1, DATE(Initialisatie!$C$5,12,31)) - MAX($I$2, DATE(Initialisatie!$C$5,1,1)) + 1) &gt; 0,IFERROR(VALUE($I143),0)=0)
    ),
    0,
    SUM(
        IFERROR(VALUE($E143),0) * MAX(0, MIN($E$1, DATE(Initialisatie!$C$5,12,31)) - MAX($E$2, DATE(Initialisatie!$C$5,1,1)) + 1),
        IFERROR(VALUE($F143),0) * MAX(0, MIN($F$1, DATE(Initialisatie!$C$5,12,31)) - MAX($F$2, DATE(Initialisatie!$C$5,1,1)) + 1),
        IFERROR(VALUE($G143),0) * MAX(0, MIN($G$1, DATE(Initialisatie!$C$5,12,31)) - MAX($G$2, DATE(Initialisatie!$C$5,1,1)) + 1),
        IFERROR(VALUE($H143),0) * MAX(0, MIN($H$1, DATE(Initialisatie!$C$5,12,31)) - MAX($H$2, DATE(Initialisatie!$C$5,1,1)) + 1),
        IFERROR(VALUE($I143),0) * MAX(0, MIN($I$1, DATE(Initialisatie!$C$5,12,31)) - MAX($I$2, DATE(Initialisatie!$C$5,1,1)) + 1)
    ) / (DATE(Initialisatie!$C$5,12,31) - DATE(Initialisatie!$C$5,1,1) + 1)
)</f>
        <v>6210.18</v>
      </c>
      <c r="L143">
        <f>IF(
    OR(
        AND(MAX(0, IF(MIN($E$1, DATE(Initialisatie!$C$5,12,31)) &lt; MAX($E$2, DATE(Initialisatie!$C$5,1,1)), 0, MONTH(MIN($E$1, DATE(Initialisatie!$C$5,12,31))) - MONTH(MAX($E$2, DATE(Initialisatie!$C$5,1,1))) + 1)) &lt;= 0, IFERROR(VALUE($E143),0)=0),
        AND(MAX(0, IF(MIN($F$1, DATE(Initialisatie!$C$5,12,31)) &lt; MAX($F$2, DATE(Initialisatie!$C$5,1,1)), 0, MONTH(MIN($F$1, DATE(Initialisatie!$C$5,12,31))) - MONTH(MAX($F$2, DATE(Initialisatie!$C$5,1,1))) + 1)) &lt;= 0, IFERROR(VALUE($F143),0)=0),
        AND(MAX(0, IF(MIN($G$1, DATE(Initialisatie!$C$5,12,31)) &lt; MAX($G$2, DATE(Initialisatie!$C$5,1,1)), 0, MONTH(MIN($G$1, DATE(Initialisatie!$C$5,12,31))) - MONTH(MAX($G$2, DATE(Initialisatie!$C$5,1,1))) + 1)) &lt;= 0, IFERROR(VALUE($G143),0)=0),
        AND(MAX(0, IF(MIN($H$1, DATE(Initialisatie!$C$5,12,31)) &lt; MAX($H$2, DATE(Initialisatie!$C$5,1,1)), 0, MONTH(MIN($H$1, DATE(Initialisatie!$C$5,12,31))) - MONTH(MAX($H$2, DATE(Initialisatie!$C$5,1,1))) + 1)) &lt;= 0, IFERROR(VALUE($H143),0)=0),
        AND(MAX(0, IF(MIN($I$1, DATE(Initialisatie!$C$5,12,31)) &lt; MAX($I$2, DATE(Initialisatie!$C$5,1,1)), 0, MONTH(MIN($I$1, DATE(Initialisatie!$C$5,12,31))) - MONTH(MAX($I$2, DATE(Initialisatie!$C$5,1,1))) + 1)) &lt;= 0, IFERROR(VALUE($I143),0)=0)
    ),
    0,
    SUM(
        IFERROR(VALUE($E143),0) * MAX(0, IF(MIN($E$1, DATE(Initialisatie!$C$5,12,31)) &lt; MAX($E$2, DATE(Initialisatie!$C$5,1,1)), 0, MONTH(MIN($E$1, DATE(Initialisatie!$C$5,12,31))) - MONTH(MAX($E$2, DATE(Initialisatie!$C$5,1,1))) + 1)),
        IFERROR(VALUE($F143),0) * MAX(0, IF(MIN($F$1, DATE(Initialisatie!$C$5,12,31)) &lt; MAX($F$2, DATE(Initialisatie!$C$5,1,1)), 0, MONTH(MIN($F$1, DATE(Initialisatie!$C$5,12,31))) - MONTH(MAX($F$2, DATE(Initialisatie!$C$5,1,1))) + 1)),
        IFERROR(VALUE($G143),0) * MAX(0, IF(MIN($G$1, DATE(Initialisatie!$C$5,12,31)) &lt; MAX($G$2, DATE(Initialisatie!$C$5,1,1)), 0, MONTH(MIN($G$1, DATE(Initialisatie!$C$5,12,31))) - MONTH(MAX($G$2, DATE(Initialisatie!$C$5,1,1))) + 1)),
        IFERROR(VALUE($H143),0) * MAX(0, IF(MIN($H$1, DATE(Initialisatie!$C$5,12,31)) &lt; MAX($H$2, DATE(Initialisatie!$C$5,1,1)), 0, MONTH(MIN($H$1, DATE(Initialisatie!$C$5,12,31))) - MONTH(MAX($H$2, DATE(Initialisatie!$C$5,1,1))) + 1)),
        IFERROR(VALUE($I143),0) * MAX(0, IF(MIN($I$1, DATE(Initialisatie!$C$5,12,31)) &lt; MAX($I$2, DATE(Initialisatie!$C$5,1,1)), 0, MONTH(MIN($I$1, DATE(Initialisatie!$C$5,12,31))) - MONTH(MAX($I$2, DATE(Initialisatie!$C$5,1,1))) + 1))
    ) / 12
)</f>
        <v>6210.18</v>
      </c>
    </row>
    <row r="144" spans="1:12" x14ac:dyDescent="0.45">
      <c r="A144" s="989"/>
      <c r="B144" s="35" t="s">
        <v>109</v>
      </c>
      <c r="C144" s="35">
        <v>10</v>
      </c>
      <c r="D144" s="35" t="s">
        <v>159</v>
      </c>
      <c r="E144">
        <v>5911.84</v>
      </c>
      <c r="F144">
        <v>5985.74</v>
      </c>
      <c r="G144">
        <v>6201.23</v>
      </c>
      <c r="H144">
        <v>6430.67</v>
      </c>
      <c r="I144">
        <v>6649.31</v>
      </c>
      <c r="K144">
        <f>IF(
    OR(
        AND(MAX(0, MIN($E$1, DATE(Initialisatie!$C$5,12,31)) - MAX($E$2, DATE(Initialisatie!$C$5,1,1)) + 1) &gt; 0,IFERROR(VALUE($E144),0)=0),
        AND(MAX(0, MIN($F$1, DATE(Initialisatie!$C$5,12,31)) - MAX($F$2, DATE(Initialisatie!$C$5,1,1)) + 1) &gt; 0,IFERROR(VALUE($F144),0)=0),
        AND(MAX(0, MIN($G$1, DATE(Initialisatie!$C$5,12,31)) - MAX($G$2, DATE(Initialisatie!$C$5,1,1)) + 1) &gt; 0,IFERROR(VALUE($G144),0)=0),
        AND(MAX(0, MIN($H$1, DATE(Initialisatie!$C$5,12,31)) - MAX($H$2, DATE(Initialisatie!$C$5,1,1)) + 1) &gt; 0,IFERROR(VALUE($H144),0)=0),
        AND(MAX(0, MIN($I$1, DATE(Initialisatie!$C$5,12,31)) - MAX($I$2, DATE(Initialisatie!$C$5,1,1)) + 1) &gt; 0,IFERROR(VALUE($I144),0)=0)
    ),
    0,
    SUM(
        IFERROR(VALUE($E144),0) * MAX(0, MIN($E$1, DATE(Initialisatie!$C$5,12,31)) - MAX($E$2, DATE(Initialisatie!$C$5,1,1)) + 1),
        IFERROR(VALUE($F144),0) * MAX(0, MIN($F$1, DATE(Initialisatie!$C$5,12,31)) - MAX($F$2, DATE(Initialisatie!$C$5,1,1)) + 1),
        IFERROR(VALUE($G144),0) * MAX(0, MIN($G$1, DATE(Initialisatie!$C$5,12,31)) - MAX($G$2, DATE(Initialisatie!$C$5,1,1)) + 1),
        IFERROR(VALUE($H144),0) * MAX(0, MIN($H$1, DATE(Initialisatie!$C$5,12,31)) - MAX($H$2, DATE(Initialisatie!$C$5,1,1)) + 1),
        IFERROR(VALUE($I144),0) * MAX(0, MIN($I$1, DATE(Initialisatie!$C$5,12,31)) - MAX($I$2, DATE(Initialisatie!$C$5,1,1)) + 1)
    ) / (DATE(Initialisatie!$C$5,12,31) - DATE(Initialisatie!$C$5,1,1) + 1)
)</f>
        <v>6430.6699999999992</v>
      </c>
      <c r="L144">
        <f>IF(
    OR(
        AND(MAX(0, IF(MIN($E$1, DATE(Initialisatie!$C$5,12,31)) &lt; MAX($E$2, DATE(Initialisatie!$C$5,1,1)), 0, MONTH(MIN($E$1, DATE(Initialisatie!$C$5,12,31))) - MONTH(MAX($E$2, DATE(Initialisatie!$C$5,1,1))) + 1)) &lt;= 0, IFERROR(VALUE($E144),0)=0),
        AND(MAX(0, IF(MIN($F$1, DATE(Initialisatie!$C$5,12,31)) &lt; MAX($F$2, DATE(Initialisatie!$C$5,1,1)), 0, MONTH(MIN($F$1, DATE(Initialisatie!$C$5,12,31))) - MONTH(MAX($F$2, DATE(Initialisatie!$C$5,1,1))) + 1)) &lt;= 0, IFERROR(VALUE($F144),0)=0),
        AND(MAX(0, IF(MIN($G$1, DATE(Initialisatie!$C$5,12,31)) &lt; MAX($G$2, DATE(Initialisatie!$C$5,1,1)), 0, MONTH(MIN($G$1, DATE(Initialisatie!$C$5,12,31))) - MONTH(MAX($G$2, DATE(Initialisatie!$C$5,1,1))) + 1)) &lt;= 0, IFERROR(VALUE($G144),0)=0),
        AND(MAX(0, IF(MIN($H$1, DATE(Initialisatie!$C$5,12,31)) &lt; MAX($H$2, DATE(Initialisatie!$C$5,1,1)), 0, MONTH(MIN($H$1, DATE(Initialisatie!$C$5,12,31))) - MONTH(MAX($H$2, DATE(Initialisatie!$C$5,1,1))) + 1)) &lt;= 0, IFERROR(VALUE($H144),0)=0),
        AND(MAX(0, IF(MIN($I$1, DATE(Initialisatie!$C$5,12,31)) &lt; MAX($I$2, DATE(Initialisatie!$C$5,1,1)), 0, MONTH(MIN($I$1, DATE(Initialisatie!$C$5,12,31))) - MONTH(MAX($I$2, DATE(Initialisatie!$C$5,1,1))) + 1)) &lt;= 0, IFERROR(VALUE($I144),0)=0)
    ),
    0,
    SUM(
        IFERROR(VALUE($E144),0) * MAX(0, IF(MIN($E$1, DATE(Initialisatie!$C$5,12,31)) &lt; MAX($E$2, DATE(Initialisatie!$C$5,1,1)), 0, MONTH(MIN($E$1, DATE(Initialisatie!$C$5,12,31))) - MONTH(MAX($E$2, DATE(Initialisatie!$C$5,1,1))) + 1)),
        IFERROR(VALUE($F144),0) * MAX(0, IF(MIN($F$1, DATE(Initialisatie!$C$5,12,31)) &lt; MAX($F$2, DATE(Initialisatie!$C$5,1,1)), 0, MONTH(MIN($F$1, DATE(Initialisatie!$C$5,12,31))) - MONTH(MAX($F$2, DATE(Initialisatie!$C$5,1,1))) + 1)),
        IFERROR(VALUE($G144),0) * MAX(0, IF(MIN($G$1, DATE(Initialisatie!$C$5,12,31)) &lt; MAX($G$2, DATE(Initialisatie!$C$5,1,1)), 0, MONTH(MIN($G$1, DATE(Initialisatie!$C$5,12,31))) - MONTH(MAX($G$2, DATE(Initialisatie!$C$5,1,1))) + 1)),
        IFERROR(VALUE($H144),0) * MAX(0, IF(MIN($H$1, DATE(Initialisatie!$C$5,12,31)) &lt; MAX($H$2, DATE(Initialisatie!$C$5,1,1)), 0, MONTH(MIN($H$1, DATE(Initialisatie!$C$5,12,31))) - MONTH(MAX($H$2, DATE(Initialisatie!$C$5,1,1))) + 1)),
        IFERROR(VALUE($I144),0) * MAX(0, IF(MIN($I$1, DATE(Initialisatie!$C$5,12,31)) &lt; MAX($I$2, DATE(Initialisatie!$C$5,1,1)), 0, MONTH(MIN($I$1, DATE(Initialisatie!$C$5,12,31))) - MONTH(MAX($I$2, DATE(Initialisatie!$C$5,1,1))) + 1))
    ) / 12
)</f>
        <v>6430.670000000001</v>
      </c>
    </row>
    <row r="145" spans="1:12" x14ac:dyDescent="0.45">
      <c r="A145" s="989"/>
      <c r="B145" s="35" t="s">
        <v>107</v>
      </c>
      <c r="C145" s="35">
        <v>11</v>
      </c>
      <c r="D145" s="35" t="s">
        <v>158</v>
      </c>
      <c r="E145">
        <v>6121.78</v>
      </c>
      <c r="F145">
        <v>6198.3</v>
      </c>
      <c r="G145">
        <v>6421.44</v>
      </c>
      <c r="H145">
        <v>6659.04</v>
      </c>
      <c r="I145">
        <v>6885.44</v>
      </c>
      <c r="K145">
        <f>IF(
    OR(
        AND(MAX(0, MIN($E$1, DATE(Initialisatie!$C$5,12,31)) - MAX($E$2, DATE(Initialisatie!$C$5,1,1)) + 1) &gt; 0,IFERROR(VALUE($E145),0)=0),
        AND(MAX(0, MIN($F$1, DATE(Initialisatie!$C$5,12,31)) - MAX($F$2, DATE(Initialisatie!$C$5,1,1)) + 1) &gt; 0,IFERROR(VALUE($F145),0)=0),
        AND(MAX(0, MIN($G$1, DATE(Initialisatie!$C$5,12,31)) - MAX($G$2, DATE(Initialisatie!$C$5,1,1)) + 1) &gt; 0,IFERROR(VALUE($G145),0)=0),
        AND(MAX(0, MIN($H$1, DATE(Initialisatie!$C$5,12,31)) - MAX($H$2, DATE(Initialisatie!$C$5,1,1)) + 1) &gt; 0,IFERROR(VALUE($H145),0)=0),
        AND(MAX(0, MIN($I$1, DATE(Initialisatie!$C$5,12,31)) - MAX($I$2, DATE(Initialisatie!$C$5,1,1)) + 1) &gt; 0,IFERROR(VALUE($I145),0)=0)
    ),
    0,
    SUM(
        IFERROR(VALUE($E145),0) * MAX(0, MIN($E$1, DATE(Initialisatie!$C$5,12,31)) - MAX($E$2, DATE(Initialisatie!$C$5,1,1)) + 1),
        IFERROR(VALUE($F145),0) * MAX(0, MIN($F$1, DATE(Initialisatie!$C$5,12,31)) - MAX($F$2, DATE(Initialisatie!$C$5,1,1)) + 1),
        IFERROR(VALUE($G145),0) * MAX(0, MIN($G$1, DATE(Initialisatie!$C$5,12,31)) - MAX($G$2, DATE(Initialisatie!$C$5,1,1)) + 1),
        IFERROR(VALUE($H145),0) * MAX(0, MIN($H$1, DATE(Initialisatie!$C$5,12,31)) - MAX($H$2, DATE(Initialisatie!$C$5,1,1)) + 1),
        IFERROR(VALUE($I145),0) * MAX(0, MIN($I$1, DATE(Initialisatie!$C$5,12,31)) - MAX($I$2, DATE(Initialisatie!$C$5,1,1)) + 1)
    ) / (DATE(Initialisatie!$C$5,12,31) - DATE(Initialisatie!$C$5,1,1) + 1)
)</f>
        <v>6659.04</v>
      </c>
      <c r="L145">
        <f>IF(
    OR(
        AND(MAX(0, IF(MIN($E$1, DATE(Initialisatie!$C$5,12,31)) &lt; MAX($E$2, DATE(Initialisatie!$C$5,1,1)), 0, MONTH(MIN($E$1, DATE(Initialisatie!$C$5,12,31))) - MONTH(MAX($E$2, DATE(Initialisatie!$C$5,1,1))) + 1)) &lt;= 0, IFERROR(VALUE($E145),0)=0),
        AND(MAX(0, IF(MIN($F$1, DATE(Initialisatie!$C$5,12,31)) &lt; MAX($F$2, DATE(Initialisatie!$C$5,1,1)), 0, MONTH(MIN($F$1, DATE(Initialisatie!$C$5,12,31))) - MONTH(MAX($F$2, DATE(Initialisatie!$C$5,1,1))) + 1)) &lt;= 0, IFERROR(VALUE($F145),0)=0),
        AND(MAX(0, IF(MIN($G$1, DATE(Initialisatie!$C$5,12,31)) &lt; MAX($G$2, DATE(Initialisatie!$C$5,1,1)), 0, MONTH(MIN($G$1, DATE(Initialisatie!$C$5,12,31))) - MONTH(MAX($G$2, DATE(Initialisatie!$C$5,1,1))) + 1)) &lt;= 0, IFERROR(VALUE($G145),0)=0),
        AND(MAX(0, IF(MIN($H$1, DATE(Initialisatie!$C$5,12,31)) &lt; MAX($H$2, DATE(Initialisatie!$C$5,1,1)), 0, MONTH(MIN($H$1, DATE(Initialisatie!$C$5,12,31))) - MONTH(MAX($H$2, DATE(Initialisatie!$C$5,1,1))) + 1)) &lt;= 0, IFERROR(VALUE($H145),0)=0),
        AND(MAX(0, IF(MIN($I$1, DATE(Initialisatie!$C$5,12,31)) &lt; MAX($I$2, DATE(Initialisatie!$C$5,1,1)), 0, MONTH(MIN($I$1, DATE(Initialisatie!$C$5,12,31))) - MONTH(MAX($I$2, DATE(Initialisatie!$C$5,1,1))) + 1)) &lt;= 0, IFERROR(VALUE($I145),0)=0)
    ),
    0,
    SUM(
        IFERROR(VALUE($E145),0) * MAX(0, IF(MIN($E$1, DATE(Initialisatie!$C$5,12,31)) &lt; MAX($E$2, DATE(Initialisatie!$C$5,1,1)), 0, MONTH(MIN($E$1, DATE(Initialisatie!$C$5,12,31))) - MONTH(MAX($E$2, DATE(Initialisatie!$C$5,1,1))) + 1)),
        IFERROR(VALUE($F145),0) * MAX(0, IF(MIN($F$1, DATE(Initialisatie!$C$5,12,31)) &lt; MAX($F$2, DATE(Initialisatie!$C$5,1,1)), 0, MONTH(MIN($F$1, DATE(Initialisatie!$C$5,12,31))) - MONTH(MAX($F$2, DATE(Initialisatie!$C$5,1,1))) + 1)),
        IFERROR(VALUE($G145),0) * MAX(0, IF(MIN($G$1, DATE(Initialisatie!$C$5,12,31)) &lt; MAX($G$2, DATE(Initialisatie!$C$5,1,1)), 0, MONTH(MIN($G$1, DATE(Initialisatie!$C$5,12,31))) - MONTH(MAX($G$2, DATE(Initialisatie!$C$5,1,1))) + 1)),
        IFERROR(VALUE($H145),0) * MAX(0, IF(MIN($H$1, DATE(Initialisatie!$C$5,12,31)) &lt; MAX($H$2, DATE(Initialisatie!$C$5,1,1)), 0, MONTH(MIN($H$1, DATE(Initialisatie!$C$5,12,31))) - MONTH(MAX($H$2, DATE(Initialisatie!$C$5,1,1))) + 1)),
        IFERROR(VALUE($I145),0) * MAX(0, IF(MIN($I$1, DATE(Initialisatie!$C$5,12,31)) &lt; MAX($I$2, DATE(Initialisatie!$C$5,1,1)), 0, MONTH(MIN($I$1, DATE(Initialisatie!$C$5,12,31))) - MONTH(MAX($I$2, DATE(Initialisatie!$C$5,1,1))) + 1))
    ) / 12
)</f>
        <v>6659.04</v>
      </c>
    </row>
    <row r="146" spans="1:12" x14ac:dyDescent="0.45">
      <c r="A146" s="989"/>
      <c r="B146" s="35" t="s">
        <v>105</v>
      </c>
      <c r="C146" s="35">
        <v>12</v>
      </c>
      <c r="D146" s="35" t="s">
        <v>157</v>
      </c>
      <c r="E146">
        <v>6339.02</v>
      </c>
      <c r="F146">
        <v>6418.25</v>
      </c>
      <c r="G146">
        <v>6649.31</v>
      </c>
      <c r="H146">
        <v>6895.34</v>
      </c>
      <c r="I146">
        <v>7129.78</v>
      </c>
      <c r="K146">
        <f>IF(
    OR(
        AND(MAX(0, MIN($E$1, DATE(Initialisatie!$C$5,12,31)) - MAX($E$2, DATE(Initialisatie!$C$5,1,1)) + 1) &gt; 0,IFERROR(VALUE($E146),0)=0),
        AND(MAX(0, MIN($F$1, DATE(Initialisatie!$C$5,12,31)) - MAX($F$2, DATE(Initialisatie!$C$5,1,1)) + 1) &gt; 0,IFERROR(VALUE($F146),0)=0),
        AND(MAX(0, MIN($G$1, DATE(Initialisatie!$C$5,12,31)) - MAX($G$2, DATE(Initialisatie!$C$5,1,1)) + 1) &gt; 0,IFERROR(VALUE($G146),0)=0),
        AND(MAX(0, MIN($H$1, DATE(Initialisatie!$C$5,12,31)) - MAX($H$2, DATE(Initialisatie!$C$5,1,1)) + 1) &gt; 0,IFERROR(VALUE($H146),0)=0),
        AND(MAX(0, MIN($I$1, DATE(Initialisatie!$C$5,12,31)) - MAX($I$2, DATE(Initialisatie!$C$5,1,1)) + 1) &gt; 0,IFERROR(VALUE($I146),0)=0)
    ),
    0,
    SUM(
        IFERROR(VALUE($E146),0) * MAX(0, MIN($E$1, DATE(Initialisatie!$C$5,12,31)) - MAX($E$2, DATE(Initialisatie!$C$5,1,1)) + 1),
        IFERROR(VALUE($F146),0) * MAX(0, MIN($F$1, DATE(Initialisatie!$C$5,12,31)) - MAX($F$2, DATE(Initialisatie!$C$5,1,1)) + 1),
        IFERROR(VALUE($G146),0) * MAX(0, MIN($G$1, DATE(Initialisatie!$C$5,12,31)) - MAX($G$2, DATE(Initialisatie!$C$5,1,1)) + 1),
        IFERROR(VALUE($H146),0) * MAX(0, MIN($H$1, DATE(Initialisatie!$C$5,12,31)) - MAX($H$2, DATE(Initialisatie!$C$5,1,1)) + 1),
        IFERROR(VALUE($I146),0) * MAX(0, MIN($I$1, DATE(Initialisatie!$C$5,12,31)) - MAX($I$2, DATE(Initialisatie!$C$5,1,1)) + 1)
    ) / (DATE(Initialisatie!$C$5,12,31) - DATE(Initialisatie!$C$5,1,1) + 1)
)</f>
        <v>6895.34</v>
      </c>
      <c r="L146">
        <f>IF(
    OR(
        AND(MAX(0, IF(MIN($E$1, DATE(Initialisatie!$C$5,12,31)) &lt; MAX($E$2, DATE(Initialisatie!$C$5,1,1)), 0, MONTH(MIN($E$1, DATE(Initialisatie!$C$5,12,31))) - MONTH(MAX($E$2, DATE(Initialisatie!$C$5,1,1))) + 1)) &lt;= 0, IFERROR(VALUE($E146),0)=0),
        AND(MAX(0, IF(MIN($F$1, DATE(Initialisatie!$C$5,12,31)) &lt; MAX($F$2, DATE(Initialisatie!$C$5,1,1)), 0, MONTH(MIN($F$1, DATE(Initialisatie!$C$5,12,31))) - MONTH(MAX($F$2, DATE(Initialisatie!$C$5,1,1))) + 1)) &lt;= 0, IFERROR(VALUE($F146),0)=0),
        AND(MAX(0, IF(MIN($G$1, DATE(Initialisatie!$C$5,12,31)) &lt; MAX($G$2, DATE(Initialisatie!$C$5,1,1)), 0, MONTH(MIN($G$1, DATE(Initialisatie!$C$5,12,31))) - MONTH(MAX($G$2, DATE(Initialisatie!$C$5,1,1))) + 1)) &lt;= 0, IFERROR(VALUE($G146),0)=0),
        AND(MAX(0, IF(MIN($H$1, DATE(Initialisatie!$C$5,12,31)) &lt; MAX($H$2, DATE(Initialisatie!$C$5,1,1)), 0, MONTH(MIN($H$1, DATE(Initialisatie!$C$5,12,31))) - MONTH(MAX($H$2, DATE(Initialisatie!$C$5,1,1))) + 1)) &lt;= 0, IFERROR(VALUE($H146),0)=0),
        AND(MAX(0, IF(MIN($I$1, DATE(Initialisatie!$C$5,12,31)) &lt; MAX($I$2, DATE(Initialisatie!$C$5,1,1)), 0, MONTH(MIN($I$1, DATE(Initialisatie!$C$5,12,31))) - MONTH(MAX($I$2, DATE(Initialisatie!$C$5,1,1))) + 1)) &lt;= 0, IFERROR(VALUE($I146),0)=0)
    ),
    0,
    SUM(
        IFERROR(VALUE($E146),0) * MAX(0, IF(MIN($E$1, DATE(Initialisatie!$C$5,12,31)) &lt; MAX($E$2, DATE(Initialisatie!$C$5,1,1)), 0, MONTH(MIN($E$1, DATE(Initialisatie!$C$5,12,31))) - MONTH(MAX($E$2, DATE(Initialisatie!$C$5,1,1))) + 1)),
        IFERROR(VALUE($F146),0) * MAX(0, IF(MIN($F$1, DATE(Initialisatie!$C$5,12,31)) &lt; MAX($F$2, DATE(Initialisatie!$C$5,1,1)), 0, MONTH(MIN($F$1, DATE(Initialisatie!$C$5,12,31))) - MONTH(MAX($F$2, DATE(Initialisatie!$C$5,1,1))) + 1)),
        IFERROR(VALUE($G146),0) * MAX(0, IF(MIN($G$1, DATE(Initialisatie!$C$5,12,31)) &lt; MAX($G$2, DATE(Initialisatie!$C$5,1,1)), 0, MONTH(MIN($G$1, DATE(Initialisatie!$C$5,12,31))) - MONTH(MAX($G$2, DATE(Initialisatie!$C$5,1,1))) + 1)),
        IFERROR(VALUE($H146),0) * MAX(0, IF(MIN($H$1, DATE(Initialisatie!$C$5,12,31)) &lt; MAX($H$2, DATE(Initialisatie!$C$5,1,1)), 0, MONTH(MIN($H$1, DATE(Initialisatie!$C$5,12,31))) - MONTH(MAX($H$2, DATE(Initialisatie!$C$5,1,1))) + 1)),
        IFERROR(VALUE($I146),0) * MAX(0, IF(MIN($I$1, DATE(Initialisatie!$C$5,12,31)) &lt; MAX($I$2, DATE(Initialisatie!$C$5,1,1)), 0, MONTH(MIN($I$1, DATE(Initialisatie!$C$5,12,31))) - MONTH(MAX($I$2, DATE(Initialisatie!$C$5,1,1))) + 1))
    ) / 12
)</f>
        <v>6895.34</v>
      </c>
    </row>
    <row r="147" spans="1:12" x14ac:dyDescent="0.45">
      <c r="A147" s="989"/>
      <c r="B147" s="35" t="s">
        <v>103</v>
      </c>
      <c r="C147" s="35">
        <v>13</v>
      </c>
      <c r="D147" s="35" t="s">
        <v>156</v>
      </c>
      <c r="E147">
        <v>6564.26</v>
      </c>
      <c r="F147">
        <v>6646.31</v>
      </c>
      <c r="G147">
        <v>6885.58</v>
      </c>
      <c r="H147">
        <v>7140.34</v>
      </c>
      <c r="I147">
        <v>7383.11</v>
      </c>
      <c r="K147">
        <f>IF(
    OR(
        AND(MAX(0, MIN($E$1, DATE(Initialisatie!$C$5,12,31)) - MAX($E$2, DATE(Initialisatie!$C$5,1,1)) + 1) &gt; 0,IFERROR(VALUE($E147),0)=0),
        AND(MAX(0, MIN($F$1, DATE(Initialisatie!$C$5,12,31)) - MAX($F$2, DATE(Initialisatie!$C$5,1,1)) + 1) &gt; 0,IFERROR(VALUE($F147),0)=0),
        AND(MAX(0, MIN($G$1, DATE(Initialisatie!$C$5,12,31)) - MAX($G$2, DATE(Initialisatie!$C$5,1,1)) + 1) &gt; 0,IFERROR(VALUE($G147),0)=0),
        AND(MAX(0, MIN($H$1, DATE(Initialisatie!$C$5,12,31)) - MAX($H$2, DATE(Initialisatie!$C$5,1,1)) + 1) &gt; 0,IFERROR(VALUE($H147),0)=0),
        AND(MAX(0, MIN($I$1, DATE(Initialisatie!$C$5,12,31)) - MAX($I$2, DATE(Initialisatie!$C$5,1,1)) + 1) &gt; 0,IFERROR(VALUE($I147),0)=0)
    ),
    0,
    SUM(
        IFERROR(VALUE($E147),0) * MAX(0, MIN($E$1, DATE(Initialisatie!$C$5,12,31)) - MAX($E$2, DATE(Initialisatie!$C$5,1,1)) + 1),
        IFERROR(VALUE($F147),0) * MAX(0, MIN($F$1, DATE(Initialisatie!$C$5,12,31)) - MAX($F$2, DATE(Initialisatie!$C$5,1,1)) + 1),
        IFERROR(VALUE($G147),0) * MAX(0, MIN($G$1, DATE(Initialisatie!$C$5,12,31)) - MAX($G$2, DATE(Initialisatie!$C$5,1,1)) + 1),
        IFERROR(VALUE($H147),0) * MAX(0, MIN($H$1, DATE(Initialisatie!$C$5,12,31)) - MAX($H$2, DATE(Initialisatie!$C$5,1,1)) + 1),
        IFERROR(VALUE($I147),0) * MAX(0, MIN($I$1, DATE(Initialisatie!$C$5,12,31)) - MAX($I$2, DATE(Initialisatie!$C$5,1,1)) + 1)
    ) / (DATE(Initialisatie!$C$5,12,31) - DATE(Initialisatie!$C$5,1,1) + 1)
)</f>
        <v>7140.34</v>
      </c>
      <c r="L147">
        <f>IF(
    OR(
        AND(MAX(0, IF(MIN($E$1, DATE(Initialisatie!$C$5,12,31)) &lt; MAX($E$2, DATE(Initialisatie!$C$5,1,1)), 0, MONTH(MIN($E$1, DATE(Initialisatie!$C$5,12,31))) - MONTH(MAX($E$2, DATE(Initialisatie!$C$5,1,1))) + 1)) &lt;= 0, IFERROR(VALUE($E147),0)=0),
        AND(MAX(0, IF(MIN($F$1, DATE(Initialisatie!$C$5,12,31)) &lt; MAX($F$2, DATE(Initialisatie!$C$5,1,1)), 0, MONTH(MIN($F$1, DATE(Initialisatie!$C$5,12,31))) - MONTH(MAX($F$2, DATE(Initialisatie!$C$5,1,1))) + 1)) &lt;= 0, IFERROR(VALUE($F147),0)=0),
        AND(MAX(0, IF(MIN($G$1, DATE(Initialisatie!$C$5,12,31)) &lt; MAX($G$2, DATE(Initialisatie!$C$5,1,1)), 0, MONTH(MIN($G$1, DATE(Initialisatie!$C$5,12,31))) - MONTH(MAX($G$2, DATE(Initialisatie!$C$5,1,1))) + 1)) &lt;= 0, IFERROR(VALUE($G147),0)=0),
        AND(MAX(0, IF(MIN($H$1, DATE(Initialisatie!$C$5,12,31)) &lt; MAX($H$2, DATE(Initialisatie!$C$5,1,1)), 0, MONTH(MIN($H$1, DATE(Initialisatie!$C$5,12,31))) - MONTH(MAX($H$2, DATE(Initialisatie!$C$5,1,1))) + 1)) &lt;= 0, IFERROR(VALUE($H147),0)=0),
        AND(MAX(0, IF(MIN($I$1, DATE(Initialisatie!$C$5,12,31)) &lt; MAX($I$2, DATE(Initialisatie!$C$5,1,1)), 0, MONTH(MIN($I$1, DATE(Initialisatie!$C$5,12,31))) - MONTH(MAX($I$2, DATE(Initialisatie!$C$5,1,1))) + 1)) &lt;= 0, IFERROR(VALUE($I147),0)=0)
    ),
    0,
    SUM(
        IFERROR(VALUE($E147),0) * MAX(0, IF(MIN($E$1, DATE(Initialisatie!$C$5,12,31)) &lt; MAX($E$2, DATE(Initialisatie!$C$5,1,1)), 0, MONTH(MIN($E$1, DATE(Initialisatie!$C$5,12,31))) - MONTH(MAX($E$2, DATE(Initialisatie!$C$5,1,1))) + 1)),
        IFERROR(VALUE($F147),0) * MAX(0, IF(MIN($F$1, DATE(Initialisatie!$C$5,12,31)) &lt; MAX($F$2, DATE(Initialisatie!$C$5,1,1)), 0, MONTH(MIN($F$1, DATE(Initialisatie!$C$5,12,31))) - MONTH(MAX($F$2, DATE(Initialisatie!$C$5,1,1))) + 1)),
        IFERROR(VALUE($G147),0) * MAX(0, IF(MIN($G$1, DATE(Initialisatie!$C$5,12,31)) &lt; MAX($G$2, DATE(Initialisatie!$C$5,1,1)), 0, MONTH(MIN($G$1, DATE(Initialisatie!$C$5,12,31))) - MONTH(MAX($G$2, DATE(Initialisatie!$C$5,1,1))) + 1)),
        IFERROR(VALUE($H147),0) * MAX(0, IF(MIN($H$1, DATE(Initialisatie!$C$5,12,31)) &lt; MAX($H$2, DATE(Initialisatie!$C$5,1,1)), 0, MONTH(MIN($H$1, DATE(Initialisatie!$C$5,12,31))) - MONTH(MAX($H$2, DATE(Initialisatie!$C$5,1,1))) + 1)),
        IFERROR(VALUE($I147),0) * MAX(0, IF(MIN($I$1, DATE(Initialisatie!$C$5,12,31)) &lt; MAX($I$2, DATE(Initialisatie!$C$5,1,1)), 0, MONTH(MIN($I$1, DATE(Initialisatie!$C$5,12,31))) - MONTH(MAX($I$2, DATE(Initialisatie!$C$5,1,1))) + 1))
    ) / 12
)</f>
        <v>7140.34</v>
      </c>
    </row>
    <row r="148" spans="1:12" x14ac:dyDescent="0.45">
      <c r="A148" s="989"/>
      <c r="B148" s="35" t="s">
        <v>531</v>
      </c>
      <c r="C148" s="35">
        <v>14</v>
      </c>
      <c r="D148" s="35" t="s">
        <v>147</v>
      </c>
      <c r="E148">
        <v>6797.49</v>
      </c>
      <c r="F148">
        <v>6882.45</v>
      </c>
      <c r="G148">
        <v>7130.22</v>
      </c>
      <c r="H148">
        <v>7394.04</v>
      </c>
      <c r="I148">
        <v>7645.44</v>
      </c>
      <c r="K148">
        <f>IF(
    OR(
        AND(MAX(0, MIN($E$1, DATE(Initialisatie!$C$5,12,31)) - MAX($E$2, DATE(Initialisatie!$C$5,1,1)) + 1) &gt; 0,IFERROR(VALUE($E148),0)=0),
        AND(MAX(0, MIN($F$1, DATE(Initialisatie!$C$5,12,31)) - MAX($F$2, DATE(Initialisatie!$C$5,1,1)) + 1) &gt; 0,IFERROR(VALUE($F148),0)=0),
        AND(MAX(0, MIN($G$1, DATE(Initialisatie!$C$5,12,31)) - MAX($G$2, DATE(Initialisatie!$C$5,1,1)) + 1) &gt; 0,IFERROR(VALUE($G148),0)=0),
        AND(MAX(0, MIN($H$1, DATE(Initialisatie!$C$5,12,31)) - MAX($H$2, DATE(Initialisatie!$C$5,1,1)) + 1) &gt; 0,IFERROR(VALUE($H148),0)=0),
        AND(MAX(0, MIN($I$1, DATE(Initialisatie!$C$5,12,31)) - MAX($I$2, DATE(Initialisatie!$C$5,1,1)) + 1) &gt; 0,IFERROR(VALUE($I148),0)=0)
    ),
    0,
    SUM(
        IFERROR(VALUE($E148),0) * MAX(0, MIN($E$1, DATE(Initialisatie!$C$5,12,31)) - MAX($E$2, DATE(Initialisatie!$C$5,1,1)) + 1),
        IFERROR(VALUE($F148),0) * MAX(0, MIN($F$1, DATE(Initialisatie!$C$5,12,31)) - MAX($F$2, DATE(Initialisatie!$C$5,1,1)) + 1),
        IFERROR(VALUE($G148),0) * MAX(0, MIN($G$1, DATE(Initialisatie!$C$5,12,31)) - MAX($G$2, DATE(Initialisatie!$C$5,1,1)) + 1),
        IFERROR(VALUE($H148),0) * MAX(0, MIN($H$1, DATE(Initialisatie!$C$5,12,31)) - MAX($H$2, DATE(Initialisatie!$C$5,1,1)) + 1),
        IFERROR(VALUE($I148),0) * MAX(0, MIN($I$1, DATE(Initialisatie!$C$5,12,31)) - MAX($I$2, DATE(Initialisatie!$C$5,1,1)) + 1)
    ) / (DATE(Initialisatie!$C$5,12,31) - DATE(Initialisatie!$C$5,1,1) + 1)
)</f>
        <v>7394.04</v>
      </c>
      <c r="L148">
        <f>IF(
    OR(
        AND(MAX(0, IF(MIN($E$1, DATE(Initialisatie!$C$5,12,31)) &lt; MAX($E$2, DATE(Initialisatie!$C$5,1,1)), 0, MONTH(MIN($E$1, DATE(Initialisatie!$C$5,12,31))) - MONTH(MAX($E$2, DATE(Initialisatie!$C$5,1,1))) + 1)) &lt;= 0, IFERROR(VALUE($E148),0)=0),
        AND(MAX(0, IF(MIN($F$1, DATE(Initialisatie!$C$5,12,31)) &lt; MAX($F$2, DATE(Initialisatie!$C$5,1,1)), 0, MONTH(MIN($F$1, DATE(Initialisatie!$C$5,12,31))) - MONTH(MAX($F$2, DATE(Initialisatie!$C$5,1,1))) + 1)) &lt;= 0, IFERROR(VALUE($F148),0)=0),
        AND(MAX(0, IF(MIN($G$1, DATE(Initialisatie!$C$5,12,31)) &lt; MAX($G$2, DATE(Initialisatie!$C$5,1,1)), 0, MONTH(MIN($G$1, DATE(Initialisatie!$C$5,12,31))) - MONTH(MAX($G$2, DATE(Initialisatie!$C$5,1,1))) + 1)) &lt;= 0, IFERROR(VALUE($G148),0)=0),
        AND(MAX(0, IF(MIN($H$1, DATE(Initialisatie!$C$5,12,31)) &lt; MAX($H$2, DATE(Initialisatie!$C$5,1,1)), 0, MONTH(MIN($H$1, DATE(Initialisatie!$C$5,12,31))) - MONTH(MAX($H$2, DATE(Initialisatie!$C$5,1,1))) + 1)) &lt;= 0, IFERROR(VALUE($H148),0)=0),
        AND(MAX(0, IF(MIN($I$1, DATE(Initialisatie!$C$5,12,31)) &lt; MAX($I$2, DATE(Initialisatie!$C$5,1,1)), 0, MONTH(MIN($I$1, DATE(Initialisatie!$C$5,12,31))) - MONTH(MAX($I$2, DATE(Initialisatie!$C$5,1,1))) + 1)) &lt;= 0, IFERROR(VALUE($I148),0)=0)
    ),
    0,
    SUM(
        IFERROR(VALUE($E148),0) * MAX(0, IF(MIN($E$1, DATE(Initialisatie!$C$5,12,31)) &lt; MAX($E$2, DATE(Initialisatie!$C$5,1,1)), 0, MONTH(MIN($E$1, DATE(Initialisatie!$C$5,12,31))) - MONTH(MAX($E$2, DATE(Initialisatie!$C$5,1,1))) + 1)),
        IFERROR(VALUE($F148),0) * MAX(0, IF(MIN($F$1, DATE(Initialisatie!$C$5,12,31)) &lt; MAX($F$2, DATE(Initialisatie!$C$5,1,1)), 0, MONTH(MIN($F$1, DATE(Initialisatie!$C$5,12,31))) - MONTH(MAX($F$2, DATE(Initialisatie!$C$5,1,1))) + 1)),
        IFERROR(VALUE($G148),0) * MAX(0, IF(MIN($G$1, DATE(Initialisatie!$C$5,12,31)) &lt; MAX($G$2, DATE(Initialisatie!$C$5,1,1)), 0, MONTH(MIN($G$1, DATE(Initialisatie!$C$5,12,31))) - MONTH(MAX($G$2, DATE(Initialisatie!$C$5,1,1))) + 1)),
        IFERROR(VALUE($H148),0) * MAX(0, IF(MIN($H$1, DATE(Initialisatie!$C$5,12,31)) &lt; MAX($H$2, DATE(Initialisatie!$C$5,1,1)), 0, MONTH(MIN($H$1, DATE(Initialisatie!$C$5,12,31))) - MONTH(MAX($H$2, DATE(Initialisatie!$C$5,1,1))) + 1)),
        IFERROR(VALUE($I148),0) * MAX(0, IF(MIN($I$1, DATE(Initialisatie!$C$5,12,31)) &lt; MAX($I$2, DATE(Initialisatie!$C$5,1,1)), 0, MONTH(MIN($I$1, DATE(Initialisatie!$C$5,12,31))) - MONTH(MAX($I$2, DATE(Initialisatie!$C$5,1,1))) + 1))
    ) / 12
)</f>
        <v>7394.04</v>
      </c>
    </row>
    <row r="149" spans="1:12" x14ac:dyDescent="0.45">
      <c r="A149" s="990"/>
      <c r="B149" s="35" t="s">
        <v>533</v>
      </c>
      <c r="C149" s="35">
        <v>15</v>
      </c>
      <c r="D149" s="35" t="s">
        <v>146</v>
      </c>
      <c r="E149">
        <v>7038.68</v>
      </c>
      <c r="F149">
        <v>7126.66</v>
      </c>
      <c r="G149">
        <v>7383.22</v>
      </c>
      <c r="H149">
        <v>7656.4</v>
      </c>
      <c r="I149">
        <v>7916.72</v>
      </c>
      <c r="K149">
        <f>IF(
    OR(
        AND(MAX(0, MIN($E$1, DATE(Initialisatie!$C$5,12,31)) - MAX($E$2, DATE(Initialisatie!$C$5,1,1)) + 1) &gt; 0,IFERROR(VALUE($E149),0)=0),
        AND(MAX(0, MIN($F$1, DATE(Initialisatie!$C$5,12,31)) - MAX($F$2, DATE(Initialisatie!$C$5,1,1)) + 1) &gt; 0,IFERROR(VALUE($F149),0)=0),
        AND(MAX(0, MIN($G$1, DATE(Initialisatie!$C$5,12,31)) - MAX($G$2, DATE(Initialisatie!$C$5,1,1)) + 1) &gt; 0,IFERROR(VALUE($G149),0)=0),
        AND(MAX(0, MIN($H$1, DATE(Initialisatie!$C$5,12,31)) - MAX($H$2, DATE(Initialisatie!$C$5,1,1)) + 1) &gt; 0,IFERROR(VALUE($H149),0)=0),
        AND(MAX(0, MIN($I$1, DATE(Initialisatie!$C$5,12,31)) - MAX($I$2, DATE(Initialisatie!$C$5,1,1)) + 1) &gt; 0,IFERROR(VALUE($I149),0)=0)
    ),
    0,
    SUM(
        IFERROR(VALUE($E149),0) * MAX(0, MIN($E$1, DATE(Initialisatie!$C$5,12,31)) - MAX($E$2, DATE(Initialisatie!$C$5,1,1)) + 1),
        IFERROR(VALUE($F149),0) * MAX(0, MIN($F$1, DATE(Initialisatie!$C$5,12,31)) - MAX($F$2, DATE(Initialisatie!$C$5,1,1)) + 1),
        IFERROR(VALUE($G149),0) * MAX(0, MIN($G$1, DATE(Initialisatie!$C$5,12,31)) - MAX($G$2, DATE(Initialisatie!$C$5,1,1)) + 1),
        IFERROR(VALUE($H149),0) * MAX(0, MIN($H$1, DATE(Initialisatie!$C$5,12,31)) - MAX($H$2, DATE(Initialisatie!$C$5,1,1)) + 1),
        IFERROR(VALUE($I149),0) * MAX(0, MIN($I$1, DATE(Initialisatie!$C$5,12,31)) - MAX($I$2, DATE(Initialisatie!$C$5,1,1)) + 1)
    ) / (DATE(Initialisatie!$C$5,12,31) - DATE(Initialisatie!$C$5,1,1) + 1)
)</f>
        <v>7656.4</v>
      </c>
      <c r="L149">
        <f>IF(
    OR(
        AND(MAX(0, IF(MIN($E$1, DATE(Initialisatie!$C$5,12,31)) &lt; MAX($E$2, DATE(Initialisatie!$C$5,1,1)), 0, MONTH(MIN($E$1, DATE(Initialisatie!$C$5,12,31))) - MONTH(MAX($E$2, DATE(Initialisatie!$C$5,1,1))) + 1)) &lt;= 0, IFERROR(VALUE($E149),0)=0),
        AND(MAX(0, IF(MIN($F$1, DATE(Initialisatie!$C$5,12,31)) &lt; MAX($F$2, DATE(Initialisatie!$C$5,1,1)), 0, MONTH(MIN($F$1, DATE(Initialisatie!$C$5,12,31))) - MONTH(MAX($F$2, DATE(Initialisatie!$C$5,1,1))) + 1)) &lt;= 0, IFERROR(VALUE($F149),0)=0),
        AND(MAX(0, IF(MIN($G$1, DATE(Initialisatie!$C$5,12,31)) &lt; MAX($G$2, DATE(Initialisatie!$C$5,1,1)), 0, MONTH(MIN($G$1, DATE(Initialisatie!$C$5,12,31))) - MONTH(MAX($G$2, DATE(Initialisatie!$C$5,1,1))) + 1)) &lt;= 0, IFERROR(VALUE($G149),0)=0),
        AND(MAX(0, IF(MIN($H$1, DATE(Initialisatie!$C$5,12,31)) &lt; MAX($H$2, DATE(Initialisatie!$C$5,1,1)), 0, MONTH(MIN($H$1, DATE(Initialisatie!$C$5,12,31))) - MONTH(MAX($H$2, DATE(Initialisatie!$C$5,1,1))) + 1)) &lt;= 0, IFERROR(VALUE($H149),0)=0),
        AND(MAX(0, IF(MIN($I$1, DATE(Initialisatie!$C$5,12,31)) &lt; MAX($I$2, DATE(Initialisatie!$C$5,1,1)), 0, MONTH(MIN($I$1, DATE(Initialisatie!$C$5,12,31))) - MONTH(MAX($I$2, DATE(Initialisatie!$C$5,1,1))) + 1)) &lt;= 0, IFERROR(VALUE($I149),0)=0)
    ),
    0,
    SUM(
        IFERROR(VALUE($E149),0) * MAX(0, IF(MIN($E$1, DATE(Initialisatie!$C$5,12,31)) &lt; MAX($E$2, DATE(Initialisatie!$C$5,1,1)), 0, MONTH(MIN($E$1, DATE(Initialisatie!$C$5,12,31))) - MONTH(MAX($E$2, DATE(Initialisatie!$C$5,1,1))) + 1)),
        IFERROR(VALUE($F149),0) * MAX(0, IF(MIN($F$1, DATE(Initialisatie!$C$5,12,31)) &lt; MAX($F$2, DATE(Initialisatie!$C$5,1,1)), 0, MONTH(MIN($F$1, DATE(Initialisatie!$C$5,12,31))) - MONTH(MAX($F$2, DATE(Initialisatie!$C$5,1,1))) + 1)),
        IFERROR(VALUE($G149),0) * MAX(0, IF(MIN($G$1, DATE(Initialisatie!$C$5,12,31)) &lt; MAX($G$2, DATE(Initialisatie!$C$5,1,1)), 0, MONTH(MIN($G$1, DATE(Initialisatie!$C$5,12,31))) - MONTH(MAX($G$2, DATE(Initialisatie!$C$5,1,1))) + 1)),
        IFERROR(VALUE($H149),0) * MAX(0, IF(MIN($H$1, DATE(Initialisatie!$C$5,12,31)) &lt; MAX($H$2, DATE(Initialisatie!$C$5,1,1)), 0, MONTH(MIN($H$1, DATE(Initialisatie!$C$5,12,31))) - MONTH(MAX($H$2, DATE(Initialisatie!$C$5,1,1))) + 1)),
        IFERROR(VALUE($I149),0) * MAX(0, IF(MIN($I$1, DATE(Initialisatie!$C$5,12,31)) &lt; MAX($I$2, DATE(Initialisatie!$C$5,1,1)), 0, MONTH(MIN($I$1, DATE(Initialisatie!$C$5,12,31))) - MONTH(MAX($I$2, DATE(Initialisatie!$C$5,1,1))) + 1))
    ) / 12
)</f>
        <v>7656.3999999999987</v>
      </c>
    </row>
    <row r="150" spans="1:12" x14ac:dyDescent="0.45">
      <c r="A150" s="988">
        <v>13</v>
      </c>
      <c r="B150" s="35" t="s">
        <v>113</v>
      </c>
      <c r="C150" s="35">
        <v>0</v>
      </c>
      <c r="D150" s="35" t="s">
        <v>145</v>
      </c>
      <c r="E150">
        <v>4755.18</v>
      </c>
      <c r="F150">
        <v>4814.62</v>
      </c>
      <c r="G150">
        <v>4987.95</v>
      </c>
      <c r="H150">
        <v>5172.51</v>
      </c>
      <c r="I150">
        <v>5348.37</v>
      </c>
      <c r="K150">
        <f>IF(
    OR(
        AND(MAX(0, MIN($E$1, DATE(Initialisatie!$C$5,12,31)) - MAX($E$2, DATE(Initialisatie!$C$5,1,1)) + 1) &gt; 0,IFERROR(VALUE($E150),0)=0),
        AND(MAX(0, MIN($F$1, DATE(Initialisatie!$C$5,12,31)) - MAX($F$2, DATE(Initialisatie!$C$5,1,1)) + 1) &gt; 0,IFERROR(VALUE($F150),0)=0),
        AND(MAX(0, MIN($G$1, DATE(Initialisatie!$C$5,12,31)) - MAX($G$2, DATE(Initialisatie!$C$5,1,1)) + 1) &gt; 0,IFERROR(VALUE($G150),0)=0),
        AND(MAX(0, MIN($H$1, DATE(Initialisatie!$C$5,12,31)) - MAX($H$2, DATE(Initialisatie!$C$5,1,1)) + 1) &gt; 0,IFERROR(VALUE($H150),0)=0),
        AND(MAX(0, MIN($I$1, DATE(Initialisatie!$C$5,12,31)) - MAX($I$2, DATE(Initialisatie!$C$5,1,1)) + 1) &gt; 0,IFERROR(VALUE($I150),0)=0)
    ),
    0,
    SUM(
        IFERROR(VALUE($E150),0) * MAX(0, MIN($E$1, DATE(Initialisatie!$C$5,12,31)) - MAX($E$2, DATE(Initialisatie!$C$5,1,1)) + 1),
        IFERROR(VALUE($F150),0) * MAX(0, MIN($F$1, DATE(Initialisatie!$C$5,12,31)) - MAX($F$2, DATE(Initialisatie!$C$5,1,1)) + 1),
        IFERROR(VALUE($G150),0) * MAX(0, MIN($G$1, DATE(Initialisatie!$C$5,12,31)) - MAX($G$2, DATE(Initialisatie!$C$5,1,1)) + 1),
        IFERROR(VALUE($H150),0) * MAX(0, MIN($H$1, DATE(Initialisatie!$C$5,12,31)) - MAX($H$2, DATE(Initialisatie!$C$5,1,1)) + 1),
        IFERROR(VALUE($I150),0) * MAX(0, MIN($I$1, DATE(Initialisatie!$C$5,12,31)) - MAX($I$2, DATE(Initialisatie!$C$5,1,1)) + 1)
    ) / (DATE(Initialisatie!$C$5,12,31) - DATE(Initialisatie!$C$5,1,1) + 1)
)</f>
        <v>5172.51</v>
      </c>
      <c r="L150">
        <f>IF(
    OR(
        AND(MAX(0, IF(MIN($E$1, DATE(Initialisatie!$C$5,12,31)) &lt; MAX($E$2, DATE(Initialisatie!$C$5,1,1)), 0, MONTH(MIN($E$1, DATE(Initialisatie!$C$5,12,31))) - MONTH(MAX($E$2, DATE(Initialisatie!$C$5,1,1))) + 1)) &lt;= 0, IFERROR(VALUE($E150),0)=0),
        AND(MAX(0, IF(MIN($F$1, DATE(Initialisatie!$C$5,12,31)) &lt; MAX($F$2, DATE(Initialisatie!$C$5,1,1)), 0, MONTH(MIN($F$1, DATE(Initialisatie!$C$5,12,31))) - MONTH(MAX($F$2, DATE(Initialisatie!$C$5,1,1))) + 1)) &lt;= 0, IFERROR(VALUE($F150),0)=0),
        AND(MAX(0, IF(MIN($G$1, DATE(Initialisatie!$C$5,12,31)) &lt; MAX($G$2, DATE(Initialisatie!$C$5,1,1)), 0, MONTH(MIN($G$1, DATE(Initialisatie!$C$5,12,31))) - MONTH(MAX($G$2, DATE(Initialisatie!$C$5,1,1))) + 1)) &lt;= 0, IFERROR(VALUE($G150),0)=0),
        AND(MAX(0, IF(MIN($H$1, DATE(Initialisatie!$C$5,12,31)) &lt; MAX($H$2, DATE(Initialisatie!$C$5,1,1)), 0, MONTH(MIN($H$1, DATE(Initialisatie!$C$5,12,31))) - MONTH(MAX($H$2, DATE(Initialisatie!$C$5,1,1))) + 1)) &lt;= 0, IFERROR(VALUE($H150),0)=0),
        AND(MAX(0, IF(MIN($I$1, DATE(Initialisatie!$C$5,12,31)) &lt; MAX($I$2, DATE(Initialisatie!$C$5,1,1)), 0, MONTH(MIN($I$1, DATE(Initialisatie!$C$5,12,31))) - MONTH(MAX($I$2, DATE(Initialisatie!$C$5,1,1))) + 1)) &lt;= 0, IFERROR(VALUE($I150),0)=0)
    ),
    0,
    SUM(
        IFERROR(VALUE($E150),0) * MAX(0, IF(MIN($E$1, DATE(Initialisatie!$C$5,12,31)) &lt; MAX($E$2, DATE(Initialisatie!$C$5,1,1)), 0, MONTH(MIN($E$1, DATE(Initialisatie!$C$5,12,31))) - MONTH(MAX($E$2, DATE(Initialisatie!$C$5,1,1))) + 1)),
        IFERROR(VALUE($F150),0) * MAX(0, IF(MIN($F$1, DATE(Initialisatie!$C$5,12,31)) &lt; MAX($F$2, DATE(Initialisatie!$C$5,1,1)), 0, MONTH(MIN($F$1, DATE(Initialisatie!$C$5,12,31))) - MONTH(MAX($F$2, DATE(Initialisatie!$C$5,1,1))) + 1)),
        IFERROR(VALUE($G150),0) * MAX(0, IF(MIN($G$1, DATE(Initialisatie!$C$5,12,31)) &lt; MAX($G$2, DATE(Initialisatie!$C$5,1,1)), 0, MONTH(MIN($G$1, DATE(Initialisatie!$C$5,12,31))) - MONTH(MAX($G$2, DATE(Initialisatie!$C$5,1,1))) + 1)),
        IFERROR(VALUE($H150),0) * MAX(0, IF(MIN($H$1, DATE(Initialisatie!$C$5,12,31)) &lt; MAX($H$2, DATE(Initialisatie!$C$5,1,1)), 0, MONTH(MIN($H$1, DATE(Initialisatie!$C$5,12,31))) - MONTH(MAX($H$2, DATE(Initialisatie!$C$5,1,1))) + 1)),
        IFERROR(VALUE($I150),0) * MAX(0, IF(MIN($I$1, DATE(Initialisatie!$C$5,12,31)) &lt; MAX($I$2, DATE(Initialisatie!$C$5,1,1)), 0, MONTH(MIN($I$1, DATE(Initialisatie!$C$5,12,31))) - MONTH(MAX($I$2, DATE(Initialisatie!$C$5,1,1))) + 1))
    ) / 12
)</f>
        <v>5172.51</v>
      </c>
    </row>
    <row r="151" spans="1:12" x14ac:dyDescent="0.45">
      <c r="A151" s="989"/>
      <c r="B151" s="35" t="s">
        <v>111</v>
      </c>
      <c r="C151" s="35">
        <v>1</v>
      </c>
      <c r="D151" s="35" t="s">
        <v>144</v>
      </c>
      <c r="E151">
        <v>4926.66</v>
      </c>
      <c r="F151">
        <v>4988.24</v>
      </c>
      <c r="G151">
        <v>5167.82</v>
      </c>
      <c r="H151">
        <v>5359.03</v>
      </c>
      <c r="I151">
        <v>5541.24</v>
      </c>
      <c r="K151">
        <f>IF(
    OR(
        AND(MAX(0, MIN($E$1, DATE(Initialisatie!$C$5,12,31)) - MAX($E$2, DATE(Initialisatie!$C$5,1,1)) + 1) &gt; 0,IFERROR(VALUE($E151),0)=0),
        AND(MAX(0, MIN($F$1, DATE(Initialisatie!$C$5,12,31)) - MAX($F$2, DATE(Initialisatie!$C$5,1,1)) + 1) &gt; 0,IFERROR(VALUE($F151),0)=0),
        AND(MAX(0, MIN($G$1, DATE(Initialisatie!$C$5,12,31)) - MAX($G$2, DATE(Initialisatie!$C$5,1,1)) + 1) &gt; 0,IFERROR(VALUE($G151),0)=0),
        AND(MAX(0, MIN($H$1, DATE(Initialisatie!$C$5,12,31)) - MAX($H$2, DATE(Initialisatie!$C$5,1,1)) + 1) &gt; 0,IFERROR(VALUE($H151),0)=0),
        AND(MAX(0, MIN($I$1, DATE(Initialisatie!$C$5,12,31)) - MAX($I$2, DATE(Initialisatie!$C$5,1,1)) + 1) &gt; 0,IFERROR(VALUE($I151),0)=0)
    ),
    0,
    SUM(
        IFERROR(VALUE($E151),0) * MAX(0, MIN($E$1, DATE(Initialisatie!$C$5,12,31)) - MAX($E$2, DATE(Initialisatie!$C$5,1,1)) + 1),
        IFERROR(VALUE($F151),0) * MAX(0, MIN($F$1, DATE(Initialisatie!$C$5,12,31)) - MAX($F$2, DATE(Initialisatie!$C$5,1,1)) + 1),
        IFERROR(VALUE($G151),0) * MAX(0, MIN($G$1, DATE(Initialisatie!$C$5,12,31)) - MAX($G$2, DATE(Initialisatie!$C$5,1,1)) + 1),
        IFERROR(VALUE($H151),0) * MAX(0, MIN($H$1, DATE(Initialisatie!$C$5,12,31)) - MAX($H$2, DATE(Initialisatie!$C$5,1,1)) + 1),
        IFERROR(VALUE($I151),0) * MAX(0, MIN($I$1, DATE(Initialisatie!$C$5,12,31)) - MAX($I$2, DATE(Initialisatie!$C$5,1,1)) + 1)
    ) / (DATE(Initialisatie!$C$5,12,31) - DATE(Initialisatie!$C$5,1,1) + 1)
)</f>
        <v>5359.03</v>
      </c>
      <c r="L151">
        <f>IF(
    OR(
        AND(MAX(0, IF(MIN($E$1, DATE(Initialisatie!$C$5,12,31)) &lt; MAX($E$2, DATE(Initialisatie!$C$5,1,1)), 0, MONTH(MIN($E$1, DATE(Initialisatie!$C$5,12,31))) - MONTH(MAX($E$2, DATE(Initialisatie!$C$5,1,1))) + 1)) &lt;= 0, IFERROR(VALUE($E151),0)=0),
        AND(MAX(0, IF(MIN($F$1, DATE(Initialisatie!$C$5,12,31)) &lt; MAX($F$2, DATE(Initialisatie!$C$5,1,1)), 0, MONTH(MIN($F$1, DATE(Initialisatie!$C$5,12,31))) - MONTH(MAX($F$2, DATE(Initialisatie!$C$5,1,1))) + 1)) &lt;= 0, IFERROR(VALUE($F151),0)=0),
        AND(MAX(0, IF(MIN($G$1, DATE(Initialisatie!$C$5,12,31)) &lt; MAX($G$2, DATE(Initialisatie!$C$5,1,1)), 0, MONTH(MIN($G$1, DATE(Initialisatie!$C$5,12,31))) - MONTH(MAX($G$2, DATE(Initialisatie!$C$5,1,1))) + 1)) &lt;= 0, IFERROR(VALUE($G151),0)=0),
        AND(MAX(0, IF(MIN($H$1, DATE(Initialisatie!$C$5,12,31)) &lt; MAX($H$2, DATE(Initialisatie!$C$5,1,1)), 0, MONTH(MIN($H$1, DATE(Initialisatie!$C$5,12,31))) - MONTH(MAX($H$2, DATE(Initialisatie!$C$5,1,1))) + 1)) &lt;= 0, IFERROR(VALUE($H151),0)=0),
        AND(MAX(0, IF(MIN($I$1, DATE(Initialisatie!$C$5,12,31)) &lt; MAX($I$2, DATE(Initialisatie!$C$5,1,1)), 0, MONTH(MIN($I$1, DATE(Initialisatie!$C$5,12,31))) - MONTH(MAX($I$2, DATE(Initialisatie!$C$5,1,1))) + 1)) &lt;= 0, IFERROR(VALUE($I151),0)=0)
    ),
    0,
    SUM(
        IFERROR(VALUE($E151),0) * MAX(0, IF(MIN($E$1, DATE(Initialisatie!$C$5,12,31)) &lt; MAX($E$2, DATE(Initialisatie!$C$5,1,1)), 0, MONTH(MIN($E$1, DATE(Initialisatie!$C$5,12,31))) - MONTH(MAX($E$2, DATE(Initialisatie!$C$5,1,1))) + 1)),
        IFERROR(VALUE($F151),0) * MAX(0, IF(MIN($F$1, DATE(Initialisatie!$C$5,12,31)) &lt; MAX($F$2, DATE(Initialisatie!$C$5,1,1)), 0, MONTH(MIN($F$1, DATE(Initialisatie!$C$5,12,31))) - MONTH(MAX($F$2, DATE(Initialisatie!$C$5,1,1))) + 1)),
        IFERROR(VALUE($G151),0) * MAX(0, IF(MIN($G$1, DATE(Initialisatie!$C$5,12,31)) &lt; MAX($G$2, DATE(Initialisatie!$C$5,1,1)), 0, MONTH(MIN($G$1, DATE(Initialisatie!$C$5,12,31))) - MONTH(MAX($G$2, DATE(Initialisatie!$C$5,1,1))) + 1)),
        IFERROR(VALUE($H151),0) * MAX(0, IF(MIN($H$1, DATE(Initialisatie!$C$5,12,31)) &lt; MAX($H$2, DATE(Initialisatie!$C$5,1,1)), 0, MONTH(MIN($H$1, DATE(Initialisatie!$C$5,12,31))) - MONTH(MAX($H$2, DATE(Initialisatie!$C$5,1,1))) + 1)),
        IFERROR(VALUE($I151),0) * MAX(0, IF(MIN($I$1, DATE(Initialisatie!$C$5,12,31)) &lt; MAX($I$2, DATE(Initialisatie!$C$5,1,1)), 0, MONTH(MIN($I$1, DATE(Initialisatie!$C$5,12,31))) - MONTH(MAX($I$2, DATE(Initialisatie!$C$5,1,1))) + 1))
    ) / 12
)</f>
        <v>5359.03</v>
      </c>
    </row>
    <row r="152" spans="1:12" x14ac:dyDescent="0.45">
      <c r="A152" s="989"/>
      <c r="B152" s="35" t="s">
        <v>101</v>
      </c>
      <c r="C152" s="35">
        <v>2</v>
      </c>
      <c r="D152" s="35" t="s">
        <v>139</v>
      </c>
      <c r="E152">
        <v>5103.9399999999996</v>
      </c>
      <c r="F152">
        <v>5167.74</v>
      </c>
      <c r="G152">
        <v>5353.78</v>
      </c>
      <c r="H152">
        <v>5551.87</v>
      </c>
      <c r="I152">
        <v>5740.63</v>
      </c>
      <c r="K152">
        <f>IF(
    OR(
        AND(MAX(0, MIN($E$1, DATE(Initialisatie!$C$5,12,31)) - MAX($E$2, DATE(Initialisatie!$C$5,1,1)) + 1) &gt; 0,IFERROR(VALUE($E152),0)=0),
        AND(MAX(0, MIN($F$1, DATE(Initialisatie!$C$5,12,31)) - MAX($F$2, DATE(Initialisatie!$C$5,1,1)) + 1) &gt; 0,IFERROR(VALUE($F152),0)=0),
        AND(MAX(0, MIN($G$1, DATE(Initialisatie!$C$5,12,31)) - MAX($G$2, DATE(Initialisatie!$C$5,1,1)) + 1) &gt; 0,IFERROR(VALUE($G152),0)=0),
        AND(MAX(0, MIN($H$1, DATE(Initialisatie!$C$5,12,31)) - MAX($H$2, DATE(Initialisatie!$C$5,1,1)) + 1) &gt; 0,IFERROR(VALUE($H152),0)=0),
        AND(MAX(0, MIN($I$1, DATE(Initialisatie!$C$5,12,31)) - MAX($I$2, DATE(Initialisatie!$C$5,1,1)) + 1) &gt; 0,IFERROR(VALUE($I152),0)=0)
    ),
    0,
    SUM(
        IFERROR(VALUE($E152),0) * MAX(0, MIN($E$1, DATE(Initialisatie!$C$5,12,31)) - MAX($E$2, DATE(Initialisatie!$C$5,1,1)) + 1),
        IFERROR(VALUE($F152),0) * MAX(0, MIN($F$1, DATE(Initialisatie!$C$5,12,31)) - MAX($F$2, DATE(Initialisatie!$C$5,1,1)) + 1),
        IFERROR(VALUE($G152),0) * MAX(0, MIN($G$1, DATE(Initialisatie!$C$5,12,31)) - MAX($G$2, DATE(Initialisatie!$C$5,1,1)) + 1),
        IFERROR(VALUE($H152),0) * MAX(0, MIN($H$1, DATE(Initialisatie!$C$5,12,31)) - MAX($H$2, DATE(Initialisatie!$C$5,1,1)) + 1),
        IFERROR(VALUE($I152),0) * MAX(0, MIN($I$1, DATE(Initialisatie!$C$5,12,31)) - MAX($I$2, DATE(Initialisatie!$C$5,1,1)) + 1)
    ) / (DATE(Initialisatie!$C$5,12,31) - DATE(Initialisatie!$C$5,1,1) + 1)
)</f>
        <v>5551.87</v>
      </c>
      <c r="L152">
        <f>IF(
    OR(
        AND(MAX(0, IF(MIN($E$1, DATE(Initialisatie!$C$5,12,31)) &lt; MAX($E$2, DATE(Initialisatie!$C$5,1,1)), 0, MONTH(MIN($E$1, DATE(Initialisatie!$C$5,12,31))) - MONTH(MAX($E$2, DATE(Initialisatie!$C$5,1,1))) + 1)) &lt;= 0, IFERROR(VALUE($E152),0)=0),
        AND(MAX(0, IF(MIN($F$1, DATE(Initialisatie!$C$5,12,31)) &lt; MAX($F$2, DATE(Initialisatie!$C$5,1,1)), 0, MONTH(MIN($F$1, DATE(Initialisatie!$C$5,12,31))) - MONTH(MAX($F$2, DATE(Initialisatie!$C$5,1,1))) + 1)) &lt;= 0, IFERROR(VALUE($F152),0)=0),
        AND(MAX(0, IF(MIN($G$1, DATE(Initialisatie!$C$5,12,31)) &lt; MAX($G$2, DATE(Initialisatie!$C$5,1,1)), 0, MONTH(MIN($G$1, DATE(Initialisatie!$C$5,12,31))) - MONTH(MAX($G$2, DATE(Initialisatie!$C$5,1,1))) + 1)) &lt;= 0, IFERROR(VALUE($G152),0)=0),
        AND(MAX(0, IF(MIN($H$1, DATE(Initialisatie!$C$5,12,31)) &lt; MAX($H$2, DATE(Initialisatie!$C$5,1,1)), 0, MONTH(MIN($H$1, DATE(Initialisatie!$C$5,12,31))) - MONTH(MAX($H$2, DATE(Initialisatie!$C$5,1,1))) + 1)) &lt;= 0, IFERROR(VALUE($H152),0)=0),
        AND(MAX(0, IF(MIN($I$1, DATE(Initialisatie!$C$5,12,31)) &lt; MAX($I$2, DATE(Initialisatie!$C$5,1,1)), 0, MONTH(MIN($I$1, DATE(Initialisatie!$C$5,12,31))) - MONTH(MAX($I$2, DATE(Initialisatie!$C$5,1,1))) + 1)) &lt;= 0, IFERROR(VALUE($I152),0)=0)
    ),
    0,
    SUM(
        IFERROR(VALUE($E152),0) * MAX(0, IF(MIN($E$1, DATE(Initialisatie!$C$5,12,31)) &lt; MAX($E$2, DATE(Initialisatie!$C$5,1,1)), 0, MONTH(MIN($E$1, DATE(Initialisatie!$C$5,12,31))) - MONTH(MAX($E$2, DATE(Initialisatie!$C$5,1,1))) + 1)),
        IFERROR(VALUE($F152),0) * MAX(0, IF(MIN($F$1, DATE(Initialisatie!$C$5,12,31)) &lt; MAX($F$2, DATE(Initialisatie!$C$5,1,1)), 0, MONTH(MIN($F$1, DATE(Initialisatie!$C$5,12,31))) - MONTH(MAX($F$2, DATE(Initialisatie!$C$5,1,1))) + 1)),
        IFERROR(VALUE($G152),0) * MAX(0, IF(MIN($G$1, DATE(Initialisatie!$C$5,12,31)) &lt; MAX($G$2, DATE(Initialisatie!$C$5,1,1)), 0, MONTH(MIN($G$1, DATE(Initialisatie!$C$5,12,31))) - MONTH(MAX($G$2, DATE(Initialisatie!$C$5,1,1))) + 1)),
        IFERROR(VALUE($H152),0) * MAX(0, IF(MIN($H$1, DATE(Initialisatie!$C$5,12,31)) &lt; MAX($H$2, DATE(Initialisatie!$C$5,1,1)), 0, MONTH(MIN($H$1, DATE(Initialisatie!$C$5,12,31))) - MONTH(MAX($H$2, DATE(Initialisatie!$C$5,1,1))) + 1)),
        IFERROR(VALUE($I152),0) * MAX(0, IF(MIN($I$1, DATE(Initialisatie!$C$5,12,31)) &lt; MAX($I$2, DATE(Initialisatie!$C$5,1,1)), 0, MONTH(MIN($I$1, DATE(Initialisatie!$C$5,12,31))) - MONTH(MAX($I$2, DATE(Initialisatie!$C$5,1,1))) + 1))
    ) / 12
)</f>
        <v>5551.87</v>
      </c>
    </row>
    <row r="153" spans="1:12" x14ac:dyDescent="0.45">
      <c r="A153" s="989"/>
      <c r="B153" s="35" t="s">
        <v>99</v>
      </c>
      <c r="C153" s="35">
        <v>3</v>
      </c>
      <c r="D153" s="35" t="s">
        <v>138</v>
      </c>
      <c r="E153">
        <v>5287.74</v>
      </c>
      <c r="F153">
        <v>5353.84</v>
      </c>
      <c r="G153">
        <v>5546.58</v>
      </c>
      <c r="H153">
        <v>5751.8</v>
      </c>
      <c r="I153">
        <v>5947.36</v>
      </c>
      <c r="K153">
        <f>IF(
    OR(
        AND(MAX(0, MIN($E$1, DATE(Initialisatie!$C$5,12,31)) - MAX($E$2, DATE(Initialisatie!$C$5,1,1)) + 1) &gt; 0,IFERROR(VALUE($E153),0)=0),
        AND(MAX(0, MIN($F$1, DATE(Initialisatie!$C$5,12,31)) - MAX($F$2, DATE(Initialisatie!$C$5,1,1)) + 1) &gt; 0,IFERROR(VALUE($F153),0)=0),
        AND(MAX(0, MIN($G$1, DATE(Initialisatie!$C$5,12,31)) - MAX($G$2, DATE(Initialisatie!$C$5,1,1)) + 1) &gt; 0,IFERROR(VALUE($G153),0)=0),
        AND(MAX(0, MIN($H$1, DATE(Initialisatie!$C$5,12,31)) - MAX($H$2, DATE(Initialisatie!$C$5,1,1)) + 1) &gt; 0,IFERROR(VALUE($H153),0)=0),
        AND(MAX(0, MIN($I$1, DATE(Initialisatie!$C$5,12,31)) - MAX($I$2, DATE(Initialisatie!$C$5,1,1)) + 1) &gt; 0,IFERROR(VALUE($I153),0)=0)
    ),
    0,
    SUM(
        IFERROR(VALUE($E153),0) * MAX(0, MIN($E$1, DATE(Initialisatie!$C$5,12,31)) - MAX($E$2, DATE(Initialisatie!$C$5,1,1)) + 1),
        IFERROR(VALUE($F153),0) * MAX(0, MIN($F$1, DATE(Initialisatie!$C$5,12,31)) - MAX($F$2, DATE(Initialisatie!$C$5,1,1)) + 1),
        IFERROR(VALUE($G153),0) * MAX(0, MIN($G$1, DATE(Initialisatie!$C$5,12,31)) - MAX($G$2, DATE(Initialisatie!$C$5,1,1)) + 1),
        IFERROR(VALUE($H153),0) * MAX(0, MIN($H$1, DATE(Initialisatie!$C$5,12,31)) - MAX($H$2, DATE(Initialisatie!$C$5,1,1)) + 1),
        IFERROR(VALUE($I153),0) * MAX(0, MIN($I$1, DATE(Initialisatie!$C$5,12,31)) - MAX($I$2, DATE(Initialisatie!$C$5,1,1)) + 1)
    ) / (DATE(Initialisatie!$C$5,12,31) - DATE(Initialisatie!$C$5,1,1) + 1)
)</f>
        <v>5751.8</v>
      </c>
      <c r="L153">
        <f>IF(
    OR(
        AND(MAX(0, IF(MIN($E$1, DATE(Initialisatie!$C$5,12,31)) &lt; MAX($E$2, DATE(Initialisatie!$C$5,1,1)), 0, MONTH(MIN($E$1, DATE(Initialisatie!$C$5,12,31))) - MONTH(MAX($E$2, DATE(Initialisatie!$C$5,1,1))) + 1)) &lt;= 0, IFERROR(VALUE($E153),0)=0),
        AND(MAX(0, IF(MIN($F$1, DATE(Initialisatie!$C$5,12,31)) &lt; MAX($F$2, DATE(Initialisatie!$C$5,1,1)), 0, MONTH(MIN($F$1, DATE(Initialisatie!$C$5,12,31))) - MONTH(MAX($F$2, DATE(Initialisatie!$C$5,1,1))) + 1)) &lt;= 0, IFERROR(VALUE($F153),0)=0),
        AND(MAX(0, IF(MIN($G$1, DATE(Initialisatie!$C$5,12,31)) &lt; MAX($G$2, DATE(Initialisatie!$C$5,1,1)), 0, MONTH(MIN($G$1, DATE(Initialisatie!$C$5,12,31))) - MONTH(MAX($G$2, DATE(Initialisatie!$C$5,1,1))) + 1)) &lt;= 0, IFERROR(VALUE($G153),0)=0),
        AND(MAX(0, IF(MIN($H$1, DATE(Initialisatie!$C$5,12,31)) &lt; MAX($H$2, DATE(Initialisatie!$C$5,1,1)), 0, MONTH(MIN($H$1, DATE(Initialisatie!$C$5,12,31))) - MONTH(MAX($H$2, DATE(Initialisatie!$C$5,1,1))) + 1)) &lt;= 0, IFERROR(VALUE($H153),0)=0),
        AND(MAX(0, IF(MIN($I$1, DATE(Initialisatie!$C$5,12,31)) &lt; MAX($I$2, DATE(Initialisatie!$C$5,1,1)), 0, MONTH(MIN($I$1, DATE(Initialisatie!$C$5,12,31))) - MONTH(MAX($I$2, DATE(Initialisatie!$C$5,1,1))) + 1)) &lt;= 0, IFERROR(VALUE($I153),0)=0)
    ),
    0,
    SUM(
        IFERROR(VALUE($E153),0) * MAX(0, IF(MIN($E$1, DATE(Initialisatie!$C$5,12,31)) &lt; MAX($E$2, DATE(Initialisatie!$C$5,1,1)), 0, MONTH(MIN($E$1, DATE(Initialisatie!$C$5,12,31))) - MONTH(MAX($E$2, DATE(Initialisatie!$C$5,1,1))) + 1)),
        IFERROR(VALUE($F153),0) * MAX(0, IF(MIN($F$1, DATE(Initialisatie!$C$5,12,31)) &lt; MAX($F$2, DATE(Initialisatie!$C$5,1,1)), 0, MONTH(MIN($F$1, DATE(Initialisatie!$C$5,12,31))) - MONTH(MAX($F$2, DATE(Initialisatie!$C$5,1,1))) + 1)),
        IFERROR(VALUE($G153),0) * MAX(0, IF(MIN($G$1, DATE(Initialisatie!$C$5,12,31)) &lt; MAX($G$2, DATE(Initialisatie!$C$5,1,1)), 0, MONTH(MIN($G$1, DATE(Initialisatie!$C$5,12,31))) - MONTH(MAX($G$2, DATE(Initialisatie!$C$5,1,1))) + 1)),
        IFERROR(VALUE($H153),0) * MAX(0, IF(MIN($H$1, DATE(Initialisatie!$C$5,12,31)) &lt; MAX($H$2, DATE(Initialisatie!$C$5,1,1)), 0, MONTH(MIN($H$1, DATE(Initialisatie!$C$5,12,31))) - MONTH(MAX($H$2, DATE(Initialisatie!$C$5,1,1))) + 1)),
        IFERROR(VALUE($I153),0) * MAX(0, IF(MIN($I$1, DATE(Initialisatie!$C$5,12,31)) &lt; MAX($I$2, DATE(Initialisatie!$C$5,1,1)), 0, MONTH(MIN($I$1, DATE(Initialisatie!$C$5,12,31))) - MONTH(MAX($I$2, DATE(Initialisatie!$C$5,1,1))) + 1))
    ) / 12
)</f>
        <v>5751.8</v>
      </c>
    </row>
    <row r="154" spans="1:12" x14ac:dyDescent="0.45">
      <c r="A154" s="989"/>
      <c r="B154" s="35" t="s">
        <v>97</v>
      </c>
      <c r="C154" s="35">
        <v>4</v>
      </c>
      <c r="D154" s="35" t="s">
        <v>137</v>
      </c>
      <c r="E154">
        <v>5478.08</v>
      </c>
      <c r="F154">
        <v>5546.56</v>
      </c>
      <c r="G154">
        <v>5746.23</v>
      </c>
      <c r="H154">
        <v>5958.84</v>
      </c>
      <c r="I154">
        <v>6161.44</v>
      </c>
      <c r="K154">
        <f>IF(
    OR(
        AND(MAX(0, MIN($E$1, DATE(Initialisatie!$C$5,12,31)) - MAX($E$2, DATE(Initialisatie!$C$5,1,1)) + 1) &gt; 0,IFERROR(VALUE($E154),0)=0),
        AND(MAX(0, MIN($F$1, DATE(Initialisatie!$C$5,12,31)) - MAX($F$2, DATE(Initialisatie!$C$5,1,1)) + 1) &gt; 0,IFERROR(VALUE($F154),0)=0),
        AND(MAX(0, MIN($G$1, DATE(Initialisatie!$C$5,12,31)) - MAX($G$2, DATE(Initialisatie!$C$5,1,1)) + 1) &gt; 0,IFERROR(VALUE($G154),0)=0),
        AND(MAX(0, MIN($H$1, DATE(Initialisatie!$C$5,12,31)) - MAX($H$2, DATE(Initialisatie!$C$5,1,1)) + 1) &gt; 0,IFERROR(VALUE($H154),0)=0),
        AND(MAX(0, MIN($I$1, DATE(Initialisatie!$C$5,12,31)) - MAX($I$2, DATE(Initialisatie!$C$5,1,1)) + 1) &gt; 0,IFERROR(VALUE($I154),0)=0)
    ),
    0,
    SUM(
        IFERROR(VALUE($E154),0) * MAX(0, MIN($E$1, DATE(Initialisatie!$C$5,12,31)) - MAX($E$2, DATE(Initialisatie!$C$5,1,1)) + 1),
        IFERROR(VALUE($F154),0) * MAX(0, MIN($F$1, DATE(Initialisatie!$C$5,12,31)) - MAX($F$2, DATE(Initialisatie!$C$5,1,1)) + 1),
        IFERROR(VALUE($G154),0) * MAX(0, MIN($G$1, DATE(Initialisatie!$C$5,12,31)) - MAX($G$2, DATE(Initialisatie!$C$5,1,1)) + 1),
        IFERROR(VALUE($H154),0) * MAX(0, MIN($H$1, DATE(Initialisatie!$C$5,12,31)) - MAX($H$2, DATE(Initialisatie!$C$5,1,1)) + 1),
        IFERROR(VALUE($I154),0) * MAX(0, MIN($I$1, DATE(Initialisatie!$C$5,12,31)) - MAX($I$2, DATE(Initialisatie!$C$5,1,1)) + 1)
    ) / (DATE(Initialisatie!$C$5,12,31) - DATE(Initialisatie!$C$5,1,1) + 1)
)</f>
        <v>5958.84</v>
      </c>
      <c r="L154">
        <f>IF(
    OR(
        AND(MAX(0, IF(MIN($E$1, DATE(Initialisatie!$C$5,12,31)) &lt; MAX($E$2, DATE(Initialisatie!$C$5,1,1)), 0, MONTH(MIN($E$1, DATE(Initialisatie!$C$5,12,31))) - MONTH(MAX($E$2, DATE(Initialisatie!$C$5,1,1))) + 1)) &lt;= 0, IFERROR(VALUE($E154),0)=0),
        AND(MAX(0, IF(MIN($F$1, DATE(Initialisatie!$C$5,12,31)) &lt; MAX($F$2, DATE(Initialisatie!$C$5,1,1)), 0, MONTH(MIN($F$1, DATE(Initialisatie!$C$5,12,31))) - MONTH(MAX($F$2, DATE(Initialisatie!$C$5,1,1))) + 1)) &lt;= 0, IFERROR(VALUE($F154),0)=0),
        AND(MAX(0, IF(MIN($G$1, DATE(Initialisatie!$C$5,12,31)) &lt; MAX($G$2, DATE(Initialisatie!$C$5,1,1)), 0, MONTH(MIN($G$1, DATE(Initialisatie!$C$5,12,31))) - MONTH(MAX($G$2, DATE(Initialisatie!$C$5,1,1))) + 1)) &lt;= 0, IFERROR(VALUE($G154),0)=0),
        AND(MAX(0, IF(MIN($H$1, DATE(Initialisatie!$C$5,12,31)) &lt; MAX($H$2, DATE(Initialisatie!$C$5,1,1)), 0, MONTH(MIN($H$1, DATE(Initialisatie!$C$5,12,31))) - MONTH(MAX($H$2, DATE(Initialisatie!$C$5,1,1))) + 1)) &lt;= 0, IFERROR(VALUE($H154),0)=0),
        AND(MAX(0, IF(MIN($I$1, DATE(Initialisatie!$C$5,12,31)) &lt; MAX($I$2, DATE(Initialisatie!$C$5,1,1)), 0, MONTH(MIN($I$1, DATE(Initialisatie!$C$5,12,31))) - MONTH(MAX($I$2, DATE(Initialisatie!$C$5,1,1))) + 1)) &lt;= 0, IFERROR(VALUE($I154),0)=0)
    ),
    0,
    SUM(
        IFERROR(VALUE($E154),0) * MAX(0, IF(MIN($E$1, DATE(Initialisatie!$C$5,12,31)) &lt; MAX($E$2, DATE(Initialisatie!$C$5,1,1)), 0, MONTH(MIN($E$1, DATE(Initialisatie!$C$5,12,31))) - MONTH(MAX($E$2, DATE(Initialisatie!$C$5,1,1))) + 1)),
        IFERROR(VALUE($F154),0) * MAX(0, IF(MIN($F$1, DATE(Initialisatie!$C$5,12,31)) &lt; MAX($F$2, DATE(Initialisatie!$C$5,1,1)), 0, MONTH(MIN($F$1, DATE(Initialisatie!$C$5,12,31))) - MONTH(MAX($F$2, DATE(Initialisatie!$C$5,1,1))) + 1)),
        IFERROR(VALUE($G154),0) * MAX(0, IF(MIN($G$1, DATE(Initialisatie!$C$5,12,31)) &lt; MAX($G$2, DATE(Initialisatie!$C$5,1,1)), 0, MONTH(MIN($G$1, DATE(Initialisatie!$C$5,12,31))) - MONTH(MAX($G$2, DATE(Initialisatie!$C$5,1,1))) + 1)),
        IFERROR(VALUE($H154),0) * MAX(0, IF(MIN($H$1, DATE(Initialisatie!$C$5,12,31)) &lt; MAX($H$2, DATE(Initialisatie!$C$5,1,1)), 0, MONTH(MIN($H$1, DATE(Initialisatie!$C$5,12,31))) - MONTH(MAX($H$2, DATE(Initialisatie!$C$5,1,1))) + 1)),
        IFERROR(VALUE($I154),0) * MAX(0, IF(MIN($I$1, DATE(Initialisatie!$C$5,12,31)) &lt; MAX($I$2, DATE(Initialisatie!$C$5,1,1)), 0, MONTH(MIN($I$1, DATE(Initialisatie!$C$5,12,31))) - MONTH(MAX($I$2, DATE(Initialisatie!$C$5,1,1))) + 1))
    ) / 12
)</f>
        <v>5958.84</v>
      </c>
    </row>
    <row r="155" spans="1:12" x14ac:dyDescent="0.45">
      <c r="A155" s="989"/>
      <c r="B155" s="35" t="s">
        <v>95</v>
      </c>
      <c r="C155" s="35">
        <v>5</v>
      </c>
      <c r="D155" s="35" t="s">
        <v>136</v>
      </c>
      <c r="E155">
        <v>5674.98</v>
      </c>
      <c r="F155">
        <v>5745.91</v>
      </c>
      <c r="G155">
        <v>5952.77</v>
      </c>
      <c r="H155">
        <v>6173.02</v>
      </c>
      <c r="I155">
        <v>6382.9</v>
      </c>
      <c r="K155">
        <f>IF(
    OR(
        AND(MAX(0, MIN($E$1, DATE(Initialisatie!$C$5,12,31)) - MAX($E$2, DATE(Initialisatie!$C$5,1,1)) + 1) &gt; 0,IFERROR(VALUE($E155),0)=0),
        AND(MAX(0, MIN($F$1, DATE(Initialisatie!$C$5,12,31)) - MAX($F$2, DATE(Initialisatie!$C$5,1,1)) + 1) &gt; 0,IFERROR(VALUE($F155),0)=0),
        AND(MAX(0, MIN($G$1, DATE(Initialisatie!$C$5,12,31)) - MAX($G$2, DATE(Initialisatie!$C$5,1,1)) + 1) &gt; 0,IFERROR(VALUE($G155),0)=0),
        AND(MAX(0, MIN($H$1, DATE(Initialisatie!$C$5,12,31)) - MAX($H$2, DATE(Initialisatie!$C$5,1,1)) + 1) &gt; 0,IFERROR(VALUE($H155),0)=0),
        AND(MAX(0, MIN($I$1, DATE(Initialisatie!$C$5,12,31)) - MAX($I$2, DATE(Initialisatie!$C$5,1,1)) + 1) &gt; 0,IFERROR(VALUE($I155),0)=0)
    ),
    0,
    SUM(
        IFERROR(VALUE($E155),0) * MAX(0, MIN($E$1, DATE(Initialisatie!$C$5,12,31)) - MAX($E$2, DATE(Initialisatie!$C$5,1,1)) + 1),
        IFERROR(VALUE($F155),0) * MAX(0, MIN($F$1, DATE(Initialisatie!$C$5,12,31)) - MAX($F$2, DATE(Initialisatie!$C$5,1,1)) + 1),
        IFERROR(VALUE($G155),0) * MAX(0, MIN($G$1, DATE(Initialisatie!$C$5,12,31)) - MAX($G$2, DATE(Initialisatie!$C$5,1,1)) + 1),
        IFERROR(VALUE($H155),0) * MAX(0, MIN($H$1, DATE(Initialisatie!$C$5,12,31)) - MAX($H$2, DATE(Initialisatie!$C$5,1,1)) + 1),
        IFERROR(VALUE($I155),0) * MAX(0, MIN($I$1, DATE(Initialisatie!$C$5,12,31)) - MAX($I$2, DATE(Initialisatie!$C$5,1,1)) + 1)
    ) / (DATE(Initialisatie!$C$5,12,31) - DATE(Initialisatie!$C$5,1,1) + 1)
)</f>
        <v>6173.02</v>
      </c>
      <c r="L155">
        <f>IF(
    OR(
        AND(MAX(0, IF(MIN($E$1, DATE(Initialisatie!$C$5,12,31)) &lt; MAX($E$2, DATE(Initialisatie!$C$5,1,1)), 0, MONTH(MIN($E$1, DATE(Initialisatie!$C$5,12,31))) - MONTH(MAX($E$2, DATE(Initialisatie!$C$5,1,1))) + 1)) &lt;= 0, IFERROR(VALUE($E155),0)=0),
        AND(MAX(0, IF(MIN($F$1, DATE(Initialisatie!$C$5,12,31)) &lt; MAX($F$2, DATE(Initialisatie!$C$5,1,1)), 0, MONTH(MIN($F$1, DATE(Initialisatie!$C$5,12,31))) - MONTH(MAX($F$2, DATE(Initialisatie!$C$5,1,1))) + 1)) &lt;= 0, IFERROR(VALUE($F155),0)=0),
        AND(MAX(0, IF(MIN($G$1, DATE(Initialisatie!$C$5,12,31)) &lt; MAX($G$2, DATE(Initialisatie!$C$5,1,1)), 0, MONTH(MIN($G$1, DATE(Initialisatie!$C$5,12,31))) - MONTH(MAX($G$2, DATE(Initialisatie!$C$5,1,1))) + 1)) &lt;= 0, IFERROR(VALUE($G155),0)=0),
        AND(MAX(0, IF(MIN($H$1, DATE(Initialisatie!$C$5,12,31)) &lt; MAX($H$2, DATE(Initialisatie!$C$5,1,1)), 0, MONTH(MIN($H$1, DATE(Initialisatie!$C$5,12,31))) - MONTH(MAX($H$2, DATE(Initialisatie!$C$5,1,1))) + 1)) &lt;= 0, IFERROR(VALUE($H155),0)=0),
        AND(MAX(0, IF(MIN($I$1, DATE(Initialisatie!$C$5,12,31)) &lt; MAX($I$2, DATE(Initialisatie!$C$5,1,1)), 0, MONTH(MIN($I$1, DATE(Initialisatie!$C$5,12,31))) - MONTH(MAX($I$2, DATE(Initialisatie!$C$5,1,1))) + 1)) &lt;= 0, IFERROR(VALUE($I155),0)=0)
    ),
    0,
    SUM(
        IFERROR(VALUE($E155),0) * MAX(0, IF(MIN($E$1, DATE(Initialisatie!$C$5,12,31)) &lt; MAX($E$2, DATE(Initialisatie!$C$5,1,1)), 0, MONTH(MIN($E$1, DATE(Initialisatie!$C$5,12,31))) - MONTH(MAX($E$2, DATE(Initialisatie!$C$5,1,1))) + 1)),
        IFERROR(VALUE($F155),0) * MAX(0, IF(MIN($F$1, DATE(Initialisatie!$C$5,12,31)) &lt; MAX($F$2, DATE(Initialisatie!$C$5,1,1)), 0, MONTH(MIN($F$1, DATE(Initialisatie!$C$5,12,31))) - MONTH(MAX($F$2, DATE(Initialisatie!$C$5,1,1))) + 1)),
        IFERROR(VALUE($G155),0) * MAX(0, IF(MIN($G$1, DATE(Initialisatie!$C$5,12,31)) &lt; MAX($G$2, DATE(Initialisatie!$C$5,1,1)), 0, MONTH(MIN($G$1, DATE(Initialisatie!$C$5,12,31))) - MONTH(MAX($G$2, DATE(Initialisatie!$C$5,1,1))) + 1)),
        IFERROR(VALUE($H155),0) * MAX(0, IF(MIN($H$1, DATE(Initialisatie!$C$5,12,31)) &lt; MAX($H$2, DATE(Initialisatie!$C$5,1,1)), 0, MONTH(MIN($H$1, DATE(Initialisatie!$C$5,12,31))) - MONTH(MAX($H$2, DATE(Initialisatie!$C$5,1,1))) + 1)),
        IFERROR(VALUE($I155),0) * MAX(0, IF(MIN($I$1, DATE(Initialisatie!$C$5,12,31)) &lt; MAX($I$2, DATE(Initialisatie!$C$5,1,1)), 0, MONTH(MIN($I$1, DATE(Initialisatie!$C$5,12,31))) - MONTH(MAX($I$2, DATE(Initialisatie!$C$5,1,1))) + 1))
    ) / 12
)</f>
        <v>6173.02</v>
      </c>
    </row>
    <row r="156" spans="1:12" x14ac:dyDescent="0.45">
      <c r="A156" s="989"/>
      <c r="B156" s="35" t="s">
        <v>93</v>
      </c>
      <c r="C156" s="35">
        <v>6</v>
      </c>
      <c r="D156" s="35" t="s">
        <v>135</v>
      </c>
      <c r="E156">
        <v>5879.13</v>
      </c>
      <c r="F156">
        <v>5952.62</v>
      </c>
      <c r="G156">
        <v>6166.91</v>
      </c>
      <c r="H156">
        <v>6395.09</v>
      </c>
      <c r="I156">
        <v>6612.52</v>
      </c>
      <c r="K156">
        <f>IF(
    OR(
        AND(MAX(0, MIN($E$1, DATE(Initialisatie!$C$5,12,31)) - MAX($E$2, DATE(Initialisatie!$C$5,1,1)) + 1) &gt; 0,IFERROR(VALUE($E156),0)=0),
        AND(MAX(0, MIN($F$1, DATE(Initialisatie!$C$5,12,31)) - MAX($F$2, DATE(Initialisatie!$C$5,1,1)) + 1) &gt; 0,IFERROR(VALUE($F156),0)=0),
        AND(MAX(0, MIN($G$1, DATE(Initialisatie!$C$5,12,31)) - MAX($G$2, DATE(Initialisatie!$C$5,1,1)) + 1) &gt; 0,IFERROR(VALUE($G156),0)=0),
        AND(MAX(0, MIN($H$1, DATE(Initialisatie!$C$5,12,31)) - MAX($H$2, DATE(Initialisatie!$C$5,1,1)) + 1) &gt; 0,IFERROR(VALUE($H156),0)=0),
        AND(MAX(0, MIN($I$1, DATE(Initialisatie!$C$5,12,31)) - MAX($I$2, DATE(Initialisatie!$C$5,1,1)) + 1) &gt; 0,IFERROR(VALUE($I156),0)=0)
    ),
    0,
    SUM(
        IFERROR(VALUE($E156),0) * MAX(0, MIN($E$1, DATE(Initialisatie!$C$5,12,31)) - MAX($E$2, DATE(Initialisatie!$C$5,1,1)) + 1),
        IFERROR(VALUE($F156),0) * MAX(0, MIN($F$1, DATE(Initialisatie!$C$5,12,31)) - MAX($F$2, DATE(Initialisatie!$C$5,1,1)) + 1),
        IFERROR(VALUE($G156),0) * MAX(0, MIN($G$1, DATE(Initialisatie!$C$5,12,31)) - MAX($G$2, DATE(Initialisatie!$C$5,1,1)) + 1),
        IFERROR(VALUE($H156),0) * MAX(0, MIN($H$1, DATE(Initialisatie!$C$5,12,31)) - MAX($H$2, DATE(Initialisatie!$C$5,1,1)) + 1),
        IFERROR(VALUE($I156),0) * MAX(0, MIN($I$1, DATE(Initialisatie!$C$5,12,31)) - MAX($I$2, DATE(Initialisatie!$C$5,1,1)) + 1)
    ) / (DATE(Initialisatie!$C$5,12,31) - DATE(Initialisatie!$C$5,1,1) + 1)
)</f>
        <v>6395.09</v>
      </c>
      <c r="L156">
        <f>IF(
    OR(
        AND(MAX(0, IF(MIN($E$1, DATE(Initialisatie!$C$5,12,31)) &lt; MAX($E$2, DATE(Initialisatie!$C$5,1,1)), 0, MONTH(MIN($E$1, DATE(Initialisatie!$C$5,12,31))) - MONTH(MAX($E$2, DATE(Initialisatie!$C$5,1,1))) + 1)) &lt;= 0, IFERROR(VALUE($E156),0)=0),
        AND(MAX(0, IF(MIN($F$1, DATE(Initialisatie!$C$5,12,31)) &lt; MAX($F$2, DATE(Initialisatie!$C$5,1,1)), 0, MONTH(MIN($F$1, DATE(Initialisatie!$C$5,12,31))) - MONTH(MAX($F$2, DATE(Initialisatie!$C$5,1,1))) + 1)) &lt;= 0, IFERROR(VALUE($F156),0)=0),
        AND(MAX(0, IF(MIN($G$1, DATE(Initialisatie!$C$5,12,31)) &lt; MAX($G$2, DATE(Initialisatie!$C$5,1,1)), 0, MONTH(MIN($G$1, DATE(Initialisatie!$C$5,12,31))) - MONTH(MAX($G$2, DATE(Initialisatie!$C$5,1,1))) + 1)) &lt;= 0, IFERROR(VALUE($G156),0)=0),
        AND(MAX(0, IF(MIN($H$1, DATE(Initialisatie!$C$5,12,31)) &lt; MAX($H$2, DATE(Initialisatie!$C$5,1,1)), 0, MONTH(MIN($H$1, DATE(Initialisatie!$C$5,12,31))) - MONTH(MAX($H$2, DATE(Initialisatie!$C$5,1,1))) + 1)) &lt;= 0, IFERROR(VALUE($H156),0)=0),
        AND(MAX(0, IF(MIN($I$1, DATE(Initialisatie!$C$5,12,31)) &lt; MAX($I$2, DATE(Initialisatie!$C$5,1,1)), 0, MONTH(MIN($I$1, DATE(Initialisatie!$C$5,12,31))) - MONTH(MAX($I$2, DATE(Initialisatie!$C$5,1,1))) + 1)) &lt;= 0, IFERROR(VALUE($I156),0)=0)
    ),
    0,
    SUM(
        IFERROR(VALUE($E156),0) * MAX(0, IF(MIN($E$1, DATE(Initialisatie!$C$5,12,31)) &lt; MAX($E$2, DATE(Initialisatie!$C$5,1,1)), 0, MONTH(MIN($E$1, DATE(Initialisatie!$C$5,12,31))) - MONTH(MAX($E$2, DATE(Initialisatie!$C$5,1,1))) + 1)),
        IFERROR(VALUE($F156),0) * MAX(0, IF(MIN($F$1, DATE(Initialisatie!$C$5,12,31)) &lt; MAX($F$2, DATE(Initialisatie!$C$5,1,1)), 0, MONTH(MIN($F$1, DATE(Initialisatie!$C$5,12,31))) - MONTH(MAX($F$2, DATE(Initialisatie!$C$5,1,1))) + 1)),
        IFERROR(VALUE($G156),0) * MAX(0, IF(MIN($G$1, DATE(Initialisatie!$C$5,12,31)) &lt; MAX($G$2, DATE(Initialisatie!$C$5,1,1)), 0, MONTH(MIN($G$1, DATE(Initialisatie!$C$5,12,31))) - MONTH(MAX($G$2, DATE(Initialisatie!$C$5,1,1))) + 1)),
        IFERROR(VALUE($H156),0) * MAX(0, IF(MIN($H$1, DATE(Initialisatie!$C$5,12,31)) &lt; MAX($H$2, DATE(Initialisatie!$C$5,1,1)), 0, MONTH(MIN($H$1, DATE(Initialisatie!$C$5,12,31))) - MONTH(MAX($H$2, DATE(Initialisatie!$C$5,1,1))) + 1)),
        IFERROR(VALUE($I156),0) * MAX(0, IF(MIN($I$1, DATE(Initialisatie!$C$5,12,31)) &lt; MAX($I$2, DATE(Initialisatie!$C$5,1,1)), 0, MONTH(MIN($I$1, DATE(Initialisatie!$C$5,12,31))) - MONTH(MAX($I$2, DATE(Initialisatie!$C$5,1,1))) + 1))
    ) / 12
)</f>
        <v>6395.09</v>
      </c>
    </row>
    <row r="157" spans="1:12" x14ac:dyDescent="0.45">
      <c r="A157" s="989"/>
      <c r="B157" s="35" t="s">
        <v>91</v>
      </c>
      <c r="C157" s="35">
        <v>7</v>
      </c>
      <c r="D157" s="35" t="s">
        <v>134</v>
      </c>
      <c r="E157">
        <v>6091.29</v>
      </c>
      <c r="F157">
        <v>6167.44</v>
      </c>
      <c r="G157">
        <v>6389.46</v>
      </c>
      <c r="H157">
        <v>6625.87</v>
      </c>
      <c r="I157">
        <v>6851.15</v>
      </c>
      <c r="K157">
        <f>IF(
    OR(
        AND(MAX(0, MIN($E$1, DATE(Initialisatie!$C$5,12,31)) - MAX($E$2, DATE(Initialisatie!$C$5,1,1)) + 1) &gt; 0,IFERROR(VALUE($E157),0)=0),
        AND(MAX(0, MIN($F$1, DATE(Initialisatie!$C$5,12,31)) - MAX($F$2, DATE(Initialisatie!$C$5,1,1)) + 1) &gt; 0,IFERROR(VALUE($F157),0)=0),
        AND(MAX(0, MIN($G$1, DATE(Initialisatie!$C$5,12,31)) - MAX($G$2, DATE(Initialisatie!$C$5,1,1)) + 1) &gt; 0,IFERROR(VALUE($G157),0)=0),
        AND(MAX(0, MIN($H$1, DATE(Initialisatie!$C$5,12,31)) - MAX($H$2, DATE(Initialisatie!$C$5,1,1)) + 1) &gt; 0,IFERROR(VALUE($H157),0)=0),
        AND(MAX(0, MIN($I$1, DATE(Initialisatie!$C$5,12,31)) - MAX($I$2, DATE(Initialisatie!$C$5,1,1)) + 1) &gt; 0,IFERROR(VALUE($I157),0)=0)
    ),
    0,
    SUM(
        IFERROR(VALUE($E157),0) * MAX(0, MIN($E$1, DATE(Initialisatie!$C$5,12,31)) - MAX($E$2, DATE(Initialisatie!$C$5,1,1)) + 1),
        IFERROR(VALUE($F157),0) * MAX(0, MIN($F$1, DATE(Initialisatie!$C$5,12,31)) - MAX($F$2, DATE(Initialisatie!$C$5,1,1)) + 1),
        IFERROR(VALUE($G157),0) * MAX(0, MIN($G$1, DATE(Initialisatie!$C$5,12,31)) - MAX($G$2, DATE(Initialisatie!$C$5,1,1)) + 1),
        IFERROR(VALUE($H157),0) * MAX(0, MIN($H$1, DATE(Initialisatie!$C$5,12,31)) - MAX($H$2, DATE(Initialisatie!$C$5,1,1)) + 1),
        IFERROR(VALUE($I157),0) * MAX(0, MIN($I$1, DATE(Initialisatie!$C$5,12,31)) - MAX($I$2, DATE(Initialisatie!$C$5,1,1)) + 1)
    ) / (DATE(Initialisatie!$C$5,12,31) - DATE(Initialisatie!$C$5,1,1) + 1)
)</f>
        <v>6625.87</v>
      </c>
      <c r="L157">
        <f>IF(
    OR(
        AND(MAX(0, IF(MIN($E$1, DATE(Initialisatie!$C$5,12,31)) &lt; MAX($E$2, DATE(Initialisatie!$C$5,1,1)), 0, MONTH(MIN($E$1, DATE(Initialisatie!$C$5,12,31))) - MONTH(MAX($E$2, DATE(Initialisatie!$C$5,1,1))) + 1)) &lt;= 0, IFERROR(VALUE($E157),0)=0),
        AND(MAX(0, IF(MIN($F$1, DATE(Initialisatie!$C$5,12,31)) &lt; MAX($F$2, DATE(Initialisatie!$C$5,1,1)), 0, MONTH(MIN($F$1, DATE(Initialisatie!$C$5,12,31))) - MONTH(MAX($F$2, DATE(Initialisatie!$C$5,1,1))) + 1)) &lt;= 0, IFERROR(VALUE($F157),0)=0),
        AND(MAX(0, IF(MIN($G$1, DATE(Initialisatie!$C$5,12,31)) &lt; MAX($G$2, DATE(Initialisatie!$C$5,1,1)), 0, MONTH(MIN($G$1, DATE(Initialisatie!$C$5,12,31))) - MONTH(MAX($G$2, DATE(Initialisatie!$C$5,1,1))) + 1)) &lt;= 0, IFERROR(VALUE($G157),0)=0),
        AND(MAX(0, IF(MIN($H$1, DATE(Initialisatie!$C$5,12,31)) &lt; MAX($H$2, DATE(Initialisatie!$C$5,1,1)), 0, MONTH(MIN($H$1, DATE(Initialisatie!$C$5,12,31))) - MONTH(MAX($H$2, DATE(Initialisatie!$C$5,1,1))) + 1)) &lt;= 0, IFERROR(VALUE($H157),0)=0),
        AND(MAX(0, IF(MIN($I$1, DATE(Initialisatie!$C$5,12,31)) &lt; MAX($I$2, DATE(Initialisatie!$C$5,1,1)), 0, MONTH(MIN($I$1, DATE(Initialisatie!$C$5,12,31))) - MONTH(MAX($I$2, DATE(Initialisatie!$C$5,1,1))) + 1)) &lt;= 0, IFERROR(VALUE($I157),0)=0)
    ),
    0,
    SUM(
        IFERROR(VALUE($E157),0) * MAX(0, IF(MIN($E$1, DATE(Initialisatie!$C$5,12,31)) &lt; MAX($E$2, DATE(Initialisatie!$C$5,1,1)), 0, MONTH(MIN($E$1, DATE(Initialisatie!$C$5,12,31))) - MONTH(MAX($E$2, DATE(Initialisatie!$C$5,1,1))) + 1)),
        IFERROR(VALUE($F157),0) * MAX(0, IF(MIN($F$1, DATE(Initialisatie!$C$5,12,31)) &lt; MAX($F$2, DATE(Initialisatie!$C$5,1,1)), 0, MONTH(MIN($F$1, DATE(Initialisatie!$C$5,12,31))) - MONTH(MAX($F$2, DATE(Initialisatie!$C$5,1,1))) + 1)),
        IFERROR(VALUE($G157),0) * MAX(0, IF(MIN($G$1, DATE(Initialisatie!$C$5,12,31)) &lt; MAX($G$2, DATE(Initialisatie!$C$5,1,1)), 0, MONTH(MIN($G$1, DATE(Initialisatie!$C$5,12,31))) - MONTH(MAX($G$2, DATE(Initialisatie!$C$5,1,1))) + 1)),
        IFERROR(VALUE($H157),0) * MAX(0, IF(MIN($H$1, DATE(Initialisatie!$C$5,12,31)) &lt; MAX($H$2, DATE(Initialisatie!$C$5,1,1)), 0, MONTH(MIN($H$1, DATE(Initialisatie!$C$5,12,31))) - MONTH(MAX($H$2, DATE(Initialisatie!$C$5,1,1))) + 1)),
        IFERROR(VALUE($I157),0) * MAX(0, IF(MIN($I$1, DATE(Initialisatie!$C$5,12,31)) &lt; MAX($I$2, DATE(Initialisatie!$C$5,1,1)), 0, MONTH(MIN($I$1, DATE(Initialisatie!$C$5,12,31))) - MONTH(MAX($I$2, DATE(Initialisatie!$C$5,1,1))) + 1))
    ) / 12
)</f>
        <v>6625.87</v>
      </c>
    </row>
    <row r="158" spans="1:12" x14ac:dyDescent="0.45">
      <c r="A158" s="989"/>
      <c r="B158" s="35" t="s">
        <v>89</v>
      </c>
      <c r="C158" s="35">
        <v>8</v>
      </c>
      <c r="D158" s="35" t="s">
        <v>133</v>
      </c>
      <c r="E158">
        <v>6309.98</v>
      </c>
      <c r="F158">
        <v>6388.85</v>
      </c>
      <c r="G158">
        <v>6618.85</v>
      </c>
      <c r="H158">
        <v>6863.75</v>
      </c>
      <c r="I158">
        <v>7097.12</v>
      </c>
      <c r="K158">
        <f>IF(
    OR(
        AND(MAX(0, MIN($E$1, DATE(Initialisatie!$C$5,12,31)) - MAX($E$2, DATE(Initialisatie!$C$5,1,1)) + 1) &gt; 0,IFERROR(VALUE($E158),0)=0),
        AND(MAX(0, MIN($F$1, DATE(Initialisatie!$C$5,12,31)) - MAX($F$2, DATE(Initialisatie!$C$5,1,1)) + 1) &gt; 0,IFERROR(VALUE($F158),0)=0),
        AND(MAX(0, MIN($G$1, DATE(Initialisatie!$C$5,12,31)) - MAX($G$2, DATE(Initialisatie!$C$5,1,1)) + 1) &gt; 0,IFERROR(VALUE($G158),0)=0),
        AND(MAX(0, MIN($H$1, DATE(Initialisatie!$C$5,12,31)) - MAX($H$2, DATE(Initialisatie!$C$5,1,1)) + 1) &gt; 0,IFERROR(VALUE($H158),0)=0),
        AND(MAX(0, MIN($I$1, DATE(Initialisatie!$C$5,12,31)) - MAX($I$2, DATE(Initialisatie!$C$5,1,1)) + 1) &gt; 0,IFERROR(VALUE($I158),0)=0)
    ),
    0,
    SUM(
        IFERROR(VALUE($E158),0) * MAX(0, MIN($E$1, DATE(Initialisatie!$C$5,12,31)) - MAX($E$2, DATE(Initialisatie!$C$5,1,1)) + 1),
        IFERROR(VALUE($F158),0) * MAX(0, MIN($F$1, DATE(Initialisatie!$C$5,12,31)) - MAX($F$2, DATE(Initialisatie!$C$5,1,1)) + 1),
        IFERROR(VALUE($G158),0) * MAX(0, MIN($G$1, DATE(Initialisatie!$C$5,12,31)) - MAX($G$2, DATE(Initialisatie!$C$5,1,1)) + 1),
        IFERROR(VALUE($H158),0) * MAX(0, MIN($H$1, DATE(Initialisatie!$C$5,12,31)) - MAX($H$2, DATE(Initialisatie!$C$5,1,1)) + 1),
        IFERROR(VALUE($I158),0) * MAX(0, MIN($I$1, DATE(Initialisatie!$C$5,12,31)) - MAX($I$2, DATE(Initialisatie!$C$5,1,1)) + 1)
    ) / (DATE(Initialisatie!$C$5,12,31) - DATE(Initialisatie!$C$5,1,1) + 1)
)</f>
        <v>6863.75</v>
      </c>
      <c r="L158">
        <f>IF(
    OR(
        AND(MAX(0, IF(MIN($E$1, DATE(Initialisatie!$C$5,12,31)) &lt; MAX($E$2, DATE(Initialisatie!$C$5,1,1)), 0, MONTH(MIN($E$1, DATE(Initialisatie!$C$5,12,31))) - MONTH(MAX($E$2, DATE(Initialisatie!$C$5,1,1))) + 1)) &lt;= 0, IFERROR(VALUE($E158),0)=0),
        AND(MAX(0, IF(MIN($F$1, DATE(Initialisatie!$C$5,12,31)) &lt; MAX($F$2, DATE(Initialisatie!$C$5,1,1)), 0, MONTH(MIN($F$1, DATE(Initialisatie!$C$5,12,31))) - MONTH(MAX($F$2, DATE(Initialisatie!$C$5,1,1))) + 1)) &lt;= 0, IFERROR(VALUE($F158),0)=0),
        AND(MAX(0, IF(MIN($G$1, DATE(Initialisatie!$C$5,12,31)) &lt; MAX($G$2, DATE(Initialisatie!$C$5,1,1)), 0, MONTH(MIN($G$1, DATE(Initialisatie!$C$5,12,31))) - MONTH(MAX($G$2, DATE(Initialisatie!$C$5,1,1))) + 1)) &lt;= 0, IFERROR(VALUE($G158),0)=0),
        AND(MAX(0, IF(MIN($H$1, DATE(Initialisatie!$C$5,12,31)) &lt; MAX($H$2, DATE(Initialisatie!$C$5,1,1)), 0, MONTH(MIN($H$1, DATE(Initialisatie!$C$5,12,31))) - MONTH(MAX($H$2, DATE(Initialisatie!$C$5,1,1))) + 1)) &lt;= 0, IFERROR(VALUE($H158),0)=0),
        AND(MAX(0, IF(MIN($I$1, DATE(Initialisatie!$C$5,12,31)) &lt; MAX($I$2, DATE(Initialisatie!$C$5,1,1)), 0, MONTH(MIN($I$1, DATE(Initialisatie!$C$5,12,31))) - MONTH(MAX($I$2, DATE(Initialisatie!$C$5,1,1))) + 1)) &lt;= 0, IFERROR(VALUE($I158),0)=0)
    ),
    0,
    SUM(
        IFERROR(VALUE($E158),0) * MAX(0, IF(MIN($E$1, DATE(Initialisatie!$C$5,12,31)) &lt; MAX($E$2, DATE(Initialisatie!$C$5,1,1)), 0, MONTH(MIN($E$1, DATE(Initialisatie!$C$5,12,31))) - MONTH(MAX($E$2, DATE(Initialisatie!$C$5,1,1))) + 1)),
        IFERROR(VALUE($F158),0) * MAX(0, IF(MIN($F$1, DATE(Initialisatie!$C$5,12,31)) &lt; MAX($F$2, DATE(Initialisatie!$C$5,1,1)), 0, MONTH(MIN($F$1, DATE(Initialisatie!$C$5,12,31))) - MONTH(MAX($F$2, DATE(Initialisatie!$C$5,1,1))) + 1)),
        IFERROR(VALUE($G158),0) * MAX(0, IF(MIN($G$1, DATE(Initialisatie!$C$5,12,31)) &lt; MAX($G$2, DATE(Initialisatie!$C$5,1,1)), 0, MONTH(MIN($G$1, DATE(Initialisatie!$C$5,12,31))) - MONTH(MAX($G$2, DATE(Initialisatie!$C$5,1,1))) + 1)),
        IFERROR(VALUE($H158),0) * MAX(0, IF(MIN($H$1, DATE(Initialisatie!$C$5,12,31)) &lt; MAX($H$2, DATE(Initialisatie!$C$5,1,1)), 0, MONTH(MIN($H$1, DATE(Initialisatie!$C$5,12,31))) - MONTH(MAX($H$2, DATE(Initialisatie!$C$5,1,1))) + 1)),
        IFERROR(VALUE($I158),0) * MAX(0, IF(MIN($I$1, DATE(Initialisatie!$C$5,12,31)) &lt; MAX($I$2, DATE(Initialisatie!$C$5,1,1)), 0, MONTH(MIN($I$1, DATE(Initialisatie!$C$5,12,31))) - MONTH(MAX($I$2, DATE(Initialisatie!$C$5,1,1))) + 1))
    ) / 12
)</f>
        <v>6863.75</v>
      </c>
    </row>
    <row r="159" spans="1:12" x14ac:dyDescent="0.45">
      <c r="A159" s="989"/>
      <c r="B159" s="35" t="s">
        <v>87</v>
      </c>
      <c r="C159" s="35">
        <v>9</v>
      </c>
      <c r="D159" s="35" t="s">
        <v>132</v>
      </c>
      <c r="E159">
        <v>6537.39</v>
      </c>
      <c r="F159">
        <v>6619.11</v>
      </c>
      <c r="G159">
        <v>6857.39</v>
      </c>
      <c r="H159">
        <v>7111.12</v>
      </c>
      <c r="I159">
        <v>7352.9</v>
      </c>
      <c r="K159">
        <f>IF(
    OR(
        AND(MAX(0, MIN($E$1, DATE(Initialisatie!$C$5,12,31)) - MAX($E$2, DATE(Initialisatie!$C$5,1,1)) + 1) &gt; 0,IFERROR(VALUE($E159),0)=0),
        AND(MAX(0, MIN($F$1, DATE(Initialisatie!$C$5,12,31)) - MAX($F$2, DATE(Initialisatie!$C$5,1,1)) + 1) &gt; 0,IFERROR(VALUE($F159),0)=0),
        AND(MAX(0, MIN($G$1, DATE(Initialisatie!$C$5,12,31)) - MAX($G$2, DATE(Initialisatie!$C$5,1,1)) + 1) &gt; 0,IFERROR(VALUE($G159),0)=0),
        AND(MAX(0, MIN($H$1, DATE(Initialisatie!$C$5,12,31)) - MAX($H$2, DATE(Initialisatie!$C$5,1,1)) + 1) &gt; 0,IFERROR(VALUE($H159),0)=0),
        AND(MAX(0, MIN($I$1, DATE(Initialisatie!$C$5,12,31)) - MAX($I$2, DATE(Initialisatie!$C$5,1,1)) + 1) &gt; 0,IFERROR(VALUE($I159),0)=0)
    ),
    0,
    SUM(
        IFERROR(VALUE($E159),0) * MAX(0, MIN($E$1, DATE(Initialisatie!$C$5,12,31)) - MAX($E$2, DATE(Initialisatie!$C$5,1,1)) + 1),
        IFERROR(VALUE($F159),0) * MAX(0, MIN($F$1, DATE(Initialisatie!$C$5,12,31)) - MAX($F$2, DATE(Initialisatie!$C$5,1,1)) + 1),
        IFERROR(VALUE($G159),0) * MAX(0, MIN($G$1, DATE(Initialisatie!$C$5,12,31)) - MAX($G$2, DATE(Initialisatie!$C$5,1,1)) + 1),
        IFERROR(VALUE($H159),0) * MAX(0, MIN($H$1, DATE(Initialisatie!$C$5,12,31)) - MAX($H$2, DATE(Initialisatie!$C$5,1,1)) + 1),
        IFERROR(VALUE($I159),0) * MAX(0, MIN($I$1, DATE(Initialisatie!$C$5,12,31)) - MAX($I$2, DATE(Initialisatie!$C$5,1,1)) + 1)
    ) / (DATE(Initialisatie!$C$5,12,31) - DATE(Initialisatie!$C$5,1,1) + 1)
)</f>
        <v>7111.12</v>
      </c>
      <c r="L159">
        <f>IF(
    OR(
        AND(MAX(0, IF(MIN($E$1, DATE(Initialisatie!$C$5,12,31)) &lt; MAX($E$2, DATE(Initialisatie!$C$5,1,1)), 0, MONTH(MIN($E$1, DATE(Initialisatie!$C$5,12,31))) - MONTH(MAX($E$2, DATE(Initialisatie!$C$5,1,1))) + 1)) &lt;= 0, IFERROR(VALUE($E159),0)=0),
        AND(MAX(0, IF(MIN($F$1, DATE(Initialisatie!$C$5,12,31)) &lt; MAX($F$2, DATE(Initialisatie!$C$5,1,1)), 0, MONTH(MIN($F$1, DATE(Initialisatie!$C$5,12,31))) - MONTH(MAX($F$2, DATE(Initialisatie!$C$5,1,1))) + 1)) &lt;= 0, IFERROR(VALUE($F159),0)=0),
        AND(MAX(0, IF(MIN($G$1, DATE(Initialisatie!$C$5,12,31)) &lt; MAX($G$2, DATE(Initialisatie!$C$5,1,1)), 0, MONTH(MIN($G$1, DATE(Initialisatie!$C$5,12,31))) - MONTH(MAX($G$2, DATE(Initialisatie!$C$5,1,1))) + 1)) &lt;= 0, IFERROR(VALUE($G159),0)=0),
        AND(MAX(0, IF(MIN($H$1, DATE(Initialisatie!$C$5,12,31)) &lt; MAX($H$2, DATE(Initialisatie!$C$5,1,1)), 0, MONTH(MIN($H$1, DATE(Initialisatie!$C$5,12,31))) - MONTH(MAX($H$2, DATE(Initialisatie!$C$5,1,1))) + 1)) &lt;= 0, IFERROR(VALUE($H159),0)=0),
        AND(MAX(0, IF(MIN($I$1, DATE(Initialisatie!$C$5,12,31)) &lt; MAX($I$2, DATE(Initialisatie!$C$5,1,1)), 0, MONTH(MIN($I$1, DATE(Initialisatie!$C$5,12,31))) - MONTH(MAX($I$2, DATE(Initialisatie!$C$5,1,1))) + 1)) &lt;= 0, IFERROR(VALUE($I159),0)=0)
    ),
    0,
    SUM(
        IFERROR(VALUE($E159),0) * MAX(0, IF(MIN($E$1, DATE(Initialisatie!$C$5,12,31)) &lt; MAX($E$2, DATE(Initialisatie!$C$5,1,1)), 0, MONTH(MIN($E$1, DATE(Initialisatie!$C$5,12,31))) - MONTH(MAX($E$2, DATE(Initialisatie!$C$5,1,1))) + 1)),
        IFERROR(VALUE($F159),0) * MAX(0, IF(MIN($F$1, DATE(Initialisatie!$C$5,12,31)) &lt; MAX($F$2, DATE(Initialisatie!$C$5,1,1)), 0, MONTH(MIN($F$1, DATE(Initialisatie!$C$5,12,31))) - MONTH(MAX($F$2, DATE(Initialisatie!$C$5,1,1))) + 1)),
        IFERROR(VALUE($G159),0) * MAX(0, IF(MIN($G$1, DATE(Initialisatie!$C$5,12,31)) &lt; MAX($G$2, DATE(Initialisatie!$C$5,1,1)), 0, MONTH(MIN($G$1, DATE(Initialisatie!$C$5,12,31))) - MONTH(MAX($G$2, DATE(Initialisatie!$C$5,1,1))) + 1)),
        IFERROR(VALUE($H159),0) * MAX(0, IF(MIN($H$1, DATE(Initialisatie!$C$5,12,31)) &lt; MAX($H$2, DATE(Initialisatie!$C$5,1,1)), 0, MONTH(MIN($H$1, DATE(Initialisatie!$C$5,12,31))) - MONTH(MAX($H$2, DATE(Initialisatie!$C$5,1,1))) + 1)),
        IFERROR(VALUE($I159),0) * MAX(0, IF(MIN($I$1, DATE(Initialisatie!$C$5,12,31)) &lt; MAX($I$2, DATE(Initialisatie!$C$5,1,1)), 0, MONTH(MIN($I$1, DATE(Initialisatie!$C$5,12,31))) - MONTH(MAX($I$2, DATE(Initialisatie!$C$5,1,1))) + 1))
    ) / 12
)</f>
        <v>7111.12</v>
      </c>
    </row>
    <row r="160" spans="1:12" x14ac:dyDescent="0.45">
      <c r="A160" s="989"/>
      <c r="B160" s="35" t="s">
        <v>109</v>
      </c>
      <c r="C160" s="35">
        <v>10</v>
      </c>
      <c r="D160" s="35" t="s">
        <v>143</v>
      </c>
      <c r="E160">
        <v>6772.8</v>
      </c>
      <c r="F160">
        <v>6857.46</v>
      </c>
      <c r="G160">
        <v>7104.33</v>
      </c>
      <c r="H160">
        <v>7367.19</v>
      </c>
      <c r="I160">
        <v>7617.68</v>
      </c>
      <c r="K160">
        <f>IF(
    OR(
        AND(MAX(0, MIN($E$1, DATE(Initialisatie!$C$5,12,31)) - MAX($E$2, DATE(Initialisatie!$C$5,1,1)) + 1) &gt; 0,IFERROR(VALUE($E160),0)=0),
        AND(MAX(0, MIN($F$1, DATE(Initialisatie!$C$5,12,31)) - MAX($F$2, DATE(Initialisatie!$C$5,1,1)) + 1) &gt; 0,IFERROR(VALUE($F160),0)=0),
        AND(MAX(0, MIN($G$1, DATE(Initialisatie!$C$5,12,31)) - MAX($G$2, DATE(Initialisatie!$C$5,1,1)) + 1) &gt; 0,IFERROR(VALUE($G160),0)=0),
        AND(MAX(0, MIN($H$1, DATE(Initialisatie!$C$5,12,31)) - MAX($H$2, DATE(Initialisatie!$C$5,1,1)) + 1) &gt; 0,IFERROR(VALUE($H160),0)=0),
        AND(MAX(0, MIN($I$1, DATE(Initialisatie!$C$5,12,31)) - MAX($I$2, DATE(Initialisatie!$C$5,1,1)) + 1) &gt; 0,IFERROR(VALUE($I160),0)=0)
    ),
    0,
    SUM(
        IFERROR(VALUE($E160),0) * MAX(0, MIN($E$1, DATE(Initialisatie!$C$5,12,31)) - MAX($E$2, DATE(Initialisatie!$C$5,1,1)) + 1),
        IFERROR(VALUE($F160),0) * MAX(0, MIN($F$1, DATE(Initialisatie!$C$5,12,31)) - MAX($F$2, DATE(Initialisatie!$C$5,1,1)) + 1),
        IFERROR(VALUE($G160),0) * MAX(0, MIN($G$1, DATE(Initialisatie!$C$5,12,31)) - MAX($G$2, DATE(Initialisatie!$C$5,1,1)) + 1),
        IFERROR(VALUE($H160),0) * MAX(0, MIN($H$1, DATE(Initialisatie!$C$5,12,31)) - MAX($H$2, DATE(Initialisatie!$C$5,1,1)) + 1),
        IFERROR(VALUE($I160),0) * MAX(0, MIN($I$1, DATE(Initialisatie!$C$5,12,31)) - MAX($I$2, DATE(Initialisatie!$C$5,1,1)) + 1)
    ) / (DATE(Initialisatie!$C$5,12,31) - DATE(Initialisatie!$C$5,1,1) + 1)
)</f>
        <v>7367.1899999999987</v>
      </c>
      <c r="L160">
        <f>IF(
    OR(
        AND(MAX(0, IF(MIN($E$1, DATE(Initialisatie!$C$5,12,31)) &lt; MAX($E$2, DATE(Initialisatie!$C$5,1,1)), 0, MONTH(MIN($E$1, DATE(Initialisatie!$C$5,12,31))) - MONTH(MAX($E$2, DATE(Initialisatie!$C$5,1,1))) + 1)) &lt;= 0, IFERROR(VALUE($E160),0)=0),
        AND(MAX(0, IF(MIN($F$1, DATE(Initialisatie!$C$5,12,31)) &lt; MAX($F$2, DATE(Initialisatie!$C$5,1,1)), 0, MONTH(MIN($F$1, DATE(Initialisatie!$C$5,12,31))) - MONTH(MAX($F$2, DATE(Initialisatie!$C$5,1,1))) + 1)) &lt;= 0, IFERROR(VALUE($F160),0)=0),
        AND(MAX(0, IF(MIN($G$1, DATE(Initialisatie!$C$5,12,31)) &lt; MAX($G$2, DATE(Initialisatie!$C$5,1,1)), 0, MONTH(MIN($G$1, DATE(Initialisatie!$C$5,12,31))) - MONTH(MAX($G$2, DATE(Initialisatie!$C$5,1,1))) + 1)) &lt;= 0, IFERROR(VALUE($G160),0)=0),
        AND(MAX(0, IF(MIN($H$1, DATE(Initialisatie!$C$5,12,31)) &lt; MAX($H$2, DATE(Initialisatie!$C$5,1,1)), 0, MONTH(MIN($H$1, DATE(Initialisatie!$C$5,12,31))) - MONTH(MAX($H$2, DATE(Initialisatie!$C$5,1,1))) + 1)) &lt;= 0, IFERROR(VALUE($H160),0)=0),
        AND(MAX(0, IF(MIN($I$1, DATE(Initialisatie!$C$5,12,31)) &lt; MAX($I$2, DATE(Initialisatie!$C$5,1,1)), 0, MONTH(MIN($I$1, DATE(Initialisatie!$C$5,12,31))) - MONTH(MAX($I$2, DATE(Initialisatie!$C$5,1,1))) + 1)) &lt;= 0, IFERROR(VALUE($I160),0)=0)
    ),
    0,
    SUM(
        IFERROR(VALUE($E160),0) * MAX(0, IF(MIN($E$1, DATE(Initialisatie!$C$5,12,31)) &lt; MAX($E$2, DATE(Initialisatie!$C$5,1,1)), 0, MONTH(MIN($E$1, DATE(Initialisatie!$C$5,12,31))) - MONTH(MAX($E$2, DATE(Initialisatie!$C$5,1,1))) + 1)),
        IFERROR(VALUE($F160),0) * MAX(0, IF(MIN($F$1, DATE(Initialisatie!$C$5,12,31)) &lt; MAX($F$2, DATE(Initialisatie!$C$5,1,1)), 0, MONTH(MIN($F$1, DATE(Initialisatie!$C$5,12,31))) - MONTH(MAX($F$2, DATE(Initialisatie!$C$5,1,1))) + 1)),
        IFERROR(VALUE($G160),0) * MAX(0, IF(MIN($G$1, DATE(Initialisatie!$C$5,12,31)) &lt; MAX($G$2, DATE(Initialisatie!$C$5,1,1)), 0, MONTH(MIN($G$1, DATE(Initialisatie!$C$5,12,31))) - MONTH(MAX($G$2, DATE(Initialisatie!$C$5,1,1))) + 1)),
        IFERROR(VALUE($H160),0) * MAX(0, IF(MIN($H$1, DATE(Initialisatie!$C$5,12,31)) &lt; MAX($H$2, DATE(Initialisatie!$C$5,1,1)), 0, MONTH(MIN($H$1, DATE(Initialisatie!$C$5,12,31))) - MONTH(MAX($H$2, DATE(Initialisatie!$C$5,1,1))) + 1)),
        IFERROR(VALUE($I160),0) * MAX(0, IF(MIN($I$1, DATE(Initialisatie!$C$5,12,31)) &lt; MAX($I$2, DATE(Initialisatie!$C$5,1,1)), 0, MONTH(MIN($I$1, DATE(Initialisatie!$C$5,12,31))) - MONTH(MAX($I$2, DATE(Initialisatie!$C$5,1,1))) + 1))
    ) / 12
)</f>
        <v>7367.19</v>
      </c>
    </row>
    <row r="161" spans="1:12" x14ac:dyDescent="0.45">
      <c r="A161" s="989"/>
      <c r="B161" s="35" t="s">
        <v>107</v>
      </c>
      <c r="C161" s="35">
        <v>11</v>
      </c>
      <c r="D161" s="35" t="s">
        <v>142</v>
      </c>
      <c r="E161">
        <v>7016.89</v>
      </c>
      <c r="F161">
        <v>7104.6</v>
      </c>
      <c r="G161">
        <v>7360.37</v>
      </c>
      <c r="H161">
        <v>7632.7</v>
      </c>
      <c r="I161">
        <v>7892.22</v>
      </c>
      <c r="K161">
        <f>IF(
    OR(
        AND(MAX(0, MIN($E$1, DATE(Initialisatie!$C$5,12,31)) - MAX($E$2, DATE(Initialisatie!$C$5,1,1)) + 1) &gt; 0,IFERROR(VALUE($E161),0)=0),
        AND(MAX(0, MIN($F$1, DATE(Initialisatie!$C$5,12,31)) - MAX($F$2, DATE(Initialisatie!$C$5,1,1)) + 1) &gt; 0,IFERROR(VALUE($F161),0)=0),
        AND(MAX(0, MIN($G$1, DATE(Initialisatie!$C$5,12,31)) - MAX($G$2, DATE(Initialisatie!$C$5,1,1)) + 1) &gt; 0,IFERROR(VALUE($G161),0)=0),
        AND(MAX(0, MIN($H$1, DATE(Initialisatie!$C$5,12,31)) - MAX($H$2, DATE(Initialisatie!$C$5,1,1)) + 1) &gt; 0,IFERROR(VALUE($H161),0)=0),
        AND(MAX(0, MIN($I$1, DATE(Initialisatie!$C$5,12,31)) - MAX($I$2, DATE(Initialisatie!$C$5,1,1)) + 1) &gt; 0,IFERROR(VALUE($I161),0)=0)
    ),
    0,
    SUM(
        IFERROR(VALUE($E161),0) * MAX(0, MIN($E$1, DATE(Initialisatie!$C$5,12,31)) - MAX($E$2, DATE(Initialisatie!$C$5,1,1)) + 1),
        IFERROR(VALUE($F161),0) * MAX(0, MIN($F$1, DATE(Initialisatie!$C$5,12,31)) - MAX($F$2, DATE(Initialisatie!$C$5,1,1)) + 1),
        IFERROR(VALUE($G161),0) * MAX(0, MIN($G$1, DATE(Initialisatie!$C$5,12,31)) - MAX($G$2, DATE(Initialisatie!$C$5,1,1)) + 1),
        IFERROR(VALUE($H161),0) * MAX(0, MIN($H$1, DATE(Initialisatie!$C$5,12,31)) - MAX($H$2, DATE(Initialisatie!$C$5,1,1)) + 1),
        IFERROR(VALUE($I161),0) * MAX(0, MIN($I$1, DATE(Initialisatie!$C$5,12,31)) - MAX($I$2, DATE(Initialisatie!$C$5,1,1)) + 1)
    ) / (DATE(Initialisatie!$C$5,12,31) - DATE(Initialisatie!$C$5,1,1) + 1)
)</f>
        <v>7632.7</v>
      </c>
      <c r="L161">
        <f>IF(
    OR(
        AND(MAX(0, IF(MIN($E$1, DATE(Initialisatie!$C$5,12,31)) &lt; MAX($E$2, DATE(Initialisatie!$C$5,1,1)), 0, MONTH(MIN($E$1, DATE(Initialisatie!$C$5,12,31))) - MONTH(MAX($E$2, DATE(Initialisatie!$C$5,1,1))) + 1)) &lt;= 0, IFERROR(VALUE($E161),0)=0),
        AND(MAX(0, IF(MIN($F$1, DATE(Initialisatie!$C$5,12,31)) &lt; MAX($F$2, DATE(Initialisatie!$C$5,1,1)), 0, MONTH(MIN($F$1, DATE(Initialisatie!$C$5,12,31))) - MONTH(MAX($F$2, DATE(Initialisatie!$C$5,1,1))) + 1)) &lt;= 0, IFERROR(VALUE($F161),0)=0),
        AND(MAX(0, IF(MIN($G$1, DATE(Initialisatie!$C$5,12,31)) &lt; MAX($G$2, DATE(Initialisatie!$C$5,1,1)), 0, MONTH(MIN($G$1, DATE(Initialisatie!$C$5,12,31))) - MONTH(MAX($G$2, DATE(Initialisatie!$C$5,1,1))) + 1)) &lt;= 0, IFERROR(VALUE($G161),0)=0),
        AND(MAX(0, IF(MIN($H$1, DATE(Initialisatie!$C$5,12,31)) &lt; MAX($H$2, DATE(Initialisatie!$C$5,1,1)), 0, MONTH(MIN($H$1, DATE(Initialisatie!$C$5,12,31))) - MONTH(MAX($H$2, DATE(Initialisatie!$C$5,1,1))) + 1)) &lt;= 0, IFERROR(VALUE($H161),0)=0),
        AND(MAX(0, IF(MIN($I$1, DATE(Initialisatie!$C$5,12,31)) &lt; MAX($I$2, DATE(Initialisatie!$C$5,1,1)), 0, MONTH(MIN($I$1, DATE(Initialisatie!$C$5,12,31))) - MONTH(MAX($I$2, DATE(Initialisatie!$C$5,1,1))) + 1)) &lt;= 0, IFERROR(VALUE($I161),0)=0)
    ),
    0,
    SUM(
        IFERROR(VALUE($E161),0) * MAX(0, IF(MIN($E$1, DATE(Initialisatie!$C$5,12,31)) &lt; MAX($E$2, DATE(Initialisatie!$C$5,1,1)), 0, MONTH(MIN($E$1, DATE(Initialisatie!$C$5,12,31))) - MONTH(MAX($E$2, DATE(Initialisatie!$C$5,1,1))) + 1)),
        IFERROR(VALUE($F161),0) * MAX(0, IF(MIN($F$1, DATE(Initialisatie!$C$5,12,31)) &lt; MAX($F$2, DATE(Initialisatie!$C$5,1,1)), 0, MONTH(MIN($F$1, DATE(Initialisatie!$C$5,12,31))) - MONTH(MAX($F$2, DATE(Initialisatie!$C$5,1,1))) + 1)),
        IFERROR(VALUE($G161),0) * MAX(0, IF(MIN($G$1, DATE(Initialisatie!$C$5,12,31)) &lt; MAX($G$2, DATE(Initialisatie!$C$5,1,1)), 0, MONTH(MIN($G$1, DATE(Initialisatie!$C$5,12,31))) - MONTH(MAX($G$2, DATE(Initialisatie!$C$5,1,1))) + 1)),
        IFERROR(VALUE($H161),0) * MAX(0, IF(MIN($H$1, DATE(Initialisatie!$C$5,12,31)) &lt; MAX($H$2, DATE(Initialisatie!$C$5,1,1)), 0, MONTH(MIN($H$1, DATE(Initialisatie!$C$5,12,31))) - MONTH(MAX($H$2, DATE(Initialisatie!$C$5,1,1))) + 1)),
        IFERROR(VALUE($I161),0) * MAX(0, IF(MIN($I$1, DATE(Initialisatie!$C$5,12,31)) &lt; MAX($I$2, DATE(Initialisatie!$C$5,1,1)), 0, MONTH(MIN($I$1, DATE(Initialisatie!$C$5,12,31))) - MONTH(MAX($I$2, DATE(Initialisatie!$C$5,1,1))) + 1))
    ) / 12
)</f>
        <v>7632.7</v>
      </c>
    </row>
    <row r="162" spans="1:12" x14ac:dyDescent="0.45">
      <c r="A162" s="989"/>
      <c r="B162" s="35" t="s">
        <v>105</v>
      </c>
      <c r="C162" s="35">
        <v>12</v>
      </c>
      <c r="D162" s="35" t="s">
        <v>141</v>
      </c>
      <c r="E162">
        <v>7269.03</v>
      </c>
      <c r="F162">
        <v>7359.89</v>
      </c>
      <c r="G162">
        <v>7624.85</v>
      </c>
      <c r="H162">
        <v>7906.96</v>
      </c>
      <c r="I162">
        <v>8175.8</v>
      </c>
      <c r="K162">
        <f>IF(
    OR(
        AND(MAX(0, MIN($E$1, DATE(Initialisatie!$C$5,12,31)) - MAX($E$2, DATE(Initialisatie!$C$5,1,1)) + 1) &gt; 0,IFERROR(VALUE($E162),0)=0),
        AND(MAX(0, MIN($F$1, DATE(Initialisatie!$C$5,12,31)) - MAX($F$2, DATE(Initialisatie!$C$5,1,1)) + 1) &gt; 0,IFERROR(VALUE($F162),0)=0),
        AND(MAX(0, MIN($G$1, DATE(Initialisatie!$C$5,12,31)) - MAX($G$2, DATE(Initialisatie!$C$5,1,1)) + 1) &gt; 0,IFERROR(VALUE($G162),0)=0),
        AND(MAX(0, MIN($H$1, DATE(Initialisatie!$C$5,12,31)) - MAX($H$2, DATE(Initialisatie!$C$5,1,1)) + 1) &gt; 0,IFERROR(VALUE($H162),0)=0),
        AND(MAX(0, MIN($I$1, DATE(Initialisatie!$C$5,12,31)) - MAX($I$2, DATE(Initialisatie!$C$5,1,1)) + 1) &gt; 0,IFERROR(VALUE($I162),0)=0)
    ),
    0,
    SUM(
        IFERROR(VALUE($E162),0) * MAX(0, MIN($E$1, DATE(Initialisatie!$C$5,12,31)) - MAX($E$2, DATE(Initialisatie!$C$5,1,1)) + 1),
        IFERROR(VALUE($F162),0) * MAX(0, MIN($F$1, DATE(Initialisatie!$C$5,12,31)) - MAX($F$2, DATE(Initialisatie!$C$5,1,1)) + 1),
        IFERROR(VALUE($G162),0) * MAX(0, MIN($G$1, DATE(Initialisatie!$C$5,12,31)) - MAX($G$2, DATE(Initialisatie!$C$5,1,1)) + 1),
        IFERROR(VALUE($H162),0) * MAX(0, MIN($H$1, DATE(Initialisatie!$C$5,12,31)) - MAX($H$2, DATE(Initialisatie!$C$5,1,1)) + 1),
        IFERROR(VALUE($I162),0) * MAX(0, MIN($I$1, DATE(Initialisatie!$C$5,12,31)) - MAX($I$2, DATE(Initialisatie!$C$5,1,1)) + 1)
    ) / (DATE(Initialisatie!$C$5,12,31) - DATE(Initialisatie!$C$5,1,1) + 1)
)</f>
        <v>7906.96</v>
      </c>
      <c r="L162">
        <f>IF(
    OR(
        AND(MAX(0, IF(MIN($E$1, DATE(Initialisatie!$C$5,12,31)) &lt; MAX($E$2, DATE(Initialisatie!$C$5,1,1)), 0, MONTH(MIN($E$1, DATE(Initialisatie!$C$5,12,31))) - MONTH(MAX($E$2, DATE(Initialisatie!$C$5,1,1))) + 1)) &lt;= 0, IFERROR(VALUE($E162),0)=0),
        AND(MAX(0, IF(MIN($F$1, DATE(Initialisatie!$C$5,12,31)) &lt; MAX($F$2, DATE(Initialisatie!$C$5,1,1)), 0, MONTH(MIN($F$1, DATE(Initialisatie!$C$5,12,31))) - MONTH(MAX($F$2, DATE(Initialisatie!$C$5,1,1))) + 1)) &lt;= 0, IFERROR(VALUE($F162),0)=0),
        AND(MAX(0, IF(MIN($G$1, DATE(Initialisatie!$C$5,12,31)) &lt; MAX($G$2, DATE(Initialisatie!$C$5,1,1)), 0, MONTH(MIN($G$1, DATE(Initialisatie!$C$5,12,31))) - MONTH(MAX($G$2, DATE(Initialisatie!$C$5,1,1))) + 1)) &lt;= 0, IFERROR(VALUE($G162),0)=0),
        AND(MAX(0, IF(MIN($H$1, DATE(Initialisatie!$C$5,12,31)) &lt; MAX($H$2, DATE(Initialisatie!$C$5,1,1)), 0, MONTH(MIN($H$1, DATE(Initialisatie!$C$5,12,31))) - MONTH(MAX($H$2, DATE(Initialisatie!$C$5,1,1))) + 1)) &lt;= 0, IFERROR(VALUE($H162),0)=0),
        AND(MAX(0, IF(MIN($I$1, DATE(Initialisatie!$C$5,12,31)) &lt; MAX($I$2, DATE(Initialisatie!$C$5,1,1)), 0, MONTH(MIN($I$1, DATE(Initialisatie!$C$5,12,31))) - MONTH(MAX($I$2, DATE(Initialisatie!$C$5,1,1))) + 1)) &lt;= 0, IFERROR(VALUE($I162),0)=0)
    ),
    0,
    SUM(
        IFERROR(VALUE($E162),0) * MAX(0, IF(MIN($E$1, DATE(Initialisatie!$C$5,12,31)) &lt; MAX($E$2, DATE(Initialisatie!$C$5,1,1)), 0, MONTH(MIN($E$1, DATE(Initialisatie!$C$5,12,31))) - MONTH(MAX($E$2, DATE(Initialisatie!$C$5,1,1))) + 1)),
        IFERROR(VALUE($F162),0) * MAX(0, IF(MIN($F$1, DATE(Initialisatie!$C$5,12,31)) &lt; MAX($F$2, DATE(Initialisatie!$C$5,1,1)), 0, MONTH(MIN($F$1, DATE(Initialisatie!$C$5,12,31))) - MONTH(MAX($F$2, DATE(Initialisatie!$C$5,1,1))) + 1)),
        IFERROR(VALUE($G162),0) * MAX(0, IF(MIN($G$1, DATE(Initialisatie!$C$5,12,31)) &lt; MAX($G$2, DATE(Initialisatie!$C$5,1,1)), 0, MONTH(MIN($G$1, DATE(Initialisatie!$C$5,12,31))) - MONTH(MAX($G$2, DATE(Initialisatie!$C$5,1,1))) + 1)),
        IFERROR(VALUE($H162),0) * MAX(0, IF(MIN($H$1, DATE(Initialisatie!$C$5,12,31)) &lt; MAX($H$2, DATE(Initialisatie!$C$5,1,1)), 0, MONTH(MIN($H$1, DATE(Initialisatie!$C$5,12,31))) - MONTH(MAX($H$2, DATE(Initialisatie!$C$5,1,1))) + 1)),
        IFERROR(VALUE($I162),0) * MAX(0, IF(MIN($I$1, DATE(Initialisatie!$C$5,12,31)) &lt; MAX($I$2, DATE(Initialisatie!$C$5,1,1)), 0, MONTH(MIN($I$1, DATE(Initialisatie!$C$5,12,31))) - MONTH(MAX($I$2, DATE(Initialisatie!$C$5,1,1))) + 1))
    ) / 12
)</f>
        <v>7906.96</v>
      </c>
    </row>
    <row r="163" spans="1:12" x14ac:dyDescent="0.45">
      <c r="A163" s="989"/>
      <c r="B163" s="35" t="s">
        <v>103</v>
      </c>
      <c r="C163" s="35">
        <v>13</v>
      </c>
      <c r="D163" s="35" t="s">
        <v>140</v>
      </c>
      <c r="E163">
        <v>7530.56</v>
      </c>
      <c r="F163">
        <v>7624.69</v>
      </c>
      <c r="G163">
        <v>7899.18</v>
      </c>
      <c r="H163">
        <v>8191.45</v>
      </c>
      <c r="I163">
        <v>8469.9599999999991</v>
      </c>
      <c r="K163">
        <f>IF(
    OR(
        AND(MAX(0, MIN($E$1, DATE(Initialisatie!$C$5,12,31)) - MAX($E$2, DATE(Initialisatie!$C$5,1,1)) + 1) &gt; 0,IFERROR(VALUE($E163),0)=0),
        AND(MAX(0, MIN($F$1, DATE(Initialisatie!$C$5,12,31)) - MAX($F$2, DATE(Initialisatie!$C$5,1,1)) + 1) &gt; 0,IFERROR(VALUE($F163),0)=0),
        AND(MAX(0, MIN($G$1, DATE(Initialisatie!$C$5,12,31)) - MAX($G$2, DATE(Initialisatie!$C$5,1,1)) + 1) &gt; 0,IFERROR(VALUE($G163),0)=0),
        AND(MAX(0, MIN($H$1, DATE(Initialisatie!$C$5,12,31)) - MAX($H$2, DATE(Initialisatie!$C$5,1,1)) + 1) &gt; 0,IFERROR(VALUE($H163),0)=0),
        AND(MAX(0, MIN($I$1, DATE(Initialisatie!$C$5,12,31)) - MAX($I$2, DATE(Initialisatie!$C$5,1,1)) + 1) &gt; 0,IFERROR(VALUE($I163),0)=0)
    ),
    0,
    SUM(
        IFERROR(VALUE($E163),0) * MAX(0, MIN($E$1, DATE(Initialisatie!$C$5,12,31)) - MAX($E$2, DATE(Initialisatie!$C$5,1,1)) + 1),
        IFERROR(VALUE($F163),0) * MAX(0, MIN($F$1, DATE(Initialisatie!$C$5,12,31)) - MAX($F$2, DATE(Initialisatie!$C$5,1,1)) + 1),
        IFERROR(VALUE($G163),0) * MAX(0, MIN($G$1, DATE(Initialisatie!$C$5,12,31)) - MAX($G$2, DATE(Initialisatie!$C$5,1,1)) + 1),
        IFERROR(VALUE($H163),0) * MAX(0, MIN($H$1, DATE(Initialisatie!$C$5,12,31)) - MAX($H$2, DATE(Initialisatie!$C$5,1,1)) + 1),
        IFERROR(VALUE($I163),0) * MAX(0, MIN($I$1, DATE(Initialisatie!$C$5,12,31)) - MAX($I$2, DATE(Initialisatie!$C$5,1,1)) + 1)
    ) / (DATE(Initialisatie!$C$5,12,31) - DATE(Initialisatie!$C$5,1,1) + 1)
)</f>
        <v>8191.45</v>
      </c>
      <c r="L163">
        <f>IF(
    OR(
        AND(MAX(0, IF(MIN($E$1, DATE(Initialisatie!$C$5,12,31)) &lt; MAX($E$2, DATE(Initialisatie!$C$5,1,1)), 0, MONTH(MIN($E$1, DATE(Initialisatie!$C$5,12,31))) - MONTH(MAX($E$2, DATE(Initialisatie!$C$5,1,1))) + 1)) &lt;= 0, IFERROR(VALUE($E163),0)=0),
        AND(MAX(0, IF(MIN($F$1, DATE(Initialisatie!$C$5,12,31)) &lt; MAX($F$2, DATE(Initialisatie!$C$5,1,1)), 0, MONTH(MIN($F$1, DATE(Initialisatie!$C$5,12,31))) - MONTH(MAX($F$2, DATE(Initialisatie!$C$5,1,1))) + 1)) &lt;= 0, IFERROR(VALUE($F163),0)=0),
        AND(MAX(0, IF(MIN($G$1, DATE(Initialisatie!$C$5,12,31)) &lt; MAX($G$2, DATE(Initialisatie!$C$5,1,1)), 0, MONTH(MIN($G$1, DATE(Initialisatie!$C$5,12,31))) - MONTH(MAX($G$2, DATE(Initialisatie!$C$5,1,1))) + 1)) &lt;= 0, IFERROR(VALUE($G163),0)=0),
        AND(MAX(0, IF(MIN($H$1, DATE(Initialisatie!$C$5,12,31)) &lt; MAX($H$2, DATE(Initialisatie!$C$5,1,1)), 0, MONTH(MIN($H$1, DATE(Initialisatie!$C$5,12,31))) - MONTH(MAX($H$2, DATE(Initialisatie!$C$5,1,1))) + 1)) &lt;= 0, IFERROR(VALUE($H163),0)=0),
        AND(MAX(0, IF(MIN($I$1, DATE(Initialisatie!$C$5,12,31)) &lt; MAX($I$2, DATE(Initialisatie!$C$5,1,1)), 0, MONTH(MIN($I$1, DATE(Initialisatie!$C$5,12,31))) - MONTH(MAX($I$2, DATE(Initialisatie!$C$5,1,1))) + 1)) &lt;= 0, IFERROR(VALUE($I163),0)=0)
    ),
    0,
    SUM(
        IFERROR(VALUE($E163),0) * MAX(0, IF(MIN($E$1, DATE(Initialisatie!$C$5,12,31)) &lt; MAX($E$2, DATE(Initialisatie!$C$5,1,1)), 0, MONTH(MIN($E$1, DATE(Initialisatie!$C$5,12,31))) - MONTH(MAX($E$2, DATE(Initialisatie!$C$5,1,1))) + 1)),
        IFERROR(VALUE($F163),0) * MAX(0, IF(MIN($F$1, DATE(Initialisatie!$C$5,12,31)) &lt; MAX($F$2, DATE(Initialisatie!$C$5,1,1)), 0, MONTH(MIN($F$1, DATE(Initialisatie!$C$5,12,31))) - MONTH(MAX($F$2, DATE(Initialisatie!$C$5,1,1))) + 1)),
        IFERROR(VALUE($G163),0) * MAX(0, IF(MIN($G$1, DATE(Initialisatie!$C$5,12,31)) &lt; MAX($G$2, DATE(Initialisatie!$C$5,1,1)), 0, MONTH(MIN($G$1, DATE(Initialisatie!$C$5,12,31))) - MONTH(MAX($G$2, DATE(Initialisatie!$C$5,1,1))) + 1)),
        IFERROR(VALUE($H163),0) * MAX(0, IF(MIN($H$1, DATE(Initialisatie!$C$5,12,31)) &lt; MAX($H$2, DATE(Initialisatie!$C$5,1,1)), 0, MONTH(MIN($H$1, DATE(Initialisatie!$C$5,12,31))) - MONTH(MAX($H$2, DATE(Initialisatie!$C$5,1,1))) + 1)),
        IFERROR(VALUE($I163),0) * MAX(0, IF(MIN($I$1, DATE(Initialisatie!$C$5,12,31)) &lt; MAX($I$2, DATE(Initialisatie!$C$5,1,1)), 0, MONTH(MIN($I$1, DATE(Initialisatie!$C$5,12,31))) - MONTH(MAX($I$2, DATE(Initialisatie!$C$5,1,1))) + 1))
    ) / 12
)</f>
        <v>8191.45</v>
      </c>
    </row>
    <row r="164" spans="1:12" x14ac:dyDescent="0.45">
      <c r="A164" s="989"/>
      <c r="B164" s="35" t="s">
        <v>531</v>
      </c>
      <c r="C164" s="35">
        <v>14</v>
      </c>
      <c r="D164" s="35" t="s">
        <v>131</v>
      </c>
      <c r="E164">
        <v>7802.29</v>
      </c>
      <c r="F164">
        <v>7899.82</v>
      </c>
      <c r="G164">
        <v>8184.22</v>
      </c>
      <c r="H164">
        <v>8487.0300000000007</v>
      </c>
      <c r="I164">
        <v>8775.59</v>
      </c>
      <c r="K164">
        <f>IF(
    OR(
        AND(MAX(0, MIN($E$1, DATE(Initialisatie!$C$5,12,31)) - MAX($E$2, DATE(Initialisatie!$C$5,1,1)) + 1) &gt; 0,IFERROR(VALUE($E164),0)=0),
        AND(MAX(0, MIN($F$1, DATE(Initialisatie!$C$5,12,31)) - MAX($F$2, DATE(Initialisatie!$C$5,1,1)) + 1) &gt; 0,IFERROR(VALUE($F164),0)=0),
        AND(MAX(0, MIN($G$1, DATE(Initialisatie!$C$5,12,31)) - MAX($G$2, DATE(Initialisatie!$C$5,1,1)) + 1) &gt; 0,IFERROR(VALUE($G164),0)=0),
        AND(MAX(0, MIN($H$1, DATE(Initialisatie!$C$5,12,31)) - MAX($H$2, DATE(Initialisatie!$C$5,1,1)) + 1) &gt; 0,IFERROR(VALUE($H164),0)=0),
        AND(MAX(0, MIN($I$1, DATE(Initialisatie!$C$5,12,31)) - MAX($I$2, DATE(Initialisatie!$C$5,1,1)) + 1) &gt; 0,IFERROR(VALUE($I164),0)=0)
    ),
    0,
    SUM(
        IFERROR(VALUE($E164),0) * MAX(0, MIN($E$1, DATE(Initialisatie!$C$5,12,31)) - MAX($E$2, DATE(Initialisatie!$C$5,1,1)) + 1),
        IFERROR(VALUE($F164),0) * MAX(0, MIN($F$1, DATE(Initialisatie!$C$5,12,31)) - MAX($F$2, DATE(Initialisatie!$C$5,1,1)) + 1),
        IFERROR(VALUE($G164),0) * MAX(0, MIN($G$1, DATE(Initialisatie!$C$5,12,31)) - MAX($G$2, DATE(Initialisatie!$C$5,1,1)) + 1),
        IFERROR(VALUE($H164),0) * MAX(0, MIN($H$1, DATE(Initialisatie!$C$5,12,31)) - MAX($H$2, DATE(Initialisatie!$C$5,1,1)) + 1),
        IFERROR(VALUE($I164),0) * MAX(0, MIN($I$1, DATE(Initialisatie!$C$5,12,31)) - MAX($I$2, DATE(Initialisatie!$C$5,1,1)) + 1)
    ) / (DATE(Initialisatie!$C$5,12,31) - DATE(Initialisatie!$C$5,1,1) + 1)
)</f>
        <v>8487.0300000000007</v>
      </c>
      <c r="L164">
        <f>IF(
    OR(
        AND(MAX(0, IF(MIN($E$1, DATE(Initialisatie!$C$5,12,31)) &lt; MAX($E$2, DATE(Initialisatie!$C$5,1,1)), 0, MONTH(MIN($E$1, DATE(Initialisatie!$C$5,12,31))) - MONTH(MAX($E$2, DATE(Initialisatie!$C$5,1,1))) + 1)) &lt;= 0, IFERROR(VALUE($E164),0)=0),
        AND(MAX(0, IF(MIN($F$1, DATE(Initialisatie!$C$5,12,31)) &lt; MAX($F$2, DATE(Initialisatie!$C$5,1,1)), 0, MONTH(MIN($F$1, DATE(Initialisatie!$C$5,12,31))) - MONTH(MAX($F$2, DATE(Initialisatie!$C$5,1,1))) + 1)) &lt;= 0, IFERROR(VALUE($F164),0)=0),
        AND(MAX(0, IF(MIN($G$1, DATE(Initialisatie!$C$5,12,31)) &lt; MAX($G$2, DATE(Initialisatie!$C$5,1,1)), 0, MONTH(MIN($G$1, DATE(Initialisatie!$C$5,12,31))) - MONTH(MAX($G$2, DATE(Initialisatie!$C$5,1,1))) + 1)) &lt;= 0, IFERROR(VALUE($G164),0)=0),
        AND(MAX(0, IF(MIN($H$1, DATE(Initialisatie!$C$5,12,31)) &lt; MAX($H$2, DATE(Initialisatie!$C$5,1,1)), 0, MONTH(MIN($H$1, DATE(Initialisatie!$C$5,12,31))) - MONTH(MAX($H$2, DATE(Initialisatie!$C$5,1,1))) + 1)) &lt;= 0, IFERROR(VALUE($H164),0)=0),
        AND(MAX(0, IF(MIN($I$1, DATE(Initialisatie!$C$5,12,31)) &lt; MAX($I$2, DATE(Initialisatie!$C$5,1,1)), 0, MONTH(MIN($I$1, DATE(Initialisatie!$C$5,12,31))) - MONTH(MAX($I$2, DATE(Initialisatie!$C$5,1,1))) + 1)) &lt;= 0, IFERROR(VALUE($I164),0)=0)
    ),
    0,
    SUM(
        IFERROR(VALUE($E164),0) * MAX(0, IF(MIN($E$1, DATE(Initialisatie!$C$5,12,31)) &lt; MAX($E$2, DATE(Initialisatie!$C$5,1,1)), 0, MONTH(MIN($E$1, DATE(Initialisatie!$C$5,12,31))) - MONTH(MAX($E$2, DATE(Initialisatie!$C$5,1,1))) + 1)),
        IFERROR(VALUE($F164),0) * MAX(0, IF(MIN($F$1, DATE(Initialisatie!$C$5,12,31)) &lt; MAX($F$2, DATE(Initialisatie!$C$5,1,1)), 0, MONTH(MIN($F$1, DATE(Initialisatie!$C$5,12,31))) - MONTH(MAX($F$2, DATE(Initialisatie!$C$5,1,1))) + 1)),
        IFERROR(VALUE($G164),0) * MAX(0, IF(MIN($G$1, DATE(Initialisatie!$C$5,12,31)) &lt; MAX($G$2, DATE(Initialisatie!$C$5,1,1)), 0, MONTH(MIN($G$1, DATE(Initialisatie!$C$5,12,31))) - MONTH(MAX($G$2, DATE(Initialisatie!$C$5,1,1))) + 1)),
        IFERROR(VALUE($H164),0) * MAX(0, IF(MIN($H$1, DATE(Initialisatie!$C$5,12,31)) &lt; MAX($H$2, DATE(Initialisatie!$C$5,1,1)), 0, MONTH(MIN($H$1, DATE(Initialisatie!$C$5,12,31))) - MONTH(MAX($H$2, DATE(Initialisatie!$C$5,1,1))) + 1)),
        IFERROR(VALUE($I164),0) * MAX(0, IF(MIN($I$1, DATE(Initialisatie!$C$5,12,31)) &lt; MAX($I$2, DATE(Initialisatie!$C$5,1,1)), 0, MONTH(MIN($I$1, DATE(Initialisatie!$C$5,12,31))) - MONTH(MAX($I$2, DATE(Initialisatie!$C$5,1,1))) + 1))
    ) / 12
)</f>
        <v>8487.0300000000007</v>
      </c>
    </row>
    <row r="165" spans="1:12" x14ac:dyDescent="0.45">
      <c r="A165" s="990"/>
      <c r="B165" s="35" t="s">
        <v>533</v>
      </c>
      <c r="C165" s="35">
        <v>15</v>
      </c>
      <c r="D165" s="35" t="s">
        <v>130</v>
      </c>
      <c r="E165">
        <v>8082.73</v>
      </c>
      <c r="F165">
        <v>8183.76</v>
      </c>
      <c r="G165">
        <v>8478.3799999999992</v>
      </c>
      <c r="H165">
        <v>8792.08</v>
      </c>
      <c r="I165">
        <v>9091.01</v>
      </c>
      <c r="K165">
        <f>IF(
    OR(
        AND(MAX(0, MIN($E$1, DATE(Initialisatie!$C$5,12,31)) - MAX($E$2, DATE(Initialisatie!$C$5,1,1)) + 1) &gt; 0,IFERROR(VALUE($E165),0)=0),
        AND(MAX(0, MIN($F$1, DATE(Initialisatie!$C$5,12,31)) - MAX($F$2, DATE(Initialisatie!$C$5,1,1)) + 1) &gt; 0,IFERROR(VALUE($F165),0)=0),
        AND(MAX(0, MIN($G$1, DATE(Initialisatie!$C$5,12,31)) - MAX($G$2, DATE(Initialisatie!$C$5,1,1)) + 1) &gt; 0,IFERROR(VALUE($G165),0)=0),
        AND(MAX(0, MIN($H$1, DATE(Initialisatie!$C$5,12,31)) - MAX($H$2, DATE(Initialisatie!$C$5,1,1)) + 1) &gt; 0,IFERROR(VALUE($H165),0)=0),
        AND(MAX(0, MIN($I$1, DATE(Initialisatie!$C$5,12,31)) - MAX($I$2, DATE(Initialisatie!$C$5,1,1)) + 1) &gt; 0,IFERROR(VALUE($I165),0)=0)
    ),
    0,
    SUM(
        IFERROR(VALUE($E165),0) * MAX(0, MIN($E$1, DATE(Initialisatie!$C$5,12,31)) - MAX($E$2, DATE(Initialisatie!$C$5,1,1)) + 1),
        IFERROR(VALUE($F165),0) * MAX(0, MIN($F$1, DATE(Initialisatie!$C$5,12,31)) - MAX($F$2, DATE(Initialisatie!$C$5,1,1)) + 1),
        IFERROR(VALUE($G165),0) * MAX(0, MIN($G$1, DATE(Initialisatie!$C$5,12,31)) - MAX($G$2, DATE(Initialisatie!$C$5,1,1)) + 1),
        IFERROR(VALUE($H165),0) * MAX(0, MIN($H$1, DATE(Initialisatie!$C$5,12,31)) - MAX($H$2, DATE(Initialisatie!$C$5,1,1)) + 1),
        IFERROR(VALUE($I165),0) * MAX(0, MIN($I$1, DATE(Initialisatie!$C$5,12,31)) - MAX($I$2, DATE(Initialisatie!$C$5,1,1)) + 1)
    ) / (DATE(Initialisatie!$C$5,12,31) - DATE(Initialisatie!$C$5,1,1) + 1)
)</f>
        <v>8792.08</v>
      </c>
      <c r="L165">
        <f>IF(
    OR(
        AND(MAX(0, IF(MIN($E$1, DATE(Initialisatie!$C$5,12,31)) &lt; MAX($E$2, DATE(Initialisatie!$C$5,1,1)), 0, MONTH(MIN($E$1, DATE(Initialisatie!$C$5,12,31))) - MONTH(MAX($E$2, DATE(Initialisatie!$C$5,1,1))) + 1)) &lt;= 0, IFERROR(VALUE($E165),0)=0),
        AND(MAX(0, IF(MIN($F$1, DATE(Initialisatie!$C$5,12,31)) &lt; MAX($F$2, DATE(Initialisatie!$C$5,1,1)), 0, MONTH(MIN($F$1, DATE(Initialisatie!$C$5,12,31))) - MONTH(MAX($F$2, DATE(Initialisatie!$C$5,1,1))) + 1)) &lt;= 0, IFERROR(VALUE($F165),0)=0),
        AND(MAX(0, IF(MIN($G$1, DATE(Initialisatie!$C$5,12,31)) &lt; MAX($G$2, DATE(Initialisatie!$C$5,1,1)), 0, MONTH(MIN($G$1, DATE(Initialisatie!$C$5,12,31))) - MONTH(MAX($G$2, DATE(Initialisatie!$C$5,1,1))) + 1)) &lt;= 0, IFERROR(VALUE($G165),0)=0),
        AND(MAX(0, IF(MIN($H$1, DATE(Initialisatie!$C$5,12,31)) &lt; MAX($H$2, DATE(Initialisatie!$C$5,1,1)), 0, MONTH(MIN($H$1, DATE(Initialisatie!$C$5,12,31))) - MONTH(MAX($H$2, DATE(Initialisatie!$C$5,1,1))) + 1)) &lt;= 0, IFERROR(VALUE($H165),0)=0),
        AND(MAX(0, IF(MIN($I$1, DATE(Initialisatie!$C$5,12,31)) &lt; MAX($I$2, DATE(Initialisatie!$C$5,1,1)), 0, MONTH(MIN($I$1, DATE(Initialisatie!$C$5,12,31))) - MONTH(MAX($I$2, DATE(Initialisatie!$C$5,1,1))) + 1)) &lt;= 0, IFERROR(VALUE($I165),0)=0)
    ),
    0,
    SUM(
        IFERROR(VALUE($E165),0) * MAX(0, IF(MIN($E$1, DATE(Initialisatie!$C$5,12,31)) &lt; MAX($E$2, DATE(Initialisatie!$C$5,1,1)), 0, MONTH(MIN($E$1, DATE(Initialisatie!$C$5,12,31))) - MONTH(MAX($E$2, DATE(Initialisatie!$C$5,1,1))) + 1)),
        IFERROR(VALUE($F165),0) * MAX(0, IF(MIN($F$1, DATE(Initialisatie!$C$5,12,31)) &lt; MAX($F$2, DATE(Initialisatie!$C$5,1,1)), 0, MONTH(MIN($F$1, DATE(Initialisatie!$C$5,12,31))) - MONTH(MAX($F$2, DATE(Initialisatie!$C$5,1,1))) + 1)),
        IFERROR(VALUE($G165),0) * MAX(0, IF(MIN($G$1, DATE(Initialisatie!$C$5,12,31)) &lt; MAX($G$2, DATE(Initialisatie!$C$5,1,1)), 0, MONTH(MIN($G$1, DATE(Initialisatie!$C$5,12,31))) - MONTH(MAX($G$2, DATE(Initialisatie!$C$5,1,1))) + 1)),
        IFERROR(VALUE($H165),0) * MAX(0, IF(MIN($H$1, DATE(Initialisatie!$C$5,12,31)) &lt; MAX($H$2, DATE(Initialisatie!$C$5,1,1)), 0, MONTH(MIN($H$1, DATE(Initialisatie!$C$5,12,31))) - MONTH(MAX($H$2, DATE(Initialisatie!$C$5,1,1))) + 1)),
        IFERROR(VALUE($I165),0) * MAX(0, IF(MIN($I$1, DATE(Initialisatie!$C$5,12,31)) &lt; MAX($I$2, DATE(Initialisatie!$C$5,1,1)), 0, MONTH(MIN($I$1, DATE(Initialisatie!$C$5,12,31))) - MONTH(MAX($I$2, DATE(Initialisatie!$C$5,1,1))) + 1))
    ) / 12
)</f>
        <v>8792.08</v>
      </c>
    </row>
    <row r="166" spans="1:12" x14ac:dyDescent="0.45">
      <c r="A166" s="988">
        <v>14</v>
      </c>
      <c r="B166" s="35" t="s">
        <v>113</v>
      </c>
      <c r="C166" s="35">
        <v>0</v>
      </c>
      <c r="D166" s="35" t="s">
        <v>129</v>
      </c>
      <c r="E166">
        <v>5958.34</v>
      </c>
      <c r="F166">
        <v>6032.82</v>
      </c>
      <c r="G166">
        <v>6250</v>
      </c>
      <c r="H166">
        <v>6481.25</v>
      </c>
      <c r="I166">
        <v>6701.61</v>
      </c>
      <c r="K166">
        <f>IF(
    OR(
        AND(MAX(0, MIN($E$1, DATE(Initialisatie!$C$5,12,31)) - MAX($E$2, DATE(Initialisatie!$C$5,1,1)) + 1) &gt; 0,IFERROR(VALUE($E166),0)=0),
        AND(MAX(0, MIN($F$1, DATE(Initialisatie!$C$5,12,31)) - MAX($F$2, DATE(Initialisatie!$C$5,1,1)) + 1) &gt; 0,IFERROR(VALUE($F166),0)=0),
        AND(MAX(0, MIN($G$1, DATE(Initialisatie!$C$5,12,31)) - MAX($G$2, DATE(Initialisatie!$C$5,1,1)) + 1) &gt; 0,IFERROR(VALUE($G166),0)=0),
        AND(MAX(0, MIN($H$1, DATE(Initialisatie!$C$5,12,31)) - MAX($H$2, DATE(Initialisatie!$C$5,1,1)) + 1) &gt; 0,IFERROR(VALUE($H166),0)=0),
        AND(MAX(0, MIN($I$1, DATE(Initialisatie!$C$5,12,31)) - MAX($I$2, DATE(Initialisatie!$C$5,1,1)) + 1) &gt; 0,IFERROR(VALUE($I166),0)=0)
    ),
    0,
    SUM(
        IFERROR(VALUE($E166),0) * MAX(0, MIN($E$1, DATE(Initialisatie!$C$5,12,31)) - MAX($E$2, DATE(Initialisatie!$C$5,1,1)) + 1),
        IFERROR(VALUE($F166),0) * MAX(0, MIN($F$1, DATE(Initialisatie!$C$5,12,31)) - MAX($F$2, DATE(Initialisatie!$C$5,1,1)) + 1),
        IFERROR(VALUE($G166),0) * MAX(0, MIN($G$1, DATE(Initialisatie!$C$5,12,31)) - MAX($G$2, DATE(Initialisatie!$C$5,1,1)) + 1),
        IFERROR(VALUE($H166),0) * MAX(0, MIN($H$1, DATE(Initialisatie!$C$5,12,31)) - MAX($H$2, DATE(Initialisatie!$C$5,1,1)) + 1),
        IFERROR(VALUE($I166),0) * MAX(0, MIN($I$1, DATE(Initialisatie!$C$5,12,31)) - MAX($I$2, DATE(Initialisatie!$C$5,1,1)) + 1)
    ) / (DATE(Initialisatie!$C$5,12,31) - DATE(Initialisatie!$C$5,1,1) + 1)
)</f>
        <v>6481.25</v>
      </c>
      <c r="L166">
        <f>IF(
    OR(
        AND(MAX(0, IF(MIN($E$1, DATE(Initialisatie!$C$5,12,31)) &lt; MAX($E$2, DATE(Initialisatie!$C$5,1,1)), 0, MONTH(MIN($E$1, DATE(Initialisatie!$C$5,12,31))) - MONTH(MAX($E$2, DATE(Initialisatie!$C$5,1,1))) + 1)) &lt;= 0, IFERROR(VALUE($E166),0)=0),
        AND(MAX(0, IF(MIN($F$1, DATE(Initialisatie!$C$5,12,31)) &lt; MAX($F$2, DATE(Initialisatie!$C$5,1,1)), 0, MONTH(MIN($F$1, DATE(Initialisatie!$C$5,12,31))) - MONTH(MAX($F$2, DATE(Initialisatie!$C$5,1,1))) + 1)) &lt;= 0, IFERROR(VALUE($F166),0)=0),
        AND(MAX(0, IF(MIN($G$1, DATE(Initialisatie!$C$5,12,31)) &lt; MAX($G$2, DATE(Initialisatie!$C$5,1,1)), 0, MONTH(MIN($G$1, DATE(Initialisatie!$C$5,12,31))) - MONTH(MAX($G$2, DATE(Initialisatie!$C$5,1,1))) + 1)) &lt;= 0, IFERROR(VALUE($G166),0)=0),
        AND(MAX(0, IF(MIN($H$1, DATE(Initialisatie!$C$5,12,31)) &lt; MAX($H$2, DATE(Initialisatie!$C$5,1,1)), 0, MONTH(MIN($H$1, DATE(Initialisatie!$C$5,12,31))) - MONTH(MAX($H$2, DATE(Initialisatie!$C$5,1,1))) + 1)) &lt;= 0, IFERROR(VALUE($H166),0)=0),
        AND(MAX(0, IF(MIN($I$1, DATE(Initialisatie!$C$5,12,31)) &lt; MAX($I$2, DATE(Initialisatie!$C$5,1,1)), 0, MONTH(MIN($I$1, DATE(Initialisatie!$C$5,12,31))) - MONTH(MAX($I$2, DATE(Initialisatie!$C$5,1,1))) + 1)) &lt;= 0, IFERROR(VALUE($I166),0)=0)
    ),
    0,
    SUM(
        IFERROR(VALUE($E166),0) * MAX(0, IF(MIN($E$1, DATE(Initialisatie!$C$5,12,31)) &lt; MAX($E$2, DATE(Initialisatie!$C$5,1,1)), 0, MONTH(MIN($E$1, DATE(Initialisatie!$C$5,12,31))) - MONTH(MAX($E$2, DATE(Initialisatie!$C$5,1,1))) + 1)),
        IFERROR(VALUE($F166),0) * MAX(0, IF(MIN($F$1, DATE(Initialisatie!$C$5,12,31)) &lt; MAX($F$2, DATE(Initialisatie!$C$5,1,1)), 0, MONTH(MIN($F$1, DATE(Initialisatie!$C$5,12,31))) - MONTH(MAX($F$2, DATE(Initialisatie!$C$5,1,1))) + 1)),
        IFERROR(VALUE($G166),0) * MAX(0, IF(MIN($G$1, DATE(Initialisatie!$C$5,12,31)) &lt; MAX($G$2, DATE(Initialisatie!$C$5,1,1)), 0, MONTH(MIN($G$1, DATE(Initialisatie!$C$5,12,31))) - MONTH(MAX($G$2, DATE(Initialisatie!$C$5,1,1))) + 1)),
        IFERROR(VALUE($H166),0) * MAX(0, IF(MIN($H$1, DATE(Initialisatie!$C$5,12,31)) &lt; MAX($H$2, DATE(Initialisatie!$C$5,1,1)), 0, MONTH(MIN($H$1, DATE(Initialisatie!$C$5,12,31))) - MONTH(MAX($H$2, DATE(Initialisatie!$C$5,1,1))) + 1)),
        IFERROR(VALUE($I166),0) * MAX(0, IF(MIN($I$1, DATE(Initialisatie!$C$5,12,31)) &lt; MAX($I$2, DATE(Initialisatie!$C$5,1,1)), 0, MONTH(MIN($I$1, DATE(Initialisatie!$C$5,12,31))) - MONTH(MAX($I$2, DATE(Initialisatie!$C$5,1,1))) + 1))
    ) / 12
)</f>
        <v>6481.25</v>
      </c>
    </row>
    <row r="167" spans="1:12" x14ac:dyDescent="0.45">
      <c r="A167" s="989"/>
      <c r="B167" s="35" t="s">
        <v>111</v>
      </c>
      <c r="C167" s="35">
        <v>1</v>
      </c>
      <c r="D167" s="35" t="s">
        <v>128</v>
      </c>
      <c r="E167">
        <v>6175.54</v>
      </c>
      <c r="F167">
        <v>6252.74</v>
      </c>
      <c r="G167">
        <v>6477.84</v>
      </c>
      <c r="H167">
        <v>6717.52</v>
      </c>
      <c r="I167">
        <v>6945.91</v>
      </c>
      <c r="K167">
        <f>IF(
    OR(
        AND(MAX(0, MIN($E$1, DATE(Initialisatie!$C$5,12,31)) - MAX($E$2, DATE(Initialisatie!$C$5,1,1)) + 1) &gt; 0,IFERROR(VALUE($E167),0)=0),
        AND(MAX(0, MIN($F$1, DATE(Initialisatie!$C$5,12,31)) - MAX($F$2, DATE(Initialisatie!$C$5,1,1)) + 1) &gt; 0,IFERROR(VALUE($F167),0)=0),
        AND(MAX(0, MIN($G$1, DATE(Initialisatie!$C$5,12,31)) - MAX($G$2, DATE(Initialisatie!$C$5,1,1)) + 1) &gt; 0,IFERROR(VALUE($G167),0)=0),
        AND(MAX(0, MIN($H$1, DATE(Initialisatie!$C$5,12,31)) - MAX($H$2, DATE(Initialisatie!$C$5,1,1)) + 1) &gt; 0,IFERROR(VALUE($H167),0)=0),
        AND(MAX(0, MIN($I$1, DATE(Initialisatie!$C$5,12,31)) - MAX($I$2, DATE(Initialisatie!$C$5,1,1)) + 1) &gt; 0,IFERROR(VALUE($I167),0)=0)
    ),
    0,
    SUM(
        IFERROR(VALUE($E167),0) * MAX(0, MIN($E$1, DATE(Initialisatie!$C$5,12,31)) - MAX($E$2, DATE(Initialisatie!$C$5,1,1)) + 1),
        IFERROR(VALUE($F167),0) * MAX(0, MIN($F$1, DATE(Initialisatie!$C$5,12,31)) - MAX($F$2, DATE(Initialisatie!$C$5,1,1)) + 1),
        IFERROR(VALUE($G167),0) * MAX(0, MIN($G$1, DATE(Initialisatie!$C$5,12,31)) - MAX($G$2, DATE(Initialisatie!$C$5,1,1)) + 1),
        IFERROR(VALUE($H167),0) * MAX(0, MIN($H$1, DATE(Initialisatie!$C$5,12,31)) - MAX($H$2, DATE(Initialisatie!$C$5,1,1)) + 1),
        IFERROR(VALUE($I167),0) * MAX(0, MIN($I$1, DATE(Initialisatie!$C$5,12,31)) - MAX($I$2, DATE(Initialisatie!$C$5,1,1)) + 1)
    ) / (DATE(Initialisatie!$C$5,12,31) - DATE(Initialisatie!$C$5,1,1) + 1)
)</f>
        <v>6717.52</v>
      </c>
      <c r="L167">
        <f>IF(
    OR(
        AND(MAX(0, IF(MIN($E$1, DATE(Initialisatie!$C$5,12,31)) &lt; MAX($E$2, DATE(Initialisatie!$C$5,1,1)), 0, MONTH(MIN($E$1, DATE(Initialisatie!$C$5,12,31))) - MONTH(MAX($E$2, DATE(Initialisatie!$C$5,1,1))) + 1)) &lt;= 0, IFERROR(VALUE($E167),0)=0),
        AND(MAX(0, IF(MIN($F$1, DATE(Initialisatie!$C$5,12,31)) &lt; MAX($F$2, DATE(Initialisatie!$C$5,1,1)), 0, MONTH(MIN($F$1, DATE(Initialisatie!$C$5,12,31))) - MONTH(MAX($F$2, DATE(Initialisatie!$C$5,1,1))) + 1)) &lt;= 0, IFERROR(VALUE($F167),0)=0),
        AND(MAX(0, IF(MIN($G$1, DATE(Initialisatie!$C$5,12,31)) &lt; MAX($G$2, DATE(Initialisatie!$C$5,1,1)), 0, MONTH(MIN($G$1, DATE(Initialisatie!$C$5,12,31))) - MONTH(MAX($G$2, DATE(Initialisatie!$C$5,1,1))) + 1)) &lt;= 0, IFERROR(VALUE($G167),0)=0),
        AND(MAX(0, IF(MIN($H$1, DATE(Initialisatie!$C$5,12,31)) &lt; MAX($H$2, DATE(Initialisatie!$C$5,1,1)), 0, MONTH(MIN($H$1, DATE(Initialisatie!$C$5,12,31))) - MONTH(MAX($H$2, DATE(Initialisatie!$C$5,1,1))) + 1)) &lt;= 0, IFERROR(VALUE($H167),0)=0),
        AND(MAX(0, IF(MIN($I$1, DATE(Initialisatie!$C$5,12,31)) &lt; MAX($I$2, DATE(Initialisatie!$C$5,1,1)), 0, MONTH(MIN($I$1, DATE(Initialisatie!$C$5,12,31))) - MONTH(MAX($I$2, DATE(Initialisatie!$C$5,1,1))) + 1)) &lt;= 0, IFERROR(VALUE($I167),0)=0)
    ),
    0,
    SUM(
        IFERROR(VALUE($E167),0) * MAX(0, IF(MIN($E$1, DATE(Initialisatie!$C$5,12,31)) &lt; MAX($E$2, DATE(Initialisatie!$C$5,1,1)), 0, MONTH(MIN($E$1, DATE(Initialisatie!$C$5,12,31))) - MONTH(MAX($E$2, DATE(Initialisatie!$C$5,1,1))) + 1)),
        IFERROR(VALUE($F167),0) * MAX(0, IF(MIN($F$1, DATE(Initialisatie!$C$5,12,31)) &lt; MAX($F$2, DATE(Initialisatie!$C$5,1,1)), 0, MONTH(MIN($F$1, DATE(Initialisatie!$C$5,12,31))) - MONTH(MAX($F$2, DATE(Initialisatie!$C$5,1,1))) + 1)),
        IFERROR(VALUE($G167),0) * MAX(0, IF(MIN($G$1, DATE(Initialisatie!$C$5,12,31)) &lt; MAX($G$2, DATE(Initialisatie!$C$5,1,1)), 0, MONTH(MIN($G$1, DATE(Initialisatie!$C$5,12,31))) - MONTH(MAX($G$2, DATE(Initialisatie!$C$5,1,1))) + 1)),
        IFERROR(VALUE($H167),0) * MAX(0, IF(MIN($H$1, DATE(Initialisatie!$C$5,12,31)) &lt; MAX($H$2, DATE(Initialisatie!$C$5,1,1)), 0, MONTH(MIN($H$1, DATE(Initialisatie!$C$5,12,31))) - MONTH(MAX($H$2, DATE(Initialisatie!$C$5,1,1))) + 1)),
        IFERROR(VALUE($I167),0) * MAX(0, IF(MIN($I$1, DATE(Initialisatie!$C$5,12,31)) &lt; MAX($I$2, DATE(Initialisatie!$C$5,1,1)), 0, MONTH(MIN($I$1, DATE(Initialisatie!$C$5,12,31))) - MONTH(MAX($I$2, DATE(Initialisatie!$C$5,1,1))) + 1))
    ) / 12
)</f>
        <v>6717.52</v>
      </c>
    </row>
    <row r="168" spans="1:12" x14ac:dyDescent="0.45">
      <c r="A168" s="989"/>
      <c r="B168" s="35" t="s">
        <v>101</v>
      </c>
      <c r="C168" s="35">
        <v>2</v>
      </c>
      <c r="D168" s="35" t="s">
        <v>123</v>
      </c>
      <c r="E168">
        <v>6401.53</v>
      </c>
      <c r="F168">
        <v>6481.55</v>
      </c>
      <c r="G168">
        <v>6714.89</v>
      </c>
      <c r="H168">
        <v>6963.34</v>
      </c>
      <c r="I168">
        <v>7200.09</v>
      </c>
      <c r="K168">
        <f>IF(
    OR(
        AND(MAX(0, MIN($E$1, DATE(Initialisatie!$C$5,12,31)) - MAX($E$2, DATE(Initialisatie!$C$5,1,1)) + 1) &gt; 0,IFERROR(VALUE($E168),0)=0),
        AND(MAX(0, MIN($F$1, DATE(Initialisatie!$C$5,12,31)) - MAX($F$2, DATE(Initialisatie!$C$5,1,1)) + 1) &gt; 0,IFERROR(VALUE($F168),0)=0),
        AND(MAX(0, MIN($G$1, DATE(Initialisatie!$C$5,12,31)) - MAX($G$2, DATE(Initialisatie!$C$5,1,1)) + 1) &gt; 0,IFERROR(VALUE($G168),0)=0),
        AND(MAX(0, MIN($H$1, DATE(Initialisatie!$C$5,12,31)) - MAX($H$2, DATE(Initialisatie!$C$5,1,1)) + 1) &gt; 0,IFERROR(VALUE($H168),0)=0),
        AND(MAX(0, MIN($I$1, DATE(Initialisatie!$C$5,12,31)) - MAX($I$2, DATE(Initialisatie!$C$5,1,1)) + 1) &gt; 0,IFERROR(VALUE($I168),0)=0)
    ),
    0,
    SUM(
        IFERROR(VALUE($E168),0) * MAX(0, MIN($E$1, DATE(Initialisatie!$C$5,12,31)) - MAX($E$2, DATE(Initialisatie!$C$5,1,1)) + 1),
        IFERROR(VALUE($F168),0) * MAX(0, MIN($F$1, DATE(Initialisatie!$C$5,12,31)) - MAX($F$2, DATE(Initialisatie!$C$5,1,1)) + 1),
        IFERROR(VALUE($G168),0) * MAX(0, MIN($G$1, DATE(Initialisatie!$C$5,12,31)) - MAX($G$2, DATE(Initialisatie!$C$5,1,1)) + 1),
        IFERROR(VALUE($H168),0) * MAX(0, MIN($H$1, DATE(Initialisatie!$C$5,12,31)) - MAX($H$2, DATE(Initialisatie!$C$5,1,1)) + 1),
        IFERROR(VALUE($I168),0) * MAX(0, MIN($I$1, DATE(Initialisatie!$C$5,12,31)) - MAX($I$2, DATE(Initialisatie!$C$5,1,1)) + 1)
    ) / (DATE(Initialisatie!$C$5,12,31) - DATE(Initialisatie!$C$5,1,1) + 1)
)</f>
        <v>6963.34</v>
      </c>
      <c r="L168">
        <f>IF(
    OR(
        AND(MAX(0, IF(MIN($E$1, DATE(Initialisatie!$C$5,12,31)) &lt; MAX($E$2, DATE(Initialisatie!$C$5,1,1)), 0, MONTH(MIN($E$1, DATE(Initialisatie!$C$5,12,31))) - MONTH(MAX($E$2, DATE(Initialisatie!$C$5,1,1))) + 1)) &lt;= 0, IFERROR(VALUE($E168),0)=0),
        AND(MAX(0, IF(MIN($F$1, DATE(Initialisatie!$C$5,12,31)) &lt; MAX($F$2, DATE(Initialisatie!$C$5,1,1)), 0, MONTH(MIN($F$1, DATE(Initialisatie!$C$5,12,31))) - MONTH(MAX($F$2, DATE(Initialisatie!$C$5,1,1))) + 1)) &lt;= 0, IFERROR(VALUE($F168),0)=0),
        AND(MAX(0, IF(MIN($G$1, DATE(Initialisatie!$C$5,12,31)) &lt; MAX($G$2, DATE(Initialisatie!$C$5,1,1)), 0, MONTH(MIN($G$1, DATE(Initialisatie!$C$5,12,31))) - MONTH(MAX($G$2, DATE(Initialisatie!$C$5,1,1))) + 1)) &lt;= 0, IFERROR(VALUE($G168),0)=0),
        AND(MAX(0, IF(MIN($H$1, DATE(Initialisatie!$C$5,12,31)) &lt; MAX($H$2, DATE(Initialisatie!$C$5,1,1)), 0, MONTH(MIN($H$1, DATE(Initialisatie!$C$5,12,31))) - MONTH(MAX($H$2, DATE(Initialisatie!$C$5,1,1))) + 1)) &lt;= 0, IFERROR(VALUE($H168),0)=0),
        AND(MAX(0, IF(MIN($I$1, DATE(Initialisatie!$C$5,12,31)) &lt; MAX($I$2, DATE(Initialisatie!$C$5,1,1)), 0, MONTH(MIN($I$1, DATE(Initialisatie!$C$5,12,31))) - MONTH(MAX($I$2, DATE(Initialisatie!$C$5,1,1))) + 1)) &lt;= 0, IFERROR(VALUE($I168),0)=0)
    ),
    0,
    SUM(
        IFERROR(VALUE($E168),0) * MAX(0, IF(MIN($E$1, DATE(Initialisatie!$C$5,12,31)) &lt; MAX($E$2, DATE(Initialisatie!$C$5,1,1)), 0, MONTH(MIN($E$1, DATE(Initialisatie!$C$5,12,31))) - MONTH(MAX($E$2, DATE(Initialisatie!$C$5,1,1))) + 1)),
        IFERROR(VALUE($F168),0) * MAX(0, IF(MIN($F$1, DATE(Initialisatie!$C$5,12,31)) &lt; MAX($F$2, DATE(Initialisatie!$C$5,1,1)), 0, MONTH(MIN($F$1, DATE(Initialisatie!$C$5,12,31))) - MONTH(MAX($F$2, DATE(Initialisatie!$C$5,1,1))) + 1)),
        IFERROR(VALUE($G168),0) * MAX(0, IF(MIN($G$1, DATE(Initialisatie!$C$5,12,31)) &lt; MAX($G$2, DATE(Initialisatie!$C$5,1,1)), 0, MONTH(MIN($G$1, DATE(Initialisatie!$C$5,12,31))) - MONTH(MAX($G$2, DATE(Initialisatie!$C$5,1,1))) + 1)),
        IFERROR(VALUE($H168),0) * MAX(0, IF(MIN($H$1, DATE(Initialisatie!$C$5,12,31)) &lt; MAX($H$2, DATE(Initialisatie!$C$5,1,1)), 0, MONTH(MIN($H$1, DATE(Initialisatie!$C$5,12,31))) - MONTH(MAX($H$2, DATE(Initialisatie!$C$5,1,1))) + 1)),
        IFERROR(VALUE($I168),0) * MAX(0, IF(MIN($I$1, DATE(Initialisatie!$C$5,12,31)) &lt; MAX($I$2, DATE(Initialisatie!$C$5,1,1)), 0, MONTH(MIN($I$1, DATE(Initialisatie!$C$5,12,31))) - MONTH(MAX($I$2, DATE(Initialisatie!$C$5,1,1))) + 1))
    ) / 12
)</f>
        <v>6963.34</v>
      </c>
    </row>
    <row r="169" spans="1:12" x14ac:dyDescent="0.45">
      <c r="A169" s="989"/>
      <c r="B169" s="35" t="s">
        <v>99</v>
      </c>
      <c r="C169" s="35">
        <v>3</v>
      </c>
      <c r="D169" s="35" t="s">
        <v>122</v>
      </c>
      <c r="E169">
        <v>6634.72</v>
      </c>
      <c r="F169">
        <v>6717.66</v>
      </c>
      <c r="G169">
        <v>6959.49</v>
      </c>
      <c r="H169">
        <v>7216.99</v>
      </c>
      <c r="I169">
        <v>7462.37</v>
      </c>
      <c r="K169">
        <f>IF(
    OR(
        AND(MAX(0, MIN($E$1, DATE(Initialisatie!$C$5,12,31)) - MAX($E$2, DATE(Initialisatie!$C$5,1,1)) + 1) &gt; 0,IFERROR(VALUE($E169),0)=0),
        AND(MAX(0, MIN($F$1, DATE(Initialisatie!$C$5,12,31)) - MAX($F$2, DATE(Initialisatie!$C$5,1,1)) + 1) &gt; 0,IFERROR(VALUE($F169),0)=0),
        AND(MAX(0, MIN($G$1, DATE(Initialisatie!$C$5,12,31)) - MAX($G$2, DATE(Initialisatie!$C$5,1,1)) + 1) &gt; 0,IFERROR(VALUE($G169),0)=0),
        AND(MAX(0, MIN($H$1, DATE(Initialisatie!$C$5,12,31)) - MAX($H$2, DATE(Initialisatie!$C$5,1,1)) + 1) &gt; 0,IFERROR(VALUE($H169),0)=0),
        AND(MAX(0, MIN($I$1, DATE(Initialisatie!$C$5,12,31)) - MAX($I$2, DATE(Initialisatie!$C$5,1,1)) + 1) &gt; 0,IFERROR(VALUE($I169),0)=0)
    ),
    0,
    SUM(
        IFERROR(VALUE($E169),0) * MAX(0, MIN($E$1, DATE(Initialisatie!$C$5,12,31)) - MAX($E$2, DATE(Initialisatie!$C$5,1,1)) + 1),
        IFERROR(VALUE($F169),0) * MAX(0, MIN($F$1, DATE(Initialisatie!$C$5,12,31)) - MAX($F$2, DATE(Initialisatie!$C$5,1,1)) + 1),
        IFERROR(VALUE($G169),0) * MAX(0, MIN($G$1, DATE(Initialisatie!$C$5,12,31)) - MAX($G$2, DATE(Initialisatie!$C$5,1,1)) + 1),
        IFERROR(VALUE($H169),0) * MAX(0, MIN($H$1, DATE(Initialisatie!$C$5,12,31)) - MAX($H$2, DATE(Initialisatie!$C$5,1,1)) + 1),
        IFERROR(VALUE($I169),0) * MAX(0, MIN($I$1, DATE(Initialisatie!$C$5,12,31)) - MAX($I$2, DATE(Initialisatie!$C$5,1,1)) + 1)
    ) / (DATE(Initialisatie!$C$5,12,31) - DATE(Initialisatie!$C$5,1,1) + 1)
)</f>
        <v>7216.9900000000007</v>
      </c>
      <c r="L169">
        <f>IF(
    OR(
        AND(MAX(0, IF(MIN($E$1, DATE(Initialisatie!$C$5,12,31)) &lt; MAX($E$2, DATE(Initialisatie!$C$5,1,1)), 0, MONTH(MIN($E$1, DATE(Initialisatie!$C$5,12,31))) - MONTH(MAX($E$2, DATE(Initialisatie!$C$5,1,1))) + 1)) &lt;= 0, IFERROR(VALUE($E169),0)=0),
        AND(MAX(0, IF(MIN($F$1, DATE(Initialisatie!$C$5,12,31)) &lt; MAX($F$2, DATE(Initialisatie!$C$5,1,1)), 0, MONTH(MIN($F$1, DATE(Initialisatie!$C$5,12,31))) - MONTH(MAX($F$2, DATE(Initialisatie!$C$5,1,1))) + 1)) &lt;= 0, IFERROR(VALUE($F169),0)=0),
        AND(MAX(0, IF(MIN($G$1, DATE(Initialisatie!$C$5,12,31)) &lt; MAX($G$2, DATE(Initialisatie!$C$5,1,1)), 0, MONTH(MIN($G$1, DATE(Initialisatie!$C$5,12,31))) - MONTH(MAX($G$2, DATE(Initialisatie!$C$5,1,1))) + 1)) &lt;= 0, IFERROR(VALUE($G169),0)=0),
        AND(MAX(0, IF(MIN($H$1, DATE(Initialisatie!$C$5,12,31)) &lt; MAX($H$2, DATE(Initialisatie!$C$5,1,1)), 0, MONTH(MIN($H$1, DATE(Initialisatie!$C$5,12,31))) - MONTH(MAX($H$2, DATE(Initialisatie!$C$5,1,1))) + 1)) &lt;= 0, IFERROR(VALUE($H169),0)=0),
        AND(MAX(0, IF(MIN($I$1, DATE(Initialisatie!$C$5,12,31)) &lt; MAX($I$2, DATE(Initialisatie!$C$5,1,1)), 0, MONTH(MIN($I$1, DATE(Initialisatie!$C$5,12,31))) - MONTH(MAX($I$2, DATE(Initialisatie!$C$5,1,1))) + 1)) &lt;= 0, IFERROR(VALUE($I169),0)=0)
    ),
    0,
    SUM(
        IFERROR(VALUE($E169),0) * MAX(0, IF(MIN($E$1, DATE(Initialisatie!$C$5,12,31)) &lt; MAX($E$2, DATE(Initialisatie!$C$5,1,1)), 0, MONTH(MIN($E$1, DATE(Initialisatie!$C$5,12,31))) - MONTH(MAX($E$2, DATE(Initialisatie!$C$5,1,1))) + 1)),
        IFERROR(VALUE($F169),0) * MAX(0, IF(MIN($F$1, DATE(Initialisatie!$C$5,12,31)) &lt; MAX($F$2, DATE(Initialisatie!$C$5,1,1)), 0, MONTH(MIN($F$1, DATE(Initialisatie!$C$5,12,31))) - MONTH(MAX($F$2, DATE(Initialisatie!$C$5,1,1))) + 1)),
        IFERROR(VALUE($G169),0) * MAX(0, IF(MIN($G$1, DATE(Initialisatie!$C$5,12,31)) &lt; MAX($G$2, DATE(Initialisatie!$C$5,1,1)), 0, MONTH(MIN($G$1, DATE(Initialisatie!$C$5,12,31))) - MONTH(MAX($G$2, DATE(Initialisatie!$C$5,1,1))) + 1)),
        IFERROR(VALUE($H169),0) * MAX(0, IF(MIN($H$1, DATE(Initialisatie!$C$5,12,31)) &lt; MAX($H$2, DATE(Initialisatie!$C$5,1,1)), 0, MONTH(MIN($H$1, DATE(Initialisatie!$C$5,12,31))) - MONTH(MAX($H$2, DATE(Initialisatie!$C$5,1,1))) + 1)),
        IFERROR(VALUE($I169),0) * MAX(0, IF(MIN($I$1, DATE(Initialisatie!$C$5,12,31)) &lt; MAX($I$2, DATE(Initialisatie!$C$5,1,1)), 0, MONTH(MIN($I$1, DATE(Initialisatie!$C$5,12,31))) - MONTH(MAX($I$2, DATE(Initialisatie!$C$5,1,1))) + 1))
    ) / 12
)</f>
        <v>7216.9900000000007</v>
      </c>
    </row>
    <row r="170" spans="1:12" x14ac:dyDescent="0.45">
      <c r="A170" s="989"/>
      <c r="B170" s="35" t="s">
        <v>97</v>
      </c>
      <c r="C170" s="35">
        <v>4</v>
      </c>
      <c r="D170" s="35" t="s">
        <v>121</v>
      </c>
      <c r="E170">
        <v>6877.39</v>
      </c>
      <c r="F170">
        <v>6963.36</v>
      </c>
      <c r="G170">
        <v>7214.04</v>
      </c>
      <c r="H170">
        <v>7480.96</v>
      </c>
      <c r="I170">
        <v>7735.31</v>
      </c>
      <c r="K170">
        <f>IF(
    OR(
        AND(MAX(0, MIN($E$1, DATE(Initialisatie!$C$5,12,31)) - MAX($E$2, DATE(Initialisatie!$C$5,1,1)) + 1) &gt; 0,IFERROR(VALUE($E170),0)=0),
        AND(MAX(0, MIN($F$1, DATE(Initialisatie!$C$5,12,31)) - MAX($F$2, DATE(Initialisatie!$C$5,1,1)) + 1) &gt; 0,IFERROR(VALUE($F170),0)=0),
        AND(MAX(0, MIN($G$1, DATE(Initialisatie!$C$5,12,31)) - MAX($G$2, DATE(Initialisatie!$C$5,1,1)) + 1) &gt; 0,IFERROR(VALUE($G170),0)=0),
        AND(MAX(0, MIN($H$1, DATE(Initialisatie!$C$5,12,31)) - MAX($H$2, DATE(Initialisatie!$C$5,1,1)) + 1) &gt; 0,IFERROR(VALUE($H170),0)=0),
        AND(MAX(0, MIN($I$1, DATE(Initialisatie!$C$5,12,31)) - MAX($I$2, DATE(Initialisatie!$C$5,1,1)) + 1) &gt; 0,IFERROR(VALUE($I170),0)=0)
    ),
    0,
    SUM(
        IFERROR(VALUE($E170),0) * MAX(0, MIN($E$1, DATE(Initialisatie!$C$5,12,31)) - MAX($E$2, DATE(Initialisatie!$C$5,1,1)) + 1),
        IFERROR(VALUE($F170),0) * MAX(0, MIN($F$1, DATE(Initialisatie!$C$5,12,31)) - MAX($F$2, DATE(Initialisatie!$C$5,1,1)) + 1),
        IFERROR(VALUE($G170),0) * MAX(0, MIN($G$1, DATE(Initialisatie!$C$5,12,31)) - MAX($G$2, DATE(Initialisatie!$C$5,1,1)) + 1),
        IFERROR(VALUE($H170),0) * MAX(0, MIN($H$1, DATE(Initialisatie!$C$5,12,31)) - MAX($H$2, DATE(Initialisatie!$C$5,1,1)) + 1),
        IFERROR(VALUE($I170),0) * MAX(0, MIN($I$1, DATE(Initialisatie!$C$5,12,31)) - MAX($I$2, DATE(Initialisatie!$C$5,1,1)) + 1)
    ) / (DATE(Initialisatie!$C$5,12,31) - DATE(Initialisatie!$C$5,1,1) + 1)
)</f>
        <v>7480.96</v>
      </c>
      <c r="L170">
        <f>IF(
    OR(
        AND(MAX(0, IF(MIN($E$1, DATE(Initialisatie!$C$5,12,31)) &lt; MAX($E$2, DATE(Initialisatie!$C$5,1,1)), 0, MONTH(MIN($E$1, DATE(Initialisatie!$C$5,12,31))) - MONTH(MAX($E$2, DATE(Initialisatie!$C$5,1,1))) + 1)) &lt;= 0, IFERROR(VALUE($E170),0)=0),
        AND(MAX(0, IF(MIN($F$1, DATE(Initialisatie!$C$5,12,31)) &lt; MAX($F$2, DATE(Initialisatie!$C$5,1,1)), 0, MONTH(MIN($F$1, DATE(Initialisatie!$C$5,12,31))) - MONTH(MAX($F$2, DATE(Initialisatie!$C$5,1,1))) + 1)) &lt;= 0, IFERROR(VALUE($F170),0)=0),
        AND(MAX(0, IF(MIN($G$1, DATE(Initialisatie!$C$5,12,31)) &lt; MAX($G$2, DATE(Initialisatie!$C$5,1,1)), 0, MONTH(MIN($G$1, DATE(Initialisatie!$C$5,12,31))) - MONTH(MAX($G$2, DATE(Initialisatie!$C$5,1,1))) + 1)) &lt;= 0, IFERROR(VALUE($G170),0)=0),
        AND(MAX(0, IF(MIN($H$1, DATE(Initialisatie!$C$5,12,31)) &lt; MAX($H$2, DATE(Initialisatie!$C$5,1,1)), 0, MONTH(MIN($H$1, DATE(Initialisatie!$C$5,12,31))) - MONTH(MAX($H$2, DATE(Initialisatie!$C$5,1,1))) + 1)) &lt;= 0, IFERROR(VALUE($H170),0)=0),
        AND(MAX(0, IF(MIN($I$1, DATE(Initialisatie!$C$5,12,31)) &lt; MAX($I$2, DATE(Initialisatie!$C$5,1,1)), 0, MONTH(MIN($I$1, DATE(Initialisatie!$C$5,12,31))) - MONTH(MAX($I$2, DATE(Initialisatie!$C$5,1,1))) + 1)) &lt;= 0, IFERROR(VALUE($I170),0)=0)
    ),
    0,
    SUM(
        IFERROR(VALUE($E170),0) * MAX(0, IF(MIN($E$1, DATE(Initialisatie!$C$5,12,31)) &lt; MAX($E$2, DATE(Initialisatie!$C$5,1,1)), 0, MONTH(MIN($E$1, DATE(Initialisatie!$C$5,12,31))) - MONTH(MAX($E$2, DATE(Initialisatie!$C$5,1,1))) + 1)),
        IFERROR(VALUE($F170),0) * MAX(0, IF(MIN($F$1, DATE(Initialisatie!$C$5,12,31)) &lt; MAX($F$2, DATE(Initialisatie!$C$5,1,1)), 0, MONTH(MIN($F$1, DATE(Initialisatie!$C$5,12,31))) - MONTH(MAX($F$2, DATE(Initialisatie!$C$5,1,1))) + 1)),
        IFERROR(VALUE($G170),0) * MAX(0, IF(MIN($G$1, DATE(Initialisatie!$C$5,12,31)) &lt; MAX($G$2, DATE(Initialisatie!$C$5,1,1)), 0, MONTH(MIN($G$1, DATE(Initialisatie!$C$5,12,31))) - MONTH(MAX($G$2, DATE(Initialisatie!$C$5,1,1))) + 1)),
        IFERROR(VALUE($H170),0) * MAX(0, IF(MIN($H$1, DATE(Initialisatie!$C$5,12,31)) &lt; MAX($H$2, DATE(Initialisatie!$C$5,1,1)), 0, MONTH(MIN($H$1, DATE(Initialisatie!$C$5,12,31))) - MONTH(MAX($H$2, DATE(Initialisatie!$C$5,1,1))) + 1)),
        IFERROR(VALUE($I170),0) * MAX(0, IF(MIN($I$1, DATE(Initialisatie!$C$5,12,31)) &lt; MAX($I$2, DATE(Initialisatie!$C$5,1,1)), 0, MONTH(MIN($I$1, DATE(Initialisatie!$C$5,12,31))) - MONTH(MAX($I$2, DATE(Initialisatie!$C$5,1,1))) + 1))
    ) / 12
)</f>
        <v>7480.96</v>
      </c>
    </row>
    <row r="171" spans="1:12" x14ac:dyDescent="0.45">
      <c r="A171" s="989"/>
      <c r="B171" s="35" t="s">
        <v>95</v>
      </c>
      <c r="C171" s="35">
        <v>5</v>
      </c>
      <c r="D171" s="35" t="s">
        <v>120</v>
      </c>
      <c r="E171">
        <v>7128.05</v>
      </c>
      <c r="F171">
        <v>7217.15</v>
      </c>
      <c r="G171">
        <v>7476.97</v>
      </c>
      <c r="H171">
        <v>7753.62</v>
      </c>
      <c r="I171">
        <v>8017.24</v>
      </c>
      <c r="K171">
        <f>IF(
    OR(
        AND(MAX(0, MIN($E$1, DATE(Initialisatie!$C$5,12,31)) - MAX($E$2, DATE(Initialisatie!$C$5,1,1)) + 1) &gt; 0,IFERROR(VALUE($E171),0)=0),
        AND(MAX(0, MIN($F$1, DATE(Initialisatie!$C$5,12,31)) - MAX($F$2, DATE(Initialisatie!$C$5,1,1)) + 1) &gt; 0,IFERROR(VALUE($F171),0)=0),
        AND(MAX(0, MIN($G$1, DATE(Initialisatie!$C$5,12,31)) - MAX($G$2, DATE(Initialisatie!$C$5,1,1)) + 1) &gt; 0,IFERROR(VALUE($G171),0)=0),
        AND(MAX(0, MIN($H$1, DATE(Initialisatie!$C$5,12,31)) - MAX($H$2, DATE(Initialisatie!$C$5,1,1)) + 1) &gt; 0,IFERROR(VALUE($H171),0)=0),
        AND(MAX(0, MIN($I$1, DATE(Initialisatie!$C$5,12,31)) - MAX($I$2, DATE(Initialisatie!$C$5,1,1)) + 1) &gt; 0,IFERROR(VALUE($I171),0)=0)
    ),
    0,
    SUM(
        IFERROR(VALUE($E171),0) * MAX(0, MIN($E$1, DATE(Initialisatie!$C$5,12,31)) - MAX($E$2, DATE(Initialisatie!$C$5,1,1)) + 1),
        IFERROR(VALUE($F171),0) * MAX(0, MIN($F$1, DATE(Initialisatie!$C$5,12,31)) - MAX($F$2, DATE(Initialisatie!$C$5,1,1)) + 1),
        IFERROR(VALUE($G171),0) * MAX(0, MIN($G$1, DATE(Initialisatie!$C$5,12,31)) - MAX($G$2, DATE(Initialisatie!$C$5,1,1)) + 1),
        IFERROR(VALUE($H171),0) * MAX(0, MIN($H$1, DATE(Initialisatie!$C$5,12,31)) - MAX($H$2, DATE(Initialisatie!$C$5,1,1)) + 1),
        IFERROR(VALUE($I171),0) * MAX(0, MIN($I$1, DATE(Initialisatie!$C$5,12,31)) - MAX($I$2, DATE(Initialisatie!$C$5,1,1)) + 1)
    ) / (DATE(Initialisatie!$C$5,12,31) - DATE(Initialisatie!$C$5,1,1) + 1)
)</f>
        <v>7753.62</v>
      </c>
      <c r="L171">
        <f>IF(
    OR(
        AND(MAX(0, IF(MIN($E$1, DATE(Initialisatie!$C$5,12,31)) &lt; MAX($E$2, DATE(Initialisatie!$C$5,1,1)), 0, MONTH(MIN($E$1, DATE(Initialisatie!$C$5,12,31))) - MONTH(MAX($E$2, DATE(Initialisatie!$C$5,1,1))) + 1)) &lt;= 0, IFERROR(VALUE($E171),0)=0),
        AND(MAX(0, IF(MIN($F$1, DATE(Initialisatie!$C$5,12,31)) &lt; MAX($F$2, DATE(Initialisatie!$C$5,1,1)), 0, MONTH(MIN($F$1, DATE(Initialisatie!$C$5,12,31))) - MONTH(MAX($F$2, DATE(Initialisatie!$C$5,1,1))) + 1)) &lt;= 0, IFERROR(VALUE($F171),0)=0),
        AND(MAX(0, IF(MIN($G$1, DATE(Initialisatie!$C$5,12,31)) &lt; MAX($G$2, DATE(Initialisatie!$C$5,1,1)), 0, MONTH(MIN($G$1, DATE(Initialisatie!$C$5,12,31))) - MONTH(MAX($G$2, DATE(Initialisatie!$C$5,1,1))) + 1)) &lt;= 0, IFERROR(VALUE($G171),0)=0),
        AND(MAX(0, IF(MIN($H$1, DATE(Initialisatie!$C$5,12,31)) &lt; MAX($H$2, DATE(Initialisatie!$C$5,1,1)), 0, MONTH(MIN($H$1, DATE(Initialisatie!$C$5,12,31))) - MONTH(MAX($H$2, DATE(Initialisatie!$C$5,1,1))) + 1)) &lt;= 0, IFERROR(VALUE($H171),0)=0),
        AND(MAX(0, IF(MIN($I$1, DATE(Initialisatie!$C$5,12,31)) &lt; MAX($I$2, DATE(Initialisatie!$C$5,1,1)), 0, MONTH(MIN($I$1, DATE(Initialisatie!$C$5,12,31))) - MONTH(MAX($I$2, DATE(Initialisatie!$C$5,1,1))) + 1)) &lt;= 0, IFERROR(VALUE($I171),0)=0)
    ),
    0,
    SUM(
        IFERROR(VALUE($E171),0) * MAX(0, IF(MIN($E$1, DATE(Initialisatie!$C$5,12,31)) &lt; MAX($E$2, DATE(Initialisatie!$C$5,1,1)), 0, MONTH(MIN($E$1, DATE(Initialisatie!$C$5,12,31))) - MONTH(MAX($E$2, DATE(Initialisatie!$C$5,1,1))) + 1)),
        IFERROR(VALUE($F171),0) * MAX(0, IF(MIN($F$1, DATE(Initialisatie!$C$5,12,31)) &lt; MAX($F$2, DATE(Initialisatie!$C$5,1,1)), 0, MONTH(MIN($F$1, DATE(Initialisatie!$C$5,12,31))) - MONTH(MAX($F$2, DATE(Initialisatie!$C$5,1,1))) + 1)),
        IFERROR(VALUE($G171),0) * MAX(0, IF(MIN($G$1, DATE(Initialisatie!$C$5,12,31)) &lt; MAX($G$2, DATE(Initialisatie!$C$5,1,1)), 0, MONTH(MIN($G$1, DATE(Initialisatie!$C$5,12,31))) - MONTH(MAX($G$2, DATE(Initialisatie!$C$5,1,1))) + 1)),
        IFERROR(VALUE($H171),0) * MAX(0, IF(MIN($H$1, DATE(Initialisatie!$C$5,12,31)) &lt; MAX($H$2, DATE(Initialisatie!$C$5,1,1)), 0, MONTH(MIN($H$1, DATE(Initialisatie!$C$5,12,31))) - MONTH(MAX($H$2, DATE(Initialisatie!$C$5,1,1))) + 1)),
        IFERROR(VALUE($I171),0) * MAX(0, IF(MIN($I$1, DATE(Initialisatie!$C$5,12,31)) &lt; MAX($I$2, DATE(Initialisatie!$C$5,1,1)), 0, MONTH(MIN($I$1, DATE(Initialisatie!$C$5,12,31))) - MONTH(MAX($I$2, DATE(Initialisatie!$C$5,1,1))) + 1))
    ) / 12
)</f>
        <v>7753.62</v>
      </c>
    </row>
    <row r="172" spans="1:12" x14ac:dyDescent="0.45">
      <c r="A172" s="989"/>
      <c r="B172" s="35" t="s">
        <v>93</v>
      </c>
      <c r="C172" s="35">
        <v>6</v>
      </c>
      <c r="D172" s="35" t="s">
        <v>119</v>
      </c>
      <c r="E172">
        <v>7388.16</v>
      </c>
      <c r="F172">
        <v>7480.51</v>
      </c>
      <c r="G172">
        <v>7749.81</v>
      </c>
      <c r="H172">
        <v>8036.56</v>
      </c>
      <c r="I172">
        <v>8309.7999999999993</v>
      </c>
      <c r="K172">
        <f>IF(
    OR(
        AND(MAX(0, MIN($E$1, DATE(Initialisatie!$C$5,12,31)) - MAX($E$2, DATE(Initialisatie!$C$5,1,1)) + 1) &gt; 0,IFERROR(VALUE($E172),0)=0),
        AND(MAX(0, MIN($F$1, DATE(Initialisatie!$C$5,12,31)) - MAX($F$2, DATE(Initialisatie!$C$5,1,1)) + 1) &gt; 0,IFERROR(VALUE($F172),0)=0),
        AND(MAX(0, MIN($G$1, DATE(Initialisatie!$C$5,12,31)) - MAX($G$2, DATE(Initialisatie!$C$5,1,1)) + 1) &gt; 0,IFERROR(VALUE($G172),0)=0),
        AND(MAX(0, MIN($H$1, DATE(Initialisatie!$C$5,12,31)) - MAX($H$2, DATE(Initialisatie!$C$5,1,1)) + 1) &gt; 0,IFERROR(VALUE($H172),0)=0),
        AND(MAX(0, MIN($I$1, DATE(Initialisatie!$C$5,12,31)) - MAX($I$2, DATE(Initialisatie!$C$5,1,1)) + 1) &gt; 0,IFERROR(VALUE($I172),0)=0)
    ),
    0,
    SUM(
        IFERROR(VALUE($E172),0) * MAX(0, MIN($E$1, DATE(Initialisatie!$C$5,12,31)) - MAX($E$2, DATE(Initialisatie!$C$5,1,1)) + 1),
        IFERROR(VALUE($F172),0) * MAX(0, MIN($F$1, DATE(Initialisatie!$C$5,12,31)) - MAX($F$2, DATE(Initialisatie!$C$5,1,1)) + 1),
        IFERROR(VALUE($G172),0) * MAX(0, MIN($G$1, DATE(Initialisatie!$C$5,12,31)) - MAX($G$2, DATE(Initialisatie!$C$5,1,1)) + 1),
        IFERROR(VALUE($H172),0) * MAX(0, MIN($H$1, DATE(Initialisatie!$C$5,12,31)) - MAX($H$2, DATE(Initialisatie!$C$5,1,1)) + 1),
        IFERROR(VALUE($I172),0) * MAX(0, MIN($I$1, DATE(Initialisatie!$C$5,12,31)) - MAX($I$2, DATE(Initialisatie!$C$5,1,1)) + 1)
    ) / (DATE(Initialisatie!$C$5,12,31) - DATE(Initialisatie!$C$5,1,1) + 1)
)</f>
        <v>8036.5600000000013</v>
      </c>
      <c r="L172">
        <f>IF(
    OR(
        AND(MAX(0, IF(MIN($E$1, DATE(Initialisatie!$C$5,12,31)) &lt; MAX($E$2, DATE(Initialisatie!$C$5,1,1)), 0, MONTH(MIN($E$1, DATE(Initialisatie!$C$5,12,31))) - MONTH(MAX($E$2, DATE(Initialisatie!$C$5,1,1))) + 1)) &lt;= 0, IFERROR(VALUE($E172),0)=0),
        AND(MAX(0, IF(MIN($F$1, DATE(Initialisatie!$C$5,12,31)) &lt; MAX($F$2, DATE(Initialisatie!$C$5,1,1)), 0, MONTH(MIN($F$1, DATE(Initialisatie!$C$5,12,31))) - MONTH(MAX($F$2, DATE(Initialisatie!$C$5,1,1))) + 1)) &lt;= 0, IFERROR(VALUE($F172),0)=0),
        AND(MAX(0, IF(MIN($G$1, DATE(Initialisatie!$C$5,12,31)) &lt; MAX($G$2, DATE(Initialisatie!$C$5,1,1)), 0, MONTH(MIN($G$1, DATE(Initialisatie!$C$5,12,31))) - MONTH(MAX($G$2, DATE(Initialisatie!$C$5,1,1))) + 1)) &lt;= 0, IFERROR(VALUE($G172),0)=0),
        AND(MAX(0, IF(MIN($H$1, DATE(Initialisatie!$C$5,12,31)) &lt; MAX($H$2, DATE(Initialisatie!$C$5,1,1)), 0, MONTH(MIN($H$1, DATE(Initialisatie!$C$5,12,31))) - MONTH(MAX($H$2, DATE(Initialisatie!$C$5,1,1))) + 1)) &lt;= 0, IFERROR(VALUE($H172),0)=0),
        AND(MAX(0, IF(MIN($I$1, DATE(Initialisatie!$C$5,12,31)) &lt; MAX($I$2, DATE(Initialisatie!$C$5,1,1)), 0, MONTH(MIN($I$1, DATE(Initialisatie!$C$5,12,31))) - MONTH(MAX($I$2, DATE(Initialisatie!$C$5,1,1))) + 1)) &lt;= 0, IFERROR(VALUE($I172),0)=0)
    ),
    0,
    SUM(
        IFERROR(VALUE($E172),0) * MAX(0, IF(MIN($E$1, DATE(Initialisatie!$C$5,12,31)) &lt; MAX($E$2, DATE(Initialisatie!$C$5,1,1)), 0, MONTH(MIN($E$1, DATE(Initialisatie!$C$5,12,31))) - MONTH(MAX($E$2, DATE(Initialisatie!$C$5,1,1))) + 1)),
        IFERROR(VALUE($F172),0) * MAX(0, IF(MIN($F$1, DATE(Initialisatie!$C$5,12,31)) &lt; MAX($F$2, DATE(Initialisatie!$C$5,1,1)), 0, MONTH(MIN($F$1, DATE(Initialisatie!$C$5,12,31))) - MONTH(MAX($F$2, DATE(Initialisatie!$C$5,1,1))) + 1)),
        IFERROR(VALUE($G172),0) * MAX(0, IF(MIN($G$1, DATE(Initialisatie!$C$5,12,31)) &lt; MAX($G$2, DATE(Initialisatie!$C$5,1,1)), 0, MONTH(MIN($G$1, DATE(Initialisatie!$C$5,12,31))) - MONTH(MAX($G$2, DATE(Initialisatie!$C$5,1,1))) + 1)),
        IFERROR(VALUE($H172),0) * MAX(0, IF(MIN($H$1, DATE(Initialisatie!$C$5,12,31)) &lt; MAX($H$2, DATE(Initialisatie!$C$5,1,1)), 0, MONTH(MIN($H$1, DATE(Initialisatie!$C$5,12,31))) - MONTH(MAX($H$2, DATE(Initialisatie!$C$5,1,1))) + 1)),
        IFERROR(VALUE($I172),0) * MAX(0, IF(MIN($I$1, DATE(Initialisatie!$C$5,12,31)) &lt; MAX($I$2, DATE(Initialisatie!$C$5,1,1)), 0, MONTH(MIN($I$1, DATE(Initialisatie!$C$5,12,31))) - MONTH(MAX($I$2, DATE(Initialisatie!$C$5,1,1))) + 1))
    ) / 12
)</f>
        <v>8036.56</v>
      </c>
    </row>
    <row r="173" spans="1:12" x14ac:dyDescent="0.45">
      <c r="A173" s="989"/>
      <c r="B173" s="35" t="s">
        <v>91</v>
      </c>
      <c r="C173" s="35">
        <v>7</v>
      </c>
      <c r="D173" s="35" t="s">
        <v>118</v>
      </c>
      <c r="E173">
        <v>7657.7</v>
      </c>
      <c r="F173">
        <v>7753.42</v>
      </c>
      <c r="G173">
        <v>8032.54</v>
      </c>
      <c r="H173">
        <v>8329.75</v>
      </c>
      <c r="I173">
        <v>8612.9599999999991</v>
      </c>
      <c r="K173">
        <f>IF(
    OR(
        AND(MAX(0, MIN($E$1, DATE(Initialisatie!$C$5,12,31)) - MAX($E$2, DATE(Initialisatie!$C$5,1,1)) + 1) &gt; 0,IFERROR(VALUE($E173),0)=0),
        AND(MAX(0, MIN($F$1, DATE(Initialisatie!$C$5,12,31)) - MAX($F$2, DATE(Initialisatie!$C$5,1,1)) + 1) &gt; 0,IFERROR(VALUE($F173),0)=0),
        AND(MAX(0, MIN($G$1, DATE(Initialisatie!$C$5,12,31)) - MAX($G$2, DATE(Initialisatie!$C$5,1,1)) + 1) &gt; 0,IFERROR(VALUE($G173),0)=0),
        AND(MAX(0, MIN($H$1, DATE(Initialisatie!$C$5,12,31)) - MAX($H$2, DATE(Initialisatie!$C$5,1,1)) + 1) &gt; 0,IFERROR(VALUE($H173),0)=0),
        AND(MAX(0, MIN($I$1, DATE(Initialisatie!$C$5,12,31)) - MAX($I$2, DATE(Initialisatie!$C$5,1,1)) + 1) &gt; 0,IFERROR(VALUE($I173),0)=0)
    ),
    0,
    SUM(
        IFERROR(VALUE($E173),0) * MAX(0, MIN($E$1, DATE(Initialisatie!$C$5,12,31)) - MAX($E$2, DATE(Initialisatie!$C$5,1,1)) + 1),
        IFERROR(VALUE($F173),0) * MAX(0, MIN($F$1, DATE(Initialisatie!$C$5,12,31)) - MAX($F$2, DATE(Initialisatie!$C$5,1,1)) + 1),
        IFERROR(VALUE($G173),0) * MAX(0, MIN($G$1, DATE(Initialisatie!$C$5,12,31)) - MAX($G$2, DATE(Initialisatie!$C$5,1,1)) + 1),
        IFERROR(VALUE($H173),0) * MAX(0, MIN($H$1, DATE(Initialisatie!$C$5,12,31)) - MAX($H$2, DATE(Initialisatie!$C$5,1,1)) + 1),
        IFERROR(VALUE($I173),0) * MAX(0, MIN($I$1, DATE(Initialisatie!$C$5,12,31)) - MAX($I$2, DATE(Initialisatie!$C$5,1,1)) + 1)
    ) / (DATE(Initialisatie!$C$5,12,31) - DATE(Initialisatie!$C$5,1,1) + 1)
)</f>
        <v>8329.75</v>
      </c>
      <c r="L173">
        <f>IF(
    OR(
        AND(MAX(0, IF(MIN($E$1, DATE(Initialisatie!$C$5,12,31)) &lt; MAX($E$2, DATE(Initialisatie!$C$5,1,1)), 0, MONTH(MIN($E$1, DATE(Initialisatie!$C$5,12,31))) - MONTH(MAX($E$2, DATE(Initialisatie!$C$5,1,1))) + 1)) &lt;= 0, IFERROR(VALUE($E173),0)=0),
        AND(MAX(0, IF(MIN($F$1, DATE(Initialisatie!$C$5,12,31)) &lt; MAX($F$2, DATE(Initialisatie!$C$5,1,1)), 0, MONTH(MIN($F$1, DATE(Initialisatie!$C$5,12,31))) - MONTH(MAX($F$2, DATE(Initialisatie!$C$5,1,1))) + 1)) &lt;= 0, IFERROR(VALUE($F173),0)=0),
        AND(MAX(0, IF(MIN($G$1, DATE(Initialisatie!$C$5,12,31)) &lt; MAX($G$2, DATE(Initialisatie!$C$5,1,1)), 0, MONTH(MIN($G$1, DATE(Initialisatie!$C$5,12,31))) - MONTH(MAX($G$2, DATE(Initialisatie!$C$5,1,1))) + 1)) &lt;= 0, IFERROR(VALUE($G173),0)=0),
        AND(MAX(0, IF(MIN($H$1, DATE(Initialisatie!$C$5,12,31)) &lt; MAX($H$2, DATE(Initialisatie!$C$5,1,1)), 0, MONTH(MIN($H$1, DATE(Initialisatie!$C$5,12,31))) - MONTH(MAX($H$2, DATE(Initialisatie!$C$5,1,1))) + 1)) &lt;= 0, IFERROR(VALUE($H173),0)=0),
        AND(MAX(0, IF(MIN($I$1, DATE(Initialisatie!$C$5,12,31)) &lt; MAX($I$2, DATE(Initialisatie!$C$5,1,1)), 0, MONTH(MIN($I$1, DATE(Initialisatie!$C$5,12,31))) - MONTH(MAX($I$2, DATE(Initialisatie!$C$5,1,1))) + 1)) &lt;= 0, IFERROR(VALUE($I173),0)=0)
    ),
    0,
    SUM(
        IFERROR(VALUE($E173),0) * MAX(0, IF(MIN($E$1, DATE(Initialisatie!$C$5,12,31)) &lt; MAX($E$2, DATE(Initialisatie!$C$5,1,1)), 0, MONTH(MIN($E$1, DATE(Initialisatie!$C$5,12,31))) - MONTH(MAX($E$2, DATE(Initialisatie!$C$5,1,1))) + 1)),
        IFERROR(VALUE($F173),0) * MAX(0, IF(MIN($F$1, DATE(Initialisatie!$C$5,12,31)) &lt; MAX($F$2, DATE(Initialisatie!$C$5,1,1)), 0, MONTH(MIN($F$1, DATE(Initialisatie!$C$5,12,31))) - MONTH(MAX($F$2, DATE(Initialisatie!$C$5,1,1))) + 1)),
        IFERROR(VALUE($G173),0) * MAX(0, IF(MIN($G$1, DATE(Initialisatie!$C$5,12,31)) &lt; MAX($G$2, DATE(Initialisatie!$C$5,1,1)), 0, MONTH(MIN($G$1, DATE(Initialisatie!$C$5,12,31))) - MONTH(MAX($G$2, DATE(Initialisatie!$C$5,1,1))) + 1)),
        IFERROR(VALUE($H173),0) * MAX(0, IF(MIN($H$1, DATE(Initialisatie!$C$5,12,31)) &lt; MAX($H$2, DATE(Initialisatie!$C$5,1,1)), 0, MONTH(MIN($H$1, DATE(Initialisatie!$C$5,12,31))) - MONTH(MAX($H$2, DATE(Initialisatie!$C$5,1,1))) + 1)),
        IFERROR(VALUE($I173),0) * MAX(0, IF(MIN($I$1, DATE(Initialisatie!$C$5,12,31)) &lt; MAX($I$2, DATE(Initialisatie!$C$5,1,1)), 0, MONTH(MIN($I$1, DATE(Initialisatie!$C$5,12,31))) - MONTH(MAX($I$2, DATE(Initialisatie!$C$5,1,1))) + 1))
    ) / 12
)</f>
        <v>8329.75</v>
      </c>
    </row>
    <row r="174" spans="1:12" x14ac:dyDescent="0.45">
      <c r="A174" s="989"/>
      <c r="B174" s="35" t="s">
        <v>89</v>
      </c>
      <c r="C174" s="35">
        <v>8</v>
      </c>
      <c r="D174" s="35" t="s">
        <v>117</v>
      </c>
      <c r="E174">
        <v>7937.41</v>
      </c>
      <c r="F174">
        <v>8036.63</v>
      </c>
      <c r="G174">
        <v>8325.9500000000007</v>
      </c>
      <c r="H174">
        <v>8634.01</v>
      </c>
      <c r="I174">
        <v>8927.56</v>
      </c>
      <c r="K174">
        <f>IF(
    OR(
        AND(MAX(0, MIN($E$1, DATE(Initialisatie!$C$5,12,31)) - MAX($E$2, DATE(Initialisatie!$C$5,1,1)) + 1) &gt; 0,IFERROR(VALUE($E174),0)=0),
        AND(MAX(0, MIN($F$1, DATE(Initialisatie!$C$5,12,31)) - MAX($F$2, DATE(Initialisatie!$C$5,1,1)) + 1) &gt; 0,IFERROR(VALUE($F174),0)=0),
        AND(MAX(0, MIN($G$1, DATE(Initialisatie!$C$5,12,31)) - MAX($G$2, DATE(Initialisatie!$C$5,1,1)) + 1) &gt; 0,IFERROR(VALUE($G174),0)=0),
        AND(MAX(0, MIN($H$1, DATE(Initialisatie!$C$5,12,31)) - MAX($H$2, DATE(Initialisatie!$C$5,1,1)) + 1) &gt; 0,IFERROR(VALUE($H174),0)=0),
        AND(MAX(0, MIN($I$1, DATE(Initialisatie!$C$5,12,31)) - MAX($I$2, DATE(Initialisatie!$C$5,1,1)) + 1) &gt; 0,IFERROR(VALUE($I174),0)=0)
    ),
    0,
    SUM(
        IFERROR(VALUE($E174),0) * MAX(0, MIN($E$1, DATE(Initialisatie!$C$5,12,31)) - MAX($E$2, DATE(Initialisatie!$C$5,1,1)) + 1),
        IFERROR(VALUE($F174),0) * MAX(0, MIN($F$1, DATE(Initialisatie!$C$5,12,31)) - MAX($F$2, DATE(Initialisatie!$C$5,1,1)) + 1),
        IFERROR(VALUE($G174),0) * MAX(0, MIN($G$1, DATE(Initialisatie!$C$5,12,31)) - MAX($G$2, DATE(Initialisatie!$C$5,1,1)) + 1),
        IFERROR(VALUE($H174),0) * MAX(0, MIN($H$1, DATE(Initialisatie!$C$5,12,31)) - MAX($H$2, DATE(Initialisatie!$C$5,1,1)) + 1),
        IFERROR(VALUE($I174),0) * MAX(0, MIN($I$1, DATE(Initialisatie!$C$5,12,31)) - MAX($I$2, DATE(Initialisatie!$C$5,1,1)) + 1)
    ) / (DATE(Initialisatie!$C$5,12,31) - DATE(Initialisatie!$C$5,1,1) + 1)
)</f>
        <v>8634.01</v>
      </c>
      <c r="L174">
        <f>IF(
    OR(
        AND(MAX(0, IF(MIN($E$1, DATE(Initialisatie!$C$5,12,31)) &lt; MAX($E$2, DATE(Initialisatie!$C$5,1,1)), 0, MONTH(MIN($E$1, DATE(Initialisatie!$C$5,12,31))) - MONTH(MAX($E$2, DATE(Initialisatie!$C$5,1,1))) + 1)) &lt;= 0, IFERROR(VALUE($E174),0)=0),
        AND(MAX(0, IF(MIN($F$1, DATE(Initialisatie!$C$5,12,31)) &lt; MAX($F$2, DATE(Initialisatie!$C$5,1,1)), 0, MONTH(MIN($F$1, DATE(Initialisatie!$C$5,12,31))) - MONTH(MAX($F$2, DATE(Initialisatie!$C$5,1,1))) + 1)) &lt;= 0, IFERROR(VALUE($F174),0)=0),
        AND(MAX(0, IF(MIN($G$1, DATE(Initialisatie!$C$5,12,31)) &lt; MAX($G$2, DATE(Initialisatie!$C$5,1,1)), 0, MONTH(MIN($G$1, DATE(Initialisatie!$C$5,12,31))) - MONTH(MAX($G$2, DATE(Initialisatie!$C$5,1,1))) + 1)) &lt;= 0, IFERROR(VALUE($G174),0)=0),
        AND(MAX(0, IF(MIN($H$1, DATE(Initialisatie!$C$5,12,31)) &lt; MAX($H$2, DATE(Initialisatie!$C$5,1,1)), 0, MONTH(MIN($H$1, DATE(Initialisatie!$C$5,12,31))) - MONTH(MAX($H$2, DATE(Initialisatie!$C$5,1,1))) + 1)) &lt;= 0, IFERROR(VALUE($H174),0)=0),
        AND(MAX(0, IF(MIN($I$1, DATE(Initialisatie!$C$5,12,31)) &lt; MAX($I$2, DATE(Initialisatie!$C$5,1,1)), 0, MONTH(MIN($I$1, DATE(Initialisatie!$C$5,12,31))) - MONTH(MAX($I$2, DATE(Initialisatie!$C$5,1,1))) + 1)) &lt;= 0, IFERROR(VALUE($I174),0)=0)
    ),
    0,
    SUM(
        IFERROR(VALUE($E174),0) * MAX(0, IF(MIN($E$1, DATE(Initialisatie!$C$5,12,31)) &lt; MAX($E$2, DATE(Initialisatie!$C$5,1,1)), 0, MONTH(MIN($E$1, DATE(Initialisatie!$C$5,12,31))) - MONTH(MAX($E$2, DATE(Initialisatie!$C$5,1,1))) + 1)),
        IFERROR(VALUE($F174),0) * MAX(0, IF(MIN($F$1, DATE(Initialisatie!$C$5,12,31)) &lt; MAX($F$2, DATE(Initialisatie!$C$5,1,1)), 0, MONTH(MIN($F$1, DATE(Initialisatie!$C$5,12,31))) - MONTH(MAX($F$2, DATE(Initialisatie!$C$5,1,1))) + 1)),
        IFERROR(VALUE($G174),0) * MAX(0, IF(MIN($G$1, DATE(Initialisatie!$C$5,12,31)) &lt; MAX($G$2, DATE(Initialisatie!$C$5,1,1)), 0, MONTH(MIN($G$1, DATE(Initialisatie!$C$5,12,31))) - MONTH(MAX($G$2, DATE(Initialisatie!$C$5,1,1))) + 1)),
        IFERROR(VALUE($H174),0) * MAX(0, IF(MIN($H$1, DATE(Initialisatie!$C$5,12,31)) &lt; MAX($H$2, DATE(Initialisatie!$C$5,1,1)), 0, MONTH(MIN($H$1, DATE(Initialisatie!$C$5,12,31))) - MONTH(MAX($H$2, DATE(Initialisatie!$C$5,1,1))) + 1)),
        IFERROR(VALUE($I174),0) * MAX(0, IF(MIN($I$1, DATE(Initialisatie!$C$5,12,31)) &lt; MAX($I$2, DATE(Initialisatie!$C$5,1,1)), 0, MONTH(MIN($I$1, DATE(Initialisatie!$C$5,12,31))) - MONTH(MAX($I$2, DATE(Initialisatie!$C$5,1,1))) + 1))
    ) / 12
)</f>
        <v>8634.01</v>
      </c>
    </row>
    <row r="175" spans="1:12" x14ac:dyDescent="0.45">
      <c r="A175" s="989"/>
      <c r="B175" s="35" t="s">
        <v>87</v>
      </c>
      <c r="C175" s="35">
        <v>9</v>
      </c>
      <c r="D175" s="35" t="s">
        <v>116</v>
      </c>
      <c r="E175">
        <v>8227.31</v>
      </c>
      <c r="F175">
        <v>8330.15</v>
      </c>
      <c r="G175">
        <v>8630.0400000000009</v>
      </c>
      <c r="H175">
        <v>8949.35</v>
      </c>
      <c r="I175">
        <v>9253.6299999999992</v>
      </c>
      <c r="K175">
        <f>IF(
    OR(
        AND(MAX(0, MIN($E$1, DATE(Initialisatie!$C$5,12,31)) - MAX($E$2, DATE(Initialisatie!$C$5,1,1)) + 1) &gt; 0,IFERROR(VALUE($E175),0)=0),
        AND(MAX(0, MIN($F$1, DATE(Initialisatie!$C$5,12,31)) - MAX($F$2, DATE(Initialisatie!$C$5,1,1)) + 1) &gt; 0,IFERROR(VALUE($F175),0)=0),
        AND(MAX(0, MIN($G$1, DATE(Initialisatie!$C$5,12,31)) - MAX($G$2, DATE(Initialisatie!$C$5,1,1)) + 1) &gt; 0,IFERROR(VALUE($G175),0)=0),
        AND(MAX(0, MIN($H$1, DATE(Initialisatie!$C$5,12,31)) - MAX($H$2, DATE(Initialisatie!$C$5,1,1)) + 1) &gt; 0,IFERROR(VALUE($H175),0)=0),
        AND(MAX(0, MIN($I$1, DATE(Initialisatie!$C$5,12,31)) - MAX($I$2, DATE(Initialisatie!$C$5,1,1)) + 1) &gt; 0,IFERROR(VALUE($I175),0)=0)
    ),
    0,
    SUM(
        IFERROR(VALUE($E175),0) * MAX(0, MIN($E$1, DATE(Initialisatie!$C$5,12,31)) - MAX($E$2, DATE(Initialisatie!$C$5,1,1)) + 1),
        IFERROR(VALUE($F175),0) * MAX(0, MIN($F$1, DATE(Initialisatie!$C$5,12,31)) - MAX($F$2, DATE(Initialisatie!$C$5,1,1)) + 1),
        IFERROR(VALUE($G175),0) * MAX(0, MIN($G$1, DATE(Initialisatie!$C$5,12,31)) - MAX($G$2, DATE(Initialisatie!$C$5,1,1)) + 1),
        IFERROR(VALUE($H175),0) * MAX(0, MIN($H$1, DATE(Initialisatie!$C$5,12,31)) - MAX($H$2, DATE(Initialisatie!$C$5,1,1)) + 1),
        IFERROR(VALUE($I175),0) * MAX(0, MIN($I$1, DATE(Initialisatie!$C$5,12,31)) - MAX($I$2, DATE(Initialisatie!$C$5,1,1)) + 1)
    ) / (DATE(Initialisatie!$C$5,12,31) - DATE(Initialisatie!$C$5,1,1) + 1)
)</f>
        <v>8949.35</v>
      </c>
      <c r="L175">
        <f>IF(
    OR(
        AND(MAX(0, IF(MIN($E$1, DATE(Initialisatie!$C$5,12,31)) &lt; MAX($E$2, DATE(Initialisatie!$C$5,1,1)), 0, MONTH(MIN($E$1, DATE(Initialisatie!$C$5,12,31))) - MONTH(MAX($E$2, DATE(Initialisatie!$C$5,1,1))) + 1)) &lt;= 0, IFERROR(VALUE($E175),0)=0),
        AND(MAX(0, IF(MIN($F$1, DATE(Initialisatie!$C$5,12,31)) &lt; MAX($F$2, DATE(Initialisatie!$C$5,1,1)), 0, MONTH(MIN($F$1, DATE(Initialisatie!$C$5,12,31))) - MONTH(MAX($F$2, DATE(Initialisatie!$C$5,1,1))) + 1)) &lt;= 0, IFERROR(VALUE($F175),0)=0),
        AND(MAX(0, IF(MIN($G$1, DATE(Initialisatie!$C$5,12,31)) &lt; MAX($G$2, DATE(Initialisatie!$C$5,1,1)), 0, MONTH(MIN($G$1, DATE(Initialisatie!$C$5,12,31))) - MONTH(MAX($G$2, DATE(Initialisatie!$C$5,1,1))) + 1)) &lt;= 0, IFERROR(VALUE($G175),0)=0),
        AND(MAX(0, IF(MIN($H$1, DATE(Initialisatie!$C$5,12,31)) &lt; MAX($H$2, DATE(Initialisatie!$C$5,1,1)), 0, MONTH(MIN($H$1, DATE(Initialisatie!$C$5,12,31))) - MONTH(MAX($H$2, DATE(Initialisatie!$C$5,1,1))) + 1)) &lt;= 0, IFERROR(VALUE($H175),0)=0),
        AND(MAX(0, IF(MIN($I$1, DATE(Initialisatie!$C$5,12,31)) &lt; MAX($I$2, DATE(Initialisatie!$C$5,1,1)), 0, MONTH(MIN($I$1, DATE(Initialisatie!$C$5,12,31))) - MONTH(MAX($I$2, DATE(Initialisatie!$C$5,1,1))) + 1)) &lt;= 0, IFERROR(VALUE($I175),0)=0)
    ),
    0,
    SUM(
        IFERROR(VALUE($E175),0) * MAX(0, IF(MIN($E$1, DATE(Initialisatie!$C$5,12,31)) &lt; MAX($E$2, DATE(Initialisatie!$C$5,1,1)), 0, MONTH(MIN($E$1, DATE(Initialisatie!$C$5,12,31))) - MONTH(MAX($E$2, DATE(Initialisatie!$C$5,1,1))) + 1)),
        IFERROR(VALUE($F175),0) * MAX(0, IF(MIN($F$1, DATE(Initialisatie!$C$5,12,31)) &lt; MAX($F$2, DATE(Initialisatie!$C$5,1,1)), 0, MONTH(MIN($F$1, DATE(Initialisatie!$C$5,12,31))) - MONTH(MAX($F$2, DATE(Initialisatie!$C$5,1,1))) + 1)),
        IFERROR(VALUE($G175),0) * MAX(0, IF(MIN($G$1, DATE(Initialisatie!$C$5,12,31)) &lt; MAX($G$2, DATE(Initialisatie!$C$5,1,1)), 0, MONTH(MIN($G$1, DATE(Initialisatie!$C$5,12,31))) - MONTH(MAX($G$2, DATE(Initialisatie!$C$5,1,1))) + 1)),
        IFERROR(VALUE($H175),0) * MAX(0, IF(MIN($H$1, DATE(Initialisatie!$C$5,12,31)) &lt; MAX($H$2, DATE(Initialisatie!$C$5,1,1)), 0, MONTH(MIN($H$1, DATE(Initialisatie!$C$5,12,31))) - MONTH(MAX($H$2, DATE(Initialisatie!$C$5,1,1))) + 1)),
        IFERROR(VALUE($I175),0) * MAX(0, IF(MIN($I$1, DATE(Initialisatie!$C$5,12,31)) &lt; MAX($I$2, DATE(Initialisatie!$C$5,1,1)), 0, MONTH(MIN($I$1, DATE(Initialisatie!$C$5,12,31))) - MONTH(MAX($I$2, DATE(Initialisatie!$C$5,1,1))) + 1))
    ) / 12
)</f>
        <v>8949.35</v>
      </c>
    </row>
    <row r="176" spans="1:12" x14ac:dyDescent="0.45">
      <c r="A176" s="989"/>
      <c r="B176" s="35" t="s">
        <v>109</v>
      </c>
      <c r="C176" s="35">
        <v>10</v>
      </c>
      <c r="D176" s="35" t="s">
        <v>127</v>
      </c>
      <c r="E176">
        <v>8527.36</v>
      </c>
      <c r="F176">
        <v>8633.9500000000007</v>
      </c>
      <c r="G176">
        <v>8944.7800000000007</v>
      </c>
      <c r="H176">
        <v>9275.73</v>
      </c>
      <c r="I176">
        <v>9591.11</v>
      </c>
      <c r="K176">
        <f>IF(
    OR(
        AND(MAX(0, MIN($E$1, DATE(Initialisatie!$C$5,12,31)) - MAX($E$2, DATE(Initialisatie!$C$5,1,1)) + 1) &gt; 0,IFERROR(VALUE($E176),0)=0),
        AND(MAX(0, MIN($F$1, DATE(Initialisatie!$C$5,12,31)) - MAX($F$2, DATE(Initialisatie!$C$5,1,1)) + 1) &gt; 0,IFERROR(VALUE($F176),0)=0),
        AND(MAX(0, MIN($G$1, DATE(Initialisatie!$C$5,12,31)) - MAX($G$2, DATE(Initialisatie!$C$5,1,1)) + 1) &gt; 0,IFERROR(VALUE($G176),0)=0),
        AND(MAX(0, MIN($H$1, DATE(Initialisatie!$C$5,12,31)) - MAX($H$2, DATE(Initialisatie!$C$5,1,1)) + 1) &gt; 0,IFERROR(VALUE($H176),0)=0),
        AND(MAX(0, MIN($I$1, DATE(Initialisatie!$C$5,12,31)) - MAX($I$2, DATE(Initialisatie!$C$5,1,1)) + 1) &gt; 0,IFERROR(VALUE($I176),0)=0)
    ),
    0,
    SUM(
        IFERROR(VALUE($E176),0) * MAX(0, MIN($E$1, DATE(Initialisatie!$C$5,12,31)) - MAX($E$2, DATE(Initialisatie!$C$5,1,1)) + 1),
        IFERROR(VALUE($F176),0) * MAX(0, MIN($F$1, DATE(Initialisatie!$C$5,12,31)) - MAX($F$2, DATE(Initialisatie!$C$5,1,1)) + 1),
        IFERROR(VALUE($G176),0) * MAX(0, MIN($G$1, DATE(Initialisatie!$C$5,12,31)) - MAX($G$2, DATE(Initialisatie!$C$5,1,1)) + 1),
        IFERROR(VALUE($H176),0) * MAX(0, MIN($H$1, DATE(Initialisatie!$C$5,12,31)) - MAX($H$2, DATE(Initialisatie!$C$5,1,1)) + 1),
        IFERROR(VALUE($I176),0) * MAX(0, MIN($I$1, DATE(Initialisatie!$C$5,12,31)) - MAX($I$2, DATE(Initialisatie!$C$5,1,1)) + 1)
    ) / (DATE(Initialisatie!$C$5,12,31) - DATE(Initialisatie!$C$5,1,1) + 1)
)</f>
        <v>9275.73</v>
      </c>
      <c r="L176">
        <f>IF(
    OR(
        AND(MAX(0, IF(MIN($E$1, DATE(Initialisatie!$C$5,12,31)) &lt; MAX($E$2, DATE(Initialisatie!$C$5,1,1)), 0, MONTH(MIN($E$1, DATE(Initialisatie!$C$5,12,31))) - MONTH(MAX($E$2, DATE(Initialisatie!$C$5,1,1))) + 1)) &lt;= 0, IFERROR(VALUE($E176),0)=0),
        AND(MAX(0, IF(MIN($F$1, DATE(Initialisatie!$C$5,12,31)) &lt; MAX($F$2, DATE(Initialisatie!$C$5,1,1)), 0, MONTH(MIN($F$1, DATE(Initialisatie!$C$5,12,31))) - MONTH(MAX($F$2, DATE(Initialisatie!$C$5,1,1))) + 1)) &lt;= 0, IFERROR(VALUE($F176),0)=0),
        AND(MAX(0, IF(MIN($G$1, DATE(Initialisatie!$C$5,12,31)) &lt; MAX($G$2, DATE(Initialisatie!$C$5,1,1)), 0, MONTH(MIN($G$1, DATE(Initialisatie!$C$5,12,31))) - MONTH(MAX($G$2, DATE(Initialisatie!$C$5,1,1))) + 1)) &lt;= 0, IFERROR(VALUE($G176),0)=0),
        AND(MAX(0, IF(MIN($H$1, DATE(Initialisatie!$C$5,12,31)) &lt; MAX($H$2, DATE(Initialisatie!$C$5,1,1)), 0, MONTH(MIN($H$1, DATE(Initialisatie!$C$5,12,31))) - MONTH(MAX($H$2, DATE(Initialisatie!$C$5,1,1))) + 1)) &lt;= 0, IFERROR(VALUE($H176),0)=0),
        AND(MAX(0, IF(MIN($I$1, DATE(Initialisatie!$C$5,12,31)) &lt; MAX($I$2, DATE(Initialisatie!$C$5,1,1)), 0, MONTH(MIN($I$1, DATE(Initialisatie!$C$5,12,31))) - MONTH(MAX($I$2, DATE(Initialisatie!$C$5,1,1))) + 1)) &lt;= 0, IFERROR(VALUE($I176),0)=0)
    ),
    0,
    SUM(
        IFERROR(VALUE($E176),0) * MAX(0, IF(MIN($E$1, DATE(Initialisatie!$C$5,12,31)) &lt; MAX($E$2, DATE(Initialisatie!$C$5,1,1)), 0, MONTH(MIN($E$1, DATE(Initialisatie!$C$5,12,31))) - MONTH(MAX($E$2, DATE(Initialisatie!$C$5,1,1))) + 1)),
        IFERROR(VALUE($F176),0) * MAX(0, IF(MIN($F$1, DATE(Initialisatie!$C$5,12,31)) &lt; MAX($F$2, DATE(Initialisatie!$C$5,1,1)), 0, MONTH(MIN($F$1, DATE(Initialisatie!$C$5,12,31))) - MONTH(MAX($F$2, DATE(Initialisatie!$C$5,1,1))) + 1)),
        IFERROR(VALUE($G176),0) * MAX(0, IF(MIN($G$1, DATE(Initialisatie!$C$5,12,31)) &lt; MAX($G$2, DATE(Initialisatie!$C$5,1,1)), 0, MONTH(MIN($G$1, DATE(Initialisatie!$C$5,12,31))) - MONTH(MAX($G$2, DATE(Initialisatie!$C$5,1,1))) + 1)),
        IFERROR(VALUE($H176),0) * MAX(0, IF(MIN($H$1, DATE(Initialisatie!$C$5,12,31)) &lt; MAX($H$2, DATE(Initialisatie!$C$5,1,1)), 0, MONTH(MIN($H$1, DATE(Initialisatie!$C$5,12,31))) - MONTH(MAX($H$2, DATE(Initialisatie!$C$5,1,1))) + 1)),
        IFERROR(VALUE($I176),0) * MAX(0, IF(MIN($I$1, DATE(Initialisatie!$C$5,12,31)) &lt; MAX($I$2, DATE(Initialisatie!$C$5,1,1)), 0, MONTH(MIN($I$1, DATE(Initialisatie!$C$5,12,31))) - MONTH(MAX($I$2, DATE(Initialisatie!$C$5,1,1))) + 1))
    ) / 12
)</f>
        <v>9275.73</v>
      </c>
    </row>
    <row r="177" spans="1:12" x14ac:dyDescent="0.45">
      <c r="A177" s="989"/>
      <c r="B177" s="35" t="s">
        <v>107</v>
      </c>
      <c r="C177" s="35">
        <v>11</v>
      </c>
      <c r="D177" s="35" t="s">
        <v>126</v>
      </c>
      <c r="E177">
        <v>8838.35</v>
      </c>
      <c r="F177">
        <v>8948.83</v>
      </c>
      <c r="G177">
        <v>9270.99</v>
      </c>
      <c r="H177">
        <v>9614.02</v>
      </c>
      <c r="I177">
        <v>9940.89</v>
      </c>
      <c r="K177">
        <f>IF(
    OR(
        AND(MAX(0, MIN($E$1, DATE(Initialisatie!$C$5,12,31)) - MAX($E$2, DATE(Initialisatie!$C$5,1,1)) + 1) &gt; 0,IFERROR(VALUE($E177),0)=0),
        AND(MAX(0, MIN($F$1, DATE(Initialisatie!$C$5,12,31)) - MAX($F$2, DATE(Initialisatie!$C$5,1,1)) + 1) &gt; 0,IFERROR(VALUE($F177),0)=0),
        AND(MAX(0, MIN($G$1, DATE(Initialisatie!$C$5,12,31)) - MAX($G$2, DATE(Initialisatie!$C$5,1,1)) + 1) &gt; 0,IFERROR(VALUE($G177),0)=0),
        AND(MAX(0, MIN($H$1, DATE(Initialisatie!$C$5,12,31)) - MAX($H$2, DATE(Initialisatie!$C$5,1,1)) + 1) &gt; 0,IFERROR(VALUE($H177),0)=0),
        AND(MAX(0, MIN($I$1, DATE(Initialisatie!$C$5,12,31)) - MAX($I$2, DATE(Initialisatie!$C$5,1,1)) + 1) &gt; 0,IFERROR(VALUE($I177),0)=0)
    ),
    0,
    SUM(
        IFERROR(VALUE($E177),0) * MAX(0, MIN($E$1, DATE(Initialisatie!$C$5,12,31)) - MAX($E$2, DATE(Initialisatie!$C$5,1,1)) + 1),
        IFERROR(VALUE($F177),0) * MAX(0, MIN($F$1, DATE(Initialisatie!$C$5,12,31)) - MAX($F$2, DATE(Initialisatie!$C$5,1,1)) + 1),
        IFERROR(VALUE($G177),0) * MAX(0, MIN($G$1, DATE(Initialisatie!$C$5,12,31)) - MAX($G$2, DATE(Initialisatie!$C$5,1,1)) + 1),
        IFERROR(VALUE($H177),0) * MAX(0, MIN($H$1, DATE(Initialisatie!$C$5,12,31)) - MAX($H$2, DATE(Initialisatie!$C$5,1,1)) + 1),
        IFERROR(VALUE($I177),0) * MAX(0, MIN($I$1, DATE(Initialisatie!$C$5,12,31)) - MAX($I$2, DATE(Initialisatie!$C$5,1,1)) + 1)
    ) / (DATE(Initialisatie!$C$5,12,31) - DATE(Initialisatie!$C$5,1,1) + 1)
)</f>
        <v>9614.02</v>
      </c>
      <c r="L177">
        <f>IF(
    OR(
        AND(MAX(0, IF(MIN($E$1, DATE(Initialisatie!$C$5,12,31)) &lt; MAX($E$2, DATE(Initialisatie!$C$5,1,1)), 0, MONTH(MIN($E$1, DATE(Initialisatie!$C$5,12,31))) - MONTH(MAX($E$2, DATE(Initialisatie!$C$5,1,1))) + 1)) &lt;= 0, IFERROR(VALUE($E177),0)=0),
        AND(MAX(0, IF(MIN($F$1, DATE(Initialisatie!$C$5,12,31)) &lt; MAX($F$2, DATE(Initialisatie!$C$5,1,1)), 0, MONTH(MIN($F$1, DATE(Initialisatie!$C$5,12,31))) - MONTH(MAX($F$2, DATE(Initialisatie!$C$5,1,1))) + 1)) &lt;= 0, IFERROR(VALUE($F177),0)=0),
        AND(MAX(0, IF(MIN($G$1, DATE(Initialisatie!$C$5,12,31)) &lt; MAX($G$2, DATE(Initialisatie!$C$5,1,1)), 0, MONTH(MIN($G$1, DATE(Initialisatie!$C$5,12,31))) - MONTH(MAX($G$2, DATE(Initialisatie!$C$5,1,1))) + 1)) &lt;= 0, IFERROR(VALUE($G177),0)=0),
        AND(MAX(0, IF(MIN($H$1, DATE(Initialisatie!$C$5,12,31)) &lt; MAX($H$2, DATE(Initialisatie!$C$5,1,1)), 0, MONTH(MIN($H$1, DATE(Initialisatie!$C$5,12,31))) - MONTH(MAX($H$2, DATE(Initialisatie!$C$5,1,1))) + 1)) &lt;= 0, IFERROR(VALUE($H177),0)=0),
        AND(MAX(0, IF(MIN($I$1, DATE(Initialisatie!$C$5,12,31)) &lt; MAX($I$2, DATE(Initialisatie!$C$5,1,1)), 0, MONTH(MIN($I$1, DATE(Initialisatie!$C$5,12,31))) - MONTH(MAX($I$2, DATE(Initialisatie!$C$5,1,1))) + 1)) &lt;= 0, IFERROR(VALUE($I177),0)=0)
    ),
    0,
    SUM(
        IFERROR(VALUE($E177),0) * MAX(0, IF(MIN($E$1, DATE(Initialisatie!$C$5,12,31)) &lt; MAX($E$2, DATE(Initialisatie!$C$5,1,1)), 0, MONTH(MIN($E$1, DATE(Initialisatie!$C$5,12,31))) - MONTH(MAX($E$2, DATE(Initialisatie!$C$5,1,1))) + 1)),
        IFERROR(VALUE($F177),0) * MAX(0, IF(MIN($F$1, DATE(Initialisatie!$C$5,12,31)) &lt; MAX($F$2, DATE(Initialisatie!$C$5,1,1)), 0, MONTH(MIN($F$1, DATE(Initialisatie!$C$5,12,31))) - MONTH(MAX($F$2, DATE(Initialisatie!$C$5,1,1))) + 1)),
        IFERROR(VALUE($G177),0) * MAX(0, IF(MIN($G$1, DATE(Initialisatie!$C$5,12,31)) &lt; MAX($G$2, DATE(Initialisatie!$C$5,1,1)), 0, MONTH(MIN($G$1, DATE(Initialisatie!$C$5,12,31))) - MONTH(MAX($G$2, DATE(Initialisatie!$C$5,1,1))) + 1)),
        IFERROR(VALUE($H177),0) * MAX(0, IF(MIN($H$1, DATE(Initialisatie!$C$5,12,31)) &lt; MAX($H$2, DATE(Initialisatie!$C$5,1,1)), 0, MONTH(MIN($H$1, DATE(Initialisatie!$C$5,12,31))) - MONTH(MAX($H$2, DATE(Initialisatie!$C$5,1,1))) + 1)),
        IFERROR(VALUE($I177),0) * MAX(0, IF(MIN($I$1, DATE(Initialisatie!$C$5,12,31)) &lt; MAX($I$2, DATE(Initialisatie!$C$5,1,1)), 0, MONTH(MIN($I$1, DATE(Initialisatie!$C$5,12,31))) - MONTH(MAX($I$2, DATE(Initialisatie!$C$5,1,1))) + 1))
    ) / 12
)</f>
        <v>9614.02</v>
      </c>
    </row>
    <row r="178" spans="1:12" x14ac:dyDescent="0.45">
      <c r="A178" s="989"/>
      <c r="B178" s="35" t="s">
        <v>105</v>
      </c>
      <c r="C178" s="35">
        <v>12</v>
      </c>
      <c r="D178" s="35" t="s">
        <v>125</v>
      </c>
      <c r="E178">
        <v>9161.6200000000008</v>
      </c>
      <c r="F178">
        <v>9276.14</v>
      </c>
      <c r="G178">
        <v>9610.09</v>
      </c>
      <c r="H178">
        <v>9965.66</v>
      </c>
      <c r="I178">
        <v>10304.49</v>
      </c>
      <c r="K178">
        <f>IF(
    OR(
        AND(MAX(0, MIN($E$1, DATE(Initialisatie!$C$5,12,31)) - MAX($E$2, DATE(Initialisatie!$C$5,1,1)) + 1) &gt; 0,IFERROR(VALUE($E178),0)=0),
        AND(MAX(0, MIN($F$1, DATE(Initialisatie!$C$5,12,31)) - MAX($F$2, DATE(Initialisatie!$C$5,1,1)) + 1) &gt; 0,IFERROR(VALUE($F178),0)=0),
        AND(MAX(0, MIN($G$1, DATE(Initialisatie!$C$5,12,31)) - MAX($G$2, DATE(Initialisatie!$C$5,1,1)) + 1) &gt; 0,IFERROR(VALUE($G178),0)=0),
        AND(MAX(0, MIN($H$1, DATE(Initialisatie!$C$5,12,31)) - MAX($H$2, DATE(Initialisatie!$C$5,1,1)) + 1) &gt; 0,IFERROR(VALUE($H178),0)=0),
        AND(MAX(0, MIN($I$1, DATE(Initialisatie!$C$5,12,31)) - MAX($I$2, DATE(Initialisatie!$C$5,1,1)) + 1) &gt; 0,IFERROR(VALUE($I178),0)=0)
    ),
    0,
    SUM(
        IFERROR(VALUE($E178),0) * MAX(0, MIN($E$1, DATE(Initialisatie!$C$5,12,31)) - MAX($E$2, DATE(Initialisatie!$C$5,1,1)) + 1),
        IFERROR(VALUE($F178),0) * MAX(0, MIN($F$1, DATE(Initialisatie!$C$5,12,31)) - MAX($F$2, DATE(Initialisatie!$C$5,1,1)) + 1),
        IFERROR(VALUE($G178),0) * MAX(0, MIN($G$1, DATE(Initialisatie!$C$5,12,31)) - MAX($G$2, DATE(Initialisatie!$C$5,1,1)) + 1),
        IFERROR(VALUE($H178),0) * MAX(0, MIN($H$1, DATE(Initialisatie!$C$5,12,31)) - MAX($H$2, DATE(Initialisatie!$C$5,1,1)) + 1),
        IFERROR(VALUE($I178),0) * MAX(0, MIN($I$1, DATE(Initialisatie!$C$5,12,31)) - MAX($I$2, DATE(Initialisatie!$C$5,1,1)) + 1)
    ) / (DATE(Initialisatie!$C$5,12,31) - DATE(Initialisatie!$C$5,1,1) + 1)
)</f>
        <v>9965.66</v>
      </c>
      <c r="L178">
        <f>IF(
    OR(
        AND(MAX(0, IF(MIN($E$1, DATE(Initialisatie!$C$5,12,31)) &lt; MAX($E$2, DATE(Initialisatie!$C$5,1,1)), 0, MONTH(MIN($E$1, DATE(Initialisatie!$C$5,12,31))) - MONTH(MAX($E$2, DATE(Initialisatie!$C$5,1,1))) + 1)) &lt;= 0, IFERROR(VALUE($E178),0)=0),
        AND(MAX(0, IF(MIN($F$1, DATE(Initialisatie!$C$5,12,31)) &lt; MAX($F$2, DATE(Initialisatie!$C$5,1,1)), 0, MONTH(MIN($F$1, DATE(Initialisatie!$C$5,12,31))) - MONTH(MAX($F$2, DATE(Initialisatie!$C$5,1,1))) + 1)) &lt;= 0, IFERROR(VALUE($F178),0)=0),
        AND(MAX(0, IF(MIN($G$1, DATE(Initialisatie!$C$5,12,31)) &lt; MAX($G$2, DATE(Initialisatie!$C$5,1,1)), 0, MONTH(MIN($G$1, DATE(Initialisatie!$C$5,12,31))) - MONTH(MAX($G$2, DATE(Initialisatie!$C$5,1,1))) + 1)) &lt;= 0, IFERROR(VALUE($G178),0)=0),
        AND(MAX(0, IF(MIN($H$1, DATE(Initialisatie!$C$5,12,31)) &lt; MAX($H$2, DATE(Initialisatie!$C$5,1,1)), 0, MONTH(MIN($H$1, DATE(Initialisatie!$C$5,12,31))) - MONTH(MAX($H$2, DATE(Initialisatie!$C$5,1,1))) + 1)) &lt;= 0, IFERROR(VALUE($H178),0)=0),
        AND(MAX(0, IF(MIN($I$1, DATE(Initialisatie!$C$5,12,31)) &lt; MAX($I$2, DATE(Initialisatie!$C$5,1,1)), 0, MONTH(MIN($I$1, DATE(Initialisatie!$C$5,12,31))) - MONTH(MAX($I$2, DATE(Initialisatie!$C$5,1,1))) + 1)) &lt;= 0, IFERROR(VALUE($I178),0)=0)
    ),
    0,
    SUM(
        IFERROR(VALUE($E178),0) * MAX(0, IF(MIN($E$1, DATE(Initialisatie!$C$5,12,31)) &lt; MAX($E$2, DATE(Initialisatie!$C$5,1,1)), 0, MONTH(MIN($E$1, DATE(Initialisatie!$C$5,12,31))) - MONTH(MAX($E$2, DATE(Initialisatie!$C$5,1,1))) + 1)),
        IFERROR(VALUE($F178),0) * MAX(0, IF(MIN($F$1, DATE(Initialisatie!$C$5,12,31)) &lt; MAX($F$2, DATE(Initialisatie!$C$5,1,1)), 0, MONTH(MIN($F$1, DATE(Initialisatie!$C$5,12,31))) - MONTH(MAX($F$2, DATE(Initialisatie!$C$5,1,1))) + 1)),
        IFERROR(VALUE($G178),0) * MAX(0, IF(MIN($G$1, DATE(Initialisatie!$C$5,12,31)) &lt; MAX($G$2, DATE(Initialisatie!$C$5,1,1)), 0, MONTH(MIN($G$1, DATE(Initialisatie!$C$5,12,31))) - MONTH(MAX($G$2, DATE(Initialisatie!$C$5,1,1))) + 1)),
        IFERROR(VALUE($H178),0) * MAX(0, IF(MIN($H$1, DATE(Initialisatie!$C$5,12,31)) &lt; MAX($H$2, DATE(Initialisatie!$C$5,1,1)), 0, MONTH(MIN($H$1, DATE(Initialisatie!$C$5,12,31))) - MONTH(MAX($H$2, DATE(Initialisatie!$C$5,1,1))) + 1)),
        IFERROR(VALUE($I178),0) * MAX(0, IF(MIN($I$1, DATE(Initialisatie!$C$5,12,31)) &lt; MAX($I$2, DATE(Initialisatie!$C$5,1,1)), 0, MONTH(MIN($I$1, DATE(Initialisatie!$C$5,12,31))) - MONTH(MAX($I$2, DATE(Initialisatie!$C$5,1,1))) + 1))
    ) / 12
)</f>
        <v>9965.66</v>
      </c>
    </row>
    <row r="179" spans="1:12" x14ac:dyDescent="0.45">
      <c r="A179" s="989"/>
      <c r="B179" s="35" t="s">
        <v>103</v>
      </c>
      <c r="C179" s="35">
        <v>13</v>
      </c>
      <c r="D179" s="35" t="s">
        <v>124</v>
      </c>
      <c r="E179">
        <v>9495.86</v>
      </c>
      <c r="F179">
        <v>9614.56</v>
      </c>
      <c r="G179">
        <v>9960.69</v>
      </c>
      <c r="H179">
        <v>10329.23</v>
      </c>
      <c r="I179">
        <v>10680.42</v>
      </c>
      <c r="K179">
        <f>IF(
    OR(
        AND(MAX(0, MIN($E$1, DATE(Initialisatie!$C$5,12,31)) - MAX($E$2, DATE(Initialisatie!$C$5,1,1)) + 1) &gt; 0,IFERROR(VALUE($E179),0)=0),
        AND(MAX(0, MIN($F$1, DATE(Initialisatie!$C$5,12,31)) - MAX($F$2, DATE(Initialisatie!$C$5,1,1)) + 1) &gt; 0,IFERROR(VALUE($F179),0)=0),
        AND(MAX(0, MIN($G$1, DATE(Initialisatie!$C$5,12,31)) - MAX($G$2, DATE(Initialisatie!$C$5,1,1)) + 1) &gt; 0,IFERROR(VALUE($G179),0)=0),
        AND(MAX(0, MIN($H$1, DATE(Initialisatie!$C$5,12,31)) - MAX($H$2, DATE(Initialisatie!$C$5,1,1)) + 1) &gt; 0,IFERROR(VALUE($H179),0)=0),
        AND(MAX(0, MIN($I$1, DATE(Initialisatie!$C$5,12,31)) - MAX($I$2, DATE(Initialisatie!$C$5,1,1)) + 1) &gt; 0,IFERROR(VALUE($I179),0)=0)
    ),
    0,
    SUM(
        IFERROR(VALUE($E179),0) * MAX(0, MIN($E$1, DATE(Initialisatie!$C$5,12,31)) - MAX($E$2, DATE(Initialisatie!$C$5,1,1)) + 1),
        IFERROR(VALUE($F179),0) * MAX(0, MIN($F$1, DATE(Initialisatie!$C$5,12,31)) - MAX($F$2, DATE(Initialisatie!$C$5,1,1)) + 1),
        IFERROR(VALUE($G179),0) * MAX(0, MIN($G$1, DATE(Initialisatie!$C$5,12,31)) - MAX($G$2, DATE(Initialisatie!$C$5,1,1)) + 1),
        IFERROR(VALUE($H179),0) * MAX(0, MIN($H$1, DATE(Initialisatie!$C$5,12,31)) - MAX($H$2, DATE(Initialisatie!$C$5,1,1)) + 1),
        IFERROR(VALUE($I179),0) * MAX(0, MIN($I$1, DATE(Initialisatie!$C$5,12,31)) - MAX($I$2, DATE(Initialisatie!$C$5,1,1)) + 1)
    ) / (DATE(Initialisatie!$C$5,12,31) - DATE(Initialisatie!$C$5,1,1) + 1)
)</f>
        <v>10329.23</v>
      </c>
      <c r="L179">
        <f>IF(
    OR(
        AND(MAX(0, IF(MIN($E$1, DATE(Initialisatie!$C$5,12,31)) &lt; MAX($E$2, DATE(Initialisatie!$C$5,1,1)), 0, MONTH(MIN($E$1, DATE(Initialisatie!$C$5,12,31))) - MONTH(MAX($E$2, DATE(Initialisatie!$C$5,1,1))) + 1)) &lt;= 0, IFERROR(VALUE($E179),0)=0),
        AND(MAX(0, IF(MIN($F$1, DATE(Initialisatie!$C$5,12,31)) &lt; MAX($F$2, DATE(Initialisatie!$C$5,1,1)), 0, MONTH(MIN($F$1, DATE(Initialisatie!$C$5,12,31))) - MONTH(MAX($F$2, DATE(Initialisatie!$C$5,1,1))) + 1)) &lt;= 0, IFERROR(VALUE($F179),0)=0),
        AND(MAX(0, IF(MIN($G$1, DATE(Initialisatie!$C$5,12,31)) &lt; MAX($G$2, DATE(Initialisatie!$C$5,1,1)), 0, MONTH(MIN($G$1, DATE(Initialisatie!$C$5,12,31))) - MONTH(MAX($G$2, DATE(Initialisatie!$C$5,1,1))) + 1)) &lt;= 0, IFERROR(VALUE($G179),0)=0),
        AND(MAX(0, IF(MIN($H$1, DATE(Initialisatie!$C$5,12,31)) &lt; MAX($H$2, DATE(Initialisatie!$C$5,1,1)), 0, MONTH(MIN($H$1, DATE(Initialisatie!$C$5,12,31))) - MONTH(MAX($H$2, DATE(Initialisatie!$C$5,1,1))) + 1)) &lt;= 0, IFERROR(VALUE($H179),0)=0),
        AND(MAX(0, IF(MIN($I$1, DATE(Initialisatie!$C$5,12,31)) &lt; MAX($I$2, DATE(Initialisatie!$C$5,1,1)), 0, MONTH(MIN($I$1, DATE(Initialisatie!$C$5,12,31))) - MONTH(MAX($I$2, DATE(Initialisatie!$C$5,1,1))) + 1)) &lt;= 0, IFERROR(VALUE($I179),0)=0)
    ),
    0,
    SUM(
        IFERROR(VALUE($E179),0) * MAX(0, IF(MIN($E$1, DATE(Initialisatie!$C$5,12,31)) &lt; MAX($E$2, DATE(Initialisatie!$C$5,1,1)), 0, MONTH(MIN($E$1, DATE(Initialisatie!$C$5,12,31))) - MONTH(MAX($E$2, DATE(Initialisatie!$C$5,1,1))) + 1)),
        IFERROR(VALUE($F179),0) * MAX(0, IF(MIN($F$1, DATE(Initialisatie!$C$5,12,31)) &lt; MAX($F$2, DATE(Initialisatie!$C$5,1,1)), 0, MONTH(MIN($F$1, DATE(Initialisatie!$C$5,12,31))) - MONTH(MAX($F$2, DATE(Initialisatie!$C$5,1,1))) + 1)),
        IFERROR(VALUE($G179),0) * MAX(0, IF(MIN($G$1, DATE(Initialisatie!$C$5,12,31)) &lt; MAX($G$2, DATE(Initialisatie!$C$5,1,1)), 0, MONTH(MIN($G$1, DATE(Initialisatie!$C$5,12,31))) - MONTH(MAX($G$2, DATE(Initialisatie!$C$5,1,1))) + 1)),
        IFERROR(VALUE($H179),0) * MAX(0, IF(MIN($H$1, DATE(Initialisatie!$C$5,12,31)) &lt; MAX($H$2, DATE(Initialisatie!$C$5,1,1)), 0, MONTH(MIN($H$1, DATE(Initialisatie!$C$5,12,31))) - MONTH(MAX($H$2, DATE(Initialisatie!$C$5,1,1))) + 1)),
        IFERROR(VALUE($I179),0) * MAX(0, IF(MIN($I$1, DATE(Initialisatie!$C$5,12,31)) &lt; MAX($I$2, DATE(Initialisatie!$C$5,1,1)), 0, MONTH(MIN($I$1, DATE(Initialisatie!$C$5,12,31))) - MONTH(MAX($I$2, DATE(Initialisatie!$C$5,1,1))) + 1))
    ) / 12
)</f>
        <v>10329.23</v>
      </c>
    </row>
    <row r="180" spans="1:12" x14ac:dyDescent="0.45">
      <c r="A180" s="989"/>
      <c r="B180" s="35" t="s">
        <v>531</v>
      </c>
      <c r="C180" s="35">
        <v>14</v>
      </c>
      <c r="D180" s="35" t="s">
        <v>115</v>
      </c>
      <c r="E180">
        <v>0</v>
      </c>
      <c r="F180">
        <v>0</v>
      </c>
      <c r="G180">
        <v>0</v>
      </c>
      <c r="H180">
        <v>0</v>
      </c>
      <c r="I180">
        <v>0</v>
      </c>
      <c r="K180">
        <f>IF(
    OR(
        AND(MAX(0, MIN($E$1, DATE(Initialisatie!$C$5,12,31)) - MAX($E$2, DATE(Initialisatie!$C$5,1,1)) + 1) &gt; 0,IFERROR(VALUE($E180),0)=0),
        AND(MAX(0, MIN($F$1, DATE(Initialisatie!$C$5,12,31)) - MAX($F$2, DATE(Initialisatie!$C$5,1,1)) + 1) &gt; 0,IFERROR(VALUE($F180),0)=0),
        AND(MAX(0, MIN($G$1, DATE(Initialisatie!$C$5,12,31)) - MAX($G$2, DATE(Initialisatie!$C$5,1,1)) + 1) &gt; 0,IFERROR(VALUE($G180),0)=0),
        AND(MAX(0, MIN($H$1, DATE(Initialisatie!$C$5,12,31)) - MAX($H$2, DATE(Initialisatie!$C$5,1,1)) + 1) &gt; 0,IFERROR(VALUE($H180),0)=0),
        AND(MAX(0, MIN($I$1, DATE(Initialisatie!$C$5,12,31)) - MAX($I$2, DATE(Initialisatie!$C$5,1,1)) + 1) &gt; 0,IFERROR(VALUE($I180),0)=0)
    ),
    0,
    SUM(
        IFERROR(VALUE($E180),0) * MAX(0, MIN($E$1, DATE(Initialisatie!$C$5,12,31)) - MAX($E$2, DATE(Initialisatie!$C$5,1,1)) + 1),
        IFERROR(VALUE($F180),0) * MAX(0, MIN($F$1, DATE(Initialisatie!$C$5,12,31)) - MAX($F$2, DATE(Initialisatie!$C$5,1,1)) + 1),
        IFERROR(VALUE($G180),0) * MAX(0, MIN($G$1, DATE(Initialisatie!$C$5,12,31)) - MAX($G$2, DATE(Initialisatie!$C$5,1,1)) + 1),
        IFERROR(VALUE($H180),0) * MAX(0, MIN($H$1, DATE(Initialisatie!$C$5,12,31)) - MAX($H$2, DATE(Initialisatie!$C$5,1,1)) + 1),
        IFERROR(VALUE($I180),0) * MAX(0, MIN($I$1, DATE(Initialisatie!$C$5,12,31)) - MAX($I$2, DATE(Initialisatie!$C$5,1,1)) + 1)
    ) / (DATE(Initialisatie!$C$5,12,31) - DATE(Initialisatie!$C$5,1,1) + 1)
)</f>
        <v>0</v>
      </c>
      <c r="L180">
        <f>IF(
    OR(
        AND(MAX(0, IF(MIN($E$1, DATE(Initialisatie!$C$5,12,31)) &lt; MAX($E$2, DATE(Initialisatie!$C$5,1,1)), 0, MONTH(MIN($E$1, DATE(Initialisatie!$C$5,12,31))) - MONTH(MAX($E$2, DATE(Initialisatie!$C$5,1,1))) + 1)) &lt;= 0, IFERROR(VALUE($E180),0)=0),
        AND(MAX(0, IF(MIN($F$1, DATE(Initialisatie!$C$5,12,31)) &lt; MAX($F$2, DATE(Initialisatie!$C$5,1,1)), 0, MONTH(MIN($F$1, DATE(Initialisatie!$C$5,12,31))) - MONTH(MAX($F$2, DATE(Initialisatie!$C$5,1,1))) + 1)) &lt;= 0, IFERROR(VALUE($F180),0)=0),
        AND(MAX(0, IF(MIN($G$1, DATE(Initialisatie!$C$5,12,31)) &lt; MAX($G$2, DATE(Initialisatie!$C$5,1,1)), 0, MONTH(MIN($G$1, DATE(Initialisatie!$C$5,12,31))) - MONTH(MAX($G$2, DATE(Initialisatie!$C$5,1,1))) + 1)) &lt;= 0, IFERROR(VALUE($G180),0)=0),
        AND(MAX(0, IF(MIN($H$1, DATE(Initialisatie!$C$5,12,31)) &lt; MAX($H$2, DATE(Initialisatie!$C$5,1,1)), 0, MONTH(MIN($H$1, DATE(Initialisatie!$C$5,12,31))) - MONTH(MAX($H$2, DATE(Initialisatie!$C$5,1,1))) + 1)) &lt;= 0, IFERROR(VALUE($H180),0)=0),
        AND(MAX(0, IF(MIN($I$1, DATE(Initialisatie!$C$5,12,31)) &lt; MAX($I$2, DATE(Initialisatie!$C$5,1,1)), 0, MONTH(MIN($I$1, DATE(Initialisatie!$C$5,12,31))) - MONTH(MAX($I$2, DATE(Initialisatie!$C$5,1,1))) + 1)) &lt;= 0, IFERROR(VALUE($I180),0)=0)
    ),
    0,
    SUM(
        IFERROR(VALUE($E180),0) * MAX(0, IF(MIN($E$1, DATE(Initialisatie!$C$5,12,31)) &lt; MAX($E$2, DATE(Initialisatie!$C$5,1,1)), 0, MONTH(MIN($E$1, DATE(Initialisatie!$C$5,12,31))) - MONTH(MAX($E$2, DATE(Initialisatie!$C$5,1,1))) + 1)),
        IFERROR(VALUE($F180),0) * MAX(0, IF(MIN($F$1, DATE(Initialisatie!$C$5,12,31)) &lt; MAX($F$2, DATE(Initialisatie!$C$5,1,1)), 0, MONTH(MIN($F$1, DATE(Initialisatie!$C$5,12,31))) - MONTH(MAX($F$2, DATE(Initialisatie!$C$5,1,1))) + 1)),
        IFERROR(VALUE($G180),0) * MAX(0, IF(MIN($G$1, DATE(Initialisatie!$C$5,12,31)) &lt; MAX($G$2, DATE(Initialisatie!$C$5,1,1)), 0, MONTH(MIN($G$1, DATE(Initialisatie!$C$5,12,31))) - MONTH(MAX($G$2, DATE(Initialisatie!$C$5,1,1))) + 1)),
        IFERROR(VALUE($H180),0) * MAX(0, IF(MIN($H$1, DATE(Initialisatie!$C$5,12,31)) &lt; MAX($H$2, DATE(Initialisatie!$C$5,1,1)), 0, MONTH(MIN($H$1, DATE(Initialisatie!$C$5,12,31))) - MONTH(MAX($H$2, DATE(Initialisatie!$C$5,1,1))) + 1)),
        IFERROR(VALUE($I180),0) * MAX(0, IF(MIN($I$1, DATE(Initialisatie!$C$5,12,31)) &lt; MAX($I$2, DATE(Initialisatie!$C$5,1,1)), 0, MONTH(MIN($I$1, DATE(Initialisatie!$C$5,12,31))) - MONTH(MAX($I$2, DATE(Initialisatie!$C$5,1,1))) + 1))
    ) / 12
)</f>
        <v>0</v>
      </c>
    </row>
    <row r="181" spans="1:12" x14ac:dyDescent="0.45">
      <c r="A181" s="990"/>
      <c r="B181" s="35" t="s">
        <v>533</v>
      </c>
      <c r="C181" s="35">
        <v>15</v>
      </c>
      <c r="D181" s="35" t="s">
        <v>114</v>
      </c>
      <c r="E181">
        <v>0</v>
      </c>
      <c r="F181">
        <v>0</v>
      </c>
      <c r="G181">
        <v>0</v>
      </c>
      <c r="H181">
        <v>0</v>
      </c>
      <c r="I181">
        <v>0</v>
      </c>
      <c r="K181">
        <f>IF(
    OR(
        AND(MAX(0, MIN($E$1, DATE(Initialisatie!$C$5,12,31)) - MAX($E$2, DATE(Initialisatie!$C$5,1,1)) + 1) &gt; 0,IFERROR(VALUE($E181),0)=0),
        AND(MAX(0, MIN($F$1, DATE(Initialisatie!$C$5,12,31)) - MAX($F$2, DATE(Initialisatie!$C$5,1,1)) + 1) &gt; 0,IFERROR(VALUE($F181),0)=0),
        AND(MAX(0, MIN($G$1, DATE(Initialisatie!$C$5,12,31)) - MAX($G$2, DATE(Initialisatie!$C$5,1,1)) + 1) &gt; 0,IFERROR(VALUE($G181),0)=0),
        AND(MAX(0, MIN($H$1, DATE(Initialisatie!$C$5,12,31)) - MAX($H$2, DATE(Initialisatie!$C$5,1,1)) + 1) &gt; 0,IFERROR(VALUE($H181),0)=0),
        AND(MAX(0, MIN($I$1, DATE(Initialisatie!$C$5,12,31)) - MAX($I$2, DATE(Initialisatie!$C$5,1,1)) + 1) &gt; 0,IFERROR(VALUE($I181),0)=0)
    ),
    0,
    SUM(
        IFERROR(VALUE($E181),0) * MAX(0, MIN($E$1, DATE(Initialisatie!$C$5,12,31)) - MAX($E$2, DATE(Initialisatie!$C$5,1,1)) + 1),
        IFERROR(VALUE($F181),0) * MAX(0, MIN($F$1, DATE(Initialisatie!$C$5,12,31)) - MAX($F$2, DATE(Initialisatie!$C$5,1,1)) + 1),
        IFERROR(VALUE($G181),0) * MAX(0, MIN($G$1, DATE(Initialisatie!$C$5,12,31)) - MAX($G$2, DATE(Initialisatie!$C$5,1,1)) + 1),
        IFERROR(VALUE($H181),0) * MAX(0, MIN($H$1, DATE(Initialisatie!$C$5,12,31)) - MAX($H$2, DATE(Initialisatie!$C$5,1,1)) + 1),
        IFERROR(VALUE($I181),0) * MAX(0, MIN($I$1, DATE(Initialisatie!$C$5,12,31)) - MAX($I$2, DATE(Initialisatie!$C$5,1,1)) + 1)
    ) / (DATE(Initialisatie!$C$5,12,31) - DATE(Initialisatie!$C$5,1,1) + 1)
)</f>
        <v>0</v>
      </c>
      <c r="L181">
        <f>IF(
    OR(
        AND(MAX(0, IF(MIN($E$1, DATE(Initialisatie!$C$5,12,31)) &lt; MAX($E$2, DATE(Initialisatie!$C$5,1,1)), 0, MONTH(MIN($E$1, DATE(Initialisatie!$C$5,12,31))) - MONTH(MAX($E$2, DATE(Initialisatie!$C$5,1,1))) + 1)) &lt;= 0, IFERROR(VALUE($E181),0)=0),
        AND(MAX(0, IF(MIN($F$1, DATE(Initialisatie!$C$5,12,31)) &lt; MAX($F$2, DATE(Initialisatie!$C$5,1,1)), 0, MONTH(MIN($F$1, DATE(Initialisatie!$C$5,12,31))) - MONTH(MAX($F$2, DATE(Initialisatie!$C$5,1,1))) + 1)) &lt;= 0, IFERROR(VALUE($F181),0)=0),
        AND(MAX(0, IF(MIN($G$1, DATE(Initialisatie!$C$5,12,31)) &lt; MAX($G$2, DATE(Initialisatie!$C$5,1,1)), 0, MONTH(MIN($G$1, DATE(Initialisatie!$C$5,12,31))) - MONTH(MAX($G$2, DATE(Initialisatie!$C$5,1,1))) + 1)) &lt;= 0, IFERROR(VALUE($G181),0)=0),
        AND(MAX(0, IF(MIN($H$1, DATE(Initialisatie!$C$5,12,31)) &lt; MAX($H$2, DATE(Initialisatie!$C$5,1,1)), 0, MONTH(MIN($H$1, DATE(Initialisatie!$C$5,12,31))) - MONTH(MAX($H$2, DATE(Initialisatie!$C$5,1,1))) + 1)) &lt;= 0, IFERROR(VALUE($H181),0)=0),
        AND(MAX(0, IF(MIN($I$1, DATE(Initialisatie!$C$5,12,31)) &lt; MAX($I$2, DATE(Initialisatie!$C$5,1,1)), 0, MONTH(MIN($I$1, DATE(Initialisatie!$C$5,12,31))) - MONTH(MAX($I$2, DATE(Initialisatie!$C$5,1,1))) + 1)) &lt;= 0, IFERROR(VALUE($I181),0)=0)
    ),
    0,
    SUM(
        IFERROR(VALUE($E181),0) * MAX(0, IF(MIN($E$1, DATE(Initialisatie!$C$5,12,31)) &lt; MAX($E$2, DATE(Initialisatie!$C$5,1,1)), 0, MONTH(MIN($E$1, DATE(Initialisatie!$C$5,12,31))) - MONTH(MAX($E$2, DATE(Initialisatie!$C$5,1,1))) + 1)),
        IFERROR(VALUE($F181),0) * MAX(0, IF(MIN($F$1, DATE(Initialisatie!$C$5,12,31)) &lt; MAX($F$2, DATE(Initialisatie!$C$5,1,1)), 0, MONTH(MIN($F$1, DATE(Initialisatie!$C$5,12,31))) - MONTH(MAX($F$2, DATE(Initialisatie!$C$5,1,1))) + 1)),
        IFERROR(VALUE($G181),0) * MAX(0, IF(MIN($G$1, DATE(Initialisatie!$C$5,12,31)) &lt; MAX($G$2, DATE(Initialisatie!$C$5,1,1)), 0, MONTH(MIN($G$1, DATE(Initialisatie!$C$5,12,31))) - MONTH(MAX($G$2, DATE(Initialisatie!$C$5,1,1))) + 1)),
        IFERROR(VALUE($H181),0) * MAX(0, IF(MIN($H$1, DATE(Initialisatie!$C$5,12,31)) &lt; MAX($H$2, DATE(Initialisatie!$C$5,1,1)), 0, MONTH(MIN($H$1, DATE(Initialisatie!$C$5,12,31))) - MONTH(MAX($H$2, DATE(Initialisatie!$C$5,1,1))) + 1)),
        IFERROR(VALUE($I181),0) * MAX(0, IF(MIN($I$1, DATE(Initialisatie!$C$5,12,31)) &lt; MAX($I$2, DATE(Initialisatie!$C$5,1,1)), 0, MONTH(MIN($I$1, DATE(Initialisatie!$C$5,12,31))) - MONTH(MAX($I$2, DATE(Initialisatie!$C$5,1,1))) + 1))
    ) / 12
)</f>
        <v>0</v>
      </c>
    </row>
    <row r="182" spans="1:12" x14ac:dyDescent="0.45">
      <c r="A182" s="988">
        <v>15</v>
      </c>
      <c r="B182" s="35" t="s">
        <v>113</v>
      </c>
      <c r="C182" s="35">
        <v>0</v>
      </c>
      <c r="D182" s="35" t="s">
        <v>112</v>
      </c>
      <c r="E182">
        <v>6923.9</v>
      </c>
      <c r="F182">
        <v>7010.45</v>
      </c>
      <c r="G182">
        <v>7262.83</v>
      </c>
      <c r="H182">
        <v>7531.55</v>
      </c>
      <c r="I182">
        <v>7787.62</v>
      </c>
      <c r="K182">
        <f>IF(
    OR(
        AND(MAX(0, MIN($E$1, DATE(Initialisatie!$C$5,12,31)) - MAX($E$2, DATE(Initialisatie!$C$5,1,1)) + 1) &gt; 0,IFERROR(VALUE($E182),0)=0),
        AND(MAX(0, MIN($F$1, DATE(Initialisatie!$C$5,12,31)) - MAX($F$2, DATE(Initialisatie!$C$5,1,1)) + 1) &gt; 0,IFERROR(VALUE($F182),0)=0),
        AND(MAX(0, MIN($G$1, DATE(Initialisatie!$C$5,12,31)) - MAX($G$2, DATE(Initialisatie!$C$5,1,1)) + 1) &gt; 0,IFERROR(VALUE($G182),0)=0),
        AND(MAX(0, MIN($H$1, DATE(Initialisatie!$C$5,12,31)) - MAX($H$2, DATE(Initialisatie!$C$5,1,1)) + 1) &gt; 0,IFERROR(VALUE($H182),0)=0),
        AND(MAX(0, MIN($I$1, DATE(Initialisatie!$C$5,12,31)) - MAX($I$2, DATE(Initialisatie!$C$5,1,1)) + 1) &gt; 0,IFERROR(VALUE($I182),0)=0)
    ),
    0,
    SUM(
        IFERROR(VALUE($E182),0) * MAX(0, MIN($E$1, DATE(Initialisatie!$C$5,12,31)) - MAX($E$2, DATE(Initialisatie!$C$5,1,1)) + 1),
        IFERROR(VALUE($F182),0) * MAX(0, MIN($F$1, DATE(Initialisatie!$C$5,12,31)) - MAX($F$2, DATE(Initialisatie!$C$5,1,1)) + 1),
        IFERROR(VALUE($G182),0) * MAX(0, MIN($G$1, DATE(Initialisatie!$C$5,12,31)) - MAX($G$2, DATE(Initialisatie!$C$5,1,1)) + 1),
        IFERROR(VALUE($H182),0) * MAX(0, MIN($H$1, DATE(Initialisatie!$C$5,12,31)) - MAX($H$2, DATE(Initialisatie!$C$5,1,1)) + 1),
        IFERROR(VALUE($I182),0) * MAX(0, MIN($I$1, DATE(Initialisatie!$C$5,12,31)) - MAX($I$2, DATE(Initialisatie!$C$5,1,1)) + 1)
    ) / (DATE(Initialisatie!$C$5,12,31) - DATE(Initialisatie!$C$5,1,1) + 1)
)</f>
        <v>7531.55</v>
      </c>
      <c r="L182">
        <f>IF(
    OR(
        AND(MAX(0, IF(MIN($E$1, DATE(Initialisatie!$C$5,12,31)) &lt; MAX($E$2, DATE(Initialisatie!$C$5,1,1)), 0, MONTH(MIN($E$1, DATE(Initialisatie!$C$5,12,31))) - MONTH(MAX($E$2, DATE(Initialisatie!$C$5,1,1))) + 1)) &lt;= 0, IFERROR(VALUE($E182),0)=0),
        AND(MAX(0, IF(MIN($F$1, DATE(Initialisatie!$C$5,12,31)) &lt; MAX($F$2, DATE(Initialisatie!$C$5,1,1)), 0, MONTH(MIN($F$1, DATE(Initialisatie!$C$5,12,31))) - MONTH(MAX($F$2, DATE(Initialisatie!$C$5,1,1))) + 1)) &lt;= 0, IFERROR(VALUE($F182),0)=0),
        AND(MAX(0, IF(MIN($G$1, DATE(Initialisatie!$C$5,12,31)) &lt; MAX($G$2, DATE(Initialisatie!$C$5,1,1)), 0, MONTH(MIN($G$1, DATE(Initialisatie!$C$5,12,31))) - MONTH(MAX($G$2, DATE(Initialisatie!$C$5,1,1))) + 1)) &lt;= 0, IFERROR(VALUE($G182),0)=0),
        AND(MAX(0, IF(MIN($H$1, DATE(Initialisatie!$C$5,12,31)) &lt; MAX($H$2, DATE(Initialisatie!$C$5,1,1)), 0, MONTH(MIN($H$1, DATE(Initialisatie!$C$5,12,31))) - MONTH(MAX($H$2, DATE(Initialisatie!$C$5,1,1))) + 1)) &lt;= 0, IFERROR(VALUE($H182),0)=0),
        AND(MAX(0, IF(MIN($I$1, DATE(Initialisatie!$C$5,12,31)) &lt; MAX($I$2, DATE(Initialisatie!$C$5,1,1)), 0, MONTH(MIN($I$1, DATE(Initialisatie!$C$5,12,31))) - MONTH(MAX($I$2, DATE(Initialisatie!$C$5,1,1))) + 1)) &lt;= 0, IFERROR(VALUE($I182),0)=0)
    ),
    0,
    SUM(
        IFERROR(VALUE($E182),0) * MAX(0, IF(MIN($E$1, DATE(Initialisatie!$C$5,12,31)) &lt; MAX($E$2, DATE(Initialisatie!$C$5,1,1)), 0, MONTH(MIN($E$1, DATE(Initialisatie!$C$5,12,31))) - MONTH(MAX($E$2, DATE(Initialisatie!$C$5,1,1))) + 1)),
        IFERROR(VALUE($F182),0) * MAX(0, IF(MIN($F$1, DATE(Initialisatie!$C$5,12,31)) &lt; MAX($F$2, DATE(Initialisatie!$C$5,1,1)), 0, MONTH(MIN($F$1, DATE(Initialisatie!$C$5,12,31))) - MONTH(MAX($F$2, DATE(Initialisatie!$C$5,1,1))) + 1)),
        IFERROR(VALUE($G182),0) * MAX(0, IF(MIN($G$1, DATE(Initialisatie!$C$5,12,31)) &lt; MAX($G$2, DATE(Initialisatie!$C$5,1,1)), 0, MONTH(MIN($G$1, DATE(Initialisatie!$C$5,12,31))) - MONTH(MAX($G$2, DATE(Initialisatie!$C$5,1,1))) + 1)),
        IFERROR(VALUE($H182),0) * MAX(0, IF(MIN($H$1, DATE(Initialisatie!$C$5,12,31)) &lt; MAX($H$2, DATE(Initialisatie!$C$5,1,1)), 0, MONTH(MIN($H$1, DATE(Initialisatie!$C$5,12,31))) - MONTH(MAX($H$2, DATE(Initialisatie!$C$5,1,1))) + 1)),
        IFERROR(VALUE($I182),0) * MAX(0, IF(MIN($I$1, DATE(Initialisatie!$C$5,12,31)) &lt; MAX($I$2, DATE(Initialisatie!$C$5,1,1)), 0, MONTH(MIN($I$1, DATE(Initialisatie!$C$5,12,31))) - MONTH(MAX($I$2, DATE(Initialisatie!$C$5,1,1))) + 1))
    ) / 12
)</f>
        <v>7531.55</v>
      </c>
    </row>
    <row r="183" spans="1:12" x14ac:dyDescent="0.45">
      <c r="A183" s="989"/>
      <c r="B183" s="35" t="s">
        <v>111</v>
      </c>
      <c r="C183" s="35">
        <v>1</v>
      </c>
      <c r="D183" s="35" t="s">
        <v>110</v>
      </c>
      <c r="E183">
        <v>7180.38</v>
      </c>
      <c r="F183">
        <v>7270.13</v>
      </c>
      <c r="G183">
        <v>7531.86</v>
      </c>
      <c r="H183">
        <v>7810.54</v>
      </c>
      <c r="I183">
        <v>8076.1</v>
      </c>
      <c r="K183">
        <f>IF(
    OR(
        AND(MAX(0, MIN($E$1, DATE(Initialisatie!$C$5,12,31)) - MAX($E$2, DATE(Initialisatie!$C$5,1,1)) + 1) &gt; 0,IFERROR(VALUE($E183),0)=0),
        AND(MAX(0, MIN($F$1, DATE(Initialisatie!$C$5,12,31)) - MAX($F$2, DATE(Initialisatie!$C$5,1,1)) + 1) &gt; 0,IFERROR(VALUE($F183),0)=0),
        AND(MAX(0, MIN($G$1, DATE(Initialisatie!$C$5,12,31)) - MAX($G$2, DATE(Initialisatie!$C$5,1,1)) + 1) &gt; 0,IFERROR(VALUE($G183),0)=0),
        AND(MAX(0, MIN($H$1, DATE(Initialisatie!$C$5,12,31)) - MAX($H$2, DATE(Initialisatie!$C$5,1,1)) + 1) &gt; 0,IFERROR(VALUE($H183),0)=0),
        AND(MAX(0, MIN($I$1, DATE(Initialisatie!$C$5,12,31)) - MAX($I$2, DATE(Initialisatie!$C$5,1,1)) + 1) &gt; 0,IFERROR(VALUE($I183),0)=0)
    ),
    0,
    SUM(
        IFERROR(VALUE($E183),0) * MAX(0, MIN($E$1, DATE(Initialisatie!$C$5,12,31)) - MAX($E$2, DATE(Initialisatie!$C$5,1,1)) + 1),
        IFERROR(VALUE($F183),0) * MAX(0, MIN($F$1, DATE(Initialisatie!$C$5,12,31)) - MAX($F$2, DATE(Initialisatie!$C$5,1,1)) + 1),
        IFERROR(VALUE($G183),0) * MAX(0, MIN($G$1, DATE(Initialisatie!$C$5,12,31)) - MAX($G$2, DATE(Initialisatie!$C$5,1,1)) + 1),
        IFERROR(VALUE($H183),0) * MAX(0, MIN($H$1, DATE(Initialisatie!$C$5,12,31)) - MAX($H$2, DATE(Initialisatie!$C$5,1,1)) + 1),
        IFERROR(VALUE($I183),0) * MAX(0, MIN($I$1, DATE(Initialisatie!$C$5,12,31)) - MAX($I$2, DATE(Initialisatie!$C$5,1,1)) + 1)
    ) / (DATE(Initialisatie!$C$5,12,31) - DATE(Initialisatie!$C$5,1,1) + 1)
)</f>
        <v>7810.54</v>
      </c>
      <c r="L183">
        <f>IF(
    OR(
        AND(MAX(0, IF(MIN($E$1, DATE(Initialisatie!$C$5,12,31)) &lt; MAX($E$2, DATE(Initialisatie!$C$5,1,1)), 0, MONTH(MIN($E$1, DATE(Initialisatie!$C$5,12,31))) - MONTH(MAX($E$2, DATE(Initialisatie!$C$5,1,1))) + 1)) &lt;= 0, IFERROR(VALUE($E183),0)=0),
        AND(MAX(0, IF(MIN($F$1, DATE(Initialisatie!$C$5,12,31)) &lt; MAX($F$2, DATE(Initialisatie!$C$5,1,1)), 0, MONTH(MIN($F$1, DATE(Initialisatie!$C$5,12,31))) - MONTH(MAX($F$2, DATE(Initialisatie!$C$5,1,1))) + 1)) &lt;= 0, IFERROR(VALUE($F183),0)=0),
        AND(MAX(0, IF(MIN($G$1, DATE(Initialisatie!$C$5,12,31)) &lt; MAX($G$2, DATE(Initialisatie!$C$5,1,1)), 0, MONTH(MIN($G$1, DATE(Initialisatie!$C$5,12,31))) - MONTH(MAX($G$2, DATE(Initialisatie!$C$5,1,1))) + 1)) &lt;= 0, IFERROR(VALUE($G183),0)=0),
        AND(MAX(0, IF(MIN($H$1, DATE(Initialisatie!$C$5,12,31)) &lt; MAX($H$2, DATE(Initialisatie!$C$5,1,1)), 0, MONTH(MIN($H$1, DATE(Initialisatie!$C$5,12,31))) - MONTH(MAX($H$2, DATE(Initialisatie!$C$5,1,1))) + 1)) &lt;= 0, IFERROR(VALUE($H183),0)=0),
        AND(MAX(0, IF(MIN($I$1, DATE(Initialisatie!$C$5,12,31)) &lt; MAX($I$2, DATE(Initialisatie!$C$5,1,1)), 0, MONTH(MIN($I$1, DATE(Initialisatie!$C$5,12,31))) - MONTH(MAX($I$2, DATE(Initialisatie!$C$5,1,1))) + 1)) &lt;= 0, IFERROR(VALUE($I183),0)=0)
    ),
    0,
    SUM(
        IFERROR(VALUE($E183),0) * MAX(0, IF(MIN($E$1, DATE(Initialisatie!$C$5,12,31)) &lt; MAX($E$2, DATE(Initialisatie!$C$5,1,1)), 0, MONTH(MIN($E$1, DATE(Initialisatie!$C$5,12,31))) - MONTH(MAX($E$2, DATE(Initialisatie!$C$5,1,1))) + 1)),
        IFERROR(VALUE($F183),0) * MAX(0, IF(MIN($F$1, DATE(Initialisatie!$C$5,12,31)) &lt; MAX($F$2, DATE(Initialisatie!$C$5,1,1)), 0, MONTH(MIN($F$1, DATE(Initialisatie!$C$5,12,31))) - MONTH(MAX($F$2, DATE(Initialisatie!$C$5,1,1))) + 1)),
        IFERROR(VALUE($G183),0) * MAX(0, IF(MIN($G$1, DATE(Initialisatie!$C$5,12,31)) &lt; MAX($G$2, DATE(Initialisatie!$C$5,1,1)), 0, MONTH(MIN($G$1, DATE(Initialisatie!$C$5,12,31))) - MONTH(MAX($G$2, DATE(Initialisatie!$C$5,1,1))) + 1)),
        IFERROR(VALUE($H183),0) * MAX(0, IF(MIN($H$1, DATE(Initialisatie!$C$5,12,31)) &lt; MAX($H$2, DATE(Initialisatie!$C$5,1,1)), 0, MONTH(MIN($H$1, DATE(Initialisatie!$C$5,12,31))) - MONTH(MAX($H$2, DATE(Initialisatie!$C$5,1,1))) + 1)),
        IFERROR(VALUE($I183),0) * MAX(0, IF(MIN($I$1, DATE(Initialisatie!$C$5,12,31)) &lt; MAX($I$2, DATE(Initialisatie!$C$5,1,1)), 0, MONTH(MIN($I$1, DATE(Initialisatie!$C$5,12,31))) - MONTH(MAX($I$2, DATE(Initialisatie!$C$5,1,1))) + 1))
    ) / 12
)</f>
        <v>7810.54</v>
      </c>
    </row>
    <row r="184" spans="1:12" x14ac:dyDescent="0.45">
      <c r="A184" s="989"/>
      <c r="B184" s="35" t="s">
        <v>101</v>
      </c>
      <c r="C184" s="35">
        <v>2</v>
      </c>
      <c r="D184" s="35" t="s">
        <v>100</v>
      </c>
      <c r="E184">
        <v>7445.56</v>
      </c>
      <c r="F184">
        <v>7538.63</v>
      </c>
      <c r="G184">
        <v>7810.02</v>
      </c>
      <c r="H184">
        <v>8098.99</v>
      </c>
      <c r="I184">
        <v>8374.35</v>
      </c>
      <c r="K184">
        <f>IF(
    OR(
        AND(MAX(0, MIN($E$1, DATE(Initialisatie!$C$5,12,31)) - MAX($E$2, DATE(Initialisatie!$C$5,1,1)) + 1) &gt; 0,IFERROR(VALUE($E184),0)=0),
        AND(MAX(0, MIN($F$1, DATE(Initialisatie!$C$5,12,31)) - MAX($F$2, DATE(Initialisatie!$C$5,1,1)) + 1) &gt; 0,IFERROR(VALUE($F184),0)=0),
        AND(MAX(0, MIN($G$1, DATE(Initialisatie!$C$5,12,31)) - MAX($G$2, DATE(Initialisatie!$C$5,1,1)) + 1) &gt; 0,IFERROR(VALUE($G184),0)=0),
        AND(MAX(0, MIN($H$1, DATE(Initialisatie!$C$5,12,31)) - MAX($H$2, DATE(Initialisatie!$C$5,1,1)) + 1) &gt; 0,IFERROR(VALUE($H184),0)=0),
        AND(MAX(0, MIN($I$1, DATE(Initialisatie!$C$5,12,31)) - MAX($I$2, DATE(Initialisatie!$C$5,1,1)) + 1) &gt; 0,IFERROR(VALUE($I184),0)=0)
    ),
    0,
    SUM(
        IFERROR(VALUE($E184),0) * MAX(0, MIN($E$1, DATE(Initialisatie!$C$5,12,31)) - MAX($E$2, DATE(Initialisatie!$C$5,1,1)) + 1),
        IFERROR(VALUE($F184),0) * MAX(0, MIN($F$1, DATE(Initialisatie!$C$5,12,31)) - MAX($F$2, DATE(Initialisatie!$C$5,1,1)) + 1),
        IFERROR(VALUE($G184),0) * MAX(0, MIN($G$1, DATE(Initialisatie!$C$5,12,31)) - MAX($G$2, DATE(Initialisatie!$C$5,1,1)) + 1),
        IFERROR(VALUE($H184),0) * MAX(0, MIN($H$1, DATE(Initialisatie!$C$5,12,31)) - MAX($H$2, DATE(Initialisatie!$C$5,1,1)) + 1),
        IFERROR(VALUE($I184),0) * MAX(0, MIN($I$1, DATE(Initialisatie!$C$5,12,31)) - MAX($I$2, DATE(Initialisatie!$C$5,1,1)) + 1)
    ) / (DATE(Initialisatie!$C$5,12,31) - DATE(Initialisatie!$C$5,1,1) + 1)
)</f>
        <v>8098.9900000000007</v>
      </c>
      <c r="L184">
        <f>IF(
    OR(
        AND(MAX(0, IF(MIN($E$1, DATE(Initialisatie!$C$5,12,31)) &lt; MAX($E$2, DATE(Initialisatie!$C$5,1,1)), 0, MONTH(MIN($E$1, DATE(Initialisatie!$C$5,12,31))) - MONTH(MAX($E$2, DATE(Initialisatie!$C$5,1,1))) + 1)) &lt;= 0, IFERROR(VALUE($E184),0)=0),
        AND(MAX(0, IF(MIN($F$1, DATE(Initialisatie!$C$5,12,31)) &lt; MAX($F$2, DATE(Initialisatie!$C$5,1,1)), 0, MONTH(MIN($F$1, DATE(Initialisatie!$C$5,12,31))) - MONTH(MAX($F$2, DATE(Initialisatie!$C$5,1,1))) + 1)) &lt;= 0, IFERROR(VALUE($F184),0)=0),
        AND(MAX(0, IF(MIN($G$1, DATE(Initialisatie!$C$5,12,31)) &lt; MAX($G$2, DATE(Initialisatie!$C$5,1,1)), 0, MONTH(MIN($G$1, DATE(Initialisatie!$C$5,12,31))) - MONTH(MAX($G$2, DATE(Initialisatie!$C$5,1,1))) + 1)) &lt;= 0, IFERROR(VALUE($G184),0)=0),
        AND(MAX(0, IF(MIN($H$1, DATE(Initialisatie!$C$5,12,31)) &lt; MAX($H$2, DATE(Initialisatie!$C$5,1,1)), 0, MONTH(MIN($H$1, DATE(Initialisatie!$C$5,12,31))) - MONTH(MAX($H$2, DATE(Initialisatie!$C$5,1,1))) + 1)) &lt;= 0, IFERROR(VALUE($H184),0)=0),
        AND(MAX(0, IF(MIN($I$1, DATE(Initialisatie!$C$5,12,31)) &lt; MAX($I$2, DATE(Initialisatie!$C$5,1,1)), 0, MONTH(MIN($I$1, DATE(Initialisatie!$C$5,12,31))) - MONTH(MAX($I$2, DATE(Initialisatie!$C$5,1,1))) + 1)) &lt;= 0, IFERROR(VALUE($I184),0)=0)
    ),
    0,
    SUM(
        IFERROR(VALUE($E184),0) * MAX(0, IF(MIN($E$1, DATE(Initialisatie!$C$5,12,31)) &lt; MAX($E$2, DATE(Initialisatie!$C$5,1,1)), 0, MONTH(MIN($E$1, DATE(Initialisatie!$C$5,12,31))) - MONTH(MAX($E$2, DATE(Initialisatie!$C$5,1,1))) + 1)),
        IFERROR(VALUE($F184),0) * MAX(0, IF(MIN($F$1, DATE(Initialisatie!$C$5,12,31)) &lt; MAX($F$2, DATE(Initialisatie!$C$5,1,1)), 0, MONTH(MIN($F$1, DATE(Initialisatie!$C$5,12,31))) - MONTH(MAX($F$2, DATE(Initialisatie!$C$5,1,1))) + 1)),
        IFERROR(VALUE($G184),0) * MAX(0, IF(MIN($G$1, DATE(Initialisatie!$C$5,12,31)) &lt; MAX($G$2, DATE(Initialisatie!$C$5,1,1)), 0, MONTH(MIN($G$1, DATE(Initialisatie!$C$5,12,31))) - MONTH(MAX($G$2, DATE(Initialisatie!$C$5,1,1))) + 1)),
        IFERROR(VALUE($H184),0) * MAX(0, IF(MIN($H$1, DATE(Initialisatie!$C$5,12,31)) &lt; MAX($H$2, DATE(Initialisatie!$C$5,1,1)), 0, MONTH(MIN($H$1, DATE(Initialisatie!$C$5,12,31))) - MONTH(MAX($H$2, DATE(Initialisatie!$C$5,1,1))) + 1)),
        IFERROR(VALUE($I184),0) * MAX(0, IF(MIN($I$1, DATE(Initialisatie!$C$5,12,31)) &lt; MAX($I$2, DATE(Initialisatie!$C$5,1,1)), 0, MONTH(MIN($I$1, DATE(Initialisatie!$C$5,12,31))) - MONTH(MAX($I$2, DATE(Initialisatie!$C$5,1,1))) + 1))
    ) / 12
)</f>
        <v>8098.9900000000007</v>
      </c>
    </row>
    <row r="185" spans="1:12" x14ac:dyDescent="0.45">
      <c r="A185" s="989"/>
      <c r="B185" s="35" t="s">
        <v>99</v>
      </c>
      <c r="C185" s="35">
        <v>3</v>
      </c>
      <c r="D185" s="35" t="s">
        <v>98</v>
      </c>
      <c r="E185">
        <v>7720.9</v>
      </c>
      <c r="F185">
        <v>7817.41</v>
      </c>
      <c r="G185">
        <v>8098.84</v>
      </c>
      <c r="H185">
        <v>8398.49</v>
      </c>
      <c r="I185">
        <v>8684.0400000000009</v>
      </c>
      <c r="K185">
        <f>IF(
    OR(
        AND(MAX(0, MIN($E$1, DATE(Initialisatie!$C$5,12,31)) - MAX($E$2, DATE(Initialisatie!$C$5,1,1)) + 1) &gt; 0,IFERROR(VALUE($E185),0)=0),
        AND(MAX(0, MIN($F$1, DATE(Initialisatie!$C$5,12,31)) - MAX($F$2, DATE(Initialisatie!$C$5,1,1)) + 1) &gt; 0,IFERROR(VALUE($F185),0)=0),
        AND(MAX(0, MIN($G$1, DATE(Initialisatie!$C$5,12,31)) - MAX($G$2, DATE(Initialisatie!$C$5,1,1)) + 1) &gt; 0,IFERROR(VALUE($G185),0)=0),
        AND(MAX(0, MIN($H$1, DATE(Initialisatie!$C$5,12,31)) - MAX($H$2, DATE(Initialisatie!$C$5,1,1)) + 1) &gt; 0,IFERROR(VALUE($H185),0)=0),
        AND(MAX(0, MIN($I$1, DATE(Initialisatie!$C$5,12,31)) - MAX($I$2, DATE(Initialisatie!$C$5,1,1)) + 1) &gt; 0,IFERROR(VALUE($I185),0)=0)
    ),
    0,
    SUM(
        IFERROR(VALUE($E185),0) * MAX(0, MIN($E$1, DATE(Initialisatie!$C$5,12,31)) - MAX($E$2, DATE(Initialisatie!$C$5,1,1)) + 1),
        IFERROR(VALUE($F185),0) * MAX(0, MIN($F$1, DATE(Initialisatie!$C$5,12,31)) - MAX($F$2, DATE(Initialisatie!$C$5,1,1)) + 1),
        IFERROR(VALUE($G185),0) * MAX(0, MIN($G$1, DATE(Initialisatie!$C$5,12,31)) - MAX($G$2, DATE(Initialisatie!$C$5,1,1)) + 1),
        IFERROR(VALUE($H185),0) * MAX(0, MIN($H$1, DATE(Initialisatie!$C$5,12,31)) - MAX($H$2, DATE(Initialisatie!$C$5,1,1)) + 1),
        IFERROR(VALUE($I185),0) * MAX(0, MIN($I$1, DATE(Initialisatie!$C$5,12,31)) - MAX($I$2, DATE(Initialisatie!$C$5,1,1)) + 1)
    ) / (DATE(Initialisatie!$C$5,12,31) - DATE(Initialisatie!$C$5,1,1) + 1)
)</f>
        <v>8398.49</v>
      </c>
      <c r="L185">
        <f>IF(
    OR(
        AND(MAX(0, IF(MIN($E$1, DATE(Initialisatie!$C$5,12,31)) &lt; MAX($E$2, DATE(Initialisatie!$C$5,1,1)), 0, MONTH(MIN($E$1, DATE(Initialisatie!$C$5,12,31))) - MONTH(MAX($E$2, DATE(Initialisatie!$C$5,1,1))) + 1)) &lt;= 0, IFERROR(VALUE($E185),0)=0),
        AND(MAX(0, IF(MIN($F$1, DATE(Initialisatie!$C$5,12,31)) &lt; MAX($F$2, DATE(Initialisatie!$C$5,1,1)), 0, MONTH(MIN($F$1, DATE(Initialisatie!$C$5,12,31))) - MONTH(MAX($F$2, DATE(Initialisatie!$C$5,1,1))) + 1)) &lt;= 0, IFERROR(VALUE($F185),0)=0),
        AND(MAX(0, IF(MIN($G$1, DATE(Initialisatie!$C$5,12,31)) &lt; MAX($G$2, DATE(Initialisatie!$C$5,1,1)), 0, MONTH(MIN($G$1, DATE(Initialisatie!$C$5,12,31))) - MONTH(MAX($G$2, DATE(Initialisatie!$C$5,1,1))) + 1)) &lt;= 0, IFERROR(VALUE($G185),0)=0),
        AND(MAX(0, IF(MIN($H$1, DATE(Initialisatie!$C$5,12,31)) &lt; MAX($H$2, DATE(Initialisatie!$C$5,1,1)), 0, MONTH(MIN($H$1, DATE(Initialisatie!$C$5,12,31))) - MONTH(MAX($H$2, DATE(Initialisatie!$C$5,1,1))) + 1)) &lt;= 0, IFERROR(VALUE($H185),0)=0),
        AND(MAX(0, IF(MIN($I$1, DATE(Initialisatie!$C$5,12,31)) &lt; MAX($I$2, DATE(Initialisatie!$C$5,1,1)), 0, MONTH(MIN($I$1, DATE(Initialisatie!$C$5,12,31))) - MONTH(MAX($I$2, DATE(Initialisatie!$C$5,1,1))) + 1)) &lt;= 0, IFERROR(VALUE($I185),0)=0)
    ),
    0,
    SUM(
        IFERROR(VALUE($E185),0) * MAX(0, IF(MIN($E$1, DATE(Initialisatie!$C$5,12,31)) &lt; MAX($E$2, DATE(Initialisatie!$C$5,1,1)), 0, MONTH(MIN($E$1, DATE(Initialisatie!$C$5,12,31))) - MONTH(MAX($E$2, DATE(Initialisatie!$C$5,1,1))) + 1)),
        IFERROR(VALUE($F185),0) * MAX(0, IF(MIN($F$1, DATE(Initialisatie!$C$5,12,31)) &lt; MAX($F$2, DATE(Initialisatie!$C$5,1,1)), 0, MONTH(MIN($F$1, DATE(Initialisatie!$C$5,12,31))) - MONTH(MAX($F$2, DATE(Initialisatie!$C$5,1,1))) + 1)),
        IFERROR(VALUE($G185),0) * MAX(0, IF(MIN($G$1, DATE(Initialisatie!$C$5,12,31)) &lt; MAX($G$2, DATE(Initialisatie!$C$5,1,1)), 0, MONTH(MIN($G$1, DATE(Initialisatie!$C$5,12,31))) - MONTH(MAX($G$2, DATE(Initialisatie!$C$5,1,1))) + 1)),
        IFERROR(VALUE($H185),0) * MAX(0, IF(MIN($H$1, DATE(Initialisatie!$C$5,12,31)) &lt; MAX($H$2, DATE(Initialisatie!$C$5,1,1)), 0, MONTH(MIN($H$1, DATE(Initialisatie!$C$5,12,31))) - MONTH(MAX($H$2, DATE(Initialisatie!$C$5,1,1))) + 1)),
        IFERROR(VALUE($I185),0) * MAX(0, IF(MIN($I$1, DATE(Initialisatie!$C$5,12,31)) &lt; MAX($I$2, DATE(Initialisatie!$C$5,1,1)), 0, MONTH(MIN($I$1, DATE(Initialisatie!$C$5,12,31))) - MONTH(MAX($I$2, DATE(Initialisatie!$C$5,1,1))) + 1))
    ) / 12
)</f>
        <v>8398.49</v>
      </c>
    </row>
    <row r="186" spans="1:12" x14ac:dyDescent="0.45">
      <c r="A186" s="989"/>
      <c r="B186" s="35" t="s">
        <v>97</v>
      </c>
      <c r="C186" s="35">
        <v>4</v>
      </c>
      <c r="D186" s="35" t="s">
        <v>96</v>
      </c>
      <c r="E186">
        <v>8007.15</v>
      </c>
      <c r="F186">
        <v>8107.24</v>
      </c>
      <c r="G186">
        <v>8399.1</v>
      </c>
      <c r="H186">
        <v>8709.8700000000008</v>
      </c>
      <c r="I186">
        <v>9006.01</v>
      </c>
      <c r="K186">
        <f>IF(
    OR(
        AND(MAX(0, MIN($E$1, DATE(Initialisatie!$C$5,12,31)) - MAX($E$2, DATE(Initialisatie!$C$5,1,1)) + 1) &gt; 0,IFERROR(VALUE($E186),0)=0),
        AND(MAX(0, MIN($F$1, DATE(Initialisatie!$C$5,12,31)) - MAX($F$2, DATE(Initialisatie!$C$5,1,1)) + 1) &gt; 0,IFERROR(VALUE($F186),0)=0),
        AND(MAX(0, MIN($G$1, DATE(Initialisatie!$C$5,12,31)) - MAX($G$2, DATE(Initialisatie!$C$5,1,1)) + 1) &gt; 0,IFERROR(VALUE($G186),0)=0),
        AND(MAX(0, MIN($H$1, DATE(Initialisatie!$C$5,12,31)) - MAX($H$2, DATE(Initialisatie!$C$5,1,1)) + 1) &gt; 0,IFERROR(VALUE($H186),0)=0),
        AND(MAX(0, MIN($I$1, DATE(Initialisatie!$C$5,12,31)) - MAX($I$2, DATE(Initialisatie!$C$5,1,1)) + 1) &gt; 0,IFERROR(VALUE($I186),0)=0)
    ),
    0,
    SUM(
        IFERROR(VALUE($E186),0) * MAX(0, MIN($E$1, DATE(Initialisatie!$C$5,12,31)) - MAX($E$2, DATE(Initialisatie!$C$5,1,1)) + 1),
        IFERROR(VALUE($F186),0) * MAX(0, MIN($F$1, DATE(Initialisatie!$C$5,12,31)) - MAX($F$2, DATE(Initialisatie!$C$5,1,1)) + 1),
        IFERROR(VALUE($G186),0) * MAX(0, MIN($G$1, DATE(Initialisatie!$C$5,12,31)) - MAX($G$2, DATE(Initialisatie!$C$5,1,1)) + 1),
        IFERROR(VALUE($H186),0) * MAX(0, MIN($H$1, DATE(Initialisatie!$C$5,12,31)) - MAX($H$2, DATE(Initialisatie!$C$5,1,1)) + 1),
        IFERROR(VALUE($I186),0) * MAX(0, MIN($I$1, DATE(Initialisatie!$C$5,12,31)) - MAX($I$2, DATE(Initialisatie!$C$5,1,1)) + 1)
    ) / (DATE(Initialisatie!$C$5,12,31) - DATE(Initialisatie!$C$5,1,1) + 1)
)</f>
        <v>8709.8700000000008</v>
      </c>
      <c r="L186">
        <f>IF(
    OR(
        AND(MAX(0, IF(MIN($E$1, DATE(Initialisatie!$C$5,12,31)) &lt; MAX($E$2, DATE(Initialisatie!$C$5,1,1)), 0, MONTH(MIN($E$1, DATE(Initialisatie!$C$5,12,31))) - MONTH(MAX($E$2, DATE(Initialisatie!$C$5,1,1))) + 1)) &lt;= 0, IFERROR(VALUE($E186),0)=0),
        AND(MAX(0, IF(MIN($F$1, DATE(Initialisatie!$C$5,12,31)) &lt; MAX($F$2, DATE(Initialisatie!$C$5,1,1)), 0, MONTH(MIN($F$1, DATE(Initialisatie!$C$5,12,31))) - MONTH(MAX($F$2, DATE(Initialisatie!$C$5,1,1))) + 1)) &lt;= 0, IFERROR(VALUE($F186),0)=0),
        AND(MAX(0, IF(MIN($G$1, DATE(Initialisatie!$C$5,12,31)) &lt; MAX($G$2, DATE(Initialisatie!$C$5,1,1)), 0, MONTH(MIN($G$1, DATE(Initialisatie!$C$5,12,31))) - MONTH(MAX($G$2, DATE(Initialisatie!$C$5,1,1))) + 1)) &lt;= 0, IFERROR(VALUE($G186),0)=0),
        AND(MAX(0, IF(MIN($H$1, DATE(Initialisatie!$C$5,12,31)) &lt; MAX($H$2, DATE(Initialisatie!$C$5,1,1)), 0, MONTH(MIN($H$1, DATE(Initialisatie!$C$5,12,31))) - MONTH(MAX($H$2, DATE(Initialisatie!$C$5,1,1))) + 1)) &lt;= 0, IFERROR(VALUE($H186),0)=0),
        AND(MAX(0, IF(MIN($I$1, DATE(Initialisatie!$C$5,12,31)) &lt; MAX($I$2, DATE(Initialisatie!$C$5,1,1)), 0, MONTH(MIN($I$1, DATE(Initialisatie!$C$5,12,31))) - MONTH(MAX($I$2, DATE(Initialisatie!$C$5,1,1))) + 1)) &lt;= 0, IFERROR(VALUE($I186),0)=0)
    ),
    0,
    SUM(
        IFERROR(VALUE($E186),0) * MAX(0, IF(MIN($E$1, DATE(Initialisatie!$C$5,12,31)) &lt; MAX($E$2, DATE(Initialisatie!$C$5,1,1)), 0, MONTH(MIN($E$1, DATE(Initialisatie!$C$5,12,31))) - MONTH(MAX($E$2, DATE(Initialisatie!$C$5,1,1))) + 1)),
        IFERROR(VALUE($F186),0) * MAX(0, IF(MIN($F$1, DATE(Initialisatie!$C$5,12,31)) &lt; MAX($F$2, DATE(Initialisatie!$C$5,1,1)), 0, MONTH(MIN($F$1, DATE(Initialisatie!$C$5,12,31))) - MONTH(MAX($F$2, DATE(Initialisatie!$C$5,1,1))) + 1)),
        IFERROR(VALUE($G186),0) * MAX(0, IF(MIN($G$1, DATE(Initialisatie!$C$5,12,31)) &lt; MAX($G$2, DATE(Initialisatie!$C$5,1,1)), 0, MONTH(MIN($G$1, DATE(Initialisatie!$C$5,12,31))) - MONTH(MAX($G$2, DATE(Initialisatie!$C$5,1,1))) + 1)),
        IFERROR(VALUE($H186),0) * MAX(0, IF(MIN($H$1, DATE(Initialisatie!$C$5,12,31)) &lt; MAX($H$2, DATE(Initialisatie!$C$5,1,1)), 0, MONTH(MIN($H$1, DATE(Initialisatie!$C$5,12,31))) - MONTH(MAX($H$2, DATE(Initialisatie!$C$5,1,1))) + 1)),
        IFERROR(VALUE($I186),0) * MAX(0, IF(MIN($I$1, DATE(Initialisatie!$C$5,12,31)) &lt; MAX($I$2, DATE(Initialisatie!$C$5,1,1)), 0, MONTH(MIN($I$1, DATE(Initialisatie!$C$5,12,31))) - MONTH(MAX($I$2, DATE(Initialisatie!$C$5,1,1))) + 1))
    ) / 12
)</f>
        <v>8709.8700000000008</v>
      </c>
    </row>
    <row r="187" spans="1:12" x14ac:dyDescent="0.45">
      <c r="A187" s="989"/>
      <c r="B187" s="35" t="s">
        <v>95</v>
      </c>
      <c r="C187" s="35">
        <v>5</v>
      </c>
      <c r="D187" s="35" t="s">
        <v>94</v>
      </c>
      <c r="E187">
        <v>8302.8700000000008</v>
      </c>
      <c r="F187">
        <v>8406.66</v>
      </c>
      <c r="G187">
        <v>8709.2999999999993</v>
      </c>
      <c r="H187">
        <v>9031.5400000000009</v>
      </c>
      <c r="I187">
        <v>9338.6200000000008</v>
      </c>
      <c r="K187">
        <f>IF(
    OR(
        AND(MAX(0, MIN($E$1, DATE(Initialisatie!$C$5,12,31)) - MAX($E$2, DATE(Initialisatie!$C$5,1,1)) + 1) &gt; 0,IFERROR(VALUE($E187),0)=0),
        AND(MAX(0, MIN($F$1, DATE(Initialisatie!$C$5,12,31)) - MAX($F$2, DATE(Initialisatie!$C$5,1,1)) + 1) &gt; 0,IFERROR(VALUE($F187),0)=0),
        AND(MAX(0, MIN($G$1, DATE(Initialisatie!$C$5,12,31)) - MAX($G$2, DATE(Initialisatie!$C$5,1,1)) + 1) &gt; 0,IFERROR(VALUE($G187),0)=0),
        AND(MAX(0, MIN($H$1, DATE(Initialisatie!$C$5,12,31)) - MAX($H$2, DATE(Initialisatie!$C$5,1,1)) + 1) &gt; 0,IFERROR(VALUE($H187),0)=0),
        AND(MAX(0, MIN($I$1, DATE(Initialisatie!$C$5,12,31)) - MAX($I$2, DATE(Initialisatie!$C$5,1,1)) + 1) &gt; 0,IFERROR(VALUE($I187),0)=0)
    ),
    0,
    SUM(
        IFERROR(VALUE($E187),0) * MAX(0, MIN($E$1, DATE(Initialisatie!$C$5,12,31)) - MAX($E$2, DATE(Initialisatie!$C$5,1,1)) + 1),
        IFERROR(VALUE($F187),0) * MAX(0, MIN($F$1, DATE(Initialisatie!$C$5,12,31)) - MAX($F$2, DATE(Initialisatie!$C$5,1,1)) + 1),
        IFERROR(VALUE($G187),0) * MAX(0, MIN($G$1, DATE(Initialisatie!$C$5,12,31)) - MAX($G$2, DATE(Initialisatie!$C$5,1,1)) + 1),
        IFERROR(VALUE($H187),0) * MAX(0, MIN($H$1, DATE(Initialisatie!$C$5,12,31)) - MAX($H$2, DATE(Initialisatie!$C$5,1,1)) + 1),
        IFERROR(VALUE($I187),0) * MAX(0, MIN($I$1, DATE(Initialisatie!$C$5,12,31)) - MAX($I$2, DATE(Initialisatie!$C$5,1,1)) + 1)
    ) / (DATE(Initialisatie!$C$5,12,31) - DATE(Initialisatie!$C$5,1,1) + 1)
)</f>
        <v>9031.5400000000009</v>
      </c>
      <c r="L187">
        <f>IF(
    OR(
        AND(MAX(0, IF(MIN($E$1, DATE(Initialisatie!$C$5,12,31)) &lt; MAX($E$2, DATE(Initialisatie!$C$5,1,1)), 0, MONTH(MIN($E$1, DATE(Initialisatie!$C$5,12,31))) - MONTH(MAX($E$2, DATE(Initialisatie!$C$5,1,1))) + 1)) &lt;= 0, IFERROR(VALUE($E187),0)=0),
        AND(MAX(0, IF(MIN($F$1, DATE(Initialisatie!$C$5,12,31)) &lt; MAX($F$2, DATE(Initialisatie!$C$5,1,1)), 0, MONTH(MIN($F$1, DATE(Initialisatie!$C$5,12,31))) - MONTH(MAX($F$2, DATE(Initialisatie!$C$5,1,1))) + 1)) &lt;= 0, IFERROR(VALUE($F187),0)=0),
        AND(MAX(0, IF(MIN($G$1, DATE(Initialisatie!$C$5,12,31)) &lt; MAX($G$2, DATE(Initialisatie!$C$5,1,1)), 0, MONTH(MIN($G$1, DATE(Initialisatie!$C$5,12,31))) - MONTH(MAX($G$2, DATE(Initialisatie!$C$5,1,1))) + 1)) &lt;= 0, IFERROR(VALUE($G187),0)=0),
        AND(MAX(0, IF(MIN($H$1, DATE(Initialisatie!$C$5,12,31)) &lt; MAX($H$2, DATE(Initialisatie!$C$5,1,1)), 0, MONTH(MIN($H$1, DATE(Initialisatie!$C$5,12,31))) - MONTH(MAX($H$2, DATE(Initialisatie!$C$5,1,1))) + 1)) &lt;= 0, IFERROR(VALUE($H187),0)=0),
        AND(MAX(0, IF(MIN($I$1, DATE(Initialisatie!$C$5,12,31)) &lt; MAX($I$2, DATE(Initialisatie!$C$5,1,1)), 0, MONTH(MIN($I$1, DATE(Initialisatie!$C$5,12,31))) - MONTH(MAX($I$2, DATE(Initialisatie!$C$5,1,1))) + 1)) &lt;= 0, IFERROR(VALUE($I187),0)=0)
    ),
    0,
    SUM(
        IFERROR(VALUE($E187),0) * MAX(0, IF(MIN($E$1, DATE(Initialisatie!$C$5,12,31)) &lt; MAX($E$2, DATE(Initialisatie!$C$5,1,1)), 0, MONTH(MIN($E$1, DATE(Initialisatie!$C$5,12,31))) - MONTH(MAX($E$2, DATE(Initialisatie!$C$5,1,1))) + 1)),
        IFERROR(VALUE($F187),0) * MAX(0, IF(MIN($F$1, DATE(Initialisatie!$C$5,12,31)) &lt; MAX($F$2, DATE(Initialisatie!$C$5,1,1)), 0, MONTH(MIN($F$1, DATE(Initialisatie!$C$5,12,31))) - MONTH(MAX($F$2, DATE(Initialisatie!$C$5,1,1))) + 1)),
        IFERROR(VALUE($G187),0) * MAX(0, IF(MIN($G$1, DATE(Initialisatie!$C$5,12,31)) &lt; MAX($G$2, DATE(Initialisatie!$C$5,1,1)), 0, MONTH(MIN($G$1, DATE(Initialisatie!$C$5,12,31))) - MONTH(MAX($G$2, DATE(Initialisatie!$C$5,1,1))) + 1)),
        IFERROR(VALUE($H187),0) * MAX(0, IF(MIN($H$1, DATE(Initialisatie!$C$5,12,31)) &lt; MAX($H$2, DATE(Initialisatie!$C$5,1,1)), 0, MONTH(MIN($H$1, DATE(Initialisatie!$C$5,12,31))) - MONTH(MAX($H$2, DATE(Initialisatie!$C$5,1,1))) + 1)),
        IFERROR(VALUE($I187),0) * MAX(0, IF(MIN($I$1, DATE(Initialisatie!$C$5,12,31)) &lt; MAX($I$2, DATE(Initialisatie!$C$5,1,1)), 0, MONTH(MIN($I$1, DATE(Initialisatie!$C$5,12,31))) - MONTH(MAX($I$2, DATE(Initialisatie!$C$5,1,1))) + 1))
    ) / 12
)</f>
        <v>9031.5400000000009</v>
      </c>
    </row>
    <row r="188" spans="1:12" x14ac:dyDescent="0.45">
      <c r="A188" s="989"/>
      <c r="B188" s="35" t="s">
        <v>93</v>
      </c>
      <c r="C188" s="35">
        <v>6</v>
      </c>
      <c r="D188" s="35" t="s">
        <v>92</v>
      </c>
      <c r="E188">
        <v>8610.19</v>
      </c>
      <c r="F188">
        <v>8717.82</v>
      </c>
      <c r="G188">
        <v>9031.66</v>
      </c>
      <c r="H188">
        <v>9365.83</v>
      </c>
      <c r="I188">
        <v>9684.27</v>
      </c>
      <c r="K188">
        <f>IF(
    OR(
        AND(MAX(0, MIN($E$1, DATE(Initialisatie!$C$5,12,31)) - MAX($E$2, DATE(Initialisatie!$C$5,1,1)) + 1) &gt; 0,IFERROR(VALUE($E188),0)=0),
        AND(MAX(0, MIN($F$1, DATE(Initialisatie!$C$5,12,31)) - MAX($F$2, DATE(Initialisatie!$C$5,1,1)) + 1) &gt; 0,IFERROR(VALUE($F188),0)=0),
        AND(MAX(0, MIN($G$1, DATE(Initialisatie!$C$5,12,31)) - MAX($G$2, DATE(Initialisatie!$C$5,1,1)) + 1) &gt; 0,IFERROR(VALUE($G188),0)=0),
        AND(MAX(0, MIN($H$1, DATE(Initialisatie!$C$5,12,31)) - MAX($H$2, DATE(Initialisatie!$C$5,1,1)) + 1) &gt; 0,IFERROR(VALUE($H188),0)=0),
        AND(MAX(0, MIN($I$1, DATE(Initialisatie!$C$5,12,31)) - MAX($I$2, DATE(Initialisatie!$C$5,1,1)) + 1) &gt; 0,IFERROR(VALUE($I188),0)=0)
    ),
    0,
    SUM(
        IFERROR(VALUE($E188),0) * MAX(0, MIN($E$1, DATE(Initialisatie!$C$5,12,31)) - MAX($E$2, DATE(Initialisatie!$C$5,1,1)) + 1),
        IFERROR(VALUE($F188),0) * MAX(0, MIN($F$1, DATE(Initialisatie!$C$5,12,31)) - MAX($F$2, DATE(Initialisatie!$C$5,1,1)) + 1),
        IFERROR(VALUE($G188),0) * MAX(0, MIN($G$1, DATE(Initialisatie!$C$5,12,31)) - MAX($G$2, DATE(Initialisatie!$C$5,1,1)) + 1),
        IFERROR(VALUE($H188),0) * MAX(0, MIN($H$1, DATE(Initialisatie!$C$5,12,31)) - MAX($H$2, DATE(Initialisatie!$C$5,1,1)) + 1),
        IFERROR(VALUE($I188),0) * MAX(0, MIN($I$1, DATE(Initialisatie!$C$5,12,31)) - MAX($I$2, DATE(Initialisatie!$C$5,1,1)) + 1)
    ) / (DATE(Initialisatie!$C$5,12,31) - DATE(Initialisatie!$C$5,1,1) + 1)
)</f>
        <v>9365.83</v>
      </c>
      <c r="L188">
        <f>IF(
    OR(
        AND(MAX(0, IF(MIN($E$1, DATE(Initialisatie!$C$5,12,31)) &lt; MAX($E$2, DATE(Initialisatie!$C$5,1,1)), 0, MONTH(MIN($E$1, DATE(Initialisatie!$C$5,12,31))) - MONTH(MAX($E$2, DATE(Initialisatie!$C$5,1,1))) + 1)) &lt;= 0, IFERROR(VALUE($E188),0)=0),
        AND(MAX(0, IF(MIN($F$1, DATE(Initialisatie!$C$5,12,31)) &lt; MAX($F$2, DATE(Initialisatie!$C$5,1,1)), 0, MONTH(MIN($F$1, DATE(Initialisatie!$C$5,12,31))) - MONTH(MAX($F$2, DATE(Initialisatie!$C$5,1,1))) + 1)) &lt;= 0, IFERROR(VALUE($F188),0)=0),
        AND(MAX(0, IF(MIN($G$1, DATE(Initialisatie!$C$5,12,31)) &lt; MAX($G$2, DATE(Initialisatie!$C$5,1,1)), 0, MONTH(MIN($G$1, DATE(Initialisatie!$C$5,12,31))) - MONTH(MAX($G$2, DATE(Initialisatie!$C$5,1,1))) + 1)) &lt;= 0, IFERROR(VALUE($G188),0)=0),
        AND(MAX(0, IF(MIN($H$1, DATE(Initialisatie!$C$5,12,31)) &lt; MAX($H$2, DATE(Initialisatie!$C$5,1,1)), 0, MONTH(MIN($H$1, DATE(Initialisatie!$C$5,12,31))) - MONTH(MAX($H$2, DATE(Initialisatie!$C$5,1,1))) + 1)) &lt;= 0, IFERROR(VALUE($H188),0)=0),
        AND(MAX(0, IF(MIN($I$1, DATE(Initialisatie!$C$5,12,31)) &lt; MAX($I$2, DATE(Initialisatie!$C$5,1,1)), 0, MONTH(MIN($I$1, DATE(Initialisatie!$C$5,12,31))) - MONTH(MAX($I$2, DATE(Initialisatie!$C$5,1,1))) + 1)) &lt;= 0, IFERROR(VALUE($I188),0)=0)
    ),
    0,
    SUM(
        IFERROR(VALUE($E188),0) * MAX(0, IF(MIN($E$1, DATE(Initialisatie!$C$5,12,31)) &lt; MAX($E$2, DATE(Initialisatie!$C$5,1,1)), 0, MONTH(MIN($E$1, DATE(Initialisatie!$C$5,12,31))) - MONTH(MAX($E$2, DATE(Initialisatie!$C$5,1,1))) + 1)),
        IFERROR(VALUE($F188),0) * MAX(0, IF(MIN($F$1, DATE(Initialisatie!$C$5,12,31)) &lt; MAX($F$2, DATE(Initialisatie!$C$5,1,1)), 0, MONTH(MIN($F$1, DATE(Initialisatie!$C$5,12,31))) - MONTH(MAX($F$2, DATE(Initialisatie!$C$5,1,1))) + 1)),
        IFERROR(VALUE($G188),0) * MAX(0, IF(MIN($G$1, DATE(Initialisatie!$C$5,12,31)) &lt; MAX($G$2, DATE(Initialisatie!$C$5,1,1)), 0, MONTH(MIN($G$1, DATE(Initialisatie!$C$5,12,31))) - MONTH(MAX($G$2, DATE(Initialisatie!$C$5,1,1))) + 1)),
        IFERROR(VALUE($H188),0) * MAX(0, IF(MIN($H$1, DATE(Initialisatie!$C$5,12,31)) &lt; MAX($H$2, DATE(Initialisatie!$C$5,1,1)), 0, MONTH(MIN($H$1, DATE(Initialisatie!$C$5,12,31))) - MONTH(MAX($H$2, DATE(Initialisatie!$C$5,1,1))) + 1)),
        IFERROR(VALUE($I188),0) * MAX(0, IF(MIN($I$1, DATE(Initialisatie!$C$5,12,31)) &lt; MAX($I$2, DATE(Initialisatie!$C$5,1,1)), 0, MONTH(MIN($I$1, DATE(Initialisatie!$C$5,12,31))) - MONTH(MAX($I$2, DATE(Initialisatie!$C$5,1,1))) + 1))
    ) / 12
)</f>
        <v>9365.83</v>
      </c>
    </row>
    <row r="189" spans="1:12" x14ac:dyDescent="0.45">
      <c r="A189" s="989"/>
      <c r="B189" s="35" t="s">
        <v>91</v>
      </c>
      <c r="C189" s="35">
        <v>7</v>
      </c>
      <c r="D189" s="35" t="s">
        <v>90</v>
      </c>
      <c r="E189">
        <v>8929.16</v>
      </c>
      <c r="F189">
        <v>9040.77</v>
      </c>
      <c r="G189">
        <v>9366.24</v>
      </c>
      <c r="H189">
        <v>9712.7900000000009</v>
      </c>
      <c r="I189">
        <v>10043.030000000001</v>
      </c>
      <c r="K189">
        <f>IF(
    OR(
        AND(MAX(0, MIN($E$1, DATE(Initialisatie!$C$5,12,31)) - MAX($E$2, DATE(Initialisatie!$C$5,1,1)) + 1) &gt; 0,IFERROR(VALUE($E189),0)=0),
        AND(MAX(0, MIN($F$1, DATE(Initialisatie!$C$5,12,31)) - MAX($F$2, DATE(Initialisatie!$C$5,1,1)) + 1) &gt; 0,IFERROR(VALUE($F189),0)=0),
        AND(MAX(0, MIN($G$1, DATE(Initialisatie!$C$5,12,31)) - MAX($G$2, DATE(Initialisatie!$C$5,1,1)) + 1) &gt; 0,IFERROR(VALUE($G189),0)=0),
        AND(MAX(0, MIN($H$1, DATE(Initialisatie!$C$5,12,31)) - MAX($H$2, DATE(Initialisatie!$C$5,1,1)) + 1) &gt; 0,IFERROR(VALUE($H189),0)=0),
        AND(MAX(0, MIN($I$1, DATE(Initialisatie!$C$5,12,31)) - MAX($I$2, DATE(Initialisatie!$C$5,1,1)) + 1) &gt; 0,IFERROR(VALUE($I189),0)=0)
    ),
    0,
    SUM(
        IFERROR(VALUE($E189),0) * MAX(0, MIN($E$1, DATE(Initialisatie!$C$5,12,31)) - MAX($E$2, DATE(Initialisatie!$C$5,1,1)) + 1),
        IFERROR(VALUE($F189),0) * MAX(0, MIN($F$1, DATE(Initialisatie!$C$5,12,31)) - MAX($F$2, DATE(Initialisatie!$C$5,1,1)) + 1),
        IFERROR(VALUE($G189),0) * MAX(0, MIN($G$1, DATE(Initialisatie!$C$5,12,31)) - MAX($G$2, DATE(Initialisatie!$C$5,1,1)) + 1),
        IFERROR(VALUE($H189),0) * MAX(0, MIN($H$1, DATE(Initialisatie!$C$5,12,31)) - MAX($H$2, DATE(Initialisatie!$C$5,1,1)) + 1),
        IFERROR(VALUE($I189),0) * MAX(0, MIN($I$1, DATE(Initialisatie!$C$5,12,31)) - MAX($I$2, DATE(Initialisatie!$C$5,1,1)) + 1)
    ) / (DATE(Initialisatie!$C$5,12,31) - DATE(Initialisatie!$C$5,1,1) + 1)
)</f>
        <v>9712.7900000000009</v>
      </c>
      <c r="L189">
        <f>IF(
    OR(
        AND(MAX(0, IF(MIN($E$1, DATE(Initialisatie!$C$5,12,31)) &lt; MAX($E$2, DATE(Initialisatie!$C$5,1,1)), 0, MONTH(MIN($E$1, DATE(Initialisatie!$C$5,12,31))) - MONTH(MAX($E$2, DATE(Initialisatie!$C$5,1,1))) + 1)) &lt;= 0, IFERROR(VALUE($E189),0)=0),
        AND(MAX(0, IF(MIN($F$1, DATE(Initialisatie!$C$5,12,31)) &lt; MAX($F$2, DATE(Initialisatie!$C$5,1,1)), 0, MONTH(MIN($F$1, DATE(Initialisatie!$C$5,12,31))) - MONTH(MAX($F$2, DATE(Initialisatie!$C$5,1,1))) + 1)) &lt;= 0, IFERROR(VALUE($F189),0)=0),
        AND(MAX(0, IF(MIN($G$1, DATE(Initialisatie!$C$5,12,31)) &lt; MAX($G$2, DATE(Initialisatie!$C$5,1,1)), 0, MONTH(MIN($G$1, DATE(Initialisatie!$C$5,12,31))) - MONTH(MAX($G$2, DATE(Initialisatie!$C$5,1,1))) + 1)) &lt;= 0, IFERROR(VALUE($G189),0)=0),
        AND(MAX(0, IF(MIN($H$1, DATE(Initialisatie!$C$5,12,31)) &lt; MAX($H$2, DATE(Initialisatie!$C$5,1,1)), 0, MONTH(MIN($H$1, DATE(Initialisatie!$C$5,12,31))) - MONTH(MAX($H$2, DATE(Initialisatie!$C$5,1,1))) + 1)) &lt;= 0, IFERROR(VALUE($H189),0)=0),
        AND(MAX(0, IF(MIN($I$1, DATE(Initialisatie!$C$5,12,31)) &lt; MAX($I$2, DATE(Initialisatie!$C$5,1,1)), 0, MONTH(MIN($I$1, DATE(Initialisatie!$C$5,12,31))) - MONTH(MAX($I$2, DATE(Initialisatie!$C$5,1,1))) + 1)) &lt;= 0, IFERROR(VALUE($I189),0)=0)
    ),
    0,
    SUM(
        IFERROR(VALUE($E189),0) * MAX(0, IF(MIN($E$1, DATE(Initialisatie!$C$5,12,31)) &lt; MAX($E$2, DATE(Initialisatie!$C$5,1,1)), 0, MONTH(MIN($E$1, DATE(Initialisatie!$C$5,12,31))) - MONTH(MAX($E$2, DATE(Initialisatie!$C$5,1,1))) + 1)),
        IFERROR(VALUE($F189),0) * MAX(0, IF(MIN($F$1, DATE(Initialisatie!$C$5,12,31)) &lt; MAX($F$2, DATE(Initialisatie!$C$5,1,1)), 0, MONTH(MIN($F$1, DATE(Initialisatie!$C$5,12,31))) - MONTH(MAX($F$2, DATE(Initialisatie!$C$5,1,1))) + 1)),
        IFERROR(VALUE($G189),0) * MAX(0, IF(MIN($G$1, DATE(Initialisatie!$C$5,12,31)) &lt; MAX($G$2, DATE(Initialisatie!$C$5,1,1)), 0, MONTH(MIN($G$1, DATE(Initialisatie!$C$5,12,31))) - MONTH(MAX($G$2, DATE(Initialisatie!$C$5,1,1))) + 1)),
        IFERROR(VALUE($H189),0) * MAX(0, IF(MIN($H$1, DATE(Initialisatie!$C$5,12,31)) &lt; MAX($H$2, DATE(Initialisatie!$C$5,1,1)), 0, MONTH(MIN($H$1, DATE(Initialisatie!$C$5,12,31))) - MONTH(MAX($H$2, DATE(Initialisatie!$C$5,1,1))) + 1)),
        IFERROR(VALUE($I189),0) * MAX(0, IF(MIN($I$1, DATE(Initialisatie!$C$5,12,31)) &lt; MAX($I$2, DATE(Initialisatie!$C$5,1,1)), 0, MONTH(MIN($I$1, DATE(Initialisatie!$C$5,12,31))) - MONTH(MAX($I$2, DATE(Initialisatie!$C$5,1,1))) + 1))
    ) / 12
)</f>
        <v>9712.7900000000009</v>
      </c>
    </row>
    <row r="190" spans="1:12" x14ac:dyDescent="0.45">
      <c r="A190" s="989"/>
      <c r="B190" s="35" t="s">
        <v>89</v>
      </c>
      <c r="C190" s="35">
        <v>8</v>
      </c>
      <c r="D190" s="35" t="s">
        <v>88</v>
      </c>
      <c r="E190">
        <v>9259.7099999999991</v>
      </c>
      <c r="F190">
        <v>9375.4599999999991</v>
      </c>
      <c r="G190">
        <v>9712.9699999999993</v>
      </c>
      <c r="H190">
        <v>10072.35</v>
      </c>
      <c r="I190">
        <v>10414.81</v>
      </c>
      <c r="K190">
        <f>IF(
    OR(
        AND(MAX(0, MIN($E$1, DATE(Initialisatie!$C$5,12,31)) - MAX($E$2, DATE(Initialisatie!$C$5,1,1)) + 1) &gt; 0,IFERROR(VALUE($E190),0)=0),
        AND(MAX(0, MIN($F$1, DATE(Initialisatie!$C$5,12,31)) - MAX($F$2, DATE(Initialisatie!$C$5,1,1)) + 1) &gt; 0,IFERROR(VALUE($F190),0)=0),
        AND(MAX(0, MIN($G$1, DATE(Initialisatie!$C$5,12,31)) - MAX($G$2, DATE(Initialisatie!$C$5,1,1)) + 1) &gt; 0,IFERROR(VALUE($G190),0)=0),
        AND(MAX(0, MIN($H$1, DATE(Initialisatie!$C$5,12,31)) - MAX($H$2, DATE(Initialisatie!$C$5,1,1)) + 1) &gt; 0,IFERROR(VALUE($H190),0)=0),
        AND(MAX(0, MIN($I$1, DATE(Initialisatie!$C$5,12,31)) - MAX($I$2, DATE(Initialisatie!$C$5,1,1)) + 1) &gt; 0,IFERROR(VALUE($I190),0)=0)
    ),
    0,
    SUM(
        IFERROR(VALUE($E190),0) * MAX(0, MIN($E$1, DATE(Initialisatie!$C$5,12,31)) - MAX($E$2, DATE(Initialisatie!$C$5,1,1)) + 1),
        IFERROR(VALUE($F190),0) * MAX(0, MIN($F$1, DATE(Initialisatie!$C$5,12,31)) - MAX($F$2, DATE(Initialisatie!$C$5,1,1)) + 1),
        IFERROR(VALUE($G190),0) * MAX(0, MIN($G$1, DATE(Initialisatie!$C$5,12,31)) - MAX($G$2, DATE(Initialisatie!$C$5,1,1)) + 1),
        IFERROR(VALUE($H190),0) * MAX(0, MIN($H$1, DATE(Initialisatie!$C$5,12,31)) - MAX($H$2, DATE(Initialisatie!$C$5,1,1)) + 1),
        IFERROR(VALUE($I190),0) * MAX(0, MIN($I$1, DATE(Initialisatie!$C$5,12,31)) - MAX($I$2, DATE(Initialisatie!$C$5,1,1)) + 1)
    ) / (DATE(Initialisatie!$C$5,12,31) - DATE(Initialisatie!$C$5,1,1) + 1)
)</f>
        <v>10072.35</v>
      </c>
      <c r="L190">
        <f>IF(
    OR(
        AND(MAX(0, IF(MIN($E$1, DATE(Initialisatie!$C$5,12,31)) &lt; MAX($E$2, DATE(Initialisatie!$C$5,1,1)), 0, MONTH(MIN($E$1, DATE(Initialisatie!$C$5,12,31))) - MONTH(MAX($E$2, DATE(Initialisatie!$C$5,1,1))) + 1)) &lt;= 0, IFERROR(VALUE($E190),0)=0),
        AND(MAX(0, IF(MIN($F$1, DATE(Initialisatie!$C$5,12,31)) &lt; MAX($F$2, DATE(Initialisatie!$C$5,1,1)), 0, MONTH(MIN($F$1, DATE(Initialisatie!$C$5,12,31))) - MONTH(MAX($F$2, DATE(Initialisatie!$C$5,1,1))) + 1)) &lt;= 0, IFERROR(VALUE($F190),0)=0),
        AND(MAX(0, IF(MIN($G$1, DATE(Initialisatie!$C$5,12,31)) &lt; MAX($G$2, DATE(Initialisatie!$C$5,1,1)), 0, MONTH(MIN($G$1, DATE(Initialisatie!$C$5,12,31))) - MONTH(MAX($G$2, DATE(Initialisatie!$C$5,1,1))) + 1)) &lt;= 0, IFERROR(VALUE($G190),0)=0),
        AND(MAX(0, IF(MIN($H$1, DATE(Initialisatie!$C$5,12,31)) &lt; MAX($H$2, DATE(Initialisatie!$C$5,1,1)), 0, MONTH(MIN($H$1, DATE(Initialisatie!$C$5,12,31))) - MONTH(MAX($H$2, DATE(Initialisatie!$C$5,1,1))) + 1)) &lt;= 0, IFERROR(VALUE($H190),0)=0),
        AND(MAX(0, IF(MIN($I$1, DATE(Initialisatie!$C$5,12,31)) &lt; MAX($I$2, DATE(Initialisatie!$C$5,1,1)), 0, MONTH(MIN($I$1, DATE(Initialisatie!$C$5,12,31))) - MONTH(MAX($I$2, DATE(Initialisatie!$C$5,1,1))) + 1)) &lt;= 0, IFERROR(VALUE($I190),0)=0)
    ),
    0,
    SUM(
        IFERROR(VALUE($E190),0) * MAX(0, IF(MIN($E$1, DATE(Initialisatie!$C$5,12,31)) &lt; MAX($E$2, DATE(Initialisatie!$C$5,1,1)), 0, MONTH(MIN($E$1, DATE(Initialisatie!$C$5,12,31))) - MONTH(MAX($E$2, DATE(Initialisatie!$C$5,1,1))) + 1)),
        IFERROR(VALUE($F190),0) * MAX(0, IF(MIN($F$1, DATE(Initialisatie!$C$5,12,31)) &lt; MAX($F$2, DATE(Initialisatie!$C$5,1,1)), 0, MONTH(MIN($F$1, DATE(Initialisatie!$C$5,12,31))) - MONTH(MAX($F$2, DATE(Initialisatie!$C$5,1,1))) + 1)),
        IFERROR(VALUE($G190),0) * MAX(0, IF(MIN($G$1, DATE(Initialisatie!$C$5,12,31)) &lt; MAX($G$2, DATE(Initialisatie!$C$5,1,1)), 0, MONTH(MIN($G$1, DATE(Initialisatie!$C$5,12,31))) - MONTH(MAX($G$2, DATE(Initialisatie!$C$5,1,1))) + 1)),
        IFERROR(VALUE($H190),0) * MAX(0, IF(MIN($H$1, DATE(Initialisatie!$C$5,12,31)) &lt; MAX($H$2, DATE(Initialisatie!$C$5,1,1)), 0, MONTH(MIN($H$1, DATE(Initialisatie!$C$5,12,31))) - MONTH(MAX($H$2, DATE(Initialisatie!$C$5,1,1))) + 1)),
        IFERROR(VALUE($I190),0) * MAX(0, IF(MIN($I$1, DATE(Initialisatie!$C$5,12,31)) &lt; MAX($I$2, DATE(Initialisatie!$C$5,1,1)), 0, MONTH(MIN($I$1, DATE(Initialisatie!$C$5,12,31))) - MONTH(MAX($I$2, DATE(Initialisatie!$C$5,1,1))) + 1))
    ) / 12
)</f>
        <v>10072.35</v>
      </c>
    </row>
    <row r="191" spans="1:12" x14ac:dyDescent="0.45">
      <c r="A191" s="989"/>
      <c r="B191" s="35" t="s">
        <v>87</v>
      </c>
      <c r="C191" s="35">
        <v>9</v>
      </c>
      <c r="D191" s="35" t="s">
        <v>86</v>
      </c>
      <c r="E191">
        <v>9601.91</v>
      </c>
      <c r="F191">
        <v>9721.94</v>
      </c>
      <c r="G191">
        <v>10071.93</v>
      </c>
      <c r="H191">
        <v>10444.59</v>
      </c>
      <c r="I191">
        <v>10799.7</v>
      </c>
      <c r="K191">
        <f>IF(
    OR(
        AND(MAX(0, MIN($E$1, DATE(Initialisatie!$C$5,12,31)) - MAX($E$2, DATE(Initialisatie!$C$5,1,1)) + 1) &gt; 0,IFERROR(VALUE($E191),0)=0),
        AND(MAX(0, MIN($F$1, DATE(Initialisatie!$C$5,12,31)) - MAX($F$2, DATE(Initialisatie!$C$5,1,1)) + 1) &gt; 0,IFERROR(VALUE($F191),0)=0),
        AND(MAX(0, MIN($G$1, DATE(Initialisatie!$C$5,12,31)) - MAX($G$2, DATE(Initialisatie!$C$5,1,1)) + 1) &gt; 0,IFERROR(VALUE($G191),0)=0),
        AND(MAX(0, MIN($H$1, DATE(Initialisatie!$C$5,12,31)) - MAX($H$2, DATE(Initialisatie!$C$5,1,1)) + 1) &gt; 0,IFERROR(VALUE($H191),0)=0),
        AND(MAX(0, MIN($I$1, DATE(Initialisatie!$C$5,12,31)) - MAX($I$2, DATE(Initialisatie!$C$5,1,1)) + 1) &gt; 0,IFERROR(VALUE($I191),0)=0)
    ),
    0,
    SUM(
        IFERROR(VALUE($E191),0) * MAX(0, MIN($E$1, DATE(Initialisatie!$C$5,12,31)) - MAX($E$2, DATE(Initialisatie!$C$5,1,1)) + 1),
        IFERROR(VALUE($F191),0) * MAX(0, MIN($F$1, DATE(Initialisatie!$C$5,12,31)) - MAX($F$2, DATE(Initialisatie!$C$5,1,1)) + 1),
        IFERROR(VALUE($G191),0) * MAX(0, MIN($G$1, DATE(Initialisatie!$C$5,12,31)) - MAX($G$2, DATE(Initialisatie!$C$5,1,1)) + 1),
        IFERROR(VALUE($H191),0) * MAX(0, MIN($H$1, DATE(Initialisatie!$C$5,12,31)) - MAX($H$2, DATE(Initialisatie!$C$5,1,1)) + 1),
        IFERROR(VALUE($I191),0) * MAX(0, MIN($I$1, DATE(Initialisatie!$C$5,12,31)) - MAX($I$2, DATE(Initialisatie!$C$5,1,1)) + 1)
    ) / (DATE(Initialisatie!$C$5,12,31) - DATE(Initialisatie!$C$5,1,1) + 1)
)</f>
        <v>10444.59</v>
      </c>
      <c r="L191">
        <f>IF(
    OR(
        AND(MAX(0, IF(MIN($E$1, DATE(Initialisatie!$C$5,12,31)) &lt; MAX($E$2, DATE(Initialisatie!$C$5,1,1)), 0, MONTH(MIN($E$1, DATE(Initialisatie!$C$5,12,31))) - MONTH(MAX($E$2, DATE(Initialisatie!$C$5,1,1))) + 1)) &lt;= 0, IFERROR(VALUE($E191),0)=0),
        AND(MAX(0, IF(MIN($F$1, DATE(Initialisatie!$C$5,12,31)) &lt; MAX($F$2, DATE(Initialisatie!$C$5,1,1)), 0, MONTH(MIN($F$1, DATE(Initialisatie!$C$5,12,31))) - MONTH(MAX($F$2, DATE(Initialisatie!$C$5,1,1))) + 1)) &lt;= 0, IFERROR(VALUE($F191),0)=0),
        AND(MAX(0, IF(MIN($G$1, DATE(Initialisatie!$C$5,12,31)) &lt; MAX($G$2, DATE(Initialisatie!$C$5,1,1)), 0, MONTH(MIN($G$1, DATE(Initialisatie!$C$5,12,31))) - MONTH(MAX($G$2, DATE(Initialisatie!$C$5,1,1))) + 1)) &lt;= 0, IFERROR(VALUE($G191),0)=0),
        AND(MAX(0, IF(MIN($H$1, DATE(Initialisatie!$C$5,12,31)) &lt; MAX($H$2, DATE(Initialisatie!$C$5,1,1)), 0, MONTH(MIN($H$1, DATE(Initialisatie!$C$5,12,31))) - MONTH(MAX($H$2, DATE(Initialisatie!$C$5,1,1))) + 1)) &lt;= 0, IFERROR(VALUE($H191),0)=0),
        AND(MAX(0, IF(MIN($I$1, DATE(Initialisatie!$C$5,12,31)) &lt; MAX($I$2, DATE(Initialisatie!$C$5,1,1)), 0, MONTH(MIN($I$1, DATE(Initialisatie!$C$5,12,31))) - MONTH(MAX($I$2, DATE(Initialisatie!$C$5,1,1))) + 1)) &lt;= 0, IFERROR(VALUE($I191),0)=0)
    ),
    0,
    SUM(
        IFERROR(VALUE($E191),0) * MAX(0, IF(MIN($E$1, DATE(Initialisatie!$C$5,12,31)) &lt; MAX($E$2, DATE(Initialisatie!$C$5,1,1)), 0, MONTH(MIN($E$1, DATE(Initialisatie!$C$5,12,31))) - MONTH(MAX($E$2, DATE(Initialisatie!$C$5,1,1))) + 1)),
        IFERROR(VALUE($F191),0) * MAX(0, IF(MIN($F$1, DATE(Initialisatie!$C$5,12,31)) &lt; MAX($F$2, DATE(Initialisatie!$C$5,1,1)), 0, MONTH(MIN($F$1, DATE(Initialisatie!$C$5,12,31))) - MONTH(MAX($F$2, DATE(Initialisatie!$C$5,1,1))) + 1)),
        IFERROR(VALUE($G191),0) * MAX(0, IF(MIN($G$1, DATE(Initialisatie!$C$5,12,31)) &lt; MAX($G$2, DATE(Initialisatie!$C$5,1,1)), 0, MONTH(MIN($G$1, DATE(Initialisatie!$C$5,12,31))) - MONTH(MAX($G$2, DATE(Initialisatie!$C$5,1,1))) + 1)),
        IFERROR(VALUE($H191),0) * MAX(0, IF(MIN($H$1, DATE(Initialisatie!$C$5,12,31)) &lt; MAX($H$2, DATE(Initialisatie!$C$5,1,1)), 0, MONTH(MIN($H$1, DATE(Initialisatie!$C$5,12,31))) - MONTH(MAX($H$2, DATE(Initialisatie!$C$5,1,1))) + 1)),
        IFERROR(VALUE($I191),0) * MAX(0, IF(MIN($I$1, DATE(Initialisatie!$C$5,12,31)) &lt; MAX($I$2, DATE(Initialisatie!$C$5,1,1)), 0, MONTH(MIN($I$1, DATE(Initialisatie!$C$5,12,31))) - MONTH(MAX($I$2, DATE(Initialisatie!$C$5,1,1))) + 1))
    ) / 12
)</f>
        <v>10444.59</v>
      </c>
    </row>
    <row r="192" spans="1:12" x14ac:dyDescent="0.45">
      <c r="A192" s="989"/>
      <c r="B192" s="35" t="s">
        <v>109</v>
      </c>
      <c r="C192" s="35">
        <v>10</v>
      </c>
      <c r="D192" s="35" t="s">
        <v>108</v>
      </c>
      <c r="E192">
        <v>9957.19</v>
      </c>
      <c r="F192">
        <v>10081.65</v>
      </c>
      <c r="G192">
        <v>10444.59</v>
      </c>
      <c r="H192">
        <v>10831.04</v>
      </c>
      <c r="I192">
        <v>11199.3</v>
      </c>
      <c r="K192">
        <f>IF(
    OR(
        AND(MAX(0, MIN($E$1, DATE(Initialisatie!$C$5,12,31)) - MAX($E$2, DATE(Initialisatie!$C$5,1,1)) + 1) &gt; 0,IFERROR(VALUE($E192),0)=0),
        AND(MAX(0, MIN($F$1, DATE(Initialisatie!$C$5,12,31)) - MAX($F$2, DATE(Initialisatie!$C$5,1,1)) + 1) &gt; 0,IFERROR(VALUE($F192),0)=0),
        AND(MAX(0, MIN($G$1, DATE(Initialisatie!$C$5,12,31)) - MAX($G$2, DATE(Initialisatie!$C$5,1,1)) + 1) &gt; 0,IFERROR(VALUE($G192),0)=0),
        AND(MAX(0, MIN($H$1, DATE(Initialisatie!$C$5,12,31)) - MAX($H$2, DATE(Initialisatie!$C$5,1,1)) + 1) &gt; 0,IFERROR(VALUE($H192),0)=0),
        AND(MAX(0, MIN($I$1, DATE(Initialisatie!$C$5,12,31)) - MAX($I$2, DATE(Initialisatie!$C$5,1,1)) + 1) &gt; 0,IFERROR(VALUE($I192),0)=0)
    ),
    0,
    SUM(
        IFERROR(VALUE($E192),0) * MAX(0, MIN($E$1, DATE(Initialisatie!$C$5,12,31)) - MAX($E$2, DATE(Initialisatie!$C$5,1,1)) + 1),
        IFERROR(VALUE($F192),0) * MAX(0, MIN($F$1, DATE(Initialisatie!$C$5,12,31)) - MAX($F$2, DATE(Initialisatie!$C$5,1,1)) + 1),
        IFERROR(VALUE($G192),0) * MAX(0, MIN($G$1, DATE(Initialisatie!$C$5,12,31)) - MAX($G$2, DATE(Initialisatie!$C$5,1,1)) + 1),
        IFERROR(VALUE($H192),0) * MAX(0, MIN($H$1, DATE(Initialisatie!$C$5,12,31)) - MAX($H$2, DATE(Initialisatie!$C$5,1,1)) + 1),
        IFERROR(VALUE($I192),0) * MAX(0, MIN($I$1, DATE(Initialisatie!$C$5,12,31)) - MAX($I$2, DATE(Initialisatie!$C$5,1,1)) + 1)
    ) / (DATE(Initialisatie!$C$5,12,31) - DATE(Initialisatie!$C$5,1,1) + 1)
)</f>
        <v>10831.04</v>
      </c>
      <c r="L192">
        <f>IF(
    OR(
        AND(MAX(0, IF(MIN($E$1, DATE(Initialisatie!$C$5,12,31)) &lt; MAX($E$2, DATE(Initialisatie!$C$5,1,1)), 0, MONTH(MIN($E$1, DATE(Initialisatie!$C$5,12,31))) - MONTH(MAX($E$2, DATE(Initialisatie!$C$5,1,1))) + 1)) &lt;= 0, IFERROR(VALUE($E192),0)=0),
        AND(MAX(0, IF(MIN($F$1, DATE(Initialisatie!$C$5,12,31)) &lt; MAX($F$2, DATE(Initialisatie!$C$5,1,1)), 0, MONTH(MIN($F$1, DATE(Initialisatie!$C$5,12,31))) - MONTH(MAX($F$2, DATE(Initialisatie!$C$5,1,1))) + 1)) &lt;= 0, IFERROR(VALUE($F192),0)=0),
        AND(MAX(0, IF(MIN($G$1, DATE(Initialisatie!$C$5,12,31)) &lt; MAX($G$2, DATE(Initialisatie!$C$5,1,1)), 0, MONTH(MIN($G$1, DATE(Initialisatie!$C$5,12,31))) - MONTH(MAX($G$2, DATE(Initialisatie!$C$5,1,1))) + 1)) &lt;= 0, IFERROR(VALUE($G192),0)=0),
        AND(MAX(0, IF(MIN($H$1, DATE(Initialisatie!$C$5,12,31)) &lt; MAX($H$2, DATE(Initialisatie!$C$5,1,1)), 0, MONTH(MIN($H$1, DATE(Initialisatie!$C$5,12,31))) - MONTH(MAX($H$2, DATE(Initialisatie!$C$5,1,1))) + 1)) &lt;= 0, IFERROR(VALUE($H192),0)=0),
        AND(MAX(0, IF(MIN($I$1, DATE(Initialisatie!$C$5,12,31)) &lt; MAX($I$2, DATE(Initialisatie!$C$5,1,1)), 0, MONTH(MIN($I$1, DATE(Initialisatie!$C$5,12,31))) - MONTH(MAX($I$2, DATE(Initialisatie!$C$5,1,1))) + 1)) &lt;= 0, IFERROR(VALUE($I192),0)=0)
    ),
    0,
    SUM(
        IFERROR(VALUE($E192),0) * MAX(0, IF(MIN($E$1, DATE(Initialisatie!$C$5,12,31)) &lt; MAX($E$2, DATE(Initialisatie!$C$5,1,1)), 0, MONTH(MIN($E$1, DATE(Initialisatie!$C$5,12,31))) - MONTH(MAX($E$2, DATE(Initialisatie!$C$5,1,1))) + 1)),
        IFERROR(VALUE($F192),0) * MAX(0, IF(MIN($F$1, DATE(Initialisatie!$C$5,12,31)) &lt; MAX($F$2, DATE(Initialisatie!$C$5,1,1)), 0, MONTH(MIN($F$1, DATE(Initialisatie!$C$5,12,31))) - MONTH(MAX($F$2, DATE(Initialisatie!$C$5,1,1))) + 1)),
        IFERROR(VALUE($G192),0) * MAX(0, IF(MIN($G$1, DATE(Initialisatie!$C$5,12,31)) &lt; MAX($G$2, DATE(Initialisatie!$C$5,1,1)), 0, MONTH(MIN($G$1, DATE(Initialisatie!$C$5,12,31))) - MONTH(MAX($G$2, DATE(Initialisatie!$C$5,1,1))) + 1)),
        IFERROR(VALUE($H192),0) * MAX(0, IF(MIN($H$1, DATE(Initialisatie!$C$5,12,31)) &lt; MAX($H$2, DATE(Initialisatie!$C$5,1,1)), 0, MONTH(MIN($H$1, DATE(Initialisatie!$C$5,12,31))) - MONTH(MAX($H$2, DATE(Initialisatie!$C$5,1,1))) + 1)),
        IFERROR(VALUE($I192),0) * MAX(0, IF(MIN($I$1, DATE(Initialisatie!$C$5,12,31)) &lt; MAX($I$2, DATE(Initialisatie!$C$5,1,1)), 0, MONTH(MIN($I$1, DATE(Initialisatie!$C$5,12,31))) - MONTH(MAX($I$2, DATE(Initialisatie!$C$5,1,1))) + 1))
    ) / 12
)</f>
        <v>10831.04</v>
      </c>
    </row>
    <row r="193" spans="1:12" x14ac:dyDescent="0.45">
      <c r="A193" s="989"/>
      <c r="B193" s="35" t="s">
        <v>107</v>
      </c>
      <c r="C193" s="35">
        <v>11</v>
      </c>
      <c r="D193" s="35" t="s">
        <v>106</v>
      </c>
      <c r="E193">
        <v>10325.56</v>
      </c>
      <c r="F193">
        <v>10454.629999999999</v>
      </c>
      <c r="G193">
        <v>10831</v>
      </c>
      <c r="H193">
        <v>11231.74</v>
      </c>
      <c r="I193">
        <v>11613.62</v>
      </c>
      <c r="K193">
        <f>IF(
    OR(
        AND(MAX(0, MIN($E$1, DATE(Initialisatie!$C$5,12,31)) - MAX($E$2, DATE(Initialisatie!$C$5,1,1)) + 1) &gt; 0,IFERROR(VALUE($E193),0)=0),
        AND(MAX(0, MIN($F$1, DATE(Initialisatie!$C$5,12,31)) - MAX($F$2, DATE(Initialisatie!$C$5,1,1)) + 1) &gt; 0,IFERROR(VALUE($F193),0)=0),
        AND(MAX(0, MIN($G$1, DATE(Initialisatie!$C$5,12,31)) - MAX($G$2, DATE(Initialisatie!$C$5,1,1)) + 1) &gt; 0,IFERROR(VALUE($G193),0)=0),
        AND(MAX(0, MIN($H$1, DATE(Initialisatie!$C$5,12,31)) - MAX($H$2, DATE(Initialisatie!$C$5,1,1)) + 1) &gt; 0,IFERROR(VALUE($H193),0)=0),
        AND(MAX(0, MIN($I$1, DATE(Initialisatie!$C$5,12,31)) - MAX($I$2, DATE(Initialisatie!$C$5,1,1)) + 1) &gt; 0,IFERROR(VALUE($I193),0)=0)
    ),
    0,
    SUM(
        IFERROR(VALUE($E193),0) * MAX(0, MIN($E$1, DATE(Initialisatie!$C$5,12,31)) - MAX($E$2, DATE(Initialisatie!$C$5,1,1)) + 1),
        IFERROR(VALUE($F193),0) * MAX(0, MIN($F$1, DATE(Initialisatie!$C$5,12,31)) - MAX($F$2, DATE(Initialisatie!$C$5,1,1)) + 1),
        IFERROR(VALUE($G193),0) * MAX(0, MIN($G$1, DATE(Initialisatie!$C$5,12,31)) - MAX($G$2, DATE(Initialisatie!$C$5,1,1)) + 1),
        IFERROR(VALUE($H193),0) * MAX(0, MIN($H$1, DATE(Initialisatie!$C$5,12,31)) - MAX($H$2, DATE(Initialisatie!$C$5,1,1)) + 1),
        IFERROR(VALUE($I193),0) * MAX(0, MIN($I$1, DATE(Initialisatie!$C$5,12,31)) - MAX($I$2, DATE(Initialisatie!$C$5,1,1)) + 1)
    ) / (DATE(Initialisatie!$C$5,12,31) - DATE(Initialisatie!$C$5,1,1) + 1)
)</f>
        <v>11231.74</v>
      </c>
      <c r="L193">
        <f>IF(
    OR(
        AND(MAX(0, IF(MIN($E$1, DATE(Initialisatie!$C$5,12,31)) &lt; MAX($E$2, DATE(Initialisatie!$C$5,1,1)), 0, MONTH(MIN($E$1, DATE(Initialisatie!$C$5,12,31))) - MONTH(MAX($E$2, DATE(Initialisatie!$C$5,1,1))) + 1)) &lt;= 0, IFERROR(VALUE($E193),0)=0),
        AND(MAX(0, IF(MIN($F$1, DATE(Initialisatie!$C$5,12,31)) &lt; MAX($F$2, DATE(Initialisatie!$C$5,1,1)), 0, MONTH(MIN($F$1, DATE(Initialisatie!$C$5,12,31))) - MONTH(MAX($F$2, DATE(Initialisatie!$C$5,1,1))) + 1)) &lt;= 0, IFERROR(VALUE($F193),0)=0),
        AND(MAX(0, IF(MIN($G$1, DATE(Initialisatie!$C$5,12,31)) &lt; MAX($G$2, DATE(Initialisatie!$C$5,1,1)), 0, MONTH(MIN($G$1, DATE(Initialisatie!$C$5,12,31))) - MONTH(MAX($G$2, DATE(Initialisatie!$C$5,1,1))) + 1)) &lt;= 0, IFERROR(VALUE($G193),0)=0),
        AND(MAX(0, IF(MIN($H$1, DATE(Initialisatie!$C$5,12,31)) &lt; MAX($H$2, DATE(Initialisatie!$C$5,1,1)), 0, MONTH(MIN($H$1, DATE(Initialisatie!$C$5,12,31))) - MONTH(MAX($H$2, DATE(Initialisatie!$C$5,1,1))) + 1)) &lt;= 0, IFERROR(VALUE($H193),0)=0),
        AND(MAX(0, IF(MIN($I$1, DATE(Initialisatie!$C$5,12,31)) &lt; MAX($I$2, DATE(Initialisatie!$C$5,1,1)), 0, MONTH(MIN($I$1, DATE(Initialisatie!$C$5,12,31))) - MONTH(MAX($I$2, DATE(Initialisatie!$C$5,1,1))) + 1)) &lt;= 0, IFERROR(VALUE($I193),0)=0)
    ),
    0,
    SUM(
        IFERROR(VALUE($E193),0) * MAX(0, IF(MIN($E$1, DATE(Initialisatie!$C$5,12,31)) &lt; MAX($E$2, DATE(Initialisatie!$C$5,1,1)), 0, MONTH(MIN($E$1, DATE(Initialisatie!$C$5,12,31))) - MONTH(MAX($E$2, DATE(Initialisatie!$C$5,1,1))) + 1)),
        IFERROR(VALUE($F193),0) * MAX(0, IF(MIN($F$1, DATE(Initialisatie!$C$5,12,31)) &lt; MAX($F$2, DATE(Initialisatie!$C$5,1,1)), 0, MONTH(MIN($F$1, DATE(Initialisatie!$C$5,12,31))) - MONTH(MAX($F$2, DATE(Initialisatie!$C$5,1,1))) + 1)),
        IFERROR(VALUE($G193),0) * MAX(0, IF(MIN($G$1, DATE(Initialisatie!$C$5,12,31)) &lt; MAX($G$2, DATE(Initialisatie!$C$5,1,1)), 0, MONTH(MIN($G$1, DATE(Initialisatie!$C$5,12,31))) - MONTH(MAX($G$2, DATE(Initialisatie!$C$5,1,1))) + 1)),
        IFERROR(VALUE($H193),0) * MAX(0, IF(MIN($H$1, DATE(Initialisatie!$C$5,12,31)) &lt; MAX($H$2, DATE(Initialisatie!$C$5,1,1)), 0, MONTH(MIN($H$1, DATE(Initialisatie!$C$5,12,31))) - MONTH(MAX($H$2, DATE(Initialisatie!$C$5,1,1))) + 1)),
        IFERROR(VALUE($I193),0) * MAX(0, IF(MIN($I$1, DATE(Initialisatie!$C$5,12,31)) &lt; MAX($I$2, DATE(Initialisatie!$C$5,1,1)), 0, MONTH(MIN($I$1, DATE(Initialisatie!$C$5,12,31))) - MONTH(MAX($I$2, DATE(Initialisatie!$C$5,1,1))) + 1))
    ) / 12
)</f>
        <v>11231.74</v>
      </c>
    </row>
    <row r="194" spans="1:12" x14ac:dyDescent="0.45">
      <c r="A194" s="989"/>
      <c r="B194" s="35" t="s">
        <v>105</v>
      </c>
      <c r="C194" s="35">
        <v>12</v>
      </c>
      <c r="D194" s="35" t="s">
        <v>104</v>
      </c>
      <c r="E194">
        <v>10707.7</v>
      </c>
      <c r="F194">
        <v>10841.55</v>
      </c>
      <c r="G194">
        <v>11231.84</v>
      </c>
      <c r="H194">
        <v>11647.42</v>
      </c>
      <c r="I194">
        <v>12043.44</v>
      </c>
      <c r="K194">
        <f>IF(
    OR(
        AND(MAX(0, MIN($E$1, DATE(Initialisatie!$C$5,12,31)) - MAX($E$2, DATE(Initialisatie!$C$5,1,1)) + 1) &gt; 0,IFERROR(VALUE($E194),0)=0),
        AND(MAX(0, MIN($F$1, DATE(Initialisatie!$C$5,12,31)) - MAX($F$2, DATE(Initialisatie!$C$5,1,1)) + 1) &gt; 0,IFERROR(VALUE($F194),0)=0),
        AND(MAX(0, MIN($G$1, DATE(Initialisatie!$C$5,12,31)) - MAX($G$2, DATE(Initialisatie!$C$5,1,1)) + 1) &gt; 0,IFERROR(VALUE($G194),0)=0),
        AND(MAX(0, MIN($H$1, DATE(Initialisatie!$C$5,12,31)) - MAX($H$2, DATE(Initialisatie!$C$5,1,1)) + 1) &gt; 0,IFERROR(VALUE($H194),0)=0),
        AND(MAX(0, MIN($I$1, DATE(Initialisatie!$C$5,12,31)) - MAX($I$2, DATE(Initialisatie!$C$5,1,1)) + 1) &gt; 0,IFERROR(VALUE($I194),0)=0)
    ),
    0,
    SUM(
        IFERROR(VALUE($E194),0) * MAX(0, MIN($E$1, DATE(Initialisatie!$C$5,12,31)) - MAX($E$2, DATE(Initialisatie!$C$5,1,1)) + 1),
        IFERROR(VALUE($F194),0) * MAX(0, MIN($F$1, DATE(Initialisatie!$C$5,12,31)) - MAX($F$2, DATE(Initialisatie!$C$5,1,1)) + 1),
        IFERROR(VALUE($G194),0) * MAX(0, MIN($G$1, DATE(Initialisatie!$C$5,12,31)) - MAX($G$2, DATE(Initialisatie!$C$5,1,1)) + 1),
        IFERROR(VALUE($H194),0) * MAX(0, MIN($H$1, DATE(Initialisatie!$C$5,12,31)) - MAX($H$2, DATE(Initialisatie!$C$5,1,1)) + 1),
        IFERROR(VALUE($I194),0) * MAX(0, MIN($I$1, DATE(Initialisatie!$C$5,12,31)) - MAX($I$2, DATE(Initialisatie!$C$5,1,1)) + 1)
    ) / (DATE(Initialisatie!$C$5,12,31) - DATE(Initialisatie!$C$5,1,1) + 1)
)</f>
        <v>11647.42</v>
      </c>
      <c r="L194">
        <f>IF(
    OR(
        AND(MAX(0, IF(MIN($E$1, DATE(Initialisatie!$C$5,12,31)) &lt; MAX($E$2, DATE(Initialisatie!$C$5,1,1)), 0, MONTH(MIN($E$1, DATE(Initialisatie!$C$5,12,31))) - MONTH(MAX($E$2, DATE(Initialisatie!$C$5,1,1))) + 1)) &lt;= 0, IFERROR(VALUE($E194),0)=0),
        AND(MAX(0, IF(MIN($F$1, DATE(Initialisatie!$C$5,12,31)) &lt; MAX($F$2, DATE(Initialisatie!$C$5,1,1)), 0, MONTH(MIN($F$1, DATE(Initialisatie!$C$5,12,31))) - MONTH(MAX($F$2, DATE(Initialisatie!$C$5,1,1))) + 1)) &lt;= 0, IFERROR(VALUE($F194),0)=0),
        AND(MAX(0, IF(MIN($G$1, DATE(Initialisatie!$C$5,12,31)) &lt; MAX($G$2, DATE(Initialisatie!$C$5,1,1)), 0, MONTH(MIN($G$1, DATE(Initialisatie!$C$5,12,31))) - MONTH(MAX($G$2, DATE(Initialisatie!$C$5,1,1))) + 1)) &lt;= 0, IFERROR(VALUE($G194),0)=0),
        AND(MAX(0, IF(MIN($H$1, DATE(Initialisatie!$C$5,12,31)) &lt; MAX($H$2, DATE(Initialisatie!$C$5,1,1)), 0, MONTH(MIN($H$1, DATE(Initialisatie!$C$5,12,31))) - MONTH(MAX($H$2, DATE(Initialisatie!$C$5,1,1))) + 1)) &lt;= 0, IFERROR(VALUE($H194),0)=0),
        AND(MAX(0, IF(MIN($I$1, DATE(Initialisatie!$C$5,12,31)) &lt; MAX($I$2, DATE(Initialisatie!$C$5,1,1)), 0, MONTH(MIN($I$1, DATE(Initialisatie!$C$5,12,31))) - MONTH(MAX($I$2, DATE(Initialisatie!$C$5,1,1))) + 1)) &lt;= 0, IFERROR(VALUE($I194),0)=0)
    ),
    0,
    SUM(
        IFERROR(VALUE($E194),0) * MAX(0, IF(MIN($E$1, DATE(Initialisatie!$C$5,12,31)) &lt; MAX($E$2, DATE(Initialisatie!$C$5,1,1)), 0, MONTH(MIN($E$1, DATE(Initialisatie!$C$5,12,31))) - MONTH(MAX($E$2, DATE(Initialisatie!$C$5,1,1))) + 1)),
        IFERROR(VALUE($F194),0) * MAX(0, IF(MIN($F$1, DATE(Initialisatie!$C$5,12,31)) &lt; MAX($F$2, DATE(Initialisatie!$C$5,1,1)), 0, MONTH(MIN($F$1, DATE(Initialisatie!$C$5,12,31))) - MONTH(MAX($F$2, DATE(Initialisatie!$C$5,1,1))) + 1)),
        IFERROR(VALUE($G194),0) * MAX(0, IF(MIN($G$1, DATE(Initialisatie!$C$5,12,31)) &lt; MAX($G$2, DATE(Initialisatie!$C$5,1,1)), 0, MONTH(MIN($G$1, DATE(Initialisatie!$C$5,12,31))) - MONTH(MAX($G$2, DATE(Initialisatie!$C$5,1,1))) + 1)),
        IFERROR(VALUE($H194),0) * MAX(0, IF(MIN($H$1, DATE(Initialisatie!$C$5,12,31)) &lt; MAX($H$2, DATE(Initialisatie!$C$5,1,1)), 0, MONTH(MIN($H$1, DATE(Initialisatie!$C$5,12,31))) - MONTH(MAX($H$2, DATE(Initialisatie!$C$5,1,1))) + 1)),
        IFERROR(VALUE($I194),0) * MAX(0, IF(MIN($I$1, DATE(Initialisatie!$C$5,12,31)) &lt; MAX($I$2, DATE(Initialisatie!$C$5,1,1)), 0, MONTH(MIN($I$1, DATE(Initialisatie!$C$5,12,31))) - MONTH(MAX($I$2, DATE(Initialisatie!$C$5,1,1))) + 1))
    ) / 12
)</f>
        <v>11647.42</v>
      </c>
    </row>
    <row r="195" spans="1:12" x14ac:dyDescent="0.45">
      <c r="A195" s="989"/>
      <c r="B195" s="35" t="s">
        <v>103</v>
      </c>
      <c r="C195" s="35">
        <v>13</v>
      </c>
      <c r="D195" s="35" t="s">
        <v>102</v>
      </c>
      <c r="E195">
        <v>11103.65</v>
      </c>
      <c r="F195">
        <v>11242.45</v>
      </c>
      <c r="G195">
        <v>11647.18</v>
      </c>
      <c r="H195">
        <v>12078.12</v>
      </c>
      <c r="I195">
        <v>12488.78</v>
      </c>
      <c r="K195">
        <f>IF(
    OR(
        AND(MAX(0, MIN($E$1, DATE(Initialisatie!$C$5,12,31)) - MAX($E$2, DATE(Initialisatie!$C$5,1,1)) + 1) &gt; 0,IFERROR(VALUE($E195),0)=0),
        AND(MAX(0, MIN($F$1, DATE(Initialisatie!$C$5,12,31)) - MAX($F$2, DATE(Initialisatie!$C$5,1,1)) + 1) &gt; 0,IFERROR(VALUE($F195),0)=0),
        AND(MAX(0, MIN($G$1, DATE(Initialisatie!$C$5,12,31)) - MAX($G$2, DATE(Initialisatie!$C$5,1,1)) + 1) &gt; 0,IFERROR(VALUE($G195),0)=0),
        AND(MAX(0, MIN($H$1, DATE(Initialisatie!$C$5,12,31)) - MAX($H$2, DATE(Initialisatie!$C$5,1,1)) + 1) &gt; 0,IFERROR(VALUE($H195),0)=0),
        AND(MAX(0, MIN($I$1, DATE(Initialisatie!$C$5,12,31)) - MAX($I$2, DATE(Initialisatie!$C$5,1,1)) + 1) &gt; 0,IFERROR(VALUE($I195),0)=0)
    ),
    0,
    SUM(
        IFERROR(VALUE($E195),0) * MAX(0, MIN($E$1, DATE(Initialisatie!$C$5,12,31)) - MAX($E$2, DATE(Initialisatie!$C$5,1,1)) + 1),
        IFERROR(VALUE($F195),0) * MAX(0, MIN($F$1, DATE(Initialisatie!$C$5,12,31)) - MAX($F$2, DATE(Initialisatie!$C$5,1,1)) + 1),
        IFERROR(VALUE($G195),0) * MAX(0, MIN($G$1, DATE(Initialisatie!$C$5,12,31)) - MAX($G$2, DATE(Initialisatie!$C$5,1,1)) + 1),
        IFERROR(VALUE($H195),0) * MAX(0, MIN($H$1, DATE(Initialisatie!$C$5,12,31)) - MAX($H$2, DATE(Initialisatie!$C$5,1,1)) + 1),
        IFERROR(VALUE($I195),0) * MAX(0, MIN($I$1, DATE(Initialisatie!$C$5,12,31)) - MAX($I$2, DATE(Initialisatie!$C$5,1,1)) + 1)
    ) / (DATE(Initialisatie!$C$5,12,31) - DATE(Initialisatie!$C$5,1,1) + 1)
)</f>
        <v>12078.120000000003</v>
      </c>
      <c r="L195">
        <f>IF(
    OR(
        AND(MAX(0, IF(MIN($E$1, DATE(Initialisatie!$C$5,12,31)) &lt; MAX($E$2, DATE(Initialisatie!$C$5,1,1)), 0, MONTH(MIN($E$1, DATE(Initialisatie!$C$5,12,31))) - MONTH(MAX($E$2, DATE(Initialisatie!$C$5,1,1))) + 1)) &lt;= 0, IFERROR(VALUE($E195),0)=0),
        AND(MAX(0, IF(MIN($F$1, DATE(Initialisatie!$C$5,12,31)) &lt; MAX($F$2, DATE(Initialisatie!$C$5,1,1)), 0, MONTH(MIN($F$1, DATE(Initialisatie!$C$5,12,31))) - MONTH(MAX($F$2, DATE(Initialisatie!$C$5,1,1))) + 1)) &lt;= 0, IFERROR(VALUE($F195),0)=0),
        AND(MAX(0, IF(MIN($G$1, DATE(Initialisatie!$C$5,12,31)) &lt; MAX($G$2, DATE(Initialisatie!$C$5,1,1)), 0, MONTH(MIN($G$1, DATE(Initialisatie!$C$5,12,31))) - MONTH(MAX($G$2, DATE(Initialisatie!$C$5,1,1))) + 1)) &lt;= 0, IFERROR(VALUE($G195),0)=0),
        AND(MAX(0, IF(MIN($H$1, DATE(Initialisatie!$C$5,12,31)) &lt; MAX($H$2, DATE(Initialisatie!$C$5,1,1)), 0, MONTH(MIN($H$1, DATE(Initialisatie!$C$5,12,31))) - MONTH(MAX($H$2, DATE(Initialisatie!$C$5,1,1))) + 1)) &lt;= 0, IFERROR(VALUE($H195),0)=0),
        AND(MAX(0, IF(MIN($I$1, DATE(Initialisatie!$C$5,12,31)) &lt; MAX($I$2, DATE(Initialisatie!$C$5,1,1)), 0, MONTH(MIN($I$1, DATE(Initialisatie!$C$5,12,31))) - MONTH(MAX($I$2, DATE(Initialisatie!$C$5,1,1))) + 1)) &lt;= 0, IFERROR(VALUE($I195),0)=0)
    ),
    0,
    SUM(
        IFERROR(VALUE($E195),0) * MAX(0, IF(MIN($E$1, DATE(Initialisatie!$C$5,12,31)) &lt; MAX($E$2, DATE(Initialisatie!$C$5,1,1)), 0, MONTH(MIN($E$1, DATE(Initialisatie!$C$5,12,31))) - MONTH(MAX($E$2, DATE(Initialisatie!$C$5,1,1))) + 1)),
        IFERROR(VALUE($F195),0) * MAX(0, IF(MIN($F$1, DATE(Initialisatie!$C$5,12,31)) &lt; MAX($F$2, DATE(Initialisatie!$C$5,1,1)), 0, MONTH(MIN($F$1, DATE(Initialisatie!$C$5,12,31))) - MONTH(MAX($F$2, DATE(Initialisatie!$C$5,1,1))) + 1)),
        IFERROR(VALUE($G195),0) * MAX(0, IF(MIN($G$1, DATE(Initialisatie!$C$5,12,31)) &lt; MAX($G$2, DATE(Initialisatie!$C$5,1,1)), 0, MONTH(MIN($G$1, DATE(Initialisatie!$C$5,12,31))) - MONTH(MAX($G$2, DATE(Initialisatie!$C$5,1,1))) + 1)),
        IFERROR(VALUE($H195),0) * MAX(0, IF(MIN($H$1, DATE(Initialisatie!$C$5,12,31)) &lt; MAX($H$2, DATE(Initialisatie!$C$5,1,1)), 0, MONTH(MIN($H$1, DATE(Initialisatie!$C$5,12,31))) - MONTH(MAX($H$2, DATE(Initialisatie!$C$5,1,1))) + 1)),
        IFERROR(VALUE($I195),0) * MAX(0, IF(MIN($I$1, DATE(Initialisatie!$C$5,12,31)) &lt; MAX($I$2, DATE(Initialisatie!$C$5,1,1)), 0, MONTH(MIN($I$1, DATE(Initialisatie!$C$5,12,31))) - MONTH(MAX($I$2, DATE(Initialisatie!$C$5,1,1))) + 1))
    ) / 12
)</f>
        <v>12078.12</v>
      </c>
    </row>
    <row r="196" spans="1:12" x14ac:dyDescent="0.45">
      <c r="A196" s="989"/>
      <c r="B196" s="35" t="s">
        <v>531</v>
      </c>
      <c r="C196" s="35">
        <v>14</v>
      </c>
      <c r="D196" s="35" t="s">
        <v>84</v>
      </c>
      <c r="E196">
        <v>0</v>
      </c>
      <c r="F196">
        <v>0</v>
      </c>
      <c r="G196">
        <v>0</v>
      </c>
      <c r="H196">
        <v>0</v>
      </c>
      <c r="I196">
        <v>0</v>
      </c>
      <c r="K196">
        <f>IF(
    OR(
        AND(MAX(0, MIN($E$1, DATE(Initialisatie!$C$5,12,31)) - MAX($E$2, DATE(Initialisatie!$C$5,1,1)) + 1) &gt; 0,IFERROR(VALUE($E196),0)=0),
        AND(MAX(0, MIN($F$1, DATE(Initialisatie!$C$5,12,31)) - MAX($F$2, DATE(Initialisatie!$C$5,1,1)) + 1) &gt; 0,IFERROR(VALUE($F196),0)=0),
        AND(MAX(0, MIN($G$1, DATE(Initialisatie!$C$5,12,31)) - MAX($G$2, DATE(Initialisatie!$C$5,1,1)) + 1) &gt; 0,IFERROR(VALUE($G196),0)=0),
        AND(MAX(0, MIN($H$1, DATE(Initialisatie!$C$5,12,31)) - MAX($H$2, DATE(Initialisatie!$C$5,1,1)) + 1) &gt; 0,IFERROR(VALUE($H196),0)=0),
        AND(MAX(0, MIN($I$1, DATE(Initialisatie!$C$5,12,31)) - MAX($I$2, DATE(Initialisatie!$C$5,1,1)) + 1) &gt; 0,IFERROR(VALUE($I196),0)=0)
    ),
    0,
    SUM(
        IFERROR(VALUE($E196),0) * MAX(0, MIN($E$1, DATE(Initialisatie!$C$5,12,31)) - MAX($E$2, DATE(Initialisatie!$C$5,1,1)) + 1),
        IFERROR(VALUE($F196),0) * MAX(0, MIN($F$1, DATE(Initialisatie!$C$5,12,31)) - MAX($F$2, DATE(Initialisatie!$C$5,1,1)) + 1),
        IFERROR(VALUE($G196),0) * MAX(0, MIN($G$1, DATE(Initialisatie!$C$5,12,31)) - MAX($G$2, DATE(Initialisatie!$C$5,1,1)) + 1),
        IFERROR(VALUE($H196),0) * MAX(0, MIN($H$1, DATE(Initialisatie!$C$5,12,31)) - MAX($H$2, DATE(Initialisatie!$C$5,1,1)) + 1),
        IFERROR(VALUE($I196),0) * MAX(0, MIN($I$1, DATE(Initialisatie!$C$5,12,31)) - MAX($I$2, DATE(Initialisatie!$C$5,1,1)) + 1)
    ) / (DATE(Initialisatie!$C$5,12,31) - DATE(Initialisatie!$C$5,1,1) + 1)
)</f>
        <v>0</v>
      </c>
      <c r="L196">
        <f>IF(
    OR(
        AND(MAX(0, IF(MIN($E$1, DATE(Initialisatie!$C$5,12,31)) &lt; MAX($E$2, DATE(Initialisatie!$C$5,1,1)), 0, MONTH(MIN($E$1, DATE(Initialisatie!$C$5,12,31))) - MONTH(MAX($E$2, DATE(Initialisatie!$C$5,1,1))) + 1)) &lt;= 0, IFERROR(VALUE($E196),0)=0),
        AND(MAX(0, IF(MIN($F$1, DATE(Initialisatie!$C$5,12,31)) &lt; MAX($F$2, DATE(Initialisatie!$C$5,1,1)), 0, MONTH(MIN($F$1, DATE(Initialisatie!$C$5,12,31))) - MONTH(MAX($F$2, DATE(Initialisatie!$C$5,1,1))) + 1)) &lt;= 0, IFERROR(VALUE($F196),0)=0),
        AND(MAX(0, IF(MIN($G$1, DATE(Initialisatie!$C$5,12,31)) &lt; MAX($G$2, DATE(Initialisatie!$C$5,1,1)), 0, MONTH(MIN($G$1, DATE(Initialisatie!$C$5,12,31))) - MONTH(MAX($G$2, DATE(Initialisatie!$C$5,1,1))) + 1)) &lt;= 0, IFERROR(VALUE($G196),0)=0),
        AND(MAX(0, IF(MIN($H$1, DATE(Initialisatie!$C$5,12,31)) &lt; MAX($H$2, DATE(Initialisatie!$C$5,1,1)), 0, MONTH(MIN($H$1, DATE(Initialisatie!$C$5,12,31))) - MONTH(MAX($H$2, DATE(Initialisatie!$C$5,1,1))) + 1)) &lt;= 0, IFERROR(VALUE($H196),0)=0),
        AND(MAX(0, IF(MIN($I$1, DATE(Initialisatie!$C$5,12,31)) &lt; MAX($I$2, DATE(Initialisatie!$C$5,1,1)), 0, MONTH(MIN($I$1, DATE(Initialisatie!$C$5,12,31))) - MONTH(MAX($I$2, DATE(Initialisatie!$C$5,1,1))) + 1)) &lt;= 0, IFERROR(VALUE($I196),0)=0)
    ),
    0,
    SUM(
        IFERROR(VALUE($E196),0) * MAX(0, IF(MIN($E$1, DATE(Initialisatie!$C$5,12,31)) &lt; MAX($E$2, DATE(Initialisatie!$C$5,1,1)), 0, MONTH(MIN($E$1, DATE(Initialisatie!$C$5,12,31))) - MONTH(MAX($E$2, DATE(Initialisatie!$C$5,1,1))) + 1)),
        IFERROR(VALUE($F196),0) * MAX(0, IF(MIN($F$1, DATE(Initialisatie!$C$5,12,31)) &lt; MAX($F$2, DATE(Initialisatie!$C$5,1,1)), 0, MONTH(MIN($F$1, DATE(Initialisatie!$C$5,12,31))) - MONTH(MAX($F$2, DATE(Initialisatie!$C$5,1,1))) + 1)),
        IFERROR(VALUE($G196),0) * MAX(0, IF(MIN($G$1, DATE(Initialisatie!$C$5,12,31)) &lt; MAX($G$2, DATE(Initialisatie!$C$5,1,1)), 0, MONTH(MIN($G$1, DATE(Initialisatie!$C$5,12,31))) - MONTH(MAX($G$2, DATE(Initialisatie!$C$5,1,1))) + 1)),
        IFERROR(VALUE($H196),0) * MAX(0, IF(MIN($H$1, DATE(Initialisatie!$C$5,12,31)) &lt; MAX($H$2, DATE(Initialisatie!$C$5,1,1)), 0, MONTH(MIN($H$1, DATE(Initialisatie!$C$5,12,31))) - MONTH(MAX($H$2, DATE(Initialisatie!$C$5,1,1))) + 1)),
        IFERROR(VALUE($I196),0) * MAX(0, IF(MIN($I$1, DATE(Initialisatie!$C$5,12,31)) &lt; MAX($I$2, DATE(Initialisatie!$C$5,1,1)), 0, MONTH(MIN($I$1, DATE(Initialisatie!$C$5,12,31))) - MONTH(MAX($I$2, DATE(Initialisatie!$C$5,1,1))) + 1))
    ) / 12
)</f>
        <v>0</v>
      </c>
    </row>
    <row r="197" spans="1:12" x14ac:dyDescent="0.45">
      <c r="A197" s="990"/>
      <c r="B197" s="35" t="s">
        <v>533</v>
      </c>
      <c r="C197" s="35">
        <v>15</v>
      </c>
      <c r="D197" s="35" t="s">
        <v>82</v>
      </c>
      <c r="E197">
        <v>0</v>
      </c>
      <c r="F197">
        <v>0</v>
      </c>
      <c r="G197">
        <v>0</v>
      </c>
      <c r="H197">
        <v>0</v>
      </c>
      <c r="I197">
        <v>0</v>
      </c>
      <c r="K197">
        <f>IF(
    OR(
        AND(MAX(0, MIN($E$1, DATE(Initialisatie!$C$5,12,31)) - MAX($E$2, DATE(Initialisatie!$C$5,1,1)) + 1) &gt; 0,IFERROR(VALUE($E197),0)=0),
        AND(MAX(0, MIN($F$1, DATE(Initialisatie!$C$5,12,31)) - MAX($F$2, DATE(Initialisatie!$C$5,1,1)) + 1) &gt; 0,IFERROR(VALUE($F197),0)=0),
        AND(MAX(0, MIN($G$1, DATE(Initialisatie!$C$5,12,31)) - MAX($G$2, DATE(Initialisatie!$C$5,1,1)) + 1) &gt; 0,IFERROR(VALUE($G197),0)=0),
        AND(MAX(0, MIN($H$1, DATE(Initialisatie!$C$5,12,31)) - MAX($H$2, DATE(Initialisatie!$C$5,1,1)) + 1) &gt; 0,IFERROR(VALUE($H197),0)=0),
        AND(MAX(0, MIN($I$1, DATE(Initialisatie!$C$5,12,31)) - MAX($I$2, DATE(Initialisatie!$C$5,1,1)) + 1) &gt; 0,IFERROR(VALUE($I197),0)=0)
    ),
    0,
    SUM(
        IFERROR(VALUE($E197),0) * MAX(0, MIN($E$1, DATE(Initialisatie!$C$5,12,31)) - MAX($E$2, DATE(Initialisatie!$C$5,1,1)) + 1),
        IFERROR(VALUE($F197),0) * MAX(0, MIN($F$1, DATE(Initialisatie!$C$5,12,31)) - MAX($F$2, DATE(Initialisatie!$C$5,1,1)) + 1),
        IFERROR(VALUE($G197),0) * MAX(0, MIN($G$1, DATE(Initialisatie!$C$5,12,31)) - MAX($G$2, DATE(Initialisatie!$C$5,1,1)) + 1),
        IFERROR(VALUE($H197),0) * MAX(0, MIN($H$1, DATE(Initialisatie!$C$5,12,31)) - MAX($H$2, DATE(Initialisatie!$C$5,1,1)) + 1),
        IFERROR(VALUE($I197),0) * MAX(0, MIN($I$1, DATE(Initialisatie!$C$5,12,31)) - MAX($I$2, DATE(Initialisatie!$C$5,1,1)) + 1)
    ) / (DATE(Initialisatie!$C$5,12,31) - DATE(Initialisatie!$C$5,1,1) + 1)
)</f>
        <v>0</v>
      </c>
      <c r="L197">
        <f>IF(
    OR(
        AND(MAX(0, IF(MIN($E$1, DATE(Initialisatie!$C$5,12,31)) &lt; MAX($E$2, DATE(Initialisatie!$C$5,1,1)), 0, MONTH(MIN($E$1, DATE(Initialisatie!$C$5,12,31))) - MONTH(MAX($E$2, DATE(Initialisatie!$C$5,1,1))) + 1)) &lt;= 0, IFERROR(VALUE($E197),0)=0),
        AND(MAX(0, IF(MIN($F$1, DATE(Initialisatie!$C$5,12,31)) &lt; MAX($F$2, DATE(Initialisatie!$C$5,1,1)), 0, MONTH(MIN($F$1, DATE(Initialisatie!$C$5,12,31))) - MONTH(MAX($F$2, DATE(Initialisatie!$C$5,1,1))) + 1)) &lt;= 0, IFERROR(VALUE($F197),0)=0),
        AND(MAX(0, IF(MIN($G$1, DATE(Initialisatie!$C$5,12,31)) &lt; MAX($G$2, DATE(Initialisatie!$C$5,1,1)), 0, MONTH(MIN($G$1, DATE(Initialisatie!$C$5,12,31))) - MONTH(MAX($G$2, DATE(Initialisatie!$C$5,1,1))) + 1)) &lt;= 0, IFERROR(VALUE($G197),0)=0),
        AND(MAX(0, IF(MIN($H$1, DATE(Initialisatie!$C$5,12,31)) &lt; MAX($H$2, DATE(Initialisatie!$C$5,1,1)), 0, MONTH(MIN($H$1, DATE(Initialisatie!$C$5,12,31))) - MONTH(MAX($H$2, DATE(Initialisatie!$C$5,1,1))) + 1)) &lt;= 0, IFERROR(VALUE($H197),0)=0),
        AND(MAX(0, IF(MIN($I$1, DATE(Initialisatie!$C$5,12,31)) &lt; MAX($I$2, DATE(Initialisatie!$C$5,1,1)), 0, MONTH(MIN($I$1, DATE(Initialisatie!$C$5,12,31))) - MONTH(MAX($I$2, DATE(Initialisatie!$C$5,1,1))) + 1)) &lt;= 0, IFERROR(VALUE($I197),0)=0)
    ),
    0,
    SUM(
        IFERROR(VALUE($E197),0) * MAX(0, IF(MIN($E$1, DATE(Initialisatie!$C$5,12,31)) &lt; MAX($E$2, DATE(Initialisatie!$C$5,1,1)), 0, MONTH(MIN($E$1, DATE(Initialisatie!$C$5,12,31))) - MONTH(MAX($E$2, DATE(Initialisatie!$C$5,1,1))) + 1)),
        IFERROR(VALUE($F197),0) * MAX(0, IF(MIN($F$1, DATE(Initialisatie!$C$5,12,31)) &lt; MAX($F$2, DATE(Initialisatie!$C$5,1,1)), 0, MONTH(MIN($F$1, DATE(Initialisatie!$C$5,12,31))) - MONTH(MAX($F$2, DATE(Initialisatie!$C$5,1,1))) + 1)),
        IFERROR(VALUE($G197),0) * MAX(0, IF(MIN($G$1, DATE(Initialisatie!$C$5,12,31)) &lt; MAX($G$2, DATE(Initialisatie!$C$5,1,1)), 0, MONTH(MIN($G$1, DATE(Initialisatie!$C$5,12,31))) - MONTH(MAX($G$2, DATE(Initialisatie!$C$5,1,1))) + 1)),
        IFERROR(VALUE($H197),0) * MAX(0, IF(MIN($H$1, DATE(Initialisatie!$C$5,12,31)) &lt; MAX($H$2, DATE(Initialisatie!$C$5,1,1)), 0, MONTH(MIN($H$1, DATE(Initialisatie!$C$5,12,31))) - MONTH(MAX($H$2, DATE(Initialisatie!$C$5,1,1))) + 1)),
        IFERROR(VALUE($I197),0) * MAX(0, IF(MIN($I$1, DATE(Initialisatie!$C$5,12,31)) &lt; MAX($I$2, DATE(Initialisatie!$C$5,1,1)), 0, MONTH(MIN($I$1, DATE(Initialisatie!$C$5,12,31))) - MONTH(MAX($I$2, DATE(Initialisatie!$C$5,1,1))) + 1))
    ) / 12
)</f>
        <v>0</v>
      </c>
    </row>
  </sheetData>
  <mergeCells count="12">
    <mergeCell ref="A182:A197"/>
    <mergeCell ref="A6:A21"/>
    <mergeCell ref="A22:A37"/>
    <mergeCell ref="A38:A53"/>
    <mergeCell ref="A54:A69"/>
    <mergeCell ref="A70:A85"/>
    <mergeCell ref="A86:A101"/>
    <mergeCell ref="A102:A117"/>
    <mergeCell ref="A118:A133"/>
    <mergeCell ref="A134:A149"/>
    <mergeCell ref="A150:A165"/>
    <mergeCell ref="A166:A18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sheetPr>
  <dimension ref="A1:I228"/>
  <sheetViews>
    <sheetView zoomScale="70" zoomScaleNormal="70" workbookViewId="0">
      <selection activeCell="M42" sqref="M42"/>
    </sheetView>
  </sheetViews>
  <sheetFormatPr defaultRowHeight="14.25" x14ac:dyDescent="0.45"/>
  <sheetData>
    <row r="1" spans="1:9" x14ac:dyDescent="0.45">
      <c r="A1" s="35" t="s">
        <v>28</v>
      </c>
      <c r="B1" s="35" t="s">
        <v>298</v>
      </c>
      <c r="C1" s="35" t="s">
        <v>299</v>
      </c>
      <c r="D1" s="35" t="s">
        <v>292</v>
      </c>
      <c r="E1" s="35" t="s">
        <v>290</v>
      </c>
      <c r="F1" s="35" t="s">
        <v>300</v>
      </c>
      <c r="G1" s="35" t="s">
        <v>301</v>
      </c>
      <c r="H1" s="35" t="s">
        <v>302</v>
      </c>
      <c r="I1" s="35" t="s">
        <v>303</v>
      </c>
    </row>
    <row r="2" spans="1:9" x14ac:dyDescent="0.45">
      <c r="A2" s="35">
        <v>9</v>
      </c>
      <c r="B2" s="35">
        <v>1</v>
      </c>
      <c r="C2" s="35">
        <v>3</v>
      </c>
      <c r="D2" s="35">
        <v>1</v>
      </c>
      <c r="E2" s="35" t="s">
        <v>208</v>
      </c>
      <c r="F2">
        <v>1968</v>
      </c>
      <c r="G2">
        <v>2088</v>
      </c>
      <c r="H2">
        <v>2088</v>
      </c>
      <c r="I2">
        <v>13.38461538461539</v>
      </c>
    </row>
    <row r="3" spans="1:9" x14ac:dyDescent="0.45">
      <c r="A3" s="988">
        <v>10</v>
      </c>
      <c r="B3" s="35">
        <v>0</v>
      </c>
      <c r="C3" s="35">
        <v>4</v>
      </c>
      <c r="D3" s="35">
        <v>0</v>
      </c>
      <c r="E3" s="35" t="s">
        <v>193</v>
      </c>
      <c r="F3">
        <v>2032</v>
      </c>
      <c r="G3">
        <v>2152</v>
      </c>
      <c r="H3">
        <v>2152</v>
      </c>
      <c r="I3">
        <v>13.794871794871799</v>
      </c>
    </row>
    <row r="4" spans="1:9" x14ac:dyDescent="0.45">
      <c r="A4" s="988"/>
      <c r="B4" s="35">
        <v>1</v>
      </c>
      <c r="C4" s="35">
        <v>5</v>
      </c>
      <c r="D4" s="35">
        <v>1</v>
      </c>
      <c r="E4" s="35" t="s">
        <v>192</v>
      </c>
      <c r="F4">
        <v>2094</v>
      </c>
      <c r="G4">
        <v>2214</v>
      </c>
      <c r="H4">
        <v>2214</v>
      </c>
      <c r="I4">
        <v>14.19230769230769</v>
      </c>
    </row>
    <row r="5" spans="1:9" x14ac:dyDescent="0.45">
      <c r="A5" s="988"/>
      <c r="B5" s="35">
        <v>2</v>
      </c>
      <c r="C5" s="35">
        <v>6</v>
      </c>
      <c r="D5" s="35">
        <v>2</v>
      </c>
      <c r="E5" s="35" t="s">
        <v>187</v>
      </c>
      <c r="F5">
        <v>2128</v>
      </c>
      <c r="G5">
        <v>2248</v>
      </c>
      <c r="H5">
        <v>2248</v>
      </c>
      <c r="I5">
        <v>14.410256410256411</v>
      </c>
    </row>
    <row r="6" spans="1:9" x14ac:dyDescent="0.45">
      <c r="A6" s="988"/>
      <c r="B6" s="35">
        <v>3</v>
      </c>
      <c r="C6" s="35">
        <v>7</v>
      </c>
      <c r="D6" s="35">
        <v>3</v>
      </c>
      <c r="E6" s="35" t="s">
        <v>186</v>
      </c>
      <c r="F6">
        <v>2176</v>
      </c>
      <c r="G6">
        <v>2296</v>
      </c>
      <c r="H6">
        <v>2296</v>
      </c>
      <c r="I6">
        <v>14.717948717948721</v>
      </c>
    </row>
    <row r="7" spans="1:9" x14ac:dyDescent="0.45">
      <c r="A7" s="988"/>
      <c r="B7" s="35">
        <v>4</v>
      </c>
      <c r="C7" s="35">
        <v>8</v>
      </c>
      <c r="D7" s="35">
        <v>4</v>
      </c>
      <c r="E7" s="35" t="s">
        <v>185</v>
      </c>
      <c r="F7">
        <v>2223</v>
      </c>
      <c r="G7">
        <v>2343</v>
      </c>
      <c r="H7">
        <v>2343</v>
      </c>
      <c r="I7">
        <v>15.01923076923077</v>
      </c>
    </row>
    <row r="8" spans="1:9" x14ac:dyDescent="0.45">
      <c r="A8" s="988"/>
      <c r="B8" s="35">
        <v>5</v>
      </c>
      <c r="C8" s="35">
        <v>9</v>
      </c>
      <c r="D8" s="35">
        <v>5</v>
      </c>
      <c r="E8" s="35" t="s">
        <v>184</v>
      </c>
      <c r="F8">
        <v>2272</v>
      </c>
      <c r="G8">
        <v>2392</v>
      </c>
      <c r="H8">
        <v>2392</v>
      </c>
      <c r="I8">
        <v>15.33333333333333</v>
      </c>
    </row>
    <row r="9" spans="1:9" x14ac:dyDescent="0.45">
      <c r="A9" s="988"/>
      <c r="B9" s="35">
        <v>6</v>
      </c>
      <c r="C9" s="35">
        <v>10</v>
      </c>
      <c r="D9" s="35">
        <v>6</v>
      </c>
      <c r="E9" s="35" t="s">
        <v>183</v>
      </c>
      <c r="F9">
        <v>2326</v>
      </c>
      <c r="G9">
        <v>2446</v>
      </c>
      <c r="H9">
        <v>2446</v>
      </c>
      <c r="I9">
        <v>15.679487179487181</v>
      </c>
    </row>
    <row r="10" spans="1:9" x14ac:dyDescent="0.45">
      <c r="A10" s="988"/>
      <c r="B10" s="35">
        <v>7</v>
      </c>
      <c r="C10" s="35">
        <v>11</v>
      </c>
      <c r="D10" s="35">
        <v>7</v>
      </c>
      <c r="E10" s="35" t="s">
        <v>182</v>
      </c>
      <c r="F10">
        <v>2387</v>
      </c>
      <c r="G10">
        <v>2507</v>
      </c>
      <c r="H10">
        <v>2507</v>
      </c>
      <c r="I10">
        <v>16.070512820512821</v>
      </c>
    </row>
    <row r="11" spans="1:9" x14ac:dyDescent="0.45">
      <c r="A11" s="988"/>
      <c r="B11" s="35">
        <v>8</v>
      </c>
      <c r="C11" s="35">
        <v>12</v>
      </c>
      <c r="D11" s="35">
        <v>8</v>
      </c>
      <c r="E11" s="35" t="s">
        <v>181</v>
      </c>
      <c r="F11">
        <v>2451</v>
      </c>
      <c r="G11">
        <v>2571</v>
      </c>
      <c r="H11">
        <v>2571</v>
      </c>
      <c r="I11">
        <v>16.48076923076923</v>
      </c>
    </row>
    <row r="12" spans="1:9" x14ac:dyDescent="0.45">
      <c r="A12" s="988">
        <v>14</v>
      </c>
      <c r="B12" s="35">
        <v>0</v>
      </c>
      <c r="C12" s="35">
        <v>2</v>
      </c>
      <c r="D12" s="35">
        <v>0</v>
      </c>
      <c r="E12" s="35" t="s">
        <v>129</v>
      </c>
      <c r="F12">
        <v>1938</v>
      </c>
      <c r="G12">
        <v>2058</v>
      </c>
      <c r="H12">
        <v>2058</v>
      </c>
      <c r="I12">
        <v>13.19230769230769</v>
      </c>
    </row>
    <row r="13" spans="1:9" x14ac:dyDescent="0.45">
      <c r="A13" s="988"/>
      <c r="B13" s="35">
        <v>1</v>
      </c>
      <c r="C13" s="35">
        <v>3</v>
      </c>
      <c r="D13" s="35">
        <v>1</v>
      </c>
      <c r="E13" s="35" t="s">
        <v>128</v>
      </c>
      <c r="F13">
        <v>1968</v>
      </c>
      <c r="G13">
        <v>2088</v>
      </c>
      <c r="H13">
        <v>2088</v>
      </c>
      <c r="I13">
        <v>13.38461538461539</v>
      </c>
    </row>
    <row r="14" spans="1:9" x14ac:dyDescent="0.45">
      <c r="A14" s="988"/>
      <c r="B14" s="35">
        <v>2</v>
      </c>
      <c r="C14" s="35">
        <v>4</v>
      </c>
      <c r="D14" s="35">
        <v>2</v>
      </c>
      <c r="E14" s="35" t="s">
        <v>123</v>
      </c>
      <c r="F14">
        <v>2032</v>
      </c>
      <c r="G14">
        <v>2152</v>
      </c>
      <c r="H14">
        <v>2152</v>
      </c>
      <c r="I14">
        <v>13.794871794871799</v>
      </c>
    </row>
    <row r="15" spans="1:9" x14ac:dyDescent="0.45">
      <c r="A15" s="988">
        <v>15</v>
      </c>
      <c r="B15" s="35">
        <v>0</v>
      </c>
      <c r="C15" s="35">
        <v>5</v>
      </c>
      <c r="D15" s="35">
        <v>0</v>
      </c>
      <c r="E15" s="35" t="s">
        <v>112</v>
      </c>
      <c r="F15">
        <v>2094</v>
      </c>
      <c r="G15">
        <v>2214</v>
      </c>
      <c r="H15">
        <v>2214</v>
      </c>
      <c r="I15">
        <v>14.19230769230769</v>
      </c>
    </row>
    <row r="16" spans="1:9" x14ac:dyDescent="0.45">
      <c r="A16" s="988"/>
      <c r="B16" s="35">
        <v>1</v>
      </c>
      <c r="C16" s="35">
        <v>6</v>
      </c>
      <c r="D16" s="35">
        <v>1</v>
      </c>
      <c r="E16" s="35" t="s">
        <v>110</v>
      </c>
      <c r="F16">
        <v>2128</v>
      </c>
      <c r="G16">
        <v>2248</v>
      </c>
      <c r="H16">
        <v>2248</v>
      </c>
      <c r="I16">
        <v>14.410256410256411</v>
      </c>
    </row>
    <row r="17" spans="1:9" x14ac:dyDescent="0.45">
      <c r="A17" s="988"/>
      <c r="B17" s="35">
        <v>2</v>
      </c>
      <c r="C17" s="35">
        <v>7</v>
      </c>
      <c r="D17" s="35">
        <v>2</v>
      </c>
      <c r="E17" s="35" t="s">
        <v>100</v>
      </c>
      <c r="F17">
        <v>2176</v>
      </c>
      <c r="G17">
        <v>2296</v>
      </c>
      <c r="H17">
        <v>2296</v>
      </c>
      <c r="I17">
        <v>14.717948717948721</v>
      </c>
    </row>
    <row r="18" spans="1:9" x14ac:dyDescent="0.45">
      <c r="A18" s="988"/>
      <c r="B18" s="35">
        <v>3</v>
      </c>
      <c r="C18" s="35">
        <v>8</v>
      </c>
      <c r="D18" s="35">
        <v>3</v>
      </c>
      <c r="E18" s="35" t="s">
        <v>98</v>
      </c>
      <c r="F18">
        <v>2223</v>
      </c>
      <c r="G18">
        <v>2343</v>
      </c>
      <c r="H18">
        <v>2343</v>
      </c>
      <c r="I18">
        <v>15.01923076923077</v>
      </c>
    </row>
    <row r="19" spans="1:9" x14ac:dyDescent="0.45">
      <c r="A19" s="988"/>
      <c r="B19" s="35">
        <v>4</v>
      </c>
      <c r="C19" s="35">
        <v>9</v>
      </c>
      <c r="D19" s="35">
        <v>4</v>
      </c>
      <c r="E19" s="35" t="s">
        <v>96</v>
      </c>
      <c r="F19">
        <v>2272</v>
      </c>
      <c r="G19">
        <v>2392</v>
      </c>
      <c r="H19">
        <v>2392</v>
      </c>
      <c r="I19">
        <v>15.33333333333333</v>
      </c>
    </row>
    <row r="20" spans="1:9" x14ac:dyDescent="0.45">
      <c r="A20" s="988"/>
      <c r="B20" s="35">
        <v>5</v>
      </c>
      <c r="C20" s="35">
        <v>10</v>
      </c>
      <c r="D20" s="35">
        <v>5</v>
      </c>
      <c r="E20" s="35" t="s">
        <v>94</v>
      </c>
      <c r="F20">
        <v>2326</v>
      </c>
      <c r="G20">
        <v>2446</v>
      </c>
      <c r="H20">
        <v>2446</v>
      </c>
      <c r="I20">
        <v>15.679487179487181</v>
      </c>
    </row>
    <row r="21" spans="1:9" x14ac:dyDescent="0.45">
      <c r="A21" s="988"/>
      <c r="B21" s="35">
        <v>6</v>
      </c>
      <c r="C21" s="35">
        <v>11</v>
      </c>
      <c r="D21" s="35">
        <v>6</v>
      </c>
      <c r="E21" s="35" t="s">
        <v>92</v>
      </c>
      <c r="F21">
        <v>2387</v>
      </c>
      <c r="G21">
        <v>2507</v>
      </c>
      <c r="H21">
        <v>2507</v>
      </c>
      <c r="I21">
        <v>16.070512820512821</v>
      </c>
    </row>
    <row r="22" spans="1:9" x14ac:dyDescent="0.45">
      <c r="A22" s="988"/>
      <c r="B22" s="35">
        <v>7</v>
      </c>
      <c r="C22" s="35">
        <v>12</v>
      </c>
      <c r="D22" s="35">
        <v>7</v>
      </c>
      <c r="E22" s="35" t="s">
        <v>90</v>
      </c>
      <c r="F22">
        <v>2451</v>
      </c>
      <c r="G22">
        <v>2571</v>
      </c>
      <c r="H22">
        <v>2571</v>
      </c>
      <c r="I22">
        <v>16.48076923076923</v>
      </c>
    </row>
    <row r="23" spans="1:9" x14ac:dyDescent="0.45">
      <c r="A23" s="988"/>
      <c r="B23" s="35">
        <v>8</v>
      </c>
      <c r="C23" s="35">
        <v>13</v>
      </c>
      <c r="D23" s="35">
        <v>8</v>
      </c>
      <c r="E23" s="35" t="s">
        <v>88</v>
      </c>
      <c r="F23">
        <v>2522</v>
      </c>
      <c r="G23">
        <v>2642</v>
      </c>
      <c r="H23">
        <v>2642</v>
      </c>
      <c r="I23">
        <v>16.935897435897431</v>
      </c>
    </row>
    <row r="24" spans="1:9" x14ac:dyDescent="0.45">
      <c r="A24" s="988"/>
      <c r="B24" s="35">
        <v>9</v>
      </c>
      <c r="C24" s="35">
        <v>14</v>
      </c>
      <c r="D24" s="35">
        <v>9</v>
      </c>
      <c r="E24" s="35" t="s">
        <v>86</v>
      </c>
      <c r="F24">
        <v>2595</v>
      </c>
      <c r="G24">
        <v>2715</v>
      </c>
      <c r="H24">
        <v>2715</v>
      </c>
      <c r="I24">
        <v>17.40384615384615</v>
      </c>
    </row>
    <row r="25" spans="1:9" x14ac:dyDescent="0.45">
      <c r="A25" s="988">
        <v>19</v>
      </c>
      <c r="B25" s="35">
        <v>0</v>
      </c>
      <c r="C25" s="35">
        <v>3</v>
      </c>
      <c r="D25" s="35">
        <v>0</v>
      </c>
      <c r="E25" s="35" t="s">
        <v>304</v>
      </c>
      <c r="F25">
        <v>1968</v>
      </c>
      <c r="G25">
        <v>2088</v>
      </c>
      <c r="H25">
        <v>2088</v>
      </c>
      <c r="I25">
        <v>13.38461538461539</v>
      </c>
    </row>
    <row r="26" spans="1:9" x14ac:dyDescent="0.45">
      <c r="A26" s="988"/>
      <c r="B26" s="35">
        <v>1</v>
      </c>
      <c r="C26" s="35">
        <v>4</v>
      </c>
      <c r="D26" s="35">
        <v>1</v>
      </c>
      <c r="E26" s="35" t="s">
        <v>305</v>
      </c>
      <c r="F26">
        <v>2032</v>
      </c>
      <c r="G26">
        <v>2152</v>
      </c>
      <c r="H26">
        <v>2152</v>
      </c>
      <c r="I26">
        <v>13.794871794871799</v>
      </c>
    </row>
    <row r="27" spans="1:9" x14ac:dyDescent="0.45">
      <c r="A27" s="988"/>
      <c r="B27" s="35">
        <v>2</v>
      </c>
      <c r="C27" s="35">
        <v>5</v>
      </c>
      <c r="D27" s="35">
        <v>2</v>
      </c>
      <c r="E27" s="35" t="s">
        <v>306</v>
      </c>
      <c r="F27">
        <v>2094</v>
      </c>
      <c r="G27">
        <v>2214</v>
      </c>
      <c r="H27">
        <v>2214</v>
      </c>
      <c r="I27">
        <v>14.19230769230769</v>
      </c>
    </row>
    <row r="28" spans="1:9" x14ac:dyDescent="0.45">
      <c r="A28" s="988">
        <v>20</v>
      </c>
      <c r="B28" s="35">
        <v>0</v>
      </c>
      <c r="C28" s="35">
        <v>6</v>
      </c>
      <c r="D28" s="35">
        <v>0</v>
      </c>
      <c r="E28" s="35" t="s">
        <v>307</v>
      </c>
      <c r="F28">
        <v>2128</v>
      </c>
      <c r="G28">
        <v>2248</v>
      </c>
      <c r="H28">
        <v>2248</v>
      </c>
      <c r="I28">
        <v>14.410256410256411</v>
      </c>
    </row>
    <row r="29" spans="1:9" x14ac:dyDescent="0.45">
      <c r="A29" s="988"/>
      <c r="B29" s="35">
        <v>1</v>
      </c>
      <c r="C29" s="35">
        <v>7</v>
      </c>
      <c r="D29" s="35">
        <v>1</v>
      </c>
      <c r="E29" s="35" t="s">
        <v>308</v>
      </c>
      <c r="F29">
        <v>2176</v>
      </c>
      <c r="G29">
        <v>2296</v>
      </c>
      <c r="H29">
        <v>2296</v>
      </c>
      <c r="I29">
        <v>14.717948717948721</v>
      </c>
    </row>
    <row r="30" spans="1:9" x14ac:dyDescent="0.45">
      <c r="A30" s="988"/>
      <c r="B30" s="35">
        <v>2</v>
      </c>
      <c r="C30" s="35">
        <v>8</v>
      </c>
      <c r="D30" s="35">
        <v>2</v>
      </c>
      <c r="E30" s="35" t="s">
        <v>309</v>
      </c>
      <c r="F30">
        <v>2223</v>
      </c>
      <c r="G30">
        <v>2343</v>
      </c>
      <c r="H30">
        <v>2343</v>
      </c>
      <c r="I30">
        <v>15.01923076923077</v>
      </c>
    </row>
    <row r="31" spans="1:9" x14ac:dyDescent="0.45">
      <c r="A31" s="988"/>
      <c r="B31" s="35">
        <v>3</v>
      </c>
      <c r="C31" s="35">
        <v>9</v>
      </c>
      <c r="D31" s="35">
        <v>3</v>
      </c>
      <c r="E31" s="35" t="s">
        <v>310</v>
      </c>
      <c r="F31">
        <v>2272</v>
      </c>
      <c r="G31">
        <v>2392</v>
      </c>
      <c r="H31">
        <v>2392</v>
      </c>
      <c r="I31">
        <v>15.33333333333333</v>
      </c>
    </row>
    <row r="32" spans="1:9" x14ac:dyDescent="0.45">
      <c r="A32" s="988"/>
      <c r="B32" s="35">
        <v>4</v>
      </c>
      <c r="C32" s="35">
        <v>10</v>
      </c>
      <c r="D32" s="35">
        <v>4</v>
      </c>
      <c r="E32" s="35" t="s">
        <v>311</v>
      </c>
      <c r="F32">
        <v>2326</v>
      </c>
      <c r="G32">
        <v>2446</v>
      </c>
      <c r="H32">
        <v>2446</v>
      </c>
      <c r="I32">
        <v>15.679487179487181</v>
      </c>
    </row>
    <row r="33" spans="1:9" x14ac:dyDescent="0.45">
      <c r="A33" s="988"/>
      <c r="B33" s="35">
        <v>5</v>
      </c>
      <c r="C33" s="35">
        <v>11</v>
      </c>
      <c r="D33" s="35">
        <v>5</v>
      </c>
      <c r="E33" s="35" t="s">
        <v>312</v>
      </c>
      <c r="F33">
        <v>2387</v>
      </c>
      <c r="G33">
        <v>2507</v>
      </c>
      <c r="H33">
        <v>2507</v>
      </c>
      <c r="I33">
        <v>16.070512820512821</v>
      </c>
    </row>
    <row r="34" spans="1:9" x14ac:dyDescent="0.45">
      <c r="A34" s="988"/>
      <c r="B34" s="35">
        <v>6</v>
      </c>
      <c r="C34" s="35">
        <v>12</v>
      </c>
      <c r="D34" s="35">
        <v>6</v>
      </c>
      <c r="E34" s="35" t="s">
        <v>313</v>
      </c>
      <c r="F34">
        <v>2451</v>
      </c>
      <c r="G34">
        <v>2571</v>
      </c>
      <c r="H34">
        <v>2571</v>
      </c>
      <c r="I34">
        <v>16.48076923076923</v>
      </c>
    </row>
    <row r="35" spans="1:9" x14ac:dyDescent="0.45">
      <c r="A35" s="988"/>
      <c r="B35" s="35">
        <v>7</v>
      </c>
      <c r="C35" s="35">
        <v>13</v>
      </c>
      <c r="D35" s="35">
        <v>7</v>
      </c>
      <c r="E35" s="35" t="s">
        <v>314</v>
      </c>
      <c r="F35">
        <v>2522</v>
      </c>
      <c r="G35">
        <v>2642</v>
      </c>
      <c r="H35">
        <v>2642</v>
      </c>
      <c r="I35">
        <v>16.935897435897431</v>
      </c>
    </row>
    <row r="36" spans="1:9" x14ac:dyDescent="0.45">
      <c r="A36" s="988"/>
      <c r="B36" s="35">
        <v>8</v>
      </c>
      <c r="C36" s="35">
        <v>14</v>
      </c>
      <c r="D36" s="35">
        <v>8</v>
      </c>
      <c r="E36" s="35" t="s">
        <v>315</v>
      </c>
      <c r="F36">
        <v>2595</v>
      </c>
      <c r="G36">
        <v>2715</v>
      </c>
      <c r="H36">
        <v>2715</v>
      </c>
      <c r="I36">
        <v>17.40384615384615</v>
      </c>
    </row>
    <row r="37" spans="1:9" x14ac:dyDescent="0.45">
      <c r="A37" s="988"/>
      <c r="B37" s="35">
        <v>9</v>
      </c>
      <c r="C37" s="35">
        <v>15</v>
      </c>
      <c r="D37" s="35">
        <v>9</v>
      </c>
      <c r="E37" s="35" t="s">
        <v>316</v>
      </c>
      <c r="F37">
        <v>2661</v>
      </c>
      <c r="G37">
        <v>2781</v>
      </c>
      <c r="H37">
        <v>2781</v>
      </c>
      <c r="I37">
        <v>17.82692307692308</v>
      </c>
    </row>
    <row r="38" spans="1:9" x14ac:dyDescent="0.45">
      <c r="A38" s="988"/>
      <c r="B38" s="35">
        <v>10</v>
      </c>
      <c r="C38" s="35">
        <v>16</v>
      </c>
      <c r="D38" s="35">
        <v>10</v>
      </c>
      <c r="E38" s="35" t="s">
        <v>317</v>
      </c>
      <c r="F38">
        <v>2737</v>
      </c>
      <c r="G38">
        <v>2857</v>
      </c>
      <c r="H38">
        <v>2857</v>
      </c>
      <c r="I38">
        <v>18.314102564102569</v>
      </c>
    </row>
    <row r="39" spans="1:9" x14ac:dyDescent="0.45">
      <c r="A39" s="988">
        <v>24</v>
      </c>
      <c r="B39" s="35">
        <v>0</v>
      </c>
      <c r="C39" s="35">
        <v>4</v>
      </c>
      <c r="D39" s="35">
        <v>0</v>
      </c>
      <c r="E39" s="35" t="s">
        <v>318</v>
      </c>
      <c r="F39">
        <v>2032</v>
      </c>
      <c r="G39">
        <v>2152</v>
      </c>
      <c r="H39">
        <v>2152</v>
      </c>
      <c r="I39">
        <v>13.794871794871799</v>
      </c>
    </row>
    <row r="40" spans="1:9" x14ac:dyDescent="0.45">
      <c r="A40" s="988"/>
      <c r="B40" s="35">
        <v>1</v>
      </c>
      <c r="C40" s="35">
        <v>5</v>
      </c>
      <c r="D40" s="35">
        <v>1</v>
      </c>
      <c r="E40" s="35" t="s">
        <v>319</v>
      </c>
      <c r="F40">
        <v>2094</v>
      </c>
      <c r="G40">
        <v>2214</v>
      </c>
      <c r="H40">
        <v>2214</v>
      </c>
      <c r="I40">
        <v>14.19230769230769</v>
      </c>
    </row>
    <row r="41" spans="1:9" x14ac:dyDescent="0.45">
      <c r="A41" s="988"/>
      <c r="B41" s="35">
        <v>2</v>
      </c>
      <c r="C41" s="35">
        <v>6</v>
      </c>
      <c r="D41" s="35">
        <v>2</v>
      </c>
      <c r="E41" s="35" t="s">
        <v>320</v>
      </c>
      <c r="F41">
        <v>2128</v>
      </c>
      <c r="G41">
        <v>2248</v>
      </c>
      <c r="H41">
        <v>2248</v>
      </c>
      <c r="I41">
        <v>14.410256410256411</v>
      </c>
    </row>
    <row r="42" spans="1:9" x14ac:dyDescent="0.45">
      <c r="A42" s="988">
        <v>25</v>
      </c>
      <c r="B42" s="35">
        <v>0</v>
      </c>
      <c r="C42" s="35">
        <v>7</v>
      </c>
      <c r="D42" s="35">
        <v>0</v>
      </c>
      <c r="E42" s="35" t="s">
        <v>321</v>
      </c>
      <c r="F42">
        <v>2176</v>
      </c>
      <c r="G42">
        <v>2296</v>
      </c>
      <c r="H42">
        <v>2296</v>
      </c>
      <c r="I42">
        <v>14.717948717948721</v>
      </c>
    </row>
    <row r="43" spans="1:9" x14ac:dyDescent="0.45">
      <c r="A43" s="988"/>
      <c r="B43" s="35">
        <v>1</v>
      </c>
      <c r="C43" s="35">
        <v>9</v>
      </c>
      <c r="D43" s="35">
        <v>1</v>
      </c>
      <c r="E43" s="35" t="s">
        <v>322</v>
      </c>
      <c r="F43">
        <v>2272</v>
      </c>
      <c r="G43">
        <v>2392</v>
      </c>
      <c r="H43">
        <v>2392</v>
      </c>
      <c r="I43">
        <v>15.33333333333333</v>
      </c>
    </row>
    <row r="44" spans="1:9" x14ac:dyDescent="0.45">
      <c r="A44" s="988"/>
      <c r="B44" s="35">
        <v>2</v>
      </c>
      <c r="C44" s="35">
        <v>10</v>
      </c>
      <c r="D44" s="35">
        <v>2</v>
      </c>
      <c r="E44" s="35" t="s">
        <v>323</v>
      </c>
      <c r="F44">
        <v>2326</v>
      </c>
      <c r="G44">
        <v>2446</v>
      </c>
      <c r="H44">
        <v>2446</v>
      </c>
      <c r="I44">
        <v>15.679487179487181</v>
      </c>
    </row>
    <row r="45" spans="1:9" x14ac:dyDescent="0.45">
      <c r="A45" s="988"/>
      <c r="B45" s="35">
        <v>3</v>
      </c>
      <c r="C45" s="35">
        <v>11</v>
      </c>
      <c r="D45" s="35">
        <v>3</v>
      </c>
      <c r="E45" s="35" t="s">
        <v>324</v>
      </c>
      <c r="F45">
        <v>2387</v>
      </c>
      <c r="G45">
        <v>2507</v>
      </c>
      <c r="H45">
        <v>2507</v>
      </c>
      <c r="I45">
        <v>16.070512820512821</v>
      </c>
    </row>
    <row r="46" spans="1:9" x14ac:dyDescent="0.45">
      <c r="A46" s="988"/>
      <c r="B46" s="35">
        <v>4</v>
      </c>
      <c r="C46" s="35">
        <v>12</v>
      </c>
      <c r="D46" s="35">
        <v>4</v>
      </c>
      <c r="E46" s="35" t="s">
        <v>325</v>
      </c>
      <c r="F46">
        <v>2451</v>
      </c>
      <c r="G46">
        <v>2571</v>
      </c>
      <c r="H46">
        <v>2571</v>
      </c>
      <c r="I46">
        <v>16.48076923076923</v>
      </c>
    </row>
    <row r="47" spans="1:9" x14ac:dyDescent="0.45">
      <c r="A47" s="988"/>
      <c r="B47" s="35">
        <v>5</v>
      </c>
      <c r="C47" s="35">
        <v>13</v>
      </c>
      <c r="D47" s="35">
        <v>5</v>
      </c>
      <c r="E47" s="35" t="s">
        <v>326</v>
      </c>
      <c r="F47">
        <v>2522</v>
      </c>
      <c r="G47">
        <v>2642</v>
      </c>
      <c r="H47">
        <v>2642</v>
      </c>
      <c r="I47">
        <v>16.935897435897431</v>
      </c>
    </row>
    <row r="48" spans="1:9" x14ac:dyDescent="0.45">
      <c r="A48" s="988"/>
      <c r="B48" s="35">
        <v>6</v>
      </c>
      <c r="C48" s="35">
        <v>14</v>
      </c>
      <c r="D48" s="35">
        <v>6</v>
      </c>
      <c r="E48" s="35" t="s">
        <v>327</v>
      </c>
      <c r="F48">
        <v>2595</v>
      </c>
      <c r="G48">
        <v>2715</v>
      </c>
      <c r="H48">
        <v>2715</v>
      </c>
      <c r="I48">
        <v>17.40384615384615</v>
      </c>
    </row>
    <row r="49" spans="1:9" x14ac:dyDescent="0.45">
      <c r="A49" s="988"/>
      <c r="B49" s="35">
        <v>7</v>
      </c>
      <c r="C49" s="35">
        <v>15</v>
      </c>
      <c r="D49" s="35">
        <v>7</v>
      </c>
      <c r="E49" s="35" t="s">
        <v>328</v>
      </c>
      <c r="F49">
        <v>2661</v>
      </c>
      <c r="G49">
        <v>2781</v>
      </c>
      <c r="H49">
        <v>2781</v>
      </c>
      <c r="I49">
        <v>17.82692307692308</v>
      </c>
    </row>
    <row r="50" spans="1:9" x14ac:dyDescent="0.45">
      <c r="A50" s="988"/>
      <c r="B50" s="35">
        <v>8</v>
      </c>
      <c r="C50" s="35">
        <v>16</v>
      </c>
      <c r="D50" s="35">
        <v>8</v>
      </c>
      <c r="E50" s="35" t="s">
        <v>329</v>
      </c>
      <c r="F50">
        <v>2737</v>
      </c>
      <c r="G50">
        <v>2857</v>
      </c>
      <c r="H50">
        <v>2857</v>
      </c>
      <c r="I50">
        <v>18.314102564102569</v>
      </c>
    </row>
    <row r="51" spans="1:9" x14ac:dyDescent="0.45">
      <c r="A51" s="988"/>
      <c r="B51" s="35">
        <v>9</v>
      </c>
      <c r="C51" s="35">
        <v>17</v>
      </c>
      <c r="D51" s="35">
        <v>9</v>
      </c>
      <c r="E51" s="35" t="s">
        <v>330</v>
      </c>
      <c r="F51">
        <v>2797</v>
      </c>
      <c r="G51">
        <v>2917</v>
      </c>
      <c r="H51">
        <v>2917</v>
      </c>
      <c r="I51">
        <v>18.698717948717949</v>
      </c>
    </row>
    <row r="52" spans="1:9" x14ac:dyDescent="0.45">
      <c r="A52" s="988"/>
      <c r="B52" s="35">
        <v>10</v>
      </c>
      <c r="C52" s="35">
        <v>18</v>
      </c>
      <c r="D52" s="35">
        <v>10</v>
      </c>
      <c r="E52" s="35" t="s">
        <v>331</v>
      </c>
      <c r="F52">
        <v>2870</v>
      </c>
      <c r="G52">
        <v>2990</v>
      </c>
      <c r="H52">
        <v>2990</v>
      </c>
      <c r="I52">
        <v>19.166666666666671</v>
      </c>
    </row>
    <row r="53" spans="1:9" x14ac:dyDescent="0.45">
      <c r="A53" s="988">
        <v>29</v>
      </c>
      <c r="B53" s="35">
        <v>0</v>
      </c>
      <c r="C53" s="35">
        <v>6</v>
      </c>
      <c r="D53" s="35">
        <v>0</v>
      </c>
      <c r="E53" s="35" t="s">
        <v>332</v>
      </c>
      <c r="F53">
        <v>2128</v>
      </c>
      <c r="G53">
        <v>2248</v>
      </c>
      <c r="H53">
        <v>2248</v>
      </c>
      <c r="I53">
        <v>14.410256410256411</v>
      </c>
    </row>
    <row r="54" spans="1:9" x14ac:dyDescent="0.45">
      <c r="A54" s="988"/>
      <c r="B54" s="35">
        <v>1</v>
      </c>
      <c r="C54" s="35">
        <v>7</v>
      </c>
      <c r="D54" s="35">
        <v>1</v>
      </c>
      <c r="E54" s="35" t="s">
        <v>333</v>
      </c>
      <c r="F54">
        <v>2176</v>
      </c>
      <c r="G54">
        <v>2296</v>
      </c>
      <c r="H54">
        <v>2296</v>
      </c>
      <c r="I54">
        <v>14.717948717948721</v>
      </c>
    </row>
    <row r="55" spans="1:9" x14ac:dyDescent="0.45">
      <c r="A55" s="988">
        <v>30</v>
      </c>
      <c r="B55" s="35">
        <v>0</v>
      </c>
      <c r="C55" s="35">
        <v>8</v>
      </c>
      <c r="D55" s="35">
        <v>0</v>
      </c>
      <c r="E55" s="35" t="s">
        <v>334</v>
      </c>
      <c r="F55">
        <v>2223</v>
      </c>
      <c r="G55">
        <v>2343</v>
      </c>
      <c r="H55">
        <v>2343</v>
      </c>
      <c r="I55">
        <v>15.01923076923077</v>
      </c>
    </row>
    <row r="56" spans="1:9" x14ac:dyDescent="0.45">
      <c r="A56" s="988"/>
      <c r="B56" s="35">
        <v>1</v>
      </c>
      <c r="C56" s="35">
        <v>10</v>
      </c>
      <c r="D56" s="35">
        <v>1</v>
      </c>
      <c r="E56" s="35" t="s">
        <v>335</v>
      </c>
      <c r="F56">
        <v>2326</v>
      </c>
      <c r="G56">
        <v>2446</v>
      </c>
      <c r="H56">
        <v>2446</v>
      </c>
      <c r="I56">
        <v>15.679487179487181</v>
      </c>
    </row>
    <row r="57" spans="1:9" x14ac:dyDescent="0.45">
      <c r="A57" s="988"/>
      <c r="B57" s="35">
        <v>2</v>
      </c>
      <c r="C57" s="35">
        <v>12</v>
      </c>
      <c r="D57" s="35">
        <v>2</v>
      </c>
      <c r="E57" s="35" t="s">
        <v>336</v>
      </c>
      <c r="F57">
        <v>2451</v>
      </c>
      <c r="G57">
        <v>2571</v>
      </c>
      <c r="H57">
        <v>2571</v>
      </c>
      <c r="I57">
        <v>16.48076923076923</v>
      </c>
    </row>
    <row r="58" spans="1:9" x14ac:dyDescent="0.45">
      <c r="A58" s="988"/>
      <c r="B58" s="35">
        <v>3</v>
      </c>
      <c r="C58" s="35">
        <v>13</v>
      </c>
      <c r="D58" s="35">
        <v>3</v>
      </c>
      <c r="E58" s="35" t="s">
        <v>337</v>
      </c>
      <c r="F58">
        <v>2522</v>
      </c>
      <c r="G58">
        <v>2642</v>
      </c>
      <c r="H58">
        <v>2642</v>
      </c>
      <c r="I58">
        <v>16.935897435897431</v>
      </c>
    </row>
    <row r="59" spans="1:9" x14ac:dyDescent="0.45">
      <c r="A59" s="988"/>
      <c r="B59" s="35">
        <v>4</v>
      </c>
      <c r="C59" s="35">
        <v>14</v>
      </c>
      <c r="D59" s="35">
        <v>4</v>
      </c>
      <c r="E59" s="35" t="s">
        <v>338</v>
      </c>
      <c r="F59">
        <v>2595</v>
      </c>
      <c r="G59">
        <v>2715</v>
      </c>
      <c r="H59">
        <v>2715</v>
      </c>
      <c r="I59">
        <v>17.40384615384615</v>
      </c>
    </row>
    <row r="60" spans="1:9" x14ac:dyDescent="0.45">
      <c r="A60" s="988"/>
      <c r="B60" s="35">
        <v>5</v>
      </c>
      <c r="C60" s="35">
        <v>15</v>
      </c>
      <c r="D60" s="35">
        <v>5</v>
      </c>
      <c r="E60" s="35" t="s">
        <v>339</v>
      </c>
      <c r="F60">
        <v>2661</v>
      </c>
      <c r="G60">
        <v>2781</v>
      </c>
      <c r="H60">
        <v>2781</v>
      </c>
      <c r="I60">
        <v>17.82692307692308</v>
      </c>
    </row>
    <row r="61" spans="1:9" x14ac:dyDescent="0.45">
      <c r="A61" s="988"/>
      <c r="B61" s="35">
        <v>6</v>
      </c>
      <c r="C61" s="35">
        <v>16</v>
      </c>
      <c r="D61" s="35">
        <v>6</v>
      </c>
      <c r="E61" s="35" t="s">
        <v>340</v>
      </c>
      <c r="F61">
        <v>2737</v>
      </c>
      <c r="G61">
        <v>2857</v>
      </c>
      <c r="H61">
        <v>2857</v>
      </c>
      <c r="I61">
        <v>18.314102564102569</v>
      </c>
    </row>
    <row r="62" spans="1:9" x14ac:dyDescent="0.45">
      <c r="A62" s="988"/>
      <c r="B62" s="35">
        <v>7</v>
      </c>
      <c r="C62" s="35">
        <v>17</v>
      </c>
      <c r="D62" s="35">
        <v>7</v>
      </c>
      <c r="E62" s="35" t="s">
        <v>341</v>
      </c>
      <c r="F62">
        <v>2797</v>
      </c>
      <c r="G62">
        <v>2917</v>
      </c>
      <c r="H62">
        <v>2917</v>
      </c>
      <c r="I62">
        <v>18.698717948717949</v>
      </c>
    </row>
    <row r="63" spans="1:9" x14ac:dyDescent="0.45">
      <c r="A63" s="988"/>
      <c r="B63" s="35">
        <v>8</v>
      </c>
      <c r="C63" s="35">
        <v>18</v>
      </c>
      <c r="D63" s="35">
        <v>8</v>
      </c>
      <c r="E63" s="35" t="s">
        <v>342</v>
      </c>
      <c r="F63">
        <v>2870</v>
      </c>
      <c r="G63">
        <v>2990</v>
      </c>
      <c r="H63">
        <v>2990</v>
      </c>
      <c r="I63">
        <v>19.166666666666671</v>
      </c>
    </row>
    <row r="64" spans="1:9" x14ac:dyDescent="0.45">
      <c r="A64" s="988"/>
      <c r="B64" s="35">
        <v>9</v>
      </c>
      <c r="C64" s="35">
        <v>19</v>
      </c>
      <c r="D64" s="35">
        <v>9</v>
      </c>
      <c r="E64" s="35" t="s">
        <v>343</v>
      </c>
      <c r="F64">
        <v>2937</v>
      </c>
      <c r="G64">
        <v>3057</v>
      </c>
      <c r="H64">
        <v>3057</v>
      </c>
      <c r="I64">
        <v>19.59615384615385</v>
      </c>
    </row>
    <row r="65" spans="1:9" x14ac:dyDescent="0.45">
      <c r="A65" s="988"/>
      <c r="B65" s="35">
        <v>10</v>
      </c>
      <c r="C65" s="35">
        <v>20</v>
      </c>
      <c r="D65" s="35">
        <v>10</v>
      </c>
      <c r="E65" s="35" t="s">
        <v>344</v>
      </c>
      <c r="F65">
        <v>3007</v>
      </c>
      <c r="G65">
        <v>3127</v>
      </c>
      <c r="H65">
        <v>3127</v>
      </c>
      <c r="I65">
        <v>20.044871794871799</v>
      </c>
    </row>
    <row r="66" spans="1:9" x14ac:dyDescent="0.45">
      <c r="A66" s="988">
        <v>34</v>
      </c>
      <c r="B66" s="35">
        <v>1</v>
      </c>
      <c r="C66" s="35">
        <v>9</v>
      </c>
      <c r="D66" s="35">
        <v>1</v>
      </c>
      <c r="E66" s="35" t="s">
        <v>345</v>
      </c>
      <c r="F66">
        <v>2272</v>
      </c>
      <c r="G66">
        <v>2392</v>
      </c>
      <c r="H66">
        <v>2392</v>
      </c>
      <c r="I66">
        <v>15.33333333333333</v>
      </c>
    </row>
    <row r="67" spans="1:9" x14ac:dyDescent="0.45">
      <c r="A67" s="988"/>
      <c r="B67" s="35">
        <v>2</v>
      </c>
      <c r="C67" s="35">
        <v>10</v>
      </c>
      <c r="D67" s="35">
        <v>2</v>
      </c>
      <c r="E67" s="35" t="s">
        <v>346</v>
      </c>
      <c r="F67">
        <v>2326</v>
      </c>
      <c r="G67">
        <v>2446</v>
      </c>
      <c r="H67">
        <v>2446</v>
      </c>
      <c r="I67">
        <v>15.679487179487181</v>
      </c>
    </row>
    <row r="68" spans="1:9" x14ac:dyDescent="0.45">
      <c r="A68" s="988">
        <v>35</v>
      </c>
      <c r="B68" s="35">
        <v>1</v>
      </c>
      <c r="C68" s="35">
        <v>12</v>
      </c>
      <c r="D68" s="35">
        <v>1</v>
      </c>
      <c r="E68" s="35" t="s">
        <v>347</v>
      </c>
      <c r="F68">
        <v>2451</v>
      </c>
      <c r="G68">
        <v>2571</v>
      </c>
      <c r="H68">
        <v>2571</v>
      </c>
      <c r="I68">
        <v>16.48076923076923</v>
      </c>
    </row>
    <row r="69" spans="1:9" x14ac:dyDescent="0.45">
      <c r="A69" s="988"/>
      <c r="B69" s="35">
        <v>2</v>
      </c>
      <c r="C69" s="35">
        <v>14</v>
      </c>
      <c r="D69" s="35">
        <v>2</v>
      </c>
      <c r="E69" s="35" t="s">
        <v>348</v>
      </c>
      <c r="F69">
        <v>2595</v>
      </c>
      <c r="G69">
        <v>2715</v>
      </c>
      <c r="H69">
        <v>2715</v>
      </c>
      <c r="I69">
        <v>17.40384615384615</v>
      </c>
    </row>
    <row r="70" spans="1:9" x14ac:dyDescent="0.45">
      <c r="A70" s="988"/>
      <c r="B70" s="35">
        <v>3</v>
      </c>
      <c r="C70" s="35">
        <v>15</v>
      </c>
      <c r="D70" s="35">
        <v>3</v>
      </c>
      <c r="E70" s="35" t="s">
        <v>349</v>
      </c>
      <c r="F70">
        <v>2661</v>
      </c>
      <c r="G70">
        <v>2781</v>
      </c>
      <c r="H70">
        <v>2781</v>
      </c>
      <c r="I70">
        <v>17.82692307692308</v>
      </c>
    </row>
    <row r="71" spans="1:9" x14ac:dyDescent="0.45">
      <c r="A71" s="988"/>
      <c r="B71" s="35">
        <v>4</v>
      </c>
      <c r="C71" s="35">
        <v>16</v>
      </c>
      <c r="D71" s="35">
        <v>4</v>
      </c>
      <c r="E71" s="35" t="s">
        <v>350</v>
      </c>
      <c r="F71">
        <v>2737</v>
      </c>
      <c r="G71">
        <v>2857</v>
      </c>
      <c r="H71">
        <v>2857</v>
      </c>
      <c r="I71">
        <v>18.314102564102569</v>
      </c>
    </row>
    <row r="72" spans="1:9" x14ac:dyDescent="0.45">
      <c r="A72" s="988"/>
      <c r="B72" s="35">
        <v>5</v>
      </c>
      <c r="C72" s="35">
        <v>17</v>
      </c>
      <c r="D72" s="35">
        <v>5</v>
      </c>
      <c r="E72" s="35" t="s">
        <v>351</v>
      </c>
      <c r="F72">
        <v>2797</v>
      </c>
      <c r="G72">
        <v>2917</v>
      </c>
      <c r="H72">
        <v>2917</v>
      </c>
      <c r="I72">
        <v>18.698717948717949</v>
      </c>
    </row>
    <row r="73" spans="1:9" x14ac:dyDescent="0.45">
      <c r="A73" s="988"/>
      <c r="B73" s="35">
        <v>6</v>
      </c>
      <c r="C73" s="35">
        <v>18</v>
      </c>
      <c r="D73" s="35">
        <v>6</v>
      </c>
      <c r="E73" s="35" t="s">
        <v>352</v>
      </c>
      <c r="F73">
        <v>2870</v>
      </c>
      <c r="G73">
        <v>2990</v>
      </c>
      <c r="H73">
        <v>2990</v>
      </c>
      <c r="I73">
        <v>19.166666666666671</v>
      </c>
    </row>
    <row r="74" spans="1:9" x14ac:dyDescent="0.45">
      <c r="A74" s="988"/>
      <c r="B74" s="35">
        <v>7</v>
      </c>
      <c r="C74" s="35">
        <v>19</v>
      </c>
      <c r="D74" s="35">
        <v>7</v>
      </c>
      <c r="E74" s="35" t="s">
        <v>353</v>
      </c>
      <c r="F74">
        <v>2937</v>
      </c>
      <c r="G74">
        <v>3057</v>
      </c>
      <c r="H74">
        <v>3057</v>
      </c>
      <c r="I74">
        <v>19.59615384615385</v>
      </c>
    </row>
    <row r="75" spans="1:9" x14ac:dyDescent="0.45">
      <c r="A75" s="988"/>
      <c r="B75" s="35">
        <v>8</v>
      </c>
      <c r="C75" s="35">
        <v>20</v>
      </c>
      <c r="D75" s="35">
        <v>8</v>
      </c>
      <c r="E75" s="35" t="s">
        <v>354</v>
      </c>
      <c r="F75">
        <v>3007</v>
      </c>
      <c r="G75">
        <v>3127</v>
      </c>
      <c r="H75">
        <v>3127</v>
      </c>
      <c r="I75">
        <v>20.044871794871799</v>
      </c>
    </row>
    <row r="76" spans="1:9" x14ac:dyDescent="0.45">
      <c r="A76" s="988"/>
      <c r="B76" s="35">
        <v>9</v>
      </c>
      <c r="C76" s="35">
        <v>21</v>
      </c>
      <c r="D76" s="35">
        <v>9</v>
      </c>
      <c r="E76" s="35" t="s">
        <v>355</v>
      </c>
      <c r="F76">
        <v>3076</v>
      </c>
      <c r="G76">
        <v>3199</v>
      </c>
      <c r="H76">
        <v>3199</v>
      </c>
      <c r="I76">
        <v>20.506410256410259</v>
      </c>
    </row>
    <row r="77" spans="1:9" x14ac:dyDescent="0.45">
      <c r="A77" s="988"/>
      <c r="B77" s="35">
        <v>10</v>
      </c>
      <c r="C77" s="35">
        <v>22</v>
      </c>
      <c r="D77" s="35">
        <v>10</v>
      </c>
      <c r="E77" s="35" t="s">
        <v>356</v>
      </c>
      <c r="F77">
        <v>3146</v>
      </c>
      <c r="G77">
        <v>3272</v>
      </c>
      <c r="H77">
        <v>3272</v>
      </c>
      <c r="I77">
        <v>20.974358974358971</v>
      </c>
    </row>
    <row r="78" spans="1:9" x14ac:dyDescent="0.45">
      <c r="A78" s="988"/>
      <c r="B78" s="35">
        <v>11</v>
      </c>
      <c r="C78" s="35">
        <v>23</v>
      </c>
      <c r="D78" s="35">
        <v>11</v>
      </c>
      <c r="E78" s="35" t="s">
        <v>357</v>
      </c>
      <c r="F78">
        <v>3218</v>
      </c>
      <c r="G78">
        <v>3346</v>
      </c>
      <c r="H78">
        <v>3346</v>
      </c>
      <c r="I78">
        <v>21.448717948717949</v>
      </c>
    </row>
    <row r="79" spans="1:9" x14ac:dyDescent="0.45">
      <c r="A79" s="988">
        <v>39</v>
      </c>
      <c r="B79" s="35">
        <v>1</v>
      </c>
      <c r="C79" s="35">
        <v>11</v>
      </c>
      <c r="D79" s="35">
        <v>1</v>
      </c>
      <c r="E79" s="35" t="s">
        <v>358</v>
      </c>
      <c r="F79">
        <v>2387</v>
      </c>
      <c r="G79">
        <v>2507</v>
      </c>
      <c r="H79">
        <v>2507</v>
      </c>
      <c r="I79">
        <v>16.070512820512821</v>
      </c>
    </row>
    <row r="80" spans="1:9" x14ac:dyDescent="0.45">
      <c r="A80" s="988"/>
      <c r="B80" s="35">
        <v>2</v>
      </c>
      <c r="C80" s="35">
        <v>12</v>
      </c>
      <c r="D80" s="35">
        <v>2</v>
      </c>
      <c r="E80" s="35" t="s">
        <v>359</v>
      </c>
      <c r="F80">
        <v>2451</v>
      </c>
      <c r="G80">
        <v>2571</v>
      </c>
      <c r="H80">
        <v>2571</v>
      </c>
      <c r="I80">
        <v>16.48076923076923</v>
      </c>
    </row>
    <row r="81" spans="1:9" x14ac:dyDescent="0.45">
      <c r="A81" s="988">
        <v>40</v>
      </c>
      <c r="B81" s="35">
        <v>1</v>
      </c>
      <c r="C81" s="35">
        <v>14</v>
      </c>
      <c r="D81" s="35">
        <v>1</v>
      </c>
      <c r="E81" s="35" t="s">
        <v>360</v>
      </c>
      <c r="F81">
        <v>2595</v>
      </c>
      <c r="G81">
        <v>2715</v>
      </c>
      <c r="H81">
        <v>2715</v>
      </c>
      <c r="I81">
        <v>17.40384615384615</v>
      </c>
    </row>
    <row r="82" spans="1:9" x14ac:dyDescent="0.45">
      <c r="A82" s="988"/>
      <c r="B82" s="35">
        <v>2</v>
      </c>
      <c r="C82" s="35">
        <v>16</v>
      </c>
      <c r="D82" s="35">
        <v>2</v>
      </c>
      <c r="E82" s="35" t="s">
        <v>361</v>
      </c>
      <c r="F82">
        <v>2737</v>
      </c>
      <c r="G82">
        <v>2857</v>
      </c>
      <c r="H82">
        <v>2857</v>
      </c>
      <c r="I82">
        <v>18.314102564102569</v>
      </c>
    </row>
    <row r="83" spans="1:9" x14ac:dyDescent="0.45">
      <c r="A83" s="988"/>
      <c r="B83" s="35">
        <v>3</v>
      </c>
      <c r="C83" s="35">
        <v>17</v>
      </c>
      <c r="D83" s="35">
        <v>3</v>
      </c>
      <c r="E83" s="35" t="s">
        <v>362</v>
      </c>
      <c r="F83">
        <v>2797</v>
      </c>
      <c r="G83">
        <v>2917</v>
      </c>
      <c r="H83">
        <v>2917</v>
      </c>
      <c r="I83">
        <v>18.698717948717949</v>
      </c>
    </row>
    <row r="84" spans="1:9" x14ac:dyDescent="0.45">
      <c r="A84" s="988"/>
      <c r="B84" s="35">
        <v>4</v>
      </c>
      <c r="C84" s="35">
        <v>18</v>
      </c>
      <c r="D84" s="35">
        <v>4</v>
      </c>
      <c r="E84" s="35" t="s">
        <v>363</v>
      </c>
      <c r="F84">
        <v>2870</v>
      </c>
      <c r="G84">
        <v>2990</v>
      </c>
      <c r="H84">
        <v>2990</v>
      </c>
      <c r="I84">
        <v>19.166666666666671</v>
      </c>
    </row>
    <row r="85" spans="1:9" x14ac:dyDescent="0.45">
      <c r="A85" s="988"/>
      <c r="B85" s="35">
        <v>5</v>
      </c>
      <c r="C85" s="35">
        <v>19</v>
      </c>
      <c r="D85" s="35">
        <v>5</v>
      </c>
      <c r="E85" s="35" t="s">
        <v>364</v>
      </c>
      <c r="F85">
        <v>2937</v>
      </c>
      <c r="G85">
        <v>3057</v>
      </c>
      <c r="H85">
        <v>3057</v>
      </c>
      <c r="I85">
        <v>19.59615384615385</v>
      </c>
    </row>
    <row r="86" spans="1:9" x14ac:dyDescent="0.45">
      <c r="A86" s="988"/>
      <c r="B86" s="35">
        <v>6</v>
      </c>
      <c r="C86" s="35">
        <v>20</v>
      </c>
      <c r="D86" s="35">
        <v>6</v>
      </c>
      <c r="E86" s="35" t="s">
        <v>365</v>
      </c>
      <c r="F86">
        <v>3007</v>
      </c>
      <c r="G86">
        <v>3127</v>
      </c>
      <c r="H86">
        <v>3127</v>
      </c>
      <c r="I86">
        <v>20.044871794871799</v>
      </c>
    </row>
    <row r="87" spans="1:9" x14ac:dyDescent="0.45">
      <c r="A87" s="988"/>
      <c r="B87" s="35">
        <v>7</v>
      </c>
      <c r="C87" s="35">
        <v>21</v>
      </c>
      <c r="D87" s="35">
        <v>7</v>
      </c>
      <c r="E87" s="35" t="s">
        <v>366</v>
      </c>
      <c r="F87">
        <v>3076</v>
      </c>
      <c r="G87">
        <v>3199</v>
      </c>
      <c r="H87">
        <v>3199</v>
      </c>
      <c r="I87">
        <v>20.506410256410259</v>
      </c>
    </row>
    <row r="88" spans="1:9" x14ac:dyDescent="0.45">
      <c r="A88" s="988"/>
      <c r="B88" s="35">
        <v>8</v>
      </c>
      <c r="C88" s="35">
        <v>22</v>
      </c>
      <c r="D88" s="35">
        <v>8</v>
      </c>
      <c r="E88" s="35" t="s">
        <v>367</v>
      </c>
      <c r="F88">
        <v>3146</v>
      </c>
      <c r="G88">
        <v>3272</v>
      </c>
      <c r="H88">
        <v>3272</v>
      </c>
      <c r="I88">
        <v>20.974358974358971</v>
      </c>
    </row>
    <row r="89" spans="1:9" x14ac:dyDescent="0.45">
      <c r="A89" s="988"/>
      <c r="B89" s="35">
        <v>9</v>
      </c>
      <c r="C89" s="35">
        <v>23</v>
      </c>
      <c r="D89" s="35">
        <v>9</v>
      </c>
      <c r="E89" s="35" t="s">
        <v>368</v>
      </c>
      <c r="F89">
        <v>3218</v>
      </c>
      <c r="G89">
        <v>3346</v>
      </c>
      <c r="H89">
        <v>3346</v>
      </c>
      <c r="I89">
        <v>21.448717948717949</v>
      </c>
    </row>
    <row r="90" spans="1:9" x14ac:dyDescent="0.45">
      <c r="A90" s="988"/>
      <c r="B90" s="35">
        <v>10</v>
      </c>
      <c r="C90" s="35">
        <v>24</v>
      </c>
      <c r="D90" s="35">
        <v>10</v>
      </c>
      <c r="E90" s="35" t="s">
        <v>369</v>
      </c>
      <c r="F90">
        <v>3293</v>
      </c>
      <c r="G90">
        <v>3425</v>
      </c>
      <c r="H90">
        <v>3425</v>
      </c>
      <c r="I90">
        <v>21.955128205128201</v>
      </c>
    </row>
    <row r="91" spans="1:9" x14ac:dyDescent="0.45">
      <c r="A91" s="988"/>
      <c r="B91" s="35">
        <v>11</v>
      </c>
      <c r="C91" s="35">
        <v>25</v>
      </c>
      <c r="D91" s="35">
        <v>11</v>
      </c>
      <c r="E91" s="35" t="s">
        <v>370</v>
      </c>
      <c r="F91">
        <v>3371</v>
      </c>
      <c r="G91">
        <v>3506</v>
      </c>
      <c r="H91">
        <v>3506</v>
      </c>
      <c r="I91">
        <v>22.474358974358971</v>
      </c>
    </row>
    <row r="92" spans="1:9" x14ac:dyDescent="0.45">
      <c r="A92" s="988"/>
      <c r="B92" s="35">
        <v>12</v>
      </c>
      <c r="C92" s="35">
        <v>26</v>
      </c>
      <c r="D92" s="35">
        <v>12</v>
      </c>
      <c r="E92" s="35" t="s">
        <v>371</v>
      </c>
      <c r="F92">
        <v>3456</v>
      </c>
      <c r="G92">
        <v>3594</v>
      </c>
      <c r="H92">
        <v>3594</v>
      </c>
      <c r="I92">
        <v>23.03846153846154</v>
      </c>
    </row>
    <row r="93" spans="1:9" x14ac:dyDescent="0.45">
      <c r="A93" s="988"/>
      <c r="B93" s="35">
        <v>13</v>
      </c>
      <c r="C93" s="35">
        <v>27</v>
      </c>
      <c r="D93" s="35">
        <v>13</v>
      </c>
      <c r="E93" s="35" t="s">
        <v>372</v>
      </c>
      <c r="F93">
        <v>3541</v>
      </c>
      <c r="G93">
        <v>3682</v>
      </c>
      <c r="H93">
        <v>3682</v>
      </c>
      <c r="I93">
        <v>23.602564102564099</v>
      </c>
    </row>
    <row r="94" spans="1:9" x14ac:dyDescent="0.45">
      <c r="A94" s="988">
        <v>44</v>
      </c>
      <c r="B94" s="35">
        <v>1</v>
      </c>
      <c r="C94" s="35">
        <v>12</v>
      </c>
      <c r="D94" s="35">
        <v>1</v>
      </c>
      <c r="E94" s="35" t="s">
        <v>373</v>
      </c>
      <c r="F94">
        <v>2451</v>
      </c>
      <c r="G94">
        <v>2571</v>
      </c>
      <c r="H94">
        <v>2571</v>
      </c>
      <c r="I94">
        <v>16.48076923076923</v>
      </c>
    </row>
    <row r="95" spans="1:9" x14ac:dyDescent="0.45">
      <c r="A95" s="988"/>
      <c r="B95" s="35">
        <v>2</v>
      </c>
      <c r="C95" s="35">
        <v>14</v>
      </c>
      <c r="D95" s="35">
        <v>2</v>
      </c>
      <c r="E95" s="35" t="s">
        <v>374</v>
      </c>
      <c r="F95">
        <v>2595</v>
      </c>
      <c r="G95">
        <v>2715</v>
      </c>
      <c r="H95">
        <v>2715</v>
      </c>
      <c r="I95">
        <v>17.40384615384615</v>
      </c>
    </row>
    <row r="96" spans="1:9" x14ac:dyDescent="0.45">
      <c r="A96" s="988"/>
      <c r="B96" s="35">
        <v>3</v>
      </c>
      <c r="C96" s="35">
        <v>16</v>
      </c>
      <c r="D96" s="35">
        <v>3</v>
      </c>
      <c r="E96" s="35" t="s">
        <v>375</v>
      </c>
      <c r="F96">
        <v>2737</v>
      </c>
      <c r="G96">
        <v>2857</v>
      </c>
      <c r="H96">
        <v>2857</v>
      </c>
      <c r="I96">
        <v>18.314102564102569</v>
      </c>
    </row>
    <row r="97" spans="1:9" x14ac:dyDescent="0.45">
      <c r="A97" s="988">
        <v>45</v>
      </c>
      <c r="B97" s="35">
        <v>1</v>
      </c>
      <c r="C97" s="35">
        <v>18</v>
      </c>
      <c r="D97" s="35">
        <v>1</v>
      </c>
      <c r="E97" s="35" t="s">
        <v>376</v>
      </c>
      <c r="F97">
        <v>2870</v>
      </c>
      <c r="G97">
        <v>2990</v>
      </c>
      <c r="H97">
        <v>2990</v>
      </c>
      <c r="I97">
        <v>19.166666666666671</v>
      </c>
    </row>
    <row r="98" spans="1:9" x14ac:dyDescent="0.45">
      <c r="A98" s="988"/>
      <c r="B98" s="35">
        <v>2</v>
      </c>
      <c r="C98" s="35">
        <v>20</v>
      </c>
      <c r="D98" s="35">
        <v>2</v>
      </c>
      <c r="E98" s="35" t="s">
        <v>377</v>
      </c>
      <c r="F98">
        <v>3007</v>
      </c>
      <c r="G98">
        <v>3127</v>
      </c>
      <c r="H98">
        <v>3127</v>
      </c>
      <c r="I98">
        <v>20.044871794871799</v>
      </c>
    </row>
    <row r="99" spans="1:9" x14ac:dyDescent="0.45">
      <c r="A99" s="988"/>
      <c r="B99" s="35">
        <v>3</v>
      </c>
      <c r="C99" s="35">
        <v>21</v>
      </c>
      <c r="D99" s="35">
        <v>3</v>
      </c>
      <c r="E99" s="35" t="s">
        <v>378</v>
      </c>
      <c r="F99">
        <v>3076</v>
      </c>
      <c r="G99">
        <v>3199</v>
      </c>
      <c r="H99">
        <v>3199</v>
      </c>
      <c r="I99">
        <v>20.506410256410259</v>
      </c>
    </row>
    <row r="100" spans="1:9" x14ac:dyDescent="0.45">
      <c r="A100" s="988"/>
      <c r="B100" s="35">
        <v>4</v>
      </c>
      <c r="C100" s="35">
        <v>22</v>
      </c>
      <c r="D100" s="35">
        <v>4</v>
      </c>
      <c r="E100" s="35" t="s">
        <v>379</v>
      </c>
      <c r="F100">
        <v>3146</v>
      </c>
      <c r="G100">
        <v>3272</v>
      </c>
      <c r="H100">
        <v>3272</v>
      </c>
      <c r="I100">
        <v>20.974358974358971</v>
      </c>
    </row>
    <row r="101" spans="1:9" x14ac:dyDescent="0.45">
      <c r="A101" s="988"/>
      <c r="B101" s="35">
        <v>5</v>
      </c>
      <c r="C101" s="35">
        <v>23</v>
      </c>
      <c r="D101" s="35">
        <v>5</v>
      </c>
      <c r="E101" s="35" t="s">
        <v>380</v>
      </c>
      <c r="F101">
        <v>3218</v>
      </c>
      <c r="G101">
        <v>3346</v>
      </c>
      <c r="H101">
        <v>3346</v>
      </c>
      <c r="I101">
        <v>21.448717948717949</v>
      </c>
    </row>
    <row r="102" spans="1:9" x14ac:dyDescent="0.45">
      <c r="A102" s="988"/>
      <c r="B102" s="35">
        <v>6</v>
      </c>
      <c r="C102" s="35">
        <v>24</v>
      </c>
      <c r="D102" s="35">
        <v>6</v>
      </c>
      <c r="E102" s="35" t="s">
        <v>381</v>
      </c>
      <c r="F102">
        <v>3293</v>
      </c>
      <c r="G102">
        <v>3425</v>
      </c>
      <c r="H102">
        <v>3425</v>
      </c>
      <c r="I102">
        <v>21.955128205128201</v>
      </c>
    </row>
    <row r="103" spans="1:9" x14ac:dyDescent="0.45">
      <c r="A103" s="988"/>
      <c r="B103" s="35">
        <v>7</v>
      </c>
      <c r="C103" s="35">
        <v>25</v>
      </c>
      <c r="D103" s="35">
        <v>7</v>
      </c>
      <c r="E103" s="35" t="s">
        <v>382</v>
      </c>
      <c r="F103">
        <v>3371</v>
      </c>
      <c r="G103">
        <v>3506</v>
      </c>
      <c r="H103">
        <v>3506</v>
      </c>
      <c r="I103">
        <v>22.474358974358971</v>
      </c>
    </row>
    <row r="104" spans="1:9" x14ac:dyDescent="0.45">
      <c r="A104" s="988"/>
      <c r="B104" s="35">
        <v>8</v>
      </c>
      <c r="C104" s="35">
        <v>26</v>
      </c>
      <c r="D104" s="35">
        <v>8</v>
      </c>
      <c r="E104" s="35" t="s">
        <v>383</v>
      </c>
      <c r="F104">
        <v>3456</v>
      </c>
      <c r="G104">
        <v>3594</v>
      </c>
      <c r="H104">
        <v>3594</v>
      </c>
      <c r="I104">
        <v>23.03846153846154</v>
      </c>
    </row>
    <row r="105" spans="1:9" x14ac:dyDescent="0.45">
      <c r="A105" s="988"/>
      <c r="B105" s="35">
        <v>9</v>
      </c>
      <c r="C105" s="35">
        <v>27</v>
      </c>
      <c r="D105" s="35">
        <v>9</v>
      </c>
      <c r="E105" s="35" t="s">
        <v>384</v>
      </c>
      <c r="F105">
        <v>3541</v>
      </c>
      <c r="G105">
        <v>3682</v>
      </c>
      <c r="H105">
        <v>3682</v>
      </c>
      <c r="I105">
        <v>23.602564102564099</v>
      </c>
    </row>
    <row r="106" spans="1:9" x14ac:dyDescent="0.45">
      <c r="A106" s="988"/>
      <c r="B106" s="35">
        <v>10</v>
      </c>
      <c r="C106" s="35">
        <v>28</v>
      </c>
      <c r="D106" s="35">
        <v>10</v>
      </c>
      <c r="E106" s="35" t="s">
        <v>385</v>
      </c>
      <c r="F106">
        <v>3616</v>
      </c>
      <c r="G106">
        <v>3760</v>
      </c>
      <c r="H106">
        <v>3760</v>
      </c>
      <c r="I106">
        <v>24.102564102564099</v>
      </c>
    </row>
    <row r="107" spans="1:9" x14ac:dyDescent="0.45">
      <c r="A107" s="988"/>
      <c r="B107" s="35">
        <v>11</v>
      </c>
      <c r="C107" s="35">
        <v>29</v>
      </c>
      <c r="D107" s="35">
        <v>11</v>
      </c>
      <c r="E107" s="35" t="s">
        <v>386</v>
      </c>
      <c r="F107">
        <v>3701</v>
      </c>
      <c r="G107">
        <v>3849</v>
      </c>
      <c r="H107">
        <v>3849</v>
      </c>
      <c r="I107">
        <v>24.67307692307692</v>
      </c>
    </row>
    <row r="108" spans="1:9" x14ac:dyDescent="0.45">
      <c r="A108" s="988"/>
      <c r="B108" s="35">
        <v>12</v>
      </c>
      <c r="C108" s="35">
        <v>30</v>
      </c>
      <c r="D108" s="35">
        <v>12</v>
      </c>
      <c r="E108" s="35" t="s">
        <v>387</v>
      </c>
      <c r="F108">
        <v>3784</v>
      </c>
      <c r="G108">
        <v>3935</v>
      </c>
      <c r="H108">
        <v>3935</v>
      </c>
      <c r="I108">
        <v>25.224358974358971</v>
      </c>
    </row>
    <row r="109" spans="1:9" x14ac:dyDescent="0.45">
      <c r="A109" s="988"/>
      <c r="B109" s="35">
        <v>13</v>
      </c>
      <c r="C109" s="35">
        <v>31</v>
      </c>
      <c r="D109" s="35">
        <v>13</v>
      </c>
      <c r="E109" s="35" t="s">
        <v>388</v>
      </c>
      <c r="F109">
        <v>3863</v>
      </c>
      <c r="G109">
        <v>4017</v>
      </c>
      <c r="H109">
        <v>4017</v>
      </c>
      <c r="I109">
        <v>25.75</v>
      </c>
    </row>
    <row r="110" spans="1:9" x14ac:dyDescent="0.45">
      <c r="A110" s="988">
        <v>49</v>
      </c>
      <c r="B110" s="35">
        <v>1</v>
      </c>
      <c r="C110" s="35">
        <v>16</v>
      </c>
      <c r="D110" s="35">
        <v>1</v>
      </c>
      <c r="E110" s="35" t="s">
        <v>389</v>
      </c>
      <c r="F110">
        <v>2737</v>
      </c>
      <c r="G110">
        <v>2857</v>
      </c>
      <c r="H110">
        <v>2857</v>
      </c>
      <c r="I110">
        <v>18.314102564102569</v>
      </c>
    </row>
    <row r="111" spans="1:9" x14ac:dyDescent="0.45">
      <c r="A111" s="988"/>
      <c r="B111" s="35">
        <v>2</v>
      </c>
      <c r="C111" s="35">
        <v>18</v>
      </c>
      <c r="D111" s="35">
        <v>2</v>
      </c>
      <c r="E111" s="35" t="s">
        <v>390</v>
      </c>
      <c r="F111">
        <v>2870</v>
      </c>
      <c r="G111">
        <v>2990</v>
      </c>
      <c r="H111">
        <v>2990</v>
      </c>
      <c r="I111">
        <v>19.166666666666671</v>
      </c>
    </row>
    <row r="112" spans="1:9" x14ac:dyDescent="0.45">
      <c r="A112" s="988"/>
      <c r="B112" s="35">
        <v>3</v>
      </c>
      <c r="C112" s="35">
        <v>20</v>
      </c>
      <c r="D112" s="35">
        <v>3</v>
      </c>
      <c r="E112" s="35" t="s">
        <v>391</v>
      </c>
      <c r="F112">
        <v>3007</v>
      </c>
      <c r="G112">
        <v>3127</v>
      </c>
      <c r="H112">
        <v>3127</v>
      </c>
      <c r="I112">
        <v>20.044871794871799</v>
      </c>
    </row>
    <row r="113" spans="1:9" x14ac:dyDescent="0.45">
      <c r="A113" s="988"/>
      <c r="B113" s="35">
        <v>4</v>
      </c>
      <c r="C113" s="35">
        <v>22</v>
      </c>
      <c r="D113" s="35">
        <v>4</v>
      </c>
      <c r="E113" s="35" t="s">
        <v>392</v>
      </c>
      <c r="F113">
        <v>3146</v>
      </c>
      <c r="G113">
        <v>3272</v>
      </c>
      <c r="H113">
        <v>3272</v>
      </c>
      <c r="I113">
        <v>20.974358974358971</v>
      </c>
    </row>
    <row r="114" spans="1:9" x14ac:dyDescent="0.45">
      <c r="A114" s="988">
        <v>50</v>
      </c>
      <c r="B114" s="35">
        <v>1</v>
      </c>
      <c r="C114" s="35">
        <v>23</v>
      </c>
      <c r="D114" s="35">
        <v>1</v>
      </c>
      <c r="E114" s="35" t="s">
        <v>393</v>
      </c>
      <c r="F114">
        <v>3218</v>
      </c>
      <c r="G114">
        <v>3346</v>
      </c>
      <c r="H114">
        <v>3346</v>
      </c>
      <c r="I114">
        <v>21.448717948717949</v>
      </c>
    </row>
    <row r="115" spans="1:9" x14ac:dyDescent="0.45">
      <c r="A115" s="988"/>
      <c r="B115" s="35">
        <v>2</v>
      </c>
      <c r="C115" s="35">
        <v>25</v>
      </c>
      <c r="D115" s="35">
        <v>2</v>
      </c>
      <c r="E115" s="35" t="s">
        <v>394</v>
      </c>
      <c r="F115">
        <v>3371</v>
      </c>
      <c r="G115">
        <v>3506</v>
      </c>
      <c r="H115">
        <v>3506</v>
      </c>
      <c r="I115">
        <v>22.474358974358971</v>
      </c>
    </row>
    <row r="116" spans="1:9" x14ac:dyDescent="0.45">
      <c r="A116" s="988"/>
      <c r="B116" s="35">
        <v>3</v>
      </c>
      <c r="C116" s="35">
        <v>27</v>
      </c>
      <c r="D116" s="35">
        <v>3</v>
      </c>
      <c r="E116" s="35" t="s">
        <v>395</v>
      </c>
      <c r="F116">
        <v>3541</v>
      </c>
      <c r="G116">
        <v>3682</v>
      </c>
      <c r="H116">
        <v>3682</v>
      </c>
      <c r="I116">
        <v>23.602564102564099</v>
      </c>
    </row>
    <row r="117" spans="1:9" x14ac:dyDescent="0.45">
      <c r="A117" s="988"/>
      <c r="B117" s="35">
        <v>4</v>
      </c>
      <c r="C117" s="35">
        <v>28</v>
      </c>
      <c r="D117" s="35">
        <v>4</v>
      </c>
      <c r="E117" s="35" t="s">
        <v>396</v>
      </c>
      <c r="F117">
        <v>3616</v>
      </c>
      <c r="G117">
        <v>3760</v>
      </c>
      <c r="H117">
        <v>3760</v>
      </c>
      <c r="I117">
        <v>24.102564102564099</v>
      </c>
    </row>
    <row r="118" spans="1:9" x14ac:dyDescent="0.45">
      <c r="A118" s="988"/>
      <c r="B118" s="35">
        <v>5</v>
      </c>
      <c r="C118" s="35">
        <v>29</v>
      </c>
      <c r="D118" s="35">
        <v>5</v>
      </c>
      <c r="E118" s="35" t="s">
        <v>397</v>
      </c>
      <c r="F118">
        <v>3701</v>
      </c>
      <c r="G118">
        <v>3849</v>
      </c>
      <c r="H118">
        <v>3849</v>
      </c>
      <c r="I118">
        <v>24.67307692307692</v>
      </c>
    </row>
    <row r="119" spans="1:9" x14ac:dyDescent="0.45">
      <c r="A119" s="988"/>
      <c r="B119" s="35">
        <v>6</v>
      </c>
      <c r="C119" s="35">
        <v>30</v>
      </c>
      <c r="D119" s="35">
        <v>6</v>
      </c>
      <c r="E119" s="35" t="s">
        <v>398</v>
      </c>
      <c r="F119">
        <v>3784</v>
      </c>
      <c r="G119">
        <v>3935</v>
      </c>
      <c r="H119">
        <v>3935</v>
      </c>
      <c r="I119">
        <v>25.224358974358971</v>
      </c>
    </row>
    <row r="120" spans="1:9" x14ac:dyDescent="0.45">
      <c r="A120" s="988"/>
      <c r="B120" s="35">
        <v>7</v>
      </c>
      <c r="C120" s="35">
        <v>31</v>
      </c>
      <c r="D120" s="35">
        <v>7</v>
      </c>
      <c r="E120" s="35" t="s">
        <v>399</v>
      </c>
      <c r="F120">
        <v>3863</v>
      </c>
      <c r="G120">
        <v>4017</v>
      </c>
      <c r="H120">
        <v>4017</v>
      </c>
      <c r="I120">
        <v>25.75</v>
      </c>
    </row>
    <row r="121" spans="1:9" x14ac:dyDescent="0.45">
      <c r="A121" s="988"/>
      <c r="B121" s="35">
        <v>8</v>
      </c>
      <c r="C121" s="35">
        <v>32</v>
      </c>
      <c r="D121" s="35">
        <v>8</v>
      </c>
      <c r="E121" s="35" t="s">
        <v>400</v>
      </c>
      <c r="F121">
        <v>3942</v>
      </c>
      <c r="G121">
        <v>4100</v>
      </c>
      <c r="H121">
        <v>4100</v>
      </c>
      <c r="I121">
        <v>26.282051282051281</v>
      </c>
    </row>
    <row r="122" spans="1:9" x14ac:dyDescent="0.45">
      <c r="A122" s="988"/>
      <c r="B122" s="35">
        <v>9</v>
      </c>
      <c r="C122" s="35">
        <v>33</v>
      </c>
      <c r="D122" s="35">
        <v>9</v>
      </c>
      <c r="E122" s="35" t="s">
        <v>401</v>
      </c>
      <c r="F122">
        <v>4024</v>
      </c>
      <c r="G122">
        <v>4185</v>
      </c>
      <c r="H122">
        <v>4185</v>
      </c>
      <c r="I122">
        <v>26.82692307692308</v>
      </c>
    </row>
    <row r="123" spans="1:9" x14ac:dyDescent="0.45">
      <c r="A123" s="988"/>
      <c r="B123" s="35">
        <v>10</v>
      </c>
      <c r="C123" s="35">
        <v>34</v>
      </c>
      <c r="D123" s="35">
        <v>10</v>
      </c>
      <c r="E123" s="35" t="s">
        <v>402</v>
      </c>
      <c r="F123">
        <v>4108</v>
      </c>
      <c r="G123">
        <v>4272</v>
      </c>
      <c r="H123">
        <v>4272</v>
      </c>
      <c r="I123">
        <v>27.38461538461538</v>
      </c>
    </row>
    <row r="124" spans="1:9" x14ac:dyDescent="0.45">
      <c r="A124" s="988"/>
      <c r="B124" s="35">
        <v>11</v>
      </c>
      <c r="C124" s="35">
        <v>35</v>
      </c>
      <c r="D124" s="35">
        <v>11</v>
      </c>
      <c r="E124" s="35" t="s">
        <v>403</v>
      </c>
      <c r="F124">
        <v>4185</v>
      </c>
      <c r="G124">
        <v>4352</v>
      </c>
      <c r="H124">
        <v>4352</v>
      </c>
      <c r="I124">
        <v>27.897435897435901</v>
      </c>
    </row>
    <row r="125" spans="1:9" x14ac:dyDescent="0.45">
      <c r="A125" s="988"/>
      <c r="B125" s="35">
        <v>12</v>
      </c>
      <c r="C125" s="35">
        <v>36</v>
      </c>
      <c r="D125" s="35">
        <v>12</v>
      </c>
      <c r="E125" s="35" t="s">
        <v>404</v>
      </c>
      <c r="F125">
        <v>4263</v>
      </c>
      <c r="G125">
        <v>4434</v>
      </c>
      <c r="H125">
        <v>4434</v>
      </c>
      <c r="I125">
        <v>28.42307692307692</v>
      </c>
    </row>
    <row r="126" spans="1:9" x14ac:dyDescent="0.45">
      <c r="A126" s="988">
        <v>54</v>
      </c>
      <c r="B126" s="35">
        <v>1</v>
      </c>
      <c r="C126" s="35">
        <v>21</v>
      </c>
      <c r="D126" s="35">
        <v>1</v>
      </c>
      <c r="E126" s="35" t="s">
        <v>405</v>
      </c>
      <c r="F126">
        <v>3076</v>
      </c>
      <c r="G126">
        <v>3199</v>
      </c>
      <c r="H126">
        <v>3199</v>
      </c>
      <c r="I126">
        <v>20.506410256410259</v>
      </c>
    </row>
    <row r="127" spans="1:9" x14ac:dyDescent="0.45">
      <c r="A127" s="988"/>
      <c r="B127" s="35">
        <v>2</v>
      </c>
      <c r="C127" s="35">
        <v>23</v>
      </c>
      <c r="D127" s="35">
        <v>2</v>
      </c>
      <c r="E127" s="35" t="s">
        <v>406</v>
      </c>
      <c r="F127">
        <v>3218</v>
      </c>
      <c r="G127">
        <v>3346</v>
      </c>
      <c r="H127">
        <v>3346</v>
      </c>
      <c r="I127">
        <v>21.448717948717949</v>
      </c>
    </row>
    <row r="128" spans="1:9" x14ac:dyDescent="0.45">
      <c r="A128" s="988"/>
      <c r="B128" s="35">
        <v>3</v>
      </c>
      <c r="C128" s="35">
        <v>25</v>
      </c>
      <c r="D128" s="35">
        <v>3</v>
      </c>
      <c r="E128" s="35" t="s">
        <v>407</v>
      </c>
      <c r="F128">
        <v>3371</v>
      </c>
      <c r="G128">
        <v>3506</v>
      </c>
      <c r="H128">
        <v>3506</v>
      </c>
      <c r="I128">
        <v>22.474358974358971</v>
      </c>
    </row>
    <row r="129" spans="1:9" x14ac:dyDescent="0.45">
      <c r="A129" s="988"/>
      <c r="B129" s="35">
        <v>4</v>
      </c>
      <c r="C129" s="35">
        <v>27</v>
      </c>
      <c r="D129" s="35">
        <v>4</v>
      </c>
      <c r="E129" s="35" t="s">
        <v>408</v>
      </c>
      <c r="F129">
        <v>3541</v>
      </c>
      <c r="G129">
        <v>3682</v>
      </c>
      <c r="H129">
        <v>3682</v>
      </c>
      <c r="I129">
        <v>23.602564102564099</v>
      </c>
    </row>
    <row r="130" spans="1:9" x14ac:dyDescent="0.45">
      <c r="A130" s="988">
        <v>55</v>
      </c>
      <c r="B130" s="35">
        <v>1</v>
      </c>
      <c r="C130" s="35">
        <v>28</v>
      </c>
      <c r="D130" s="35">
        <v>1</v>
      </c>
      <c r="E130" s="35" t="s">
        <v>409</v>
      </c>
      <c r="F130">
        <v>3616</v>
      </c>
      <c r="G130">
        <v>3760</v>
      </c>
      <c r="H130">
        <v>3760</v>
      </c>
      <c r="I130">
        <v>24.102564102564099</v>
      </c>
    </row>
    <row r="131" spans="1:9" x14ac:dyDescent="0.45">
      <c r="A131" s="988"/>
      <c r="B131" s="35">
        <v>2</v>
      </c>
      <c r="C131" s="35">
        <v>30</v>
      </c>
      <c r="D131" s="35">
        <v>2</v>
      </c>
      <c r="E131" s="35" t="s">
        <v>410</v>
      </c>
      <c r="F131">
        <v>3784</v>
      </c>
      <c r="G131">
        <v>3935</v>
      </c>
      <c r="H131">
        <v>3935</v>
      </c>
      <c r="I131">
        <v>25.224358974358971</v>
      </c>
    </row>
    <row r="132" spans="1:9" x14ac:dyDescent="0.45">
      <c r="A132" s="988"/>
      <c r="B132" s="35">
        <v>3</v>
      </c>
      <c r="C132" s="35">
        <v>32</v>
      </c>
      <c r="D132" s="35">
        <v>3</v>
      </c>
      <c r="E132" s="35" t="s">
        <v>411</v>
      </c>
      <c r="F132">
        <v>3942</v>
      </c>
      <c r="G132">
        <v>4100</v>
      </c>
      <c r="H132">
        <v>4100</v>
      </c>
      <c r="I132">
        <v>26.282051282051281</v>
      </c>
    </row>
    <row r="133" spans="1:9" x14ac:dyDescent="0.45">
      <c r="A133" s="988"/>
      <c r="B133" s="35">
        <v>4</v>
      </c>
      <c r="C133" s="35">
        <v>34</v>
      </c>
      <c r="D133" s="35">
        <v>4</v>
      </c>
      <c r="E133" s="35" t="s">
        <v>412</v>
      </c>
      <c r="F133">
        <v>4108</v>
      </c>
      <c r="G133">
        <v>4272</v>
      </c>
      <c r="H133">
        <v>4272</v>
      </c>
      <c r="I133">
        <v>27.38461538461538</v>
      </c>
    </row>
    <row r="134" spans="1:9" x14ac:dyDescent="0.45">
      <c r="A134" s="988"/>
      <c r="B134" s="35">
        <v>5</v>
      </c>
      <c r="C134" s="35">
        <v>35</v>
      </c>
      <c r="D134" s="35">
        <v>5</v>
      </c>
      <c r="E134" s="35" t="s">
        <v>413</v>
      </c>
      <c r="F134">
        <v>4185</v>
      </c>
      <c r="G134">
        <v>4352</v>
      </c>
      <c r="H134">
        <v>4352</v>
      </c>
      <c r="I134">
        <v>27.897435897435901</v>
      </c>
    </row>
    <row r="135" spans="1:9" x14ac:dyDescent="0.45">
      <c r="A135" s="988"/>
      <c r="B135" s="35">
        <v>6</v>
      </c>
      <c r="C135" s="35">
        <v>36</v>
      </c>
      <c r="D135" s="35">
        <v>6</v>
      </c>
      <c r="E135" s="35" t="s">
        <v>414</v>
      </c>
      <c r="F135">
        <v>4263</v>
      </c>
      <c r="G135">
        <v>4434</v>
      </c>
      <c r="H135">
        <v>4434</v>
      </c>
      <c r="I135">
        <v>28.42307692307692</v>
      </c>
    </row>
    <row r="136" spans="1:9" x14ac:dyDescent="0.45">
      <c r="A136" s="988"/>
      <c r="B136" s="35">
        <v>7</v>
      </c>
      <c r="C136" s="35">
        <v>37</v>
      </c>
      <c r="D136" s="35">
        <v>7</v>
      </c>
      <c r="E136" s="35" t="s">
        <v>415</v>
      </c>
      <c r="F136">
        <v>4351</v>
      </c>
      <c r="G136">
        <v>4525</v>
      </c>
      <c r="H136">
        <v>4525</v>
      </c>
      <c r="I136">
        <v>29.006410256410259</v>
      </c>
    </row>
    <row r="137" spans="1:9" x14ac:dyDescent="0.45">
      <c r="A137" s="988"/>
      <c r="B137" s="35">
        <v>8</v>
      </c>
      <c r="C137" s="35">
        <v>38</v>
      </c>
      <c r="D137" s="35">
        <v>8</v>
      </c>
      <c r="E137" s="35" t="s">
        <v>416</v>
      </c>
      <c r="F137">
        <v>4442</v>
      </c>
      <c r="G137">
        <v>4619</v>
      </c>
      <c r="H137">
        <v>4619</v>
      </c>
      <c r="I137">
        <v>29.608974358974361</v>
      </c>
    </row>
    <row r="138" spans="1:9" x14ac:dyDescent="0.45">
      <c r="A138" s="988"/>
      <c r="B138" s="35">
        <v>9</v>
      </c>
      <c r="C138" s="35">
        <v>39</v>
      </c>
      <c r="D138" s="35">
        <v>9</v>
      </c>
      <c r="E138" s="35" t="s">
        <v>417</v>
      </c>
      <c r="F138">
        <v>4531</v>
      </c>
      <c r="G138">
        <v>4712</v>
      </c>
      <c r="H138">
        <v>4712</v>
      </c>
      <c r="I138">
        <v>30.205128205128201</v>
      </c>
    </row>
    <row r="139" spans="1:9" x14ac:dyDescent="0.45">
      <c r="A139" s="988"/>
      <c r="B139" s="35">
        <v>10</v>
      </c>
      <c r="C139" s="35">
        <v>40</v>
      </c>
      <c r="D139" s="35">
        <v>10</v>
      </c>
      <c r="E139" s="35" t="s">
        <v>418</v>
      </c>
      <c r="F139">
        <v>4611</v>
      </c>
      <c r="G139">
        <v>4795</v>
      </c>
      <c r="H139">
        <v>4795</v>
      </c>
      <c r="I139">
        <v>30.737179487179489</v>
      </c>
    </row>
    <row r="140" spans="1:9" x14ac:dyDescent="0.45">
      <c r="A140" s="988"/>
      <c r="B140" s="35">
        <v>11</v>
      </c>
      <c r="C140" s="35">
        <v>41</v>
      </c>
      <c r="D140" s="35">
        <v>11</v>
      </c>
      <c r="E140" s="35" t="s">
        <v>419</v>
      </c>
      <c r="F140">
        <v>4699</v>
      </c>
      <c r="G140">
        <v>4887</v>
      </c>
      <c r="H140">
        <v>4887</v>
      </c>
      <c r="I140">
        <v>31.32692307692308</v>
      </c>
    </row>
    <row r="141" spans="1:9" x14ac:dyDescent="0.45">
      <c r="A141" s="988"/>
      <c r="B141" s="35">
        <v>12</v>
      </c>
      <c r="C141" s="35">
        <v>42</v>
      </c>
      <c r="D141" s="35">
        <v>12</v>
      </c>
      <c r="E141" s="35" t="s">
        <v>420</v>
      </c>
      <c r="F141">
        <v>4785</v>
      </c>
      <c r="G141">
        <v>4977</v>
      </c>
      <c r="H141">
        <v>4977</v>
      </c>
      <c r="I141">
        <v>31.90384615384615</v>
      </c>
    </row>
    <row r="142" spans="1:9" x14ac:dyDescent="0.45">
      <c r="A142" s="988">
        <v>59</v>
      </c>
      <c r="B142" s="35">
        <v>1</v>
      </c>
      <c r="C142" s="35">
        <v>27</v>
      </c>
      <c r="D142" s="35">
        <v>1</v>
      </c>
      <c r="E142" s="35" t="s">
        <v>421</v>
      </c>
      <c r="F142">
        <v>3541</v>
      </c>
      <c r="G142">
        <v>3682</v>
      </c>
      <c r="H142">
        <v>3682</v>
      </c>
      <c r="I142">
        <v>23.602564102564099</v>
      </c>
    </row>
    <row r="143" spans="1:9" x14ac:dyDescent="0.45">
      <c r="A143" s="988"/>
      <c r="B143" s="35">
        <v>2</v>
      </c>
      <c r="C143" s="35">
        <v>29</v>
      </c>
      <c r="D143" s="35">
        <v>2</v>
      </c>
      <c r="E143" s="35" t="s">
        <v>422</v>
      </c>
      <c r="F143">
        <v>3701</v>
      </c>
      <c r="G143">
        <v>3849</v>
      </c>
      <c r="H143">
        <v>3849</v>
      </c>
      <c r="I143">
        <v>24.67307692307692</v>
      </c>
    </row>
    <row r="144" spans="1:9" x14ac:dyDescent="0.45">
      <c r="A144" s="988"/>
      <c r="B144" s="35">
        <v>3</v>
      </c>
      <c r="C144" s="35">
        <v>31</v>
      </c>
      <c r="D144" s="35">
        <v>3</v>
      </c>
      <c r="E144" s="35" t="s">
        <v>423</v>
      </c>
      <c r="F144">
        <v>3863</v>
      </c>
      <c r="G144">
        <v>4017</v>
      </c>
      <c r="H144">
        <v>4017</v>
      </c>
      <c r="I144">
        <v>25.75</v>
      </c>
    </row>
    <row r="145" spans="1:9" x14ac:dyDescent="0.45">
      <c r="A145" s="988"/>
      <c r="B145" s="35">
        <v>4</v>
      </c>
      <c r="C145" s="35">
        <v>33</v>
      </c>
      <c r="D145" s="35">
        <v>4</v>
      </c>
      <c r="E145" s="35" t="s">
        <v>424</v>
      </c>
      <c r="F145">
        <v>4024</v>
      </c>
      <c r="G145">
        <v>4185</v>
      </c>
      <c r="H145">
        <v>4185</v>
      </c>
      <c r="I145">
        <v>26.82692307692308</v>
      </c>
    </row>
    <row r="146" spans="1:9" x14ac:dyDescent="0.45">
      <c r="A146" s="988">
        <v>60</v>
      </c>
      <c r="B146" s="35">
        <v>1</v>
      </c>
      <c r="C146" s="35">
        <v>34</v>
      </c>
      <c r="D146" s="35">
        <v>1</v>
      </c>
      <c r="E146" s="35" t="s">
        <v>425</v>
      </c>
      <c r="F146">
        <v>4108</v>
      </c>
      <c r="G146">
        <v>4272</v>
      </c>
      <c r="H146">
        <v>4272</v>
      </c>
      <c r="I146">
        <v>27.38461538461538</v>
      </c>
    </row>
    <row r="147" spans="1:9" x14ac:dyDescent="0.45">
      <c r="A147" s="988"/>
      <c r="B147" s="35">
        <v>2</v>
      </c>
      <c r="C147" s="35">
        <v>36</v>
      </c>
      <c r="D147" s="35">
        <v>2</v>
      </c>
      <c r="E147" s="35" t="s">
        <v>426</v>
      </c>
      <c r="F147">
        <v>4263</v>
      </c>
      <c r="G147">
        <v>4434</v>
      </c>
      <c r="H147">
        <v>4434</v>
      </c>
      <c r="I147">
        <v>28.42307692307692</v>
      </c>
    </row>
    <row r="148" spans="1:9" x14ac:dyDescent="0.45">
      <c r="A148" s="988"/>
      <c r="B148" s="35">
        <v>3</v>
      </c>
      <c r="C148" s="35">
        <v>38</v>
      </c>
      <c r="D148" s="35">
        <v>3</v>
      </c>
      <c r="E148" s="35" t="s">
        <v>427</v>
      </c>
      <c r="F148">
        <v>4442</v>
      </c>
      <c r="G148">
        <v>4619</v>
      </c>
      <c r="H148">
        <v>4619</v>
      </c>
      <c r="I148">
        <v>29.608974358974361</v>
      </c>
    </row>
    <row r="149" spans="1:9" x14ac:dyDescent="0.45">
      <c r="A149" s="988"/>
      <c r="B149" s="35">
        <v>4</v>
      </c>
      <c r="C149" s="35">
        <v>40</v>
      </c>
      <c r="D149" s="35">
        <v>4</v>
      </c>
      <c r="E149" s="35" t="s">
        <v>428</v>
      </c>
      <c r="F149">
        <v>4611</v>
      </c>
      <c r="G149">
        <v>4795</v>
      </c>
      <c r="H149">
        <v>4795</v>
      </c>
      <c r="I149">
        <v>30.737179487179489</v>
      </c>
    </row>
    <row r="150" spans="1:9" x14ac:dyDescent="0.45">
      <c r="A150" s="988"/>
      <c r="B150" s="35">
        <v>5</v>
      </c>
      <c r="C150" s="35">
        <v>42</v>
      </c>
      <c r="D150" s="35">
        <v>5</v>
      </c>
      <c r="E150" s="35" t="s">
        <v>429</v>
      </c>
      <c r="F150">
        <v>4785</v>
      </c>
      <c r="G150">
        <v>4977</v>
      </c>
      <c r="H150">
        <v>4977</v>
      </c>
      <c r="I150">
        <v>31.90384615384615</v>
      </c>
    </row>
    <row r="151" spans="1:9" x14ac:dyDescent="0.45">
      <c r="A151" s="988"/>
      <c r="B151" s="35">
        <v>6</v>
      </c>
      <c r="C151" s="35">
        <v>44</v>
      </c>
      <c r="D151" s="35">
        <v>6</v>
      </c>
      <c r="E151" s="35" t="s">
        <v>430</v>
      </c>
      <c r="F151">
        <v>4953</v>
      </c>
      <c r="G151">
        <v>5151</v>
      </c>
      <c r="H151">
        <v>5151</v>
      </c>
      <c r="I151">
        <v>33.019230769230766</v>
      </c>
    </row>
    <row r="152" spans="1:9" x14ac:dyDescent="0.45">
      <c r="A152" s="988"/>
      <c r="B152" s="35">
        <v>7</v>
      </c>
      <c r="C152" s="35">
        <v>45</v>
      </c>
      <c r="D152" s="35">
        <v>7</v>
      </c>
      <c r="E152" s="35" t="s">
        <v>431</v>
      </c>
      <c r="F152">
        <v>5027</v>
      </c>
      <c r="G152">
        <v>5228</v>
      </c>
      <c r="H152">
        <v>5228</v>
      </c>
      <c r="I152">
        <v>33.512820512820511</v>
      </c>
    </row>
    <row r="153" spans="1:9" x14ac:dyDescent="0.45">
      <c r="A153" s="988"/>
      <c r="B153" s="35">
        <v>8</v>
      </c>
      <c r="C153" s="35">
        <v>46</v>
      </c>
      <c r="D153" s="35">
        <v>8</v>
      </c>
      <c r="E153" s="35" t="s">
        <v>432</v>
      </c>
      <c r="F153">
        <v>5103</v>
      </c>
      <c r="G153">
        <v>5307</v>
      </c>
      <c r="H153">
        <v>5307</v>
      </c>
      <c r="I153">
        <v>34.019230769230766</v>
      </c>
    </row>
    <row r="154" spans="1:9" x14ac:dyDescent="0.45">
      <c r="A154" s="988"/>
      <c r="B154" s="35">
        <v>9</v>
      </c>
      <c r="C154" s="35">
        <v>47</v>
      </c>
      <c r="D154" s="35">
        <v>9</v>
      </c>
      <c r="E154" s="35" t="s">
        <v>433</v>
      </c>
      <c r="F154">
        <v>5181</v>
      </c>
      <c r="G154">
        <v>5388</v>
      </c>
      <c r="H154">
        <v>5388</v>
      </c>
      <c r="I154">
        <v>34.53846153846154</v>
      </c>
    </row>
    <row r="155" spans="1:9" x14ac:dyDescent="0.45">
      <c r="A155" s="988"/>
      <c r="B155" s="35">
        <v>10</v>
      </c>
      <c r="C155" s="35">
        <v>48</v>
      </c>
      <c r="D155" s="35">
        <v>10</v>
      </c>
      <c r="E155" s="35" t="s">
        <v>434</v>
      </c>
      <c r="F155">
        <v>5257</v>
      </c>
      <c r="G155">
        <v>5467</v>
      </c>
      <c r="H155">
        <v>5467</v>
      </c>
      <c r="I155">
        <v>35.044871794871803</v>
      </c>
    </row>
    <row r="156" spans="1:9" x14ac:dyDescent="0.45">
      <c r="A156" s="988"/>
      <c r="B156" s="35">
        <v>11</v>
      </c>
      <c r="C156" s="35">
        <v>49</v>
      </c>
      <c r="D156" s="35">
        <v>11</v>
      </c>
      <c r="E156" s="35" t="s">
        <v>435</v>
      </c>
      <c r="F156">
        <v>5335</v>
      </c>
      <c r="G156">
        <v>5548</v>
      </c>
      <c r="H156">
        <v>5548</v>
      </c>
      <c r="I156">
        <v>35.564102564102562</v>
      </c>
    </row>
    <row r="157" spans="1:9" x14ac:dyDescent="0.45">
      <c r="A157" s="988">
        <v>64</v>
      </c>
      <c r="B157" s="35">
        <v>1</v>
      </c>
      <c r="C157" s="35">
        <v>34</v>
      </c>
      <c r="D157" s="35">
        <v>1</v>
      </c>
      <c r="E157" s="35" t="s">
        <v>436</v>
      </c>
      <c r="F157">
        <v>4108</v>
      </c>
      <c r="G157">
        <v>4272</v>
      </c>
      <c r="H157">
        <v>4272</v>
      </c>
      <c r="I157">
        <v>27.38461538461538</v>
      </c>
    </row>
    <row r="158" spans="1:9" x14ac:dyDescent="0.45">
      <c r="A158" s="988"/>
      <c r="B158" s="35">
        <v>2</v>
      </c>
      <c r="C158" s="35">
        <v>36</v>
      </c>
      <c r="D158" s="35">
        <v>2</v>
      </c>
      <c r="E158" s="35" t="s">
        <v>437</v>
      </c>
      <c r="F158">
        <v>4263</v>
      </c>
      <c r="G158">
        <v>4434</v>
      </c>
      <c r="H158">
        <v>4434</v>
      </c>
      <c r="I158">
        <v>28.42307692307692</v>
      </c>
    </row>
    <row r="159" spans="1:9" x14ac:dyDescent="0.45">
      <c r="A159" s="988"/>
      <c r="B159" s="35">
        <v>3</v>
      </c>
      <c r="C159" s="35">
        <v>38</v>
      </c>
      <c r="D159" s="35">
        <v>3</v>
      </c>
      <c r="E159" s="35" t="s">
        <v>438</v>
      </c>
      <c r="F159">
        <v>4442</v>
      </c>
      <c r="G159">
        <v>4619</v>
      </c>
      <c r="H159">
        <v>4619</v>
      </c>
      <c r="I159">
        <v>29.608974358974361</v>
      </c>
    </row>
    <row r="160" spans="1:9" x14ac:dyDescent="0.45">
      <c r="A160" s="988"/>
      <c r="B160" s="35">
        <v>4</v>
      </c>
      <c r="C160" s="35">
        <v>40</v>
      </c>
      <c r="D160" s="35">
        <v>4</v>
      </c>
      <c r="E160" s="35" t="s">
        <v>439</v>
      </c>
      <c r="F160">
        <v>4611</v>
      </c>
      <c r="G160">
        <v>4795</v>
      </c>
      <c r="H160">
        <v>4795</v>
      </c>
      <c r="I160">
        <v>30.737179487179489</v>
      </c>
    </row>
    <row r="161" spans="1:9" x14ac:dyDescent="0.45">
      <c r="A161" s="988">
        <v>65</v>
      </c>
      <c r="B161" s="35">
        <v>1</v>
      </c>
      <c r="C161" s="35">
        <v>42</v>
      </c>
      <c r="D161" s="35">
        <v>1</v>
      </c>
      <c r="E161" s="35" t="s">
        <v>440</v>
      </c>
      <c r="F161">
        <v>4785</v>
      </c>
      <c r="G161">
        <v>4977</v>
      </c>
      <c r="H161">
        <v>4977</v>
      </c>
      <c r="I161">
        <v>31.90384615384615</v>
      </c>
    </row>
    <row r="162" spans="1:9" x14ac:dyDescent="0.45">
      <c r="A162" s="988"/>
      <c r="B162" s="35">
        <v>2</v>
      </c>
      <c r="C162" s="35">
        <v>44</v>
      </c>
      <c r="D162" s="35">
        <v>2</v>
      </c>
      <c r="E162" s="35" t="s">
        <v>441</v>
      </c>
      <c r="F162">
        <v>4953</v>
      </c>
      <c r="G162">
        <v>5151</v>
      </c>
      <c r="H162">
        <v>5151</v>
      </c>
      <c r="I162">
        <v>33.019230769230766</v>
      </c>
    </row>
    <row r="163" spans="1:9" x14ac:dyDescent="0.45">
      <c r="A163" s="988"/>
      <c r="B163" s="35">
        <v>3</v>
      </c>
      <c r="C163" s="35">
        <v>46</v>
      </c>
      <c r="D163" s="35">
        <v>3</v>
      </c>
      <c r="E163" s="35" t="s">
        <v>442</v>
      </c>
      <c r="F163">
        <v>5103</v>
      </c>
      <c r="G163">
        <v>5307</v>
      </c>
      <c r="H163">
        <v>5307</v>
      </c>
      <c r="I163">
        <v>34.019230769230766</v>
      </c>
    </row>
    <row r="164" spans="1:9" x14ac:dyDescent="0.45">
      <c r="A164" s="988"/>
      <c r="B164" s="35">
        <v>4</v>
      </c>
      <c r="C164" s="35">
        <v>48</v>
      </c>
      <c r="D164" s="35">
        <v>4</v>
      </c>
      <c r="E164" s="35" t="s">
        <v>443</v>
      </c>
      <c r="F164">
        <v>5257</v>
      </c>
      <c r="G164">
        <v>5467</v>
      </c>
      <c r="H164">
        <v>5467</v>
      </c>
      <c r="I164">
        <v>35.044871794871803</v>
      </c>
    </row>
    <row r="165" spans="1:9" x14ac:dyDescent="0.45">
      <c r="A165" s="988"/>
      <c r="B165" s="35">
        <v>5</v>
      </c>
      <c r="C165" s="35">
        <v>50</v>
      </c>
      <c r="D165" s="35">
        <v>5</v>
      </c>
      <c r="E165" s="35" t="s">
        <v>444</v>
      </c>
      <c r="F165">
        <v>5413</v>
      </c>
      <c r="G165">
        <v>5629</v>
      </c>
      <c r="H165">
        <v>5629</v>
      </c>
      <c r="I165">
        <v>36.083333333333343</v>
      </c>
    </row>
    <row r="166" spans="1:9" x14ac:dyDescent="0.45">
      <c r="A166" s="988"/>
      <c r="B166" s="35">
        <v>6</v>
      </c>
      <c r="C166" s="35">
        <v>52</v>
      </c>
      <c r="D166" s="35">
        <v>6</v>
      </c>
      <c r="E166" s="35" t="s">
        <v>445</v>
      </c>
      <c r="F166">
        <v>5567</v>
      </c>
      <c r="G166">
        <v>5790</v>
      </c>
      <c r="H166">
        <v>5790</v>
      </c>
      <c r="I166">
        <v>37.115384615384613</v>
      </c>
    </row>
    <row r="167" spans="1:9" x14ac:dyDescent="0.45">
      <c r="A167" s="988"/>
      <c r="B167" s="35">
        <v>7</v>
      </c>
      <c r="C167" s="35">
        <v>54</v>
      </c>
      <c r="D167" s="35">
        <v>7</v>
      </c>
      <c r="E167" s="35" t="s">
        <v>446</v>
      </c>
      <c r="F167">
        <v>5722</v>
      </c>
      <c r="G167">
        <v>5951</v>
      </c>
      <c r="H167">
        <v>5951</v>
      </c>
      <c r="I167">
        <v>38.147435897435898</v>
      </c>
    </row>
    <row r="168" spans="1:9" x14ac:dyDescent="0.45">
      <c r="A168" s="988"/>
      <c r="B168" s="35">
        <v>8</v>
      </c>
      <c r="C168" s="35">
        <v>56</v>
      </c>
      <c r="D168" s="35">
        <v>8</v>
      </c>
      <c r="E168" s="35" t="s">
        <v>447</v>
      </c>
      <c r="F168">
        <v>5879</v>
      </c>
      <c r="G168">
        <v>6114</v>
      </c>
      <c r="H168">
        <v>6114</v>
      </c>
      <c r="I168">
        <v>39.192307692307693</v>
      </c>
    </row>
    <row r="169" spans="1:9" x14ac:dyDescent="0.45">
      <c r="A169" s="988"/>
      <c r="B169" s="35">
        <v>9</v>
      </c>
      <c r="C169" s="35">
        <v>57</v>
      </c>
      <c r="D169" s="35">
        <v>9</v>
      </c>
      <c r="E169" s="35" t="s">
        <v>448</v>
      </c>
      <c r="F169">
        <v>5954</v>
      </c>
      <c r="G169">
        <v>6192</v>
      </c>
      <c r="H169">
        <v>6192</v>
      </c>
      <c r="I169">
        <v>39.692307692307693</v>
      </c>
    </row>
    <row r="170" spans="1:9" x14ac:dyDescent="0.45">
      <c r="A170" s="988"/>
      <c r="B170" s="35">
        <v>10</v>
      </c>
      <c r="C170" s="35">
        <v>58</v>
      </c>
      <c r="D170" s="35">
        <v>10</v>
      </c>
      <c r="E170" s="35" t="s">
        <v>449</v>
      </c>
      <c r="F170">
        <v>6031</v>
      </c>
      <c r="G170">
        <v>6271</v>
      </c>
      <c r="H170">
        <v>6271</v>
      </c>
      <c r="I170">
        <v>40.198717948717949</v>
      </c>
    </row>
    <row r="171" spans="1:9" x14ac:dyDescent="0.45">
      <c r="A171" s="988"/>
      <c r="B171" s="35">
        <v>11</v>
      </c>
      <c r="C171" s="35">
        <v>59</v>
      </c>
      <c r="D171" s="35">
        <v>11</v>
      </c>
      <c r="E171" s="35" t="s">
        <v>450</v>
      </c>
      <c r="F171">
        <v>6111</v>
      </c>
      <c r="G171">
        <v>6351</v>
      </c>
      <c r="H171">
        <v>6351</v>
      </c>
      <c r="I171">
        <v>40.71153846153846</v>
      </c>
    </row>
    <row r="172" spans="1:9" x14ac:dyDescent="0.45">
      <c r="A172" s="988"/>
      <c r="B172" s="35">
        <v>12</v>
      </c>
      <c r="C172" s="35">
        <v>60</v>
      </c>
      <c r="D172" s="35">
        <v>12</v>
      </c>
      <c r="E172" s="35" t="s">
        <v>451</v>
      </c>
      <c r="F172">
        <v>6187</v>
      </c>
      <c r="G172">
        <v>6427</v>
      </c>
      <c r="H172">
        <v>6427</v>
      </c>
      <c r="I172">
        <v>41.198717948717949</v>
      </c>
    </row>
    <row r="173" spans="1:9" x14ac:dyDescent="0.45">
      <c r="A173" s="988"/>
      <c r="B173" s="35">
        <v>13</v>
      </c>
      <c r="C173" s="35">
        <v>61</v>
      </c>
      <c r="D173" s="35">
        <v>13</v>
      </c>
      <c r="E173" s="35" t="s">
        <v>452</v>
      </c>
      <c r="F173">
        <v>6264</v>
      </c>
      <c r="G173">
        <v>6504</v>
      </c>
      <c r="H173">
        <v>6504</v>
      </c>
      <c r="I173">
        <v>41.692307692307693</v>
      </c>
    </row>
    <row r="174" spans="1:9" x14ac:dyDescent="0.45">
      <c r="A174" s="988">
        <v>69</v>
      </c>
      <c r="B174" s="35">
        <v>0</v>
      </c>
      <c r="C174" s="35">
        <v>42</v>
      </c>
      <c r="D174" s="35">
        <v>0</v>
      </c>
      <c r="E174" s="35" t="s">
        <v>453</v>
      </c>
      <c r="F174">
        <v>4785</v>
      </c>
      <c r="G174">
        <v>4977</v>
      </c>
      <c r="H174">
        <v>4977</v>
      </c>
      <c r="I174">
        <v>31.90384615384615</v>
      </c>
    </row>
    <row r="175" spans="1:9" x14ac:dyDescent="0.45">
      <c r="A175" s="988"/>
      <c r="B175" s="35">
        <v>1</v>
      </c>
      <c r="C175" s="35">
        <v>44</v>
      </c>
      <c r="D175" s="35">
        <v>1</v>
      </c>
      <c r="E175" s="35" t="s">
        <v>454</v>
      </c>
      <c r="F175">
        <v>4953</v>
      </c>
      <c r="G175">
        <v>5151</v>
      </c>
      <c r="H175">
        <v>5151</v>
      </c>
      <c r="I175">
        <v>33.019230769230766</v>
      </c>
    </row>
    <row r="176" spans="1:9" x14ac:dyDescent="0.45">
      <c r="A176" s="988"/>
      <c r="B176" s="35">
        <v>2</v>
      </c>
      <c r="C176" s="35">
        <v>46</v>
      </c>
      <c r="D176" s="35">
        <v>2</v>
      </c>
      <c r="E176" s="35" t="s">
        <v>455</v>
      </c>
      <c r="F176">
        <v>5103</v>
      </c>
      <c r="G176">
        <v>5307</v>
      </c>
      <c r="H176">
        <v>5307</v>
      </c>
      <c r="I176">
        <v>34.019230769230766</v>
      </c>
    </row>
    <row r="177" spans="1:9" x14ac:dyDescent="0.45">
      <c r="A177" s="988"/>
      <c r="B177" s="35">
        <v>3</v>
      </c>
      <c r="C177" s="35">
        <v>48</v>
      </c>
      <c r="D177" s="35">
        <v>3</v>
      </c>
      <c r="E177" s="35" t="s">
        <v>456</v>
      </c>
      <c r="F177">
        <v>5257</v>
      </c>
      <c r="G177">
        <v>5467</v>
      </c>
      <c r="H177">
        <v>5467</v>
      </c>
      <c r="I177">
        <v>35.044871794871803</v>
      </c>
    </row>
    <row r="178" spans="1:9" x14ac:dyDescent="0.45">
      <c r="A178" s="988">
        <v>70</v>
      </c>
      <c r="B178" s="35">
        <v>0</v>
      </c>
      <c r="C178" s="35">
        <v>50</v>
      </c>
      <c r="D178" s="35">
        <v>0</v>
      </c>
      <c r="E178" s="35" t="s">
        <v>457</v>
      </c>
      <c r="F178">
        <v>5413</v>
      </c>
      <c r="G178">
        <v>5629</v>
      </c>
      <c r="H178">
        <v>5629</v>
      </c>
      <c r="I178">
        <v>36.083333333333343</v>
      </c>
    </row>
    <row r="179" spans="1:9" x14ac:dyDescent="0.45">
      <c r="A179" s="988"/>
      <c r="B179" s="35">
        <v>1</v>
      </c>
      <c r="C179" s="35">
        <v>53</v>
      </c>
      <c r="D179" s="35">
        <v>1</v>
      </c>
      <c r="E179" s="35" t="s">
        <v>458</v>
      </c>
      <c r="F179">
        <v>5647</v>
      </c>
      <c r="G179">
        <v>5873</v>
      </c>
      <c r="H179">
        <v>5873</v>
      </c>
      <c r="I179">
        <v>37.647435897435898</v>
      </c>
    </row>
    <row r="180" spans="1:9" x14ac:dyDescent="0.45">
      <c r="A180" s="988"/>
      <c r="B180" s="35">
        <v>2</v>
      </c>
      <c r="C180" s="35">
        <v>56</v>
      </c>
      <c r="D180" s="35">
        <v>2</v>
      </c>
      <c r="E180" s="35" t="s">
        <v>459</v>
      </c>
      <c r="F180">
        <v>5879</v>
      </c>
      <c r="G180">
        <v>6114</v>
      </c>
      <c r="H180">
        <v>6114</v>
      </c>
      <c r="I180">
        <v>39.192307692307693</v>
      </c>
    </row>
    <row r="181" spans="1:9" x14ac:dyDescent="0.45">
      <c r="A181" s="988"/>
      <c r="B181" s="35">
        <v>3</v>
      </c>
      <c r="C181" s="35">
        <v>59</v>
      </c>
      <c r="D181" s="35">
        <v>3</v>
      </c>
      <c r="E181" s="35" t="s">
        <v>460</v>
      </c>
      <c r="F181">
        <v>6111</v>
      </c>
      <c r="G181">
        <v>6351</v>
      </c>
      <c r="H181">
        <v>6351</v>
      </c>
      <c r="I181">
        <v>40.71153846153846</v>
      </c>
    </row>
    <row r="182" spans="1:9" x14ac:dyDescent="0.45">
      <c r="A182" s="988"/>
      <c r="B182" s="35">
        <v>4</v>
      </c>
      <c r="C182" s="35">
        <v>62</v>
      </c>
      <c r="D182" s="35">
        <v>4</v>
      </c>
      <c r="E182" s="35" t="s">
        <v>461</v>
      </c>
      <c r="F182">
        <v>6343</v>
      </c>
      <c r="G182">
        <v>6583</v>
      </c>
      <c r="H182">
        <v>6583</v>
      </c>
      <c r="I182">
        <v>42.198717948717949</v>
      </c>
    </row>
    <row r="183" spans="1:9" x14ac:dyDescent="0.45">
      <c r="A183" s="988"/>
      <c r="B183" s="35">
        <v>5</v>
      </c>
      <c r="C183" s="35">
        <v>64</v>
      </c>
      <c r="D183" s="35">
        <v>5</v>
      </c>
      <c r="E183" s="35" t="s">
        <v>462</v>
      </c>
      <c r="F183">
        <v>6495</v>
      </c>
      <c r="G183">
        <v>6735</v>
      </c>
      <c r="H183">
        <v>6735</v>
      </c>
      <c r="I183">
        <v>43.17307692307692</v>
      </c>
    </row>
    <row r="184" spans="1:9" x14ac:dyDescent="0.45">
      <c r="A184" s="988"/>
      <c r="B184" s="35">
        <v>6</v>
      </c>
      <c r="C184" s="35">
        <v>66</v>
      </c>
      <c r="D184" s="35">
        <v>6</v>
      </c>
      <c r="E184" s="35" t="s">
        <v>463</v>
      </c>
      <c r="F184">
        <v>6679</v>
      </c>
      <c r="G184">
        <v>6919</v>
      </c>
      <c r="H184">
        <v>6919</v>
      </c>
      <c r="I184">
        <v>44.352564102564102</v>
      </c>
    </row>
    <row r="185" spans="1:9" x14ac:dyDescent="0.45">
      <c r="A185" s="988"/>
      <c r="B185" s="35">
        <v>7</v>
      </c>
      <c r="C185" s="35">
        <v>68</v>
      </c>
      <c r="D185" s="35">
        <v>7</v>
      </c>
      <c r="E185" s="35" t="s">
        <v>464</v>
      </c>
      <c r="F185">
        <v>6864</v>
      </c>
      <c r="G185">
        <v>7104</v>
      </c>
      <c r="H185">
        <v>7104</v>
      </c>
      <c r="I185">
        <v>45.53846153846154</v>
      </c>
    </row>
    <row r="186" spans="1:9" x14ac:dyDescent="0.45">
      <c r="A186" s="988"/>
      <c r="B186" s="35">
        <v>8</v>
      </c>
      <c r="C186" s="35">
        <v>70</v>
      </c>
      <c r="D186" s="35">
        <v>8</v>
      </c>
      <c r="E186" s="35" t="s">
        <v>465</v>
      </c>
      <c r="F186">
        <v>7048</v>
      </c>
      <c r="G186">
        <v>7288</v>
      </c>
      <c r="H186">
        <v>7288</v>
      </c>
      <c r="I186">
        <v>46.717948717948723</v>
      </c>
    </row>
    <row r="187" spans="1:9" x14ac:dyDescent="0.45">
      <c r="A187" s="988"/>
      <c r="B187" s="35">
        <v>9</v>
      </c>
      <c r="C187" s="35">
        <v>71</v>
      </c>
      <c r="D187" s="35">
        <v>9</v>
      </c>
      <c r="E187" s="35" t="s">
        <v>466</v>
      </c>
      <c r="F187">
        <v>7140</v>
      </c>
      <c r="G187">
        <v>7380</v>
      </c>
      <c r="H187">
        <v>7380</v>
      </c>
      <c r="I187">
        <v>47.307692307692307</v>
      </c>
    </row>
    <row r="188" spans="1:9" x14ac:dyDescent="0.45">
      <c r="A188" s="988"/>
      <c r="B188" s="35">
        <v>10</v>
      </c>
      <c r="C188" s="35">
        <v>72</v>
      </c>
      <c r="D188" s="35">
        <v>10</v>
      </c>
      <c r="E188" s="35" t="s">
        <v>467</v>
      </c>
      <c r="F188">
        <v>7234</v>
      </c>
      <c r="G188">
        <v>7474</v>
      </c>
      <c r="H188">
        <v>7474</v>
      </c>
      <c r="I188">
        <v>47.910256410256409</v>
      </c>
    </row>
    <row r="189" spans="1:9" x14ac:dyDescent="0.45">
      <c r="A189" s="988"/>
      <c r="B189" s="35">
        <v>11</v>
      </c>
      <c r="C189" s="35">
        <v>73</v>
      </c>
      <c r="D189" s="35">
        <v>11</v>
      </c>
      <c r="E189" s="35" t="s">
        <v>468</v>
      </c>
      <c r="F189">
        <v>7326</v>
      </c>
      <c r="G189">
        <v>7566</v>
      </c>
      <c r="H189">
        <v>7566</v>
      </c>
      <c r="I189">
        <v>48.5</v>
      </c>
    </row>
    <row r="190" spans="1:9" x14ac:dyDescent="0.45">
      <c r="A190" s="988"/>
      <c r="B190" s="35">
        <v>12</v>
      </c>
      <c r="C190" s="35">
        <v>74</v>
      </c>
      <c r="D190" s="35">
        <v>12</v>
      </c>
      <c r="E190" s="35" t="s">
        <v>469</v>
      </c>
      <c r="F190">
        <v>7419</v>
      </c>
      <c r="G190">
        <v>7659</v>
      </c>
      <c r="H190">
        <v>7659</v>
      </c>
      <c r="I190">
        <v>49.096153846153847</v>
      </c>
    </row>
    <row r="191" spans="1:9" x14ac:dyDescent="0.45">
      <c r="A191" s="988">
        <v>74</v>
      </c>
      <c r="B191" s="35">
        <v>0</v>
      </c>
      <c r="C191" s="35">
        <v>54</v>
      </c>
      <c r="D191" s="35">
        <v>0</v>
      </c>
      <c r="E191" s="35" t="s">
        <v>470</v>
      </c>
      <c r="F191">
        <v>5722</v>
      </c>
      <c r="G191">
        <v>5951</v>
      </c>
      <c r="H191">
        <v>5951</v>
      </c>
      <c r="I191">
        <v>38.147435897435898</v>
      </c>
    </row>
    <row r="192" spans="1:9" x14ac:dyDescent="0.45">
      <c r="A192" s="988"/>
      <c r="B192" s="35">
        <v>1</v>
      </c>
      <c r="C192" s="35">
        <v>56</v>
      </c>
      <c r="D192" s="35">
        <v>1</v>
      </c>
      <c r="E192" s="35" t="s">
        <v>471</v>
      </c>
      <c r="F192">
        <v>5879</v>
      </c>
      <c r="G192">
        <v>6114</v>
      </c>
      <c r="H192">
        <v>6114</v>
      </c>
      <c r="I192">
        <v>39.192307692307693</v>
      </c>
    </row>
    <row r="193" spans="1:9" x14ac:dyDescent="0.45">
      <c r="A193" s="988"/>
      <c r="B193" s="35">
        <v>2</v>
      </c>
      <c r="C193" s="35">
        <v>58</v>
      </c>
      <c r="D193" s="35">
        <v>2</v>
      </c>
      <c r="E193" s="35" t="s">
        <v>472</v>
      </c>
      <c r="F193">
        <v>6031</v>
      </c>
      <c r="G193">
        <v>6271</v>
      </c>
      <c r="H193">
        <v>6271</v>
      </c>
      <c r="I193">
        <v>40.198717948717949</v>
      </c>
    </row>
    <row r="194" spans="1:9" x14ac:dyDescent="0.45">
      <c r="A194" s="988"/>
      <c r="B194" s="35">
        <v>3</v>
      </c>
      <c r="C194" s="35">
        <v>60</v>
      </c>
      <c r="D194" s="35">
        <v>3</v>
      </c>
      <c r="E194" s="35" t="s">
        <v>473</v>
      </c>
      <c r="F194">
        <v>6187</v>
      </c>
      <c r="G194">
        <v>6427</v>
      </c>
      <c r="H194">
        <v>6427</v>
      </c>
      <c r="I194">
        <v>41.198717948717949</v>
      </c>
    </row>
    <row r="195" spans="1:9" x14ac:dyDescent="0.45">
      <c r="A195" s="988">
        <v>75</v>
      </c>
      <c r="B195" s="35">
        <v>0</v>
      </c>
      <c r="C195" s="35">
        <v>62</v>
      </c>
      <c r="D195" s="35">
        <v>0</v>
      </c>
      <c r="E195" s="35" t="s">
        <v>474</v>
      </c>
      <c r="F195">
        <v>6343</v>
      </c>
      <c r="G195">
        <v>6583</v>
      </c>
      <c r="H195">
        <v>6583</v>
      </c>
      <c r="I195">
        <v>42.198717948717949</v>
      </c>
    </row>
    <row r="196" spans="1:9" x14ac:dyDescent="0.45">
      <c r="A196" s="988"/>
      <c r="B196" s="35">
        <v>1</v>
      </c>
      <c r="C196" s="35">
        <v>65</v>
      </c>
      <c r="D196" s="35">
        <v>1</v>
      </c>
      <c r="E196" s="35" t="s">
        <v>475</v>
      </c>
      <c r="F196">
        <v>6586</v>
      </c>
      <c r="G196">
        <v>6826</v>
      </c>
      <c r="H196">
        <v>6826</v>
      </c>
      <c r="I196">
        <v>43.756410256410263</v>
      </c>
    </row>
    <row r="197" spans="1:9" x14ac:dyDescent="0.45">
      <c r="A197" s="988"/>
      <c r="B197" s="35">
        <v>2</v>
      </c>
      <c r="C197" s="35">
        <v>68</v>
      </c>
      <c r="D197" s="35">
        <v>2</v>
      </c>
      <c r="E197" s="35" t="s">
        <v>476</v>
      </c>
      <c r="F197">
        <v>6864</v>
      </c>
      <c r="G197">
        <v>7104</v>
      </c>
      <c r="H197">
        <v>7104</v>
      </c>
      <c r="I197">
        <v>45.53846153846154</v>
      </c>
    </row>
    <row r="198" spans="1:9" x14ac:dyDescent="0.45">
      <c r="A198" s="988"/>
      <c r="B198" s="35">
        <v>3</v>
      </c>
      <c r="C198" s="35">
        <v>71</v>
      </c>
      <c r="D198" s="35">
        <v>3</v>
      </c>
      <c r="E198" s="35" t="s">
        <v>477</v>
      </c>
      <c r="F198">
        <v>7140</v>
      </c>
      <c r="G198">
        <v>7380</v>
      </c>
      <c r="H198">
        <v>7380</v>
      </c>
      <c r="I198">
        <v>47.307692307692307</v>
      </c>
    </row>
    <row r="199" spans="1:9" x14ac:dyDescent="0.45">
      <c r="A199" s="988"/>
      <c r="B199" s="35">
        <v>4</v>
      </c>
      <c r="C199" s="35">
        <v>74</v>
      </c>
      <c r="D199" s="35">
        <v>4</v>
      </c>
      <c r="E199" s="35" t="s">
        <v>478</v>
      </c>
      <c r="F199">
        <v>7419</v>
      </c>
      <c r="G199">
        <v>7659</v>
      </c>
      <c r="H199">
        <v>7659</v>
      </c>
      <c r="I199">
        <v>49.096153846153847</v>
      </c>
    </row>
    <row r="200" spans="1:9" x14ac:dyDescent="0.45">
      <c r="A200" s="988"/>
      <c r="B200" s="35">
        <v>5</v>
      </c>
      <c r="C200" s="35">
        <v>76</v>
      </c>
      <c r="D200" s="35">
        <v>5</v>
      </c>
      <c r="E200" s="35" t="s">
        <v>479</v>
      </c>
      <c r="F200">
        <v>7604</v>
      </c>
      <c r="G200">
        <v>7844</v>
      </c>
      <c r="H200">
        <v>7844</v>
      </c>
      <c r="I200">
        <v>50.282051282051277</v>
      </c>
    </row>
    <row r="201" spans="1:9" x14ac:dyDescent="0.45">
      <c r="A201" s="988"/>
      <c r="B201" s="35">
        <v>6</v>
      </c>
      <c r="C201" s="35">
        <v>78</v>
      </c>
      <c r="D201" s="35">
        <v>6</v>
      </c>
      <c r="E201" s="35" t="s">
        <v>480</v>
      </c>
      <c r="F201">
        <v>7798</v>
      </c>
      <c r="G201">
        <v>8038</v>
      </c>
      <c r="H201">
        <v>8038</v>
      </c>
      <c r="I201">
        <v>51.525641025641029</v>
      </c>
    </row>
    <row r="202" spans="1:9" x14ac:dyDescent="0.45">
      <c r="A202" s="988"/>
      <c r="B202" s="35">
        <v>7</v>
      </c>
      <c r="C202" s="35">
        <v>80</v>
      </c>
      <c r="D202" s="35">
        <v>7</v>
      </c>
      <c r="E202" s="35" t="s">
        <v>481</v>
      </c>
      <c r="F202">
        <v>8004</v>
      </c>
      <c r="G202">
        <v>8244</v>
      </c>
      <c r="H202">
        <v>8244</v>
      </c>
      <c r="I202">
        <v>52.846153846153847</v>
      </c>
    </row>
    <row r="203" spans="1:9" x14ac:dyDescent="0.45">
      <c r="A203" s="988"/>
      <c r="B203" s="35">
        <v>8</v>
      </c>
      <c r="C203" s="35">
        <v>82</v>
      </c>
      <c r="D203" s="35">
        <v>8</v>
      </c>
      <c r="E203" s="35" t="s">
        <v>482</v>
      </c>
      <c r="F203">
        <v>8212</v>
      </c>
      <c r="G203">
        <v>8452</v>
      </c>
      <c r="H203">
        <v>8452</v>
      </c>
      <c r="I203">
        <v>54.179487179487182</v>
      </c>
    </row>
    <row r="204" spans="1:9" x14ac:dyDescent="0.45">
      <c r="A204" s="988"/>
      <c r="B204" s="35">
        <v>9</v>
      </c>
      <c r="C204" s="35">
        <v>83</v>
      </c>
      <c r="D204" s="35">
        <v>9</v>
      </c>
      <c r="E204" s="35" t="s">
        <v>483</v>
      </c>
      <c r="F204">
        <v>8314</v>
      </c>
      <c r="G204">
        <v>8554</v>
      </c>
      <c r="H204">
        <v>8554</v>
      </c>
      <c r="I204">
        <v>54.833333333333343</v>
      </c>
    </row>
    <row r="205" spans="1:9" x14ac:dyDescent="0.45">
      <c r="A205" s="988"/>
      <c r="B205" s="35">
        <v>10</v>
      </c>
      <c r="C205" s="35">
        <v>84</v>
      </c>
      <c r="D205" s="35">
        <v>10</v>
      </c>
      <c r="E205" s="35" t="s">
        <v>484</v>
      </c>
      <c r="F205">
        <v>8418</v>
      </c>
      <c r="G205">
        <v>8658</v>
      </c>
      <c r="H205">
        <v>8658</v>
      </c>
      <c r="I205">
        <v>55.5</v>
      </c>
    </row>
    <row r="206" spans="1:9" x14ac:dyDescent="0.45">
      <c r="A206" s="988"/>
      <c r="B206" s="35">
        <v>11</v>
      </c>
      <c r="C206" s="35">
        <v>85</v>
      </c>
      <c r="D206" s="35">
        <v>11</v>
      </c>
      <c r="E206" s="35" t="s">
        <v>485</v>
      </c>
      <c r="F206">
        <v>8538</v>
      </c>
      <c r="G206">
        <v>8778</v>
      </c>
      <c r="H206">
        <v>8778</v>
      </c>
      <c r="I206">
        <v>56.269230769230766</v>
      </c>
    </row>
    <row r="207" spans="1:9" x14ac:dyDescent="0.45">
      <c r="A207" s="988"/>
      <c r="B207" s="35">
        <v>12</v>
      </c>
      <c r="C207" s="35">
        <v>86</v>
      </c>
      <c r="D207" s="35">
        <v>12</v>
      </c>
      <c r="E207" s="35" t="s">
        <v>486</v>
      </c>
      <c r="F207">
        <v>8662</v>
      </c>
      <c r="G207">
        <v>8902</v>
      </c>
      <c r="H207">
        <v>8902</v>
      </c>
      <c r="I207">
        <v>57.064102564102562</v>
      </c>
    </row>
    <row r="208" spans="1:9" x14ac:dyDescent="0.45">
      <c r="A208" s="988"/>
      <c r="B208" s="35">
        <v>13</v>
      </c>
      <c r="C208" s="35">
        <v>87</v>
      </c>
      <c r="D208" s="35">
        <v>13</v>
      </c>
      <c r="E208" s="35" t="s">
        <v>487</v>
      </c>
      <c r="F208">
        <v>8780</v>
      </c>
      <c r="G208">
        <v>9020</v>
      </c>
      <c r="H208">
        <v>9020</v>
      </c>
      <c r="I208">
        <v>57.820512820512818</v>
      </c>
    </row>
    <row r="209" spans="1:9" x14ac:dyDescent="0.45">
      <c r="A209" s="988"/>
      <c r="B209" s="35">
        <v>14</v>
      </c>
      <c r="C209" s="35">
        <v>88</v>
      </c>
      <c r="D209" s="35">
        <v>14</v>
      </c>
      <c r="E209" s="35" t="s">
        <v>488</v>
      </c>
      <c r="F209">
        <v>8903</v>
      </c>
      <c r="G209">
        <v>9143</v>
      </c>
      <c r="H209">
        <v>9143</v>
      </c>
      <c r="I209">
        <v>58.608974358974358</v>
      </c>
    </row>
    <row r="210" spans="1:9" x14ac:dyDescent="0.45">
      <c r="A210" s="988">
        <v>79</v>
      </c>
      <c r="B210" s="35">
        <v>0</v>
      </c>
      <c r="C210" s="35">
        <v>66</v>
      </c>
      <c r="D210" s="35">
        <v>0</v>
      </c>
      <c r="E210" s="35" t="s">
        <v>489</v>
      </c>
      <c r="F210">
        <v>6679</v>
      </c>
      <c r="G210">
        <v>6919</v>
      </c>
      <c r="H210">
        <v>6919</v>
      </c>
      <c r="I210">
        <v>44.352564102564102</v>
      </c>
    </row>
    <row r="211" spans="1:9" x14ac:dyDescent="0.45">
      <c r="A211" s="988"/>
      <c r="B211" s="35">
        <v>1</v>
      </c>
      <c r="C211" s="35">
        <v>68</v>
      </c>
      <c r="D211" s="35">
        <v>1</v>
      </c>
      <c r="E211" s="35" t="s">
        <v>490</v>
      </c>
      <c r="F211">
        <v>6864</v>
      </c>
      <c r="G211">
        <v>7104</v>
      </c>
      <c r="H211">
        <v>7104</v>
      </c>
      <c r="I211">
        <v>45.53846153846154</v>
      </c>
    </row>
    <row r="212" spans="1:9" x14ac:dyDescent="0.45">
      <c r="A212" s="988"/>
      <c r="B212" s="35">
        <v>2</v>
      </c>
      <c r="C212" s="35">
        <v>70</v>
      </c>
      <c r="D212" s="35">
        <v>2</v>
      </c>
      <c r="E212" s="35" t="s">
        <v>491</v>
      </c>
      <c r="F212">
        <v>7048</v>
      </c>
      <c r="G212">
        <v>7288</v>
      </c>
      <c r="H212">
        <v>7288</v>
      </c>
      <c r="I212">
        <v>46.717948717948723</v>
      </c>
    </row>
    <row r="213" spans="1:9" x14ac:dyDescent="0.45">
      <c r="A213" s="988"/>
      <c r="B213" s="35">
        <v>3</v>
      </c>
      <c r="C213" s="35">
        <v>72</v>
      </c>
      <c r="D213" s="35">
        <v>3</v>
      </c>
      <c r="E213" s="35" t="s">
        <v>492</v>
      </c>
      <c r="F213">
        <v>7234</v>
      </c>
      <c r="G213">
        <v>7474</v>
      </c>
      <c r="H213">
        <v>7474</v>
      </c>
      <c r="I213">
        <v>47.910256410256409</v>
      </c>
    </row>
    <row r="214" spans="1:9" x14ac:dyDescent="0.45">
      <c r="A214" s="988">
        <v>80</v>
      </c>
      <c r="B214" s="35">
        <v>0</v>
      </c>
      <c r="C214" s="35">
        <v>74</v>
      </c>
      <c r="D214" s="35">
        <v>0</v>
      </c>
      <c r="E214" s="35" t="s">
        <v>493</v>
      </c>
      <c r="F214">
        <v>7419</v>
      </c>
      <c r="G214">
        <v>7659</v>
      </c>
      <c r="H214">
        <v>7659</v>
      </c>
      <c r="I214">
        <v>49.096153846153847</v>
      </c>
    </row>
    <row r="215" spans="1:9" x14ac:dyDescent="0.45">
      <c r="A215" s="988"/>
      <c r="B215" s="35">
        <v>1</v>
      </c>
      <c r="C215" s="35">
        <v>77</v>
      </c>
      <c r="D215" s="35">
        <v>1</v>
      </c>
      <c r="E215" s="35" t="s">
        <v>494</v>
      </c>
      <c r="F215">
        <v>7696</v>
      </c>
      <c r="G215">
        <v>7936</v>
      </c>
      <c r="H215">
        <v>7936</v>
      </c>
      <c r="I215">
        <v>50.871794871794869</v>
      </c>
    </row>
    <row r="216" spans="1:9" x14ac:dyDescent="0.45">
      <c r="A216" s="988"/>
      <c r="B216" s="35">
        <v>2</v>
      </c>
      <c r="C216" s="35">
        <v>80</v>
      </c>
      <c r="D216" s="35">
        <v>2</v>
      </c>
      <c r="E216" s="35" t="s">
        <v>495</v>
      </c>
      <c r="F216">
        <v>8004</v>
      </c>
      <c r="G216">
        <v>8244</v>
      </c>
      <c r="H216">
        <v>8244</v>
      </c>
      <c r="I216">
        <v>52.846153846153847</v>
      </c>
    </row>
    <row r="217" spans="1:9" x14ac:dyDescent="0.45">
      <c r="A217" s="988"/>
      <c r="B217" s="35">
        <v>3</v>
      </c>
      <c r="C217" s="35">
        <v>83</v>
      </c>
      <c r="D217" s="35">
        <v>3</v>
      </c>
      <c r="E217" s="35" t="s">
        <v>496</v>
      </c>
      <c r="F217">
        <v>8314</v>
      </c>
      <c r="G217">
        <v>8554</v>
      </c>
      <c r="H217">
        <v>8554</v>
      </c>
      <c r="I217">
        <v>54.833333333333343</v>
      </c>
    </row>
    <row r="218" spans="1:9" x14ac:dyDescent="0.45">
      <c r="A218" s="988"/>
      <c r="B218" s="35">
        <v>4</v>
      </c>
      <c r="C218" s="35">
        <v>86</v>
      </c>
      <c r="D218" s="35">
        <v>4</v>
      </c>
      <c r="E218" s="35" t="s">
        <v>497</v>
      </c>
      <c r="F218">
        <v>8662</v>
      </c>
      <c r="G218">
        <v>8902</v>
      </c>
      <c r="H218">
        <v>8902</v>
      </c>
      <c r="I218">
        <v>57.064102564102562</v>
      </c>
    </row>
    <row r="219" spans="1:9" x14ac:dyDescent="0.45">
      <c r="A219" s="988"/>
      <c r="B219" s="35">
        <v>5</v>
      </c>
      <c r="C219" s="35">
        <v>88</v>
      </c>
      <c r="D219" s="35">
        <v>5</v>
      </c>
      <c r="E219" s="35" t="s">
        <v>498</v>
      </c>
      <c r="F219">
        <v>8903</v>
      </c>
      <c r="G219">
        <v>9143</v>
      </c>
      <c r="H219">
        <v>9143</v>
      </c>
      <c r="I219">
        <v>58.608974358974358</v>
      </c>
    </row>
    <row r="220" spans="1:9" x14ac:dyDescent="0.45">
      <c r="A220" s="988"/>
      <c r="B220" s="35">
        <v>6</v>
      </c>
      <c r="C220" s="35">
        <v>90</v>
      </c>
      <c r="D220" s="35">
        <v>6</v>
      </c>
      <c r="E220" s="35" t="s">
        <v>499</v>
      </c>
      <c r="F220">
        <v>9143</v>
      </c>
      <c r="G220">
        <v>9383</v>
      </c>
      <c r="H220">
        <v>9383</v>
      </c>
      <c r="I220">
        <v>60.147435897435898</v>
      </c>
    </row>
    <row r="221" spans="1:9" x14ac:dyDescent="0.45">
      <c r="A221" s="988"/>
      <c r="B221" s="35">
        <v>7</v>
      </c>
      <c r="C221" s="35">
        <v>92</v>
      </c>
      <c r="D221" s="35">
        <v>7</v>
      </c>
      <c r="E221" s="35" t="s">
        <v>500</v>
      </c>
      <c r="F221">
        <v>9385</v>
      </c>
      <c r="G221">
        <v>9625</v>
      </c>
      <c r="H221">
        <v>9625</v>
      </c>
      <c r="I221">
        <v>61.698717948717949</v>
      </c>
    </row>
    <row r="222" spans="1:9" x14ac:dyDescent="0.45">
      <c r="A222" s="988"/>
      <c r="B222" s="35">
        <v>8</v>
      </c>
      <c r="C222" s="35">
        <v>94</v>
      </c>
      <c r="D222" s="35">
        <v>8</v>
      </c>
      <c r="E222" s="35" t="s">
        <v>501</v>
      </c>
      <c r="F222">
        <v>9628</v>
      </c>
      <c r="G222">
        <v>9868</v>
      </c>
      <c r="H222">
        <v>9868</v>
      </c>
      <c r="I222">
        <v>63.256410256410263</v>
      </c>
    </row>
    <row r="223" spans="1:9" x14ac:dyDescent="0.45">
      <c r="A223" s="988"/>
      <c r="B223" s="35">
        <v>9</v>
      </c>
      <c r="C223" s="35">
        <v>95</v>
      </c>
      <c r="D223" s="35">
        <v>9</v>
      </c>
      <c r="E223" s="35" t="s">
        <v>502</v>
      </c>
      <c r="F223">
        <v>9750</v>
      </c>
      <c r="G223">
        <v>9990</v>
      </c>
      <c r="H223">
        <v>9990</v>
      </c>
      <c r="I223">
        <v>64.038461538461533</v>
      </c>
    </row>
    <row r="224" spans="1:9" x14ac:dyDescent="0.45">
      <c r="A224" s="988"/>
      <c r="B224" s="35">
        <v>10</v>
      </c>
      <c r="C224" s="35">
        <v>96</v>
      </c>
      <c r="D224" s="35">
        <v>10</v>
      </c>
      <c r="E224" s="35" t="s">
        <v>503</v>
      </c>
      <c r="F224">
        <v>9872</v>
      </c>
      <c r="G224">
        <v>10112</v>
      </c>
      <c r="H224">
        <v>10112</v>
      </c>
      <c r="I224">
        <v>64.820512820512818</v>
      </c>
    </row>
    <row r="225" spans="1:9" x14ac:dyDescent="0.45">
      <c r="A225" s="988"/>
      <c r="B225" s="35">
        <v>11</v>
      </c>
      <c r="C225" s="35">
        <v>97</v>
      </c>
      <c r="D225" s="35">
        <v>11</v>
      </c>
      <c r="E225" s="35" t="s">
        <v>504</v>
      </c>
      <c r="F225">
        <v>9993</v>
      </c>
      <c r="G225">
        <v>10233</v>
      </c>
      <c r="H225">
        <v>10233</v>
      </c>
      <c r="I225">
        <v>65.59615384615384</v>
      </c>
    </row>
    <row r="226" spans="1:9" x14ac:dyDescent="0.45">
      <c r="A226" s="988"/>
      <c r="B226" s="35">
        <v>12</v>
      </c>
      <c r="C226" s="35">
        <v>98</v>
      </c>
      <c r="D226" s="35">
        <v>12</v>
      </c>
      <c r="E226" s="35" t="s">
        <v>505</v>
      </c>
      <c r="F226">
        <v>10114</v>
      </c>
      <c r="G226">
        <v>10354</v>
      </c>
      <c r="H226">
        <v>10354</v>
      </c>
      <c r="I226">
        <v>66.371794871794876</v>
      </c>
    </row>
    <row r="227" spans="1:9" x14ac:dyDescent="0.45">
      <c r="A227" s="988"/>
      <c r="B227" s="35">
        <v>13</v>
      </c>
      <c r="C227" s="35">
        <v>99</v>
      </c>
      <c r="D227" s="35">
        <v>13</v>
      </c>
      <c r="E227" s="35" t="s">
        <v>506</v>
      </c>
      <c r="F227">
        <v>10237</v>
      </c>
      <c r="G227">
        <v>10477</v>
      </c>
      <c r="H227">
        <v>10477</v>
      </c>
      <c r="I227">
        <v>67.160256410256409</v>
      </c>
    </row>
    <row r="228" spans="1:9" x14ac:dyDescent="0.45">
      <c r="A228" s="988"/>
      <c r="B228" s="35">
        <v>14</v>
      </c>
      <c r="C228" s="35">
        <v>100</v>
      </c>
      <c r="D228" s="35">
        <v>14</v>
      </c>
      <c r="E228" s="35" t="s">
        <v>507</v>
      </c>
      <c r="F228">
        <v>10358</v>
      </c>
      <c r="G228">
        <v>10598</v>
      </c>
      <c r="H228">
        <v>10598</v>
      </c>
      <c r="I228">
        <v>67.935897435897431</v>
      </c>
    </row>
  </sheetData>
  <mergeCells count="29">
    <mergeCell ref="A178:A190"/>
    <mergeCell ref="A191:A194"/>
    <mergeCell ref="A195:A209"/>
    <mergeCell ref="A210:A213"/>
    <mergeCell ref="A214:A228"/>
    <mergeCell ref="A174:A177"/>
    <mergeCell ref="A81:A93"/>
    <mergeCell ref="A94:A96"/>
    <mergeCell ref="A97:A109"/>
    <mergeCell ref="A110:A113"/>
    <mergeCell ref="A114:A125"/>
    <mergeCell ref="A126:A129"/>
    <mergeCell ref="A130:A141"/>
    <mergeCell ref="A142:A145"/>
    <mergeCell ref="A146:A156"/>
    <mergeCell ref="A157:A160"/>
    <mergeCell ref="A161:A173"/>
    <mergeCell ref="A79:A80"/>
    <mergeCell ref="A3:A11"/>
    <mergeCell ref="A12:A14"/>
    <mergeCell ref="A15:A24"/>
    <mergeCell ref="A25:A27"/>
    <mergeCell ref="A28:A38"/>
    <mergeCell ref="A39:A41"/>
    <mergeCell ref="A42:A52"/>
    <mergeCell ref="A53:A54"/>
    <mergeCell ref="A55:A65"/>
    <mergeCell ref="A66:A67"/>
    <mergeCell ref="A68:A7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A1:AD230"/>
  <sheetViews>
    <sheetView zoomScale="70" zoomScaleNormal="70" workbookViewId="0">
      <selection activeCell="I4" sqref="I4"/>
    </sheetView>
  </sheetViews>
  <sheetFormatPr defaultRowHeight="14.25" x14ac:dyDescent="0.45"/>
  <cols>
    <col min="6" max="6" width="10.46484375" bestFit="1" customWidth="1"/>
    <col min="7" max="7" width="9.53125" bestFit="1" customWidth="1"/>
  </cols>
  <sheetData>
    <row r="1" spans="1:30" x14ac:dyDescent="0.45">
      <c r="A1" t="s">
        <v>1227</v>
      </c>
      <c r="F1" s="362">
        <f>IF(G2&lt;&gt;"", G2-1, DATE(2030,1,1))</f>
        <v>45626</v>
      </c>
      <c r="G1" s="362">
        <f>IF(H2&lt;&gt;"", H2-1, DATE(2030,1,1))</f>
        <v>47484</v>
      </c>
    </row>
    <row r="2" spans="1:30" x14ac:dyDescent="0.45">
      <c r="A2" t="s">
        <v>1228</v>
      </c>
      <c r="F2" s="362">
        <v>45292</v>
      </c>
      <c r="G2" s="362">
        <v>45627</v>
      </c>
    </row>
    <row r="3" spans="1:30" x14ac:dyDescent="0.45">
      <c r="A3" s="35" t="s">
        <v>28</v>
      </c>
      <c r="B3" s="35" t="s">
        <v>298</v>
      </c>
      <c r="C3" s="35" t="s">
        <v>299</v>
      </c>
      <c r="D3" s="35" t="s">
        <v>292</v>
      </c>
      <c r="E3" s="35" t="s">
        <v>290</v>
      </c>
      <c r="F3" s="35" t="s">
        <v>300</v>
      </c>
      <c r="G3" s="35" t="s">
        <v>301</v>
      </c>
      <c r="I3" s="5" t="s">
        <v>1229</v>
      </c>
      <c r="AA3" s="5"/>
      <c r="AB3" s="5"/>
      <c r="AC3" s="5"/>
      <c r="AD3" s="5"/>
    </row>
    <row r="4" spans="1:30" x14ac:dyDescent="0.45">
      <c r="A4" s="35">
        <v>9</v>
      </c>
      <c r="B4" s="35">
        <v>1</v>
      </c>
      <c r="C4" s="35">
        <v>3</v>
      </c>
      <c r="D4" s="35">
        <v>1</v>
      </c>
      <c r="E4" s="35" t="s">
        <v>208</v>
      </c>
      <c r="F4">
        <v>1968</v>
      </c>
      <c r="G4">
        <v>2088</v>
      </c>
      <c r="I4">
        <f>IF(
    OR(
        AND(MAX(0, MIN($F$1, DATE(Initialisatie!$C$5,12,31)) - MAX($F$2, DATE(Initialisatie!$C$5,1,1)) + 1) &gt; 0, IFERROR(VALUE($F4),0)=0),
        AND(MAX(0, MIN($G$1, DATE(Initialisatie!$C$5,12,31)) - MAX($G$2, DATE(Initialisatie!$C$5,1,1)) + 1) &gt; 0, IFERROR(VALUE($G4),0)=0)
    ),
    0,
    SUM(
        IFERROR(VALUE($F4),0) * MAX(0, MIN($F$1, DATE(Initialisatie!$C$5,12,31)) - MAX($F$2, DATE(Initialisatie!$C$5,1,1)) + 1),
        IFERROR(VALUE($G4),0) * MAX(0, MIN($G$1, DATE(Initialisatie!$C$5,12,31)) - MAX($G$2, DATE(Initialisatie!$C$5,1,1)) + 1)
    ) / (DATE(Initialisatie!$C$5,12,31) - DATE(Initialisatie!$C$5,1,1) + 1)
)</f>
        <v>2088</v>
      </c>
    </row>
    <row r="5" spans="1:30" x14ac:dyDescent="0.45">
      <c r="A5" s="988">
        <v>10</v>
      </c>
      <c r="B5" s="35">
        <v>0</v>
      </c>
      <c r="C5" s="35">
        <v>4</v>
      </c>
      <c r="D5" s="35">
        <v>0</v>
      </c>
      <c r="E5" s="35" t="s">
        <v>193</v>
      </c>
      <c r="F5">
        <v>2032</v>
      </c>
      <c r="G5">
        <v>2152</v>
      </c>
      <c r="I5">
        <f>IF(
    OR(
        AND(MAX(0, MIN($F$1, DATE(Initialisatie!$C$5,12,31)) - MAX($F$2, DATE(Initialisatie!$C$5,1,1)) + 1) &gt; 0, IFERROR(VALUE($F5),0)=0),
        AND(MAX(0, MIN($G$1, DATE(Initialisatie!$C$5,12,31)) - MAX($G$2, DATE(Initialisatie!$C$5,1,1)) + 1) &gt; 0, IFERROR(VALUE($G5),0)=0)
    ),
    0,
    SUM(
        IFERROR(VALUE($F5),0) * MAX(0, MIN($F$1, DATE(Initialisatie!$C$5,12,31)) - MAX($F$2, DATE(Initialisatie!$C$5,1,1)) + 1),
        IFERROR(VALUE($G5),0) * MAX(0, MIN($G$1, DATE(Initialisatie!$C$5,12,31)) - MAX($G$2, DATE(Initialisatie!$C$5,1,1)) + 1)
    ) / (DATE(Initialisatie!$C$5,12,31) - DATE(Initialisatie!$C$5,1,1) + 1)
)</f>
        <v>2152</v>
      </c>
    </row>
    <row r="6" spans="1:30" x14ac:dyDescent="0.45">
      <c r="A6" s="988"/>
      <c r="B6" s="35">
        <v>1</v>
      </c>
      <c r="C6" s="35">
        <v>5</v>
      </c>
      <c r="D6" s="35">
        <v>1</v>
      </c>
      <c r="E6" s="35" t="s">
        <v>192</v>
      </c>
      <c r="F6">
        <v>2094</v>
      </c>
      <c r="G6">
        <v>2214</v>
      </c>
      <c r="I6">
        <f>IF(
    OR(
        AND(MAX(0, MIN($F$1, DATE(Initialisatie!$C$5,12,31)) - MAX($F$2, DATE(Initialisatie!$C$5,1,1)) + 1) &gt; 0, IFERROR(VALUE($F6),0)=0),
        AND(MAX(0, MIN($G$1, DATE(Initialisatie!$C$5,12,31)) - MAX($G$2, DATE(Initialisatie!$C$5,1,1)) + 1) &gt; 0, IFERROR(VALUE($G6),0)=0)
    ),
    0,
    SUM(
        IFERROR(VALUE($F6),0) * MAX(0, MIN($F$1, DATE(Initialisatie!$C$5,12,31)) - MAX($F$2, DATE(Initialisatie!$C$5,1,1)) + 1),
        IFERROR(VALUE($G6),0) * MAX(0, MIN($G$1, DATE(Initialisatie!$C$5,12,31)) - MAX($G$2, DATE(Initialisatie!$C$5,1,1)) + 1)
    ) / (DATE(Initialisatie!$C$5,12,31) - DATE(Initialisatie!$C$5,1,1) + 1)
)</f>
        <v>2214</v>
      </c>
    </row>
    <row r="7" spans="1:30" x14ac:dyDescent="0.45">
      <c r="A7" s="988"/>
      <c r="B7" s="35">
        <v>2</v>
      </c>
      <c r="C7" s="35">
        <v>6</v>
      </c>
      <c r="D7" s="35">
        <v>2</v>
      </c>
      <c r="E7" s="35" t="s">
        <v>187</v>
      </c>
      <c r="F7">
        <v>2128</v>
      </c>
      <c r="G7">
        <v>2248</v>
      </c>
      <c r="I7">
        <f>IF(
    OR(
        AND(MAX(0, MIN($F$1, DATE(Initialisatie!$C$5,12,31)) - MAX($F$2, DATE(Initialisatie!$C$5,1,1)) + 1) &gt; 0, IFERROR(VALUE($F7),0)=0),
        AND(MAX(0, MIN($G$1, DATE(Initialisatie!$C$5,12,31)) - MAX($G$2, DATE(Initialisatie!$C$5,1,1)) + 1) &gt; 0, IFERROR(VALUE($G7),0)=0)
    ),
    0,
    SUM(
        IFERROR(VALUE($F7),0) * MAX(0, MIN($F$1, DATE(Initialisatie!$C$5,12,31)) - MAX($F$2, DATE(Initialisatie!$C$5,1,1)) + 1),
        IFERROR(VALUE($G7),0) * MAX(0, MIN($G$1, DATE(Initialisatie!$C$5,12,31)) - MAX($G$2, DATE(Initialisatie!$C$5,1,1)) + 1)
    ) / (DATE(Initialisatie!$C$5,12,31) - DATE(Initialisatie!$C$5,1,1) + 1)
)</f>
        <v>2248</v>
      </c>
    </row>
    <row r="8" spans="1:30" x14ac:dyDescent="0.45">
      <c r="A8" s="988"/>
      <c r="B8" s="35">
        <v>3</v>
      </c>
      <c r="C8" s="35">
        <v>7</v>
      </c>
      <c r="D8" s="35">
        <v>3</v>
      </c>
      <c r="E8" s="35" t="s">
        <v>186</v>
      </c>
      <c r="F8">
        <v>2176</v>
      </c>
      <c r="G8">
        <v>2296</v>
      </c>
      <c r="I8">
        <f>IF(
    OR(
        AND(MAX(0, MIN($F$1, DATE(Initialisatie!$C$5,12,31)) - MAX($F$2, DATE(Initialisatie!$C$5,1,1)) + 1) &gt; 0, IFERROR(VALUE($F8),0)=0),
        AND(MAX(0, MIN($G$1, DATE(Initialisatie!$C$5,12,31)) - MAX($G$2, DATE(Initialisatie!$C$5,1,1)) + 1) &gt; 0, IFERROR(VALUE($G8),0)=0)
    ),
    0,
    SUM(
        IFERROR(VALUE($F8),0) * MAX(0, MIN($F$1, DATE(Initialisatie!$C$5,12,31)) - MAX($F$2, DATE(Initialisatie!$C$5,1,1)) + 1),
        IFERROR(VALUE($G8),0) * MAX(0, MIN($G$1, DATE(Initialisatie!$C$5,12,31)) - MAX($G$2, DATE(Initialisatie!$C$5,1,1)) + 1)
    ) / (DATE(Initialisatie!$C$5,12,31) - DATE(Initialisatie!$C$5,1,1) + 1)
)</f>
        <v>2296</v>
      </c>
    </row>
    <row r="9" spans="1:30" x14ac:dyDescent="0.45">
      <c r="A9" s="988"/>
      <c r="B9" s="35">
        <v>4</v>
      </c>
      <c r="C9" s="35">
        <v>8</v>
      </c>
      <c r="D9" s="35">
        <v>4</v>
      </c>
      <c r="E9" s="35" t="s">
        <v>185</v>
      </c>
      <c r="F9">
        <v>2223</v>
      </c>
      <c r="G9">
        <v>2343</v>
      </c>
      <c r="I9">
        <f>IF(
    OR(
        AND(MAX(0, MIN($F$1, DATE(Initialisatie!$C$5,12,31)) - MAX($F$2, DATE(Initialisatie!$C$5,1,1)) + 1) &gt; 0, IFERROR(VALUE($F9),0)=0),
        AND(MAX(0, MIN($G$1, DATE(Initialisatie!$C$5,12,31)) - MAX($G$2, DATE(Initialisatie!$C$5,1,1)) + 1) &gt; 0, IFERROR(VALUE($G9),0)=0)
    ),
    0,
    SUM(
        IFERROR(VALUE($F9),0) * MAX(0, MIN($F$1, DATE(Initialisatie!$C$5,12,31)) - MAX($F$2, DATE(Initialisatie!$C$5,1,1)) + 1),
        IFERROR(VALUE($G9),0) * MAX(0, MIN($G$1, DATE(Initialisatie!$C$5,12,31)) - MAX($G$2, DATE(Initialisatie!$C$5,1,1)) + 1)
    ) / (DATE(Initialisatie!$C$5,12,31) - DATE(Initialisatie!$C$5,1,1) + 1)
)</f>
        <v>2343</v>
      </c>
    </row>
    <row r="10" spans="1:30" x14ac:dyDescent="0.45">
      <c r="A10" s="988"/>
      <c r="B10" s="35">
        <v>5</v>
      </c>
      <c r="C10" s="35">
        <v>9</v>
      </c>
      <c r="D10" s="35">
        <v>5</v>
      </c>
      <c r="E10" s="35" t="s">
        <v>184</v>
      </c>
      <c r="F10">
        <v>2272</v>
      </c>
      <c r="G10">
        <v>2392</v>
      </c>
      <c r="I10">
        <f>IF(
    OR(
        AND(MAX(0, MIN($F$1, DATE(Initialisatie!$C$5,12,31)) - MAX($F$2, DATE(Initialisatie!$C$5,1,1)) + 1) &gt; 0, IFERROR(VALUE($F10),0)=0),
        AND(MAX(0, MIN($G$1, DATE(Initialisatie!$C$5,12,31)) - MAX($G$2, DATE(Initialisatie!$C$5,1,1)) + 1) &gt; 0, IFERROR(VALUE($G10),0)=0)
    ),
    0,
    SUM(
        IFERROR(VALUE($F10),0) * MAX(0, MIN($F$1, DATE(Initialisatie!$C$5,12,31)) - MAX($F$2, DATE(Initialisatie!$C$5,1,1)) + 1),
        IFERROR(VALUE($G10),0) * MAX(0, MIN($G$1, DATE(Initialisatie!$C$5,12,31)) - MAX($G$2, DATE(Initialisatie!$C$5,1,1)) + 1)
    ) / (DATE(Initialisatie!$C$5,12,31) - DATE(Initialisatie!$C$5,1,1) + 1)
)</f>
        <v>2392</v>
      </c>
    </row>
    <row r="11" spans="1:30" x14ac:dyDescent="0.45">
      <c r="A11" s="988"/>
      <c r="B11" s="35">
        <v>6</v>
      </c>
      <c r="C11" s="35">
        <v>10</v>
      </c>
      <c r="D11" s="35">
        <v>6</v>
      </c>
      <c r="E11" s="35" t="s">
        <v>183</v>
      </c>
      <c r="F11">
        <v>2326</v>
      </c>
      <c r="G11">
        <v>2446</v>
      </c>
      <c r="I11">
        <f>IF(
    OR(
        AND(MAX(0, MIN($F$1, DATE(Initialisatie!$C$5,12,31)) - MAX($F$2, DATE(Initialisatie!$C$5,1,1)) + 1) &gt; 0, IFERROR(VALUE($F11),0)=0),
        AND(MAX(0, MIN($G$1, DATE(Initialisatie!$C$5,12,31)) - MAX($G$2, DATE(Initialisatie!$C$5,1,1)) + 1) &gt; 0, IFERROR(VALUE($G11),0)=0)
    ),
    0,
    SUM(
        IFERROR(VALUE($F11),0) * MAX(0, MIN($F$1, DATE(Initialisatie!$C$5,12,31)) - MAX($F$2, DATE(Initialisatie!$C$5,1,1)) + 1),
        IFERROR(VALUE($G11),0) * MAX(0, MIN($G$1, DATE(Initialisatie!$C$5,12,31)) - MAX($G$2, DATE(Initialisatie!$C$5,1,1)) + 1)
    ) / (DATE(Initialisatie!$C$5,12,31) - DATE(Initialisatie!$C$5,1,1) + 1)
)</f>
        <v>2446</v>
      </c>
    </row>
    <row r="12" spans="1:30" x14ac:dyDescent="0.45">
      <c r="A12" s="988"/>
      <c r="B12" s="35">
        <v>7</v>
      </c>
      <c r="C12" s="35">
        <v>11</v>
      </c>
      <c r="D12" s="35">
        <v>7</v>
      </c>
      <c r="E12" s="35" t="s">
        <v>182</v>
      </c>
      <c r="F12">
        <v>2387</v>
      </c>
      <c r="G12">
        <v>2507</v>
      </c>
      <c r="I12">
        <f>IF(
    OR(
        AND(MAX(0, MIN($F$1, DATE(Initialisatie!$C$5,12,31)) - MAX($F$2, DATE(Initialisatie!$C$5,1,1)) + 1) &gt; 0, IFERROR(VALUE($F12),0)=0),
        AND(MAX(0, MIN($G$1, DATE(Initialisatie!$C$5,12,31)) - MAX($G$2, DATE(Initialisatie!$C$5,1,1)) + 1) &gt; 0, IFERROR(VALUE($G12),0)=0)
    ),
    0,
    SUM(
        IFERROR(VALUE($F12),0) * MAX(0, MIN($F$1, DATE(Initialisatie!$C$5,12,31)) - MAX($F$2, DATE(Initialisatie!$C$5,1,1)) + 1),
        IFERROR(VALUE($G12),0) * MAX(0, MIN($G$1, DATE(Initialisatie!$C$5,12,31)) - MAX($G$2, DATE(Initialisatie!$C$5,1,1)) + 1)
    ) / (DATE(Initialisatie!$C$5,12,31) - DATE(Initialisatie!$C$5,1,1) + 1)
)</f>
        <v>2507</v>
      </c>
    </row>
    <row r="13" spans="1:30" x14ac:dyDescent="0.45">
      <c r="A13" s="988"/>
      <c r="B13" s="35">
        <v>8</v>
      </c>
      <c r="C13" s="35">
        <v>12</v>
      </c>
      <c r="D13" s="35">
        <v>8</v>
      </c>
      <c r="E13" s="35" t="s">
        <v>181</v>
      </c>
      <c r="F13">
        <v>2451</v>
      </c>
      <c r="G13">
        <v>2571</v>
      </c>
      <c r="I13">
        <f>IF(
    OR(
        AND(MAX(0, MIN($F$1, DATE(Initialisatie!$C$5,12,31)) - MAX($F$2, DATE(Initialisatie!$C$5,1,1)) + 1) &gt; 0, IFERROR(VALUE($F13),0)=0),
        AND(MAX(0, MIN($G$1, DATE(Initialisatie!$C$5,12,31)) - MAX($G$2, DATE(Initialisatie!$C$5,1,1)) + 1) &gt; 0, IFERROR(VALUE($G13),0)=0)
    ),
    0,
    SUM(
        IFERROR(VALUE($F13),0) * MAX(0, MIN($F$1, DATE(Initialisatie!$C$5,12,31)) - MAX($F$2, DATE(Initialisatie!$C$5,1,1)) + 1),
        IFERROR(VALUE($G13),0) * MAX(0, MIN($G$1, DATE(Initialisatie!$C$5,12,31)) - MAX($G$2, DATE(Initialisatie!$C$5,1,1)) + 1)
    ) / (DATE(Initialisatie!$C$5,12,31) - DATE(Initialisatie!$C$5,1,1) + 1)
)</f>
        <v>2571</v>
      </c>
    </row>
    <row r="14" spans="1:30" x14ac:dyDescent="0.45">
      <c r="A14" s="988">
        <v>14</v>
      </c>
      <c r="B14" s="35">
        <v>0</v>
      </c>
      <c r="C14" s="35">
        <v>2</v>
      </c>
      <c r="D14" s="35">
        <v>0</v>
      </c>
      <c r="E14" s="35" t="s">
        <v>129</v>
      </c>
      <c r="F14">
        <v>1938</v>
      </c>
      <c r="G14">
        <v>2058</v>
      </c>
      <c r="I14">
        <f>IF(
    OR(
        AND(MAX(0, MIN($F$1, DATE(Initialisatie!$C$5,12,31)) - MAX($F$2, DATE(Initialisatie!$C$5,1,1)) + 1) &gt; 0, IFERROR(VALUE($F14),0)=0),
        AND(MAX(0, MIN($G$1, DATE(Initialisatie!$C$5,12,31)) - MAX($G$2, DATE(Initialisatie!$C$5,1,1)) + 1) &gt; 0, IFERROR(VALUE($G14),0)=0)
    ),
    0,
    SUM(
        IFERROR(VALUE($F14),0) * MAX(0, MIN($F$1, DATE(Initialisatie!$C$5,12,31)) - MAX($F$2, DATE(Initialisatie!$C$5,1,1)) + 1),
        IFERROR(VALUE($G14),0) * MAX(0, MIN($G$1, DATE(Initialisatie!$C$5,12,31)) - MAX($G$2, DATE(Initialisatie!$C$5,1,1)) + 1)
    ) / (DATE(Initialisatie!$C$5,12,31) - DATE(Initialisatie!$C$5,1,1) + 1)
)</f>
        <v>2058</v>
      </c>
    </row>
    <row r="15" spans="1:30" x14ac:dyDescent="0.45">
      <c r="A15" s="988"/>
      <c r="B15" s="35">
        <v>1</v>
      </c>
      <c r="C15" s="35">
        <v>3</v>
      </c>
      <c r="D15" s="35">
        <v>1</v>
      </c>
      <c r="E15" s="35" t="s">
        <v>128</v>
      </c>
      <c r="F15">
        <v>1968</v>
      </c>
      <c r="G15">
        <v>2088</v>
      </c>
      <c r="I15">
        <f>IF(
    OR(
        AND(MAX(0, MIN($F$1, DATE(Initialisatie!$C$5,12,31)) - MAX($F$2, DATE(Initialisatie!$C$5,1,1)) + 1) &gt; 0, IFERROR(VALUE($F15),0)=0),
        AND(MAX(0, MIN($G$1, DATE(Initialisatie!$C$5,12,31)) - MAX($G$2, DATE(Initialisatie!$C$5,1,1)) + 1) &gt; 0, IFERROR(VALUE($G15),0)=0)
    ),
    0,
    SUM(
        IFERROR(VALUE($F15),0) * MAX(0, MIN($F$1, DATE(Initialisatie!$C$5,12,31)) - MAX($F$2, DATE(Initialisatie!$C$5,1,1)) + 1),
        IFERROR(VALUE($G15),0) * MAX(0, MIN($G$1, DATE(Initialisatie!$C$5,12,31)) - MAX($G$2, DATE(Initialisatie!$C$5,1,1)) + 1)
    ) / (DATE(Initialisatie!$C$5,12,31) - DATE(Initialisatie!$C$5,1,1) + 1)
)</f>
        <v>2088</v>
      </c>
    </row>
    <row r="16" spans="1:30" x14ac:dyDescent="0.45">
      <c r="A16" s="988"/>
      <c r="B16" s="35">
        <v>2</v>
      </c>
      <c r="C16" s="35">
        <v>4</v>
      </c>
      <c r="D16" s="35">
        <v>2</v>
      </c>
      <c r="E16" s="35" t="s">
        <v>123</v>
      </c>
      <c r="F16">
        <v>2032</v>
      </c>
      <c r="G16">
        <v>2152</v>
      </c>
      <c r="I16">
        <f>IF(
    OR(
        AND(MAX(0, MIN($F$1, DATE(Initialisatie!$C$5,12,31)) - MAX($F$2, DATE(Initialisatie!$C$5,1,1)) + 1) &gt; 0, IFERROR(VALUE($F16),0)=0),
        AND(MAX(0, MIN($G$1, DATE(Initialisatie!$C$5,12,31)) - MAX($G$2, DATE(Initialisatie!$C$5,1,1)) + 1) &gt; 0, IFERROR(VALUE($G16),0)=0)
    ),
    0,
    SUM(
        IFERROR(VALUE($F16),0) * MAX(0, MIN($F$1, DATE(Initialisatie!$C$5,12,31)) - MAX($F$2, DATE(Initialisatie!$C$5,1,1)) + 1),
        IFERROR(VALUE($G16),0) * MAX(0, MIN($G$1, DATE(Initialisatie!$C$5,12,31)) - MAX($G$2, DATE(Initialisatie!$C$5,1,1)) + 1)
    ) / (DATE(Initialisatie!$C$5,12,31) - DATE(Initialisatie!$C$5,1,1) + 1)
)</f>
        <v>2152</v>
      </c>
    </row>
    <row r="17" spans="1:9" x14ac:dyDescent="0.45">
      <c r="A17" s="988">
        <v>15</v>
      </c>
      <c r="B17" s="35">
        <v>0</v>
      </c>
      <c r="C17" s="35">
        <v>5</v>
      </c>
      <c r="D17" s="35">
        <v>0</v>
      </c>
      <c r="E17" s="35" t="s">
        <v>112</v>
      </c>
      <c r="F17">
        <v>2094</v>
      </c>
      <c r="G17">
        <v>2214</v>
      </c>
      <c r="I17">
        <f>IF(
    OR(
        AND(MAX(0, MIN($F$1, DATE(Initialisatie!$C$5,12,31)) - MAX($F$2, DATE(Initialisatie!$C$5,1,1)) + 1) &gt; 0, IFERROR(VALUE($F17),0)=0),
        AND(MAX(0, MIN($G$1, DATE(Initialisatie!$C$5,12,31)) - MAX($G$2, DATE(Initialisatie!$C$5,1,1)) + 1) &gt; 0, IFERROR(VALUE($G17),0)=0)
    ),
    0,
    SUM(
        IFERROR(VALUE($F17),0) * MAX(0, MIN($F$1, DATE(Initialisatie!$C$5,12,31)) - MAX($F$2, DATE(Initialisatie!$C$5,1,1)) + 1),
        IFERROR(VALUE($G17),0) * MAX(0, MIN($G$1, DATE(Initialisatie!$C$5,12,31)) - MAX($G$2, DATE(Initialisatie!$C$5,1,1)) + 1)
    ) / (DATE(Initialisatie!$C$5,12,31) - DATE(Initialisatie!$C$5,1,1) + 1)
)</f>
        <v>2214</v>
      </c>
    </row>
    <row r="18" spans="1:9" x14ac:dyDescent="0.45">
      <c r="A18" s="988"/>
      <c r="B18" s="35">
        <v>1</v>
      </c>
      <c r="C18" s="35">
        <v>6</v>
      </c>
      <c r="D18" s="35">
        <v>1</v>
      </c>
      <c r="E18" s="35" t="s">
        <v>110</v>
      </c>
      <c r="F18">
        <v>2128</v>
      </c>
      <c r="G18">
        <v>2248</v>
      </c>
      <c r="I18">
        <f>IF(
    OR(
        AND(MAX(0, MIN($F$1, DATE(Initialisatie!$C$5,12,31)) - MAX($F$2, DATE(Initialisatie!$C$5,1,1)) + 1) &gt; 0, IFERROR(VALUE($F18),0)=0),
        AND(MAX(0, MIN($G$1, DATE(Initialisatie!$C$5,12,31)) - MAX($G$2, DATE(Initialisatie!$C$5,1,1)) + 1) &gt; 0, IFERROR(VALUE($G18),0)=0)
    ),
    0,
    SUM(
        IFERROR(VALUE($F18),0) * MAX(0, MIN($F$1, DATE(Initialisatie!$C$5,12,31)) - MAX($F$2, DATE(Initialisatie!$C$5,1,1)) + 1),
        IFERROR(VALUE($G18),0) * MAX(0, MIN($G$1, DATE(Initialisatie!$C$5,12,31)) - MAX($G$2, DATE(Initialisatie!$C$5,1,1)) + 1)
    ) / (DATE(Initialisatie!$C$5,12,31) - DATE(Initialisatie!$C$5,1,1) + 1)
)</f>
        <v>2248</v>
      </c>
    </row>
    <row r="19" spans="1:9" x14ac:dyDescent="0.45">
      <c r="A19" s="988"/>
      <c r="B19" s="35">
        <v>2</v>
      </c>
      <c r="C19" s="35">
        <v>7</v>
      </c>
      <c r="D19" s="35">
        <v>2</v>
      </c>
      <c r="E19" s="35" t="s">
        <v>100</v>
      </c>
      <c r="F19">
        <v>2176</v>
      </c>
      <c r="G19">
        <v>2296</v>
      </c>
      <c r="I19">
        <f>IF(
    OR(
        AND(MAX(0, MIN($F$1, DATE(Initialisatie!$C$5,12,31)) - MAX($F$2, DATE(Initialisatie!$C$5,1,1)) + 1) &gt; 0, IFERROR(VALUE($F19),0)=0),
        AND(MAX(0, MIN($G$1, DATE(Initialisatie!$C$5,12,31)) - MAX($G$2, DATE(Initialisatie!$C$5,1,1)) + 1) &gt; 0, IFERROR(VALUE($G19),0)=0)
    ),
    0,
    SUM(
        IFERROR(VALUE($F19),0) * MAX(0, MIN($F$1, DATE(Initialisatie!$C$5,12,31)) - MAX($F$2, DATE(Initialisatie!$C$5,1,1)) + 1),
        IFERROR(VALUE($G19),0) * MAX(0, MIN($G$1, DATE(Initialisatie!$C$5,12,31)) - MAX($G$2, DATE(Initialisatie!$C$5,1,1)) + 1)
    ) / (DATE(Initialisatie!$C$5,12,31) - DATE(Initialisatie!$C$5,1,1) + 1)
)</f>
        <v>2296</v>
      </c>
    </row>
    <row r="20" spans="1:9" x14ac:dyDescent="0.45">
      <c r="A20" s="988"/>
      <c r="B20" s="35">
        <v>3</v>
      </c>
      <c r="C20" s="35">
        <v>8</v>
      </c>
      <c r="D20" s="35">
        <v>3</v>
      </c>
      <c r="E20" s="35" t="s">
        <v>98</v>
      </c>
      <c r="F20">
        <v>2223</v>
      </c>
      <c r="G20">
        <v>2343</v>
      </c>
      <c r="I20">
        <f>IF(
    OR(
        AND(MAX(0, MIN($F$1, DATE(Initialisatie!$C$5,12,31)) - MAX($F$2, DATE(Initialisatie!$C$5,1,1)) + 1) &gt; 0, IFERROR(VALUE($F20),0)=0),
        AND(MAX(0, MIN($G$1, DATE(Initialisatie!$C$5,12,31)) - MAX($G$2, DATE(Initialisatie!$C$5,1,1)) + 1) &gt; 0, IFERROR(VALUE($G20),0)=0)
    ),
    0,
    SUM(
        IFERROR(VALUE($F20),0) * MAX(0, MIN($F$1, DATE(Initialisatie!$C$5,12,31)) - MAX($F$2, DATE(Initialisatie!$C$5,1,1)) + 1),
        IFERROR(VALUE($G20),0) * MAX(0, MIN($G$1, DATE(Initialisatie!$C$5,12,31)) - MAX($G$2, DATE(Initialisatie!$C$5,1,1)) + 1)
    ) / (DATE(Initialisatie!$C$5,12,31) - DATE(Initialisatie!$C$5,1,1) + 1)
)</f>
        <v>2343</v>
      </c>
    </row>
    <row r="21" spans="1:9" x14ac:dyDescent="0.45">
      <c r="A21" s="988"/>
      <c r="B21" s="35">
        <v>4</v>
      </c>
      <c r="C21" s="35">
        <v>9</v>
      </c>
      <c r="D21" s="35">
        <v>4</v>
      </c>
      <c r="E21" s="35" t="s">
        <v>96</v>
      </c>
      <c r="F21">
        <v>2272</v>
      </c>
      <c r="G21">
        <v>2392</v>
      </c>
      <c r="I21">
        <f>IF(
    OR(
        AND(MAX(0, MIN($F$1, DATE(Initialisatie!$C$5,12,31)) - MAX($F$2, DATE(Initialisatie!$C$5,1,1)) + 1) &gt; 0, IFERROR(VALUE($F21),0)=0),
        AND(MAX(0, MIN($G$1, DATE(Initialisatie!$C$5,12,31)) - MAX($G$2, DATE(Initialisatie!$C$5,1,1)) + 1) &gt; 0, IFERROR(VALUE($G21),0)=0)
    ),
    0,
    SUM(
        IFERROR(VALUE($F21),0) * MAX(0, MIN($F$1, DATE(Initialisatie!$C$5,12,31)) - MAX($F$2, DATE(Initialisatie!$C$5,1,1)) + 1),
        IFERROR(VALUE($G21),0) * MAX(0, MIN($G$1, DATE(Initialisatie!$C$5,12,31)) - MAX($G$2, DATE(Initialisatie!$C$5,1,1)) + 1)
    ) / (DATE(Initialisatie!$C$5,12,31) - DATE(Initialisatie!$C$5,1,1) + 1)
)</f>
        <v>2392</v>
      </c>
    </row>
    <row r="22" spans="1:9" x14ac:dyDescent="0.45">
      <c r="A22" s="988"/>
      <c r="B22" s="35">
        <v>5</v>
      </c>
      <c r="C22" s="35">
        <v>10</v>
      </c>
      <c r="D22" s="35">
        <v>5</v>
      </c>
      <c r="E22" s="35" t="s">
        <v>94</v>
      </c>
      <c r="F22">
        <v>2326</v>
      </c>
      <c r="G22">
        <v>2446</v>
      </c>
      <c r="I22">
        <f>IF(
    OR(
        AND(MAX(0, MIN($F$1, DATE(Initialisatie!$C$5,12,31)) - MAX($F$2, DATE(Initialisatie!$C$5,1,1)) + 1) &gt; 0, IFERROR(VALUE($F22),0)=0),
        AND(MAX(0, MIN($G$1, DATE(Initialisatie!$C$5,12,31)) - MAX($G$2, DATE(Initialisatie!$C$5,1,1)) + 1) &gt; 0, IFERROR(VALUE($G22),0)=0)
    ),
    0,
    SUM(
        IFERROR(VALUE($F22),0) * MAX(0, MIN($F$1, DATE(Initialisatie!$C$5,12,31)) - MAX($F$2, DATE(Initialisatie!$C$5,1,1)) + 1),
        IFERROR(VALUE($G22),0) * MAX(0, MIN($G$1, DATE(Initialisatie!$C$5,12,31)) - MAX($G$2, DATE(Initialisatie!$C$5,1,1)) + 1)
    ) / (DATE(Initialisatie!$C$5,12,31) - DATE(Initialisatie!$C$5,1,1) + 1)
)</f>
        <v>2446</v>
      </c>
    </row>
    <row r="23" spans="1:9" x14ac:dyDescent="0.45">
      <c r="A23" s="988"/>
      <c r="B23" s="35">
        <v>6</v>
      </c>
      <c r="C23" s="35">
        <v>11</v>
      </c>
      <c r="D23" s="35">
        <v>6</v>
      </c>
      <c r="E23" s="35" t="s">
        <v>92</v>
      </c>
      <c r="F23">
        <v>2387</v>
      </c>
      <c r="G23">
        <v>2507</v>
      </c>
      <c r="I23">
        <f>IF(
    OR(
        AND(MAX(0, MIN($F$1, DATE(Initialisatie!$C$5,12,31)) - MAX($F$2, DATE(Initialisatie!$C$5,1,1)) + 1) &gt; 0, IFERROR(VALUE($F23),0)=0),
        AND(MAX(0, MIN($G$1, DATE(Initialisatie!$C$5,12,31)) - MAX($G$2, DATE(Initialisatie!$C$5,1,1)) + 1) &gt; 0, IFERROR(VALUE($G23),0)=0)
    ),
    0,
    SUM(
        IFERROR(VALUE($F23),0) * MAX(0, MIN($F$1, DATE(Initialisatie!$C$5,12,31)) - MAX($F$2, DATE(Initialisatie!$C$5,1,1)) + 1),
        IFERROR(VALUE($G23),0) * MAX(0, MIN($G$1, DATE(Initialisatie!$C$5,12,31)) - MAX($G$2, DATE(Initialisatie!$C$5,1,1)) + 1)
    ) / (DATE(Initialisatie!$C$5,12,31) - DATE(Initialisatie!$C$5,1,1) + 1)
)</f>
        <v>2507</v>
      </c>
    </row>
    <row r="24" spans="1:9" x14ac:dyDescent="0.45">
      <c r="A24" s="988"/>
      <c r="B24" s="35">
        <v>7</v>
      </c>
      <c r="C24" s="35">
        <v>12</v>
      </c>
      <c r="D24" s="35">
        <v>7</v>
      </c>
      <c r="E24" s="35" t="s">
        <v>90</v>
      </c>
      <c r="F24">
        <v>2451</v>
      </c>
      <c r="G24">
        <v>2571</v>
      </c>
      <c r="I24">
        <f>IF(
    OR(
        AND(MAX(0, MIN($F$1, DATE(Initialisatie!$C$5,12,31)) - MAX($F$2, DATE(Initialisatie!$C$5,1,1)) + 1) &gt; 0, IFERROR(VALUE($F24),0)=0),
        AND(MAX(0, MIN($G$1, DATE(Initialisatie!$C$5,12,31)) - MAX($G$2, DATE(Initialisatie!$C$5,1,1)) + 1) &gt; 0, IFERROR(VALUE($G24),0)=0)
    ),
    0,
    SUM(
        IFERROR(VALUE($F24),0) * MAX(0, MIN($F$1, DATE(Initialisatie!$C$5,12,31)) - MAX($F$2, DATE(Initialisatie!$C$5,1,1)) + 1),
        IFERROR(VALUE($G24),0) * MAX(0, MIN($G$1, DATE(Initialisatie!$C$5,12,31)) - MAX($G$2, DATE(Initialisatie!$C$5,1,1)) + 1)
    ) / (DATE(Initialisatie!$C$5,12,31) - DATE(Initialisatie!$C$5,1,1) + 1)
)</f>
        <v>2571</v>
      </c>
    </row>
    <row r="25" spans="1:9" x14ac:dyDescent="0.45">
      <c r="A25" s="988"/>
      <c r="B25" s="35">
        <v>8</v>
      </c>
      <c r="C25" s="35">
        <v>13</v>
      </c>
      <c r="D25" s="35">
        <v>8</v>
      </c>
      <c r="E25" s="35" t="s">
        <v>88</v>
      </c>
      <c r="F25">
        <v>2522</v>
      </c>
      <c r="G25">
        <v>2642</v>
      </c>
      <c r="I25">
        <f>IF(
    OR(
        AND(MAX(0, MIN($F$1, DATE(Initialisatie!$C$5,12,31)) - MAX($F$2, DATE(Initialisatie!$C$5,1,1)) + 1) &gt; 0, IFERROR(VALUE($F25),0)=0),
        AND(MAX(0, MIN($G$1, DATE(Initialisatie!$C$5,12,31)) - MAX($G$2, DATE(Initialisatie!$C$5,1,1)) + 1) &gt; 0, IFERROR(VALUE($G25),0)=0)
    ),
    0,
    SUM(
        IFERROR(VALUE($F25),0) * MAX(0, MIN($F$1, DATE(Initialisatie!$C$5,12,31)) - MAX($F$2, DATE(Initialisatie!$C$5,1,1)) + 1),
        IFERROR(VALUE($G25),0) * MAX(0, MIN($G$1, DATE(Initialisatie!$C$5,12,31)) - MAX($G$2, DATE(Initialisatie!$C$5,1,1)) + 1)
    ) / (DATE(Initialisatie!$C$5,12,31) - DATE(Initialisatie!$C$5,1,1) + 1)
)</f>
        <v>2642</v>
      </c>
    </row>
    <row r="26" spans="1:9" x14ac:dyDescent="0.45">
      <c r="A26" s="988"/>
      <c r="B26" s="35">
        <v>9</v>
      </c>
      <c r="C26" s="35">
        <v>14</v>
      </c>
      <c r="D26" s="35">
        <v>9</v>
      </c>
      <c r="E26" s="35" t="s">
        <v>86</v>
      </c>
      <c r="F26">
        <v>2595</v>
      </c>
      <c r="G26">
        <v>2715</v>
      </c>
      <c r="I26">
        <f>IF(
    OR(
        AND(MAX(0, MIN($F$1, DATE(Initialisatie!$C$5,12,31)) - MAX($F$2, DATE(Initialisatie!$C$5,1,1)) + 1) &gt; 0, IFERROR(VALUE($F26),0)=0),
        AND(MAX(0, MIN($G$1, DATE(Initialisatie!$C$5,12,31)) - MAX($G$2, DATE(Initialisatie!$C$5,1,1)) + 1) &gt; 0, IFERROR(VALUE($G26),0)=0)
    ),
    0,
    SUM(
        IFERROR(VALUE($F26),0) * MAX(0, MIN($F$1, DATE(Initialisatie!$C$5,12,31)) - MAX($F$2, DATE(Initialisatie!$C$5,1,1)) + 1),
        IFERROR(VALUE($G26),0) * MAX(0, MIN($G$1, DATE(Initialisatie!$C$5,12,31)) - MAX($G$2, DATE(Initialisatie!$C$5,1,1)) + 1)
    ) / (DATE(Initialisatie!$C$5,12,31) - DATE(Initialisatie!$C$5,1,1) + 1)
)</f>
        <v>2715</v>
      </c>
    </row>
    <row r="27" spans="1:9" x14ac:dyDescent="0.45">
      <c r="A27" s="988">
        <v>19</v>
      </c>
      <c r="B27" s="35">
        <v>0</v>
      </c>
      <c r="C27" s="35">
        <v>3</v>
      </c>
      <c r="D27" s="35">
        <v>0</v>
      </c>
      <c r="E27" s="35" t="s">
        <v>304</v>
      </c>
      <c r="F27">
        <v>1968</v>
      </c>
      <c r="G27">
        <v>2088</v>
      </c>
      <c r="I27">
        <f>IF(
    OR(
        AND(MAX(0, MIN($F$1, DATE(Initialisatie!$C$5,12,31)) - MAX($F$2, DATE(Initialisatie!$C$5,1,1)) + 1) &gt; 0, IFERROR(VALUE($F27),0)=0),
        AND(MAX(0, MIN($G$1, DATE(Initialisatie!$C$5,12,31)) - MAX($G$2, DATE(Initialisatie!$C$5,1,1)) + 1) &gt; 0, IFERROR(VALUE($G27),0)=0)
    ),
    0,
    SUM(
        IFERROR(VALUE($F27),0) * MAX(0, MIN($F$1, DATE(Initialisatie!$C$5,12,31)) - MAX($F$2, DATE(Initialisatie!$C$5,1,1)) + 1),
        IFERROR(VALUE($G27),0) * MAX(0, MIN($G$1, DATE(Initialisatie!$C$5,12,31)) - MAX($G$2, DATE(Initialisatie!$C$5,1,1)) + 1)
    ) / (DATE(Initialisatie!$C$5,12,31) - DATE(Initialisatie!$C$5,1,1) + 1)
)</f>
        <v>2088</v>
      </c>
    </row>
    <row r="28" spans="1:9" x14ac:dyDescent="0.45">
      <c r="A28" s="988"/>
      <c r="B28" s="35">
        <v>1</v>
      </c>
      <c r="C28" s="35">
        <v>4</v>
      </c>
      <c r="D28" s="35">
        <v>1</v>
      </c>
      <c r="E28" s="35" t="s">
        <v>305</v>
      </c>
      <c r="F28">
        <v>2032</v>
      </c>
      <c r="G28">
        <v>2152</v>
      </c>
      <c r="I28">
        <f>IF(
    OR(
        AND(MAX(0, MIN($F$1, DATE(Initialisatie!$C$5,12,31)) - MAX($F$2, DATE(Initialisatie!$C$5,1,1)) + 1) &gt; 0, IFERROR(VALUE($F28),0)=0),
        AND(MAX(0, MIN($G$1, DATE(Initialisatie!$C$5,12,31)) - MAX($G$2, DATE(Initialisatie!$C$5,1,1)) + 1) &gt; 0, IFERROR(VALUE($G28),0)=0)
    ),
    0,
    SUM(
        IFERROR(VALUE($F28),0) * MAX(0, MIN($F$1, DATE(Initialisatie!$C$5,12,31)) - MAX($F$2, DATE(Initialisatie!$C$5,1,1)) + 1),
        IFERROR(VALUE($G28),0) * MAX(0, MIN($G$1, DATE(Initialisatie!$C$5,12,31)) - MAX($G$2, DATE(Initialisatie!$C$5,1,1)) + 1)
    ) / (DATE(Initialisatie!$C$5,12,31) - DATE(Initialisatie!$C$5,1,1) + 1)
)</f>
        <v>2152</v>
      </c>
    </row>
    <row r="29" spans="1:9" x14ac:dyDescent="0.45">
      <c r="A29" s="988"/>
      <c r="B29" s="35">
        <v>2</v>
      </c>
      <c r="C29" s="35">
        <v>5</v>
      </c>
      <c r="D29" s="35">
        <v>2</v>
      </c>
      <c r="E29" s="35" t="s">
        <v>306</v>
      </c>
      <c r="F29">
        <v>2094</v>
      </c>
      <c r="G29">
        <v>2214</v>
      </c>
      <c r="I29">
        <f>IF(
    OR(
        AND(MAX(0, MIN($F$1, DATE(Initialisatie!$C$5,12,31)) - MAX($F$2, DATE(Initialisatie!$C$5,1,1)) + 1) &gt; 0, IFERROR(VALUE($F29),0)=0),
        AND(MAX(0, MIN($G$1, DATE(Initialisatie!$C$5,12,31)) - MAX($G$2, DATE(Initialisatie!$C$5,1,1)) + 1) &gt; 0, IFERROR(VALUE($G29),0)=0)
    ),
    0,
    SUM(
        IFERROR(VALUE($F29),0) * MAX(0, MIN($F$1, DATE(Initialisatie!$C$5,12,31)) - MAX($F$2, DATE(Initialisatie!$C$5,1,1)) + 1),
        IFERROR(VALUE($G29),0) * MAX(0, MIN($G$1, DATE(Initialisatie!$C$5,12,31)) - MAX($G$2, DATE(Initialisatie!$C$5,1,1)) + 1)
    ) / (DATE(Initialisatie!$C$5,12,31) - DATE(Initialisatie!$C$5,1,1) + 1)
)</f>
        <v>2214</v>
      </c>
    </row>
    <row r="30" spans="1:9" x14ac:dyDescent="0.45">
      <c r="A30" s="988">
        <v>20</v>
      </c>
      <c r="B30" s="35">
        <v>0</v>
      </c>
      <c r="C30" s="35">
        <v>6</v>
      </c>
      <c r="D30" s="35">
        <v>0</v>
      </c>
      <c r="E30" s="35" t="s">
        <v>307</v>
      </c>
      <c r="F30">
        <v>2128</v>
      </c>
      <c r="G30">
        <v>2248</v>
      </c>
      <c r="I30">
        <f>IF(
    OR(
        AND(MAX(0, MIN($F$1, DATE(Initialisatie!$C$5,12,31)) - MAX($F$2, DATE(Initialisatie!$C$5,1,1)) + 1) &gt; 0, IFERROR(VALUE($F30),0)=0),
        AND(MAX(0, MIN($G$1, DATE(Initialisatie!$C$5,12,31)) - MAX($G$2, DATE(Initialisatie!$C$5,1,1)) + 1) &gt; 0, IFERROR(VALUE($G30),0)=0)
    ),
    0,
    SUM(
        IFERROR(VALUE($F30),0) * MAX(0, MIN($F$1, DATE(Initialisatie!$C$5,12,31)) - MAX($F$2, DATE(Initialisatie!$C$5,1,1)) + 1),
        IFERROR(VALUE($G30),0) * MAX(0, MIN($G$1, DATE(Initialisatie!$C$5,12,31)) - MAX($G$2, DATE(Initialisatie!$C$5,1,1)) + 1)
    ) / (DATE(Initialisatie!$C$5,12,31) - DATE(Initialisatie!$C$5,1,1) + 1)
)</f>
        <v>2248</v>
      </c>
    </row>
    <row r="31" spans="1:9" x14ac:dyDescent="0.45">
      <c r="A31" s="988"/>
      <c r="B31" s="35">
        <v>1</v>
      </c>
      <c r="C31" s="35">
        <v>7</v>
      </c>
      <c r="D31" s="35">
        <v>1</v>
      </c>
      <c r="E31" s="35" t="s">
        <v>308</v>
      </c>
      <c r="F31">
        <v>2176</v>
      </c>
      <c r="G31">
        <v>2296</v>
      </c>
      <c r="I31">
        <f>IF(
    OR(
        AND(MAX(0, MIN($F$1, DATE(Initialisatie!$C$5,12,31)) - MAX($F$2, DATE(Initialisatie!$C$5,1,1)) + 1) &gt; 0, IFERROR(VALUE($F31),0)=0),
        AND(MAX(0, MIN($G$1, DATE(Initialisatie!$C$5,12,31)) - MAX($G$2, DATE(Initialisatie!$C$5,1,1)) + 1) &gt; 0, IFERROR(VALUE($G31),0)=0)
    ),
    0,
    SUM(
        IFERROR(VALUE($F31),0) * MAX(0, MIN($F$1, DATE(Initialisatie!$C$5,12,31)) - MAX($F$2, DATE(Initialisatie!$C$5,1,1)) + 1),
        IFERROR(VALUE($G31),0) * MAX(0, MIN($G$1, DATE(Initialisatie!$C$5,12,31)) - MAX($G$2, DATE(Initialisatie!$C$5,1,1)) + 1)
    ) / (DATE(Initialisatie!$C$5,12,31) - DATE(Initialisatie!$C$5,1,1) + 1)
)</f>
        <v>2296</v>
      </c>
    </row>
    <row r="32" spans="1:9" x14ac:dyDescent="0.45">
      <c r="A32" s="988"/>
      <c r="B32" s="35">
        <v>2</v>
      </c>
      <c r="C32" s="35">
        <v>8</v>
      </c>
      <c r="D32" s="35">
        <v>2</v>
      </c>
      <c r="E32" s="35" t="s">
        <v>309</v>
      </c>
      <c r="F32">
        <v>2223</v>
      </c>
      <c r="G32">
        <v>2343</v>
      </c>
      <c r="I32">
        <f>IF(
    OR(
        AND(MAX(0, MIN($F$1, DATE(Initialisatie!$C$5,12,31)) - MAX($F$2, DATE(Initialisatie!$C$5,1,1)) + 1) &gt; 0, IFERROR(VALUE($F32),0)=0),
        AND(MAX(0, MIN($G$1, DATE(Initialisatie!$C$5,12,31)) - MAX($G$2, DATE(Initialisatie!$C$5,1,1)) + 1) &gt; 0, IFERROR(VALUE($G32),0)=0)
    ),
    0,
    SUM(
        IFERROR(VALUE($F32),0) * MAX(0, MIN($F$1, DATE(Initialisatie!$C$5,12,31)) - MAX($F$2, DATE(Initialisatie!$C$5,1,1)) + 1),
        IFERROR(VALUE($G32),0) * MAX(0, MIN($G$1, DATE(Initialisatie!$C$5,12,31)) - MAX($G$2, DATE(Initialisatie!$C$5,1,1)) + 1)
    ) / (DATE(Initialisatie!$C$5,12,31) - DATE(Initialisatie!$C$5,1,1) + 1)
)</f>
        <v>2343</v>
      </c>
    </row>
    <row r="33" spans="1:9" x14ac:dyDescent="0.45">
      <c r="A33" s="988"/>
      <c r="B33" s="35">
        <v>3</v>
      </c>
      <c r="C33" s="35">
        <v>9</v>
      </c>
      <c r="D33" s="35">
        <v>3</v>
      </c>
      <c r="E33" s="35" t="s">
        <v>310</v>
      </c>
      <c r="F33">
        <v>2272</v>
      </c>
      <c r="G33">
        <v>2392</v>
      </c>
      <c r="I33">
        <f>IF(
    OR(
        AND(MAX(0, MIN($F$1, DATE(Initialisatie!$C$5,12,31)) - MAX($F$2, DATE(Initialisatie!$C$5,1,1)) + 1) &gt; 0, IFERROR(VALUE($F33),0)=0),
        AND(MAX(0, MIN($G$1, DATE(Initialisatie!$C$5,12,31)) - MAX($G$2, DATE(Initialisatie!$C$5,1,1)) + 1) &gt; 0, IFERROR(VALUE($G33),0)=0)
    ),
    0,
    SUM(
        IFERROR(VALUE($F33),0) * MAX(0, MIN($F$1, DATE(Initialisatie!$C$5,12,31)) - MAX($F$2, DATE(Initialisatie!$C$5,1,1)) + 1),
        IFERROR(VALUE($G33),0) * MAX(0, MIN($G$1, DATE(Initialisatie!$C$5,12,31)) - MAX($G$2, DATE(Initialisatie!$C$5,1,1)) + 1)
    ) / (DATE(Initialisatie!$C$5,12,31) - DATE(Initialisatie!$C$5,1,1) + 1)
)</f>
        <v>2392</v>
      </c>
    </row>
    <row r="34" spans="1:9" x14ac:dyDescent="0.45">
      <c r="A34" s="988"/>
      <c r="B34" s="35">
        <v>4</v>
      </c>
      <c r="C34" s="35">
        <v>10</v>
      </c>
      <c r="D34" s="35">
        <v>4</v>
      </c>
      <c r="E34" s="35" t="s">
        <v>311</v>
      </c>
      <c r="F34">
        <v>2326</v>
      </c>
      <c r="G34">
        <v>2446</v>
      </c>
      <c r="I34">
        <f>IF(
    OR(
        AND(MAX(0, MIN($F$1, DATE(Initialisatie!$C$5,12,31)) - MAX($F$2, DATE(Initialisatie!$C$5,1,1)) + 1) &gt; 0, IFERROR(VALUE($F34),0)=0),
        AND(MAX(0, MIN($G$1, DATE(Initialisatie!$C$5,12,31)) - MAX($G$2, DATE(Initialisatie!$C$5,1,1)) + 1) &gt; 0, IFERROR(VALUE($G34),0)=0)
    ),
    0,
    SUM(
        IFERROR(VALUE($F34),0) * MAX(0, MIN($F$1, DATE(Initialisatie!$C$5,12,31)) - MAX($F$2, DATE(Initialisatie!$C$5,1,1)) + 1),
        IFERROR(VALUE($G34),0) * MAX(0, MIN($G$1, DATE(Initialisatie!$C$5,12,31)) - MAX($G$2, DATE(Initialisatie!$C$5,1,1)) + 1)
    ) / (DATE(Initialisatie!$C$5,12,31) - DATE(Initialisatie!$C$5,1,1) + 1)
)</f>
        <v>2446</v>
      </c>
    </row>
    <row r="35" spans="1:9" x14ac:dyDescent="0.45">
      <c r="A35" s="988"/>
      <c r="B35" s="35">
        <v>5</v>
      </c>
      <c r="C35" s="35">
        <v>11</v>
      </c>
      <c r="D35" s="35">
        <v>5</v>
      </c>
      <c r="E35" s="35" t="s">
        <v>312</v>
      </c>
      <c r="F35">
        <v>2387</v>
      </c>
      <c r="G35">
        <v>2507</v>
      </c>
      <c r="I35">
        <f>IF(
    OR(
        AND(MAX(0, MIN($F$1, DATE(Initialisatie!$C$5,12,31)) - MAX($F$2, DATE(Initialisatie!$C$5,1,1)) + 1) &gt; 0, IFERROR(VALUE($F35),0)=0),
        AND(MAX(0, MIN($G$1, DATE(Initialisatie!$C$5,12,31)) - MAX($G$2, DATE(Initialisatie!$C$5,1,1)) + 1) &gt; 0, IFERROR(VALUE($G35),0)=0)
    ),
    0,
    SUM(
        IFERROR(VALUE($F35),0) * MAX(0, MIN($F$1, DATE(Initialisatie!$C$5,12,31)) - MAX($F$2, DATE(Initialisatie!$C$5,1,1)) + 1),
        IFERROR(VALUE($G35),0) * MAX(0, MIN($G$1, DATE(Initialisatie!$C$5,12,31)) - MAX($G$2, DATE(Initialisatie!$C$5,1,1)) + 1)
    ) / (DATE(Initialisatie!$C$5,12,31) - DATE(Initialisatie!$C$5,1,1) + 1)
)</f>
        <v>2507</v>
      </c>
    </row>
    <row r="36" spans="1:9" x14ac:dyDescent="0.45">
      <c r="A36" s="988"/>
      <c r="B36" s="35">
        <v>6</v>
      </c>
      <c r="C36" s="35">
        <v>12</v>
      </c>
      <c r="D36" s="35">
        <v>6</v>
      </c>
      <c r="E36" s="35" t="s">
        <v>313</v>
      </c>
      <c r="F36">
        <v>2451</v>
      </c>
      <c r="G36">
        <v>2571</v>
      </c>
      <c r="I36">
        <f>IF(
    OR(
        AND(MAX(0, MIN($F$1, DATE(Initialisatie!$C$5,12,31)) - MAX($F$2, DATE(Initialisatie!$C$5,1,1)) + 1) &gt; 0, IFERROR(VALUE($F36),0)=0),
        AND(MAX(0, MIN($G$1, DATE(Initialisatie!$C$5,12,31)) - MAX($G$2, DATE(Initialisatie!$C$5,1,1)) + 1) &gt; 0, IFERROR(VALUE($G36),0)=0)
    ),
    0,
    SUM(
        IFERROR(VALUE($F36),0) * MAX(0, MIN($F$1, DATE(Initialisatie!$C$5,12,31)) - MAX($F$2, DATE(Initialisatie!$C$5,1,1)) + 1),
        IFERROR(VALUE($G36),0) * MAX(0, MIN($G$1, DATE(Initialisatie!$C$5,12,31)) - MAX($G$2, DATE(Initialisatie!$C$5,1,1)) + 1)
    ) / (DATE(Initialisatie!$C$5,12,31) - DATE(Initialisatie!$C$5,1,1) + 1)
)</f>
        <v>2571</v>
      </c>
    </row>
    <row r="37" spans="1:9" x14ac:dyDescent="0.45">
      <c r="A37" s="988"/>
      <c r="B37" s="35">
        <v>7</v>
      </c>
      <c r="C37" s="35">
        <v>13</v>
      </c>
      <c r="D37" s="35">
        <v>7</v>
      </c>
      <c r="E37" s="35" t="s">
        <v>314</v>
      </c>
      <c r="F37">
        <v>2522</v>
      </c>
      <c r="G37">
        <v>2642</v>
      </c>
      <c r="I37">
        <f>IF(
    OR(
        AND(MAX(0, MIN($F$1, DATE(Initialisatie!$C$5,12,31)) - MAX($F$2, DATE(Initialisatie!$C$5,1,1)) + 1) &gt; 0, IFERROR(VALUE($F37),0)=0),
        AND(MAX(0, MIN($G$1, DATE(Initialisatie!$C$5,12,31)) - MAX($G$2, DATE(Initialisatie!$C$5,1,1)) + 1) &gt; 0, IFERROR(VALUE($G37),0)=0)
    ),
    0,
    SUM(
        IFERROR(VALUE($F37),0) * MAX(0, MIN($F$1, DATE(Initialisatie!$C$5,12,31)) - MAX($F$2, DATE(Initialisatie!$C$5,1,1)) + 1),
        IFERROR(VALUE($G37),0) * MAX(0, MIN($G$1, DATE(Initialisatie!$C$5,12,31)) - MAX($G$2, DATE(Initialisatie!$C$5,1,1)) + 1)
    ) / (DATE(Initialisatie!$C$5,12,31) - DATE(Initialisatie!$C$5,1,1) + 1)
)</f>
        <v>2642</v>
      </c>
    </row>
    <row r="38" spans="1:9" x14ac:dyDescent="0.45">
      <c r="A38" s="988"/>
      <c r="B38" s="35">
        <v>8</v>
      </c>
      <c r="C38" s="35">
        <v>14</v>
      </c>
      <c r="D38" s="35">
        <v>8</v>
      </c>
      <c r="E38" s="35" t="s">
        <v>315</v>
      </c>
      <c r="F38">
        <v>2595</v>
      </c>
      <c r="G38">
        <v>2715</v>
      </c>
      <c r="I38">
        <f>IF(
    OR(
        AND(MAX(0, MIN($F$1, DATE(Initialisatie!$C$5,12,31)) - MAX($F$2, DATE(Initialisatie!$C$5,1,1)) + 1) &gt; 0, IFERROR(VALUE($F38),0)=0),
        AND(MAX(0, MIN($G$1, DATE(Initialisatie!$C$5,12,31)) - MAX($G$2, DATE(Initialisatie!$C$5,1,1)) + 1) &gt; 0, IFERROR(VALUE($G38),0)=0)
    ),
    0,
    SUM(
        IFERROR(VALUE($F38),0) * MAX(0, MIN($F$1, DATE(Initialisatie!$C$5,12,31)) - MAX($F$2, DATE(Initialisatie!$C$5,1,1)) + 1),
        IFERROR(VALUE($G38),0) * MAX(0, MIN($G$1, DATE(Initialisatie!$C$5,12,31)) - MAX($G$2, DATE(Initialisatie!$C$5,1,1)) + 1)
    ) / (DATE(Initialisatie!$C$5,12,31) - DATE(Initialisatie!$C$5,1,1) + 1)
)</f>
        <v>2715</v>
      </c>
    </row>
    <row r="39" spans="1:9" x14ac:dyDescent="0.45">
      <c r="A39" s="988"/>
      <c r="B39" s="35">
        <v>9</v>
      </c>
      <c r="C39" s="35">
        <v>15</v>
      </c>
      <c r="D39" s="35">
        <v>9</v>
      </c>
      <c r="E39" s="35" t="s">
        <v>316</v>
      </c>
      <c r="F39">
        <v>2661</v>
      </c>
      <c r="G39">
        <v>2781</v>
      </c>
      <c r="I39">
        <f>IF(
    OR(
        AND(MAX(0, MIN($F$1, DATE(Initialisatie!$C$5,12,31)) - MAX($F$2, DATE(Initialisatie!$C$5,1,1)) + 1) &gt; 0, IFERROR(VALUE($F39),0)=0),
        AND(MAX(0, MIN($G$1, DATE(Initialisatie!$C$5,12,31)) - MAX($G$2, DATE(Initialisatie!$C$5,1,1)) + 1) &gt; 0, IFERROR(VALUE($G39),0)=0)
    ),
    0,
    SUM(
        IFERROR(VALUE($F39),0) * MAX(0, MIN($F$1, DATE(Initialisatie!$C$5,12,31)) - MAX($F$2, DATE(Initialisatie!$C$5,1,1)) + 1),
        IFERROR(VALUE($G39),0) * MAX(0, MIN($G$1, DATE(Initialisatie!$C$5,12,31)) - MAX($G$2, DATE(Initialisatie!$C$5,1,1)) + 1)
    ) / (DATE(Initialisatie!$C$5,12,31) - DATE(Initialisatie!$C$5,1,1) + 1)
)</f>
        <v>2781</v>
      </c>
    </row>
    <row r="40" spans="1:9" x14ac:dyDescent="0.45">
      <c r="A40" s="988"/>
      <c r="B40" s="35">
        <v>10</v>
      </c>
      <c r="C40" s="35">
        <v>16</v>
      </c>
      <c r="D40" s="35">
        <v>10</v>
      </c>
      <c r="E40" s="35" t="s">
        <v>317</v>
      </c>
      <c r="F40">
        <v>2737</v>
      </c>
      <c r="G40">
        <v>2857</v>
      </c>
      <c r="I40">
        <f>IF(
    OR(
        AND(MAX(0, MIN($F$1, DATE(Initialisatie!$C$5,12,31)) - MAX($F$2, DATE(Initialisatie!$C$5,1,1)) + 1) &gt; 0, IFERROR(VALUE($F40),0)=0),
        AND(MAX(0, MIN($G$1, DATE(Initialisatie!$C$5,12,31)) - MAX($G$2, DATE(Initialisatie!$C$5,1,1)) + 1) &gt; 0, IFERROR(VALUE($G40),0)=0)
    ),
    0,
    SUM(
        IFERROR(VALUE($F40),0) * MAX(0, MIN($F$1, DATE(Initialisatie!$C$5,12,31)) - MAX($F$2, DATE(Initialisatie!$C$5,1,1)) + 1),
        IFERROR(VALUE($G40),0) * MAX(0, MIN($G$1, DATE(Initialisatie!$C$5,12,31)) - MAX($G$2, DATE(Initialisatie!$C$5,1,1)) + 1)
    ) / (DATE(Initialisatie!$C$5,12,31) - DATE(Initialisatie!$C$5,1,1) + 1)
)</f>
        <v>2857</v>
      </c>
    </row>
    <row r="41" spans="1:9" x14ac:dyDescent="0.45">
      <c r="A41" s="988">
        <v>24</v>
      </c>
      <c r="B41" s="35">
        <v>0</v>
      </c>
      <c r="C41" s="35">
        <v>4</v>
      </c>
      <c r="D41" s="35">
        <v>0</v>
      </c>
      <c r="E41" s="35" t="s">
        <v>318</v>
      </c>
      <c r="F41">
        <v>2032</v>
      </c>
      <c r="G41">
        <v>2152</v>
      </c>
      <c r="I41">
        <f>IF(
    OR(
        AND(MAX(0, MIN($F$1, DATE(Initialisatie!$C$5,12,31)) - MAX($F$2, DATE(Initialisatie!$C$5,1,1)) + 1) &gt; 0, IFERROR(VALUE($F41),0)=0),
        AND(MAX(0, MIN($G$1, DATE(Initialisatie!$C$5,12,31)) - MAX($G$2, DATE(Initialisatie!$C$5,1,1)) + 1) &gt; 0, IFERROR(VALUE($G41),0)=0)
    ),
    0,
    SUM(
        IFERROR(VALUE($F41),0) * MAX(0, MIN($F$1, DATE(Initialisatie!$C$5,12,31)) - MAX($F$2, DATE(Initialisatie!$C$5,1,1)) + 1),
        IFERROR(VALUE($G41),0) * MAX(0, MIN($G$1, DATE(Initialisatie!$C$5,12,31)) - MAX($G$2, DATE(Initialisatie!$C$5,1,1)) + 1)
    ) / (DATE(Initialisatie!$C$5,12,31) - DATE(Initialisatie!$C$5,1,1) + 1)
)</f>
        <v>2152</v>
      </c>
    </row>
    <row r="42" spans="1:9" x14ac:dyDescent="0.45">
      <c r="A42" s="988"/>
      <c r="B42" s="35">
        <v>1</v>
      </c>
      <c r="C42" s="35">
        <v>5</v>
      </c>
      <c r="D42" s="35">
        <v>1</v>
      </c>
      <c r="E42" s="35" t="s">
        <v>319</v>
      </c>
      <c r="F42">
        <v>2094</v>
      </c>
      <c r="G42">
        <v>2214</v>
      </c>
      <c r="I42">
        <f>IF(
    OR(
        AND(MAX(0, MIN($F$1, DATE(Initialisatie!$C$5,12,31)) - MAX($F$2, DATE(Initialisatie!$C$5,1,1)) + 1) &gt; 0, IFERROR(VALUE($F42),0)=0),
        AND(MAX(0, MIN($G$1, DATE(Initialisatie!$C$5,12,31)) - MAX($G$2, DATE(Initialisatie!$C$5,1,1)) + 1) &gt; 0, IFERROR(VALUE($G42),0)=0)
    ),
    0,
    SUM(
        IFERROR(VALUE($F42),0) * MAX(0, MIN($F$1, DATE(Initialisatie!$C$5,12,31)) - MAX($F$2, DATE(Initialisatie!$C$5,1,1)) + 1),
        IFERROR(VALUE($G42),0) * MAX(0, MIN($G$1, DATE(Initialisatie!$C$5,12,31)) - MAX($G$2, DATE(Initialisatie!$C$5,1,1)) + 1)
    ) / (DATE(Initialisatie!$C$5,12,31) - DATE(Initialisatie!$C$5,1,1) + 1)
)</f>
        <v>2214</v>
      </c>
    </row>
    <row r="43" spans="1:9" x14ac:dyDescent="0.45">
      <c r="A43" s="988"/>
      <c r="B43" s="35">
        <v>2</v>
      </c>
      <c r="C43" s="35">
        <v>6</v>
      </c>
      <c r="D43" s="35">
        <v>2</v>
      </c>
      <c r="E43" s="35" t="s">
        <v>320</v>
      </c>
      <c r="F43">
        <v>2128</v>
      </c>
      <c r="G43">
        <v>2248</v>
      </c>
      <c r="I43">
        <f>IF(
    OR(
        AND(MAX(0, MIN($F$1, DATE(Initialisatie!$C$5,12,31)) - MAX($F$2, DATE(Initialisatie!$C$5,1,1)) + 1) &gt; 0, IFERROR(VALUE($F43),0)=0),
        AND(MAX(0, MIN($G$1, DATE(Initialisatie!$C$5,12,31)) - MAX($G$2, DATE(Initialisatie!$C$5,1,1)) + 1) &gt; 0, IFERROR(VALUE($G43),0)=0)
    ),
    0,
    SUM(
        IFERROR(VALUE($F43),0) * MAX(0, MIN($F$1, DATE(Initialisatie!$C$5,12,31)) - MAX($F$2, DATE(Initialisatie!$C$5,1,1)) + 1),
        IFERROR(VALUE($G43),0) * MAX(0, MIN($G$1, DATE(Initialisatie!$C$5,12,31)) - MAX($G$2, DATE(Initialisatie!$C$5,1,1)) + 1)
    ) / (DATE(Initialisatie!$C$5,12,31) - DATE(Initialisatie!$C$5,1,1) + 1)
)</f>
        <v>2248</v>
      </c>
    </row>
    <row r="44" spans="1:9" x14ac:dyDescent="0.45">
      <c r="A44" s="988">
        <v>25</v>
      </c>
      <c r="B44" s="35">
        <v>0</v>
      </c>
      <c r="C44" s="35">
        <v>7</v>
      </c>
      <c r="D44" s="35">
        <v>0</v>
      </c>
      <c r="E44" s="35" t="s">
        <v>321</v>
      </c>
      <c r="F44">
        <v>2176</v>
      </c>
      <c r="G44">
        <v>2296</v>
      </c>
      <c r="I44">
        <f>IF(
    OR(
        AND(MAX(0, MIN($F$1, DATE(Initialisatie!$C$5,12,31)) - MAX($F$2, DATE(Initialisatie!$C$5,1,1)) + 1) &gt; 0, IFERROR(VALUE($F44),0)=0),
        AND(MAX(0, MIN($G$1, DATE(Initialisatie!$C$5,12,31)) - MAX($G$2, DATE(Initialisatie!$C$5,1,1)) + 1) &gt; 0, IFERROR(VALUE($G44),0)=0)
    ),
    0,
    SUM(
        IFERROR(VALUE($F44),0) * MAX(0, MIN($F$1, DATE(Initialisatie!$C$5,12,31)) - MAX($F$2, DATE(Initialisatie!$C$5,1,1)) + 1),
        IFERROR(VALUE($G44),0) * MAX(0, MIN($G$1, DATE(Initialisatie!$C$5,12,31)) - MAX($G$2, DATE(Initialisatie!$C$5,1,1)) + 1)
    ) / (DATE(Initialisatie!$C$5,12,31) - DATE(Initialisatie!$C$5,1,1) + 1)
)</f>
        <v>2296</v>
      </c>
    </row>
    <row r="45" spans="1:9" x14ac:dyDescent="0.45">
      <c r="A45" s="988"/>
      <c r="B45" s="35">
        <v>1</v>
      </c>
      <c r="C45" s="35">
        <v>9</v>
      </c>
      <c r="D45" s="35">
        <v>1</v>
      </c>
      <c r="E45" s="35" t="s">
        <v>322</v>
      </c>
      <c r="F45">
        <v>2272</v>
      </c>
      <c r="G45">
        <v>2392</v>
      </c>
      <c r="I45">
        <f>IF(
    OR(
        AND(MAX(0, MIN($F$1, DATE(Initialisatie!$C$5,12,31)) - MAX($F$2, DATE(Initialisatie!$C$5,1,1)) + 1) &gt; 0, IFERROR(VALUE($F45),0)=0),
        AND(MAX(0, MIN($G$1, DATE(Initialisatie!$C$5,12,31)) - MAX($G$2, DATE(Initialisatie!$C$5,1,1)) + 1) &gt; 0, IFERROR(VALUE($G45),0)=0)
    ),
    0,
    SUM(
        IFERROR(VALUE($F45),0) * MAX(0, MIN($F$1, DATE(Initialisatie!$C$5,12,31)) - MAX($F$2, DATE(Initialisatie!$C$5,1,1)) + 1),
        IFERROR(VALUE($G45),0) * MAX(0, MIN($G$1, DATE(Initialisatie!$C$5,12,31)) - MAX($G$2, DATE(Initialisatie!$C$5,1,1)) + 1)
    ) / (DATE(Initialisatie!$C$5,12,31) - DATE(Initialisatie!$C$5,1,1) + 1)
)</f>
        <v>2392</v>
      </c>
    </row>
    <row r="46" spans="1:9" x14ac:dyDescent="0.45">
      <c r="A46" s="988"/>
      <c r="B46" s="35">
        <v>2</v>
      </c>
      <c r="C46" s="35">
        <v>10</v>
      </c>
      <c r="D46" s="35">
        <v>2</v>
      </c>
      <c r="E46" s="35" t="s">
        <v>323</v>
      </c>
      <c r="F46">
        <v>2326</v>
      </c>
      <c r="G46">
        <v>2446</v>
      </c>
      <c r="I46">
        <f>IF(
    OR(
        AND(MAX(0, MIN($F$1, DATE(Initialisatie!$C$5,12,31)) - MAX($F$2, DATE(Initialisatie!$C$5,1,1)) + 1) &gt; 0, IFERROR(VALUE($F46),0)=0),
        AND(MAX(0, MIN($G$1, DATE(Initialisatie!$C$5,12,31)) - MAX($G$2, DATE(Initialisatie!$C$5,1,1)) + 1) &gt; 0, IFERROR(VALUE($G46),0)=0)
    ),
    0,
    SUM(
        IFERROR(VALUE($F46),0) * MAX(0, MIN($F$1, DATE(Initialisatie!$C$5,12,31)) - MAX($F$2, DATE(Initialisatie!$C$5,1,1)) + 1),
        IFERROR(VALUE($G46),0) * MAX(0, MIN($G$1, DATE(Initialisatie!$C$5,12,31)) - MAX($G$2, DATE(Initialisatie!$C$5,1,1)) + 1)
    ) / (DATE(Initialisatie!$C$5,12,31) - DATE(Initialisatie!$C$5,1,1) + 1)
)</f>
        <v>2446</v>
      </c>
    </row>
    <row r="47" spans="1:9" x14ac:dyDescent="0.45">
      <c r="A47" s="988"/>
      <c r="B47" s="35">
        <v>3</v>
      </c>
      <c r="C47" s="35">
        <v>11</v>
      </c>
      <c r="D47" s="35">
        <v>3</v>
      </c>
      <c r="E47" s="35" t="s">
        <v>324</v>
      </c>
      <c r="F47">
        <v>2387</v>
      </c>
      <c r="G47">
        <v>2507</v>
      </c>
      <c r="I47">
        <f>IF(
    OR(
        AND(MAX(0, MIN($F$1, DATE(Initialisatie!$C$5,12,31)) - MAX($F$2, DATE(Initialisatie!$C$5,1,1)) + 1) &gt; 0, IFERROR(VALUE($F47),0)=0),
        AND(MAX(0, MIN($G$1, DATE(Initialisatie!$C$5,12,31)) - MAX($G$2, DATE(Initialisatie!$C$5,1,1)) + 1) &gt; 0, IFERROR(VALUE($G47),0)=0)
    ),
    0,
    SUM(
        IFERROR(VALUE($F47),0) * MAX(0, MIN($F$1, DATE(Initialisatie!$C$5,12,31)) - MAX($F$2, DATE(Initialisatie!$C$5,1,1)) + 1),
        IFERROR(VALUE($G47),0) * MAX(0, MIN($G$1, DATE(Initialisatie!$C$5,12,31)) - MAX($G$2, DATE(Initialisatie!$C$5,1,1)) + 1)
    ) / (DATE(Initialisatie!$C$5,12,31) - DATE(Initialisatie!$C$5,1,1) + 1)
)</f>
        <v>2507</v>
      </c>
    </row>
    <row r="48" spans="1:9" x14ac:dyDescent="0.45">
      <c r="A48" s="988"/>
      <c r="B48" s="35">
        <v>4</v>
      </c>
      <c r="C48" s="35">
        <v>12</v>
      </c>
      <c r="D48" s="35">
        <v>4</v>
      </c>
      <c r="E48" s="35" t="s">
        <v>325</v>
      </c>
      <c r="F48">
        <v>2451</v>
      </c>
      <c r="G48">
        <v>2571</v>
      </c>
      <c r="I48">
        <f>IF(
    OR(
        AND(MAX(0, MIN($F$1, DATE(Initialisatie!$C$5,12,31)) - MAX($F$2, DATE(Initialisatie!$C$5,1,1)) + 1) &gt; 0, IFERROR(VALUE($F48),0)=0),
        AND(MAX(0, MIN($G$1, DATE(Initialisatie!$C$5,12,31)) - MAX($G$2, DATE(Initialisatie!$C$5,1,1)) + 1) &gt; 0, IFERROR(VALUE($G48),0)=0)
    ),
    0,
    SUM(
        IFERROR(VALUE($F48),0) * MAX(0, MIN($F$1, DATE(Initialisatie!$C$5,12,31)) - MAX($F$2, DATE(Initialisatie!$C$5,1,1)) + 1),
        IFERROR(VALUE($G48),0) * MAX(0, MIN($G$1, DATE(Initialisatie!$C$5,12,31)) - MAX($G$2, DATE(Initialisatie!$C$5,1,1)) + 1)
    ) / (DATE(Initialisatie!$C$5,12,31) - DATE(Initialisatie!$C$5,1,1) + 1)
)</f>
        <v>2571</v>
      </c>
    </row>
    <row r="49" spans="1:9" x14ac:dyDescent="0.45">
      <c r="A49" s="988"/>
      <c r="B49" s="35">
        <v>5</v>
      </c>
      <c r="C49" s="35">
        <v>13</v>
      </c>
      <c r="D49" s="35">
        <v>5</v>
      </c>
      <c r="E49" s="35" t="s">
        <v>326</v>
      </c>
      <c r="F49">
        <v>2522</v>
      </c>
      <c r="G49">
        <v>2642</v>
      </c>
      <c r="I49">
        <f>IF(
    OR(
        AND(MAX(0, MIN($F$1, DATE(Initialisatie!$C$5,12,31)) - MAX($F$2, DATE(Initialisatie!$C$5,1,1)) + 1) &gt; 0, IFERROR(VALUE($F49),0)=0),
        AND(MAX(0, MIN($G$1, DATE(Initialisatie!$C$5,12,31)) - MAX($G$2, DATE(Initialisatie!$C$5,1,1)) + 1) &gt; 0, IFERROR(VALUE($G49),0)=0)
    ),
    0,
    SUM(
        IFERROR(VALUE($F49),0) * MAX(0, MIN($F$1, DATE(Initialisatie!$C$5,12,31)) - MAX($F$2, DATE(Initialisatie!$C$5,1,1)) + 1),
        IFERROR(VALUE($G49),0) * MAX(0, MIN($G$1, DATE(Initialisatie!$C$5,12,31)) - MAX($G$2, DATE(Initialisatie!$C$5,1,1)) + 1)
    ) / (DATE(Initialisatie!$C$5,12,31) - DATE(Initialisatie!$C$5,1,1) + 1)
)</f>
        <v>2642</v>
      </c>
    </row>
    <row r="50" spans="1:9" x14ac:dyDescent="0.45">
      <c r="A50" s="988"/>
      <c r="B50" s="35">
        <v>6</v>
      </c>
      <c r="C50" s="35">
        <v>14</v>
      </c>
      <c r="D50" s="35">
        <v>6</v>
      </c>
      <c r="E50" s="35" t="s">
        <v>327</v>
      </c>
      <c r="F50">
        <v>2595</v>
      </c>
      <c r="G50">
        <v>2715</v>
      </c>
      <c r="I50">
        <f>IF(
    OR(
        AND(MAX(0, MIN($F$1, DATE(Initialisatie!$C$5,12,31)) - MAX($F$2, DATE(Initialisatie!$C$5,1,1)) + 1) &gt; 0, IFERROR(VALUE($F50),0)=0),
        AND(MAX(0, MIN($G$1, DATE(Initialisatie!$C$5,12,31)) - MAX($G$2, DATE(Initialisatie!$C$5,1,1)) + 1) &gt; 0, IFERROR(VALUE($G50),0)=0)
    ),
    0,
    SUM(
        IFERROR(VALUE($F50),0) * MAX(0, MIN($F$1, DATE(Initialisatie!$C$5,12,31)) - MAX($F$2, DATE(Initialisatie!$C$5,1,1)) + 1),
        IFERROR(VALUE($G50),0) * MAX(0, MIN($G$1, DATE(Initialisatie!$C$5,12,31)) - MAX($G$2, DATE(Initialisatie!$C$5,1,1)) + 1)
    ) / (DATE(Initialisatie!$C$5,12,31) - DATE(Initialisatie!$C$5,1,1) + 1)
)</f>
        <v>2715</v>
      </c>
    </row>
    <row r="51" spans="1:9" x14ac:dyDescent="0.45">
      <c r="A51" s="988"/>
      <c r="B51" s="35">
        <v>7</v>
      </c>
      <c r="C51" s="35">
        <v>15</v>
      </c>
      <c r="D51" s="35">
        <v>7</v>
      </c>
      <c r="E51" s="35" t="s">
        <v>328</v>
      </c>
      <c r="F51">
        <v>2661</v>
      </c>
      <c r="G51">
        <v>2781</v>
      </c>
      <c r="I51">
        <f>IF(
    OR(
        AND(MAX(0, MIN($F$1, DATE(Initialisatie!$C$5,12,31)) - MAX($F$2, DATE(Initialisatie!$C$5,1,1)) + 1) &gt; 0, IFERROR(VALUE($F51),0)=0),
        AND(MAX(0, MIN($G$1, DATE(Initialisatie!$C$5,12,31)) - MAX($G$2, DATE(Initialisatie!$C$5,1,1)) + 1) &gt; 0, IFERROR(VALUE($G51),0)=0)
    ),
    0,
    SUM(
        IFERROR(VALUE($F51),0) * MAX(0, MIN($F$1, DATE(Initialisatie!$C$5,12,31)) - MAX($F$2, DATE(Initialisatie!$C$5,1,1)) + 1),
        IFERROR(VALUE($G51),0) * MAX(0, MIN($G$1, DATE(Initialisatie!$C$5,12,31)) - MAX($G$2, DATE(Initialisatie!$C$5,1,1)) + 1)
    ) / (DATE(Initialisatie!$C$5,12,31) - DATE(Initialisatie!$C$5,1,1) + 1)
)</f>
        <v>2781</v>
      </c>
    </row>
    <row r="52" spans="1:9" x14ac:dyDescent="0.45">
      <c r="A52" s="988"/>
      <c r="B52" s="35">
        <v>8</v>
      </c>
      <c r="C52" s="35">
        <v>16</v>
      </c>
      <c r="D52" s="35">
        <v>8</v>
      </c>
      <c r="E52" s="35" t="s">
        <v>329</v>
      </c>
      <c r="F52">
        <v>2737</v>
      </c>
      <c r="G52">
        <v>2857</v>
      </c>
      <c r="I52">
        <f>IF(
    OR(
        AND(MAX(0, MIN($F$1, DATE(Initialisatie!$C$5,12,31)) - MAX($F$2, DATE(Initialisatie!$C$5,1,1)) + 1) &gt; 0, IFERROR(VALUE($F52),0)=0),
        AND(MAX(0, MIN($G$1, DATE(Initialisatie!$C$5,12,31)) - MAX($G$2, DATE(Initialisatie!$C$5,1,1)) + 1) &gt; 0, IFERROR(VALUE($G52),0)=0)
    ),
    0,
    SUM(
        IFERROR(VALUE($F52),0) * MAX(0, MIN($F$1, DATE(Initialisatie!$C$5,12,31)) - MAX($F$2, DATE(Initialisatie!$C$5,1,1)) + 1),
        IFERROR(VALUE($G52),0) * MAX(0, MIN($G$1, DATE(Initialisatie!$C$5,12,31)) - MAX($G$2, DATE(Initialisatie!$C$5,1,1)) + 1)
    ) / (DATE(Initialisatie!$C$5,12,31) - DATE(Initialisatie!$C$5,1,1) + 1)
)</f>
        <v>2857</v>
      </c>
    </row>
    <row r="53" spans="1:9" x14ac:dyDescent="0.45">
      <c r="A53" s="988"/>
      <c r="B53" s="35">
        <v>9</v>
      </c>
      <c r="C53" s="35">
        <v>17</v>
      </c>
      <c r="D53" s="35">
        <v>9</v>
      </c>
      <c r="E53" s="35" t="s">
        <v>330</v>
      </c>
      <c r="F53">
        <v>2797</v>
      </c>
      <c r="G53">
        <v>2917</v>
      </c>
      <c r="I53">
        <f>IF(
    OR(
        AND(MAX(0, MIN($F$1, DATE(Initialisatie!$C$5,12,31)) - MAX($F$2, DATE(Initialisatie!$C$5,1,1)) + 1) &gt; 0, IFERROR(VALUE($F53),0)=0),
        AND(MAX(0, MIN($G$1, DATE(Initialisatie!$C$5,12,31)) - MAX($G$2, DATE(Initialisatie!$C$5,1,1)) + 1) &gt; 0, IFERROR(VALUE($G53),0)=0)
    ),
    0,
    SUM(
        IFERROR(VALUE($F53),0) * MAX(0, MIN($F$1, DATE(Initialisatie!$C$5,12,31)) - MAX($F$2, DATE(Initialisatie!$C$5,1,1)) + 1),
        IFERROR(VALUE($G53),0) * MAX(0, MIN($G$1, DATE(Initialisatie!$C$5,12,31)) - MAX($G$2, DATE(Initialisatie!$C$5,1,1)) + 1)
    ) / (DATE(Initialisatie!$C$5,12,31) - DATE(Initialisatie!$C$5,1,1) + 1)
)</f>
        <v>2917</v>
      </c>
    </row>
    <row r="54" spans="1:9" x14ac:dyDescent="0.45">
      <c r="A54" s="988"/>
      <c r="B54" s="35">
        <v>10</v>
      </c>
      <c r="C54" s="35">
        <v>18</v>
      </c>
      <c r="D54" s="35">
        <v>10</v>
      </c>
      <c r="E54" s="35" t="s">
        <v>331</v>
      </c>
      <c r="F54">
        <v>2870</v>
      </c>
      <c r="G54">
        <v>2990</v>
      </c>
      <c r="I54">
        <f>IF(
    OR(
        AND(MAX(0, MIN($F$1, DATE(Initialisatie!$C$5,12,31)) - MAX($F$2, DATE(Initialisatie!$C$5,1,1)) + 1) &gt; 0, IFERROR(VALUE($F54),0)=0),
        AND(MAX(0, MIN($G$1, DATE(Initialisatie!$C$5,12,31)) - MAX($G$2, DATE(Initialisatie!$C$5,1,1)) + 1) &gt; 0, IFERROR(VALUE($G54),0)=0)
    ),
    0,
    SUM(
        IFERROR(VALUE($F54),0) * MAX(0, MIN($F$1, DATE(Initialisatie!$C$5,12,31)) - MAX($F$2, DATE(Initialisatie!$C$5,1,1)) + 1),
        IFERROR(VALUE($G54),0) * MAX(0, MIN($G$1, DATE(Initialisatie!$C$5,12,31)) - MAX($G$2, DATE(Initialisatie!$C$5,1,1)) + 1)
    ) / (DATE(Initialisatie!$C$5,12,31) - DATE(Initialisatie!$C$5,1,1) + 1)
)</f>
        <v>2990</v>
      </c>
    </row>
    <row r="55" spans="1:9" x14ac:dyDescent="0.45">
      <c r="A55" s="988">
        <v>29</v>
      </c>
      <c r="B55" s="35">
        <v>0</v>
      </c>
      <c r="C55" s="35">
        <v>6</v>
      </c>
      <c r="D55" s="35">
        <v>0</v>
      </c>
      <c r="E55" s="35" t="s">
        <v>332</v>
      </c>
      <c r="F55">
        <v>2128</v>
      </c>
      <c r="G55">
        <v>2248</v>
      </c>
      <c r="I55">
        <f>IF(
    OR(
        AND(MAX(0, MIN($F$1, DATE(Initialisatie!$C$5,12,31)) - MAX($F$2, DATE(Initialisatie!$C$5,1,1)) + 1) &gt; 0, IFERROR(VALUE($F55),0)=0),
        AND(MAX(0, MIN($G$1, DATE(Initialisatie!$C$5,12,31)) - MAX($G$2, DATE(Initialisatie!$C$5,1,1)) + 1) &gt; 0, IFERROR(VALUE($G55),0)=0)
    ),
    0,
    SUM(
        IFERROR(VALUE($F55),0) * MAX(0, MIN($F$1, DATE(Initialisatie!$C$5,12,31)) - MAX($F$2, DATE(Initialisatie!$C$5,1,1)) + 1),
        IFERROR(VALUE($G55),0) * MAX(0, MIN($G$1, DATE(Initialisatie!$C$5,12,31)) - MAX($G$2, DATE(Initialisatie!$C$5,1,1)) + 1)
    ) / (DATE(Initialisatie!$C$5,12,31) - DATE(Initialisatie!$C$5,1,1) + 1)
)</f>
        <v>2248</v>
      </c>
    </row>
    <row r="56" spans="1:9" x14ac:dyDescent="0.45">
      <c r="A56" s="988"/>
      <c r="B56" s="35">
        <v>1</v>
      </c>
      <c r="C56" s="35">
        <v>7</v>
      </c>
      <c r="D56" s="35">
        <v>1</v>
      </c>
      <c r="E56" s="35" t="s">
        <v>333</v>
      </c>
      <c r="F56">
        <v>2176</v>
      </c>
      <c r="G56">
        <v>2296</v>
      </c>
      <c r="I56">
        <f>IF(
    OR(
        AND(MAX(0, MIN($F$1, DATE(Initialisatie!$C$5,12,31)) - MAX($F$2, DATE(Initialisatie!$C$5,1,1)) + 1) &gt; 0, IFERROR(VALUE($F56),0)=0),
        AND(MAX(0, MIN($G$1, DATE(Initialisatie!$C$5,12,31)) - MAX($G$2, DATE(Initialisatie!$C$5,1,1)) + 1) &gt; 0, IFERROR(VALUE($G56),0)=0)
    ),
    0,
    SUM(
        IFERROR(VALUE($F56),0) * MAX(0, MIN($F$1, DATE(Initialisatie!$C$5,12,31)) - MAX($F$2, DATE(Initialisatie!$C$5,1,1)) + 1),
        IFERROR(VALUE($G56),0) * MAX(0, MIN($G$1, DATE(Initialisatie!$C$5,12,31)) - MAX($G$2, DATE(Initialisatie!$C$5,1,1)) + 1)
    ) / (DATE(Initialisatie!$C$5,12,31) - DATE(Initialisatie!$C$5,1,1) + 1)
)</f>
        <v>2296</v>
      </c>
    </row>
    <row r="57" spans="1:9" x14ac:dyDescent="0.45">
      <c r="A57" s="988">
        <v>30</v>
      </c>
      <c r="B57" s="35">
        <v>0</v>
      </c>
      <c r="C57" s="35">
        <v>8</v>
      </c>
      <c r="D57" s="35">
        <v>0</v>
      </c>
      <c r="E57" s="35" t="s">
        <v>334</v>
      </c>
      <c r="F57">
        <v>2223</v>
      </c>
      <c r="G57">
        <v>2343</v>
      </c>
      <c r="I57">
        <f>IF(
    OR(
        AND(MAX(0, MIN($F$1, DATE(Initialisatie!$C$5,12,31)) - MAX($F$2, DATE(Initialisatie!$C$5,1,1)) + 1) &gt; 0, IFERROR(VALUE($F57),0)=0),
        AND(MAX(0, MIN($G$1, DATE(Initialisatie!$C$5,12,31)) - MAX($G$2, DATE(Initialisatie!$C$5,1,1)) + 1) &gt; 0, IFERROR(VALUE($G57),0)=0)
    ),
    0,
    SUM(
        IFERROR(VALUE($F57),0) * MAX(0, MIN($F$1, DATE(Initialisatie!$C$5,12,31)) - MAX($F$2, DATE(Initialisatie!$C$5,1,1)) + 1),
        IFERROR(VALUE($G57),0) * MAX(0, MIN($G$1, DATE(Initialisatie!$C$5,12,31)) - MAX($G$2, DATE(Initialisatie!$C$5,1,1)) + 1)
    ) / (DATE(Initialisatie!$C$5,12,31) - DATE(Initialisatie!$C$5,1,1) + 1)
)</f>
        <v>2343</v>
      </c>
    </row>
    <row r="58" spans="1:9" x14ac:dyDescent="0.45">
      <c r="A58" s="988"/>
      <c r="B58" s="35">
        <v>1</v>
      </c>
      <c r="C58" s="35">
        <v>10</v>
      </c>
      <c r="D58" s="35">
        <v>1</v>
      </c>
      <c r="E58" s="35" t="s">
        <v>335</v>
      </c>
      <c r="F58">
        <v>2326</v>
      </c>
      <c r="G58">
        <v>2446</v>
      </c>
      <c r="I58">
        <f>IF(
    OR(
        AND(MAX(0, MIN($F$1, DATE(Initialisatie!$C$5,12,31)) - MAX($F$2, DATE(Initialisatie!$C$5,1,1)) + 1) &gt; 0, IFERROR(VALUE($F58),0)=0),
        AND(MAX(0, MIN($G$1, DATE(Initialisatie!$C$5,12,31)) - MAX($G$2, DATE(Initialisatie!$C$5,1,1)) + 1) &gt; 0, IFERROR(VALUE($G58),0)=0)
    ),
    0,
    SUM(
        IFERROR(VALUE($F58),0) * MAX(0, MIN($F$1, DATE(Initialisatie!$C$5,12,31)) - MAX($F$2, DATE(Initialisatie!$C$5,1,1)) + 1),
        IFERROR(VALUE($G58),0) * MAX(0, MIN($G$1, DATE(Initialisatie!$C$5,12,31)) - MAX($G$2, DATE(Initialisatie!$C$5,1,1)) + 1)
    ) / (DATE(Initialisatie!$C$5,12,31) - DATE(Initialisatie!$C$5,1,1) + 1)
)</f>
        <v>2446</v>
      </c>
    </row>
    <row r="59" spans="1:9" x14ac:dyDescent="0.45">
      <c r="A59" s="988"/>
      <c r="B59" s="35">
        <v>2</v>
      </c>
      <c r="C59" s="35">
        <v>12</v>
      </c>
      <c r="D59" s="35">
        <v>2</v>
      </c>
      <c r="E59" s="35" t="s">
        <v>336</v>
      </c>
      <c r="F59">
        <v>2451</v>
      </c>
      <c r="G59">
        <v>2571</v>
      </c>
      <c r="I59">
        <f>IF(
    OR(
        AND(MAX(0, MIN($F$1, DATE(Initialisatie!$C$5,12,31)) - MAX($F$2, DATE(Initialisatie!$C$5,1,1)) + 1) &gt; 0, IFERROR(VALUE($F59),0)=0),
        AND(MAX(0, MIN($G$1, DATE(Initialisatie!$C$5,12,31)) - MAX($G$2, DATE(Initialisatie!$C$5,1,1)) + 1) &gt; 0, IFERROR(VALUE($G59),0)=0)
    ),
    0,
    SUM(
        IFERROR(VALUE($F59),0) * MAX(0, MIN($F$1, DATE(Initialisatie!$C$5,12,31)) - MAX($F$2, DATE(Initialisatie!$C$5,1,1)) + 1),
        IFERROR(VALUE($G59),0) * MAX(0, MIN($G$1, DATE(Initialisatie!$C$5,12,31)) - MAX($G$2, DATE(Initialisatie!$C$5,1,1)) + 1)
    ) / (DATE(Initialisatie!$C$5,12,31) - DATE(Initialisatie!$C$5,1,1) + 1)
)</f>
        <v>2571</v>
      </c>
    </row>
    <row r="60" spans="1:9" x14ac:dyDescent="0.45">
      <c r="A60" s="988"/>
      <c r="B60" s="35">
        <v>3</v>
      </c>
      <c r="C60" s="35">
        <v>13</v>
      </c>
      <c r="D60" s="35">
        <v>3</v>
      </c>
      <c r="E60" s="35" t="s">
        <v>337</v>
      </c>
      <c r="F60">
        <v>2522</v>
      </c>
      <c r="G60">
        <v>2642</v>
      </c>
      <c r="I60">
        <f>IF(
    OR(
        AND(MAX(0, MIN($F$1, DATE(Initialisatie!$C$5,12,31)) - MAX($F$2, DATE(Initialisatie!$C$5,1,1)) + 1) &gt; 0, IFERROR(VALUE($F60),0)=0),
        AND(MAX(0, MIN($G$1, DATE(Initialisatie!$C$5,12,31)) - MAX($G$2, DATE(Initialisatie!$C$5,1,1)) + 1) &gt; 0, IFERROR(VALUE($G60),0)=0)
    ),
    0,
    SUM(
        IFERROR(VALUE($F60),0) * MAX(0, MIN($F$1, DATE(Initialisatie!$C$5,12,31)) - MAX($F$2, DATE(Initialisatie!$C$5,1,1)) + 1),
        IFERROR(VALUE($G60),0) * MAX(0, MIN($G$1, DATE(Initialisatie!$C$5,12,31)) - MAX($G$2, DATE(Initialisatie!$C$5,1,1)) + 1)
    ) / (DATE(Initialisatie!$C$5,12,31) - DATE(Initialisatie!$C$5,1,1) + 1)
)</f>
        <v>2642</v>
      </c>
    </row>
    <row r="61" spans="1:9" x14ac:dyDescent="0.45">
      <c r="A61" s="988"/>
      <c r="B61" s="35">
        <v>4</v>
      </c>
      <c r="C61" s="35">
        <v>14</v>
      </c>
      <c r="D61" s="35">
        <v>4</v>
      </c>
      <c r="E61" s="35" t="s">
        <v>338</v>
      </c>
      <c r="F61">
        <v>2595</v>
      </c>
      <c r="G61">
        <v>2715</v>
      </c>
      <c r="I61">
        <f>IF(
    OR(
        AND(MAX(0, MIN($F$1, DATE(Initialisatie!$C$5,12,31)) - MAX($F$2, DATE(Initialisatie!$C$5,1,1)) + 1) &gt; 0, IFERROR(VALUE($F61),0)=0),
        AND(MAX(0, MIN($G$1, DATE(Initialisatie!$C$5,12,31)) - MAX($G$2, DATE(Initialisatie!$C$5,1,1)) + 1) &gt; 0, IFERROR(VALUE($G61),0)=0)
    ),
    0,
    SUM(
        IFERROR(VALUE($F61),0) * MAX(0, MIN($F$1, DATE(Initialisatie!$C$5,12,31)) - MAX($F$2, DATE(Initialisatie!$C$5,1,1)) + 1),
        IFERROR(VALUE($G61),0) * MAX(0, MIN($G$1, DATE(Initialisatie!$C$5,12,31)) - MAX($G$2, DATE(Initialisatie!$C$5,1,1)) + 1)
    ) / (DATE(Initialisatie!$C$5,12,31) - DATE(Initialisatie!$C$5,1,1) + 1)
)</f>
        <v>2715</v>
      </c>
    </row>
    <row r="62" spans="1:9" x14ac:dyDescent="0.45">
      <c r="A62" s="988"/>
      <c r="B62" s="35">
        <v>5</v>
      </c>
      <c r="C62" s="35">
        <v>15</v>
      </c>
      <c r="D62" s="35">
        <v>5</v>
      </c>
      <c r="E62" s="35" t="s">
        <v>339</v>
      </c>
      <c r="F62">
        <v>2661</v>
      </c>
      <c r="G62">
        <v>2781</v>
      </c>
      <c r="I62">
        <f>IF(
    OR(
        AND(MAX(0, MIN($F$1, DATE(Initialisatie!$C$5,12,31)) - MAX($F$2, DATE(Initialisatie!$C$5,1,1)) + 1) &gt; 0, IFERROR(VALUE($F62),0)=0),
        AND(MAX(0, MIN($G$1, DATE(Initialisatie!$C$5,12,31)) - MAX($G$2, DATE(Initialisatie!$C$5,1,1)) + 1) &gt; 0, IFERROR(VALUE($G62),0)=0)
    ),
    0,
    SUM(
        IFERROR(VALUE($F62),0) * MAX(0, MIN($F$1, DATE(Initialisatie!$C$5,12,31)) - MAX($F$2, DATE(Initialisatie!$C$5,1,1)) + 1),
        IFERROR(VALUE($G62),0) * MAX(0, MIN($G$1, DATE(Initialisatie!$C$5,12,31)) - MAX($G$2, DATE(Initialisatie!$C$5,1,1)) + 1)
    ) / (DATE(Initialisatie!$C$5,12,31) - DATE(Initialisatie!$C$5,1,1) + 1)
)</f>
        <v>2781</v>
      </c>
    </row>
    <row r="63" spans="1:9" x14ac:dyDescent="0.45">
      <c r="A63" s="988"/>
      <c r="B63" s="35">
        <v>6</v>
      </c>
      <c r="C63" s="35">
        <v>16</v>
      </c>
      <c r="D63" s="35">
        <v>6</v>
      </c>
      <c r="E63" s="35" t="s">
        <v>340</v>
      </c>
      <c r="F63">
        <v>2737</v>
      </c>
      <c r="G63">
        <v>2857</v>
      </c>
      <c r="I63">
        <f>IF(
    OR(
        AND(MAX(0, MIN($F$1, DATE(Initialisatie!$C$5,12,31)) - MAX($F$2, DATE(Initialisatie!$C$5,1,1)) + 1) &gt; 0, IFERROR(VALUE($F63),0)=0),
        AND(MAX(0, MIN($G$1, DATE(Initialisatie!$C$5,12,31)) - MAX($G$2, DATE(Initialisatie!$C$5,1,1)) + 1) &gt; 0, IFERROR(VALUE($G63),0)=0)
    ),
    0,
    SUM(
        IFERROR(VALUE($F63),0) * MAX(0, MIN($F$1, DATE(Initialisatie!$C$5,12,31)) - MAX($F$2, DATE(Initialisatie!$C$5,1,1)) + 1),
        IFERROR(VALUE($G63),0) * MAX(0, MIN($G$1, DATE(Initialisatie!$C$5,12,31)) - MAX($G$2, DATE(Initialisatie!$C$5,1,1)) + 1)
    ) / (DATE(Initialisatie!$C$5,12,31) - DATE(Initialisatie!$C$5,1,1) + 1)
)</f>
        <v>2857</v>
      </c>
    </row>
    <row r="64" spans="1:9" x14ac:dyDescent="0.45">
      <c r="A64" s="988"/>
      <c r="B64" s="35">
        <v>7</v>
      </c>
      <c r="C64" s="35">
        <v>17</v>
      </c>
      <c r="D64" s="35">
        <v>7</v>
      </c>
      <c r="E64" s="35" t="s">
        <v>341</v>
      </c>
      <c r="F64">
        <v>2797</v>
      </c>
      <c r="G64">
        <v>2917</v>
      </c>
      <c r="I64">
        <f>IF(
    OR(
        AND(MAX(0, MIN($F$1, DATE(Initialisatie!$C$5,12,31)) - MAX($F$2, DATE(Initialisatie!$C$5,1,1)) + 1) &gt; 0, IFERROR(VALUE($F64),0)=0),
        AND(MAX(0, MIN($G$1, DATE(Initialisatie!$C$5,12,31)) - MAX($G$2, DATE(Initialisatie!$C$5,1,1)) + 1) &gt; 0, IFERROR(VALUE($G64),0)=0)
    ),
    0,
    SUM(
        IFERROR(VALUE($F64),0) * MAX(0, MIN($F$1, DATE(Initialisatie!$C$5,12,31)) - MAX($F$2, DATE(Initialisatie!$C$5,1,1)) + 1),
        IFERROR(VALUE($G64),0) * MAX(0, MIN($G$1, DATE(Initialisatie!$C$5,12,31)) - MAX($G$2, DATE(Initialisatie!$C$5,1,1)) + 1)
    ) / (DATE(Initialisatie!$C$5,12,31) - DATE(Initialisatie!$C$5,1,1) + 1)
)</f>
        <v>2917</v>
      </c>
    </row>
    <row r="65" spans="1:9" x14ac:dyDescent="0.45">
      <c r="A65" s="988"/>
      <c r="B65" s="35">
        <v>8</v>
      </c>
      <c r="C65" s="35">
        <v>18</v>
      </c>
      <c r="D65" s="35">
        <v>8</v>
      </c>
      <c r="E65" s="35" t="s">
        <v>342</v>
      </c>
      <c r="F65">
        <v>2870</v>
      </c>
      <c r="G65">
        <v>2990</v>
      </c>
      <c r="I65">
        <f>IF(
    OR(
        AND(MAX(0, MIN($F$1, DATE(Initialisatie!$C$5,12,31)) - MAX($F$2, DATE(Initialisatie!$C$5,1,1)) + 1) &gt; 0, IFERROR(VALUE($F65),0)=0),
        AND(MAX(0, MIN($G$1, DATE(Initialisatie!$C$5,12,31)) - MAX($G$2, DATE(Initialisatie!$C$5,1,1)) + 1) &gt; 0, IFERROR(VALUE($G65),0)=0)
    ),
    0,
    SUM(
        IFERROR(VALUE($F65),0) * MAX(0, MIN($F$1, DATE(Initialisatie!$C$5,12,31)) - MAX($F$2, DATE(Initialisatie!$C$5,1,1)) + 1),
        IFERROR(VALUE($G65),0) * MAX(0, MIN($G$1, DATE(Initialisatie!$C$5,12,31)) - MAX($G$2, DATE(Initialisatie!$C$5,1,1)) + 1)
    ) / (DATE(Initialisatie!$C$5,12,31) - DATE(Initialisatie!$C$5,1,1) + 1)
)</f>
        <v>2990</v>
      </c>
    </row>
    <row r="66" spans="1:9" x14ac:dyDescent="0.45">
      <c r="A66" s="988"/>
      <c r="B66" s="35">
        <v>9</v>
      </c>
      <c r="C66" s="35">
        <v>19</v>
      </c>
      <c r="D66" s="35">
        <v>9</v>
      </c>
      <c r="E66" s="35" t="s">
        <v>343</v>
      </c>
      <c r="F66">
        <v>2937</v>
      </c>
      <c r="G66">
        <v>3057</v>
      </c>
      <c r="I66">
        <f>IF(
    OR(
        AND(MAX(0, MIN($F$1, DATE(Initialisatie!$C$5,12,31)) - MAX($F$2, DATE(Initialisatie!$C$5,1,1)) + 1) &gt; 0, IFERROR(VALUE($F66),0)=0),
        AND(MAX(0, MIN($G$1, DATE(Initialisatie!$C$5,12,31)) - MAX($G$2, DATE(Initialisatie!$C$5,1,1)) + 1) &gt; 0, IFERROR(VALUE($G66),0)=0)
    ),
    0,
    SUM(
        IFERROR(VALUE($F66),0) * MAX(0, MIN($F$1, DATE(Initialisatie!$C$5,12,31)) - MAX($F$2, DATE(Initialisatie!$C$5,1,1)) + 1),
        IFERROR(VALUE($G66),0) * MAX(0, MIN($G$1, DATE(Initialisatie!$C$5,12,31)) - MAX($G$2, DATE(Initialisatie!$C$5,1,1)) + 1)
    ) / (DATE(Initialisatie!$C$5,12,31) - DATE(Initialisatie!$C$5,1,1) + 1)
)</f>
        <v>3057</v>
      </c>
    </row>
    <row r="67" spans="1:9" x14ac:dyDescent="0.45">
      <c r="A67" s="988"/>
      <c r="B67" s="35">
        <v>10</v>
      </c>
      <c r="C67" s="35">
        <v>20</v>
      </c>
      <c r="D67" s="35">
        <v>10</v>
      </c>
      <c r="E67" s="35" t="s">
        <v>344</v>
      </c>
      <c r="F67">
        <v>3007</v>
      </c>
      <c r="G67">
        <v>3127</v>
      </c>
      <c r="I67">
        <f>IF(
    OR(
        AND(MAX(0, MIN($F$1, DATE(Initialisatie!$C$5,12,31)) - MAX($F$2, DATE(Initialisatie!$C$5,1,1)) + 1) &gt; 0, IFERROR(VALUE($F67),0)=0),
        AND(MAX(0, MIN($G$1, DATE(Initialisatie!$C$5,12,31)) - MAX($G$2, DATE(Initialisatie!$C$5,1,1)) + 1) &gt; 0, IFERROR(VALUE($G67),0)=0)
    ),
    0,
    SUM(
        IFERROR(VALUE($F67),0) * MAX(0, MIN($F$1, DATE(Initialisatie!$C$5,12,31)) - MAX($F$2, DATE(Initialisatie!$C$5,1,1)) + 1),
        IFERROR(VALUE($G67),0) * MAX(0, MIN($G$1, DATE(Initialisatie!$C$5,12,31)) - MAX($G$2, DATE(Initialisatie!$C$5,1,1)) + 1)
    ) / (DATE(Initialisatie!$C$5,12,31) - DATE(Initialisatie!$C$5,1,1) + 1)
)</f>
        <v>3127</v>
      </c>
    </row>
    <row r="68" spans="1:9" x14ac:dyDescent="0.45">
      <c r="A68" s="988">
        <v>34</v>
      </c>
      <c r="B68" s="35">
        <v>1</v>
      </c>
      <c r="C68" s="35">
        <v>9</v>
      </c>
      <c r="D68" s="35">
        <v>1</v>
      </c>
      <c r="E68" s="35" t="s">
        <v>345</v>
      </c>
      <c r="F68">
        <v>2272</v>
      </c>
      <c r="G68">
        <v>2392</v>
      </c>
      <c r="I68">
        <f>IF(
    OR(
        AND(MAX(0, MIN($F$1, DATE(Initialisatie!$C$5,12,31)) - MAX($F$2, DATE(Initialisatie!$C$5,1,1)) + 1) &gt; 0, IFERROR(VALUE($F68),0)=0),
        AND(MAX(0, MIN($G$1, DATE(Initialisatie!$C$5,12,31)) - MAX($G$2, DATE(Initialisatie!$C$5,1,1)) + 1) &gt; 0, IFERROR(VALUE($G68),0)=0)
    ),
    0,
    SUM(
        IFERROR(VALUE($F68),0) * MAX(0, MIN($F$1, DATE(Initialisatie!$C$5,12,31)) - MAX($F$2, DATE(Initialisatie!$C$5,1,1)) + 1),
        IFERROR(VALUE($G68),0) * MAX(0, MIN($G$1, DATE(Initialisatie!$C$5,12,31)) - MAX($G$2, DATE(Initialisatie!$C$5,1,1)) + 1)
    ) / (DATE(Initialisatie!$C$5,12,31) - DATE(Initialisatie!$C$5,1,1) + 1)
)</f>
        <v>2392</v>
      </c>
    </row>
    <row r="69" spans="1:9" x14ac:dyDescent="0.45">
      <c r="A69" s="988"/>
      <c r="B69" s="35">
        <v>2</v>
      </c>
      <c r="C69" s="35">
        <v>10</v>
      </c>
      <c r="D69" s="35">
        <v>2</v>
      </c>
      <c r="E69" s="35" t="s">
        <v>346</v>
      </c>
      <c r="F69">
        <v>2326</v>
      </c>
      <c r="G69">
        <v>2446</v>
      </c>
      <c r="I69">
        <f>IF(
    OR(
        AND(MAX(0, MIN($F$1, DATE(Initialisatie!$C$5,12,31)) - MAX($F$2, DATE(Initialisatie!$C$5,1,1)) + 1) &gt; 0, IFERROR(VALUE($F69),0)=0),
        AND(MAX(0, MIN($G$1, DATE(Initialisatie!$C$5,12,31)) - MAX($G$2, DATE(Initialisatie!$C$5,1,1)) + 1) &gt; 0, IFERROR(VALUE($G69),0)=0)
    ),
    0,
    SUM(
        IFERROR(VALUE($F69),0) * MAX(0, MIN($F$1, DATE(Initialisatie!$C$5,12,31)) - MAX($F$2, DATE(Initialisatie!$C$5,1,1)) + 1),
        IFERROR(VALUE($G69),0) * MAX(0, MIN($G$1, DATE(Initialisatie!$C$5,12,31)) - MAX($G$2, DATE(Initialisatie!$C$5,1,1)) + 1)
    ) / (DATE(Initialisatie!$C$5,12,31) - DATE(Initialisatie!$C$5,1,1) + 1)
)</f>
        <v>2446</v>
      </c>
    </row>
    <row r="70" spans="1:9" x14ac:dyDescent="0.45">
      <c r="A70" s="988">
        <v>35</v>
      </c>
      <c r="B70" s="35">
        <v>1</v>
      </c>
      <c r="C70" s="35">
        <v>12</v>
      </c>
      <c r="D70" s="35">
        <v>1</v>
      </c>
      <c r="E70" s="35" t="s">
        <v>347</v>
      </c>
      <c r="F70">
        <v>2451</v>
      </c>
      <c r="G70">
        <v>2571</v>
      </c>
      <c r="I70">
        <f>IF(
    OR(
        AND(MAX(0, MIN($F$1, DATE(Initialisatie!$C$5,12,31)) - MAX($F$2, DATE(Initialisatie!$C$5,1,1)) + 1) &gt; 0, IFERROR(VALUE($F70),0)=0),
        AND(MAX(0, MIN($G$1, DATE(Initialisatie!$C$5,12,31)) - MAX($G$2, DATE(Initialisatie!$C$5,1,1)) + 1) &gt; 0, IFERROR(VALUE($G70),0)=0)
    ),
    0,
    SUM(
        IFERROR(VALUE($F70),0) * MAX(0, MIN($F$1, DATE(Initialisatie!$C$5,12,31)) - MAX($F$2, DATE(Initialisatie!$C$5,1,1)) + 1),
        IFERROR(VALUE($G70),0) * MAX(0, MIN($G$1, DATE(Initialisatie!$C$5,12,31)) - MAX($G$2, DATE(Initialisatie!$C$5,1,1)) + 1)
    ) / (DATE(Initialisatie!$C$5,12,31) - DATE(Initialisatie!$C$5,1,1) + 1)
)</f>
        <v>2571</v>
      </c>
    </row>
    <row r="71" spans="1:9" x14ac:dyDescent="0.45">
      <c r="A71" s="988"/>
      <c r="B71" s="35">
        <v>2</v>
      </c>
      <c r="C71" s="35">
        <v>14</v>
      </c>
      <c r="D71" s="35">
        <v>2</v>
      </c>
      <c r="E71" s="35" t="s">
        <v>348</v>
      </c>
      <c r="F71">
        <v>2595</v>
      </c>
      <c r="G71">
        <v>2715</v>
      </c>
      <c r="I71">
        <f>IF(
    OR(
        AND(MAX(0, MIN($F$1, DATE(Initialisatie!$C$5,12,31)) - MAX($F$2, DATE(Initialisatie!$C$5,1,1)) + 1) &gt; 0, IFERROR(VALUE($F71),0)=0),
        AND(MAX(0, MIN($G$1, DATE(Initialisatie!$C$5,12,31)) - MAX($G$2, DATE(Initialisatie!$C$5,1,1)) + 1) &gt; 0, IFERROR(VALUE($G71),0)=0)
    ),
    0,
    SUM(
        IFERROR(VALUE($F71),0) * MAX(0, MIN($F$1, DATE(Initialisatie!$C$5,12,31)) - MAX($F$2, DATE(Initialisatie!$C$5,1,1)) + 1),
        IFERROR(VALUE($G71),0) * MAX(0, MIN($G$1, DATE(Initialisatie!$C$5,12,31)) - MAX($G$2, DATE(Initialisatie!$C$5,1,1)) + 1)
    ) / (DATE(Initialisatie!$C$5,12,31) - DATE(Initialisatie!$C$5,1,1) + 1)
)</f>
        <v>2715</v>
      </c>
    </row>
    <row r="72" spans="1:9" x14ac:dyDescent="0.45">
      <c r="A72" s="988"/>
      <c r="B72" s="35">
        <v>3</v>
      </c>
      <c r="C72" s="35">
        <v>15</v>
      </c>
      <c r="D72" s="35">
        <v>3</v>
      </c>
      <c r="E72" s="35" t="s">
        <v>349</v>
      </c>
      <c r="F72">
        <v>2661</v>
      </c>
      <c r="G72">
        <v>2781</v>
      </c>
      <c r="I72">
        <f>IF(
    OR(
        AND(MAX(0, MIN($F$1, DATE(Initialisatie!$C$5,12,31)) - MAX($F$2, DATE(Initialisatie!$C$5,1,1)) + 1) &gt; 0, IFERROR(VALUE($F72),0)=0),
        AND(MAX(0, MIN($G$1, DATE(Initialisatie!$C$5,12,31)) - MAX($G$2, DATE(Initialisatie!$C$5,1,1)) + 1) &gt; 0, IFERROR(VALUE($G72),0)=0)
    ),
    0,
    SUM(
        IFERROR(VALUE($F72),0) * MAX(0, MIN($F$1, DATE(Initialisatie!$C$5,12,31)) - MAX($F$2, DATE(Initialisatie!$C$5,1,1)) + 1),
        IFERROR(VALUE($G72),0) * MAX(0, MIN($G$1, DATE(Initialisatie!$C$5,12,31)) - MAX($G$2, DATE(Initialisatie!$C$5,1,1)) + 1)
    ) / (DATE(Initialisatie!$C$5,12,31) - DATE(Initialisatie!$C$5,1,1) + 1)
)</f>
        <v>2781</v>
      </c>
    </row>
    <row r="73" spans="1:9" x14ac:dyDescent="0.45">
      <c r="A73" s="988"/>
      <c r="B73" s="35">
        <v>4</v>
      </c>
      <c r="C73" s="35">
        <v>16</v>
      </c>
      <c r="D73" s="35">
        <v>4</v>
      </c>
      <c r="E73" s="35" t="s">
        <v>350</v>
      </c>
      <c r="F73">
        <v>2737</v>
      </c>
      <c r="G73">
        <v>2857</v>
      </c>
      <c r="I73">
        <f>IF(
    OR(
        AND(MAX(0, MIN($F$1, DATE(Initialisatie!$C$5,12,31)) - MAX($F$2, DATE(Initialisatie!$C$5,1,1)) + 1) &gt; 0, IFERROR(VALUE($F73),0)=0),
        AND(MAX(0, MIN($G$1, DATE(Initialisatie!$C$5,12,31)) - MAX($G$2, DATE(Initialisatie!$C$5,1,1)) + 1) &gt; 0, IFERROR(VALUE($G73),0)=0)
    ),
    0,
    SUM(
        IFERROR(VALUE($F73),0) * MAX(0, MIN($F$1, DATE(Initialisatie!$C$5,12,31)) - MAX($F$2, DATE(Initialisatie!$C$5,1,1)) + 1),
        IFERROR(VALUE($G73),0) * MAX(0, MIN($G$1, DATE(Initialisatie!$C$5,12,31)) - MAX($G$2, DATE(Initialisatie!$C$5,1,1)) + 1)
    ) / (DATE(Initialisatie!$C$5,12,31) - DATE(Initialisatie!$C$5,1,1) + 1)
)</f>
        <v>2857</v>
      </c>
    </row>
    <row r="74" spans="1:9" x14ac:dyDescent="0.45">
      <c r="A74" s="988"/>
      <c r="B74" s="35">
        <v>5</v>
      </c>
      <c r="C74" s="35">
        <v>17</v>
      </c>
      <c r="D74" s="35">
        <v>5</v>
      </c>
      <c r="E74" s="35" t="s">
        <v>351</v>
      </c>
      <c r="F74">
        <v>2797</v>
      </c>
      <c r="G74">
        <v>2917</v>
      </c>
      <c r="I74">
        <f>IF(
    OR(
        AND(MAX(0, MIN($F$1, DATE(Initialisatie!$C$5,12,31)) - MAX($F$2, DATE(Initialisatie!$C$5,1,1)) + 1) &gt; 0, IFERROR(VALUE($F74),0)=0),
        AND(MAX(0, MIN($G$1, DATE(Initialisatie!$C$5,12,31)) - MAX($G$2, DATE(Initialisatie!$C$5,1,1)) + 1) &gt; 0, IFERROR(VALUE($G74),0)=0)
    ),
    0,
    SUM(
        IFERROR(VALUE($F74),0) * MAX(0, MIN($F$1, DATE(Initialisatie!$C$5,12,31)) - MAX($F$2, DATE(Initialisatie!$C$5,1,1)) + 1),
        IFERROR(VALUE($G74),0) * MAX(0, MIN($G$1, DATE(Initialisatie!$C$5,12,31)) - MAX($G$2, DATE(Initialisatie!$C$5,1,1)) + 1)
    ) / (DATE(Initialisatie!$C$5,12,31) - DATE(Initialisatie!$C$5,1,1) + 1)
)</f>
        <v>2917</v>
      </c>
    </row>
    <row r="75" spans="1:9" x14ac:dyDescent="0.45">
      <c r="A75" s="988"/>
      <c r="B75" s="35">
        <v>6</v>
      </c>
      <c r="C75" s="35">
        <v>18</v>
      </c>
      <c r="D75" s="35">
        <v>6</v>
      </c>
      <c r="E75" s="35" t="s">
        <v>352</v>
      </c>
      <c r="F75">
        <v>2870</v>
      </c>
      <c r="G75">
        <v>2990</v>
      </c>
      <c r="I75">
        <f>IF(
    OR(
        AND(MAX(0, MIN($F$1, DATE(Initialisatie!$C$5,12,31)) - MAX($F$2, DATE(Initialisatie!$C$5,1,1)) + 1) &gt; 0, IFERROR(VALUE($F75),0)=0),
        AND(MAX(0, MIN($G$1, DATE(Initialisatie!$C$5,12,31)) - MAX($G$2, DATE(Initialisatie!$C$5,1,1)) + 1) &gt; 0, IFERROR(VALUE($G75),0)=0)
    ),
    0,
    SUM(
        IFERROR(VALUE($F75),0) * MAX(0, MIN($F$1, DATE(Initialisatie!$C$5,12,31)) - MAX($F$2, DATE(Initialisatie!$C$5,1,1)) + 1),
        IFERROR(VALUE($G75),0) * MAX(0, MIN($G$1, DATE(Initialisatie!$C$5,12,31)) - MAX($G$2, DATE(Initialisatie!$C$5,1,1)) + 1)
    ) / (DATE(Initialisatie!$C$5,12,31) - DATE(Initialisatie!$C$5,1,1) + 1)
)</f>
        <v>2990</v>
      </c>
    </row>
    <row r="76" spans="1:9" x14ac:dyDescent="0.45">
      <c r="A76" s="988"/>
      <c r="B76" s="35">
        <v>7</v>
      </c>
      <c r="C76" s="35">
        <v>19</v>
      </c>
      <c r="D76" s="35">
        <v>7</v>
      </c>
      <c r="E76" s="35" t="s">
        <v>353</v>
      </c>
      <c r="F76">
        <v>2937</v>
      </c>
      <c r="G76">
        <v>3057</v>
      </c>
      <c r="I76">
        <f>IF(
    OR(
        AND(MAX(0, MIN($F$1, DATE(Initialisatie!$C$5,12,31)) - MAX($F$2, DATE(Initialisatie!$C$5,1,1)) + 1) &gt; 0, IFERROR(VALUE($F76),0)=0),
        AND(MAX(0, MIN($G$1, DATE(Initialisatie!$C$5,12,31)) - MAX($G$2, DATE(Initialisatie!$C$5,1,1)) + 1) &gt; 0, IFERROR(VALUE($G76),0)=0)
    ),
    0,
    SUM(
        IFERROR(VALUE($F76),0) * MAX(0, MIN($F$1, DATE(Initialisatie!$C$5,12,31)) - MAX($F$2, DATE(Initialisatie!$C$5,1,1)) + 1),
        IFERROR(VALUE($G76),0) * MAX(0, MIN($G$1, DATE(Initialisatie!$C$5,12,31)) - MAX($G$2, DATE(Initialisatie!$C$5,1,1)) + 1)
    ) / (DATE(Initialisatie!$C$5,12,31) - DATE(Initialisatie!$C$5,1,1) + 1)
)</f>
        <v>3057</v>
      </c>
    </row>
    <row r="77" spans="1:9" x14ac:dyDescent="0.45">
      <c r="A77" s="988"/>
      <c r="B77" s="35">
        <v>8</v>
      </c>
      <c r="C77" s="35">
        <v>20</v>
      </c>
      <c r="D77" s="35">
        <v>8</v>
      </c>
      <c r="E77" s="35" t="s">
        <v>354</v>
      </c>
      <c r="F77">
        <v>3007</v>
      </c>
      <c r="G77">
        <v>3127</v>
      </c>
      <c r="I77">
        <f>IF(
    OR(
        AND(MAX(0, MIN($F$1, DATE(Initialisatie!$C$5,12,31)) - MAX($F$2, DATE(Initialisatie!$C$5,1,1)) + 1) &gt; 0, IFERROR(VALUE($F77),0)=0),
        AND(MAX(0, MIN($G$1, DATE(Initialisatie!$C$5,12,31)) - MAX($G$2, DATE(Initialisatie!$C$5,1,1)) + 1) &gt; 0, IFERROR(VALUE($G77),0)=0)
    ),
    0,
    SUM(
        IFERROR(VALUE($F77),0) * MAX(0, MIN($F$1, DATE(Initialisatie!$C$5,12,31)) - MAX($F$2, DATE(Initialisatie!$C$5,1,1)) + 1),
        IFERROR(VALUE($G77),0) * MAX(0, MIN($G$1, DATE(Initialisatie!$C$5,12,31)) - MAX($G$2, DATE(Initialisatie!$C$5,1,1)) + 1)
    ) / (DATE(Initialisatie!$C$5,12,31) - DATE(Initialisatie!$C$5,1,1) + 1)
)</f>
        <v>3127</v>
      </c>
    </row>
    <row r="78" spans="1:9" x14ac:dyDescent="0.45">
      <c r="A78" s="988"/>
      <c r="B78" s="35">
        <v>9</v>
      </c>
      <c r="C78" s="35">
        <v>21</v>
      </c>
      <c r="D78" s="35">
        <v>9</v>
      </c>
      <c r="E78" s="35" t="s">
        <v>355</v>
      </c>
      <c r="F78">
        <v>3076</v>
      </c>
      <c r="G78">
        <v>3199</v>
      </c>
      <c r="I78">
        <f>IF(
    OR(
        AND(MAX(0, MIN($F$1, DATE(Initialisatie!$C$5,12,31)) - MAX($F$2, DATE(Initialisatie!$C$5,1,1)) + 1) &gt; 0, IFERROR(VALUE($F78),0)=0),
        AND(MAX(0, MIN($G$1, DATE(Initialisatie!$C$5,12,31)) - MAX($G$2, DATE(Initialisatie!$C$5,1,1)) + 1) &gt; 0, IFERROR(VALUE($G78),0)=0)
    ),
    0,
    SUM(
        IFERROR(VALUE($F78),0) * MAX(0, MIN($F$1, DATE(Initialisatie!$C$5,12,31)) - MAX($F$2, DATE(Initialisatie!$C$5,1,1)) + 1),
        IFERROR(VALUE($G78),0) * MAX(0, MIN($G$1, DATE(Initialisatie!$C$5,12,31)) - MAX($G$2, DATE(Initialisatie!$C$5,1,1)) + 1)
    ) / (DATE(Initialisatie!$C$5,12,31) - DATE(Initialisatie!$C$5,1,1) + 1)
)</f>
        <v>3199</v>
      </c>
    </row>
    <row r="79" spans="1:9" x14ac:dyDescent="0.45">
      <c r="A79" s="988"/>
      <c r="B79" s="35">
        <v>10</v>
      </c>
      <c r="C79" s="35">
        <v>22</v>
      </c>
      <c r="D79" s="35">
        <v>10</v>
      </c>
      <c r="E79" s="35" t="s">
        <v>356</v>
      </c>
      <c r="F79">
        <v>3146</v>
      </c>
      <c r="G79">
        <v>3272</v>
      </c>
      <c r="I79">
        <f>IF(
    OR(
        AND(MAX(0, MIN($F$1, DATE(Initialisatie!$C$5,12,31)) - MAX($F$2, DATE(Initialisatie!$C$5,1,1)) + 1) &gt; 0, IFERROR(VALUE($F79),0)=0),
        AND(MAX(0, MIN($G$1, DATE(Initialisatie!$C$5,12,31)) - MAX($G$2, DATE(Initialisatie!$C$5,1,1)) + 1) &gt; 0, IFERROR(VALUE($G79),0)=0)
    ),
    0,
    SUM(
        IFERROR(VALUE($F79),0) * MAX(0, MIN($F$1, DATE(Initialisatie!$C$5,12,31)) - MAX($F$2, DATE(Initialisatie!$C$5,1,1)) + 1),
        IFERROR(VALUE($G79),0) * MAX(0, MIN($G$1, DATE(Initialisatie!$C$5,12,31)) - MAX($G$2, DATE(Initialisatie!$C$5,1,1)) + 1)
    ) / (DATE(Initialisatie!$C$5,12,31) - DATE(Initialisatie!$C$5,1,1) + 1)
)</f>
        <v>3272</v>
      </c>
    </row>
    <row r="80" spans="1:9" x14ac:dyDescent="0.45">
      <c r="A80" s="988"/>
      <c r="B80" s="35">
        <v>11</v>
      </c>
      <c r="C80" s="35">
        <v>23</v>
      </c>
      <c r="D80" s="35">
        <v>11</v>
      </c>
      <c r="E80" s="35" t="s">
        <v>357</v>
      </c>
      <c r="F80">
        <v>3218</v>
      </c>
      <c r="G80">
        <v>3346</v>
      </c>
      <c r="I80">
        <f>IF(
    OR(
        AND(MAX(0, MIN($F$1, DATE(Initialisatie!$C$5,12,31)) - MAX($F$2, DATE(Initialisatie!$C$5,1,1)) + 1) &gt; 0, IFERROR(VALUE($F80),0)=0),
        AND(MAX(0, MIN($G$1, DATE(Initialisatie!$C$5,12,31)) - MAX($G$2, DATE(Initialisatie!$C$5,1,1)) + 1) &gt; 0, IFERROR(VALUE($G80),0)=0)
    ),
    0,
    SUM(
        IFERROR(VALUE($F80),0) * MAX(0, MIN($F$1, DATE(Initialisatie!$C$5,12,31)) - MAX($F$2, DATE(Initialisatie!$C$5,1,1)) + 1),
        IFERROR(VALUE($G80),0) * MAX(0, MIN($G$1, DATE(Initialisatie!$C$5,12,31)) - MAX($G$2, DATE(Initialisatie!$C$5,1,1)) + 1)
    ) / (DATE(Initialisatie!$C$5,12,31) - DATE(Initialisatie!$C$5,1,1) + 1)
)</f>
        <v>3346</v>
      </c>
    </row>
    <row r="81" spans="1:9" x14ac:dyDescent="0.45">
      <c r="A81" s="988">
        <v>39</v>
      </c>
      <c r="B81" s="35">
        <v>1</v>
      </c>
      <c r="C81" s="35">
        <v>11</v>
      </c>
      <c r="D81" s="35">
        <v>1</v>
      </c>
      <c r="E81" s="35" t="s">
        <v>358</v>
      </c>
      <c r="F81">
        <v>2387</v>
      </c>
      <c r="G81">
        <v>2507</v>
      </c>
      <c r="I81">
        <f>IF(
    OR(
        AND(MAX(0, MIN($F$1, DATE(Initialisatie!$C$5,12,31)) - MAX($F$2, DATE(Initialisatie!$C$5,1,1)) + 1) &gt; 0, IFERROR(VALUE($F81),0)=0),
        AND(MAX(0, MIN($G$1, DATE(Initialisatie!$C$5,12,31)) - MAX($G$2, DATE(Initialisatie!$C$5,1,1)) + 1) &gt; 0, IFERROR(VALUE($G81),0)=0)
    ),
    0,
    SUM(
        IFERROR(VALUE($F81),0) * MAX(0, MIN($F$1, DATE(Initialisatie!$C$5,12,31)) - MAX($F$2, DATE(Initialisatie!$C$5,1,1)) + 1),
        IFERROR(VALUE($G81),0) * MAX(0, MIN($G$1, DATE(Initialisatie!$C$5,12,31)) - MAX($G$2, DATE(Initialisatie!$C$5,1,1)) + 1)
    ) / (DATE(Initialisatie!$C$5,12,31) - DATE(Initialisatie!$C$5,1,1) + 1)
)</f>
        <v>2507</v>
      </c>
    </row>
    <row r="82" spans="1:9" x14ac:dyDescent="0.45">
      <c r="A82" s="988"/>
      <c r="B82" s="35">
        <v>2</v>
      </c>
      <c r="C82" s="35">
        <v>12</v>
      </c>
      <c r="D82" s="35">
        <v>2</v>
      </c>
      <c r="E82" s="35" t="s">
        <v>359</v>
      </c>
      <c r="F82">
        <v>2451</v>
      </c>
      <c r="G82">
        <v>2571</v>
      </c>
      <c r="I82">
        <f>IF(
    OR(
        AND(MAX(0, MIN($F$1, DATE(Initialisatie!$C$5,12,31)) - MAX($F$2, DATE(Initialisatie!$C$5,1,1)) + 1) &gt; 0, IFERROR(VALUE($F82),0)=0),
        AND(MAX(0, MIN($G$1, DATE(Initialisatie!$C$5,12,31)) - MAX($G$2, DATE(Initialisatie!$C$5,1,1)) + 1) &gt; 0, IFERROR(VALUE($G82),0)=0)
    ),
    0,
    SUM(
        IFERROR(VALUE($F82),0) * MAX(0, MIN($F$1, DATE(Initialisatie!$C$5,12,31)) - MAX($F$2, DATE(Initialisatie!$C$5,1,1)) + 1),
        IFERROR(VALUE($G82),0) * MAX(0, MIN($G$1, DATE(Initialisatie!$C$5,12,31)) - MAX($G$2, DATE(Initialisatie!$C$5,1,1)) + 1)
    ) / (DATE(Initialisatie!$C$5,12,31) - DATE(Initialisatie!$C$5,1,1) + 1)
)</f>
        <v>2571</v>
      </c>
    </row>
    <row r="83" spans="1:9" x14ac:dyDescent="0.45">
      <c r="A83" s="988">
        <v>40</v>
      </c>
      <c r="B83" s="35">
        <v>1</v>
      </c>
      <c r="C83" s="35">
        <v>14</v>
      </c>
      <c r="D83" s="35">
        <v>1</v>
      </c>
      <c r="E83" s="35" t="s">
        <v>360</v>
      </c>
      <c r="F83">
        <v>2595</v>
      </c>
      <c r="G83">
        <v>2715</v>
      </c>
      <c r="I83">
        <f>IF(
    OR(
        AND(MAX(0, MIN($F$1, DATE(Initialisatie!$C$5,12,31)) - MAX($F$2, DATE(Initialisatie!$C$5,1,1)) + 1) &gt; 0, IFERROR(VALUE($F83),0)=0),
        AND(MAX(0, MIN($G$1, DATE(Initialisatie!$C$5,12,31)) - MAX($G$2, DATE(Initialisatie!$C$5,1,1)) + 1) &gt; 0, IFERROR(VALUE($G83),0)=0)
    ),
    0,
    SUM(
        IFERROR(VALUE($F83),0) * MAX(0, MIN($F$1, DATE(Initialisatie!$C$5,12,31)) - MAX($F$2, DATE(Initialisatie!$C$5,1,1)) + 1),
        IFERROR(VALUE($G83),0) * MAX(0, MIN($G$1, DATE(Initialisatie!$C$5,12,31)) - MAX($G$2, DATE(Initialisatie!$C$5,1,1)) + 1)
    ) / (DATE(Initialisatie!$C$5,12,31) - DATE(Initialisatie!$C$5,1,1) + 1)
)</f>
        <v>2715</v>
      </c>
    </row>
    <row r="84" spans="1:9" x14ac:dyDescent="0.45">
      <c r="A84" s="988"/>
      <c r="B84" s="35">
        <v>2</v>
      </c>
      <c r="C84" s="35">
        <v>16</v>
      </c>
      <c r="D84" s="35">
        <v>2</v>
      </c>
      <c r="E84" s="35" t="s">
        <v>361</v>
      </c>
      <c r="F84">
        <v>2737</v>
      </c>
      <c r="G84">
        <v>2857</v>
      </c>
      <c r="I84">
        <f>IF(
    OR(
        AND(MAX(0, MIN($F$1, DATE(Initialisatie!$C$5,12,31)) - MAX($F$2, DATE(Initialisatie!$C$5,1,1)) + 1) &gt; 0, IFERROR(VALUE($F84),0)=0),
        AND(MAX(0, MIN($G$1, DATE(Initialisatie!$C$5,12,31)) - MAX($G$2, DATE(Initialisatie!$C$5,1,1)) + 1) &gt; 0, IFERROR(VALUE($G84),0)=0)
    ),
    0,
    SUM(
        IFERROR(VALUE($F84),0) * MAX(0, MIN($F$1, DATE(Initialisatie!$C$5,12,31)) - MAX($F$2, DATE(Initialisatie!$C$5,1,1)) + 1),
        IFERROR(VALUE($G84),0) * MAX(0, MIN($G$1, DATE(Initialisatie!$C$5,12,31)) - MAX($G$2, DATE(Initialisatie!$C$5,1,1)) + 1)
    ) / (DATE(Initialisatie!$C$5,12,31) - DATE(Initialisatie!$C$5,1,1) + 1)
)</f>
        <v>2857</v>
      </c>
    </row>
    <row r="85" spans="1:9" x14ac:dyDescent="0.45">
      <c r="A85" s="988"/>
      <c r="B85" s="35">
        <v>3</v>
      </c>
      <c r="C85" s="35">
        <v>17</v>
      </c>
      <c r="D85" s="35">
        <v>3</v>
      </c>
      <c r="E85" s="35" t="s">
        <v>362</v>
      </c>
      <c r="F85">
        <v>2797</v>
      </c>
      <c r="G85">
        <v>2917</v>
      </c>
      <c r="I85">
        <f>IF(
    OR(
        AND(MAX(0, MIN($F$1, DATE(Initialisatie!$C$5,12,31)) - MAX($F$2, DATE(Initialisatie!$C$5,1,1)) + 1) &gt; 0, IFERROR(VALUE($F85),0)=0),
        AND(MAX(0, MIN($G$1, DATE(Initialisatie!$C$5,12,31)) - MAX($G$2, DATE(Initialisatie!$C$5,1,1)) + 1) &gt; 0, IFERROR(VALUE($G85),0)=0)
    ),
    0,
    SUM(
        IFERROR(VALUE($F85),0) * MAX(0, MIN($F$1, DATE(Initialisatie!$C$5,12,31)) - MAX($F$2, DATE(Initialisatie!$C$5,1,1)) + 1),
        IFERROR(VALUE($G85),0) * MAX(0, MIN($G$1, DATE(Initialisatie!$C$5,12,31)) - MAX($G$2, DATE(Initialisatie!$C$5,1,1)) + 1)
    ) / (DATE(Initialisatie!$C$5,12,31) - DATE(Initialisatie!$C$5,1,1) + 1)
)</f>
        <v>2917</v>
      </c>
    </row>
    <row r="86" spans="1:9" x14ac:dyDescent="0.45">
      <c r="A86" s="988"/>
      <c r="B86" s="35">
        <v>4</v>
      </c>
      <c r="C86" s="35">
        <v>18</v>
      </c>
      <c r="D86" s="35">
        <v>4</v>
      </c>
      <c r="E86" s="35" t="s">
        <v>363</v>
      </c>
      <c r="F86">
        <v>2870</v>
      </c>
      <c r="G86">
        <v>2990</v>
      </c>
      <c r="I86">
        <f>IF(
    OR(
        AND(MAX(0, MIN($F$1, DATE(Initialisatie!$C$5,12,31)) - MAX($F$2, DATE(Initialisatie!$C$5,1,1)) + 1) &gt; 0, IFERROR(VALUE($F86),0)=0),
        AND(MAX(0, MIN($G$1, DATE(Initialisatie!$C$5,12,31)) - MAX($G$2, DATE(Initialisatie!$C$5,1,1)) + 1) &gt; 0, IFERROR(VALUE($G86),0)=0)
    ),
    0,
    SUM(
        IFERROR(VALUE($F86),0) * MAX(0, MIN($F$1, DATE(Initialisatie!$C$5,12,31)) - MAX($F$2, DATE(Initialisatie!$C$5,1,1)) + 1),
        IFERROR(VALUE($G86),0) * MAX(0, MIN($G$1, DATE(Initialisatie!$C$5,12,31)) - MAX($G$2, DATE(Initialisatie!$C$5,1,1)) + 1)
    ) / (DATE(Initialisatie!$C$5,12,31) - DATE(Initialisatie!$C$5,1,1) + 1)
)</f>
        <v>2990</v>
      </c>
    </row>
    <row r="87" spans="1:9" x14ac:dyDescent="0.45">
      <c r="A87" s="988"/>
      <c r="B87" s="35">
        <v>5</v>
      </c>
      <c r="C87" s="35">
        <v>19</v>
      </c>
      <c r="D87" s="35">
        <v>5</v>
      </c>
      <c r="E87" s="35" t="s">
        <v>364</v>
      </c>
      <c r="F87">
        <v>2937</v>
      </c>
      <c r="G87">
        <v>3057</v>
      </c>
      <c r="I87">
        <f>IF(
    OR(
        AND(MAX(0, MIN($F$1, DATE(Initialisatie!$C$5,12,31)) - MAX($F$2, DATE(Initialisatie!$C$5,1,1)) + 1) &gt; 0, IFERROR(VALUE($F87),0)=0),
        AND(MAX(0, MIN($G$1, DATE(Initialisatie!$C$5,12,31)) - MAX($G$2, DATE(Initialisatie!$C$5,1,1)) + 1) &gt; 0, IFERROR(VALUE($G87),0)=0)
    ),
    0,
    SUM(
        IFERROR(VALUE($F87),0) * MAX(0, MIN($F$1, DATE(Initialisatie!$C$5,12,31)) - MAX($F$2, DATE(Initialisatie!$C$5,1,1)) + 1),
        IFERROR(VALUE($G87),0) * MAX(0, MIN($G$1, DATE(Initialisatie!$C$5,12,31)) - MAX($G$2, DATE(Initialisatie!$C$5,1,1)) + 1)
    ) / (DATE(Initialisatie!$C$5,12,31) - DATE(Initialisatie!$C$5,1,1) + 1)
)</f>
        <v>3057</v>
      </c>
    </row>
    <row r="88" spans="1:9" x14ac:dyDescent="0.45">
      <c r="A88" s="988"/>
      <c r="B88" s="35">
        <v>6</v>
      </c>
      <c r="C88" s="35">
        <v>20</v>
      </c>
      <c r="D88" s="35">
        <v>6</v>
      </c>
      <c r="E88" s="35" t="s">
        <v>365</v>
      </c>
      <c r="F88">
        <v>3007</v>
      </c>
      <c r="G88">
        <v>3127</v>
      </c>
      <c r="I88">
        <f>IF(
    OR(
        AND(MAX(0, MIN($F$1, DATE(Initialisatie!$C$5,12,31)) - MAX($F$2, DATE(Initialisatie!$C$5,1,1)) + 1) &gt; 0, IFERROR(VALUE($F88),0)=0),
        AND(MAX(0, MIN($G$1, DATE(Initialisatie!$C$5,12,31)) - MAX($G$2, DATE(Initialisatie!$C$5,1,1)) + 1) &gt; 0, IFERROR(VALUE($G88),0)=0)
    ),
    0,
    SUM(
        IFERROR(VALUE($F88),0) * MAX(0, MIN($F$1, DATE(Initialisatie!$C$5,12,31)) - MAX($F$2, DATE(Initialisatie!$C$5,1,1)) + 1),
        IFERROR(VALUE($G88),0) * MAX(0, MIN($G$1, DATE(Initialisatie!$C$5,12,31)) - MAX($G$2, DATE(Initialisatie!$C$5,1,1)) + 1)
    ) / (DATE(Initialisatie!$C$5,12,31) - DATE(Initialisatie!$C$5,1,1) + 1)
)</f>
        <v>3127</v>
      </c>
    </row>
    <row r="89" spans="1:9" x14ac:dyDescent="0.45">
      <c r="A89" s="988"/>
      <c r="B89" s="35">
        <v>7</v>
      </c>
      <c r="C89" s="35">
        <v>21</v>
      </c>
      <c r="D89" s="35">
        <v>7</v>
      </c>
      <c r="E89" s="35" t="s">
        <v>366</v>
      </c>
      <c r="F89">
        <v>3076</v>
      </c>
      <c r="G89">
        <v>3199</v>
      </c>
      <c r="I89">
        <f>IF(
    OR(
        AND(MAX(0, MIN($F$1, DATE(Initialisatie!$C$5,12,31)) - MAX($F$2, DATE(Initialisatie!$C$5,1,1)) + 1) &gt; 0, IFERROR(VALUE($F89),0)=0),
        AND(MAX(0, MIN($G$1, DATE(Initialisatie!$C$5,12,31)) - MAX($G$2, DATE(Initialisatie!$C$5,1,1)) + 1) &gt; 0, IFERROR(VALUE($G89),0)=0)
    ),
    0,
    SUM(
        IFERROR(VALUE($F89),0) * MAX(0, MIN($F$1, DATE(Initialisatie!$C$5,12,31)) - MAX($F$2, DATE(Initialisatie!$C$5,1,1)) + 1),
        IFERROR(VALUE($G89),0) * MAX(0, MIN($G$1, DATE(Initialisatie!$C$5,12,31)) - MAX($G$2, DATE(Initialisatie!$C$5,1,1)) + 1)
    ) / (DATE(Initialisatie!$C$5,12,31) - DATE(Initialisatie!$C$5,1,1) + 1)
)</f>
        <v>3199</v>
      </c>
    </row>
    <row r="90" spans="1:9" x14ac:dyDescent="0.45">
      <c r="A90" s="988"/>
      <c r="B90" s="35">
        <v>8</v>
      </c>
      <c r="C90" s="35">
        <v>22</v>
      </c>
      <c r="D90" s="35">
        <v>8</v>
      </c>
      <c r="E90" s="35" t="s">
        <v>367</v>
      </c>
      <c r="F90">
        <v>3146</v>
      </c>
      <c r="G90">
        <v>3272</v>
      </c>
      <c r="I90">
        <f>IF(
    OR(
        AND(MAX(0, MIN($F$1, DATE(Initialisatie!$C$5,12,31)) - MAX($F$2, DATE(Initialisatie!$C$5,1,1)) + 1) &gt; 0, IFERROR(VALUE($F90),0)=0),
        AND(MAX(0, MIN($G$1, DATE(Initialisatie!$C$5,12,31)) - MAX($G$2, DATE(Initialisatie!$C$5,1,1)) + 1) &gt; 0, IFERROR(VALUE($G90),0)=0)
    ),
    0,
    SUM(
        IFERROR(VALUE($F90),0) * MAX(0, MIN($F$1, DATE(Initialisatie!$C$5,12,31)) - MAX($F$2, DATE(Initialisatie!$C$5,1,1)) + 1),
        IFERROR(VALUE($G90),0) * MAX(0, MIN($G$1, DATE(Initialisatie!$C$5,12,31)) - MAX($G$2, DATE(Initialisatie!$C$5,1,1)) + 1)
    ) / (DATE(Initialisatie!$C$5,12,31) - DATE(Initialisatie!$C$5,1,1) + 1)
)</f>
        <v>3272</v>
      </c>
    </row>
    <row r="91" spans="1:9" x14ac:dyDescent="0.45">
      <c r="A91" s="988"/>
      <c r="B91" s="35">
        <v>9</v>
      </c>
      <c r="C91" s="35">
        <v>23</v>
      </c>
      <c r="D91" s="35">
        <v>9</v>
      </c>
      <c r="E91" s="35" t="s">
        <v>368</v>
      </c>
      <c r="F91">
        <v>3218</v>
      </c>
      <c r="G91">
        <v>3346</v>
      </c>
      <c r="I91">
        <f>IF(
    OR(
        AND(MAX(0, MIN($F$1, DATE(Initialisatie!$C$5,12,31)) - MAX($F$2, DATE(Initialisatie!$C$5,1,1)) + 1) &gt; 0, IFERROR(VALUE($F91),0)=0),
        AND(MAX(0, MIN($G$1, DATE(Initialisatie!$C$5,12,31)) - MAX($G$2, DATE(Initialisatie!$C$5,1,1)) + 1) &gt; 0, IFERROR(VALUE($G91),0)=0)
    ),
    0,
    SUM(
        IFERROR(VALUE($F91),0) * MAX(0, MIN($F$1, DATE(Initialisatie!$C$5,12,31)) - MAX($F$2, DATE(Initialisatie!$C$5,1,1)) + 1),
        IFERROR(VALUE($G91),0) * MAX(0, MIN($G$1, DATE(Initialisatie!$C$5,12,31)) - MAX($G$2, DATE(Initialisatie!$C$5,1,1)) + 1)
    ) / (DATE(Initialisatie!$C$5,12,31) - DATE(Initialisatie!$C$5,1,1) + 1)
)</f>
        <v>3346</v>
      </c>
    </row>
    <row r="92" spans="1:9" x14ac:dyDescent="0.45">
      <c r="A92" s="988"/>
      <c r="B92" s="35">
        <v>10</v>
      </c>
      <c r="C92" s="35">
        <v>24</v>
      </c>
      <c r="D92" s="35">
        <v>10</v>
      </c>
      <c r="E92" s="35" t="s">
        <v>369</v>
      </c>
      <c r="F92">
        <v>3293</v>
      </c>
      <c r="G92">
        <v>3425</v>
      </c>
      <c r="I92">
        <f>IF(
    OR(
        AND(MAX(0, MIN($F$1, DATE(Initialisatie!$C$5,12,31)) - MAX($F$2, DATE(Initialisatie!$C$5,1,1)) + 1) &gt; 0, IFERROR(VALUE($F92),0)=0),
        AND(MAX(0, MIN($G$1, DATE(Initialisatie!$C$5,12,31)) - MAX($G$2, DATE(Initialisatie!$C$5,1,1)) + 1) &gt; 0, IFERROR(VALUE($G92),0)=0)
    ),
    0,
    SUM(
        IFERROR(VALUE($F92),0) * MAX(0, MIN($F$1, DATE(Initialisatie!$C$5,12,31)) - MAX($F$2, DATE(Initialisatie!$C$5,1,1)) + 1),
        IFERROR(VALUE($G92),0) * MAX(0, MIN($G$1, DATE(Initialisatie!$C$5,12,31)) - MAX($G$2, DATE(Initialisatie!$C$5,1,1)) + 1)
    ) / (DATE(Initialisatie!$C$5,12,31) - DATE(Initialisatie!$C$5,1,1) + 1)
)</f>
        <v>3425</v>
      </c>
    </row>
    <row r="93" spans="1:9" x14ac:dyDescent="0.45">
      <c r="A93" s="988"/>
      <c r="B93" s="35">
        <v>11</v>
      </c>
      <c r="C93" s="35">
        <v>25</v>
      </c>
      <c r="D93" s="35">
        <v>11</v>
      </c>
      <c r="E93" s="35" t="s">
        <v>370</v>
      </c>
      <c r="F93">
        <v>3371</v>
      </c>
      <c r="G93">
        <v>3506</v>
      </c>
      <c r="I93">
        <f>IF(
    OR(
        AND(MAX(0, MIN($F$1, DATE(Initialisatie!$C$5,12,31)) - MAX($F$2, DATE(Initialisatie!$C$5,1,1)) + 1) &gt; 0, IFERROR(VALUE($F93),0)=0),
        AND(MAX(0, MIN($G$1, DATE(Initialisatie!$C$5,12,31)) - MAX($G$2, DATE(Initialisatie!$C$5,1,1)) + 1) &gt; 0, IFERROR(VALUE($G93),0)=0)
    ),
    0,
    SUM(
        IFERROR(VALUE($F93),0) * MAX(0, MIN($F$1, DATE(Initialisatie!$C$5,12,31)) - MAX($F$2, DATE(Initialisatie!$C$5,1,1)) + 1),
        IFERROR(VALUE($G93),0) * MAX(0, MIN($G$1, DATE(Initialisatie!$C$5,12,31)) - MAX($G$2, DATE(Initialisatie!$C$5,1,1)) + 1)
    ) / (DATE(Initialisatie!$C$5,12,31) - DATE(Initialisatie!$C$5,1,1) + 1)
)</f>
        <v>3506</v>
      </c>
    </row>
    <row r="94" spans="1:9" x14ac:dyDescent="0.45">
      <c r="A94" s="988"/>
      <c r="B94" s="35">
        <v>12</v>
      </c>
      <c r="C94" s="35">
        <v>26</v>
      </c>
      <c r="D94" s="35">
        <v>12</v>
      </c>
      <c r="E94" s="35" t="s">
        <v>371</v>
      </c>
      <c r="F94">
        <v>3456</v>
      </c>
      <c r="G94">
        <v>3594</v>
      </c>
      <c r="I94">
        <f>IF(
    OR(
        AND(MAX(0, MIN($F$1, DATE(Initialisatie!$C$5,12,31)) - MAX($F$2, DATE(Initialisatie!$C$5,1,1)) + 1) &gt; 0, IFERROR(VALUE($F94),0)=0),
        AND(MAX(0, MIN($G$1, DATE(Initialisatie!$C$5,12,31)) - MAX($G$2, DATE(Initialisatie!$C$5,1,1)) + 1) &gt; 0, IFERROR(VALUE($G94),0)=0)
    ),
    0,
    SUM(
        IFERROR(VALUE($F94),0) * MAX(0, MIN($F$1, DATE(Initialisatie!$C$5,12,31)) - MAX($F$2, DATE(Initialisatie!$C$5,1,1)) + 1),
        IFERROR(VALUE($G94),0) * MAX(0, MIN($G$1, DATE(Initialisatie!$C$5,12,31)) - MAX($G$2, DATE(Initialisatie!$C$5,1,1)) + 1)
    ) / (DATE(Initialisatie!$C$5,12,31) - DATE(Initialisatie!$C$5,1,1) + 1)
)</f>
        <v>3594</v>
      </c>
    </row>
    <row r="95" spans="1:9" x14ac:dyDescent="0.45">
      <c r="A95" s="988"/>
      <c r="B95" s="35">
        <v>13</v>
      </c>
      <c r="C95" s="35">
        <v>27</v>
      </c>
      <c r="D95" s="35">
        <v>13</v>
      </c>
      <c r="E95" s="35" t="s">
        <v>372</v>
      </c>
      <c r="F95">
        <v>3541</v>
      </c>
      <c r="G95">
        <v>3682</v>
      </c>
      <c r="I95">
        <f>IF(
    OR(
        AND(MAX(0, MIN($F$1, DATE(Initialisatie!$C$5,12,31)) - MAX($F$2, DATE(Initialisatie!$C$5,1,1)) + 1) &gt; 0, IFERROR(VALUE($F95),0)=0),
        AND(MAX(0, MIN($G$1, DATE(Initialisatie!$C$5,12,31)) - MAX($G$2, DATE(Initialisatie!$C$5,1,1)) + 1) &gt; 0, IFERROR(VALUE($G95),0)=0)
    ),
    0,
    SUM(
        IFERROR(VALUE($F95),0) * MAX(0, MIN($F$1, DATE(Initialisatie!$C$5,12,31)) - MAX($F$2, DATE(Initialisatie!$C$5,1,1)) + 1),
        IFERROR(VALUE($G95),0) * MAX(0, MIN($G$1, DATE(Initialisatie!$C$5,12,31)) - MAX($G$2, DATE(Initialisatie!$C$5,1,1)) + 1)
    ) / (DATE(Initialisatie!$C$5,12,31) - DATE(Initialisatie!$C$5,1,1) + 1)
)</f>
        <v>3682</v>
      </c>
    </row>
    <row r="96" spans="1:9" x14ac:dyDescent="0.45">
      <c r="A96" s="988">
        <v>44</v>
      </c>
      <c r="B96" s="35">
        <v>1</v>
      </c>
      <c r="C96" s="35">
        <v>12</v>
      </c>
      <c r="D96" s="35">
        <v>1</v>
      </c>
      <c r="E96" s="35" t="s">
        <v>373</v>
      </c>
      <c r="F96">
        <v>2451</v>
      </c>
      <c r="G96">
        <v>2571</v>
      </c>
      <c r="I96">
        <f>IF(
    OR(
        AND(MAX(0, MIN($F$1, DATE(Initialisatie!$C$5,12,31)) - MAX($F$2, DATE(Initialisatie!$C$5,1,1)) + 1) &gt; 0, IFERROR(VALUE($F96),0)=0),
        AND(MAX(0, MIN($G$1, DATE(Initialisatie!$C$5,12,31)) - MAX($G$2, DATE(Initialisatie!$C$5,1,1)) + 1) &gt; 0, IFERROR(VALUE($G96),0)=0)
    ),
    0,
    SUM(
        IFERROR(VALUE($F96),0) * MAX(0, MIN($F$1, DATE(Initialisatie!$C$5,12,31)) - MAX($F$2, DATE(Initialisatie!$C$5,1,1)) + 1),
        IFERROR(VALUE($G96),0) * MAX(0, MIN($G$1, DATE(Initialisatie!$C$5,12,31)) - MAX($G$2, DATE(Initialisatie!$C$5,1,1)) + 1)
    ) / (DATE(Initialisatie!$C$5,12,31) - DATE(Initialisatie!$C$5,1,1) + 1)
)</f>
        <v>2571</v>
      </c>
    </row>
    <row r="97" spans="1:9" x14ac:dyDescent="0.45">
      <c r="A97" s="988"/>
      <c r="B97" s="35">
        <v>2</v>
      </c>
      <c r="C97" s="35">
        <v>14</v>
      </c>
      <c r="D97" s="35">
        <v>2</v>
      </c>
      <c r="E97" s="35" t="s">
        <v>374</v>
      </c>
      <c r="F97">
        <v>2595</v>
      </c>
      <c r="G97">
        <v>2715</v>
      </c>
      <c r="I97">
        <f>IF(
    OR(
        AND(MAX(0, MIN($F$1, DATE(Initialisatie!$C$5,12,31)) - MAX($F$2, DATE(Initialisatie!$C$5,1,1)) + 1) &gt; 0, IFERROR(VALUE($F97),0)=0),
        AND(MAX(0, MIN($G$1, DATE(Initialisatie!$C$5,12,31)) - MAX($G$2, DATE(Initialisatie!$C$5,1,1)) + 1) &gt; 0, IFERROR(VALUE($G97),0)=0)
    ),
    0,
    SUM(
        IFERROR(VALUE($F97),0) * MAX(0, MIN($F$1, DATE(Initialisatie!$C$5,12,31)) - MAX($F$2, DATE(Initialisatie!$C$5,1,1)) + 1),
        IFERROR(VALUE($G97),0) * MAX(0, MIN($G$1, DATE(Initialisatie!$C$5,12,31)) - MAX($G$2, DATE(Initialisatie!$C$5,1,1)) + 1)
    ) / (DATE(Initialisatie!$C$5,12,31) - DATE(Initialisatie!$C$5,1,1) + 1)
)</f>
        <v>2715</v>
      </c>
    </row>
    <row r="98" spans="1:9" x14ac:dyDescent="0.45">
      <c r="A98" s="988"/>
      <c r="B98" s="35">
        <v>3</v>
      </c>
      <c r="C98" s="35">
        <v>16</v>
      </c>
      <c r="D98" s="35">
        <v>3</v>
      </c>
      <c r="E98" s="35" t="s">
        <v>375</v>
      </c>
      <c r="F98">
        <v>2737</v>
      </c>
      <c r="G98">
        <v>2857</v>
      </c>
      <c r="I98">
        <f>IF(
    OR(
        AND(MAX(0, MIN($F$1, DATE(Initialisatie!$C$5,12,31)) - MAX($F$2, DATE(Initialisatie!$C$5,1,1)) + 1) &gt; 0, IFERROR(VALUE($F98),0)=0),
        AND(MAX(0, MIN($G$1, DATE(Initialisatie!$C$5,12,31)) - MAX($G$2, DATE(Initialisatie!$C$5,1,1)) + 1) &gt; 0, IFERROR(VALUE($G98),0)=0)
    ),
    0,
    SUM(
        IFERROR(VALUE($F98),0) * MAX(0, MIN($F$1, DATE(Initialisatie!$C$5,12,31)) - MAX($F$2, DATE(Initialisatie!$C$5,1,1)) + 1),
        IFERROR(VALUE($G98),0) * MAX(0, MIN($G$1, DATE(Initialisatie!$C$5,12,31)) - MAX($G$2, DATE(Initialisatie!$C$5,1,1)) + 1)
    ) / (DATE(Initialisatie!$C$5,12,31) - DATE(Initialisatie!$C$5,1,1) + 1)
)</f>
        <v>2857</v>
      </c>
    </row>
    <row r="99" spans="1:9" x14ac:dyDescent="0.45">
      <c r="A99" s="988">
        <v>45</v>
      </c>
      <c r="B99" s="35">
        <v>1</v>
      </c>
      <c r="C99" s="35">
        <v>18</v>
      </c>
      <c r="D99" s="35">
        <v>1</v>
      </c>
      <c r="E99" s="35" t="s">
        <v>376</v>
      </c>
      <c r="F99">
        <v>2870</v>
      </c>
      <c r="G99">
        <v>2990</v>
      </c>
      <c r="I99">
        <f>IF(
    OR(
        AND(MAX(0, MIN($F$1, DATE(Initialisatie!$C$5,12,31)) - MAX($F$2, DATE(Initialisatie!$C$5,1,1)) + 1) &gt; 0, IFERROR(VALUE($F99),0)=0),
        AND(MAX(0, MIN($G$1, DATE(Initialisatie!$C$5,12,31)) - MAX($G$2, DATE(Initialisatie!$C$5,1,1)) + 1) &gt; 0, IFERROR(VALUE($G99),0)=0)
    ),
    0,
    SUM(
        IFERROR(VALUE($F99),0) * MAX(0, MIN($F$1, DATE(Initialisatie!$C$5,12,31)) - MAX($F$2, DATE(Initialisatie!$C$5,1,1)) + 1),
        IFERROR(VALUE($G99),0) * MAX(0, MIN($G$1, DATE(Initialisatie!$C$5,12,31)) - MAX($G$2, DATE(Initialisatie!$C$5,1,1)) + 1)
    ) / (DATE(Initialisatie!$C$5,12,31) - DATE(Initialisatie!$C$5,1,1) + 1)
)</f>
        <v>2990</v>
      </c>
    </row>
    <row r="100" spans="1:9" x14ac:dyDescent="0.45">
      <c r="A100" s="988"/>
      <c r="B100" s="35">
        <v>2</v>
      </c>
      <c r="C100" s="35">
        <v>20</v>
      </c>
      <c r="D100" s="35">
        <v>2</v>
      </c>
      <c r="E100" s="35" t="s">
        <v>377</v>
      </c>
      <c r="F100">
        <v>3007</v>
      </c>
      <c r="G100">
        <v>3127</v>
      </c>
      <c r="I100">
        <f>IF(
    OR(
        AND(MAX(0, MIN($F$1, DATE(Initialisatie!$C$5,12,31)) - MAX($F$2, DATE(Initialisatie!$C$5,1,1)) + 1) &gt; 0, IFERROR(VALUE($F100),0)=0),
        AND(MAX(0, MIN($G$1, DATE(Initialisatie!$C$5,12,31)) - MAX($G$2, DATE(Initialisatie!$C$5,1,1)) + 1) &gt; 0, IFERROR(VALUE($G100),0)=0)
    ),
    0,
    SUM(
        IFERROR(VALUE($F100),0) * MAX(0, MIN($F$1, DATE(Initialisatie!$C$5,12,31)) - MAX($F$2, DATE(Initialisatie!$C$5,1,1)) + 1),
        IFERROR(VALUE($G100),0) * MAX(0, MIN($G$1, DATE(Initialisatie!$C$5,12,31)) - MAX($G$2, DATE(Initialisatie!$C$5,1,1)) + 1)
    ) / (DATE(Initialisatie!$C$5,12,31) - DATE(Initialisatie!$C$5,1,1) + 1)
)</f>
        <v>3127</v>
      </c>
    </row>
    <row r="101" spans="1:9" x14ac:dyDescent="0.45">
      <c r="A101" s="988"/>
      <c r="B101" s="35">
        <v>3</v>
      </c>
      <c r="C101" s="35">
        <v>21</v>
      </c>
      <c r="D101" s="35">
        <v>3</v>
      </c>
      <c r="E101" s="35" t="s">
        <v>378</v>
      </c>
      <c r="F101">
        <v>3076</v>
      </c>
      <c r="G101">
        <v>3199</v>
      </c>
      <c r="I101">
        <f>IF(
    OR(
        AND(MAX(0, MIN($F$1, DATE(Initialisatie!$C$5,12,31)) - MAX($F$2, DATE(Initialisatie!$C$5,1,1)) + 1) &gt; 0, IFERROR(VALUE($F101),0)=0),
        AND(MAX(0, MIN($G$1, DATE(Initialisatie!$C$5,12,31)) - MAX($G$2, DATE(Initialisatie!$C$5,1,1)) + 1) &gt; 0, IFERROR(VALUE($G101),0)=0)
    ),
    0,
    SUM(
        IFERROR(VALUE($F101),0) * MAX(0, MIN($F$1, DATE(Initialisatie!$C$5,12,31)) - MAX($F$2, DATE(Initialisatie!$C$5,1,1)) + 1),
        IFERROR(VALUE($G101),0) * MAX(0, MIN($G$1, DATE(Initialisatie!$C$5,12,31)) - MAX($G$2, DATE(Initialisatie!$C$5,1,1)) + 1)
    ) / (DATE(Initialisatie!$C$5,12,31) - DATE(Initialisatie!$C$5,1,1) + 1)
)</f>
        <v>3199</v>
      </c>
    </row>
    <row r="102" spans="1:9" x14ac:dyDescent="0.45">
      <c r="A102" s="988"/>
      <c r="B102" s="35">
        <v>4</v>
      </c>
      <c r="C102" s="35">
        <v>22</v>
      </c>
      <c r="D102" s="35">
        <v>4</v>
      </c>
      <c r="E102" s="35" t="s">
        <v>379</v>
      </c>
      <c r="F102">
        <v>3146</v>
      </c>
      <c r="G102">
        <v>3272</v>
      </c>
      <c r="I102">
        <f>IF(
    OR(
        AND(MAX(0, MIN($F$1, DATE(Initialisatie!$C$5,12,31)) - MAX($F$2, DATE(Initialisatie!$C$5,1,1)) + 1) &gt; 0, IFERROR(VALUE($F102),0)=0),
        AND(MAX(0, MIN($G$1, DATE(Initialisatie!$C$5,12,31)) - MAX($G$2, DATE(Initialisatie!$C$5,1,1)) + 1) &gt; 0, IFERROR(VALUE($G102),0)=0)
    ),
    0,
    SUM(
        IFERROR(VALUE($F102),0) * MAX(0, MIN($F$1, DATE(Initialisatie!$C$5,12,31)) - MAX($F$2, DATE(Initialisatie!$C$5,1,1)) + 1),
        IFERROR(VALUE($G102),0) * MAX(0, MIN($G$1, DATE(Initialisatie!$C$5,12,31)) - MAX($G$2, DATE(Initialisatie!$C$5,1,1)) + 1)
    ) / (DATE(Initialisatie!$C$5,12,31) - DATE(Initialisatie!$C$5,1,1) + 1)
)</f>
        <v>3272</v>
      </c>
    </row>
    <row r="103" spans="1:9" x14ac:dyDescent="0.45">
      <c r="A103" s="988"/>
      <c r="B103" s="35">
        <v>5</v>
      </c>
      <c r="C103" s="35">
        <v>23</v>
      </c>
      <c r="D103" s="35">
        <v>5</v>
      </c>
      <c r="E103" s="35" t="s">
        <v>380</v>
      </c>
      <c r="F103">
        <v>3218</v>
      </c>
      <c r="G103">
        <v>3346</v>
      </c>
      <c r="I103">
        <f>IF(
    OR(
        AND(MAX(0, MIN($F$1, DATE(Initialisatie!$C$5,12,31)) - MAX($F$2, DATE(Initialisatie!$C$5,1,1)) + 1) &gt; 0, IFERROR(VALUE($F103),0)=0),
        AND(MAX(0, MIN($G$1, DATE(Initialisatie!$C$5,12,31)) - MAX($G$2, DATE(Initialisatie!$C$5,1,1)) + 1) &gt; 0, IFERROR(VALUE($G103),0)=0)
    ),
    0,
    SUM(
        IFERROR(VALUE($F103),0) * MAX(0, MIN($F$1, DATE(Initialisatie!$C$5,12,31)) - MAX($F$2, DATE(Initialisatie!$C$5,1,1)) + 1),
        IFERROR(VALUE($G103),0) * MAX(0, MIN($G$1, DATE(Initialisatie!$C$5,12,31)) - MAX($G$2, DATE(Initialisatie!$C$5,1,1)) + 1)
    ) / (DATE(Initialisatie!$C$5,12,31) - DATE(Initialisatie!$C$5,1,1) + 1)
)</f>
        <v>3346</v>
      </c>
    </row>
    <row r="104" spans="1:9" x14ac:dyDescent="0.45">
      <c r="A104" s="988"/>
      <c r="B104" s="35">
        <v>6</v>
      </c>
      <c r="C104" s="35">
        <v>24</v>
      </c>
      <c r="D104" s="35">
        <v>6</v>
      </c>
      <c r="E104" s="35" t="s">
        <v>381</v>
      </c>
      <c r="F104">
        <v>3293</v>
      </c>
      <c r="G104">
        <v>3425</v>
      </c>
      <c r="I104">
        <f>IF(
    OR(
        AND(MAX(0, MIN($F$1, DATE(Initialisatie!$C$5,12,31)) - MAX($F$2, DATE(Initialisatie!$C$5,1,1)) + 1) &gt; 0, IFERROR(VALUE($F104),0)=0),
        AND(MAX(0, MIN($G$1, DATE(Initialisatie!$C$5,12,31)) - MAX($G$2, DATE(Initialisatie!$C$5,1,1)) + 1) &gt; 0, IFERROR(VALUE($G104),0)=0)
    ),
    0,
    SUM(
        IFERROR(VALUE($F104),0) * MAX(0, MIN($F$1, DATE(Initialisatie!$C$5,12,31)) - MAX($F$2, DATE(Initialisatie!$C$5,1,1)) + 1),
        IFERROR(VALUE($G104),0) * MAX(0, MIN($G$1, DATE(Initialisatie!$C$5,12,31)) - MAX($G$2, DATE(Initialisatie!$C$5,1,1)) + 1)
    ) / (DATE(Initialisatie!$C$5,12,31) - DATE(Initialisatie!$C$5,1,1) + 1)
)</f>
        <v>3425</v>
      </c>
    </row>
    <row r="105" spans="1:9" x14ac:dyDescent="0.45">
      <c r="A105" s="988"/>
      <c r="B105" s="35">
        <v>7</v>
      </c>
      <c r="C105" s="35">
        <v>25</v>
      </c>
      <c r="D105" s="35">
        <v>7</v>
      </c>
      <c r="E105" s="35" t="s">
        <v>382</v>
      </c>
      <c r="F105">
        <v>3371</v>
      </c>
      <c r="G105">
        <v>3506</v>
      </c>
      <c r="I105">
        <f>IF(
    OR(
        AND(MAX(0, MIN($F$1, DATE(Initialisatie!$C$5,12,31)) - MAX($F$2, DATE(Initialisatie!$C$5,1,1)) + 1) &gt; 0, IFERROR(VALUE($F105),0)=0),
        AND(MAX(0, MIN($G$1, DATE(Initialisatie!$C$5,12,31)) - MAX($G$2, DATE(Initialisatie!$C$5,1,1)) + 1) &gt; 0, IFERROR(VALUE($G105),0)=0)
    ),
    0,
    SUM(
        IFERROR(VALUE($F105),0) * MAX(0, MIN($F$1, DATE(Initialisatie!$C$5,12,31)) - MAX($F$2, DATE(Initialisatie!$C$5,1,1)) + 1),
        IFERROR(VALUE($G105),0) * MAX(0, MIN($G$1, DATE(Initialisatie!$C$5,12,31)) - MAX($G$2, DATE(Initialisatie!$C$5,1,1)) + 1)
    ) / (DATE(Initialisatie!$C$5,12,31) - DATE(Initialisatie!$C$5,1,1) + 1)
)</f>
        <v>3506</v>
      </c>
    </row>
    <row r="106" spans="1:9" x14ac:dyDescent="0.45">
      <c r="A106" s="988"/>
      <c r="B106" s="35">
        <v>8</v>
      </c>
      <c r="C106" s="35">
        <v>26</v>
      </c>
      <c r="D106" s="35">
        <v>8</v>
      </c>
      <c r="E106" s="35" t="s">
        <v>383</v>
      </c>
      <c r="F106">
        <v>3456</v>
      </c>
      <c r="G106">
        <v>3594</v>
      </c>
      <c r="I106">
        <f>IF(
    OR(
        AND(MAX(0, MIN($F$1, DATE(Initialisatie!$C$5,12,31)) - MAX($F$2, DATE(Initialisatie!$C$5,1,1)) + 1) &gt; 0, IFERROR(VALUE($F106),0)=0),
        AND(MAX(0, MIN($G$1, DATE(Initialisatie!$C$5,12,31)) - MAX($G$2, DATE(Initialisatie!$C$5,1,1)) + 1) &gt; 0, IFERROR(VALUE($G106),0)=0)
    ),
    0,
    SUM(
        IFERROR(VALUE($F106),0) * MAX(0, MIN($F$1, DATE(Initialisatie!$C$5,12,31)) - MAX($F$2, DATE(Initialisatie!$C$5,1,1)) + 1),
        IFERROR(VALUE($G106),0) * MAX(0, MIN($G$1, DATE(Initialisatie!$C$5,12,31)) - MAX($G$2, DATE(Initialisatie!$C$5,1,1)) + 1)
    ) / (DATE(Initialisatie!$C$5,12,31) - DATE(Initialisatie!$C$5,1,1) + 1)
)</f>
        <v>3594</v>
      </c>
    </row>
    <row r="107" spans="1:9" x14ac:dyDescent="0.45">
      <c r="A107" s="988"/>
      <c r="B107" s="35">
        <v>9</v>
      </c>
      <c r="C107" s="35">
        <v>27</v>
      </c>
      <c r="D107" s="35">
        <v>9</v>
      </c>
      <c r="E107" s="35" t="s">
        <v>384</v>
      </c>
      <c r="F107">
        <v>3541</v>
      </c>
      <c r="G107">
        <v>3682</v>
      </c>
      <c r="I107">
        <f>IF(
    OR(
        AND(MAX(0, MIN($F$1, DATE(Initialisatie!$C$5,12,31)) - MAX($F$2, DATE(Initialisatie!$C$5,1,1)) + 1) &gt; 0, IFERROR(VALUE($F107),0)=0),
        AND(MAX(0, MIN($G$1, DATE(Initialisatie!$C$5,12,31)) - MAX($G$2, DATE(Initialisatie!$C$5,1,1)) + 1) &gt; 0, IFERROR(VALUE($G107),0)=0)
    ),
    0,
    SUM(
        IFERROR(VALUE($F107),0) * MAX(0, MIN($F$1, DATE(Initialisatie!$C$5,12,31)) - MAX($F$2, DATE(Initialisatie!$C$5,1,1)) + 1),
        IFERROR(VALUE($G107),0) * MAX(0, MIN($G$1, DATE(Initialisatie!$C$5,12,31)) - MAX($G$2, DATE(Initialisatie!$C$5,1,1)) + 1)
    ) / (DATE(Initialisatie!$C$5,12,31) - DATE(Initialisatie!$C$5,1,1) + 1)
)</f>
        <v>3682</v>
      </c>
    </row>
    <row r="108" spans="1:9" x14ac:dyDescent="0.45">
      <c r="A108" s="988"/>
      <c r="B108" s="35">
        <v>10</v>
      </c>
      <c r="C108" s="35">
        <v>28</v>
      </c>
      <c r="D108" s="35">
        <v>10</v>
      </c>
      <c r="E108" s="35" t="s">
        <v>385</v>
      </c>
      <c r="F108">
        <v>3616</v>
      </c>
      <c r="G108">
        <v>3760</v>
      </c>
      <c r="I108">
        <f>IF(
    OR(
        AND(MAX(0, MIN($F$1, DATE(Initialisatie!$C$5,12,31)) - MAX($F$2, DATE(Initialisatie!$C$5,1,1)) + 1) &gt; 0, IFERROR(VALUE($F108),0)=0),
        AND(MAX(0, MIN($G$1, DATE(Initialisatie!$C$5,12,31)) - MAX($G$2, DATE(Initialisatie!$C$5,1,1)) + 1) &gt; 0, IFERROR(VALUE($G108),0)=0)
    ),
    0,
    SUM(
        IFERROR(VALUE($F108),0) * MAX(0, MIN($F$1, DATE(Initialisatie!$C$5,12,31)) - MAX($F$2, DATE(Initialisatie!$C$5,1,1)) + 1),
        IFERROR(VALUE($G108),0) * MAX(0, MIN($G$1, DATE(Initialisatie!$C$5,12,31)) - MAX($G$2, DATE(Initialisatie!$C$5,1,1)) + 1)
    ) / (DATE(Initialisatie!$C$5,12,31) - DATE(Initialisatie!$C$5,1,1) + 1)
)</f>
        <v>3760</v>
      </c>
    </row>
    <row r="109" spans="1:9" x14ac:dyDescent="0.45">
      <c r="A109" s="988"/>
      <c r="B109" s="35">
        <v>11</v>
      </c>
      <c r="C109" s="35">
        <v>29</v>
      </c>
      <c r="D109" s="35">
        <v>11</v>
      </c>
      <c r="E109" s="35" t="s">
        <v>386</v>
      </c>
      <c r="F109">
        <v>3701</v>
      </c>
      <c r="G109">
        <v>3849</v>
      </c>
      <c r="I109">
        <f>IF(
    OR(
        AND(MAX(0, MIN($F$1, DATE(Initialisatie!$C$5,12,31)) - MAX($F$2, DATE(Initialisatie!$C$5,1,1)) + 1) &gt; 0, IFERROR(VALUE($F109),0)=0),
        AND(MAX(0, MIN($G$1, DATE(Initialisatie!$C$5,12,31)) - MAX($G$2, DATE(Initialisatie!$C$5,1,1)) + 1) &gt; 0, IFERROR(VALUE($G109),0)=0)
    ),
    0,
    SUM(
        IFERROR(VALUE($F109),0) * MAX(0, MIN($F$1, DATE(Initialisatie!$C$5,12,31)) - MAX($F$2, DATE(Initialisatie!$C$5,1,1)) + 1),
        IFERROR(VALUE($G109),0) * MAX(0, MIN($G$1, DATE(Initialisatie!$C$5,12,31)) - MAX($G$2, DATE(Initialisatie!$C$5,1,1)) + 1)
    ) / (DATE(Initialisatie!$C$5,12,31) - DATE(Initialisatie!$C$5,1,1) + 1)
)</f>
        <v>3849</v>
      </c>
    </row>
    <row r="110" spans="1:9" x14ac:dyDescent="0.45">
      <c r="A110" s="988"/>
      <c r="B110" s="35">
        <v>12</v>
      </c>
      <c r="C110" s="35">
        <v>30</v>
      </c>
      <c r="D110" s="35">
        <v>12</v>
      </c>
      <c r="E110" s="35" t="s">
        <v>387</v>
      </c>
      <c r="F110">
        <v>3784</v>
      </c>
      <c r="G110">
        <v>3935</v>
      </c>
      <c r="I110">
        <f>IF(
    OR(
        AND(MAX(0, MIN($F$1, DATE(Initialisatie!$C$5,12,31)) - MAX($F$2, DATE(Initialisatie!$C$5,1,1)) + 1) &gt; 0, IFERROR(VALUE($F110),0)=0),
        AND(MAX(0, MIN($G$1, DATE(Initialisatie!$C$5,12,31)) - MAX($G$2, DATE(Initialisatie!$C$5,1,1)) + 1) &gt; 0, IFERROR(VALUE($G110),0)=0)
    ),
    0,
    SUM(
        IFERROR(VALUE($F110),0) * MAX(0, MIN($F$1, DATE(Initialisatie!$C$5,12,31)) - MAX($F$2, DATE(Initialisatie!$C$5,1,1)) + 1),
        IFERROR(VALUE($G110),0) * MAX(0, MIN($G$1, DATE(Initialisatie!$C$5,12,31)) - MAX($G$2, DATE(Initialisatie!$C$5,1,1)) + 1)
    ) / (DATE(Initialisatie!$C$5,12,31) - DATE(Initialisatie!$C$5,1,1) + 1)
)</f>
        <v>3935</v>
      </c>
    </row>
    <row r="111" spans="1:9" x14ac:dyDescent="0.45">
      <c r="A111" s="988"/>
      <c r="B111" s="35">
        <v>13</v>
      </c>
      <c r="C111" s="35">
        <v>31</v>
      </c>
      <c r="D111" s="35">
        <v>13</v>
      </c>
      <c r="E111" s="35" t="s">
        <v>388</v>
      </c>
      <c r="F111">
        <v>3863</v>
      </c>
      <c r="G111">
        <v>4017</v>
      </c>
      <c r="I111">
        <f>IF(
    OR(
        AND(MAX(0, MIN($F$1, DATE(Initialisatie!$C$5,12,31)) - MAX($F$2, DATE(Initialisatie!$C$5,1,1)) + 1) &gt; 0, IFERROR(VALUE($F111),0)=0),
        AND(MAX(0, MIN($G$1, DATE(Initialisatie!$C$5,12,31)) - MAX($G$2, DATE(Initialisatie!$C$5,1,1)) + 1) &gt; 0, IFERROR(VALUE($G111),0)=0)
    ),
    0,
    SUM(
        IFERROR(VALUE($F111),0) * MAX(0, MIN($F$1, DATE(Initialisatie!$C$5,12,31)) - MAX($F$2, DATE(Initialisatie!$C$5,1,1)) + 1),
        IFERROR(VALUE($G111),0) * MAX(0, MIN($G$1, DATE(Initialisatie!$C$5,12,31)) - MAX($G$2, DATE(Initialisatie!$C$5,1,1)) + 1)
    ) / (DATE(Initialisatie!$C$5,12,31) - DATE(Initialisatie!$C$5,1,1) + 1)
)</f>
        <v>4017</v>
      </c>
    </row>
    <row r="112" spans="1:9" x14ac:dyDescent="0.45">
      <c r="A112" s="988">
        <v>49</v>
      </c>
      <c r="B112" s="35">
        <v>1</v>
      </c>
      <c r="C112" s="35">
        <v>16</v>
      </c>
      <c r="D112" s="35">
        <v>1</v>
      </c>
      <c r="E112" s="35" t="s">
        <v>389</v>
      </c>
      <c r="F112">
        <v>2737</v>
      </c>
      <c r="G112">
        <v>2857</v>
      </c>
      <c r="I112">
        <f>IF(
    OR(
        AND(MAX(0, MIN($F$1, DATE(Initialisatie!$C$5,12,31)) - MAX($F$2, DATE(Initialisatie!$C$5,1,1)) + 1) &gt; 0, IFERROR(VALUE($F112),0)=0),
        AND(MAX(0, MIN($G$1, DATE(Initialisatie!$C$5,12,31)) - MAX($G$2, DATE(Initialisatie!$C$5,1,1)) + 1) &gt; 0, IFERROR(VALUE($G112),0)=0)
    ),
    0,
    SUM(
        IFERROR(VALUE($F112),0) * MAX(0, MIN($F$1, DATE(Initialisatie!$C$5,12,31)) - MAX($F$2, DATE(Initialisatie!$C$5,1,1)) + 1),
        IFERROR(VALUE($G112),0) * MAX(0, MIN($G$1, DATE(Initialisatie!$C$5,12,31)) - MAX($G$2, DATE(Initialisatie!$C$5,1,1)) + 1)
    ) / (DATE(Initialisatie!$C$5,12,31) - DATE(Initialisatie!$C$5,1,1) + 1)
)</f>
        <v>2857</v>
      </c>
    </row>
    <row r="113" spans="1:9" x14ac:dyDescent="0.45">
      <c r="A113" s="988"/>
      <c r="B113" s="35">
        <v>2</v>
      </c>
      <c r="C113" s="35">
        <v>18</v>
      </c>
      <c r="D113" s="35">
        <v>2</v>
      </c>
      <c r="E113" s="35" t="s">
        <v>390</v>
      </c>
      <c r="F113">
        <v>2870</v>
      </c>
      <c r="G113">
        <v>2990</v>
      </c>
      <c r="I113">
        <f>IF(
    OR(
        AND(MAX(0, MIN($F$1, DATE(Initialisatie!$C$5,12,31)) - MAX($F$2, DATE(Initialisatie!$C$5,1,1)) + 1) &gt; 0, IFERROR(VALUE($F113),0)=0),
        AND(MAX(0, MIN($G$1, DATE(Initialisatie!$C$5,12,31)) - MAX($G$2, DATE(Initialisatie!$C$5,1,1)) + 1) &gt; 0, IFERROR(VALUE($G113),0)=0)
    ),
    0,
    SUM(
        IFERROR(VALUE($F113),0) * MAX(0, MIN($F$1, DATE(Initialisatie!$C$5,12,31)) - MAX($F$2, DATE(Initialisatie!$C$5,1,1)) + 1),
        IFERROR(VALUE($G113),0) * MAX(0, MIN($G$1, DATE(Initialisatie!$C$5,12,31)) - MAX($G$2, DATE(Initialisatie!$C$5,1,1)) + 1)
    ) / (DATE(Initialisatie!$C$5,12,31) - DATE(Initialisatie!$C$5,1,1) + 1)
)</f>
        <v>2990</v>
      </c>
    </row>
    <row r="114" spans="1:9" x14ac:dyDescent="0.45">
      <c r="A114" s="988"/>
      <c r="B114" s="35">
        <v>3</v>
      </c>
      <c r="C114" s="35">
        <v>20</v>
      </c>
      <c r="D114" s="35">
        <v>3</v>
      </c>
      <c r="E114" s="35" t="s">
        <v>391</v>
      </c>
      <c r="F114">
        <v>3007</v>
      </c>
      <c r="G114">
        <v>3127</v>
      </c>
      <c r="I114">
        <f>IF(
    OR(
        AND(MAX(0, MIN($F$1, DATE(Initialisatie!$C$5,12,31)) - MAX($F$2, DATE(Initialisatie!$C$5,1,1)) + 1) &gt; 0, IFERROR(VALUE($F114),0)=0),
        AND(MAX(0, MIN($G$1, DATE(Initialisatie!$C$5,12,31)) - MAX($G$2, DATE(Initialisatie!$C$5,1,1)) + 1) &gt; 0, IFERROR(VALUE($G114),0)=0)
    ),
    0,
    SUM(
        IFERROR(VALUE($F114),0) * MAX(0, MIN($F$1, DATE(Initialisatie!$C$5,12,31)) - MAX($F$2, DATE(Initialisatie!$C$5,1,1)) + 1),
        IFERROR(VALUE($G114),0) * MAX(0, MIN($G$1, DATE(Initialisatie!$C$5,12,31)) - MAX($G$2, DATE(Initialisatie!$C$5,1,1)) + 1)
    ) / (DATE(Initialisatie!$C$5,12,31) - DATE(Initialisatie!$C$5,1,1) + 1)
)</f>
        <v>3127</v>
      </c>
    </row>
    <row r="115" spans="1:9" x14ac:dyDescent="0.45">
      <c r="A115" s="988"/>
      <c r="B115" s="35">
        <v>4</v>
      </c>
      <c r="C115" s="35">
        <v>22</v>
      </c>
      <c r="D115" s="35">
        <v>4</v>
      </c>
      <c r="E115" s="35" t="s">
        <v>392</v>
      </c>
      <c r="F115">
        <v>3146</v>
      </c>
      <c r="G115">
        <v>3272</v>
      </c>
      <c r="I115">
        <f>IF(
    OR(
        AND(MAX(0, MIN($F$1, DATE(Initialisatie!$C$5,12,31)) - MAX($F$2, DATE(Initialisatie!$C$5,1,1)) + 1) &gt; 0, IFERROR(VALUE($F115),0)=0),
        AND(MAX(0, MIN($G$1, DATE(Initialisatie!$C$5,12,31)) - MAX($G$2, DATE(Initialisatie!$C$5,1,1)) + 1) &gt; 0, IFERROR(VALUE($G115),0)=0)
    ),
    0,
    SUM(
        IFERROR(VALUE($F115),0) * MAX(0, MIN($F$1, DATE(Initialisatie!$C$5,12,31)) - MAX($F$2, DATE(Initialisatie!$C$5,1,1)) + 1),
        IFERROR(VALUE($G115),0) * MAX(0, MIN($G$1, DATE(Initialisatie!$C$5,12,31)) - MAX($G$2, DATE(Initialisatie!$C$5,1,1)) + 1)
    ) / (DATE(Initialisatie!$C$5,12,31) - DATE(Initialisatie!$C$5,1,1) + 1)
)</f>
        <v>3272</v>
      </c>
    </row>
    <row r="116" spans="1:9" x14ac:dyDescent="0.45">
      <c r="A116" s="988">
        <v>50</v>
      </c>
      <c r="B116" s="35">
        <v>1</v>
      </c>
      <c r="C116" s="35">
        <v>23</v>
      </c>
      <c r="D116" s="35">
        <v>1</v>
      </c>
      <c r="E116" s="35" t="s">
        <v>393</v>
      </c>
      <c r="F116">
        <v>3218</v>
      </c>
      <c r="G116">
        <v>3346</v>
      </c>
      <c r="I116">
        <f>IF(
    OR(
        AND(MAX(0, MIN($F$1, DATE(Initialisatie!$C$5,12,31)) - MAX($F$2, DATE(Initialisatie!$C$5,1,1)) + 1) &gt; 0, IFERROR(VALUE($F116),0)=0),
        AND(MAX(0, MIN($G$1, DATE(Initialisatie!$C$5,12,31)) - MAX($G$2, DATE(Initialisatie!$C$5,1,1)) + 1) &gt; 0, IFERROR(VALUE($G116),0)=0)
    ),
    0,
    SUM(
        IFERROR(VALUE($F116),0) * MAX(0, MIN($F$1, DATE(Initialisatie!$C$5,12,31)) - MAX($F$2, DATE(Initialisatie!$C$5,1,1)) + 1),
        IFERROR(VALUE($G116),0) * MAX(0, MIN($G$1, DATE(Initialisatie!$C$5,12,31)) - MAX($G$2, DATE(Initialisatie!$C$5,1,1)) + 1)
    ) / (DATE(Initialisatie!$C$5,12,31) - DATE(Initialisatie!$C$5,1,1) + 1)
)</f>
        <v>3346</v>
      </c>
    </row>
    <row r="117" spans="1:9" x14ac:dyDescent="0.45">
      <c r="A117" s="988"/>
      <c r="B117" s="35">
        <v>2</v>
      </c>
      <c r="C117" s="35">
        <v>25</v>
      </c>
      <c r="D117" s="35">
        <v>2</v>
      </c>
      <c r="E117" s="35" t="s">
        <v>394</v>
      </c>
      <c r="F117">
        <v>3371</v>
      </c>
      <c r="G117">
        <v>3506</v>
      </c>
      <c r="I117">
        <f>IF(
    OR(
        AND(MAX(0, MIN($F$1, DATE(Initialisatie!$C$5,12,31)) - MAX($F$2, DATE(Initialisatie!$C$5,1,1)) + 1) &gt; 0, IFERROR(VALUE($F117),0)=0),
        AND(MAX(0, MIN($G$1, DATE(Initialisatie!$C$5,12,31)) - MAX($G$2, DATE(Initialisatie!$C$5,1,1)) + 1) &gt; 0, IFERROR(VALUE($G117),0)=0)
    ),
    0,
    SUM(
        IFERROR(VALUE($F117),0) * MAX(0, MIN($F$1, DATE(Initialisatie!$C$5,12,31)) - MAX($F$2, DATE(Initialisatie!$C$5,1,1)) + 1),
        IFERROR(VALUE($G117),0) * MAX(0, MIN($G$1, DATE(Initialisatie!$C$5,12,31)) - MAX($G$2, DATE(Initialisatie!$C$5,1,1)) + 1)
    ) / (DATE(Initialisatie!$C$5,12,31) - DATE(Initialisatie!$C$5,1,1) + 1)
)</f>
        <v>3506</v>
      </c>
    </row>
    <row r="118" spans="1:9" x14ac:dyDescent="0.45">
      <c r="A118" s="988"/>
      <c r="B118" s="35">
        <v>3</v>
      </c>
      <c r="C118" s="35">
        <v>27</v>
      </c>
      <c r="D118" s="35">
        <v>3</v>
      </c>
      <c r="E118" s="35" t="s">
        <v>395</v>
      </c>
      <c r="F118">
        <v>3541</v>
      </c>
      <c r="G118">
        <v>3682</v>
      </c>
      <c r="I118">
        <f>IF(
    OR(
        AND(MAX(0, MIN($F$1, DATE(Initialisatie!$C$5,12,31)) - MAX($F$2, DATE(Initialisatie!$C$5,1,1)) + 1) &gt; 0, IFERROR(VALUE($F118),0)=0),
        AND(MAX(0, MIN($G$1, DATE(Initialisatie!$C$5,12,31)) - MAX($G$2, DATE(Initialisatie!$C$5,1,1)) + 1) &gt; 0, IFERROR(VALUE($G118),0)=0)
    ),
    0,
    SUM(
        IFERROR(VALUE($F118),0) * MAX(0, MIN($F$1, DATE(Initialisatie!$C$5,12,31)) - MAX($F$2, DATE(Initialisatie!$C$5,1,1)) + 1),
        IFERROR(VALUE($G118),0) * MAX(0, MIN($G$1, DATE(Initialisatie!$C$5,12,31)) - MAX($G$2, DATE(Initialisatie!$C$5,1,1)) + 1)
    ) / (DATE(Initialisatie!$C$5,12,31) - DATE(Initialisatie!$C$5,1,1) + 1)
)</f>
        <v>3682</v>
      </c>
    </row>
    <row r="119" spans="1:9" x14ac:dyDescent="0.45">
      <c r="A119" s="988"/>
      <c r="B119" s="35">
        <v>4</v>
      </c>
      <c r="C119" s="35">
        <v>28</v>
      </c>
      <c r="D119" s="35">
        <v>4</v>
      </c>
      <c r="E119" s="35" t="s">
        <v>396</v>
      </c>
      <c r="F119">
        <v>3616</v>
      </c>
      <c r="G119">
        <v>3760</v>
      </c>
      <c r="I119">
        <f>IF(
    OR(
        AND(MAX(0, MIN($F$1, DATE(Initialisatie!$C$5,12,31)) - MAX($F$2, DATE(Initialisatie!$C$5,1,1)) + 1) &gt; 0, IFERROR(VALUE($F119),0)=0),
        AND(MAX(0, MIN($G$1, DATE(Initialisatie!$C$5,12,31)) - MAX($G$2, DATE(Initialisatie!$C$5,1,1)) + 1) &gt; 0, IFERROR(VALUE($G119),0)=0)
    ),
    0,
    SUM(
        IFERROR(VALUE($F119),0) * MAX(0, MIN($F$1, DATE(Initialisatie!$C$5,12,31)) - MAX($F$2, DATE(Initialisatie!$C$5,1,1)) + 1),
        IFERROR(VALUE($G119),0) * MAX(0, MIN($G$1, DATE(Initialisatie!$C$5,12,31)) - MAX($G$2, DATE(Initialisatie!$C$5,1,1)) + 1)
    ) / (DATE(Initialisatie!$C$5,12,31) - DATE(Initialisatie!$C$5,1,1) + 1)
)</f>
        <v>3760</v>
      </c>
    </row>
    <row r="120" spans="1:9" x14ac:dyDescent="0.45">
      <c r="A120" s="988"/>
      <c r="B120" s="35">
        <v>5</v>
      </c>
      <c r="C120" s="35">
        <v>29</v>
      </c>
      <c r="D120" s="35">
        <v>5</v>
      </c>
      <c r="E120" s="35" t="s">
        <v>397</v>
      </c>
      <c r="F120">
        <v>3701</v>
      </c>
      <c r="G120">
        <v>3849</v>
      </c>
      <c r="I120">
        <f>IF(
    OR(
        AND(MAX(0, MIN($F$1, DATE(Initialisatie!$C$5,12,31)) - MAX($F$2, DATE(Initialisatie!$C$5,1,1)) + 1) &gt; 0, IFERROR(VALUE($F120),0)=0),
        AND(MAX(0, MIN($G$1, DATE(Initialisatie!$C$5,12,31)) - MAX($G$2, DATE(Initialisatie!$C$5,1,1)) + 1) &gt; 0, IFERROR(VALUE($G120),0)=0)
    ),
    0,
    SUM(
        IFERROR(VALUE($F120),0) * MAX(0, MIN($F$1, DATE(Initialisatie!$C$5,12,31)) - MAX($F$2, DATE(Initialisatie!$C$5,1,1)) + 1),
        IFERROR(VALUE($G120),0) * MAX(0, MIN($G$1, DATE(Initialisatie!$C$5,12,31)) - MAX($G$2, DATE(Initialisatie!$C$5,1,1)) + 1)
    ) / (DATE(Initialisatie!$C$5,12,31) - DATE(Initialisatie!$C$5,1,1) + 1)
)</f>
        <v>3849</v>
      </c>
    </row>
    <row r="121" spans="1:9" x14ac:dyDescent="0.45">
      <c r="A121" s="988"/>
      <c r="B121" s="35">
        <v>6</v>
      </c>
      <c r="C121" s="35">
        <v>30</v>
      </c>
      <c r="D121" s="35">
        <v>6</v>
      </c>
      <c r="E121" s="35" t="s">
        <v>398</v>
      </c>
      <c r="F121">
        <v>3784</v>
      </c>
      <c r="G121">
        <v>3935</v>
      </c>
      <c r="I121">
        <f>IF(
    OR(
        AND(MAX(0, MIN($F$1, DATE(Initialisatie!$C$5,12,31)) - MAX($F$2, DATE(Initialisatie!$C$5,1,1)) + 1) &gt; 0, IFERROR(VALUE($F121),0)=0),
        AND(MAX(0, MIN($G$1, DATE(Initialisatie!$C$5,12,31)) - MAX($G$2, DATE(Initialisatie!$C$5,1,1)) + 1) &gt; 0, IFERROR(VALUE($G121),0)=0)
    ),
    0,
    SUM(
        IFERROR(VALUE($F121),0) * MAX(0, MIN($F$1, DATE(Initialisatie!$C$5,12,31)) - MAX($F$2, DATE(Initialisatie!$C$5,1,1)) + 1),
        IFERROR(VALUE($G121),0) * MAX(0, MIN($G$1, DATE(Initialisatie!$C$5,12,31)) - MAX($G$2, DATE(Initialisatie!$C$5,1,1)) + 1)
    ) / (DATE(Initialisatie!$C$5,12,31) - DATE(Initialisatie!$C$5,1,1) + 1)
)</f>
        <v>3935</v>
      </c>
    </row>
    <row r="122" spans="1:9" x14ac:dyDescent="0.45">
      <c r="A122" s="988"/>
      <c r="B122" s="35">
        <v>7</v>
      </c>
      <c r="C122" s="35">
        <v>31</v>
      </c>
      <c r="D122" s="35">
        <v>7</v>
      </c>
      <c r="E122" s="35" t="s">
        <v>399</v>
      </c>
      <c r="F122">
        <v>3863</v>
      </c>
      <c r="G122">
        <v>4017</v>
      </c>
      <c r="I122">
        <f>IF(
    OR(
        AND(MAX(0, MIN($F$1, DATE(Initialisatie!$C$5,12,31)) - MAX($F$2, DATE(Initialisatie!$C$5,1,1)) + 1) &gt; 0, IFERROR(VALUE($F122),0)=0),
        AND(MAX(0, MIN($G$1, DATE(Initialisatie!$C$5,12,31)) - MAX($G$2, DATE(Initialisatie!$C$5,1,1)) + 1) &gt; 0, IFERROR(VALUE($G122),0)=0)
    ),
    0,
    SUM(
        IFERROR(VALUE($F122),0) * MAX(0, MIN($F$1, DATE(Initialisatie!$C$5,12,31)) - MAX($F$2, DATE(Initialisatie!$C$5,1,1)) + 1),
        IFERROR(VALUE($G122),0) * MAX(0, MIN($G$1, DATE(Initialisatie!$C$5,12,31)) - MAX($G$2, DATE(Initialisatie!$C$5,1,1)) + 1)
    ) / (DATE(Initialisatie!$C$5,12,31) - DATE(Initialisatie!$C$5,1,1) + 1)
)</f>
        <v>4017</v>
      </c>
    </row>
    <row r="123" spans="1:9" x14ac:dyDescent="0.45">
      <c r="A123" s="988"/>
      <c r="B123" s="35">
        <v>8</v>
      </c>
      <c r="C123" s="35">
        <v>32</v>
      </c>
      <c r="D123" s="35">
        <v>8</v>
      </c>
      <c r="E123" s="35" t="s">
        <v>400</v>
      </c>
      <c r="F123">
        <v>3942</v>
      </c>
      <c r="G123">
        <v>4100</v>
      </c>
      <c r="I123">
        <f>IF(
    OR(
        AND(MAX(0, MIN($F$1, DATE(Initialisatie!$C$5,12,31)) - MAX($F$2, DATE(Initialisatie!$C$5,1,1)) + 1) &gt; 0, IFERROR(VALUE($F123),0)=0),
        AND(MAX(0, MIN($G$1, DATE(Initialisatie!$C$5,12,31)) - MAX($G$2, DATE(Initialisatie!$C$5,1,1)) + 1) &gt; 0, IFERROR(VALUE($G123),0)=0)
    ),
    0,
    SUM(
        IFERROR(VALUE($F123),0) * MAX(0, MIN($F$1, DATE(Initialisatie!$C$5,12,31)) - MAX($F$2, DATE(Initialisatie!$C$5,1,1)) + 1),
        IFERROR(VALUE($G123),0) * MAX(0, MIN($G$1, DATE(Initialisatie!$C$5,12,31)) - MAX($G$2, DATE(Initialisatie!$C$5,1,1)) + 1)
    ) / (DATE(Initialisatie!$C$5,12,31) - DATE(Initialisatie!$C$5,1,1) + 1)
)</f>
        <v>4100</v>
      </c>
    </row>
    <row r="124" spans="1:9" x14ac:dyDescent="0.45">
      <c r="A124" s="988"/>
      <c r="B124" s="35">
        <v>9</v>
      </c>
      <c r="C124" s="35">
        <v>33</v>
      </c>
      <c r="D124" s="35">
        <v>9</v>
      </c>
      <c r="E124" s="35" t="s">
        <v>401</v>
      </c>
      <c r="F124">
        <v>4024</v>
      </c>
      <c r="G124">
        <v>4185</v>
      </c>
      <c r="I124">
        <f>IF(
    OR(
        AND(MAX(0, MIN($F$1, DATE(Initialisatie!$C$5,12,31)) - MAX($F$2, DATE(Initialisatie!$C$5,1,1)) + 1) &gt; 0, IFERROR(VALUE($F124),0)=0),
        AND(MAX(0, MIN($G$1, DATE(Initialisatie!$C$5,12,31)) - MAX($G$2, DATE(Initialisatie!$C$5,1,1)) + 1) &gt; 0, IFERROR(VALUE($G124),0)=0)
    ),
    0,
    SUM(
        IFERROR(VALUE($F124),0) * MAX(0, MIN($F$1, DATE(Initialisatie!$C$5,12,31)) - MAX($F$2, DATE(Initialisatie!$C$5,1,1)) + 1),
        IFERROR(VALUE($G124),0) * MAX(0, MIN($G$1, DATE(Initialisatie!$C$5,12,31)) - MAX($G$2, DATE(Initialisatie!$C$5,1,1)) + 1)
    ) / (DATE(Initialisatie!$C$5,12,31) - DATE(Initialisatie!$C$5,1,1) + 1)
)</f>
        <v>4185</v>
      </c>
    </row>
    <row r="125" spans="1:9" x14ac:dyDescent="0.45">
      <c r="A125" s="988"/>
      <c r="B125" s="35">
        <v>10</v>
      </c>
      <c r="C125" s="35">
        <v>34</v>
      </c>
      <c r="D125" s="35">
        <v>10</v>
      </c>
      <c r="E125" s="35" t="s">
        <v>402</v>
      </c>
      <c r="F125">
        <v>4108</v>
      </c>
      <c r="G125">
        <v>4272</v>
      </c>
      <c r="I125">
        <f>IF(
    OR(
        AND(MAX(0, MIN($F$1, DATE(Initialisatie!$C$5,12,31)) - MAX($F$2, DATE(Initialisatie!$C$5,1,1)) + 1) &gt; 0, IFERROR(VALUE($F125),0)=0),
        AND(MAX(0, MIN($G$1, DATE(Initialisatie!$C$5,12,31)) - MAX($G$2, DATE(Initialisatie!$C$5,1,1)) + 1) &gt; 0, IFERROR(VALUE($G125),0)=0)
    ),
    0,
    SUM(
        IFERROR(VALUE($F125),0) * MAX(0, MIN($F$1, DATE(Initialisatie!$C$5,12,31)) - MAX($F$2, DATE(Initialisatie!$C$5,1,1)) + 1),
        IFERROR(VALUE($G125),0) * MAX(0, MIN($G$1, DATE(Initialisatie!$C$5,12,31)) - MAX($G$2, DATE(Initialisatie!$C$5,1,1)) + 1)
    ) / (DATE(Initialisatie!$C$5,12,31) - DATE(Initialisatie!$C$5,1,1) + 1)
)</f>
        <v>4272</v>
      </c>
    </row>
    <row r="126" spans="1:9" x14ac:dyDescent="0.45">
      <c r="A126" s="988"/>
      <c r="B126" s="35">
        <v>11</v>
      </c>
      <c r="C126" s="35">
        <v>35</v>
      </c>
      <c r="D126" s="35">
        <v>11</v>
      </c>
      <c r="E126" s="35" t="s">
        <v>403</v>
      </c>
      <c r="F126">
        <v>4185</v>
      </c>
      <c r="G126">
        <v>4352</v>
      </c>
      <c r="I126">
        <f>IF(
    OR(
        AND(MAX(0, MIN($F$1, DATE(Initialisatie!$C$5,12,31)) - MAX($F$2, DATE(Initialisatie!$C$5,1,1)) + 1) &gt; 0, IFERROR(VALUE($F126),0)=0),
        AND(MAX(0, MIN($G$1, DATE(Initialisatie!$C$5,12,31)) - MAX($G$2, DATE(Initialisatie!$C$5,1,1)) + 1) &gt; 0, IFERROR(VALUE($G126),0)=0)
    ),
    0,
    SUM(
        IFERROR(VALUE($F126),0) * MAX(0, MIN($F$1, DATE(Initialisatie!$C$5,12,31)) - MAX($F$2, DATE(Initialisatie!$C$5,1,1)) + 1),
        IFERROR(VALUE($G126),0) * MAX(0, MIN($G$1, DATE(Initialisatie!$C$5,12,31)) - MAX($G$2, DATE(Initialisatie!$C$5,1,1)) + 1)
    ) / (DATE(Initialisatie!$C$5,12,31) - DATE(Initialisatie!$C$5,1,1) + 1)
)</f>
        <v>4352</v>
      </c>
    </row>
    <row r="127" spans="1:9" x14ac:dyDescent="0.45">
      <c r="A127" s="988"/>
      <c r="B127" s="35">
        <v>12</v>
      </c>
      <c r="C127" s="35">
        <v>36</v>
      </c>
      <c r="D127" s="35">
        <v>12</v>
      </c>
      <c r="E127" s="35" t="s">
        <v>404</v>
      </c>
      <c r="F127">
        <v>4263</v>
      </c>
      <c r="G127">
        <v>4434</v>
      </c>
      <c r="I127">
        <f>IF(
    OR(
        AND(MAX(0, MIN($F$1, DATE(Initialisatie!$C$5,12,31)) - MAX($F$2, DATE(Initialisatie!$C$5,1,1)) + 1) &gt; 0, IFERROR(VALUE($F127),0)=0),
        AND(MAX(0, MIN($G$1, DATE(Initialisatie!$C$5,12,31)) - MAX($G$2, DATE(Initialisatie!$C$5,1,1)) + 1) &gt; 0, IFERROR(VALUE($G127),0)=0)
    ),
    0,
    SUM(
        IFERROR(VALUE($F127),0) * MAX(0, MIN($F$1, DATE(Initialisatie!$C$5,12,31)) - MAX($F$2, DATE(Initialisatie!$C$5,1,1)) + 1),
        IFERROR(VALUE($G127),0) * MAX(0, MIN($G$1, DATE(Initialisatie!$C$5,12,31)) - MAX($G$2, DATE(Initialisatie!$C$5,1,1)) + 1)
    ) / (DATE(Initialisatie!$C$5,12,31) - DATE(Initialisatie!$C$5,1,1) + 1)
)</f>
        <v>4434</v>
      </c>
    </row>
    <row r="128" spans="1:9" x14ac:dyDescent="0.45">
      <c r="A128" s="988">
        <v>54</v>
      </c>
      <c r="B128" s="35">
        <v>1</v>
      </c>
      <c r="C128" s="35">
        <v>21</v>
      </c>
      <c r="D128" s="35">
        <v>1</v>
      </c>
      <c r="E128" s="35" t="s">
        <v>405</v>
      </c>
      <c r="F128">
        <v>3076</v>
      </c>
      <c r="G128">
        <v>3199</v>
      </c>
      <c r="I128">
        <f>IF(
    OR(
        AND(MAX(0, MIN($F$1, DATE(Initialisatie!$C$5,12,31)) - MAX($F$2, DATE(Initialisatie!$C$5,1,1)) + 1) &gt; 0, IFERROR(VALUE($F128),0)=0),
        AND(MAX(0, MIN($G$1, DATE(Initialisatie!$C$5,12,31)) - MAX($G$2, DATE(Initialisatie!$C$5,1,1)) + 1) &gt; 0, IFERROR(VALUE($G128),0)=0)
    ),
    0,
    SUM(
        IFERROR(VALUE($F128),0) * MAX(0, MIN($F$1, DATE(Initialisatie!$C$5,12,31)) - MAX($F$2, DATE(Initialisatie!$C$5,1,1)) + 1),
        IFERROR(VALUE($G128),0) * MAX(0, MIN($G$1, DATE(Initialisatie!$C$5,12,31)) - MAX($G$2, DATE(Initialisatie!$C$5,1,1)) + 1)
    ) / (DATE(Initialisatie!$C$5,12,31) - DATE(Initialisatie!$C$5,1,1) + 1)
)</f>
        <v>3199</v>
      </c>
    </row>
    <row r="129" spans="1:9" x14ac:dyDescent="0.45">
      <c r="A129" s="988"/>
      <c r="B129" s="35">
        <v>2</v>
      </c>
      <c r="C129" s="35">
        <v>23</v>
      </c>
      <c r="D129" s="35">
        <v>2</v>
      </c>
      <c r="E129" s="35" t="s">
        <v>406</v>
      </c>
      <c r="F129">
        <v>3218</v>
      </c>
      <c r="G129">
        <v>3346</v>
      </c>
      <c r="I129">
        <f>IF(
    OR(
        AND(MAX(0, MIN($F$1, DATE(Initialisatie!$C$5,12,31)) - MAX($F$2, DATE(Initialisatie!$C$5,1,1)) + 1) &gt; 0, IFERROR(VALUE($F129),0)=0),
        AND(MAX(0, MIN($G$1, DATE(Initialisatie!$C$5,12,31)) - MAX($G$2, DATE(Initialisatie!$C$5,1,1)) + 1) &gt; 0, IFERROR(VALUE($G129),0)=0)
    ),
    0,
    SUM(
        IFERROR(VALUE($F129),0) * MAX(0, MIN($F$1, DATE(Initialisatie!$C$5,12,31)) - MAX($F$2, DATE(Initialisatie!$C$5,1,1)) + 1),
        IFERROR(VALUE($G129),0) * MAX(0, MIN($G$1, DATE(Initialisatie!$C$5,12,31)) - MAX($G$2, DATE(Initialisatie!$C$5,1,1)) + 1)
    ) / (DATE(Initialisatie!$C$5,12,31) - DATE(Initialisatie!$C$5,1,1) + 1)
)</f>
        <v>3346</v>
      </c>
    </row>
    <row r="130" spans="1:9" x14ac:dyDescent="0.45">
      <c r="A130" s="988"/>
      <c r="B130" s="35">
        <v>3</v>
      </c>
      <c r="C130" s="35">
        <v>25</v>
      </c>
      <c r="D130" s="35">
        <v>3</v>
      </c>
      <c r="E130" s="35" t="s">
        <v>407</v>
      </c>
      <c r="F130">
        <v>3371</v>
      </c>
      <c r="G130">
        <v>3506</v>
      </c>
      <c r="I130">
        <f>IF(
    OR(
        AND(MAX(0, MIN($F$1, DATE(Initialisatie!$C$5,12,31)) - MAX($F$2, DATE(Initialisatie!$C$5,1,1)) + 1) &gt; 0, IFERROR(VALUE($F130),0)=0),
        AND(MAX(0, MIN($G$1, DATE(Initialisatie!$C$5,12,31)) - MAX($G$2, DATE(Initialisatie!$C$5,1,1)) + 1) &gt; 0, IFERROR(VALUE($G130),0)=0)
    ),
    0,
    SUM(
        IFERROR(VALUE($F130),0) * MAX(0, MIN($F$1, DATE(Initialisatie!$C$5,12,31)) - MAX($F$2, DATE(Initialisatie!$C$5,1,1)) + 1),
        IFERROR(VALUE($G130),0) * MAX(0, MIN($G$1, DATE(Initialisatie!$C$5,12,31)) - MAX($G$2, DATE(Initialisatie!$C$5,1,1)) + 1)
    ) / (DATE(Initialisatie!$C$5,12,31) - DATE(Initialisatie!$C$5,1,1) + 1)
)</f>
        <v>3506</v>
      </c>
    </row>
    <row r="131" spans="1:9" x14ac:dyDescent="0.45">
      <c r="A131" s="988"/>
      <c r="B131" s="35">
        <v>4</v>
      </c>
      <c r="C131" s="35">
        <v>27</v>
      </c>
      <c r="D131" s="35">
        <v>4</v>
      </c>
      <c r="E131" s="35" t="s">
        <v>408</v>
      </c>
      <c r="F131">
        <v>3541</v>
      </c>
      <c r="G131">
        <v>3682</v>
      </c>
      <c r="I131">
        <f>IF(
    OR(
        AND(MAX(0, MIN($F$1, DATE(Initialisatie!$C$5,12,31)) - MAX($F$2, DATE(Initialisatie!$C$5,1,1)) + 1) &gt; 0, IFERROR(VALUE($F131),0)=0),
        AND(MAX(0, MIN($G$1, DATE(Initialisatie!$C$5,12,31)) - MAX($G$2, DATE(Initialisatie!$C$5,1,1)) + 1) &gt; 0, IFERROR(VALUE($G131),0)=0)
    ),
    0,
    SUM(
        IFERROR(VALUE($F131),0) * MAX(0, MIN($F$1, DATE(Initialisatie!$C$5,12,31)) - MAX($F$2, DATE(Initialisatie!$C$5,1,1)) + 1),
        IFERROR(VALUE($G131),0) * MAX(0, MIN($G$1, DATE(Initialisatie!$C$5,12,31)) - MAX($G$2, DATE(Initialisatie!$C$5,1,1)) + 1)
    ) / (DATE(Initialisatie!$C$5,12,31) - DATE(Initialisatie!$C$5,1,1) + 1)
)</f>
        <v>3682</v>
      </c>
    </row>
    <row r="132" spans="1:9" x14ac:dyDescent="0.45">
      <c r="A132" s="988">
        <v>55</v>
      </c>
      <c r="B132" s="35">
        <v>1</v>
      </c>
      <c r="C132" s="35">
        <v>28</v>
      </c>
      <c r="D132" s="35">
        <v>1</v>
      </c>
      <c r="E132" s="35" t="s">
        <v>409</v>
      </c>
      <c r="F132">
        <v>3616</v>
      </c>
      <c r="G132">
        <v>3760</v>
      </c>
      <c r="I132">
        <f>IF(
    OR(
        AND(MAX(0, MIN($F$1, DATE(Initialisatie!$C$5,12,31)) - MAX($F$2, DATE(Initialisatie!$C$5,1,1)) + 1) &gt; 0, IFERROR(VALUE($F132),0)=0),
        AND(MAX(0, MIN($G$1, DATE(Initialisatie!$C$5,12,31)) - MAX($G$2, DATE(Initialisatie!$C$5,1,1)) + 1) &gt; 0, IFERROR(VALUE($G132),0)=0)
    ),
    0,
    SUM(
        IFERROR(VALUE($F132),0) * MAX(0, MIN($F$1, DATE(Initialisatie!$C$5,12,31)) - MAX($F$2, DATE(Initialisatie!$C$5,1,1)) + 1),
        IFERROR(VALUE($G132),0) * MAX(0, MIN($G$1, DATE(Initialisatie!$C$5,12,31)) - MAX($G$2, DATE(Initialisatie!$C$5,1,1)) + 1)
    ) / (DATE(Initialisatie!$C$5,12,31) - DATE(Initialisatie!$C$5,1,1) + 1)
)</f>
        <v>3760</v>
      </c>
    </row>
    <row r="133" spans="1:9" x14ac:dyDescent="0.45">
      <c r="A133" s="988"/>
      <c r="B133" s="35">
        <v>2</v>
      </c>
      <c r="C133" s="35">
        <v>30</v>
      </c>
      <c r="D133" s="35">
        <v>2</v>
      </c>
      <c r="E133" s="35" t="s">
        <v>410</v>
      </c>
      <c r="F133">
        <v>3784</v>
      </c>
      <c r="G133">
        <v>3935</v>
      </c>
      <c r="I133">
        <f>IF(
    OR(
        AND(MAX(0, MIN($F$1, DATE(Initialisatie!$C$5,12,31)) - MAX($F$2, DATE(Initialisatie!$C$5,1,1)) + 1) &gt; 0, IFERROR(VALUE($F133),0)=0),
        AND(MAX(0, MIN($G$1, DATE(Initialisatie!$C$5,12,31)) - MAX($G$2, DATE(Initialisatie!$C$5,1,1)) + 1) &gt; 0, IFERROR(VALUE($G133),0)=0)
    ),
    0,
    SUM(
        IFERROR(VALUE($F133),0) * MAX(0, MIN($F$1, DATE(Initialisatie!$C$5,12,31)) - MAX($F$2, DATE(Initialisatie!$C$5,1,1)) + 1),
        IFERROR(VALUE($G133),0) * MAX(0, MIN($G$1, DATE(Initialisatie!$C$5,12,31)) - MAX($G$2, DATE(Initialisatie!$C$5,1,1)) + 1)
    ) / (DATE(Initialisatie!$C$5,12,31) - DATE(Initialisatie!$C$5,1,1) + 1)
)</f>
        <v>3935</v>
      </c>
    </row>
    <row r="134" spans="1:9" x14ac:dyDescent="0.45">
      <c r="A134" s="988"/>
      <c r="B134" s="35">
        <v>3</v>
      </c>
      <c r="C134" s="35">
        <v>32</v>
      </c>
      <c r="D134" s="35">
        <v>3</v>
      </c>
      <c r="E134" s="35" t="s">
        <v>411</v>
      </c>
      <c r="F134">
        <v>3942</v>
      </c>
      <c r="G134">
        <v>4100</v>
      </c>
      <c r="I134">
        <f>IF(
    OR(
        AND(MAX(0, MIN($F$1, DATE(Initialisatie!$C$5,12,31)) - MAX($F$2, DATE(Initialisatie!$C$5,1,1)) + 1) &gt; 0, IFERROR(VALUE($F134),0)=0),
        AND(MAX(0, MIN($G$1, DATE(Initialisatie!$C$5,12,31)) - MAX($G$2, DATE(Initialisatie!$C$5,1,1)) + 1) &gt; 0, IFERROR(VALUE($G134),0)=0)
    ),
    0,
    SUM(
        IFERROR(VALUE($F134),0) * MAX(0, MIN($F$1, DATE(Initialisatie!$C$5,12,31)) - MAX($F$2, DATE(Initialisatie!$C$5,1,1)) + 1),
        IFERROR(VALUE($G134),0) * MAX(0, MIN($G$1, DATE(Initialisatie!$C$5,12,31)) - MAX($G$2, DATE(Initialisatie!$C$5,1,1)) + 1)
    ) / (DATE(Initialisatie!$C$5,12,31) - DATE(Initialisatie!$C$5,1,1) + 1)
)</f>
        <v>4100</v>
      </c>
    </row>
    <row r="135" spans="1:9" x14ac:dyDescent="0.45">
      <c r="A135" s="988"/>
      <c r="B135" s="35">
        <v>4</v>
      </c>
      <c r="C135" s="35">
        <v>34</v>
      </c>
      <c r="D135" s="35">
        <v>4</v>
      </c>
      <c r="E135" s="35" t="s">
        <v>412</v>
      </c>
      <c r="F135">
        <v>4108</v>
      </c>
      <c r="G135">
        <v>4272</v>
      </c>
      <c r="I135">
        <f>IF(
    OR(
        AND(MAX(0, MIN($F$1, DATE(Initialisatie!$C$5,12,31)) - MAX($F$2, DATE(Initialisatie!$C$5,1,1)) + 1) &gt; 0, IFERROR(VALUE($F135),0)=0),
        AND(MAX(0, MIN($G$1, DATE(Initialisatie!$C$5,12,31)) - MAX($G$2, DATE(Initialisatie!$C$5,1,1)) + 1) &gt; 0, IFERROR(VALUE($G135),0)=0)
    ),
    0,
    SUM(
        IFERROR(VALUE($F135),0) * MAX(0, MIN($F$1, DATE(Initialisatie!$C$5,12,31)) - MAX($F$2, DATE(Initialisatie!$C$5,1,1)) + 1),
        IFERROR(VALUE($G135),0) * MAX(0, MIN($G$1, DATE(Initialisatie!$C$5,12,31)) - MAX($G$2, DATE(Initialisatie!$C$5,1,1)) + 1)
    ) / (DATE(Initialisatie!$C$5,12,31) - DATE(Initialisatie!$C$5,1,1) + 1)
)</f>
        <v>4272</v>
      </c>
    </row>
    <row r="136" spans="1:9" x14ac:dyDescent="0.45">
      <c r="A136" s="988"/>
      <c r="B136" s="35">
        <v>5</v>
      </c>
      <c r="C136" s="35">
        <v>35</v>
      </c>
      <c r="D136" s="35">
        <v>5</v>
      </c>
      <c r="E136" s="35" t="s">
        <v>413</v>
      </c>
      <c r="F136">
        <v>4185</v>
      </c>
      <c r="G136">
        <v>4352</v>
      </c>
      <c r="I136">
        <f>IF(
    OR(
        AND(MAX(0, MIN($F$1, DATE(Initialisatie!$C$5,12,31)) - MAX($F$2, DATE(Initialisatie!$C$5,1,1)) + 1) &gt; 0, IFERROR(VALUE($F136),0)=0),
        AND(MAX(0, MIN($G$1, DATE(Initialisatie!$C$5,12,31)) - MAX($G$2, DATE(Initialisatie!$C$5,1,1)) + 1) &gt; 0, IFERROR(VALUE($G136),0)=0)
    ),
    0,
    SUM(
        IFERROR(VALUE($F136),0) * MAX(0, MIN($F$1, DATE(Initialisatie!$C$5,12,31)) - MAX($F$2, DATE(Initialisatie!$C$5,1,1)) + 1),
        IFERROR(VALUE($G136),0) * MAX(0, MIN($G$1, DATE(Initialisatie!$C$5,12,31)) - MAX($G$2, DATE(Initialisatie!$C$5,1,1)) + 1)
    ) / (DATE(Initialisatie!$C$5,12,31) - DATE(Initialisatie!$C$5,1,1) + 1)
)</f>
        <v>4352</v>
      </c>
    </row>
    <row r="137" spans="1:9" x14ac:dyDescent="0.45">
      <c r="A137" s="988"/>
      <c r="B137" s="35">
        <v>6</v>
      </c>
      <c r="C137" s="35">
        <v>36</v>
      </c>
      <c r="D137" s="35">
        <v>6</v>
      </c>
      <c r="E137" s="35" t="s">
        <v>414</v>
      </c>
      <c r="F137">
        <v>4263</v>
      </c>
      <c r="G137">
        <v>4434</v>
      </c>
      <c r="I137">
        <f>IF(
    OR(
        AND(MAX(0, MIN($F$1, DATE(Initialisatie!$C$5,12,31)) - MAX($F$2, DATE(Initialisatie!$C$5,1,1)) + 1) &gt; 0, IFERROR(VALUE($F137),0)=0),
        AND(MAX(0, MIN($G$1, DATE(Initialisatie!$C$5,12,31)) - MAX($G$2, DATE(Initialisatie!$C$5,1,1)) + 1) &gt; 0, IFERROR(VALUE($G137),0)=0)
    ),
    0,
    SUM(
        IFERROR(VALUE($F137),0) * MAX(0, MIN($F$1, DATE(Initialisatie!$C$5,12,31)) - MAX($F$2, DATE(Initialisatie!$C$5,1,1)) + 1),
        IFERROR(VALUE($G137),0) * MAX(0, MIN($G$1, DATE(Initialisatie!$C$5,12,31)) - MAX($G$2, DATE(Initialisatie!$C$5,1,1)) + 1)
    ) / (DATE(Initialisatie!$C$5,12,31) - DATE(Initialisatie!$C$5,1,1) + 1)
)</f>
        <v>4434</v>
      </c>
    </row>
    <row r="138" spans="1:9" x14ac:dyDescent="0.45">
      <c r="A138" s="988"/>
      <c r="B138" s="35">
        <v>7</v>
      </c>
      <c r="C138" s="35">
        <v>37</v>
      </c>
      <c r="D138" s="35">
        <v>7</v>
      </c>
      <c r="E138" s="35" t="s">
        <v>415</v>
      </c>
      <c r="F138">
        <v>4351</v>
      </c>
      <c r="G138">
        <v>4525</v>
      </c>
      <c r="I138">
        <f>IF(
    OR(
        AND(MAX(0, MIN($F$1, DATE(Initialisatie!$C$5,12,31)) - MAX($F$2, DATE(Initialisatie!$C$5,1,1)) + 1) &gt; 0, IFERROR(VALUE($F138),0)=0),
        AND(MAX(0, MIN($G$1, DATE(Initialisatie!$C$5,12,31)) - MAX($G$2, DATE(Initialisatie!$C$5,1,1)) + 1) &gt; 0, IFERROR(VALUE($G138),0)=0)
    ),
    0,
    SUM(
        IFERROR(VALUE($F138),0) * MAX(0, MIN($F$1, DATE(Initialisatie!$C$5,12,31)) - MAX($F$2, DATE(Initialisatie!$C$5,1,1)) + 1),
        IFERROR(VALUE($G138),0) * MAX(0, MIN($G$1, DATE(Initialisatie!$C$5,12,31)) - MAX($G$2, DATE(Initialisatie!$C$5,1,1)) + 1)
    ) / (DATE(Initialisatie!$C$5,12,31) - DATE(Initialisatie!$C$5,1,1) + 1)
)</f>
        <v>4525</v>
      </c>
    </row>
    <row r="139" spans="1:9" x14ac:dyDescent="0.45">
      <c r="A139" s="988"/>
      <c r="B139" s="35">
        <v>8</v>
      </c>
      <c r="C139" s="35">
        <v>38</v>
      </c>
      <c r="D139" s="35">
        <v>8</v>
      </c>
      <c r="E139" s="35" t="s">
        <v>416</v>
      </c>
      <c r="F139">
        <v>4442</v>
      </c>
      <c r="G139">
        <v>4619</v>
      </c>
      <c r="I139">
        <f>IF(
    OR(
        AND(MAX(0, MIN($F$1, DATE(Initialisatie!$C$5,12,31)) - MAX($F$2, DATE(Initialisatie!$C$5,1,1)) + 1) &gt; 0, IFERROR(VALUE($F139),0)=0),
        AND(MAX(0, MIN($G$1, DATE(Initialisatie!$C$5,12,31)) - MAX($G$2, DATE(Initialisatie!$C$5,1,1)) + 1) &gt; 0, IFERROR(VALUE($G139),0)=0)
    ),
    0,
    SUM(
        IFERROR(VALUE($F139),0) * MAX(0, MIN($F$1, DATE(Initialisatie!$C$5,12,31)) - MAX($F$2, DATE(Initialisatie!$C$5,1,1)) + 1),
        IFERROR(VALUE($G139),0) * MAX(0, MIN($G$1, DATE(Initialisatie!$C$5,12,31)) - MAX($G$2, DATE(Initialisatie!$C$5,1,1)) + 1)
    ) / (DATE(Initialisatie!$C$5,12,31) - DATE(Initialisatie!$C$5,1,1) + 1)
)</f>
        <v>4619</v>
      </c>
    </row>
    <row r="140" spans="1:9" x14ac:dyDescent="0.45">
      <c r="A140" s="988"/>
      <c r="B140" s="35">
        <v>9</v>
      </c>
      <c r="C140" s="35">
        <v>39</v>
      </c>
      <c r="D140" s="35">
        <v>9</v>
      </c>
      <c r="E140" s="35" t="s">
        <v>417</v>
      </c>
      <c r="F140">
        <v>4531</v>
      </c>
      <c r="G140">
        <v>4712</v>
      </c>
      <c r="I140">
        <f>IF(
    OR(
        AND(MAX(0, MIN($F$1, DATE(Initialisatie!$C$5,12,31)) - MAX($F$2, DATE(Initialisatie!$C$5,1,1)) + 1) &gt; 0, IFERROR(VALUE($F140),0)=0),
        AND(MAX(0, MIN($G$1, DATE(Initialisatie!$C$5,12,31)) - MAX($G$2, DATE(Initialisatie!$C$5,1,1)) + 1) &gt; 0, IFERROR(VALUE($G140),0)=0)
    ),
    0,
    SUM(
        IFERROR(VALUE($F140),0) * MAX(0, MIN($F$1, DATE(Initialisatie!$C$5,12,31)) - MAX($F$2, DATE(Initialisatie!$C$5,1,1)) + 1),
        IFERROR(VALUE($G140),0) * MAX(0, MIN($G$1, DATE(Initialisatie!$C$5,12,31)) - MAX($G$2, DATE(Initialisatie!$C$5,1,1)) + 1)
    ) / (DATE(Initialisatie!$C$5,12,31) - DATE(Initialisatie!$C$5,1,1) + 1)
)</f>
        <v>4712</v>
      </c>
    </row>
    <row r="141" spans="1:9" x14ac:dyDescent="0.45">
      <c r="A141" s="988"/>
      <c r="B141" s="35">
        <v>10</v>
      </c>
      <c r="C141" s="35">
        <v>40</v>
      </c>
      <c r="D141" s="35">
        <v>10</v>
      </c>
      <c r="E141" s="35" t="s">
        <v>418</v>
      </c>
      <c r="F141">
        <v>4611</v>
      </c>
      <c r="G141">
        <v>4795</v>
      </c>
      <c r="I141">
        <f>IF(
    OR(
        AND(MAX(0, MIN($F$1, DATE(Initialisatie!$C$5,12,31)) - MAX($F$2, DATE(Initialisatie!$C$5,1,1)) + 1) &gt; 0, IFERROR(VALUE($F141),0)=0),
        AND(MAX(0, MIN($G$1, DATE(Initialisatie!$C$5,12,31)) - MAX($G$2, DATE(Initialisatie!$C$5,1,1)) + 1) &gt; 0, IFERROR(VALUE($G141),0)=0)
    ),
    0,
    SUM(
        IFERROR(VALUE($F141),0) * MAX(0, MIN($F$1, DATE(Initialisatie!$C$5,12,31)) - MAX($F$2, DATE(Initialisatie!$C$5,1,1)) + 1),
        IFERROR(VALUE($G141),0) * MAX(0, MIN($G$1, DATE(Initialisatie!$C$5,12,31)) - MAX($G$2, DATE(Initialisatie!$C$5,1,1)) + 1)
    ) / (DATE(Initialisatie!$C$5,12,31) - DATE(Initialisatie!$C$5,1,1) + 1)
)</f>
        <v>4795</v>
      </c>
    </row>
    <row r="142" spans="1:9" x14ac:dyDescent="0.45">
      <c r="A142" s="988"/>
      <c r="B142" s="35">
        <v>11</v>
      </c>
      <c r="C142" s="35">
        <v>41</v>
      </c>
      <c r="D142" s="35">
        <v>11</v>
      </c>
      <c r="E142" s="35" t="s">
        <v>419</v>
      </c>
      <c r="F142">
        <v>4699</v>
      </c>
      <c r="G142">
        <v>4887</v>
      </c>
      <c r="I142">
        <f>IF(
    OR(
        AND(MAX(0, MIN($F$1, DATE(Initialisatie!$C$5,12,31)) - MAX($F$2, DATE(Initialisatie!$C$5,1,1)) + 1) &gt; 0, IFERROR(VALUE($F142),0)=0),
        AND(MAX(0, MIN($G$1, DATE(Initialisatie!$C$5,12,31)) - MAX($G$2, DATE(Initialisatie!$C$5,1,1)) + 1) &gt; 0, IFERROR(VALUE($G142),0)=0)
    ),
    0,
    SUM(
        IFERROR(VALUE($F142),0) * MAX(0, MIN($F$1, DATE(Initialisatie!$C$5,12,31)) - MAX($F$2, DATE(Initialisatie!$C$5,1,1)) + 1),
        IFERROR(VALUE($G142),0) * MAX(0, MIN($G$1, DATE(Initialisatie!$C$5,12,31)) - MAX($G$2, DATE(Initialisatie!$C$5,1,1)) + 1)
    ) / (DATE(Initialisatie!$C$5,12,31) - DATE(Initialisatie!$C$5,1,1) + 1)
)</f>
        <v>4887</v>
      </c>
    </row>
    <row r="143" spans="1:9" x14ac:dyDescent="0.45">
      <c r="A143" s="988"/>
      <c r="B143" s="35">
        <v>12</v>
      </c>
      <c r="C143" s="35">
        <v>42</v>
      </c>
      <c r="D143" s="35">
        <v>12</v>
      </c>
      <c r="E143" s="35" t="s">
        <v>420</v>
      </c>
      <c r="F143">
        <v>4785</v>
      </c>
      <c r="G143">
        <v>4977</v>
      </c>
      <c r="I143">
        <f>IF(
    OR(
        AND(MAX(0, MIN($F$1, DATE(Initialisatie!$C$5,12,31)) - MAX($F$2, DATE(Initialisatie!$C$5,1,1)) + 1) &gt; 0, IFERROR(VALUE($F143),0)=0),
        AND(MAX(0, MIN($G$1, DATE(Initialisatie!$C$5,12,31)) - MAX($G$2, DATE(Initialisatie!$C$5,1,1)) + 1) &gt; 0, IFERROR(VALUE($G143),0)=0)
    ),
    0,
    SUM(
        IFERROR(VALUE($F143),0) * MAX(0, MIN($F$1, DATE(Initialisatie!$C$5,12,31)) - MAX($F$2, DATE(Initialisatie!$C$5,1,1)) + 1),
        IFERROR(VALUE($G143),0) * MAX(0, MIN($G$1, DATE(Initialisatie!$C$5,12,31)) - MAX($G$2, DATE(Initialisatie!$C$5,1,1)) + 1)
    ) / (DATE(Initialisatie!$C$5,12,31) - DATE(Initialisatie!$C$5,1,1) + 1)
)</f>
        <v>4977</v>
      </c>
    </row>
    <row r="144" spans="1:9" x14ac:dyDescent="0.45">
      <c r="A144" s="988">
        <v>59</v>
      </c>
      <c r="B144" s="35">
        <v>1</v>
      </c>
      <c r="C144" s="35">
        <v>27</v>
      </c>
      <c r="D144" s="35">
        <v>1</v>
      </c>
      <c r="E144" s="35" t="s">
        <v>421</v>
      </c>
      <c r="F144">
        <v>3541</v>
      </c>
      <c r="G144">
        <v>3682</v>
      </c>
      <c r="I144">
        <f>IF(
    OR(
        AND(MAX(0, MIN($F$1, DATE(Initialisatie!$C$5,12,31)) - MAX($F$2, DATE(Initialisatie!$C$5,1,1)) + 1) &gt; 0, IFERROR(VALUE($F144),0)=0),
        AND(MAX(0, MIN($G$1, DATE(Initialisatie!$C$5,12,31)) - MAX($G$2, DATE(Initialisatie!$C$5,1,1)) + 1) &gt; 0, IFERROR(VALUE($G144),0)=0)
    ),
    0,
    SUM(
        IFERROR(VALUE($F144),0) * MAX(0, MIN($F$1, DATE(Initialisatie!$C$5,12,31)) - MAX($F$2, DATE(Initialisatie!$C$5,1,1)) + 1),
        IFERROR(VALUE($G144),0) * MAX(0, MIN($G$1, DATE(Initialisatie!$C$5,12,31)) - MAX($G$2, DATE(Initialisatie!$C$5,1,1)) + 1)
    ) / (DATE(Initialisatie!$C$5,12,31) - DATE(Initialisatie!$C$5,1,1) + 1)
)</f>
        <v>3682</v>
      </c>
    </row>
    <row r="145" spans="1:9" x14ac:dyDescent="0.45">
      <c r="A145" s="988"/>
      <c r="B145" s="35">
        <v>2</v>
      </c>
      <c r="C145" s="35">
        <v>29</v>
      </c>
      <c r="D145" s="35">
        <v>2</v>
      </c>
      <c r="E145" s="35" t="s">
        <v>422</v>
      </c>
      <c r="F145">
        <v>3701</v>
      </c>
      <c r="G145">
        <v>3849</v>
      </c>
      <c r="I145">
        <f>IF(
    OR(
        AND(MAX(0, MIN($F$1, DATE(Initialisatie!$C$5,12,31)) - MAX($F$2, DATE(Initialisatie!$C$5,1,1)) + 1) &gt; 0, IFERROR(VALUE($F145),0)=0),
        AND(MAX(0, MIN($G$1, DATE(Initialisatie!$C$5,12,31)) - MAX($G$2, DATE(Initialisatie!$C$5,1,1)) + 1) &gt; 0, IFERROR(VALUE($G145),0)=0)
    ),
    0,
    SUM(
        IFERROR(VALUE($F145),0) * MAX(0, MIN($F$1, DATE(Initialisatie!$C$5,12,31)) - MAX($F$2, DATE(Initialisatie!$C$5,1,1)) + 1),
        IFERROR(VALUE($G145),0) * MAX(0, MIN($G$1, DATE(Initialisatie!$C$5,12,31)) - MAX($G$2, DATE(Initialisatie!$C$5,1,1)) + 1)
    ) / (DATE(Initialisatie!$C$5,12,31) - DATE(Initialisatie!$C$5,1,1) + 1)
)</f>
        <v>3849</v>
      </c>
    </row>
    <row r="146" spans="1:9" x14ac:dyDescent="0.45">
      <c r="A146" s="988"/>
      <c r="B146" s="35">
        <v>3</v>
      </c>
      <c r="C146" s="35">
        <v>31</v>
      </c>
      <c r="D146" s="35">
        <v>3</v>
      </c>
      <c r="E146" s="35" t="s">
        <v>423</v>
      </c>
      <c r="F146">
        <v>3863</v>
      </c>
      <c r="G146">
        <v>4017</v>
      </c>
      <c r="I146">
        <f>IF(
    OR(
        AND(MAX(0, MIN($F$1, DATE(Initialisatie!$C$5,12,31)) - MAX($F$2, DATE(Initialisatie!$C$5,1,1)) + 1) &gt; 0, IFERROR(VALUE($F146),0)=0),
        AND(MAX(0, MIN($G$1, DATE(Initialisatie!$C$5,12,31)) - MAX($G$2, DATE(Initialisatie!$C$5,1,1)) + 1) &gt; 0, IFERROR(VALUE($G146),0)=0)
    ),
    0,
    SUM(
        IFERROR(VALUE($F146),0) * MAX(0, MIN($F$1, DATE(Initialisatie!$C$5,12,31)) - MAX($F$2, DATE(Initialisatie!$C$5,1,1)) + 1),
        IFERROR(VALUE($G146),0) * MAX(0, MIN($G$1, DATE(Initialisatie!$C$5,12,31)) - MAX($G$2, DATE(Initialisatie!$C$5,1,1)) + 1)
    ) / (DATE(Initialisatie!$C$5,12,31) - DATE(Initialisatie!$C$5,1,1) + 1)
)</f>
        <v>4017</v>
      </c>
    </row>
    <row r="147" spans="1:9" x14ac:dyDescent="0.45">
      <c r="A147" s="988"/>
      <c r="B147" s="35">
        <v>4</v>
      </c>
      <c r="C147" s="35">
        <v>33</v>
      </c>
      <c r="D147" s="35">
        <v>4</v>
      </c>
      <c r="E147" s="35" t="s">
        <v>424</v>
      </c>
      <c r="F147">
        <v>4024</v>
      </c>
      <c r="G147">
        <v>4185</v>
      </c>
      <c r="I147">
        <f>IF(
    OR(
        AND(MAX(0, MIN($F$1, DATE(Initialisatie!$C$5,12,31)) - MAX($F$2, DATE(Initialisatie!$C$5,1,1)) + 1) &gt; 0, IFERROR(VALUE($F147),0)=0),
        AND(MAX(0, MIN($G$1, DATE(Initialisatie!$C$5,12,31)) - MAX($G$2, DATE(Initialisatie!$C$5,1,1)) + 1) &gt; 0, IFERROR(VALUE($G147),0)=0)
    ),
    0,
    SUM(
        IFERROR(VALUE($F147),0) * MAX(0, MIN($F$1, DATE(Initialisatie!$C$5,12,31)) - MAX($F$2, DATE(Initialisatie!$C$5,1,1)) + 1),
        IFERROR(VALUE($G147),0) * MAX(0, MIN($G$1, DATE(Initialisatie!$C$5,12,31)) - MAX($G$2, DATE(Initialisatie!$C$5,1,1)) + 1)
    ) / (DATE(Initialisatie!$C$5,12,31) - DATE(Initialisatie!$C$5,1,1) + 1)
)</f>
        <v>4185</v>
      </c>
    </row>
    <row r="148" spans="1:9" x14ac:dyDescent="0.45">
      <c r="A148" s="988">
        <v>60</v>
      </c>
      <c r="B148" s="35">
        <v>1</v>
      </c>
      <c r="C148" s="35">
        <v>34</v>
      </c>
      <c r="D148" s="35">
        <v>1</v>
      </c>
      <c r="E148" s="35" t="s">
        <v>425</v>
      </c>
      <c r="F148">
        <v>4108</v>
      </c>
      <c r="G148">
        <v>4272</v>
      </c>
      <c r="I148">
        <f>IF(
    OR(
        AND(MAX(0, MIN($F$1, DATE(Initialisatie!$C$5,12,31)) - MAX($F$2, DATE(Initialisatie!$C$5,1,1)) + 1) &gt; 0, IFERROR(VALUE($F148),0)=0),
        AND(MAX(0, MIN($G$1, DATE(Initialisatie!$C$5,12,31)) - MAX($G$2, DATE(Initialisatie!$C$5,1,1)) + 1) &gt; 0, IFERROR(VALUE($G148),0)=0)
    ),
    0,
    SUM(
        IFERROR(VALUE($F148),0) * MAX(0, MIN($F$1, DATE(Initialisatie!$C$5,12,31)) - MAX($F$2, DATE(Initialisatie!$C$5,1,1)) + 1),
        IFERROR(VALUE($G148),0) * MAX(0, MIN($G$1, DATE(Initialisatie!$C$5,12,31)) - MAX($G$2, DATE(Initialisatie!$C$5,1,1)) + 1)
    ) / (DATE(Initialisatie!$C$5,12,31) - DATE(Initialisatie!$C$5,1,1) + 1)
)</f>
        <v>4272</v>
      </c>
    </row>
    <row r="149" spans="1:9" x14ac:dyDescent="0.45">
      <c r="A149" s="988"/>
      <c r="B149" s="35">
        <v>2</v>
      </c>
      <c r="C149" s="35">
        <v>36</v>
      </c>
      <c r="D149" s="35">
        <v>2</v>
      </c>
      <c r="E149" s="35" t="s">
        <v>426</v>
      </c>
      <c r="F149">
        <v>4263</v>
      </c>
      <c r="G149">
        <v>4434</v>
      </c>
      <c r="I149">
        <f>IF(
    OR(
        AND(MAX(0, MIN($F$1, DATE(Initialisatie!$C$5,12,31)) - MAX($F$2, DATE(Initialisatie!$C$5,1,1)) + 1) &gt; 0, IFERROR(VALUE($F149),0)=0),
        AND(MAX(0, MIN($G$1, DATE(Initialisatie!$C$5,12,31)) - MAX($G$2, DATE(Initialisatie!$C$5,1,1)) + 1) &gt; 0, IFERROR(VALUE($G149),0)=0)
    ),
    0,
    SUM(
        IFERROR(VALUE($F149),0) * MAX(0, MIN($F$1, DATE(Initialisatie!$C$5,12,31)) - MAX($F$2, DATE(Initialisatie!$C$5,1,1)) + 1),
        IFERROR(VALUE($G149),0) * MAX(0, MIN($G$1, DATE(Initialisatie!$C$5,12,31)) - MAX($G$2, DATE(Initialisatie!$C$5,1,1)) + 1)
    ) / (DATE(Initialisatie!$C$5,12,31) - DATE(Initialisatie!$C$5,1,1) + 1)
)</f>
        <v>4434</v>
      </c>
    </row>
    <row r="150" spans="1:9" x14ac:dyDescent="0.45">
      <c r="A150" s="988"/>
      <c r="B150" s="35">
        <v>3</v>
      </c>
      <c r="C150" s="35">
        <v>38</v>
      </c>
      <c r="D150" s="35">
        <v>3</v>
      </c>
      <c r="E150" s="35" t="s">
        <v>427</v>
      </c>
      <c r="F150">
        <v>4442</v>
      </c>
      <c r="G150">
        <v>4619</v>
      </c>
      <c r="I150">
        <f>IF(
    OR(
        AND(MAX(0, MIN($F$1, DATE(Initialisatie!$C$5,12,31)) - MAX($F$2, DATE(Initialisatie!$C$5,1,1)) + 1) &gt; 0, IFERROR(VALUE($F150),0)=0),
        AND(MAX(0, MIN($G$1, DATE(Initialisatie!$C$5,12,31)) - MAX($G$2, DATE(Initialisatie!$C$5,1,1)) + 1) &gt; 0, IFERROR(VALUE($G150),0)=0)
    ),
    0,
    SUM(
        IFERROR(VALUE($F150),0) * MAX(0, MIN($F$1, DATE(Initialisatie!$C$5,12,31)) - MAX($F$2, DATE(Initialisatie!$C$5,1,1)) + 1),
        IFERROR(VALUE($G150),0) * MAX(0, MIN($G$1, DATE(Initialisatie!$C$5,12,31)) - MAX($G$2, DATE(Initialisatie!$C$5,1,1)) + 1)
    ) / (DATE(Initialisatie!$C$5,12,31) - DATE(Initialisatie!$C$5,1,1) + 1)
)</f>
        <v>4619</v>
      </c>
    </row>
    <row r="151" spans="1:9" x14ac:dyDescent="0.45">
      <c r="A151" s="988"/>
      <c r="B151" s="35">
        <v>4</v>
      </c>
      <c r="C151" s="35">
        <v>40</v>
      </c>
      <c r="D151" s="35">
        <v>4</v>
      </c>
      <c r="E151" s="35" t="s">
        <v>428</v>
      </c>
      <c r="F151">
        <v>4611</v>
      </c>
      <c r="G151">
        <v>4795</v>
      </c>
      <c r="I151">
        <f>IF(
    OR(
        AND(MAX(0, MIN($F$1, DATE(Initialisatie!$C$5,12,31)) - MAX($F$2, DATE(Initialisatie!$C$5,1,1)) + 1) &gt; 0, IFERROR(VALUE($F151),0)=0),
        AND(MAX(0, MIN($G$1, DATE(Initialisatie!$C$5,12,31)) - MAX($G$2, DATE(Initialisatie!$C$5,1,1)) + 1) &gt; 0, IFERROR(VALUE($G151),0)=0)
    ),
    0,
    SUM(
        IFERROR(VALUE($F151),0) * MAX(0, MIN($F$1, DATE(Initialisatie!$C$5,12,31)) - MAX($F$2, DATE(Initialisatie!$C$5,1,1)) + 1),
        IFERROR(VALUE($G151),0) * MAX(0, MIN($G$1, DATE(Initialisatie!$C$5,12,31)) - MAX($G$2, DATE(Initialisatie!$C$5,1,1)) + 1)
    ) / (DATE(Initialisatie!$C$5,12,31) - DATE(Initialisatie!$C$5,1,1) + 1)
)</f>
        <v>4795</v>
      </c>
    </row>
    <row r="152" spans="1:9" x14ac:dyDescent="0.45">
      <c r="A152" s="988"/>
      <c r="B152" s="35">
        <v>5</v>
      </c>
      <c r="C152" s="35">
        <v>42</v>
      </c>
      <c r="D152" s="35">
        <v>5</v>
      </c>
      <c r="E152" s="35" t="s">
        <v>429</v>
      </c>
      <c r="F152">
        <v>4785</v>
      </c>
      <c r="G152">
        <v>4977</v>
      </c>
      <c r="I152">
        <f>IF(
    OR(
        AND(MAX(0, MIN($F$1, DATE(Initialisatie!$C$5,12,31)) - MAX($F$2, DATE(Initialisatie!$C$5,1,1)) + 1) &gt; 0, IFERROR(VALUE($F152),0)=0),
        AND(MAX(0, MIN($G$1, DATE(Initialisatie!$C$5,12,31)) - MAX($G$2, DATE(Initialisatie!$C$5,1,1)) + 1) &gt; 0, IFERROR(VALUE($G152),0)=0)
    ),
    0,
    SUM(
        IFERROR(VALUE($F152),0) * MAX(0, MIN($F$1, DATE(Initialisatie!$C$5,12,31)) - MAX($F$2, DATE(Initialisatie!$C$5,1,1)) + 1),
        IFERROR(VALUE($G152),0) * MAX(0, MIN($G$1, DATE(Initialisatie!$C$5,12,31)) - MAX($G$2, DATE(Initialisatie!$C$5,1,1)) + 1)
    ) / (DATE(Initialisatie!$C$5,12,31) - DATE(Initialisatie!$C$5,1,1) + 1)
)</f>
        <v>4977</v>
      </c>
    </row>
    <row r="153" spans="1:9" x14ac:dyDescent="0.45">
      <c r="A153" s="988"/>
      <c r="B153" s="35">
        <v>6</v>
      </c>
      <c r="C153" s="35">
        <v>44</v>
      </c>
      <c r="D153" s="35">
        <v>6</v>
      </c>
      <c r="E153" s="35" t="s">
        <v>430</v>
      </c>
      <c r="F153">
        <v>4953</v>
      </c>
      <c r="G153">
        <v>5151</v>
      </c>
      <c r="I153">
        <f>IF(
    OR(
        AND(MAX(0, MIN($F$1, DATE(Initialisatie!$C$5,12,31)) - MAX($F$2, DATE(Initialisatie!$C$5,1,1)) + 1) &gt; 0, IFERROR(VALUE($F153),0)=0),
        AND(MAX(0, MIN($G$1, DATE(Initialisatie!$C$5,12,31)) - MAX($G$2, DATE(Initialisatie!$C$5,1,1)) + 1) &gt; 0, IFERROR(VALUE($G153),0)=0)
    ),
    0,
    SUM(
        IFERROR(VALUE($F153),0) * MAX(0, MIN($F$1, DATE(Initialisatie!$C$5,12,31)) - MAX($F$2, DATE(Initialisatie!$C$5,1,1)) + 1),
        IFERROR(VALUE($G153),0) * MAX(0, MIN($G$1, DATE(Initialisatie!$C$5,12,31)) - MAX($G$2, DATE(Initialisatie!$C$5,1,1)) + 1)
    ) / (DATE(Initialisatie!$C$5,12,31) - DATE(Initialisatie!$C$5,1,1) + 1)
)</f>
        <v>5151</v>
      </c>
    </row>
    <row r="154" spans="1:9" x14ac:dyDescent="0.45">
      <c r="A154" s="988"/>
      <c r="B154" s="35">
        <v>7</v>
      </c>
      <c r="C154" s="35">
        <v>45</v>
      </c>
      <c r="D154" s="35">
        <v>7</v>
      </c>
      <c r="E154" s="35" t="s">
        <v>431</v>
      </c>
      <c r="F154">
        <v>5027</v>
      </c>
      <c r="G154">
        <v>5228</v>
      </c>
      <c r="I154">
        <f>IF(
    OR(
        AND(MAX(0, MIN($F$1, DATE(Initialisatie!$C$5,12,31)) - MAX($F$2, DATE(Initialisatie!$C$5,1,1)) + 1) &gt; 0, IFERROR(VALUE($F154),0)=0),
        AND(MAX(0, MIN($G$1, DATE(Initialisatie!$C$5,12,31)) - MAX($G$2, DATE(Initialisatie!$C$5,1,1)) + 1) &gt; 0, IFERROR(VALUE($G154),0)=0)
    ),
    0,
    SUM(
        IFERROR(VALUE($F154),0) * MAX(0, MIN($F$1, DATE(Initialisatie!$C$5,12,31)) - MAX($F$2, DATE(Initialisatie!$C$5,1,1)) + 1),
        IFERROR(VALUE($G154),0) * MAX(0, MIN($G$1, DATE(Initialisatie!$C$5,12,31)) - MAX($G$2, DATE(Initialisatie!$C$5,1,1)) + 1)
    ) / (DATE(Initialisatie!$C$5,12,31) - DATE(Initialisatie!$C$5,1,1) + 1)
)</f>
        <v>5228</v>
      </c>
    </row>
    <row r="155" spans="1:9" x14ac:dyDescent="0.45">
      <c r="A155" s="988"/>
      <c r="B155" s="35">
        <v>8</v>
      </c>
      <c r="C155" s="35">
        <v>46</v>
      </c>
      <c r="D155" s="35">
        <v>8</v>
      </c>
      <c r="E155" s="35" t="s">
        <v>432</v>
      </c>
      <c r="F155">
        <v>5103</v>
      </c>
      <c r="G155">
        <v>5307</v>
      </c>
      <c r="I155">
        <f>IF(
    OR(
        AND(MAX(0, MIN($F$1, DATE(Initialisatie!$C$5,12,31)) - MAX($F$2, DATE(Initialisatie!$C$5,1,1)) + 1) &gt; 0, IFERROR(VALUE($F155),0)=0),
        AND(MAX(0, MIN($G$1, DATE(Initialisatie!$C$5,12,31)) - MAX($G$2, DATE(Initialisatie!$C$5,1,1)) + 1) &gt; 0, IFERROR(VALUE($G155),0)=0)
    ),
    0,
    SUM(
        IFERROR(VALUE($F155),0) * MAX(0, MIN($F$1, DATE(Initialisatie!$C$5,12,31)) - MAX($F$2, DATE(Initialisatie!$C$5,1,1)) + 1),
        IFERROR(VALUE($G155),0) * MAX(0, MIN($G$1, DATE(Initialisatie!$C$5,12,31)) - MAX($G$2, DATE(Initialisatie!$C$5,1,1)) + 1)
    ) / (DATE(Initialisatie!$C$5,12,31) - DATE(Initialisatie!$C$5,1,1) + 1)
)</f>
        <v>5307</v>
      </c>
    </row>
    <row r="156" spans="1:9" x14ac:dyDescent="0.45">
      <c r="A156" s="988"/>
      <c r="B156" s="35">
        <v>9</v>
      </c>
      <c r="C156" s="35">
        <v>47</v>
      </c>
      <c r="D156" s="35">
        <v>9</v>
      </c>
      <c r="E156" s="35" t="s">
        <v>433</v>
      </c>
      <c r="F156">
        <v>5181</v>
      </c>
      <c r="G156">
        <v>5388</v>
      </c>
      <c r="I156">
        <f>IF(
    OR(
        AND(MAX(0, MIN($F$1, DATE(Initialisatie!$C$5,12,31)) - MAX($F$2, DATE(Initialisatie!$C$5,1,1)) + 1) &gt; 0, IFERROR(VALUE($F156),0)=0),
        AND(MAX(0, MIN($G$1, DATE(Initialisatie!$C$5,12,31)) - MAX($G$2, DATE(Initialisatie!$C$5,1,1)) + 1) &gt; 0, IFERROR(VALUE($G156),0)=0)
    ),
    0,
    SUM(
        IFERROR(VALUE($F156),0) * MAX(0, MIN($F$1, DATE(Initialisatie!$C$5,12,31)) - MAX($F$2, DATE(Initialisatie!$C$5,1,1)) + 1),
        IFERROR(VALUE($G156),0) * MAX(0, MIN($G$1, DATE(Initialisatie!$C$5,12,31)) - MAX($G$2, DATE(Initialisatie!$C$5,1,1)) + 1)
    ) / (DATE(Initialisatie!$C$5,12,31) - DATE(Initialisatie!$C$5,1,1) + 1)
)</f>
        <v>5388</v>
      </c>
    </row>
    <row r="157" spans="1:9" x14ac:dyDescent="0.45">
      <c r="A157" s="988"/>
      <c r="B157" s="35">
        <v>10</v>
      </c>
      <c r="C157" s="35">
        <v>48</v>
      </c>
      <c r="D157" s="35">
        <v>10</v>
      </c>
      <c r="E157" s="35" t="s">
        <v>434</v>
      </c>
      <c r="F157">
        <v>5257</v>
      </c>
      <c r="G157">
        <v>5467</v>
      </c>
      <c r="I157">
        <f>IF(
    OR(
        AND(MAX(0, MIN($F$1, DATE(Initialisatie!$C$5,12,31)) - MAX($F$2, DATE(Initialisatie!$C$5,1,1)) + 1) &gt; 0, IFERROR(VALUE($F157),0)=0),
        AND(MAX(0, MIN($G$1, DATE(Initialisatie!$C$5,12,31)) - MAX($G$2, DATE(Initialisatie!$C$5,1,1)) + 1) &gt; 0, IFERROR(VALUE($G157),0)=0)
    ),
    0,
    SUM(
        IFERROR(VALUE($F157),0) * MAX(0, MIN($F$1, DATE(Initialisatie!$C$5,12,31)) - MAX($F$2, DATE(Initialisatie!$C$5,1,1)) + 1),
        IFERROR(VALUE($G157),0) * MAX(0, MIN($G$1, DATE(Initialisatie!$C$5,12,31)) - MAX($G$2, DATE(Initialisatie!$C$5,1,1)) + 1)
    ) / (DATE(Initialisatie!$C$5,12,31) - DATE(Initialisatie!$C$5,1,1) + 1)
)</f>
        <v>5467</v>
      </c>
    </row>
    <row r="158" spans="1:9" x14ac:dyDescent="0.45">
      <c r="A158" s="988"/>
      <c r="B158" s="35">
        <v>11</v>
      </c>
      <c r="C158" s="35">
        <v>49</v>
      </c>
      <c r="D158" s="35">
        <v>11</v>
      </c>
      <c r="E158" s="35" t="s">
        <v>435</v>
      </c>
      <c r="F158">
        <v>5335</v>
      </c>
      <c r="G158">
        <v>5548</v>
      </c>
      <c r="I158">
        <f>IF(
    OR(
        AND(MAX(0, MIN($F$1, DATE(Initialisatie!$C$5,12,31)) - MAX($F$2, DATE(Initialisatie!$C$5,1,1)) + 1) &gt; 0, IFERROR(VALUE($F158),0)=0),
        AND(MAX(0, MIN($G$1, DATE(Initialisatie!$C$5,12,31)) - MAX($G$2, DATE(Initialisatie!$C$5,1,1)) + 1) &gt; 0, IFERROR(VALUE($G158),0)=0)
    ),
    0,
    SUM(
        IFERROR(VALUE($F158),0) * MAX(0, MIN($F$1, DATE(Initialisatie!$C$5,12,31)) - MAX($F$2, DATE(Initialisatie!$C$5,1,1)) + 1),
        IFERROR(VALUE($G158),0) * MAX(0, MIN($G$1, DATE(Initialisatie!$C$5,12,31)) - MAX($G$2, DATE(Initialisatie!$C$5,1,1)) + 1)
    ) / (DATE(Initialisatie!$C$5,12,31) - DATE(Initialisatie!$C$5,1,1) + 1)
)</f>
        <v>5548</v>
      </c>
    </row>
    <row r="159" spans="1:9" x14ac:dyDescent="0.45">
      <c r="A159" s="988">
        <v>64</v>
      </c>
      <c r="B159" s="35">
        <v>1</v>
      </c>
      <c r="C159" s="35">
        <v>34</v>
      </c>
      <c r="D159" s="35">
        <v>1</v>
      </c>
      <c r="E159" s="35" t="s">
        <v>436</v>
      </c>
      <c r="F159">
        <v>4108</v>
      </c>
      <c r="G159">
        <v>4272</v>
      </c>
      <c r="I159">
        <f>IF(
    OR(
        AND(MAX(0, MIN($F$1, DATE(Initialisatie!$C$5,12,31)) - MAX($F$2, DATE(Initialisatie!$C$5,1,1)) + 1) &gt; 0, IFERROR(VALUE($F159),0)=0),
        AND(MAX(0, MIN($G$1, DATE(Initialisatie!$C$5,12,31)) - MAX($G$2, DATE(Initialisatie!$C$5,1,1)) + 1) &gt; 0, IFERROR(VALUE($G159),0)=0)
    ),
    0,
    SUM(
        IFERROR(VALUE($F159),0) * MAX(0, MIN($F$1, DATE(Initialisatie!$C$5,12,31)) - MAX($F$2, DATE(Initialisatie!$C$5,1,1)) + 1),
        IFERROR(VALUE($G159),0) * MAX(0, MIN($G$1, DATE(Initialisatie!$C$5,12,31)) - MAX($G$2, DATE(Initialisatie!$C$5,1,1)) + 1)
    ) / (DATE(Initialisatie!$C$5,12,31) - DATE(Initialisatie!$C$5,1,1) + 1)
)</f>
        <v>4272</v>
      </c>
    </row>
    <row r="160" spans="1:9" x14ac:dyDescent="0.45">
      <c r="A160" s="988"/>
      <c r="B160" s="35">
        <v>2</v>
      </c>
      <c r="C160" s="35">
        <v>36</v>
      </c>
      <c r="D160" s="35">
        <v>2</v>
      </c>
      <c r="E160" s="35" t="s">
        <v>437</v>
      </c>
      <c r="F160">
        <v>4263</v>
      </c>
      <c r="G160">
        <v>4434</v>
      </c>
      <c r="I160">
        <f>IF(
    OR(
        AND(MAX(0, MIN($F$1, DATE(Initialisatie!$C$5,12,31)) - MAX($F$2, DATE(Initialisatie!$C$5,1,1)) + 1) &gt; 0, IFERROR(VALUE($F160),0)=0),
        AND(MAX(0, MIN($G$1, DATE(Initialisatie!$C$5,12,31)) - MAX($G$2, DATE(Initialisatie!$C$5,1,1)) + 1) &gt; 0, IFERROR(VALUE($G160),0)=0)
    ),
    0,
    SUM(
        IFERROR(VALUE($F160),0) * MAX(0, MIN($F$1, DATE(Initialisatie!$C$5,12,31)) - MAX($F$2, DATE(Initialisatie!$C$5,1,1)) + 1),
        IFERROR(VALUE($G160),0) * MAX(0, MIN($G$1, DATE(Initialisatie!$C$5,12,31)) - MAX($G$2, DATE(Initialisatie!$C$5,1,1)) + 1)
    ) / (DATE(Initialisatie!$C$5,12,31) - DATE(Initialisatie!$C$5,1,1) + 1)
)</f>
        <v>4434</v>
      </c>
    </row>
    <row r="161" spans="1:9" x14ac:dyDescent="0.45">
      <c r="A161" s="988"/>
      <c r="B161" s="35">
        <v>3</v>
      </c>
      <c r="C161" s="35">
        <v>38</v>
      </c>
      <c r="D161" s="35">
        <v>3</v>
      </c>
      <c r="E161" s="35" t="s">
        <v>438</v>
      </c>
      <c r="F161">
        <v>4442</v>
      </c>
      <c r="G161">
        <v>4619</v>
      </c>
      <c r="I161">
        <f>IF(
    OR(
        AND(MAX(0, MIN($F$1, DATE(Initialisatie!$C$5,12,31)) - MAX($F$2, DATE(Initialisatie!$C$5,1,1)) + 1) &gt; 0, IFERROR(VALUE($F161),0)=0),
        AND(MAX(0, MIN($G$1, DATE(Initialisatie!$C$5,12,31)) - MAX($G$2, DATE(Initialisatie!$C$5,1,1)) + 1) &gt; 0, IFERROR(VALUE($G161),0)=0)
    ),
    0,
    SUM(
        IFERROR(VALUE($F161),0) * MAX(0, MIN($F$1, DATE(Initialisatie!$C$5,12,31)) - MAX($F$2, DATE(Initialisatie!$C$5,1,1)) + 1),
        IFERROR(VALUE($G161),0) * MAX(0, MIN($G$1, DATE(Initialisatie!$C$5,12,31)) - MAX($G$2, DATE(Initialisatie!$C$5,1,1)) + 1)
    ) / (DATE(Initialisatie!$C$5,12,31) - DATE(Initialisatie!$C$5,1,1) + 1)
)</f>
        <v>4619</v>
      </c>
    </row>
    <row r="162" spans="1:9" x14ac:dyDescent="0.45">
      <c r="A162" s="988"/>
      <c r="B162" s="35">
        <v>4</v>
      </c>
      <c r="C162" s="35">
        <v>40</v>
      </c>
      <c r="D162" s="35">
        <v>4</v>
      </c>
      <c r="E162" s="35" t="s">
        <v>439</v>
      </c>
      <c r="F162">
        <v>4611</v>
      </c>
      <c r="G162">
        <v>4795</v>
      </c>
      <c r="I162">
        <f>IF(
    OR(
        AND(MAX(0, MIN($F$1, DATE(Initialisatie!$C$5,12,31)) - MAX($F$2, DATE(Initialisatie!$C$5,1,1)) + 1) &gt; 0, IFERROR(VALUE($F162),0)=0),
        AND(MAX(0, MIN($G$1, DATE(Initialisatie!$C$5,12,31)) - MAX($G$2, DATE(Initialisatie!$C$5,1,1)) + 1) &gt; 0, IFERROR(VALUE($G162),0)=0)
    ),
    0,
    SUM(
        IFERROR(VALUE($F162),0) * MAX(0, MIN($F$1, DATE(Initialisatie!$C$5,12,31)) - MAX($F$2, DATE(Initialisatie!$C$5,1,1)) + 1),
        IFERROR(VALUE($G162),0) * MAX(0, MIN($G$1, DATE(Initialisatie!$C$5,12,31)) - MAX($G$2, DATE(Initialisatie!$C$5,1,1)) + 1)
    ) / (DATE(Initialisatie!$C$5,12,31) - DATE(Initialisatie!$C$5,1,1) + 1)
)</f>
        <v>4795</v>
      </c>
    </row>
    <row r="163" spans="1:9" x14ac:dyDescent="0.45">
      <c r="A163" s="988">
        <v>65</v>
      </c>
      <c r="B163" s="35">
        <v>1</v>
      </c>
      <c r="C163" s="35">
        <v>42</v>
      </c>
      <c r="D163" s="35">
        <v>1</v>
      </c>
      <c r="E163" s="35" t="s">
        <v>440</v>
      </c>
      <c r="F163">
        <v>4785</v>
      </c>
      <c r="G163">
        <v>4977</v>
      </c>
      <c r="I163">
        <f>IF(
    OR(
        AND(MAX(0, MIN($F$1, DATE(Initialisatie!$C$5,12,31)) - MAX($F$2, DATE(Initialisatie!$C$5,1,1)) + 1) &gt; 0, IFERROR(VALUE($F163),0)=0),
        AND(MAX(0, MIN($G$1, DATE(Initialisatie!$C$5,12,31)) - MAX($G$2, DATE(Initialisatie!$C$5,1,1)) + 1) &gt; 0, IFERROR(VALUE($G163),0)=0)
    ),
    0,
    SUM(
        IFERROR(VALUE($F163),0) * MAX(0, MIN($F$1, DATE(Initialisatie!$C$5,12,31)) - MAX($F$2, DATE(Initialisatie!$C$5,1,1)) + 1),
        IFERROR(VALUE($G163),0) * MAX(0, MIN($G$1, DATE(Initialisatie!$C$5,12,31)) - MAX($G$2, DATE(Initialisatie!$C$5,1,1)) + 1)
    ) / (DATE(Initialisatie!$C$5,12,31) - DATE(Initialisatie!$C$5,1,1) + 1)
)</f>
        <v>4977</v>
      </c>
    </row>
    <row r="164" spans="1:9" x14ac:dyDescent="0.45">
      <c r="A164" s="988"/>
      <c r="B164" s="35">
        <v>2</v>
      </c>
      <c r="C164" s="35">
        <v>44</v>
      </c>
      <c r="D164" s="35">
        <v>2</v>
      </c>
      <c r="E164" s="35" t="s">
        <v>441</v>
      </c>
      <c r="F164">
        <v>4953</v>
      </c>
      <c r="G164">
        <v>5151</v>
      </c>
      <c r="I164">
        <f>IF(
    OR(
        AND(MAX(0, MIN($F$1, DATE(Initialisatie!$C$5,12,31)) - MAX($F$2, DATE(Initialisatie!$C$5,1,1)) + 1) &gt; 0, IFERROR(VALUE($F164),0)=0),
        AND(MAX(0, MIN($G$1, DATE(Initialisatie!$C$5,12,31)) - MAX($G$2, DATE(Initialisatie!$C$5,1,1)) + 1) &gt; 0, IFERROR(VALUE($G164),0)=0)
    ),
    0,
    SUM(
        IFERROR(VALUE($F164),0) * MAX(0, MIN($F$1, DATE(Initialisatie!$C$5,12,31)) - MAX($F$2, DATE(Initialisatie!$C$5,1,1)) + 1),
        IFERROR(VALUE($G164),0) * MAX(0, MIN($G$1, DATE(Initialisatie!$C$5,12,31)) - MAX($G$2, DATE(Initialisatie!$C$5,1,1)) + 1)
    ) / (DATE(Initialisatie!$C$5,12,31) - DATE(Initialisatie!$C$5,1,1) + 1)
)</f>
        <v>5151</v>
      </c>
    </row>
    <row r="165" spans="1:9" x14ac:dyDescent="0.45">
      <c r="A165" s="988"/>
      <c r="B165" s="35">
        <v>3</v>
      </c>
      <c r="C165" s="35">
        <v>46</v>
      </c>
      <c r="D165" s="35">
        <v>3</v>
      </c>
      <c r="E165" s="35" t="s">
        <v>442</v>
      </c>
      <c r="F165">
        <v>5103</v>
      </c>
      <c r="G165">
        <v>5307</v>
      </c>
      <c r="I165">
        <f>IF(
    OR(
        AND(MAX(0, MIN($F$1, DATE(Initialisatie!$C$5,12,31)) - MAX($F$2, DATE(Initialisatie!$C$5,1,1)) + 1) &gt; 0, IFERROR(VALUE($F165),0)=0),
        AND(MAX(0, MIN($G$1, DATE(Initialisatie!$C$5,12,31)) - MAX($G$2, DATE(Initialisatie!$C$5,1,1)) + 1) &gt; 0, IFERROR(VALUE($G165),0)=0)
    ),
    0,
    SUM(
        IFERROR(VALUE($F165),0) * MAX(0, MIN($F$1, DATE(Initialisatie!$C$5,12,31)) - MAX($F$2, DATE(Initialisatie!$C$5,1,1)) + 1),
        IFERROR(VALUE($G165),0) * MAX(0, MIN($G$1, DATE(Initialisatie!$C$5,12,31)) - MAX($G$2, DATE(Initialisatie!$C$5,1,1)) + 1)
    ) / (DATE(Initialisatie!$C$5,12,31) - DATE(Initialisatie!$C$5,1,1) + 1)
)</f>
        <v>5307</v>
      </c>
    </row>
    <row r="166" spans="1:9" x14ac:dyDescent="0.45">
      <c r="A166" s="988"/>
      <c r="B166" s="35">
        <v>4</v>
      </c>
      <c r="C166" s="35">
        <v>48</v>
      </c>
      <c r="D166" s="35">
        <v>4</v>
      </c>
      <c r="E166" s="35" t="s">
        <v>443</v>
      </c>
      <c r="F166">
        <v>5257</v>
      </c>
      <c r="G166">
        <v>5467</v>
      </c>
      <c r="I166">
        <f>IF(
    OR(
        AND(MAX(0, MIN($F$1, DATE(Initialisatie!$C$5,12,31)) - MAX($F$2, DATE(Initialisatie!$C$5,1,1)) + 1) &gt; 0, IFERROR(VALUE($F166),0)=0),
        AND(MAX(0, MIN($G$1, DATE(Initialisatie!$C$5,12,31)) - MAX($G$2, DATE(Initialisatie!$C$5,1,1)) + 1) &gt; 0, IFERROR(VALUE($G166),0)=0)
    ),
    0,
    SUM(
        IFERROR(VALUE($F166),0) * MAX(0, MIN($F$1, DATE(Initialisatie!$C$5,12,31)) - MAX($F$2, DATE(Initialisatie!$C$5,1,1)) + 1),
        IFERROR(VALUE($G166),0) * MAX(0, MIN($G$1, DATE(Initialisatie!$C$5,12,31)) - MAX($G$2, DATE(Initialisatie!$C$5,1,1)) + 1)
    ) / (DATE(Initialisatie!$C$5,12,31) - DATE(Initialisatie!$C$5,1,1) + 1)
)</f>
        <v>5467</v>
      </c>
    </row>
    <row r="167" spans="1:9" x14ac:dyDescent="0.45">
      <c r="A167" s="988"/>
      <c r="B167" s="35">
        <v>5</v>
      </c>
      <c r="C167" s="35">
        <v>50</v>
      </c>
      <c r="D167" s="35">
        <v>5</v>
      </c>
      <c r="E167" s="35" t="s">
        <v>444</v>
      </c>
      <c r="F167">
        <v>5413</v>
      </c>
      <c r="G167">
        <v>5629</v>
      </c>
      <c r="I167">
        <f>IF(
    OR(
        AND(MAX(0, MIN($F$1, DATE(Initialisatie!$C$5,12,31)) - MAX($F$2, DATE(Initialisatie!$C$5,1,1)) + 1) &gt; 0, IFERROR(VALUE($F167),0)=0),
        AND(MAX(0, MIN($G$1, DATE(Initialisatie!$C$5,12,31)) - MAX($G$2, DATE(Initialisatie!$C$5,1,1)) + 1) &gt; 0, IFERROR(VALUE($G167),0)=0)
    ),
    0,
    SUM(
        IFERROR(VALUE($F167),0) * MAX(0, MIN($F$1, DATE(Initialisatie!$C$5,12,31)) - MAX($F$2, DATE(Initialisatie!$C$5,1,1)) + 1),
        IFERROR(VALUE($G167),0) * MAX(0, MIN($G$1, DATE(Initialisatie!$C$5,12,31)) - MAX($G$2, DATE(Initialisatie!$C$5,1,1)) + 1)
    ) / (DATE(Initialisatie!$C$5,12,31) - DATE(Initialisatie!$C$5,1,1) + 1)
)</f>
        <v>5629</v>
      </c>
    </row>
    <row r="168" spans="1:9" x14ac:dyDescent="0.45">
      <c r="A168" s="988"/>
      <c r="B168" s="35">
        <v>6</v>
      </c>
      <c r="C168" s="35">
        <v>52</v>
      </c>
      <c r="D168" s="35">
        <v>6</v>
      </c>
      <c r="E168" s="35" t="s">
        <v>445</v>
      </c>
      <c r="F168">
        <v>5567</v>
      </c>
      <c r="G168">
        <v>5790</v>
      </c>
      <c r="I168">
        <f>IF(
    OR(
        AND(MAX(0, MIN($F$1, DATE(Initialisatie!$C$5,12,31)) - MAX($F$2, DATE(Initialisatie!$C$5,1,1)) + 1) &gt; 0, IFERROR(VALUE($F168),0)=0),
        AND(MAX(0, MIN($G$1, DATE(Initialisatie!$C$5,12,31)) - MAX($G$2, DATE(Initialisatie!$C$5,1,1)) + 1) &gt; 0, IFERROR(VALUE($G168),0)=0)
    ),
    0,
    SUM(
        IFERROR(VALUE($F168),0) * MAX(0, MIN($F$1, DATE(Initialisatie!$C$5,12,31)) - MAX($F$2, DATE(Initialisatie!$C$5,1,1)) + 1),
        IFERROR(VALUE($G168),0) * MAX(0, MIN($G$1, DATE(Initialisatie!$C$5,12,31)) - MAX($G$2, DATE(Initialisatie!$C$5,1,1)) + 1)
    ) / (DATE(Initialisatie!$C$5,12,31) - DATE(Initialisatie!$C$5,1,1) + 1)
)</f>
        <v>5790</v>
      </c>
    </row>
    <row r="169" spans="1:9" x14ac:dyDescent="0.45">
      <c r="A169" s="988"/>
      <c r="B169" s="35">
        <v>7</v>
      </c>
      <c r="C169" s="35">
        <v>54</v>
      </c>
      <c r="D169" s="35">
        <v>7</v>
      </c>
      <c r="E169" s="35" t="s">
        <v>446</v>
      </c>
      <c r="F169">
        <v>5722</v>
      </c>
      <c r="G169">
        <v>5951</v>
      </c>
      <c r="I169">
        <f>IF(
    OR(
        AND(MAX(0, MIN($F$1, DATE(Initialisatie!$C$5,12,31)) - MAX($F$2, DATE(Initialisatie!$C$5,1,1)) + 1) &gt; 0, IFERROR(VALUE($F169),0)=0),
        AND(MAX(0, MIN($G$1, DATE(Initialisatie!$C$5,12,31)) - MAX($G$2, DATE(Initialisatie!$C$5,1,1)) + 1) &gt; 0, IFERROR(VALUE($G169),0)=0)
    ),
    0,
    SUM(
        IFERROR(VALUE($F169),0) * MAX(0, MIN($F$1, DATE(Initialisatie!$C$5,12,31)) - MAX($F$2, DATE(Initialisatie!$C$5,1,1)) + 1),
        IFERROR(VALUE($G169),0) * MAX(0, MIN($G$1, DATE(Initialisatie!$C$5,12,31)) - MAX($G$2, DATE(Initialisatie!$C$5,1,1)) + 1)
    ) / (DATE(Initialisatie!$C$5,12,31) - DATE(Initialisatie!$C$5,1,1) + 1)
)</f>
        <v>5951</v>
      </c>
    </row>
    <row r="170" spans="1:9" x14ac:dyDescent="0.45">
      <c r="A170" s="988"/>
      <c r="B170" s="35">
        <v>8</v>
      </c>
      <c r="C170" s="35">
        <v>56</v>
      </c>
      <c r="D170" s="35">
        <v>8</v>
      </c>
      <c r="E170" s="35" t="s">
        <v>447</v>
      </c>
      <c r="F170">
        <v>5879</v>
      </c>
      <c r="G170">
        <v>6114</v>
      </c>
      <c r="I170">
        <f>IF(
    OR(
        AND(MAX(0, MIN($F$1, DATE(Initialisatie!$C$5,12,31)) - MAX($F$2, DATE(Initialisatie!$C$5,1,1)) + 1) &gt; 0, IFERROR(VALUE($F170),0)=0),
        AND(MAX(0, MIN($G$1, DATE(Initialisatie!$C$5,12,31)) - MAX($G$2, DATE(Initialisatie!$C$5,1,1)) + 1) &gt; 0, IFERROR(VALUE($G170),0)=0)
    ),
    0,
    SUM(
        IFERROR(VALUE($F170),0) * MAX(0, MIN($F$1, DATE(Initialisatie!$C$5,12,31)) - MAX($F$2, DATE(Initialisatie!$C$5,1,1)) + 1),
        IFERROR(VALUE($G170),0) * MAX(0, MIN($G$1, DATE(Initialisatie!$C$5,12,31)) - MAX($G$2, DATE(Initialisatie!$C$5,1,1)) + 1)
    ) / (DATE(Initialisatie!$C$5,12,31) - DATE(Initialisatie!$C$5,1,1) + 1)
)</f>
        <v>6114</v>
      </c>
    </row>
    <row r="171" spans="1:9" x14ac:dyDescent="0.45">
      <c r="A171" s="988"/>
      <c r="B171" s="35">
        <v>9</v>
      </c>
      <c r="C171" s="35">
        <v>57</v>
      </c>
      <c r="D171" s="35">
        <v>9</v>
      </c>
      <c r="E171" s="35" t="s">
        <v>448</v>
      </c>
      <c r="F171">
        <v>5954</v>
      </c>
      <c r="G171">
        <v>6192</v>
      </c>
      <c r="I171">
        <f>IF(
    OR(
        AND(MAX(0, MIN($F$1, DATE(Initialisatie!$C$5,12,31)) - MAX($F$2, DATE(Initialisatie!$C$5,1,1)) + 1) &gt; 0, IFERROR(VALUE($F171),0)=0),
        AND(MAX(0, MIN($G$1, DATE(Initialisatie!$C$5,12,31)) - MAX($G$2, DATE(Initialisatie!$C$5,1,1)) + 1) &gt; 0, IFERROR(VALUE($G171),0)=0)
    ),
    0,
    SUM(
        IFERROR(VALUE($F171),0) * MAX(0, MIN($F$1, DATE(Initialisatie!$C$5,12,31)) - MAX($F$2, DATE(Initialisatie!$C$5,1,1)) + 1),
        IFERROR(VALUE($G171),0) * MAX(0, MIN($G$1, DATE(Initialisatie!$C$5,12,31)) - MAX($G$2, DATE(Initialisatie!$C$5,1,1)) + 1)
    ) / (DATE(Initialisatie!$C$5,12,31) - DATE(Initialisatie!$C$5,1,1) + 1)
)</f>
        <v>6192</v>
      </c>
    </row>
    <row r="172" spans="1:9" x14ac:dyDescent="0.45">
      <c r="A172" s="988"/>
      <c r="B172" s="35">
        <v>10</v>
      </c>
      <c r="C172" s="35">
        <v>58</v>
      </c>
      <c r="D172" s="35">
        <v>10</v>
      </c>
      <c r="E172" s="35" t="s">
        <v>449</v>
      </c>
      <c r="F172">
        <v>6031</v>
      </c>
      <c r="G172">
        <v>6271</v>
      </c>
      <c r="I172">
        <f>IF(
    OR(
        AND(MAX(0, MIN($F$1, DATE(Initialisatie!$C$5,12,31)) - MAX($F$2, DATE(Initialisatie!$C$5,1,1)) + 1) &gt; 0, IFERROR(VALUE($F172),0)=0),
        AND(MAX(0, MIN($G$1, DATE(Initialisatie!$C$5,12,31)) - MAX($G$2, DATE(Initialisatie!$C$5,1,1)) + 1) &gt; 0, IFERROR(VALUE($G172),0)=0)
    ),
    0,
    SUM(
        IFERROR(VALUE($F172),0) * MAX(0, MIN($F$1, DATE(Initialisatie!$C$5,12,31)) - MAX($F$2, DATE(Initialisatie!$C$5,1,1)) + 1),
        IFERROR(VALUE($G172),0) * MAX(0, MIN($G$1, DATE(Initialisatie!$C$5,12,31)) - MAX($G$2, DATE(Initialisatie!$C$5,1,1)) + 1)
    ) / (DATE(Initialisatie!$C$5,12,31) - DATE(Initialisatie!$C$5,1,1) + 1)
)</f>
        <v>6271</v>
      </c>
    </row>
    <row r="173" spans="1:9" x14ac:dyDescent="0.45">
      <c r="A173" s="988"/>
      <c r="B173" s="35">
        <v>11</v>
      </c>
      <c r="C173" s="35">
        <v>59</v>
      </c>
      <c r="D173" s="35">
        <v>11</v>
      </c>
      <c r="E173" s="35" t="s">
        <v>450</v>
      </c>
      <c r="F173">
        <v>6111</v>
      </c>
      <c r="G173">
        <v>6351</v>
      </c>
      <c r="I173">
        <f>IF(
    OR(
        AND(MAX(0, MIN($F$1, DATE(Initialisatie!$C$5,12,31)) - MAX($F$2, DATE(Initialisatie!$C$5,1,1)) + 1) &gt; 0, IFERROR(VALUE($F173),0)=0),
        AND(MAX(0, MIN($G$1, DATE(Initialisatie!$C$5,12,31)) - MAX($G$2, DATE(Initialisatie!$C$5,1,1)) + 1) &gt; 0, IFERROR(VALUE($G173),0)=0)
    ),
    0,
    SUM(
        IFERROR(VALUE($F173),0) * MAX(0, MIN($F$1, DATE(Initialisatie!$C$5,12,31)) - MAX($F$2, DATE(Initialisatie!$C$5,1,1)) + 1),
        IFERROR(VALUE($G173),0) * MAX(0, MIN($G$1, DATE(Initialisatie!$C$5,12,31)) - MAX($G$2, DATE(Initialisatie!$C$5,1,1)) + 1)
    ) / (DATE(Initialisatie!$C$5,12,31) - DATE(Initialisatie!$C$5,1,1) + 1)
)</f>
        <v>6351</v>
      </c>
    </row>
    <row r="174" spans="1:9" x14ac:dyDescent="0.45">
      <c r="A174" s="988"/>
      <c r="B174" s="35">
        <v>12</v>
      </c>
      <c r="C174" s="35">
        <v>60</v>
      </c>
      <c r="D174" s="35">
        <v>12</v>
      </c>
      <c r="E174" s="35" t="s">
        <v>451</v>
      </c>
      <c r="F174">
        <v>6187</v>
      </c>
      <c r="G174">
        <v>6427</v>
      </c>
      <c r="I174">
        <f>IF(
    OR(
        AND(MAX(0, MIN($F$1, DATE(Initialisatie!$C$5,12,31)) - MAX($F$2, DATE(Initialisatie!$C$5,1,1)) + 1) &gt; 0, IFERROR(VALUE($F174),0)=0),
        AND(MAX(0, MIN($G$1, DATE(Initialisatie!$C$5,12,31)) - MAX($G$2, DATE(Initialisatie!$C$5,1,1)) + 1) &gt; 0, IFERROR(VALUE($G174),0)=0)
    ),
    0,
    SUM(
        IFERROR(VALUE($F174),0) * MAX(0, MIN($F$1, DATE(Initialisatie!$C$5,12,31)) - MAX($F$2, DATE(Initialisatie!$C$5,1,1)) + 1),
        IFERROR(VALUE($G174),0) * MAX(0, MIN($G$1, DATE(Initialisatie!$C$5,12,31)) - MAX($G$2, DATE(Initialisatie!$C$5,1,1)) + 1)
    ) / (DATE(Initialisatie!$C$5,12,31) - DATE(Initialisatie!$C$5,1,1) + 1)
)</f>
        <v>6427</v>
      </c>
    </row>
    <row r="175" spans="1:9" x14ac:dyDescent="0.45">
      <c r="A175" s="988"/>
      <c r="B175" s="35">
        <v>13</v>
      </c>
      <c r="C175" s="35">
        <v>61</v>
      </c>
      <c r="D175" s="35">
        <v>13</v>
      </c>
      <c r="E175" s="35" t="s">
        <v>452</v>
      </c>
      <c r="F175">
        <v>6264</v>
      </c>
      <c r="G175">
        <v>6504</v>
      </c>
      <c r="I175">
        <f>IF(
    OR(
        AND(MAX(0, MIN($F$1, DATE(Initialisatie!$C$5,12,31)) - MAX($F$2, DATE(Initialisatie!$C$5,1,1)) + 1) &gt; 0, IFERROR(VALUE($F175),0)=0),
        AND(MAX(0, MIN($G$1, DATE(Initialisatie!$C$5,12,31)) - MAX($G$2, DATE(Initialisatie!$C$5,1,1)) + 1) &gt; 0, IFERROR(VALUE($G175),0)=0)
    ),
    0,
    SUM(
        IFERROR(VALUE($F175),0) * MAX(0, MIN($F$1, DATE(Initialisatie!$C$5,12,31)) - MAX($F$2, DATE(Initialisatie!$C$5,1,1)) + 1),
        IFERROR(VALUE($G175),0) * MAX(0, MIN($G$1, DATE(Initialisatie!$C$5,12,31)) - MAX($G$2, DATE(Initialisatie!$C$5,1,1)) + 1)
    ) / (DATE(Initialisatie!$C$5,12,31) - DATE(Initialisatie!$C$5,1,1) + 1)
)</f>
        <v>6504</v>
      </c>
    </row>
    <row r="176" spans="1:9" x14ac:dyDescent="0.45">
      <c r="A176" s="988">
        <v>69</v>
      </c>
      <c r="B176" s="35">
        <v>0</v>
      </c>
      <c r="C176" s="35">
        <v>42</v>
      </c>
      <c r="D176" s="35">
        <v>0</v>
      </c>
      <c r="E176" s="35" t="s">
        <v>453</v>
      </c>
      <c r="F176">
        <v>4785</v>
      </c>
      <c r="G176">
        <v>4977</v>
      </c>
      <c r="I176">
        <f>IF(
    OR(
        AND(MAX(0, MIN($F$1, DATE(Initialisatie!$C$5,12,31)) - MAX($F$2, DATE(Initialisatie!$C$5,1,1)) + 1) &gt; 0, IFERROR(VALUE($F176),0)=0),
        AND(MAX(0, MIN($G$1, DATE(Initialisatie!$C$5,12,31)) - MAX($G$2, DATE(Initialisatie!$C$5,1,1)) + 1) &gt; 0, IFERROR(VALUE($G176),0)=0)
    ),
    0,
    SUM(
        IFERROR(VALUE($F176),0) * MAX(0, MIN($F$1, DATE(Initialisatie!$C$5,12,31)) - MAX($F$2, DATE(Initialisatie!$C$5,1,1)) + 1),
        IFERROR(VALUE($G176),0) * MAX(0, MIN($G$1, DATE(Initialisatie!$C$5,12,31)) - MAX($G$2, DATE(Initialisatie!$C$5,1,1)) + 1)
    ) / (DATE(Initialisatie!$C$5,12,31) - DATE(Initialisatie!$C$5,1,1) + 1)
)</f>
        <v>4977</v>
      </c>
    </row>
    <row r="177" spans="1:9" x14ac:dyDescent="0.45">
      <c r="A177" s="988"/>
      <c r="B177" s="35">
        <v>1</v>
      </c>
      <c r="C177" s="35">
        <v>44</v>
      </c>
      <c r="D177" s="35">
        <v>1</v>
      </c>
      <c r="E177" s="35" t="s">
        <v>454</v>
      </c>
      <c r="F177">
        <v>4953</v>
      </c>
      <c r="G177">
        <v>5151</v>
      </c>
      <c r="I177">
        <f>IF(
    OR(
        AND(MAX(0, MIN($F$1, DATE(Initialisatie!$C$5,12,31)) - MAX($F$2, DATE(Initialisatie!$C$5,1,1)) + 1) &gt; 0, IFERROR(VALUE($F177),0)=0),
        AND(MAX(0, MIN($G$1, DATE(Initialisatie!$C$5,12,31)) - MAX($G$2, DATE(Initialisatie!$C$5,1,1)) + 1) &gt; 0, IFERROR(VALUE($G177),0)=0)
    ),
    0,
    SUM(
        IFERROR(VALUE($F177),0) * MAX(0, MIN($F$1, DATE(Initialisatie!$C$5,12,31)) - MAX($F$2, DATE(Initialisatie!$C$5,1,1)) + 1),
        IFERROR(VALUE($G177),0) * MAX(0, MIN($G$1, DATE(Initialisatie!$C$5,12,31)) - MAX($G$2, DATE(Initialisatie!$C$5,1,1)) + 1)
    ) / (DATE(Initialisatie!$C$5,12,31) - DATE(Initialisatie!$C$5,1,1) + 1)
)</f>
        <v>5151</v>
      </c>
    </row>
    <row r="178" spans="1:9" x14ac:dyDescent="0.45">
      <c r="A178" s="988"/>
      <c r="B178" s="35">
        <v>2</v>
      </c>
      <c r="C178" s="35">
        <v>46</v>
      </c>
      <c r="D178" s="35">
        <v>2</v>
      </c>
      <c r="E178" s="35" t="s">
        <v>455</v>
      </c>
      <c r="F178">
        <v>5103</v>
      </c>
      <c r="G178">
        <v>5307</v>
      </c>
      <c r="I178">
        <f>IF(
    OR(
        AND(MAX(0, MIN($F$1, DATE(Initialisatie!$C$5,12,31)) - MAX($F$2, DATE(Initialisatie!$C$5,1,1)) + 1) &gt; 0, IFERROR(VALUE($F178),0)=0),
        AND(MAX(0, MIN($G$1, DATE(Initialisatie!$C$5,12,31)) - MAX($G$2, DATE(Initialisatie!$C$5,1,1)) + 1) &gt; 0, IFERROR(VALUE($G178),0)=0)
    ),
    0,
    SUM(
        IFERROR(VALUE($F178),0) * MAX(0, MIN($F$1, DATE(Initialisatie!$C$5,12,31)) - MAX($F$2, DATE(Initialisatie!$C$5,1,1)) + 1),
        IFERROR(VALUE($G178),0) * MAX(0, MIN($G$1, DATE(Initialisatie!$C$5,12,31)) - MAX($G$2, DATE(Initialisatie!$C$5,1,1)) + 1)
    ) / (DATE(Initialisatie!$C$5,12,31) - DATE(Initialisatie!$C$5,1,1) + 1)
)</f>
        <v>5307</v>
      </c>
    </row>
    <row r="179" spans="1:9" x14ac:dyDescent="0.45">
      <c r="A179" s="988"/>
      <c r="B179" s="35">
        <v>3</v>
      </c>
      <c r="C179" s="35">
        <v>48</v>
      </c>
      <c r="D179" s="35">
        <v>3</v>
      </c>
      <c r="E179" s="35" t="s">
        <v>456</v>
      </c>
      <c r="F179">
        <v>5257</v>
      </c>
      <c r="G179">
        <v>5467</v>
      </c>
      <c r="I179">
        <f>IF(
    OR(
        AND(MAX(0, MIN($F$1, DATE(Initialisatie!$C$5,12,31)) - MAX($F$2, DATE(Initialisatie!$C$5,1,1)) + 1) &gt; 0, IFERROR(VALUE($F179),0)=0),
        AND(MAX(0, MIN($G$1, DATE(Initialisatie!$C$5,12,31)) - MAX($G$2, DATE(Initialisatie!$C$5,1,1)) + 1) &gt; 0, IFERROR(VALUE($G179),0)=0)
    ),
    0,
    SUM(
        IFERROR(VALUE($F179),0) * MAX(0, MIN($F$1, DATE(Initialisatie!$C$5,12,31)) - MAX($F$2, DATE(Initialisatie!$C$5,1,1)) + 1),
        IFERROR(VALUE($G179),0) * MAX(0, MIN($G$1, DATE(Initialisatie!$C$5,12,31)) - MAX($G$2, DATE(Initialisatie!$C$5,1,1)) + 1)
    ) / (DATE(Initialisatie!$C$5,12,31) - DATE(Initialisatie!$C$5,1,1) + 1)
)</f>
        <v>5467</v>
      </c>
    </row>
    <row r="180" spans="1:9" x14ac:dyDescent="0.45">
      <c r="A180" s="988">
        <v>70</v>
      </c>
      <c r="B180" s="35">
        <v>0</v>
      </c>
      <c r="C180" s="35">
        <v>50</v>
      </c>
      <c r="D180" s="35">
        <v>0</v>
      </c>
      <c r="E180" s="35" t="s">
        <v>457</v>
      </c>
      <c r="F180">
        <v>5413</v>
      </c>
      <c r="G180">
        <v>5629</v>
      </c>
      <c r="I180">
        <f>IF(
    OR(
        AND(MAX(0, MIN($F$1, DATE(Initialisatie!$C$5,12,31)) - MAX($F$2, DATE(Initialisatie!$C$5,1,1)) + 1) &gt; 0, IFERROR(VALUE($F180),0)=0),
        AND(MAX(0, MIN($G$1, DATE(Initialisatie!$C$5,12,31)) - MAX($G$2, DATE(Initialisatie!$C$5,1,1)) + 1) &gt; 0, IFERROR(VALUE($G180),0)=0)
    ),
    0,
    SUM(
        IFERROR(VALUE($F180),0) * MAX(0, MIN($F$1, DATE(Initialisatie!$C$5,12,31)) - MAX($F$2, DATE(Initialisatie!$C$5,1,1)) + 1),
        IFERROR(VALUE($G180),0) * MAX(0, MIN($G$1, DATE(Initialisatie!$C$5,12,31)) - MAX($G$2, DATE(Initialisatie!$C$5,1,1)) + 1)
    ) / (DATE(Initialisatie!$C$5,12,31) - DATE(Initialisatie!$C$5,1,1) + 1)
)</f>
        <v>5629</v>
      </c>
    </row>
    <row r="181" spans="1:9" x14ac:dyDescent="0.45">
      <c r="A181" s="988"/>
      <c r="B181" s="35">
        <v>1</v>
      </c>
      <c r="C181" s="35">
        <v>53</v>
      </c>
      <c r="D181" s="35">
        <v>1</v>
      </c>
      <c r="E181" s="35" t="s">
        <v>458</v>
      </c>
      <c r="F181">
        <v>5647</v>
      </c>
      <c r="G181">
        <v>5873</v>
      </c>
      <c r="I181">
        <f>IF(
    OR(
        AND(MAX(0, MIN($F$1, DATE(Initialisatie!$C$5,12,31)) - MAX($F$2, DATE(Initialisatie!$C$5,1,1)) + 1) &gt; 0, IFERROR(VALUE($F181),0)=0),
        AND(MAX(0, MIN($G$1, DATE(Initialisatie!$C$5,12,31)) - MAX($G$2, DATE(Initialisatie!$C$5,1,1)) + 1) &gt; 0, IFERROR(VALUE($G181),0)=0)
    ),
    0,
    SUM(
        IFERROR(VALUE($F181),0) * MAX(0, MIN($F$1, DATE(Initialisatie!$C$5,12,31)) - MAX($F$2, DATE(Initialisatie!$C$5,1,1)) + 1),
        IFERROR(VALUE($G181),0) * MAX(0, MIN($G$1, DATE(Initialisatie!$C$5,12,31)) - MAX($G$2, DATE(Initialisatie!$C$5,1,1)) + 1)
    ) / (DATE(Initialisatie!$C$5,12,31) - DATE(Initialisatie!$C$5,1,1) + 1)
)</f>
        <v>5873</v>
      </c>
    </row>
    <row r="182" spans="1:9" x14ac:dyDescent="0.45">
      <c r="A182" s="988"/>
      <c r="B182" s="35">
        <v>2</v>
      </c>
      <c r="C182" s="35">
        <v>56</v>
      </c>
      <c r="D182" s="35">
        <v>2</v>
      </c>
      <c r="E182" s="35" t="s">
        <v>459</v>
      </c>
      <c r="F182">
        <v>5879</v>
      </c>
      <c r="G182">
        <v>6114</v>
      </c>
      <c r="I182">
        <f>IF(
    OR(
        AND(MAX(0, MIN($F$1, DATE(Initialisatie!$C$5,12,31)) - MAX($F$2, DATE(Initialisatie!$C$5,1,1)) + 1) &gt; 0, IFERROR(VALUE($F182),0)=0),
        AND(MAX(0, MIN($G$1, DATE(Initialisatie!$C$5,12,31)) - MAX($G$2, DATE(Initialisatie!$C$5,1,1)) + 1) &gt; 0, IFERROR(VALUE($G182),0)=0)
    ),
    0,
    SUM(
        IFERROR(VALUE($F182),0) * MAX(0, MIN($F$1, DATE(Initialisatie!$C$5,12,31)) - MAX($F$2, DATE(Initialisatie!$C$5,1,1)) + 1),
        IFERROR(VALUE($G182),0) * MAX(0, MIN($G$1, DATE(Initialisatie!$C$5,12,31)) - MAX($G$2, DATE(Initialisatie!$C$5,1,1)) + 1)
    ) / (DATE(Initialisatie!$C$5,12,31) - DATE(Initialisatie!$C$5,1,1) + 1)
)</f>
        <v>6114</v>
      </c>
    </row>
    <row r="183" spans="1:9" x14ac:dyDescent="0.45">
      <c r="A183" s="988"/>
      <c r="B183" s="35">
        <v>3</v>
      </c>
      <c r="C183" s="35">
        <v>59</v>
      </c>
      <c r="D183" s="35">
        <v>3</v>
      </c>
      <c r="E183" s="35" t="s">
        <v>460</v>
      </c>
      <c r="F183">
        <v>6111</v>
      </c>
      <c r="G183">
        <v>6351</v>
      </c>
      <c r="I183">
        <f>IF(
    OR(
        AND(MAX(0, MIN($F$1, DATE(Initialisatie!$C$5,12,31)) - MAX($F$2, DATE(Initialisatie!$C$5,1,1)) + 1) &gt; 0, IFERROR(VALUE($F183),0)=0),
        AND(MAX(0, MIN($G$1, DATE(Initialisatie!$C$5,12,31)) - MAX($G$2, DATE(Initialisatie!$C$5,1,1)) + 1) &gt; 0, IFERROR(VALUE($G183),0)=0)
    ),
    0,
    SUM(
        IFERROR(VALUE($F183),0) * MAX(0, MIN($F$1, DATE(Initialisatie!$C$5,12,31)) - MAX($F$2, DATE(Initialisatie!$C$5,1,1)) + 1),
        IFERROR(VALUE($G183),0) * MAX(0, MIN($G$1, DATE(Initialisatie!$C$5,12,31)) - MAX($G$2, DATE(Initialisatie!$C$5,1,1)) + 1)
    ) / (DATE(Initialisatie!$C$5,12,31) - DATE(Initialisatie!$C$5,1,1) + 1)
)</f>
        <v>6351</v>
      </c>
    </row>
    <row r="184" spans="1:9" x14ac:dyDescent="0.45">
      <c r="A184" s="988"/>
      <c r="B184" s="35">
        <v>4</v>
      </c>
      <c r="C184" s="35">
        <v>62</v>
      </c>
      <c r="D184" s="35">
        <v>4</v>
      </c>
      <c r="E184" s="35" t="s">
        <v>461</v>
      </c>
      <c r="F184">
        <v>6343</v>
      </c>
      <c r="G184">
        <v>6583</v>
      </c>
      <c r="I184">
        <f>IF(
    OR(
        AND(MAX(0, MIN($F$1, DATE(Initialisatie!$C$5,12,31)) - MAX($F$2, DATE(Initialisatie!$C$5,1,1)) + 1) &gt; 0, IFERROR(VALUE($F184),0)=0),
        AND(MAX(0, MIN($G$1, DATE(Initialisatie!$C$5,12,31)) - MAX($G$2, DATE(Initialisatie!$C$5,1,1)) + 1) &gt; 0, IFERROR(VALUE($G184),0)=0)
    ),
    0,
    SUM(
        IFERROR(VALUE($F184),0) * MAX(0, MIN($F$1, DATE(Initialisatie!$C$5,12,31)) - MAX($F$2, DATE(Initialisatie!$C$5,1,1)) + 1),
        IFERROR(VALUE($G184),0) * MAX(0, MIN($G$1, DATE(Initialisatie!$C$5,12,31)) - MAX($G$2, DATE(Initialisatie!$C$5,1,1)) + 1)
    ) / (DATE(Initialisatie!$C$5,12,31) - DATE(Initialisatie!$C$5,1,1) + 1)
)</f>
        <v>6583</v>
      </c>
    </row>
    <row r="185" spans="1:9" x14ac:dyDescent="0.45">
      <c r="A185" s="988"/>
      <c r="B185" s="35">
        <v>5</v>
      </c>
      <c r="C185" s="35">
        <v>64</v>
      </c>
      <c r="D185" s="35">
        <v>5</v>
      </c>
      <c r="E185" s="35" t="s">
        <v>462</v>
      </c>
      <c r="F185">
        <v>6495</v>
      </c>
      <c r="G185">
        <v>6735</v>
      </c>
      <c r="I185">
        <f>IF(
    OR(
        AND(MAX(0, MIN($F$1, DATE(Initialisatie!$C$5,12,31)) - MAX($F$2, DATE(Initialisatie!$C$5,1,1)) + 1) &gt; 0, IFERROR(VALUE($F185),0)=0),
        AND(MAX(0, MIN($G$1, DATE(Initialisatie!$C$5,12,31)) - MAX($G$2, DATE(Initialisatie!$C$5,1,1)) + 1) &gt; 0, IFERROR(VALUE($G185),0)=0)
    ),
    0,
    SUM(
        IFERROR(VALUE($F185),0) * MAX(0, MIN($F$1, DATE(Initialisatie!$C$5,12,31)) - MAX($F$2, DATE(Initialisatie!$C$5,1,1)) + 1),
        IFERROR(VALUE($G185),0) * MAX(0, MIN($G$1, DATE(Initialisatie!$C$5,12,31)) - MAX($G$2, DATE(Initialisatie!$C$5,1,1)) + 1)
    ) / (DATE(Initialisatie!$C$5,12,31) - DATE(Initialisatie!$C$5,1,1) + 1)
)</f>
        <v>6735</v>
      </c>
    </row>
    <row r="186" spans="1:9" x14ac:dyDescent="0.45">
      <c r="A186" s="988"/>
      <c r="B186" s="35">
        <v>6</v>
      </c>
      <c r="C186" s="35">
        <v>66</v>
      </c>
      <c r="D186" s="35">
        <v>6</v>
      </c>
      <c r="E186" s="35" t="s">
        <v>463</v>
      </c>
      <c r="F186">
        <v>6679</v>
      </c>
      <c r="G186">
        <v>6919</v>
      </c>
      <c r="I186">
        <f>IF(
    OR(
        AND(MAX(0, MIN($F$1, DATE(Initialisatie!$C$5,12,31)) - MAX($F$2, DATE(Initialisatie!$C$5,1,1)) + 1) &gt; 0, IFERROR(VALUE($F186),0)=0),
        AND(MAX(0, MIN($G$1, DATE(Initialisatie!$C$5,12,31)) - MAX($G$2, DATE(Initialisatie!$C$5,1,1)) + 1) &gt; 0, IFERROR(VALUE($G186),0)=0)
    ),
    0,
    SUM(
        IFERROR(VALUE($F186),0) * MAX(0, MIN($F$1, DATE(Initialisatie!$C$5,12,31)) - MAX($F$2, DATE(Initialisatie!$C$5,1,1)) + 1),
        IFERROR(VALUE($G186),0) * MAX(0, MIN($G$1, DATE(Initialisatie!$C$5,12,31)) - MAX($G$2, DATE(Initialisatie!$C$5,1,1)) + 1)
    ) / (DATE(Initialisatie!$C$5,12,31) - DATE(Initialisatie!$C$5,1,1) + 1)
)</f>
        <v>6919</v>
      </c>
    </row>
    <row r="187" spans="1:9" x14ac:dyDescent="0.45">
      <c r="A187" s="988"/>
      <c r="B187" s="35">
        <v>7</v>
      </c>
      <c r="C187" s="35">
        <v>68</v>
      </c>
      <c r="D187" s="35">
        <v>7</v>
      </c>
      <c r="E187" s="35" t="s">
        <v>464</v>
      </c>
      <c r="F187">
        <v>6864</v>
      </c>
      <c r="G187">
        <v>7104</v>
      </c>
      <c r="I187">
        <f>IF(
    OR(
        AND(MAX(0, MIN($F$1, DATE(Initialisatie!$C$5,12,31)) - MAX($F$2, DATE(Initialisatie!$C$5,1,1)) + 1) &gt; 0, IFERROR(VALUE($F187),0)=0),
        AND(MAX(0, MIN($G$1, DATE(Initialisatie!$C$5,12,31)) - MAX($G$2, DATE(Initialisatie!$C$5,1,1)) + 1) &gt; 0, IFERROR(VALUE($G187),0)=0)
    ),
    0,
    SUM(
        IFERROR(VALUE($F187),0) * MAX(0, MIN($F$1, DATE(Initialisatie!$C$5,12,31)) - MAX($F$2, DATE(Initialisatie!$C$5,1,1)) + 1),
        IFERROR(VALUE($G187),0) * MAX(0, MIN($G$1, DATE(Initialisatie!$C$5,12,31)) - MAX($G$2, DATE(Initialisatie!$C$5,1,1)) + 1)
    ) / (DATE(Initialisatie!$C$5,12,31) - DATE(Initialisatie!$C$5,1,1) + 1)
)</f>
        <v>7104</v>
      </c>
    </row>
    <row r="188" spans="1:9" x14ac:dyDescent="0.45">
      <c r="A188" s="988"/>
      <c r="B188" s="35">
        <v>8</v>
      </c>
      <c r="C188" s="35">
        <v>70</v>
      </c>
      <c r="D188" s="35">
        <v>8</v>
      </c>
      <c r="E188" s="35" t="s">
        <v>465</v>
      </c>
      <c r="F188">
        <v>7048</v>
      </c>
      <c r="G188">
        <v>7288</v>
      </c>
      <c r="I188">
        <f>IF(
    OR(
        AND(MAX(0, MIN($F$1, DATE(Initialisatie!$C$5,12,31)) - MAX($F$2, DATE(Initialisatie!$C$5,1,1)) + 1) &gt; 0, IFERROR(VALUE($F188),0)=0),
        AND(MAX(0, MIN($G$1, DATE(Initialisatie!$C$5,12,31)) - MAX($G$2, DATE(Initialisatie!$C$5,1,1)) + 1) &gt; 0, IFERROR(VALUE($G188),0)=0)
    ),
    0,
    SUM(
        IFERROR(VALUE($F188),0) * MAX(0, MIN($F$1, DATE(Initialisatie!$C$5,12,31)) - MAX($F$2, DATE(Initialisatie!$C$5,1,1)) + 1),
        IFERROR(VALUE($G188),0) * MAX(0, MIN($G$1, DATE(Initialisatie!$C$5,12,31)) - MAX($G$2, DATE(Initialisatie!$C$5,1,1)) + 1)
    ) / (DATE(Initialisatie!$C$5,12,31) - DATE(Initialisatie!$C$5,1,1) + 1)
)</f>
        <v>7288</v>
      </c>
    </row>
    <row r="189" spans="1:9" x14ac:dyDescent="0.45">
      <c r="A189" s="988"/>
      <c r="B189" s="35">
        <v>9</v>
      </c>
      <c r="C189" s="35">
        <v>71</v>
      </c>
      <c r="D189" s="35">
        <v>9</v>
      </c>
      <c r="E189" s="35" t="s">
        <v>466</v>
      </c>
      <c r="F189">
        <v>7140</v>
      </c>
      <c r="G189">
        <v>7380</v>
      </c>
      <c r="I189">
        <f>IF(
    OR(
        AND(MAX(0, MIN($F$1, DATE(Initialisatie!$C$5,12,31)) - MAX($F$2, DATE(Initialisatie!$C$5,1,1)) + 1) &gt; 0, IFERROR(VALUE($F189),0)=0),
        AND(MAX(0, MIN($G$1, DATE(Initialisatie!$C$5,12,31)) - MAX($G$2, DATE(Initialisatie!$C$5,1,1)) + 1) &gt; 0, IFERROR(VALUE($G189),0)=0)
    ),
    0,
    SUM(
        IFERROR(VALUE($F189),0) * MAX(0, MIN($F$1, DATE(Initialisatie!$C$5,12,31)) - MAX($F$2, DATE(Initialisatie!$C$5,1,1)) + 1),
        IFERROR(VALUE($G189),0) * MAX(0, MIN($G$1, DATE(Initialisatie!$C$5,12,31)) - MAX($G$2, DATE(Initialisatie!$C$5,1,1)) + 1)
    ) / (DATE(Initialisatie!$C$5,12,31) - DATE(Initialisatie!$C$5,1,1) + 1)
)</f>
        <v>7380</v>
      </c>
    </row>
    <row r="190" spans="1:9" x14ac:dyDescent="0.45">
      <c r="A190" s="988"/>
      <c r="B190" s="35">
        <v>10</v>
      </c>
      <c r="C190" s="35">
        <v>72</v>
      </c>
      <c r="D190" s="35">
        <v>10</v>
      </c>
      <c r="E190" s="35" t="s">
        <v>467</v>
      </c>
      <c r="F190">
        <v>7234</v>
      </c>
      <c r="G190">
        <v>7474</v>
      </c>
      <c r="I190">
        <f>IF(
    OR(
        AND(MAX(0, MIN($F$1, DATE(Initialisatie!$C$5,12,31)) - MAX($F$2, DATE(Initialisatie!$C$5,1,1)) + 1) &gt; 0, IFERROR(VALUE($F190),0)=0),
        AND(MAX(0, MIN($G$1, DATE(Initialisatie!$C$5,12,31)) - MAX($G$2, DATE(Initialisatie!$C$5,1,1)) + 1) &gt; 0, IFERROR(VALUE($G190),0)=0)
    ),
    0,
    SUM(
        IFERROR(VALUE($F190),0) * MAX(0, MIN($F$1, DATE(Initialisatie!$C$5,12,31)) - MAX($F$2, DATE(Initialisatie!$C$5,1,1)) + 1),
        IFERROR(VALUE($G190),0) * MAX(0, MIN($G$1, DATE(Initialisatie!$C$5,12,31)) - MAX($G$2, DATE(Initialisatie!$C$5,1,1)) + 1)
    ) / (DATE(Initialisatie!$C$5,12,31) - DATE(Initialisatie!$C$5,1,1) + 1)
)</f>
        <v>7474</v>
      </c>
    </row>
    <row r="191" spans="1:9" x14ac:dyDescent="0.45">
      <c r="A191" s="988"/>
      <c r="B191" s="35">
        <v>11</v>
      </c>
      <c r="C191" s="35">
        <v>73</v>
      </c>
      <c r="D191" s="35">
        <v>11</v>
      </c>
      <c r="E191" s="35" t="s">
        <v>468</v>
      </c>
      <c r="F191">
        <v>7326</v>
      </c>
      <c r="G191">
        <v>7566</v>
      </c>
      <c r="I191">
        <f>IF(
    OR(
        AND(MAX(0, MIN($F$1, DATE(Initialisatie!$C$5,12,31)) - MAX($F$2, DATE(Initialisatie!$C$5,1,1)) + 1) &gt; 0, IFERROR(VALUE($F191),0)=0),
        AND(MAX(0, MIN($G$1, DATE(Initialisatie!$C$5,12,31)) - MAX($G$2, DATE(Initialisatie!$C$5,1,1)) + 1) &gt; 0, IFERROR(VALUE($G191),0)=0)
    ),
    0,
    SUM(
        IFERROR(VALUE($F191),0) * MAX(0, MIN($F$1, DATE(Initialisatie!$C$5,12,31)) - MAX($F$2, DATE(Initialisatie!$C$5,1,1)) + 1),
        IFERROR(VALUE($G191),0) * MAX(0, MIN($G$1, DATE(Initialisatie!$C$5,12,31)) - MAX($G$2, DATE(Initialisatie!$C$5,1,1)) + 1)
    ) / (DATE(Initialisatie!$C$5,12,31) - DATE(Initialisatie!$C$5,1,1) + 1)
)</f>
        <v>7566</v>
      </c>
    </row>
    <row r="192" spans="1:9" x14ac:dyDescent="0.45">
      <c r="A192" s="988"/>
      <c r="B192" s="35">
        <v>12</v>
      </c>
      <c r="C192" s="35">
        <v>74</v>
      </c>
      <c r="D192" s="35">
        <v>12</v>
      </c>
      <c r="E192" s="35" t="s">
        <v>469</v>
      </c>
      <c r="F192">
        <v>7419</v>
      </c>
      <c r="G192">
        <v>7659</v>
      </c>
      <c r="I192">
        <f>IF(
    OR(
        AND(MAX(0, MIN($F$1, DATE(Initialisatie!$C$5,12,31)) - MAX($F$2, DATE(Initialisatie!$C$5,1,1)) + 1) &gt; 0, IFERROR(VALUE($F192),0)=0),
        AND(MAX(0, MIN($G$1, DATE(Initialisatie!$C$5,12,31)) - MAX($G$2, DATE(Initialisatie!$C$5,1,1)) + 1) &gt; 0, IFERROR(VALUE($G192),0)=0)
    ),
    0,
    SUM(
        IFERROR(VALUE($F192),0) * MAX(0, MIN($F$1, DATE(Initialisatie!$C$5,12,31)) - MAX($F$2, DATE(Initialisatie!$C$5,1,1)) + 1),
        IFERROR(VALUE($G192),0) * MAX(0, MIN($G$1, DATE(Initialisatie!$C$5,12,31)) - MAX($G$2, DATE(Initialisatie!$C$5,1,1)) + 1)
    ) / (DATE(Initialisatie!$C$5,12,31) - DATE(Initialisatie!$C$5,1,1) + 1)
)</f>
        <v>7659</v>
      </c>
    </row>
    <row r="193" spans="1:9" x14ac:dyDescent="0.45">
      <c r="A193" s="988">
        <v>74</v>
      </c>
      <c r="B193" s="35">
        <v>0</v>
      </c>
      <c r="C193" s="35">
        <v>54</v>
      </c>
      <c r="D193" s="35">
        <v>0</v>
      </c>
      <c r="E193" s="35" t="s">
        <v>470</v>
      </c>
      <c r="F193">
        <v>5722</v>
      </c>
      <c r="G193">
        <v>5951</v>
      </c>
      <c r="I193">
        <f>IF(
    OR(
        AND(MAX(0, MIN($F$1, DATE(Initialisatie!$C$5,12,31)) - MAX($F$2, DATE(Initialisatie!$C$5,1,1)) + 1) &gt; 0, IFERROR(VALUE($F193),0)=0),
        AND(MAX(0, MIN($G$1, DATE(Initialisatie!$C$5,12,31)) - MAX($G$2, DATE(Initialisatie!$C$5,1,1)) + 1) &gt; 0, IFERROR(VALUE($G193),0)=0)
    ),
    0,
    SUM(
        IFERROR(VALUE($F193),0) * MAX(0, MIN($F$1, DATE(Initialisatie!$C$5,12,31)) - MAX($F$2, DATE(Initialisatie!$C$5,1,1)) + 1),
        IFERROR(VALUE($G193),0) * MAX(0, MIN($G$1, DATE(Initialisatie!$C$5,12,31)) - MAX($G$2, DATE(Initialisatie!$C$5,1,1)) + 1)
    ) / (DATE(Initialisatie!$C$5,12,31) - DATE(Initialisatie!$C$5,1,1) + 1)
)</f>
        <v>5951</v>
      </c>
    </row>
    <row r="194" spans="1:9" x14ac:dyDescent="0.45">
      <c r="A194" s="988"/>
      <c r="B194" s="35">
        <v>1</v>
      </c>
      <c r="C194" s="35">
        <v>56</v>
      </c>
      <c r="D194" s="35">
        <v>1</v>
      </c>
      <c r="E194" s="35" t="s">
        <v>471</v>
      </c>
      <c r="F194">
        <v>5879</v>
      </c>
      <c r="G194">
        <v>6114</v>
      </c>
      <c r="I194">
        <f>IF(
    OR(
        AND(MAX(0, MIN($F$1, DATE(Initialisatie!$C$5,12,31)) - MAX($F$2, DATE(Initialisatie!$C$5,1,1)) + 1) &gt; 0, IFERROR(VALUE($F194),0)=0),
        AND(MAX(0, MIN($G$1, DATE(Initialisatie!$C$5,12,31)) - MAX($G$2, DATE(Initialisatie!$C$5,1,1)) + 1) &gt; 0, IFERROR(VALUE($G194),0)=0)
    ),
    0,
    SUM(
        IFERROR(VALUE($F194),0) * MAX(0, MIN($F$1, DATE(Initialisatie!$C$5,12,31)) - MAX($F$2, DATE(Initialisatie!$C$5,1,1)) + 1),
        IFERROR(VALUE($G194),0) * MAX(0, MIN($G$1, DATE(Initialisatie!$C$5,12,31)) - MAX($G$2, DATE(Initialisatie!$C$5,1,1)) + 1)
    ) / (DATE(Initialisatie!$C$5,12,31) - DATE(Initialisatie!$C$5,1,1) + 1)
)</f>
        <v>6114</v>
      </c>
    </row>
    <row r="195" spans="1:9" x14ac:dyDescent="0.45">
      <c r="A195" s="988"/>
      <c r="B195" s="35">
        <v>2</v>
      </c>
      <c r="C195" s="35">
        <v>58</v>
      </c>
      <c r="D195" s="35">
        <v>2</v>
      </c>
      <c r="E195" s="35" t="s">
        <v>472</v>
      </c>
      <c r="F195">
        <v>6031</v>
      </c>
      <c r="G195">
        <v>6271</v>
      </c>
      <c r="I195">
        <f>IF(
    OR(
        AND(MAX(0, MIN($F$1, DATE(Initialisatie!$C$5,12,31)) - MAX($F$2, DATE(Initialisatie!$C$5,1,1)) + 1) &gt; 0, IFERROR(VALUE($F195),0)=0),
        AND(MAX(0, MIN($G$1, DATE(Initialisatie!$C$5,12,31)) - MAX($G$2, DATE(Initialisatie!$C$5,1,1)) + 1) &gt; 0, IFERROR(VALUE($G195),0)=0)
    ),
    0,
    SUM(
        IFERROR(VALUE($F195),0) * MAX(0, MIN($F$1, DATE(Initialisatie!$C$5,12,31)) - MAX($F$2, DATE(Initialisatie!$C$5,1,1)) + 1),
        IFERROR(VALUE($G195),0) * MAX(0, MIN($G$1, DATE(Initialisatie!$C$5,12,31)) - MAX($G$2, DATE(Initialisatie!$C$5,1,1)) + 1)
    ) / (DATE(Initialisatie!$C$5,12,31) - DATE(Initialisatie!$C$5,1,1) + 1)
)</f>
        <v>6271</v>
      </c>
    </row>
    <row r="196" spans="1:9" x14ac:dyDescent="0.45">
      <c r="A196" s="988"/>
      <c r="B196" s="35">
        <v>3</v>
      </c>
      <c r="C196" s="35">
        <v>60</v>
      </c>
      <c r="D196" s="35">
        <v>3</v>
      </c>
      <c r="E196" s="35" t="s">
        <v>473</v>
      </c>
      <c r="F196">
        <v>6187</v>
      </c>
      <c r="G196">
        <v>6427</v>
      </c>
      <c r="I196">
        <f>IF(
    OR(
        AND(MAX(0, MIN($F$1, DATE(Initialisatie!$C$5,12,31)) - MAX($F$2, DATE(Initialisatie!$C$5,1,1)) + 1) &gt; 0, IFERROR(VALUE($F196),0)=0),
        AND(MAX(0, MIN($G$1, DATE(Initialisatie!$C$5,12,31)) - MAX($G$2, DATE(Initialisatie!$C$5,1,1)) + 1) &gt; 0, IFERROR(VALUE($G196),0)=0)
    ),
    0,
    SUM(
        IFERROR(VALUE($F196),0) * MAX(0, MIN($F$1, DATE(Initialisatie!$C$5,12,31)) - MAX($F$2, DATE(Initialisatie!$C$5,1,1)) + 1),
        IFERROR(VALUE($G196),0) * MAX(0, MIN($G$1, DATE(Initialisatie!$C$5,12,31)) - MAX($G$2, DATE(Initialisatie!$C$5,1,1)) + 1)
    ) / (DATE(Initialisatie!$C$5,12,31) - DATE(Initialisatie!$C$5,1,1) + 1)
)</f>
        <v>6427</v>
      </c>
    </row>
    <row r="197" spans="1:9" x14ac:dyDescent="0.45">
      <c r="A197" s="988">
        <v>75</v>
      </c>
      <c r="B197" s="35">
        <v>0</v>
      </c>
      <c r="C197" s="35">
        <v>62</v>
      </c>
      <c r="D197" s="35">
        <v>0</v>
      </c>
      <c r="E197" s="35" t="s">
        <v>474</v>
      </c>
      <c r="F197">
        <v>6343</v>
      </c>
      <c r="G197">
        <v>6583</v>
      </c>
      <c r="I197">
        <f>IF(
    OR(
        AND(MAX(0, MIN($F$1, DATE(Initialisatie!$C$5,12,31)) - MAX($F$2, DATE(Initialisatie!$C$5,1,1)) + 1) &gt; 0, IFERROR(VALUE($F197),0)=0),
        AND(MAX(0, MIN($G$1, DATE(Initialisatie!$C$5,12,31)) - MAX($G$2, DATE(Initialisatie!$C$5,1,1)) + 1) &gt; 0, IFERROR(VALUE($G197),0)=0)
    ),
    0,
    SUM(
        IFERROR(VALUE($F197),0) * MAX(0, MIN($F$1, DATE(Initialisatie!$C$5,12,31)) - MAX($F$2, DATE(Initialisatie!$C$5,1,1)) + 1),
        IFERROR(VALUE($G197),0) * MAX(0, MIN($G$1, DATE(Initialisatie!$C$5,12,31)) - MAX($G$2, DATE(Initialisatie!$C$5,1,1)) + 1)
    ) / (DATE(Initialisatie!$C$5,12,31) - DATE(Initialisatie!$C$5,1,1) + 1)
)</f>
        <v>6583</v>
      </c>
    </row>
    <row r="198" spans="1:9" x14ac:dyDescent="0.45">
      <c r="A198" s="988"/>
      <c r="B198" s="35">
        <v>1</v>
      </c>
      <c r="C198" s="35">
        <v>65</v>
      </c>
      <c r="D198" s="35">
        <v>1</v>
      </c>
      <c r="E198" s="35" t="s">
        <v>475</v>
      </c>
      <c r="F198">
        <v>6586</v>
      </c>
      <c r="G198">
        <v>6826</v>
      </c>
      <c r="I198">
        <f>IF(
    OR(
        AND(MAX(0, MIN($F$1, DATE(Initialisatie!$C$5,12,31)) - MAX($F$2, DATE(Initialisatie!$C$5,1,1)) + 1) &gt; 0, IFERROR(VALUE($F198),0)=0),
        AND(MAX(0, MIN($G$1, DATE(Initialisatie!$C$5,12,31)) - MAX($G$2, DATE(Initialisatie!$C$5,1,1)) + 1) &gt; 0, IFERROR(VALUE($G198),0)=0)
    ),
    0,
    SUM(
        IFERROR(VALUE($F198),0) * MAX(0, MIN($F$1, DATE(Initialisatie!$C$5,12,31)) - MAX($F$2, DATE(Initialisatie!$C$5,1,1)) + 1),
        IFERROR(VALUE($G198),0) * MAX(0, MIN($G$1, DATE(Initialisatie!$C$5,12,31)) - MAX($G$2, DATE(Initialisatie!$C$5,1,1)) + 1)
    ) / (DATE(Initialisatie!$C$5,12,31) - DATE(Initialisatie!$C$5,1,1) + 1)
)</f>
        <v>6826</v>
      </c>
    </row>
    <row r="199" spans="1:9" x14ac:dyDescent="0.45">
      <c r="A199" s="988"/>
      <c r="B199" s="35">
        <v>2</v>
      </c>
      <c r="C199" s="35">
        <v>68</v>
      </c>
      <c r="D199" s="35">
        <v>2</v>
      </c>
      <c r="E199" s="35" t="s">
        <v>476</v>
      </c>
      <c r="F199">
        <v>6864</v>
      </c>
      <c r="G199">
        <v>7104</v>
      </c>
      <c r="I199">
        <f>IF(
    OR(
        AND(MAX(0, MIN($F$1, DATE(Initialisatie!$C$5,12,31)) - MAX($F$2, DATE(Initialisatie!$C$5,1,1)) + 1) &gt; 0, IFERROR(VALUE($F199),0)=0),
        AND(MAX(0, MIN($G$1, DATE(Initialisatie!$C$5,12,31)) - MAX($G$2, DATE(Initialisatie!$C$5,1,1)) + 1) &gt; 0, IFERROR(VALUE($G199),0)=0)
    ),
    0,
    SUM(
        IFERROR(VALUE($F199),0) * MAX(0, MIN($F$1, DATE(Initialisatie!$C$5,12,31)) - MAX($F$2, DATE(Initialisatie!$C$5,1,1)) + 1),
        IFERROR(VALUE($G199),0) * MAX(0, MIN($G$1, DATE(Initialisatie!$C$5,12,31)) - MAX($G$2, DATE(Initialisatie!$C$5,1,1)) + 1)
    ) / (DATE(Initialisatie!$C$5,12,31) - DATE(Initialisatie!$C$5,1,1) + 1)
)</f>
        <v>7104</v>
      </c>
    </row>
    <row r="200" spans="1:9" x14ac:dyDescent="0.45">
      <c r="A200" s="988"/>
      <c r="B200" s="35">
        <v>3</v>
      </c>
      <c r="C200" s="35">
        <v>71</v>
      </c>
      <c r="D200" s="35">
        <v>3</v>
      </c>
      <c r="E200" s="35" t="s">
        <v>477</v>
      </c>
      <c r="F200">
        <v>7140</v>
      </c>
      <c r="G200">
        <v>7380</v>
      </c>
      <c r="I200">
        <f>IF(
    OR(
        AND(MAX(0, MIN($F$1, DATE(Initialisatie!$C$5,12,31)) - MAX($F$2, DATE(Initialisatie!$C$5,1,1)) + 1) &gt; 0, IFERROR(VALUE($F200),0)=0),
        AND(MAX(0, MIN($G$1, DATE(Initialisatie!$C$5,12,31)) - MAX($G$2, DATE(Initialisatie!$C$5,1,1)) + 1) &gt; 0, IFERROR(VALUE($G200),0)=0)
    ),
    0,
    SUM(
        IFERROR(VALUE($F200),0) * MAX(0, MIN($F$1, DATE(Initialisatie!$C$5,12,31)) - MAX($F$2, DATE(Initialisatie!$C$5,1,1)) + 1),
        IFERROR(VALUE($G200),0) * MAX(0, MIN($G$1, DATE(Initialisatie!$C$5,12,31)) - MAX($G$2, DATE(Initialisatie!$C$5,1,1)) + 1)
    ) / (DATE(Initialisatie!$C$5,12,31) - DATE(Initialisatie!$C$5,1,1) + 1)
)</f>
        <v>7380</v>
      </c>
    </row>
    <row r="201" spans="1:9" x14ac:dyDescent="0.45">
      <c r="A201" s="988"/>
      <c r="B201" s="35">
        <v>4</v>
      </c>
      <c r="C201" s="35">
        <v>74</v>
      </c>
      <c r="D201" s="35">
        <v>4</v>
      </c>
      <c r="E201" s="35" t="s">
        <v>478</v>
      </c>
      <c r="F201">
        <v>7419</v>
      </c>
      <c r="G201">
        <v>7659</v>
      </c>
      <c r="I201">
        <f>IF(
    OR(
        AND(MAX(0, MIN($F$1, DATE(Initialisatie!$C$5,12,31)) - MAX($F$2, DATE(Initialisatie!$C$5,1,1)) + 1) &gt; 0, IFERROR(VALUE($F201),0)=0),
        AND(MAX(0, MIN($G$1, DATE(Initialisatie!$C$5,12,31)) - MAX($G$2, DATE(Initialisatie!$C$5,1,1)) + 1) &gt; 0, IFERROR(VALUE($G201),0)=0)
    ),
    0,
    SUM(
        IFERROR(VALUE($F201),0) * MAX(0, MIN($F$1, DATE(Initialisatie!$C$5,12,31)) - MAX($F$2, DATE(Initialisatie!$C$5,1,1)) + 1),
        IFERROR(VALUE($G201),0) * MAX(0, MIN($G$1, DATE(Initialisatie!$C$5,12,31)) - MAX($G$2, DATE(Initialisatie!$C$5,1,1)) + 1)
    ) / (DATE(Initialisatie!$C$5,12,31) - DATE(Initialisatie!$C$5,1,1) + 1)
)</f>
        <v>7659</v>
      </c>
    </row>
    <row r="202" spans="1:9" x14ac:dyDescent="0.45">
      <c r="A202" s="988"/>
      <c r="B202" s="35">
        <v>5</v>
      </c>
      <c r="C202" s="35">
        <v>76</v>
      </c>
      <c r="D202" s="35">
        <v>5</v>
      </c>
      <c r="E202" s="35" t="s">
        <v>479</v>
      </c>
      <c r="F202">
        <v>7604</v>
      </c>
      <c r="G202">
        <v>7844</v>
      </c>
      <c r="I202">
        <f>IF(
    OR(
        AND(MAX(0, MIN($F$1, DATE(Initialisatie!$C$5,12,31)) - MAX($F$2, DATE(Initialisatie!$C$5,1,1)) + 1) &gt; 0, IFERROR(VALUE($F202),0)=0),
        AND(MAX(0, MIN($G$1, DATE(Initialisatie!$C$5,12,31)) - MAX($G$2, DATE(Initialisatie!$C$5,1,1)) + 1) &gt; 0, IFERROR(VALUE($G202),0)=0)
    ),
    0,
    SUM(
        IFERROR(VALUE($F202),0) * MAX(0, MIN($F$1, DATE(Initialisatie!$C$5,12,31)) - MAX($F$2, DATE(Initialisatie!$C$5,1,1)) + 1),
        IFERROR(VALUE($G202),0) * MAX(0, MIN($G$1, DATE(Initialisatie!$C$5,12,31)) - MAX($G$2, DATE(Initialisatie!$C$5,1,1)) + 1)
    ) / (DATE(Initialisatie!$C$5,12,31) - DATE(Initialisatie!$C$5,1,1) + 1)
)</f>
        <v>7844</v>
      </c>
    </row>
    <row r="203" spans="1:9" x14ac:dyDescent="0.45">
      <c r="A203" s="988"/>
      <c r="B203" s="35">
        <v>6</v>
      </c>
      <c r="C203" s="35">
        <v>78</v>
      </c>
      <c r="D203" s="35">
        <v>6</v>
      </c>
      <c r="E203" s="35" t="s">
        <v>480</v>
      </c>
      <c r="F203">
        <v>7798</v>
      </c>
      <c r="G203">
        <v>8038</v>
      </c>
      <c r="I203">
        <f>IF(
    OR(
        AND(MAX(0, MIN($F$1, DATE(Initialisatie!$C$5,12,31)) - MAX($F$2, DATE(Initialisatie!$C$5,1,1)) + 1) &gt; 0, IFERROR(VALUE($F203),0)=0),
        AND(MAX(0, MIN($G$1, DATE(Initialisatie!$C$5,12,31)) - MAX($G$2, DATE(Initialisatie!$C$5,1,1)) + 1) &gt; 0, IFERROR(VALUE($G203),0)=0)
    ),
    0,
    SUM(
        IFERROR(VALUE($F203),0) * MAX(0, MIN($F$1, DATE(Initialisatie!$C$5,12,31)) - MAX($F$2, DATE(Initialisatie!$C$5,1,1)) + 1),
        IFERROR(VALUE($G203),0) * MAX(0, MIN($G$1, DATE(Initialisatie!$C$5,12,31)) - MAX($G$2, DATE(Initialisatie!$C$5,1,1)) + 1)
    ) / (DATE(Initialisatie!$C$5,12,31) - DATE(Initialisatie!$C$5,1,1) + 1)
)</f>
        <v>8038</v>
      </c>
    </row>
    <row r="204" spans="1:9" x14ac:dyDescent="0.45">
      <c r="A204" s="988"/>
      <c r="B204" s="35">
        <v>7</v>
      </c>
      <c r="C204" s="35">
        <v>80</v>
      </c>
      <c r="D204" s="35">
        <v>7</v>
      </c>
      <c r="E204" s="35" t="s">
        <v>481</v>
      </c>
      <c r="F204">
        <v>8004</v>
      </c>
      <c r="G204">
        <v>8244</v>
      </c>
      <c r="I204">
        <f>IF(
    OR(
        AND(MAX(0, MIN($F$1, DATE(Initialisatie!$C$5,12,31)) - MAX($F$2, DATE(Initialisatie!$C$5,1,1)) + 1) &gt; 0, IFERROR(VALUE($F204),0)=0),
        AND(MAX(0, MIN($G$1, DATE(Initialisatie!$C$5,12,31)) - MAX($G$2, DATE(Initialisatie!$C$5,1,1)) + 1) &gt; 0, IFERROR(VALUE($G204),0)=0)
    ),
    0,
    SUM(
        IFERROR(VALUE($F204),0) * MAX(0, MIN($F$1, DATE(Initialisatie!$C$5,12,31)) - MAX($F$2, DATE(Initialisatie!$C$5,1,1)) + 1),
        IFERROR(VALUE($G204),0) * MAX(0, MIN($G$1, DATE(Initialisatie!$C$5,12,31)) - MAX($G$2, DATE(Initialisatie!$C$5,1,1)) + 1)
    ) / (DATE(Initialisatie!$C$5,12,31) - DATE(Initialisatie!$C$5,1,1) + 1)
)</f>
        <v>8244</v>
      </c>
    </row>
    <row r="205" spans="1:9" x14ac:dyDescent="0.45">
      <c r="A205" s="988"/>
      <c r="B205" s="35">
        <v>8</v>
      </c>
      <c r="C205" s="35">
        <v>82</v>
      </c>
      <c r="D205" s="35">
        <v>8</v>
      </c>
      <c r="E205" s="35" t="s">
        <v>482</v>
      </c>
      <c r="F205">
        <v>8212</v>
      </c>
      <c r="G205">
        <v>8452</v>
      </c>
      <c r="I205">
        <f>IF(
    OR(
        AND(MAX(0, MIN($F$1, DATE(Initialisatie!$C$5,12,31)) - MAX($F$2, DATE(Initialisatie!$C$5,1,1)) + 1) &gt; 0, IFERROR(VALUE($F205),0)=0),
        AND(MAX(0, MIN($G$1, DATE(Initialisatie!$C$5,12,31)) - MAX($G$2, DATE(Initialisatie!$C$5,1,1)) + 1) &gt; 0, IFERROR(VALUE($G205),0)=0)
    ),
    0,
    SUM(
        IFERROR(VALUE($F205),0) * MAX(0, MIN($F$1, DATE(Initialisatie!$C$5,12,31)) - MAX($F$2, DATE(Initialisatie!$C$5,1,1)) + 1),
        IFERROR(VALUE($G205),0) * MAX(0, MIN($G$1, DATE(Initialisatie!$C$5,12,31)) - MAX($G$2, DATE(Initialisatie!$C$5,1,1)) + 1)
    ) / (DATE(Initialisatie!$C$5,12,31) - DATE(Initialisatie!$C$5,1,1) + 1)
)</f>
        <v>8452</v>
      </c>
    </row>
    <row r="206" spans="1:9" x14ac:dyDescent="0.45">
      <c r="A206" s="988"/>
      <c r="B206" s="35">
        <v>9</v>
      </c>
      <c r="C206" s="35">
        <v>83</v>
      </c>
      <c r="D206" s="35">
        <v>9</v>
      </c>
      <c r="E206" s="35" t="s">
        <v>483</v>
      </c>
      <c r="F206">
        <v>8314</v>
      </c>
      <c r="G206">
        <v>8554</v>
      </c>
      <c r="I206">
        <f>IF(
    OR(
        AND(MAX(0, MIN($F$1, DATE(Initialisatie!$C$5,12,31)) - MAX($F$2, DATE(Initialisatie!$C$5,1,1)) + 1) &gt; 0, IFERROR(VALUE($F206),0)=0),
        AND(MAX(0, MIN($G$1, DATE(Initialisatie!$C$5,12,31)) - MAX($G$2, DATE(Initialisatie!$C$5,1,1)) + 1) &gt; 0, IFERROR(VALUE($G206),0)=0)
    ),
    0,
    SUM(
        IFERROR(VALUE($F206),0) * MAX(0, MIN($F$1, DATE(Initialisatie!$C$5,12,31)) - MAX($F$2, DATE(Initialisatie!$C$5,1,1)) + 1),
        IFERROR(VALUE($G206),0) * MAX(0, MIN($G$1, DATE(Initialisatie!$C$5,12,31)) - MAX($G$2, DATE(Initialisatie!$C$5,1,1)) + 1)
    ) / (DATE(Initialisatie!$C$5,12,31) - DATE(Initialisatie!$C$5,1,1) + 1)
)</f>
        <v>8554</v>
      </c>
    </row>
    <row r="207" spans="1:9" x14ac:dyDescent="0.45">
      <c r="A207" s="988"/>
      <c r="B207" s="35">
        <v>10</v>
      </c>
      <c r="C207" s="35">
        <v>84</v>
      </c>
      <c r="D207" s="35">
        <v>10</v>
      </c>
      <c r="E207" s="35" t="s">
        <v>484</v>
      </c>
      <c r="F207">
        <v>8418</v>
      </c>
      <c r="G207">
        <v>8658</v>
      </c>
      <c r="I207">
        <f>IF(
    OR(
        AND(MAX(0, MIN($F$1, DATE(Initialisatie!$C$5,12,31)) - MAX($F$2, DATE(Initialisatie!$C$5,1,1)) + 1) &gt; 0, IFERROR(VALUE($F207),0)=0),
        AND(MAX(0, MIN($G$1, DATE(Initialisatie!$C$5,12,31)) - MAX($G$2, DATE(Initialisatie!$C$5,1,1)) + 1) &gt; 0, IFERROR(VALUE($G207),0)=0)
    ),
    0,
    SUM(
        IFERROR(VALUE($F207),0) * MAX(0, MIN($F$1, DATE(Initialisatie!$C$5,12,31)) - MAX($F$2, DATE(Initialisatie!$C$5,1,1)) + 1),
        IFERROR(VALUE($G207),0) * MAX(0, MIN($G$1, DATE(Initialisatie!$C$5,12,31)) - MAX($G$2, DATE(Initialisatie!$C$5,1,1)) + 1)
    ) / (DATE(Initialisatie!$C$5,12,31) - DATE(Initialisatie!$C$5,1,1) + 1)
)</f>
        <v>8658</v>
      </c>
    </row>
    <row r="208" spans="1:9" x14ac:dyDescent="0.45">
      <c r="A208" s="988"/>
      <c r="B208" s="35">
        <v>11</v>
      </c>
      <c r="C208" s="35">
        <v>85</v>
      </c>
      <c r="D208" s="35">
        <v>11</v>
      </c>
      <c r="E208" s="35" t="s">
        <v>485</v>
      </c>
      <c r="F208">
        <v>8538</v>
      </c>
      <c r="G208">
        <v>8778</v>
      </c>
      <c r="I208">
        <f>IF(
    OR(
        AND(MAX(0, MIN($F$1, DATE(Initialisatie!$C$5,12,31)) - MAX($F$2, DATE(Initialisatie!$C$5,1,1)) + 1) &gt; 0, IFERROR(VALUE($F208),0)=0),
        AND(MAX(0, MIN($G$1, DATE(Initialisatie!$C$5,12,31)) - MAX($G$2, DATE(Initialisatie!$C$5,1,1)) + 1) &gt; 0, IFERROR(VALUE($G208),0)=0)
    ),
    0,
    SUM(
        IFERROR(VALUE($F208),0) * MAX(0, MIN($F$1, DATE(Initialisatie!$C$5,12,31)) - MAX($F$2, DATE(Initialisatie!$C$5,1,1)) + 1),
        IFERROR(VALUE($G208),0) * MAX(0, MIN($G$1, DATE(Initialisatie!$C$5,12,31)) - MAX($G$2, DATE(Initialisatie!$C$5,1,1)) + 1)
    ) / (DATE(Initialisatie!$C$5,12,31) - DATE(Initialisatie!$C$5,1,1) + 1)
)</f>
        <v>8778</v>
      </c>
    </row>
    <row r="209" spans="1:9" x14ac:dyDescent="0.45">
      <c r="A209" s="988"/>
      <c r="B209" s="35">
        <v>12</v>
      </c>
      <c r="C209" s="35">
        <v>86</v>
      </c>
      <c r="D209" s="35">
        <v>12</v>
      </c>
      <c r="E209" s="35" t="s">
        <v>486</v>
      </c>
      <c r="F209">
        <v>8662</v>
      </c>
      <c r="G209">
        <v>8902</v>
      </c>
      <c r="I209">
        <f>IF(
    OR(
        AND(MAX(0, MIN($F$1, DATE(Initialisatie!$C$5,12,31)) - MAX($F$2, DATE(Initialisatie!$C$5,1,1)) + 1) &gt; 0, IFERROR(VALUE($F209),0)=0),
        AND(MAX(0, MIN($G$1, DATE(Initialisatie!$C$5,12,31)) - MAX($G$2, DATE(Initialisatie!$C$5,1,1)) + 1) &gt; 0, IFERROR(VALUE($G209),0)=0)
    ),
    0,
    SUM(
        IFERROR(VALUE($F209),0) * MAX(0, MIN($F$1, DATE(Initialisatie!$C$5,12,31)) - MAX($F$2, DATE(Initialisatie!$C$5,1,1)) + 1),
        IFERROR(VALUE($G209),0) * MAX(0, MIN($G$1, DATE(Initialisatie!$C$5,12,31)) - MAX($G$2, DATE(Initialisatie!$C$5,1,1)) + 1)
    ) / (DATE(Initialisatie!$C$5,12,31) - DATE(Initialisatie!$C$5,1,1) + 1)
)</f>
        <v>8902</v>
      </c>
    </row>
    <row r="210" spans="1:9" x14ac:dyDescent="0.45">
      <c r="A210" s="988"/>
      <c r="B210" s="35">
        <v>13</v>
      </c>
      <c r="C210" s="35">
        <v>87</v>
      </c>
      <c r="D210" s="35">
        <v>13</v>
      </c>
      <c r="E210" s="35" t="s">
        <v>487</v>
      </c>
      <c r="F210">
        <v>8780</v>
      </c>
      <c r="G210">
        <v>9020</v>
      </c>
      <c r="I210">
        <f>IF(
    OR(
        AND(MAX(0, MIN($F$1, DATE(Initialisatie!$C$5,12,31)) - MAX($F$2, DATE(Initialisatie!$C$5,1,1)) + 1) &gt; 0, IFERROR(VALUE($F210),0)=0),
        AND(MAX(0, MIN($G$1, DATE(Initialisatie!$C$5,12,31)) - MAX($G$2, DATE(Initialisatie!$C$5,1,1)) + 1) &gt; 0, IFERROR(VALUE($G210),0)=0)
    ),
    0,
    SUM(
        IFERROR(VALUE($F210),0) * MAX(0, MIN($F$1, DATE(Initialisatie!$C$5,12,31)) - MAX($F$2, DATE(Initialisatie!$C$5,1,1)) + 1),
        IFERROR(VALUE($G210),0) * MAX(0, MIN($G$1, DATE(Initialisatie!$C$5,12,31)) - MAX($G$2, DATE(Initialisatie!$C$5,1,1)) + 1)
    ) / (DATE(Initialisatie!$C$5,12,31) - DATE(Initialisatie!$C$5,1,1) + 1)
)</f>
        <v>9020</v>
      </c>
    </row>
    <row r="211" spans="1:9" x14ac:dyDescent="0.45">
      <c r="A211" s="988"/>
      <c r="B211" s="35">
        <v>14</v>
      </c>
      <c r="C211" s="35">
        <v>88</v>
      </c>
      <c r="D211" s="35">
        <v>14</v>
      </c>
      <c r="E211" s="35" t="s">
        <v>488</v>
      </c>
      <c r="F211">
        <v>8903</v>
      </c>
      <c r="G211">
        <v>9143</v>
      </c>
      <c r="I211">
        <f>IF(
    OR(
        AND(MAX(0, MIN($F$1, DATE(Initialisatie!$C$5,12,31)) - MAX($F$2, DATE(Initialisatie!$C$5,1,1)) + 1) &gt; 0, IFERROR(VALUE($F211),0)=0),
        AND(MAX(0, MIN($G$1, DATE(Initialisatie!$C$5,12,31)) - MAX($G$2, DATE(Initialisatie!$C$5,1,1)) + 1) &gt; 0, IFERROR(VALUE($G211),0)=0)
    ),
    0,
    SUM(
        IFERROR(VALUE($F211),0) * MAX(0, MIN($F$1, DATE(Initialisatie!$C$5,12,31)) - MAX($F$2, DATE(Initialisatie!$C$5,1,1)) + 1),
        IFERROR(VALUE($G211),0) * MAX(0, MIN($G$1, DATE(Initialisatie!$C$5,12,31)) - MAX($G$2, DATE(Initialisatie!$C$5,1,1)) + 1)
    ) / (DATE(Initialisatie!$C$5,12,31) - DATE(Initialisatie!$C$5,1,1) + 1)
)</f>
        <v>9143</v>
      </c>
    </row>
    <row r="212" spans="1:9" x14ac:dyDescent="0.45">
      <c r="A212" s="988">
        <v>79</v>
      </c>
      <c r="B212" s="35">
        <v>0</v>
      </c>
      <c r="C212" s="35">
        <v>66</v>
      </c>
      <c r="D212" s="35">
        <v>0</v>
      </c>
      <c r="E212" s="35" t="s">
        <v>489</v>
      </c>
      <c r="F212">
        <v>6679</v>
      </c>
      <c r="G212">
        <v>6919</v>
      </c>
      <c r="I212">
        <f>IF(
    OR(
        AND(MAX(0, MIN($F$1, DATE(Initialisatie!$C$5,12,31)) - MAX($F$2, DATE(Initialisatie!$C$5,1,1)) + 1) &gt; 0, IFERROR(VALUE($F212),0)=0),
        AND(MAX(0, MIN($G$1, DATE(Initialisatie!$C$5,12,31)) - MAX($G$2, DATE(Initialisatie!$C$5,1,1)) + 1) &gt; 0, IFERROR(VALUE($G212),0)=0)
    ),
    0,
    SUM(
        IFERROR(VALUE($F212),0) * MAX(0, MIN($F$1, DATE(Initialisatie!$C$5,12,31)) - MAX($F$2, DATE(Initialisatie!$C$5,1,1)) + 1),
        IFERROR(VALUE($G212),0) * MAX(0, MIN($G$1, DATE(Initialisatie!$C$5,12,31)) - MAX($G$2, DATE(Initialisatie!$C$5,1,1)) + 1)
    ) / (DATE(Initialisatie!$C$5,12,31) - DATE(Initialisatie!$C$5,1,1) + 1)
)</f>
        <v>6919</v>
      </c>
    </row>
    <row r="213" spans="1:9" x14ac:dyDescent="0.45">
      <c r="A213" s="988"/>
      <c r="B213" s="35">
        <v>1</v>
      </c>
      <c r="C213" s="35">
        <v>68</v>
      </c>
      <c r="D213" s="35">
        <v>1</v>
      </c>
      <c r="E213" s="35" t="s">
        <v>490</v>
      </c>
      <c r="F213">
        <v>6864</v>
      </c>
      <c r="G213">
        <v>7104</v>
      </c>
      <c r="I213">
        <f>IF(
    OR(
        AND(MAX(0, MIN($F$1, DATE(Initialisatie!$C$5,12,31)) - MAX($F$2, DATE(Initialisatie!$C$5,1,1)) + 1) &gt; 0, IFERROR(VALUE($F213),0)=0),
        AND(MAX(0, MIN($G$1, DATE(Initialisatie!$C$5,12,31)) - MAX($G$2, DATE(Initialisatie!$C$5,1,1)) + 1) &gt; 0, IFERROR(VALUE($G213),0)=0)
    ),
    0,
    SUM(
        IFERROR(VALUE($F213),0) * MAX(0, MIN($F$1, DATE(Initialisatie!$C$5,12,31)) - MAX($F$2, DATE(Initialisatie!$C$5,1,1)) + 1),
        IFERROR(VALUE($G213),0) * MAX(0, MIN($G$1, DATE(Initialisatie!$C$5,12,31)) - MAX($G$2, DATE(Initialisatie!$C$5,1,1)) + 1)
    ) / (DATE(Initialisatie!$C$5,12,31) - DATE(Initialisatie!$C$5,1,1) + 1)
)</f>
        <v>7104</v>
      </c>
    </row>
    <row r="214" spans="1:9" x14ac:dyDescent="0.45">
      <c r="A214" s="988"/>
      <c r="B214" s="35">
        <v>2</v>
      </c>
      <c r="C214" s="35">
        <v>70</v>
      </c>
      <c r="D214" s="35">
        <v>2</v>
      </c>
      <c r="E214" s="35" t="s">
        <v>491</v>
      </c>
      <c r="F214">
        <v>7048</v>
      </c>
      <c r="G214">
        <v>7288</v>
      </c>
      <c r="I214">
        <f>IF(
    OR(
        AND(MAX(0, MIN($F$1, DATE(Initialisatie!$C$5,12,31)) - MAX($F$2, DATE(Initialisatie!$C$5,1,1)) + 1) &gt; 0, IFERROR(VALUE($F214),0)=0),
        AND(MAX(0, MIN($G$1, DATE(Initialisatie!$C$5,12,31)) - MAX($G$2, DATE(Initialisatie!$C$5,1,1)) + 1) &gt; 0, IFERROR(VALUE($G214),0)=0)
    ),
    0,
    SUM(
        IFERROR(VALUE($F214),0) * MAX(0, MIN($F$1, DATE(Initialisatie!$C$5,12,31)) - MAX($F$2, DATE(Initialisatie!$C$5,1,1)) + 1),
        IFERROR(VALUE($G214),0) * MAX(0, MIN($G$1, DATE(Initialisatie!$C$5,12,31)) - MAX($G$2, DATE(Initialisatie!$C$5,1,1)) + 1)
    ) / (DATE(Initialisatie!$C$5,12,31) - DATE(Initialisatie!$C$5,1,1) + 1)
)</f>
        <v>7288</v>
      </c>
    </row>
    <row r="215" spans="1:9" x14ac:dyDescent="0.45">
      <c r="A215" s="988"/>
      <c r="B215" s="35">
        <v>3</v>
      </c>
      <c r="C215" s="35">
        <v>72</v>
      </c>
      <c r="D215" s="35">
        <v>3</v>
      </c>
      <c r="E215" s="35" t="s">
        <v>492</v>
      </c>
      <c r="F215">
        <v>7234</v>
      </c>
      <c r="G215">
        <v>7474</v>
      </c>
      <c r="I215">
        <f>IF(
    OR(
        AND(MAX(0, MIN($F$1, DATE(Initialisatie!$C$5,12,31)) - MAX($F$2, DATE(Initialisatie!$C$5,1,1)) + 1) &gt; 0, IFERROR(VALUE($F215),0)=0),
        AND(MAX(0, MIN($G$1, DATE(Initialisatie!$C$5,12,31)) - MAX($G$2, DATE(Initialisatie!$C$5,1,1)) + 1) &gt; 0, IFERROR(VALUE($G215),0)=0)
    ),
    0,
    SUM(
        IFERROR(VALUE($F215),0) * MAX(0, MIN($F$1, DATE(Initialisatie!$C$5,12,31)) - MAX($F$2, DATE(Initialisatie!$C$5,1,1)) + 1),
        IFERROR(VALUE($G215),0) * MAX(0, MIN($G$1, DATE(Initialisatie!$C$5,12,31)) - MAX($G$2, DATE(Initialisatie!$C$5,1,1)) + 1)
    ) / (DATE(Initialisatie!$C$5,12,31) - DATE(Initialisatie!$C$5,1,1) + 1)
)</f>
        <v>7474</v>
      </c>
    </row>
    <row r="216" spans="1:9" x14ac:dyDescent="0.45">
      <c r="A216" s="988">
        <v>80</v>
      </c>
      <c r="B216" s="35">
        <v>0</v>
      </c>
      <c r="C216" s="35">
        <v>74</v>
      </c>
      <c r="D216" s="35">
        <v>0</v>
      </c>
      <c r="E216" s="35" t="s">
        <v>493</v>
      </c>
      <c r="F216">
        <v>7419</v>
      </c>
      <c r="G216">
        <v>7659</v>
      </c>
      <c r="I216">
        <f>IF(
    OR(
        AND(MAX(0, MIN($F$1, DATE(Initialisatie!$C$5,12,31)) - MAX($F$2, DATE(Initialisatie!$C$5,1,1)) + 1) &gt; 0, IFERROR(VALUE($F216),0)=0),
        AND(MAX(0, MIN($G$1, DATE(Initialisatie!$C$5,12,31)) - MAX($G$2, DATE(Initialisatie!$C$5,1,1)) + 1) &gt; 0, IFERROR(VALUE($G216),0)=0)
    ),
    0,
    SUM(
        IFERROR(VALUE($F216),0) * MAX(0, MIN($F$1, DATE(Initialisatie!$C$5,12,31)) - MAX($F$2, DATE(Initialisatie!$C$5,1,1)) + 1),
        IFERROR(VALUE($G216),0) * MAX(0, MIN($G$1, DATE(Initialisatie!$C$5,12,31)) - MAX($G$2, DATE(Initialisatie!$C$5,1,1)) + 1)
    ) / (DATE(Initialisatie!$C$5,12,31) - DATE(Initialisatie!$C$5,1,1) + 1)
)</f>
        <v>7659</v>
      </c>
    </row>
    <row r="217" spans="1:9" x14ac:dyDescent="0.45">
      <c r="A217" s="988"/>
      <c r="B217" s="35">
        <v>1</v>
      </c>
      <c r="C217" s="35">
        <v>77</v>
      </c>
      <c r="D217" s="35">
        <v>1</v>
      </c>
      <c r="E217" s="35" t="s">
        <v>494</v>
      </c>
      <c r="F217">
        <v>7696</v>
      </c>
      <c r="G217">
        <v>7936</v>
      </c>
      <c r="I217">
        <f>IF(
    OR(
        AND(MAX(0, MIN($F$1, DATE(Initialisatie!$C$5,12,31)) - MAX($F$2, DATE(Initialisatie!$C$5,1,1)) + 1) &gt; 0, IFERROR(VALUE($F217),0)=0),
        AND(MAX(0, MIN($G$1, DATE(Initialisatie!$C$5,12,31)) - MAX($G$2, DATE(Initialisatie!$C$5,1,1)) + 1) &gt; 0, IFERROR(VALUE($G217),0)=0)
    ),
    0,
    SUM(
        IFERROR(VALUE($F217),0) * MAX(0, MIN($F$1, DATE(Initialisatie!$C$5,12,31)) - MAX($F$2, DATE(Initialisatie!$C$5,1,1)) + 1),
        IFERROR(VALUE($G217),0) * MAX(0, MIN($G$1, DATE(Initialisatie!$C$5,12,31)) - MAX($G$2, DATE(Initialisatie!$C$5,1,1)) + 1)
    ) / (DATE(Initialisatie!$C$5,12,31) - DATE(Initialisatie!$C$5,1,1) + 1)
)</f>
        <v>7936</v>
      </c>
    </row>
    <row r="218" spans="1:9" x14ac:dyDescent="0.45">
      <c r="A218" s="988"/>
      <c r="B218" s="35">
        <v>2</v>
      </c>
      <c r="C218" s="35">
        <v>80</v>
      </c>
      <c r="D218" s="35">
        <v>2</v>
      </c>
      <c r="E218" s="35" t="s">
        <v>495</v>
      </c>
      <c r="F218">
        <v>8004</v>
      </c>
      <c r="G218">
        <v>8244</v>
      </c>
      <c r="I218">
        <f>IF(
    OR(
        AND(MAX(0, MIN($F$1, DATE(Initialisatie!$C$5,12,31)) - MAX($F$2, DATE(Initialisatie!$C$5,1,1)) + 1) &gt; 0, IFERROR(VALUE($F218),0)=0),
        AND(MAX(0, MIN($G$1, DATE(Initialisatie!$C$5,12,31)) - MAX($G$2, DATE(Initialisatie!$C$5,1,1)) + 1) &gt; 0, IFERROR(VALUE($G218),0)=0)
    ),
    0,
    SUM(
        IFERROR(VALUE($F218),0) * MAX(0, MIN($F$1, DATE(Initialisatie!$C$5,12,31)) - MAX($F$2, DATE(Initialisatie!$C$5,1,1)) + 1),
        IFERROR(VALUE($G218),0) * MAX(0, MIN($G$1, DATE(Initialisatie!$C$5,12,31)) - MAX($G$2, DATE(Initialisatie!$C$5,1,1)) + 1)
    ) / (DATE(Initialisatie!$C$5,12,31) - DATE(Initialisatie!$C$5,1,1) + 1)
)</f>
        <v>8244</v>
      </c>
    </row>
    <row r="219" spans="1:9" x14ac:dyDescent="0.45">
      <c r="A219" s="988"/>
      <c r="B219" s="35">
        <v>3</v>
      </c>
      <c r="C219" s="35">
        <v>83</v>
      </c>
      <c r="D219" s="35">
        <v>3</v>
      </c>
      <c r="E219" s="35" t="s">
        <v>496</v>
      </c>
      <c r="F219">
        <v>8314</v>
      </c>
      <c r="G219">
        <v>8554</v>
      </c>
      <c r="I219">
        <f>IF(
    OR(
        AND(MAX(0, MIN($F$1, DATE(Initialisatie!$C$5,12,31)) - MAX($F$2, DATE(Initialisatie!$C$5,1,1)) + 1) &gt; 0, IFERROR(VALUE($F219),0)=0),
        AND(MAX(0, MIN($G$1, DATE(Initialisatie!$C$5,12,31)) - MAX($G$2, DATE(Initialisatie!$C$5,1,1)) + 1) &gt; 0, IFERROR(VALUE($G219),0)=0)
    ),
    0,
    SUM(
        IFERROR(VALUE($F219),0) * MAX(0, MIN($F$1, DATE(Initialisatie!$C$5,12,31)) - MAX($F$2, DATE(Initialisatie!$C$5,1,1)) + 1),
        IFERROR(VALUE($G219),0) * MAX(0, MIN($G$1, DATE(Initialisatie!$C$5,12,31)) - MAX($G$2, DATE(Initialisatie!$C$5,1,1)) + 1)
    ) / (DATE(Initialisatie!$C$5,12,31) - DATE(Initialisatie!$C$5,1,1) + 1)
)</f>
        <v>8554</v>
      </c>
    </row>
    <row r="220" spans="1:9" x14ac:dyDescent="0.45">
      <c r="A220" s="988"/>
      <c r="B220" s="35">
        <v>4</v>
      </c>
      <c r="C220" s="35">
        <v>86</v>
      </c>
      <c r="D220" s="35">
        <v>4</v>
      </c>
      <c r="E220" s="35" t="s">
        <v>497</v>
      </c>
      <c r="F220">
        <v>8662</v>
      </c>
      <c r="G220">
        <v>8902</v>
      </c>
      <c r="I220">
        <f>IF(
    OR(
        AND(MAX(0, MIN($F$1, DATE(Initialisatie!$C$5,12,31)) - MAX($F$2, DATE(Initialisatie!$C$5,1,1)) + 1) &gt; 0, IFERROR(VALUE($F220),0)=0),
        AND(MAX(0, MIN($G$1, DATE(Initialisatie!$C$5,12,31)) - MAX($G$2, DATE(Initialisatie!$C$5,1,1)) + 1) &gt; 0, IFERROR(VALUE($G220),0)=0)
    ),
    0,
    SUM(
        IFERROR(VALUE($F220),0) * MAX(0, MIN($F$1, DATE(Initialisatie!$C$5,12,31)) - MAX($F$2, DATE(Initialisatie!$C$5,1,1)) + 1),
        IFERROR(VALUE($G220),0) * MAX(0, MIN($G$1, DATE(Initialisatie!$C$5,12,31)) - MAX($G$2, DATE(Initialisatie!$C$5,1,1)) + 1)
    ) / (DATE(Initialisatie!$C$5,12,31) - DATE(Initialisatie!$C$5,1,1) + 1)
)</f>
        <v>8902</v>
      </c>
    </row>
    <row r="221" spans="1:9" x14ac:dyDescent="0.45">
      <c r="A221" s="988"/>
      <c r="B221" s="35">
        <v>5</v>
      </c>
      <c r="C221" s="35">
        <v>88</v>
      </c>
      <c r="D221" s="35">
        <v>5</v>
      </c>
      <c r="E221" s="35" t="s">
        <v>498</v>
      </c>
      <c r="F221">
        <v>8903</v>
      </c>
      <c r="G221">
        <v>9143</v>
      </c>
      <c r="I221">
        <f>IF(
    OR(
        AND(MAX(0, MIN($F$1, DATE(Initialisatie!$C$5,12,31)) - MAX($F$2, DATE(Initialisatie!$C$5,1,1)) + 1) &gt; 0, IFERROR(VALUE($F221),0)=0),
        AND(MAX(0, MIN($G$1, DATE(Initialisatie!$C$5,12,31)) - MAX($G$2, DATE(Initialisatie!$C$5,1,1)) + 1) &gt; 0, IFERROR(VALUE($G221),0)=0)
    ),
    0,
    SUM(
        IFERROR(VALUE($F221),0) * MAX(0, MIN($F$1, DATE(Initialisatie!$C$5,12,31)) - MAX($F$2, DATE(Initialisatie!$C$5,1,1)) + 1),
        IFERROR(VALUE($G221),0) * MAX(0, MIN($G$1, DATE(Initialisatie!$C$5,12,31)) - MAX($G$2, DATE(Initialisatie!$C$5,1,1)) + 1)
    ) / (DATE(Initialisatie!$C$5,12,31) - DATE(Initialisatie!$C$5,1,1) + 1)
)</f>
        <v>9143</v>
      </c>
    </row>
    <row r="222" spans="1:9" x14ac:dyDescent="0.45">
      <c r="A222" s="988"/>
      <c r="B222" s="35">
        <v>6</v>
      </c>
      <c r="C222" s="35">
        <v>90</v>
      </c>
      <c r="D222" s="35">
        <v>6</v>
      </c>
      <c r="E222" s="35" t="s">
        <v>499</v>
      </c>
      <c r="F222">
        <v>9143</v>
      </c>
      <c r="G222">
        <v>9383</v>
      </c>
      <c r="I222">
        <f>IF(
    OR(
        AND(MAX(0, MIN($F$1, DATE(Initialisatie!$C$5,12,31)) - MAX($F$2, DATE(Initialisatie!$C$5,1,1)) + 1) &gt; 0, IFERROR(VALUE($F222),0)=0),
        AND(MAX(0, MIN($G$1, DATE(Initialisatie!$C$5,12,31)) - MAX($G$2, DATE(Initialisatie!$C$5,1,1)) + 1) &gt; 0, IFERROR(VALUE($G222),0)=0)
    ),
    0,
    SUM(
        IFERROR(VALUE($F222),0) * MAX(0, MIN($F$1, DATE(Initialisatie!$C$5,12,31)) - MAX($F$2, DATE(Initialisatie!$C$5,1,1)) + 1),
        IFERROR(VALUE($G222),0) * MAX(0, MIN($G$1, DATE(Initialisatie!$C$5,12,31)) - MAX($G$2, DATE(Initialisatie!$C$5,1,1)) + 1)
    ) / (DATE(Initialisatie!$C$5,12,31) - DATE(Initialisatie!$C$5,1,1) + 1)
)</f>
        <v>9383</v>
      </c>
    </row>
    <row r="223" spans="1:9" x14ac:dyDescent="0.45">
      <c r="A223" s="988"/>
      <c r="B223" s="35">
        <v>7</v>
      </c>
      <c r="C223" s="35">
        <v>92</v>
      </c>
      <c r="D223" s="35">
        <v>7</v>
      </c>
      <c r="E223" s="35" t="s">
        <v>500</v>
      </c>
      <c r="F223">
        <v>9385</v>
      </c>
      <c r="G223">
        <v>9625</v>
      </c>
      <c r="I223">
        <f>IF(
    OR(
        AND(MAX(0, MIN($F$1, DATE(Initialisatie!$C$5,12,31)) - MAX($F$2, DATE(Initialisatie!$C$5,1,1)) + 1) &gt; 0, IFERROR(VALUE($F223),0)=0),
        AND(MAX(0, MIN($G$1, DATE(Initialisatie!$C$5,12,31)) - MAX($G$2, DATE(Initialisatie!$C$5,1,1)) + 1) &gt; 0, IFERROR(VALUE($G223),0)=0)
    ),
    0,
    SUM(
        IFERROR(VALUE($F223),0) * MAX(0, MIN($F$1, DATE(Initialisatie!$C$5,12,31)) - MAX($F$2, DATE(Initialisatie!$C$5,1,1)) + 1),
        IFERROR(VALUE($G223),0) * MAX(0, MIN($G$1, DATE(Initialisatie!$C$5,12,31)) - MAX($G$2, DATE(Initialisatie!$C$5,1,1)) + 1)
    ) / (DATE(Initialisatie!$C$5,12,31) - DATE(Initialisatie!$C$5,1,1) + 1)
)</f>
        <v>9625</v>
      </c>
    </row>
    <row r="224" spans="1:9" x14ac:dyDescent="0.45">
      <c r="A224" s="988"/>
      <c r="B224" s="35">
        <v>8</v>
      </c>
      <c r="C224" s="35">
        <v>94</v>
      </c>
      <c r="D224" s="35">
        <v>8</v>
      </c>
      <c r="E224" s="35" t="s">
        <v>501</v>
      </c>
      <c r="F224">
        <v>9628</v>
      </c>
      <c r="G224">
        <v>9868</v>
      </c>
      <c r="I224">
        <f>IF(
    OR(
        AND(MAX(0, MIN($F$1, DATE(Initialisatie!$C$5,12,31)) - MAX($F$2, DATE(Initialisatie!$C$5,1,1)) + 1) &gt; 0, IFERROR(VALUE($F224),0)=0),
        AND(MAX(0, MIN($G$1, DATE(Initialisatie!$C$5,12,31)) - MAX($G$2, DATE(Initialisatie!$C$5,1,1)) + 1) &gt; 0, IFERROR(VALUE($G224),0)=0)
    ),
    0,
    SUM(
        IFERROR(VALUE($F224),0) * MAX(0, MIN($F$1, DATE(Initialisatie!$C$5,12,31)) - MAX($F$2, DATE(Initialisatie!$C$5,1,1)) + 1),
        IFERROR(VALUE($G224),0) * MAX(0, MIN($G$1, DATE(Initialisatie!$C$5,12,31)) - MAX($G$2, DATE(Initialisatie!$C$5,1,1)) + 1)
    ) / (DATE(Initialisatie!$C$5,12,31) - DATE(Initialisatie!$C$5,1,1) + 1)
)</f>
        <v>9868</v>
      </c>
    </row>
    <row r="225" spans="1:9" x14ac:dyDescent="0.45">
      <c r="A225" s="988"/>
      <c r="B225" s="35">
        <v>9</v>
      </c>
      <c r="C225" s="35">
        <v>95</v>
      </c>
      <c r="D225" s="35">
        <v>9</v>
      </c>
      <c r="E225" s="35" t="s">
        <v>502</v>
      </c>
      <c r="F225">
        <v>9750</v>
      </c>
      <c r="G225">
        <v>9990</v>
      </c>
      <c r="I225">
        <f>IF(
    OR(
        AND(MAX(0, MIN($F$1, DATE(Initialisatie!$C$5,12,31)) - MAX($F$2, DATE(Initialisatie!$C$5,1,1)) + 1) &gt; 0, IFERROR(VALUE($F225),0)=0),
        AND(MAX(0, MIN($G$1, DATE(Initialisatie!$C$5,12,31)) - MAX($G$2, DATE(Initialisatie!$C$5,1,1)) + 1) &gt; 0, IFERROR(VALUE($G225),0)=0)
    ),
    0,
    SUM(
        IFERROR(VALUE($F225),0) * MAX(0, MIN($F$1, DATE(Initialisatie!$C$5,12,31)) - MAX($F$2, DATE(Initialisatie!$C$5,1,1)) + 1),
        IFERROR(VALUE($G225),0) * MAX(0, MIN($G$1, DATE(Initialisatie!$C$5,12,31)) - MAX($G$2, DATE(Initialisatie!$C$5,1,1)) + 1)
    ) / (DATE(Initialisatie!$C$5,12,31) - DATE(Initialisatie!$C$5,1,1) + 1)
)</f>
        <v>9990</v>
      </c>
    </row>
    <row r="226" spans="1:9" x14ac:dyDescent="0.45">
      <c r="A226" s="988"/>
      <c r="B226" s="35">
        <v>10</v>
      </c>
      <c r="C226" s="35">
        <v>96</v>
      </c>
      <c r="D226" s="35">
        <v>10</v>
      </c>
      <c r="E226" s="35" t="s">
        <v>503</v>
      </c>
      <c r="F226">
        <v>9872</v>
      </c>
      <c r="G226">
        <v>10112</v>
      </c>
      <c r="I226">
        <f>IF(
    OR(
        AND(MAX(0, MIN($F$1, DATE(Initialisatie!$C$5,12,31)) - MAX($F$2, DATE(Initialisatie!$C$5,1,1)) + 1) &gt; 0, IFERROR(VALUE($F226),0)=0),
        AND(MAX(0, MIN($G$1, DATE(Initialisatie!$C$5,12,31)) - MAX($G$2, DATE(Initialisatie!$C$5,1,1)) + 1) &gt; 0, IFERROR(VALUE($G226),0)=0)
    ),
    0,
    SUM(
        IFERROR(VALUE($F226),0) * MAX(0, MIN($F$1, DATE(Initialisatie!$C$5,12,31)) - MAX($F$2, DATE(Initialisatie!$C$5,1,1)) + 1),
        IFERROR(VALUE($G226),0) * MAX(0, MIN($G$1, DATE(Initialisatie!$C$5,12,31)) - MAX($G$2, DATE(Initialisatie!$C$5,1,1)) + 1)
    ) / (DATE(Initialisatie!$C$5,12,31) - DATE(Initialisatie!$C$5,1,1) + 1)
)</f>
        <v>10112</v>
      </c>
    </row>
    <row r="227" spans="1:9" x14ac:dyDescent="0.45">
      <c r="A227" s="988"/>
      <c r="B227" s="35">
        <v>11</v>
      </c>
      <c r="C227" s="35">
        <v>97</v>
      </c>
      <c r="D227" s="35">
        <v>11</v>
      </c>
      <c r="E227" s="35" t="s">
        <v>504</v>
      </c>
      <c r="F227">
        <v>9993</v>
      </c>
      <c r="G227">
        <v>10233</v>
      </c>
      <c r="I227">
        <f>IF(
    OR(
        AND(MAX(0, MIN($F$1, DATE(Initialisatie!$C$5,12,31)) - MAX($F$2, DATE(Initialisatie!$C$5,1,1)) + 1) &gt; 0, IFERROR(VALUE($F227),0)=0),
        AND(MAX(0, MIN($G$1, DATE(Initialisatie!$C$5,12,31)) - MAX($G$2, DATE(Initialisatie!$C$5,1,1)) + 1) &gt; 0, IFERROR(VALUE($G227),0)=0)
    ),
    0,
    SUM(
        IFERROR(VALUE($F227),0) * MAX(0, MIN($F$1, DATE(Initialisatie!$C$5,12,31)) - MAX($F$2, DATE(Initialisatie!$C$5,1,1)) + 1),
        IFERROR(VALUE($G227),0) * MAX(0, MIN($G$1, DATE(Initialisatie!$C$5,12,31)) - MAX($G$2, DATE(Initialisatie!$C$5,1,1)) + 1)
    ) / (DATE(Initialisatie!$C$5,12,31) - DATE(Initialisatie!$C$5,1,1) + 1)
)</f>
        <v>10233</v>
      </c>
    </row>
    <row r="228" spans="1:9" x14ac:dyDescent="0.45">
      <c r="A228" s="988"/>
      <c r="B228" s="35">
        <v>12</v>
      </c>
      <c r="C228" s="35">
        <v>98</v>
      </c>
      <c r="D228" s="35">
        <v>12</v>
      </c>
      <c r="E228" s="35" t="s">
        <v>505</v>
      </c>
      <c r="F228">
        <v>10114</v>
      </c>
      <c r="G228">
        <v>10354</v>
      </c>
      <c r="I228">
        <f>IF(
    OR(
        AND(MAX(0, MIN($F$1, DATE(Initialisatie!$C$5,12,31)) - MAX($F$2, DATE(Initialisatie!$C$5,1,1)) + 1) &gt; 0, IFERROR(VALUE($F228),0)=0),
        AND(MAX(0, MIN($G$1, DATE(Initialisatie!$C$5,12,31)) - MAX($G$2, DATE(Initialisatie!$C$5,1,1)) + 1) &gt; 0, IFERROR(VALUE($G228),0)=0)
    ),
    0,
    SUM(
        IFERROR(VALUE($F228),0) * MAX(0, MIN($F$1, DATE(Initialisatie!$C$5,12,31)) - MAX($F$2, DATE(Initialisatie!$C$5,1,1)) + 1),
        IFERROR(VALUE($G228),0) * MAX(0, MIN($G$1, DATE(Initialisatie!$C$5,12,31)) - MAX($G$2, DATE(Initialisatie!$C$5,1,1)) + 1)
    ) / (DATE(Initialisatie!$C$5,12,31) - DATE(Initialisatie!$C$5,1,1) + 1)
)</f>
        <v>10354</v>
      </c>
    </row>
    <row r="229" spans="1:9" x14ac:dyDescent="0.45">
      <c r="A229" s="988"/>
      <c r="B229" s="35">
        <v>13</v>
      </c>
      <c r="C229" s="35">
        <v>99</v>
      </c>
      <c r="D229" s="35">
        <v>13</v>
      </c>
      <c r="E229" s="35" t="s">
        <v>506</v>
      </c>
      <c r="F229">
        <v>10237</v>
      </c>
      <c r="G229">
        <v>10477</v>
      </c>
      <c r="I229">
        <f>IF(
    OR(
        AND(MAX(0, MIN($F$1, DATE(Initialisatie!$C$5,12,31)) - MAX($F$2, DATE(Initialisatie!$C$5,1,1)) + 1) &gt; 0, IFERROR(VALUE($F229),0)=0),
        AND(MAX(0, MIN($G$1, DATE(Initialisatie!$C$5,12,31)) - MAX($G$2, DATE(Initialisatie!$C$5,1,1)) + 1) &gt; 0, IFERROR(VALUE($G229),0)=0)
    ),
    0,
    SUM(
        IFERROR(VALUE($F229),0) * MAX(0, MIN($F$1, DATE(Initialisatie!$C$5,12,31)) - MAX($F$2, DATE(Initialisatie!$C$5,1,1)) + 1),
        IFERROR(VALUE($G229),0) * MAX(0, MIN($G$1, DATE(Initialisatie!$C$5,12,31)) - MAX($G$2, DATE(Initialisatie!$C$5,1,1)) + 1)
    ) / (DATE(Initialisatie!$C$5,12,31) - DATE(Initialisatie!$C$5,1,1) + 1)
)</f>
        <v>10477</v>
      </c>
    </row>
    <row r="230" spans="1:9" x14ac:dyDescent="0.45">
      <c r="A230" s="988"/>
      <c r="B230" s="35">
        <v>14</v>
      </c>
      <c r="C230" s="35">
        <v>100</v>
      </c>
      <c r="D230" s="35">
        <v>14</v>
      </c>
      <c r="E230" s="35" t="s">
        <v>507</v>
      </c>
      <c r="F230">
        <v>10358</v>
      </c>
      <c r="G230">
        <v>10598</v>
      </c>
      <c r="I230">
        <f>IF(
    OR(
        AND(MAX(0, MIN($F$1, DATE(Initialisatie!$C$5,12,31)) - MAX($F$2, DATE(Initialisatie!$C$5,1,1)) + 1) &gt; 0, IFERROR(VALUE($F230),0)=0),
        AND(MAX(0, MIN($G$1, DATE(Initialisatie!$C$5,12,31)) - MAX($G$2, DATE(Initialisatie!$C$5,1,1)) + 1) &gt; 0, IFERROR(VALUE($G230),0)=0)
    ),
    0,
    SUM(
        IFERROR(VALUE($F230),0) * MAX(0, MIN($F$1, DATE(Initialisatie!$C$5,12,31)) - MAX($F$2, DATE(Initialisatie!$C$5,1,1)) + 1),
        IFERROR(VALUE($G230),0) * MAX(0, MIN($G$1, DATE(Initialisatie!$C$5,12,31)) - MAX($G$2, DATE(Initialisatie!$C$5,1,1)) + 1)
    ) / (DATE(Initialisatie!$C$5,12,31) - DATE(Initialisatie!$C$5,1,1) + 1)
)</f>
        <v>10598</v>
      </c>
    </row>
  </sheetData>
  <mergeCells count="29">
    <mergeCell ref="A81:A82"/>
    <mergeCell ref="A5:A13"/>
    <mergeCell ref="A14:A16"/>
    <mergeCell ref="A17:A26"/>
    <mergeCell ref="A27:A29"/>
    <mergeCell ref="A30:A40"/>
    <mergeCell ref="A41:A43"/>
    <mergeCell ref="A44:A54"/>
    <mergeCell ref="A55:A56"/>
    <mergeCell ref="A57:A67"/>
    <mergeCell ref="A68:A69"/>
    <mergeCell ref="A70:A80"/>
    <mergeCell ref="A176:A179"/>
    <mergeCell ref="A83:A95"/>
    <mergeCell ref="A96:A98"/>
    <mergeCell ref="A99:A111"/>
    <mergeCell ref="A112:A115"/>
    <mergeCell ref="A116:A127"/>
    <mergeCell ref="A128:A131"/>
    <mergeCell ref="A132:A143"/>
    <mergeCell ref="A144:A147"/>
    <mergeCell ref="A148:A158"/>
    <mergeCell ref="A159:A162"/>
    <mergeCell ref="A163:A175"/>
    <mergeCell ref="A180:A192"/>
    <mergeCell ref="A193:A196"/>
    <mergeCell ref="A197:A211"/>
    <mergeCell ref="A212:A215"/>
    <mergeCell ref="A216:A230"/>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1"/>
  </sheetPr>
  <dimension ref="A1:K192"/>
  <sheetViews>
    <sheetView workbookViewId="0">
      <selection activeCell="H8" sqref="H8"/>
    </sheetView>
  </sheetViews>
  <sheetFormatPr defaultRowHeight="14.25" x14ac:dyDescent="0.45"/>
  <cols>
    <col min="4" max="4" width="12.9296875" bestFit="1" customWidth="1"/>
    <col min="5" max="5" width="10.46484375" bestFit="1" customWidth="1"/>
    <col min="6" max="6" width="15.53125" bestFit="1" customWidth="1"/>
    <col min="7" max="7" width="9.46484375" bestFit="1" customWidth="1"/>
    <col min="8" max="8" width="8.796875" bestFit="1" customWidth="1"/>
  </cols>
  <sheetData>
    <row r="1" spans="1:11" x14ac:dyDescent="0.45">
      <c r="A1" t="s">
        <v>1277</v>
      </c>
      <c r="D1" s="362">
        <f>IF(E2&lt;&gt;"", E2-1, DATE(2030,1,1))</f>
        <v>45838</v>
      </c>
      <c r="E1" s="362">
        <f>IF(F2&lt;&gt;"", F2-1, DATE(2030,1,1))</f>
        <v>45991</v>
      </c>
      <c r="F1" s="362">
        <f>IF(G2&lt;&gt;"", G2-1, DATE(2030,1,1))</f>
        <v>46022</v>
      </c>
      <c r="G1" s="362">
        <f>IF(H2&lt;&gt;"", H2-1, DATE(2030,1,1))</f>
        <v>46203</v>
      </c>
      <c r="H1" s="362">
        <f>IF(I2&lt;&gt;"", I2-1, DATE(2030,1,1))</f>
        <v>47484</v>
      </c>
    </row>
    <row r="2" spans="1:11" x14ac:dyDescent="0.45">
      <c r="A2" t="s">
        <v>1276</v>
      </c>
      <c r="D2" s="362">
        <v>45658</v>
      </c>
      <c r="E2" s="362">
        <v>45839</v>
      </c>
      <c r="F2" s="362">
        <v>45992</v>
      </c>
      <c r="G2" s="362">
        <v>46023</v>
      </c>
      <c r="H2" s="362">
        <v>46204</v>
      </c>
    </row>
    <row r="3" spans="1:11" x14ac:dyDescent="0.45">
      <c r="C3" s="371" t="s">
        <v>1615</v>
      </c>
      <c r="D3" s="35" t="s">
        <v>1613</v>
      </c>
      <c r="E3" s="35" t="s">
        <v>1612</v>
      </c>
      <c r="F3" s="35" t="s">
        <v>1614</v>
      </c>
      <c r="G3" s="5" t="s">
        <v>1611</v>
      </c>
      <c r="H3" s="5" t="s">
        <v>1610</v>
      </c>
      <c r="I3" s="5"/>
      <c r="J3" s="5" t="s">
        <v>1229</v>
      </c>
      <c r="K3" s="5" t="s">
        <v>2210</v>
      </c>
    </row>
    <row r="4" spans="1:11" x14ac:dyDescent="0.45">
      <c r="A4" s="371" t="s">
        <v>1609</v>
      </c>
      <c r="B4" s="371" t="s">
        <v>1608</v>
      </c>
      <c r="C4" s="371" t="s">
        <v>1607</v>
      </c>
    </row>
    <row r="5" spans="1:11" x14ac:dyDescent="0.45">
      <c r="A5" s="993">
        <v>10</v>
      </c>
      <c r="B5" s="371">
        <v>0</v>
      </c>
      <c r="C5" s="371" t="s">
        <v>1280</v>
      </c>
      <c r="D5" t="s">
        <v>1617</v>
      </c>
      <c r="E5" t="s">
        <v>1616</v>
      </c>
      <c r="F5" t="s">
        <v>1616</v>
      </c>
      <c r="G5" t="s">
        <v>1618</v>
      </c>
      <c r="H5" t="s">
        <v>1618</v>
      </c>
      <c r="J5">
        <f>IF(
    OR(
        AND(MAX(0, MIN($D$1, DATE(Initialisatie!$C$5,12,31)) - MAX($D$2, DATE(Initialisatie!$C$5,1,1)) + 1) &gt; 0,IFERROR(VALUE($D5),0)=0),
        AND(MAX(0, MIN($E$1, DATE(Initialisatie!$C$5,12,31)) - MAX($E$2, DATE(Initialisatie!$C$5,1,1)) + 1) &gt; 0,IFERROR(VALUE($E5),0)=0),
        AND(MAX(0, MIN($F$1, DATE(Initialisatie!$C$5,12,31)) - MAX($F$2, DATE(Initialisatie!$C$5,1,1)) + 1) &gt; 0,IFERROR(VALUE($F5),0)=0),
        AND(MAX(0, MIN($G$1, DATE(Initialisatie!$C$5,12,31)) - MAX($G$2, DATE(Initialisatie!$C$5,1,1)) + 1) &gt; 0,IFERROR(VALUE($G5),0)=0),
        AND(MAX(0, MIN($H$1, DATE(Initialisatie!$C$5,12,31)) - MAX($H$2, DATE(Initialisatie!$C$5,1,1)) + 1) &gt; 0,IFERROR(VALUE($H5),0)=0)
    ),
    0,
    SUM(
        IFERROR(VALUE($D5),0) * MAX(0, MIN($D$1, DATE(Initialisatie!$C$5,12,31)) - MAX($D$2, DATE(Initialisatie!$C$5,1,1)) + 1),
        IFERROR(VALUE($E5),0) * MAX(0, MIN($E$1, DATE(Initialisatie!$C$5,12,31)) - MAX($E$2, DATE(Initialisatie!$C$5,1,1)) + 1),
        IFERROR(VALUE($F5),0) * MAX(0, MIN($F$1, DATE(Initialisatie!$C$5,12,31)) - MAX($F$2, DATE(Initialisatie!$C$5,1,1)) + 1),
        IFERROR(VALUE($G5),0) * MAX(0, MIN($G$1, DATE(Initialisatie!$C$5,12,31)) - MAX($G$2, DATE(Initialisatie!$C$5,1,1)) + 1),
        IFERROR(VALUE($H5),0) * MAX(0, MIN($H$1, DATE(Initialisatie!$C$5,12,31)) - MAX($H$2, DATE(Initialisatie!$C$5,1,1)) + 1)
    ) / (DATE(Initialisatie!$C$5,12,31) - DATE(Initialisatie!$C$5,1,1) + 1)
)</f>
        <v>2504</v>
      </c>
      <c r="K5">
        <f>IF(
    OR(
        AND(MAX(0, IF(MIN($D$1, DATE(Initialisatie!$C$5,12,31)) &lt; MAX($D$2, DATE(Initialisatie!$C$5,1,1)), 0, MONTH(MIN($D$1, DATE(Initialisatie!$C$5,12,31))) - MONTH(MAX($D$2, DATE(Initialisatie!$C$5,1,1))) + 1)) &lt;= 0, IFERROR(VALUE($D5),0)=0),
        AND(MAX(0, IF(MIN($E$1, DATE(Initialisatie!$C$5,12,31)) &lt; MAX($E$2, DATE(Initialisatie!$C$5,1,1)), 0, MONTH(MIN($E$1, DATE(Initialisatie!$C$5,12,31))) - MONTH(MAX($E$2, DATE(Initialisatie!$C$5,1,1))) + 1)) &lt;= 0, IFERROR(VALUE($E5),0)=0),
        AND(MAX(0, IF(MIN($F$1, DATE(Initialisatie!$C$5,12,31)) &lt; MAX($F$2, DATE(Initialisatie!$C$5,1,1)), 0, MONTH(MIN($F$1, DATE(Initialisatie!$C$5,12,31))) - MONTH(MAX($F$2, DATE(Initialisatie!$C$5,1,1))) + 1)) &lt;= 0, IFERROR(VALUE($F5),0)=0),
        AND(MAX(0, IF(MIN($G$1, DATE(Initialisatie!$C$5,12,31)) &lt; MAX($G$2, DATE(Initialisatie!$C$5,1,1)), 0, MONTH(MIN($G$1, DATE(Initialisatie!$C$5,12,31))) - MONTH(MAX($G$2, DATE(Initialisatie!$C$5,1,1))) + 1)) &lt;= 0, IFERROR(VALUE($G5),0)=0),
        AND(MAX(0, IF(MIN($H$1, DATE(Initialisatie!$C$5,12,31)) &lt; MAX($H$2, DATE(Initialisatie!$C$5,1,1)), 0, MONTH(MIN($H$1, DATE(Initialisatie!$C$5,12,31))) - MONTH(MAX($H$2, DATE(Initialisatie!$C$5,1,1))) + 1)) &lt;= 0, IFERROR(VALUE($H5),0)=0)
    ),
    0,
    SUM(
        IFERROR(VALUE($D5),0) * MAX(0, IF(MIN($D$1, DATE(Initialisatie!$C$5,12,31)) &lt; MAX($D$2, DATE(Initialisatie!$C$5,1,1)), 0, MONTH(MIN($D$1, DATE(Initialisatie!$C$5,12,31))) - MONTH(MAX($D$2, DATE(Initialisatie!$C$5,1,1))) + 1)),
        IFERROR(VALUE($E5),0) * MAX(0, IF(MIN($E$1, DATE(Initialisatie!$C$5,12,31)) &lt; MAX($E$2, DATE(Initialisatie!$C$5,1,1)), 0, MONTH(MIN($E$1, DATE(Initialisatie!$C$5,12,31))) - MONTH(MAX($E$2, DATE(Initialisatie!$C$5,1,1))) + 1)),
        IFERROR(VALUE($F5),0) * MAX(0, IF(MIN($F$1, DATE(Initialisatie!$C$5,12,31)) &lt; MAX($F$2, DATE(Initialisatie!$C$5,1,1)), 0, MONTH(MIN($F$1, DATE(Initialisatie!$C$5,12,31))) - MONTH(MAX($F$2, DATE(Initialisatie!$C$5,1,1))) + 1)),
        IFERROR(VALUE($G5),0) * MAX(0, IF(MIN($G$1, DATE(Initialisatie!$C$5,12,31)) &lt; MAX($G$2, DATE(Initialisatie!$C$5,1,1)), 0, MONTH(MIN($G$1, DATE(Initialisatie!$C$5,12,31))) - MONTH(MAX($G$2, DATE(Initialisatie!$C$5,1,1))) + 1)),
        IFERROR(VALUE($H5),0) * MAX(0, IF(MIN($H$1, DATE(Initialisatie!$C$5,12,31)) &lt; MAX($H$2, DATE(Initialisatie!$C$5,1,1)), 0, MONTH(MIN($H$1, DATE(Initialisatie!$C$5,12,31))) - MONTH(MAX($H$2, DATE(Initialisatie!$C$5,1,1))) + 1))
    ) / 12
)</f>
        <v>2504</v>
      </c>
    </row>
    <row r="6" spans="1:11" x14ac:dyDescent="0.45">
      <c r="A6" s="989"/>
      <c r="B6" s="371">
        <v>1</v>
      </c>
      <c r="C6" s="371" t="s">
        <v>1281</v>
      </c>
      <c r="D6" t="s">
        <v>1606</v>
      </c>
      <c r="E6" t="s">
        <v>1616</v>
      </c>
      <c r="F6" t="s">
        <v>1616</v>
      </c>
      <c r="G6" t="s">
        <v>1618</v>
      </c>
      <c r="H6" t="s">
        <v>1618</v>
      </c>
      <c r="J6">
        <f>IF(
    OR(
        AND(MAX(0, MIN($D$1, DATE(Initialisatie!$C$5,12,31)) - MAX($D$2, DATE(Initialisatie!$C$5,1,1)) + 1) &gt; 0,IFERROR(VALUE($D6),0)=0),
        AND(MAX(0, MIN($E$1, DATE(Initialisatie!$C$5,12,31)) - MAX($E$2, DATE(Initialisatie!$C$5,1,1)) + 1) &gt; 0,IFERROR(VALUE($E6),0)=0),
        AND(MAX(0, MIN($F$1, DATE(Initialisatie!$C$5,12,31)) - MAX($F$2, DATE(Initialisatie!$C$5,1,1)) + 1) &gt; 0,IFERROR(VALUE($F6),0)=0),
        AND(MAX(0, MIN($G$1, DATE(Initialisatie!$C$5,12,31)) - MAX($G$2, DATE(Initialisatie!$C$5,1,1)) + 1) &gt; 0,IFERROR(VALUE($G6),0)=0),
        AND(MAX(0, MIN($H$1, DATE(Initialisatie!$C$5,12,31)) - MAX($H$2, DATE(Initialisatie!$C$5,1,1)) + 1) &gt; 0,IFERROR(VALUE($H6),0)=0)
    ),
    0,
    SUM(
        IFERROR(VALUE($D6),0) * MAX(0, MIN($D$1, DATE(Initialisatie!$C$5,12,31)) - MAX($D$2, DATE(Initialisatie!$C$5,1,1)) + 1),
        IFERROR(VALUE($E6),0) * MAX(0, MIN($E$1, DATE(Initialisatie!$C$5,12,31)) - MAX($E$2, DATE(Initialisatie!$C$5,1,1)) + 1),
        IFERROR(VALUE($F6),0) * MAX(0, MIN($F$1, DATE(Initialisatie!$C$5,12,31)) - MAX($F$2, DATE(Initialisatie!$C$5,1,1)) + 1),
        IFERROR(VALUE($G6),0) * MAX(0, MIN($G$1, DATE(Initialisatie!$C$5,12,31)) - MAX($G$2, DATE(Initialisatie!$C$5,1,1)) + 1),
        IFERROR(VALUE($H6),0) * MAX(0, MIN($H$1, DATE(Initialisatie!$C$5,12,31)) - MAX($H$2, DATE(Initialisatie!$C$5,1,1)) + 1)
    ) / (DATE(Initialisatie!$C$5,12,31) - DATE(Initialisatie!$C$5,1,1) + 1)
)</f>
        <v>2504</v>
      </c>
      <c r="K6">
        <f>IF(
    OR(
        AND(MAX(0, IF(MIN($D$1, DATE(Initialisatie!$C$5,12,31)) &lt; MAX($D$2, DATE(Initialisatie!$C$5,1,1)), 0, MONTH(MIN($D$1, DATE(Initialisatie!$C$5,12,31))) - MONTH(MAX($D$2, DATE(Initialisatie!$C$5,1,1))) + 1)) &lt;= 0, IFERROR(VALUE($D6),0)=0),
        AND(MAX(0, IF(MIN($E$1, DATE(Initialisatie!$C$5,12,31)) &lt; MAX($E$2, DATE(Initialisatie!$C$5,1,1)), 0, MONTH(MIN($E$1, DATE(Initialisatie!$C$5,12,31))) - MONTH(MAX($E$2, DATE(Initialisatie!$C$5,1,1))) + 1)) &lt;= 0, IFERROR(VALUE($E6),0)=0),
        AND(MAX(0, IF(MIN($F$1, DATE(Initialisatie!$C$5,12,31)) &lt; MAX($F$2, DATE(Initialisatie!$C$5,1,1)), 0, MONTH(MIN($F$1, DATE(Initialisatie!$C$5,12,31))) - MONTH(MAX($F$2, DATE(Initialisatie!$C$5,1,1))) + 1)) &lt;= 0, IFERROR(VALUE($F6),0)=0),
        AND(MAX(0, IF(MIN($G$1, DATE(Initialisatie!$C$5,12,31)) &lt; MAX($G$2, DATE(Initialisatie!$C$5,1,1)), 0, MONTH(MIN($G$1, DATE(Initialisatie!$C$5,12,31))) - MONTH(MAX($G$2, DATE(Initialisatie!$C$5,1,1))) + 1)) &lt;= 0, IFERROR(VALUE($G6),0)=0),
        AND(MAX(0, IF(MIN($H$1, DATE(Initialisatie!$C$5,12,31)) &lt; MAX($H$2, DATE(Initialisatie!$C$5,1,1)), 0, MONTH(MIN($H$1, DATE(Initialisatie!$C$5,12,31))) - MONTH(MAX($H$2, DATE(Initialisatie!$C$5,1,1))) + 1)) &lt;= 0, IFERROR(VALUE($H6),0)=0)
    ),
    0,
    SUM(
        IFERROR(VALUE($D6),0) * MAX(0, IF(MIN($D$1, DATE(Initialisatie!$C$5,12,31)) &lt; MAX($D$2, DATE(Initialisatie!$C$5,1,1)), 0, MONTH(MIN($D$1, DATE(Initialisatie!$C$5,12,31))) - MONTH(MAX($D$2, DATE(Initialisatie!$C$5,1,1))) + 1)),
        IFERROR(VALUE($E6),0) * MAX(0, IF(MIN($E$1, DATE(Initialisatie!$C$5,12,31)) &lt; MAX($E$2, DATE(Initialisatie!$C$5,1,1)), 0, MONTH(MIN($E$1, DATE(Initialisatie!$C$5,12,31))) - MONTH(MAX($E$2, DATE(Initialisatie!$C$5,1,1))) + 1)),
        IFERROR(VALUE($F6),0) * MAX(0, IF(MIN($F$1, DATE(Initialisatie!$C$5,12,31)) &lt; MAX($F$2, DATE(Initialisatie!$C$5,1,1)), 0, MONTH(MIN($F$1, DATE(Initialisatie!$C$5,12,31))) - MONTH(MAX($F$2, DATE(Initialisatie!$C$5,1,1))) + 1)),
        IFERROR(VALUE($G6),0) * MAX(0, IF(MIN($G$1, DATE(Initialisatie!$C$5,12,31)) &lt; MAX($G$2, DATE(Initialisatie!$C$5,1,1)), 0, MONTH(MIN($G$1, DATE(Initialisatie!$C$5,12,31))) - MONTH(MAX($G$2, DATE(Initialisatie!$C$5,1,1))) + 1)),
        IFERROR(VALUE($H6),0) * MAX(0, IF(MIN($H$1, DATE(Initialisatie!$C$5,12,31)) &lt; MAX($H$2, DATE(Initialisatie!$C$5,1,1)), 0, MONTH(MIN($H$1, DATE(Initialisatie!$C$5,12,31))) - MONTH(MAX($H$2, DATE(Initialisatie!$C$5,1,1))) + 1))
    ) / 12
)</f>
        <v>2504</v>
      </c>
    </row>
    <row r="7" spans="1:11" x14ac:dyDescent="0.45">
      <c r="A7" s="989"/>
      <c r="B7" s="371">
        <v>2</v>
      </c>
      <c r="C7" s="371" t="s">
        <v>1282</v>
      </c>
      <c r="D7" t="s">
        <v>1605</v>
      </c>
      <c r="E7" t="s">
        <v>1616</v>
      </c>
      <c r="F7" t="s">
        <v>1616</v>
      </c>
      <c r="G7" t="s">
        <v>1618</v>
      </c>
      <c r="H7" t="s">
        <v>1618</v>
      </c>
      <c r="J7">
        <f>IF(
    OR(
        AND(MAX(0, MIN($D$1, DATE(Initialisatie!$C$5,12,31)) - MAX($D$2, DATE(Initialisatie!$C$5,1,1)) + 1) &gt; 0,IFERROR(VALUE($D7),0)=0),
        AND(MAX(0, MIN($E$1, DATE(Initialisatie!$C$5,12,31)) - MAX($E$2, DATE(Initialisatie!$C$5,1,1)) + 1) &gt; 0,IFERROR(VALUE($E7),0)=0),
        AND(MAX(0, MIN($F$1, DATE(Initialisatie!$C$5,12,31)) - MAX($F$2, DATE(Initialisatie!$C$5,1,1)) + 1) &gt; 0,IFERROR(VALUE($F7),0)=0),
        AND(MAX(0, MIN($G$1, DATE(Initialisatie!$C$5,12,31)) - MAX($G$2, DATE(Initialisatie!$C$5,1,1)) + 1) &gt; 0,IFERROR(VALUE($G7),0)=0),
        AND(MAX(0, MIN($H$1, DATE(Initialisatie!$C$5,12,31)) - MAX($H$2, DATE(Initialisatie!$C$5,1,1)) + 1) &gt; 0,IFERROR(VALUE($H7),0)=0)
    ),
    0,
    SUM(
        IFERROR(VALUE($D7),0) * MAX(0, MIN($D$1, DATE(Initialisatie!$C$5,12,31)) - MAX($D$2, DATE(Initialisatie!$C$5,1,1)) + 1),
        IFERROR(VALUE($E7),0) * MAX(0, MIN($E$1, DATE(Initialisatie!$C$5,12,31)) - MAX($E$2, DATE(Initialisatie!$C$5,1,1)) + 1),
        IFERROR(VALUE($F7),0) * MAX(0, MIN($F$1, DATE(Initialisatie!$C$5,12,31)) - MAX($F$2, DATE(Initialisatie!$C$5,1,1)) + 1),
        IFERROR(VALUE($G7),0) * MAX(0, MIN($G$1, DATE(Initialisatie!$C$5,12,31)) - MAX($G$2, DATE(Initialisatie!$C$5,1,1)) + 1),
        IFERROR(VALUE($H7),0) * MAX(0, MIN($H$1, DATE(Initialisatie!$C$5,12,31)) - MAX($H$2, DATE(Initialisatie!$C$5,1,1)) + 1)
    ) / (DATE(Initialisatie!$C$5,12,31) - DATE(Initialisatie!$C$5,1,1) + 1)
)</f>
        <v>2504</v>
      </c>
      <c r="K7">
        <f>IF(
    OR(
        AND(MAX(0, IF(MIN($D$1, DATE(Initialisatie!$C$5,12,31)) &lt; MAX($D$2, DATE(Initialisatie!$C$5,1,1)), 0, MONTH(MIN($D$1, DATE(Initialisatie!$C$5,12,31))) - MONTH(MAX($D$2, DATE(Initialisatie!$C$5,1,1))) + 1)) &lt;= 0, IFERROR(VALUE($D7),0)=0),
        AND(MAX(0, IF(MIN($E$1, DATE(Initialisatie!$C$5,12,31)) &lt; MAX($E$2, DATE(Initialisatie!$C$5,1,1)), 0, MONTH(MIN($E$1, DATE(Initialisatie!$C$5,12,31))) - MONTH(MAX($E$2, DATE(Initialisatie!$C$5,1,1))) + 1)) &lt;= 0, IFERROR(VALUE($E7),0)=0),
        AND(MAX(0, IF(MIN($F$1, DATE(Initialisatie!$C$5,12,31)) &lt; MAX($F$2, DATE(Initialisatie!$C$5,1,1)), 0, MONTH(MIN($F$1, DATE(Initialisatie!$C$5,12,31))) - MONTH(MAX($F$2, DATE(Initialisatie!$C$5,1,1))) + 1)) &lt;= 0, IFERROR(VALUE($F7),0)=0),
        AND(MAX(0, IF(MIN($G$1, DATE(Initialisatie!$C$5,12,31)) &lt; MAX($G$2, DATE(Initialisatie!$C$5,1,1)), 0, MONTH(MIN($G$1, DATE(Initialisatie!$C$5,12,31))) - MONTH(MAX($G$2, DATE(Initialisatie!$C$5,1,1))) + 1)) &lt;= 0, IFERROR(VALUE($G7),0)=0),
        AND(MAX(0, IF(MIN($H$1, DATE(Initialisatie!$C$5,12,31)) &lt; MAX($H$2, DATE(Initialisatie!$C$5,1,1)), 0, MONTH(MIN($H$1, DATE(Initialisatie!$C$5,12,31))) - MONTH(MAX($H$2, DATE(Initialisatie!$C$5,1,1))) + 1)) &lt;= 0, IFERROR(VALUE($H7),0)=0)
    ),
    0,
    SUM(
        IFERROR(VALUE($D7),0) * MAX(0, IF(MIN($D$1, DATE(Initialisatie!$C$5,12,31)) &lt; MAX($D$2, DATE(Initialisatie!$C$5,1,1)), 0, MONTH(MIN($D$1, DATE(Initialisatie!$C$5,12,31))) - MONTH(MAX($D$2, DATE(Initialisatie!$C$5,1,1))) + 1)),
        IFERROR(VALUE($E7),0) * MAX(0, IF(MIN($E$1, DATE(Initialisatie!$C$5,12,31)) &lt; MAX($E$2, DATE(Initialisatie!$C$5,1,1)), 0, MONTH(MIN($E$1, DATE(Initialisatie!$C$5,12,31))) - MONTH(MAX($E$2, DATE(Initialisatie!$C$5,1,1))) + 1)),
        IFERROR(VALUE($F7),0) * MAX(0, IF(MIN($F$1, DATE(Initialisatie!$C$5,12,31)) &lt; MAX($F$2, DATE(Initialisatie!$C$5,1,1)), 0, MONTH(MIN($F$1, DATE(Initialisatie!$C$5,12,31))) - MONTH(MAX($F$2, DATE(Initialisatie!$C$5,1,1))) + 1)),
        IFERROR(VALUE($G7),0) * MAX(0, IF(MIN($G$1, DATE(Initialisatie!$C$5,12,31)) &lt; MAX($G$2, DATE(Initialisatie!$C$5,1,1)), 0, MONTH(MIN($G$1, DATE(Initialisatie!$C$5,12,31))) - MONTH(MAX($G$2, DATE(Initialisatie!$C$5,1,1))) + 1)),
        IFERROR(VALUE($H7),0) * MAX(0, IF(MIN($H$1, DATE(Initialisatie!$C$5,12,31)) &lt; MAX($H$2, DATE(Initialisatie!$C$5,1,1)), 0, MONTH(MIN($H$1, DATE(Initialisatie!$C$5,12,31))) - MONTH(MAX($H$2, DATE(Initialisatie!$C$5,1,1))) + 1))
    ) / 12
)</f>
        <v>2504</v>
      </c>
    </row>
    <row r="8" spans="1:11" x14ac:dyDescent="0.45">
      <c r="A8" s="989"/>
      <c r="B8" s="371">
        <v>3</v>
      </c>
      <c r="C8" s="371" t="s">
        <v>1283</v>
      </c>
      <c r="D8" t="s">
        <v>1603</v>
      </c>
      <c r="E8" t="s">
        <v>1616</v>
      </c>
      <c r="F8" t="s">
        <v>1604</v>
      </c>
      <c r="G8" t="s">
        <v>1618</v>
      </c>
      <c r="H8" t="s">
        <v>1618</v>
      </c>
      <c r="J8">
        <f>IF(
    OR(
        AND(MAX(0, MIN($D$1, DATE(Initialisatie!$C$5,12,31)) - MAX($D$2, DATE(Initialisatie!$C$5,1,1)) + 1) &gt; 0,IFERROR(VALUE($D8),0)=0),
        AND(MAX(0, MIN($E$1, DATE(Initialisatie!$C$5,12,31)) - MAX($E$2, DATE(Initialisatie!$C$5,1,1)) + 1) &gt; 0,IFERROR(VALUE($E8),0)=0),
        AND(MAX(0, MIN($F$1, DATE(Initialisatie!$C$5,12,31)) - MAX($F$2, DATE(Initialisatie!$C$5,1,1)) + 1) &gt; 0,IFERROR(VALUE($F8),0)=0),
        AND(MAX(0, MIN($G$1, DATE(Initialisatie!$C$5,12,31)) - MAX($G$2, DATE(Initialisatie!$C$5,1,1)) + 1) &gt; 0,IFERROR(VALUE($G8),0)=0),
        AND(MAX(0, MIN($H$1, DATE(Initialisatie!$C$5,12,31)) - MAX($H$2, DATE(Initialisatie!$C$5,1,1)) + 1) &gt; 0,IFERROR(VALUE($H8),0)=0)
    ),
    0,
    SUM(
        IFERROR(VALUE($D8),0) * MAX(0, MIN($D$1, DATE(Initialisatie!$C$5,12,31)) - MAX($D$2, DATE(Initialisatie!$C$5,1,1)) + 1),
        IFERROR(VALUE($E8),0) * MAX(0, MIN($E$1, DATE(Initialisatie!$C$5,12,31)) - MAX($E$2, DATE(Initialisatie!$C$5,1,1)) + 1),
        IFERROR(VALUE($F8),0) * MAX(0, MIN($F$1, DATE(Initialisatie!$C$5,12,31)) - MAX($F$2, DATE(Initialisatie!$C$5,1,1)) + 1),
        IFERROR(VALUE($G8),0) * MAX(0, MIN($G$1, DATE(Initialisatie!$C$5,12,31)) - MAX($G$2, DATE(Initialisatie!$C$5,1,1)) + 1),
        IFERROR(VALUE($H8),0) * MAX(0, MIN($H$1, DATE(Initialisatie!$C$5,12,31)) - MAX($H$2, DATE(Initialisatie!$C$5,1,1)) + 1)
    ) / (DATE(Initialisatie!$C$5,12,31) - DATE(Initialisatie!$C$5,1,1) + 1)
)</f>
        <v>2504</v>
      </c>
      <c r="K8">
        <f>IF(
    OR(
        AND(MAX(0, IF(MIN($D$1, DATE(Initialisatie!$C$5,12,31)) &lt; MAX($D$2, DATE(Initialisatie!$C$5,1,1)), 0, MONTH(MIN($D$1, DATE(Initialisatie!$C$5,12,31))) - MONTH(MAX($D$2, DATE(Initialisatie!$C$5,1,1))) + 1)) &lt;= 0, IFERROR(VALUE($D8),0)=0),
        AND(MAX(0, IF(MIN($E$1, DATE(Initialisatie!$C$5,12,31)) &lt; MAX($E$2, DATE(Initialisatie!$C$5,1,1)), 0, MONTH(MIN($E$1, DATE(Initialisatie!$C$5,12,31))) - MONTH(MAX($E$2, DATE(Initialisatie!$C$5,1,1))) + 1)) &lt;= 0, IFERROR(VALUE($E8),0)=0),
        AND(MAX(0, IF(MIN($F$1, DATE(Initialisatie!$C$5,12,31)) &lt; MAX($F$2, DATE(Initialisatie!$C$5,1,1)), 0, MONTH(MIN($F$1, DATE(Initialisatie!$C$5,12,31))) - MONTH(MAX($F$2, DATE(Initialisatie!$C$5,1,1))) + 1)) &lt;= 0, IFERROR(VALUE($F8),0)=0),
        AND(MAX(0, IF(MIN($G$1, DATE(Initialisatie!$C$5,12,31)) &lt; MAX($G$2, DATE(Initialisatie!$C$5,1,1)), 0, MONTH(MIN($G$1, DATE(Initialisatie!$C$5,12,31))) - MONTH(MAX($G$2, DATE(Initialisatie!$C$5,1,1))) + 1)) &lt;= 0, IFERROR(VALUE($G8),0)=0),
        AND(MAX(0, IF(MIN($H$1, DATE(Initialisatie!$C$5,12,31)) &lt; MAX($H$2, DATE(Initialisatie!$C$5,1,1)), 0, MONTH(MIN($H$1, DATE(Initialisatie!$C$5,12,31))) - MONTH(MAX($H$2, DATE(Initialisatie!$C$5,1,1))) + 1)) &lt;= 0, IFERROR(VALUE($H8),0)=0)
    ),
    0,
    SUM(
        IFERROR(VALUE($D8),0) * MAX(0, IF(MIN($D$1, DATE(Initialisatie!$C$5,12,31)) &lt; MAX($D$2, DATE(Initialisatie!$C$5,1,1)), 0, MONTH(MIN($D$1, DATE(Initialisatie!$C$5,12,31))) - MONTH(MAX($D$2, DATE(Initialisatie!$C$5,1,1))) + 1)),
        IFERROR(VALUE($E8),0) * MAX(0, IF(MIN($E$1, DATE(Initialisatie!$C$5,12,31)) &lt; MAX($E$2, DATE(Initialisatie!$C$5,1,1)), 0, MONTH(MIN($E$1, DATE(Initialisatie!$C$5,12,31))) - MONTH(MAX($E$2, DATE(Initialisatie!$C$5,1,1))) + 1)),
        IFERROR(VALUE($F8),0) * MAX(0, IF(MIN($F$1, DATE(Initialisatie!$C$5,12,31)) &lt; MAX($F$2, DATE(Initialisatie!$C$5,1,1)), 0, MONTH(MIN($F$1, DATE(Initialisatie!$C$5,12,31))) - MONTH(MAX($F$2, DATE(Initialisatie!$C$5,1,1))) + 1)),
        IFERROR(VALUE($G8),0) * MAX(0, IF(MIN($G$1, DATE(Initialisatie!$C$5,12,31)) &lt; MAX($G$2, DATE(Initialisatie!$C$5,1,1)), 0, MONTH(MIN($G$1, DATE(Initialisatie!$C$5,12,31))) - MONTH(MAX($G$2, DATE(Initialisatie!$C$5,1,1))) + 1)),
        IFERROR(VALUE($H8),0) * MAX(0, IF(MIN($H$1, DATE(Initialisatie!$C$5,12,31)) &lt; MAX($H$2, DATE(Initialisatie!$C$5,1,1)), 0, MONTH(MIN($H$1, DATE(Initialisatie!$C$5,12,31))) - MONTH(MAX($H$2, DATE(Initialisatie!$C$5,1,1))) + 1))
    ) / 12
)</f>
        <v>2504</v>
      </c>
    </row>
    <row r="9" spans="1:11" x14ac:dyDescent="0.45">
      <c r="A9" s="989"/>
      <c r="B9" s="371">
        <v>4</v>
      </c>
      <c r="C9" s="371" t="s">
        <v>1284</v>
      </c>
      <c r="D9" t="s">
        <v>1595</v>
      </c>
      <c r="E9" t="s">
        <v>1594</v>
      </c>
      <c r="F9" t="s">
        <v>1596</v>
      </c>
      <c r="G9" t="s">
        <v>1618</v>
      </c>
      <c r="H9" t="s">
        <v>1618</v>
      </c>
      <c r="J9">
        <f>IF(
    OR(
        AND(MAX(0, MIN($D$1, DATE(Initialisatie!$C$5,12,31)) - MAX($D$2, DATE(Initialisatie!$C$5,1,1)) + 1) &gt; 0,IFERROR(VALUE($D9),0)=0),
        AND(MAX(0, MIN($E$1, DATE(Initialisatie!$C$5,12,31)) - MAX($E$2, DATE(Initialisatie!$C$5,1,1)) + 1) &gt; 0,IFERROR(VALUE($E9),0)=0),
        AND(MAX(0, MIN($F$1, DATE(Initialisatie!$C$5,12,31)) - MAX($F$2, DATE(Initialisatie!$C$5,1,1)) + 1) &gt; 0,IFERROR(VALUE($F9),0)=0),
        AND(MAX(0, MIN($G$1, DATE(Initialisatie!$C$5,12,31)) - MAX($G$2, DATE(Initialisatie!$C$5,1,1)) + 1) &gt; 0,IFERROR(VALUE($G9),0)=0),
        AND(MAX(0, MIN($H$1, DATE(Initialisatie!$C$5,12,31)) - MAX($H$2, DATE(Initialisatie!$C$5,1,1)) + 1) &gt; 0,IFERROR(VALUE($H9),0)=0)
    ),
    0,
    SUM(
        IFERROR(VALUE($D9),0) * MAX(0, MIN($D$1, DATE(Initialisatie!$C$5,12,31)) - MAX($D$2, DATE(Initialisatie!$C$5,1,1)) + 1),
        IFERROR(VALUE($E9),0) * MAX(0, MIN($E$1, DATE(Initialisatie!$C$5,12,31)) - MAX($E$2, DATE(Initialisatie!$C$5,1,1)) + 1),
        IFERROR(VALUE($F9),0) * MAX(0, MIN($F$1, DATE(Initialisatie!$C$5,12,31)) - MAX($F$2, DATE(Initialisatie!$C$5,1,1)) + 1),
        IFERROR(VALUE($G9),0) * MAX(0, MIN($G$1, DATE(Initialisatie!$C$5,12,31)) - MAX($G$2, DATE(Initialisatie!$C$5,1,1)) + 1),
        IFERROR(VALUE($H9),0) * MAX(0, MIN($H$1, DATE(Initialisatie!$C$5,12,31)) - MAX($H$2, DATE(Initialisatie!$C$5,1,1)) + 1)
    ) / (DATE(Initialisatie!$C$5,12,31) - DATE(Initialisatie!$C$5,1,1) + 1)
)</f>
        <v>2504</v>
      </c>
      <c r="K9">
        <f>IF(
    OR(
        AND(MAX(0, IF(MIN($D$1, DATE(Initialisatie!$C$5,12,31)) &lt; MAX($D$2, DATE(Initialisatie!$C$5,1,1)), 0, MONTH(MIN($D$1, DATE(Initialisatie!$C$5,12,31))) - MONTH(MAX($D$2, DATE(Initialisatie!$C$5,1,1))) + 1)) &lt;= 0, IFERROR(VALUE($D9),0)=0),
        AND(MAX(0, IF(MIN($E$1, DATE(Initialisatie!$C$5,12,31)) &lt; MAX($E$2, DATE(Initialisatie!$C$5,1,1)), 0, MONTH(MIN($E$1, DATE(Initialisatie!$C$5,12,31))) - MONTH(MAX($E$2, DATE(Initialisatie!$C$5,1,1))) + 1)) &lt;= 0, IFERROR(VALUE($E9),0)=0),
        AND(MAX(0, IF(MIN($F$1, DATE(Initialisatie!$C$5,12,31)) &lt; MAX($F$2, DATE(Initialisatie!$C$5,1,1)), 0, MONTH(MIN($F$1, DATE(Initialisatie!$C$5,12,31))) - MONTH(MAX($F$2, DATE(Initialisatie!$C$5,1,1))) + 1)) &lt;= 0, IFERROR(VALUE($F9),0)=0),
        AND(MAX(0, IF(MIN($G$1, DATE(Initialisatie!$C$5,12,31)) &lt; MAX($G$2, DATE(Initialisatie!$C$5,1,1)), 0, MONTH(MIN($G$1, DATE(Initialisatie!$C$5,12,31))) - MONTH(MAX($G$2, DATE(Initialisatie!$C$5,1,1))) + 1)) &lt;= 0, IFERROR(VALUE($G9),0)=0),
        AND(MAX(0, IF(MIN($H$1, DATE(Initialisatie!$C$5,12,31)) &lt; MAX($H$2, DATE(Initialisatie!$C$5,1,1)), 0, MONTH(MIN($H$1, DATE(Initialisatie!$C$5,12,31))) - MONTH(MAX($H$2, DATE(Initialisatie!$C$5,1,1))) + 1)) &lt;= 0, IFERROR(VALUE($H9),0)=0)
    ),
    0,
    SUM(
        IFERROR(VALUE($D9),0) * MAX(0, IF(MIN($D$1, DATE(Initialisatie!$C$5,12,31)) &lt; MAX($D$2, DATE(Initialisatie!$C$5,1,1)), 0, MONTH(MIN($D$1, DATE(Initialisatie!$C$5,12,31))) - MONTH(MAX($D$2, DATE(Initialisatie!$C$5,1,1))) + 1)),
        IFERROR(VALUE($E9),0) * MAX(0, IF(MIN($E$1, DATE(Initialisatie!$C$5,12,31)) &lt; MAX($E$2, DATE(Initialisatie!$C$5,1,1)), 0, MONTH(MIN($E$1, DATE(Initialisatie!$C$5,12,31))) - MONTH(MAX($E$2, DATE(Initialisatie!$C$5,1,1))) + 1)),
        IFERROR(VALUE($F9),0) * MAX(0, IF(MIN($F$1, DATE(Initialisatie!$C$5,12,31)) &lt; MAX($F$2, DATE(Initialisatie!$C$5,1,1)), 0, MONTH(MIN($F$1, DATE(Initialisatie!$C$5,12,31))) - MONTH(MAX($F$2, DATE(Initialisatie!$C$5,1,1))) + 1)),
        IFERROR(VALUE($G9),0) * MAX(0, IF(MIN($G$1, DATE(Initialisatie!$C$5,12,31)) &lt; MAX($G$2, DATE(Initialisatie!$C$5,1,1)), 0, MONTH(MIN($G$1, DATE(Initialisatie!$C$5,12,31))) - MONTH(MAX($G$2, DATE(Initialisatie!$C$5,1,1))) + 1)),
        IFERROR(VALUE($H9),0) * MAX(0, IF(MIN($H$1, DATE(Initialisatie!$C$5,12,31)) &lt; MAX($H$2, DATE(Initialisatie!$C$5,1,1)), 0, MONTH(MIN($H$1, DATE(Initialisatie!$C$5,12,31))) - MONTH(MAX($H$2, DATE(Initialisatie!$C$5,1,1))) + 1))
    ) / 12
)</f>
        <v>2504</v>
      </c>
    </row>
    <row r="10" spans="1:11" x14ac:dyDescent="0.45">
      <c r="A10" s="989"/>
      <c r="B10" s="371">
        <v>5</v>
      </c>
      <c r="C10" s="371" t="s">
        <v>1285</v>
      </c>
      <c r="D10" t="s">
        <v>1601</v>
      </c>
      <c r="E10" t="s">
        <v>1600</v>
      </c>
      <c r="F10" t="s">
        <v>1602</v>
      </c>
      <c r="G10" t="s">
        <v>1618</v>
      </c>
      <c r="H10" t="s">
        <v>1619</v>
      </c>
      <c r="J10">
        <f>IF(
    OR(
        AND(MAX(0, MIN($D$1, DATE(Initialisatie!$C$5,12,31)) - MAX($D$2, DATE(Initialisatie!$C$5,1,1)) + 1) &gt; 0,IFERROR(VALUE($D10),0)=0),
        AND(MAX(0, MIN($E$1, DATE(Initialisatie!$C$5,12,31)) - MAX($E$2, DATE(Initialisatie!$C$5,1,1)) + 1) &gt; 0,IFERROR(VALUE($E10),0)=0),
        AND(MAX(0, MIN($F$1, DATE(Initialisatie!$C$5,12,31)) - MAX($F$2, DATE(Initialisatie!$C$5,1,1)) + 1) &gt; 0,IFERROR(VALUE($F10),0)=0),
        AND(MAX(0, MIN($G$1, DATE(Initialisatie!$C$5,12,31)) - MAX($G$2, DATE(Initialisatie!$C$5,1,1)) + 1) &gt; 0,IFERROR(VALUE($G10),0)=0),
        AND(MAX(0, MIN($H$1, DATE(Initialisatie!$C$5,12,31)) - MAX($H$2, DATE(Initialisatie!$C$5,1,1)) + 1) &gt; 0,IFERROR(VALUE($H10),0)=0)
    ),
    0,
    SUM(
        IFERROR(VALUE($D10),0) * MAX(0, MIN($D$1, DATE(Initialisatie!$C$5,12,31)) - MAX($D$2, DATE(Initialisatie!$C$5,1,1)) + 1),
        IFERROR(VALUE($E10),0) * MAX(0, MIN($E$1, DATE(Initialisatie!$C$5,12,31)) - MAX($E$2, DATE(Initialisatie!$C$5,1,1)) + 1),
        IFERROR(VALUE($F10),0) * MAX(0, MIN($F$1, DATE(Initialisatie!$C$5,12,31)) - MAX($F$2, DATE(Initialisatie!$C$5,1,1)) + 1),
        IFERROR(VALUE($G10),0) * MAX(0, MIN($G$1, DATE(Initialisatie!$C$5,12,31)) - MAX($G$2, DATE(Initialisatie!$C$5,1,1)) + 1),
        IFERROR(VALUE($H10),0) * MAX(0, MIN($H$1, DATE(Initialisatie!$C$5,12,31)) - MAX($H$2, DATE(Initialisatie!$C$5,1,1)) + 1)
    ) / (DATE(Initialisatie!$C$5,12,31) - DATE(Initialisatie!$C$5,1,1) + 1)
)</f>
        <v>2524.6684931506848</v>
      </c>
      <c r="K10">
        <f>IF(
    OR(
        AND(MAX(0, IF(MIN($D$1, DATE(Initialisatie!$C$5,12,31)) &lt; MAX($D$2, DATE(Initialisatie!$C$5,1,1)), 0, MONTH(MIN($D$1, DATE(Initialisatie!$C$5,12,31))) - MONTH(MAX($D$2, DATE(Initialisatie!$C$5,1,1))) + 1)) &lt;= 0, IFERROR(VALUE($D10),0)=0),
        AND(MAX(0, IF(MIN($E$1, DATE(Initialisatie!$C$5,12,31)) &lt; MAX($E$2, DATE(Initialisatie!$C$5,1,1)), 0, MONTH(MIN($E$1, DATE(Initialisatie!$C$5,12,31))) - MONTH(MAX($E$2, DATE(Initialisatie!$C$5,1,1))) + 1)) &lt;= 0, IFERROR(VALUE($E10),0)=0),
        AND(MAX(0, IF(MIN($F$1, DATE(Initialisatie!$C$5,12,31)) &lt; MAX($F$2, DATE(Initialisatie!$C$5,1,1)), 0, MONTH(MIN($F$1, DATE(Initialisatie!$C$5,12,31))) - MONTH(MAX($F$2, DATE(Initialisatie!$C$5,1,1))) + 1)) &lt;= 0, IFERROR(VALUE($F10),0)=0),
        AND(MAX(0, IF(MIN($G$1, DATE(Initialisatie!$C$5,12,31)) &lt; MAX($G$2, DATE(Initialisatie!$C$5,1,1)), 0, MONTH(MIN($G$1, DATE(Initialisatie!$C$5,12,31))) - MONTH(MAX($G$2, DATE(Initialisatie!$C$5,1,1))) + 1)) &lt;= 0, IFERROR(VALUE($G10),0)=0),
        AND(MAX(0, IF(MIN($H$1, DATE(Initialisatie!$C$5,12,31)) &lt; MAX($H$2, DATE(Initialisatie!$C$5,1,1)), 0, MONTH(MIN($H$1, DATE(Initialisatie!$C$5,12,31))) - MONTH(MAX($H$2, DATE(Initialisatie!$C$5,1,1))) + 1)) &lt;= 0, IFERROR(VALUE($H10),0)=0)
    ),
    0,
    SUM(
        IFERROR(VALUE($D10),0) * MAX(0, IF(MIN($D$1, DATE(Initialisatie!$C$5,12,31)) &lt; MAX($D$2, DATE(Initialisatie!$C$5,1,1)), 0, MONTH(MIN($D$1, DATE(Initialisatie!$C$5,12,31))) - MONTH(MAX($D$2, DATE(Initialisatie!$C$5,1,1))) + 1)),
        IFERROR(VALUE($E10),0) * MAX(0, IF(MIN($E$1, DATE(Initialisatie!$C$5,12,31)) &lt; MAX($E$2, DATE(Initialisatie!$C$5,1,1)), 0, MONTH(MIN($E$1, DATE(Initialisatie!$C$5,12,31))) - MONTH(MAX($E$2, DATE(Initialisatie!$C$5,1,1))) + 1)),
        IFERROR(VALUE($F10),0) * MAX(0, IF(MIN($F$1, DATE(Initialisatie!$C$5,12,31)) &lt; MAX($F$2, DATE(Initialisatie!$C$5,1,1)), 0, MONTH(MIN($F$1, DATE(Initialisatie!$C$5,12,31))) - MONTH(MAX($F$2, DATE(Initialisatie!$C$5,1,1))) + 1)),
        IFERROR(VALUE($G10),0) * MAX(0, IF(MIN($G$1, DATE(Initialisatie!$C$5,12,31)) &lt; MAX($G$2, DATE(Initialisatie!$C$5,1,1)), 0, MONTH(MIN($G$1, DATE(Initialisatie!$C$5,12,31))) - MONTH(MAX($G$2, DATE(Initialisatie!$C$5,1,1))) + 1)),
        IFERROR(VALUE($H10),0) * MAX(0, IF(MIN($H$1, DATE(Initialisatie!$C$5,12,31)) &lt; MAX($H$2, DATE(Initialisatie!$C$5,1,1)), 0, MONTH(MIN($H$1, DATE(Initialisatie!$C$5,12,31))) - MONTH(MAX($H$2, DATE(Initialisatie!$C$5,1,1))) + 1))
    ) / 12
)</f>
        <v>2524.5</v>
      </c>
    </row>
    <row r="11" spans="1:11" x14ac:dyDescent="0.45">
      <c r="A11" s="989"/>
      <c r="B11" s="371">
        <v>6</v>
      </c>
      <c r="C11" s="371" t="s">
        <v>109</v>
      </c>
      <c r="D11" t="s">
        <v>1592</v>
      </c>
      <c r="E11" t="s">
        <v>1591</v>
      </c>
      <c r="F11" t="s">
        <v>1593</v>
      </c>
      <c r="G11" t="s">
        <v>1593</v>
      </c>
      <c r="H11" t="s">
        <v>1620</v>
      </c>
      <c r="J11">
        <f>IF(
    OR(
        AND(MAX(0, MIN($D$1, DATE(Initialisatie!$C$5,12,31)) - MAX($D$2, DATE(Initialisatie!$C$5,1,1)) + 1) &gt; 0,IFERROR(VALUE($D11),0)=0),
        AND(MAX(0, MIN($E$1, DATE(Initialisatie!$C$5,12,31)) - MAX($E$2, DATE(Initialisatie!$C$5,1,1)) + 1) &gt; 0,IFERROR(VALUE($E11),0)=0),
        AND(MAX(0, MIN($F$1, DATE(Initialisatie!$C$5,12,31)) - MAX($F$2, DATE(Initialisatie!$C$5,1,1)) + 1) &gt; 0,IFERROR(VALUE($F11),0)=0),
        AND(MAX(0, MIN($G$1, DATE(Initialisatie!$C$5,12,31)) - MAX($G$2, DATE(Initialisatie!$C$5,1,1)) + 1) &gt; 0,IFERROR(VALUE($G11),0)=0),
        AND(MAX(0, MIN($H$1, DATE(Initialisatie!$C$5,12,31)) - MAX($H$2, DATE(Initialisatie!$C$5,1,1)) + 1) &gt; 0,IFERROR(VALUE($H11),0)=0)
    ),
    0,
    SUM(
        IFERROR(VALUE($D11),0) * MAX(0, MIN($D$1, DATE(Initialisatie!$C$5,12,31)) - MAX($D$2, DATE(Initialisatie!$C$5,1,1)) + 1),
        IFERROR(VALUE($E11),0) * MAX(0, MIN($E$1, DATE(Initialisatie!$C$5,12,31)) - MAX($E$2, DATE(Initialisatie!$C$5,1,1)) + 1),
        IFERROR(VALUE($F11),0) * MAX(0, MIN($F$1, DATE(Initialisatie!$C$5,12,31)) - MAX($F$2, DATE(Initialisatie!$C$5,1,1)) + 1),
        IFERROR(VALUE($G11),0) * MAX(0, MIN($G$1, DATE(Initialisatie!$C$5,12,31)) - MAX($G$2, DATE(Initialisatie!$C$5,1,1)) + 1),
        IFERROR(VALUE($H11),0) * MAX(0, MIN($H$1, DATE(Initialisatie!$C$5,12,31)) - MAX($H$2, DATE(Initialisatie!$C$5,1,1)) + 1)
    ) / (DATE(Initialisatie!$C$5,12,31) - DATE(Initialisatie!$C$5,1,1) + 1)
)</f>
        <v>2564.3123287671233</v>
      </c>
      <c r="K11">
        <f>IF(
    OR(
        AND(MAX(0, IF(MIN($D$1, DATE(Initialisatie!$C$5,12,31)) &lt; MAX($D$2, DATE(Initialisatie!$C$5,1,1)), 0, MONTH(MIN($D$1, DATE(Initialisatie!$C$5,12,31))) - MONTH(MAX($D$2, DATE(Initialisatie!$C$5,1,1))) + 1)) &lt;= 0, IFERROR(VALUE($D11),0)=0),
        AND(MAX(0, IF(MIN($E$1, DATE(Initialisatie!$C$5,12,31)) &lt; MAX($E$2, DATE(Initialisatie!$C$5,1,1)), 0, MONTH(MIN($E$1, DATE(Initialisatie!$C$5,12,31))) - MONTH(MAX($E$2, DATE(Initialisatie!$C$5,1,1))) + 1)) &lt;= 0, IFERROR(VALUE($E11),0)=0),
        AND(MAX(0, IF(MIN($F$1, DATE(Initialisatie!$C$5,12,31)) &lt; MAX($F$2, DATE(Initialisatie!$C$5,1,1)), 0, MONTH(MIN($F$1, DATE(Initialisatie!$C$5,12,31))) - MONTH(MAX($F$2, DATE(Initialisatie!$C$5,1,1))) + 1)) &lt;= 0, IFERROR(VALUE($F11),0)=0),
        AND(MAX(0, IF(MIN($G$1, DATE(Initialisatie!$C$5,12,31)) &lt; MAX($G$2, DATE(Initialisatie!$C$5,1,1)), 0, MONTH(MIN($G$1, DATE(Initialisatie!$C$5,12,31))) - MONTH(MAX($G$2, DATE(Initialisatie!$C$5,1,1))) + 1)) &lt;= 0, IFERROR(VALUE($G11),0)=0),
        AND(MAX(0, IF(MIN($H$1, DATE(Initialisatie!$C$5,12,31)) &lt; MAX($H$2, DATE(Initialisatie!$C$5,1,1)), 0, MONTH(MIN($H$1, DATE(Initialisatie!$C$5,12,31))) - MONTH(MAX($H$2, DATE(Initialisatie!$C$5,1,1))) + 1)) &lt;= 0, IFERROR(VALUE($H11),0)=0)
    ),
    0,
    SUM(
        IFERROR(VALUE($D11),0) * MAX(0, IF(MIN($D$1, DATE(Initialisatie!$C$5,12,31)) &lt; MAX($D$2, DATE(Initialisatie!$C$5,1,1)), 0, MONTH(MIN($D$1, DATE(Initialisatie!$C$5,12,31))) - MONTH(MAX($D$2, DATE(Initialisatie!$C$5,1,1))) + 1)),
        IFERROR(VALUE($E11),0) * MAX(0, IF(MIN($E$1, DATE(Initialisatie!$C$5,12,31)) &lt; MAX($E$2, DATE(Initialisatie!$C$5,1,1)), 0, MONTH(MIN($E$1, DATE(Initialisatie!$C$5,12,31))) - MONTH(MAX($E$2, DATE(Initialisatie!$C$5,1,1))) + 1)),
        IFERROR(VALUE($F11),0) * MAX(0, IF(MIN($F$1, DATE(Initialisatie!$C$5,12,31)) &lt; MAX($F$2, DATE(Initialisatie!$C$5,1,1)), 0, MONTH(MIN($F$1, DATE(Initialisatie!$C$5,12,31))) - MONTH(MAX($F$2, DATE(Initialisatie!$C$5,1,1))) + 1)),
        IFERROR(VALUE($G11),0) * MAX(0, IF(MIN($G$1, DATE(Initialisatie!$C$5,12,31)) &lt; MAX($G$2, DATE(Initialisatie!$C$5,1,1)), 0, MONTH(MIN($G$1, DATE(Initialisatie!$C$5,12,31))) - MONTH(MAX($G$2, DATE(Initialisatie!$C$5,1,1))) + 1)),
        IFERROR(VALUE($H11),0) * MAX(0, IF(MIN($H$1, DATE(Initialisatie!$C$5,12,31)) &lt; MAX($H$2, DATE(Initialisatie!$C$5,1,1)), 0, MONTH(MIN($H$1, DATE(Initialisatie!$C$5,12,31))) - MONTH(MAX($H$2, DATE(Initialisatie!$C$5,1,1))) + 1))
    ) / 12
)</f>
        <v>2564</v>
      </c>
    </row>
    <row r="12" spans="1:11" x14ac:dyDescent="0.45">
      <c r="A12" s="989"/>
      <c r="B12" s="371">
        <v>7</v>
      </c>
      <c r="C12" s="371" t="s">
        <v>107</v>
      </c>
      <c r="D12" t="s">
        <v>1598</v>
      </c>
      <c r="E12" t="s">
        <v>1597</v>
      </c>
      <c r="F12" t="s">
        <v>1599</v>
      </c>
      <c r="G12" t="s">
        <v>1599</v>
      </c>
      <c r="H12" t="s">
        <v>1621</v>
      </c>
      <c r="J12">
        <f>IF(
    OR(
        AND(MAX(0, MIN($D$1, DATE(Initialisatie!$C$5,12,31)) - MAX($D$2, DATE(Initialisatie!$C$5,1,1)) + 1) &gt; 0,IFERROR(VALUE($D12),0)=0),
        AND(MAX(0, MIN($E$1, DATE(Initialisatie!$C$5,12,31)) - MAX($E$2, DATE(Initialisatie!$C$5,1,1)) + 1) &gt; 0,IFERROR(VALUE($E12),0)=0),
        AND(MAX(0, MIN($F$1, DATE(Initialisatie!$C$5,12,31)) - MAX($F$2, DATE(Initialisatie!$C$5,1,1)) + 1) &gt; 0,IFERROR(VALUE($F12),0)=0),
        AND(MAX(0, MIN($G$1, DATE(Initialisatie!$C$5,12,31)) - MAX($G$2, DATE(Initialisatie!$C$5,1,1)) + 1) &gt; 0,IFERROR(VALUE($G12),0)=0),
        AND(MAX(0, MIN($H$1, DATE(Initialisatie!$C$5,12,31)) - MAX($H$2, DATE(Initialisatie!$C$5,1,1)) + 1) &gt; 0,IFERROR(VALUE($H12),0)=0)
    ),
    0,
    SUM(
        IFERROR(VALUE($D12),0) * MAX(0, MIN($D$1, DATE(Initialisatie!$C$5,12,31)) - MAX($D$2, DATE(Initialisatie!$C$5,1,1)) + 1),
        IFERROR(VALUE($E12),0) * MAX(0, MIN($E$1, DATE(Initialisatie!$C$5,12,31)) - MAX($E$2, DATE(Initialisatie!$C$5,1,1)) + 1),
        IFERROR(VALUE($F12),0) * MAX(0, MIN($F$1, DATE(Initialisatie!$C$5,12,31)) - MAX($F$2, DATE(Initialisatie!$C$5,1,1)) + 1),
        IFERROR(VALUE($G12),0) * MAX(0, MIN($G$1, DATE(Initialisatie!$C$5,12,31)) - MAX($G$2, DATE(Initialisatie!$C$5,1,1)) + 1),
        IFERROR(VALUE($H12),0) * MAX(0, MIN($H$1, DATE(Initialisatie!$C$5,12,31)) - MAX($H$2, DATE(Initialisatie!$C$5,1,1)) + 1)
    ) / (DATE(Initialisatie!$C$5,12,31) - DATE(Initialisatie!$C$5,1,1) + 1)
)</f>
        <v>2628.3205479452054</v>
      </c>
      <c r="K12">
        <f>IF(
    OR(
        AND(MAX(0, IF(MIN($D$1, DATE(Initialisatie!$C$5,12,31)) &lt; MAX($D$2, DATE(Initialisatie!$C$5,1,1)), 0, MONTH(MIN($D$1, DATE(Initialisatie!$C$5,12,31))) - MONTH(MAX($D$2, DATE(Initialisatie!$C$5,1,1))) + 1)) &lt;= 0, IFERROR(VALUE($D12),0)=0),
        AND(MAX(0, IF(MIN($E$1, DATE(Initialisatie!$C$5,12,31)) &lt; MAX($E$2, DATE(Initialisatie!$C$5,1,1)), 0, MONTH(MIN($E$1, DATE(Initialisatie!$C$5,12,31))) - MONTH(MAX($E$2, DATE(Initialisatie!$C$5,1,1))) + 1)) &lt;= 0, IFERROR(VALUE($E12),0)=0),
        AND(MAX(0, IF(MIN($F$1, DATE(Initialisatie!$C$5,12,31)) &lt; MAX($F$2, DATE(Initialisatie!$C$5,1,1)), 0, MONTH(MIN($F$1, DATE(Initialisatie!$C$5,12,31))) - MONTH(MAX($F$2, DATE(Initialisatie!$C$5,1,1))) + 1)) &lt;= 0, IFERROR(VALUE($F12),0)=0),
        AND(MAX(0, IF(MIN($G$1, DATE(Initialisatie!$C$5,12,31)) &lt; MAX($G$2, DATE(Initialisatie!$C$5,1,1)), 0, MONTH(MIN($G$1, DATE(Initialisatie!$C$5,12,31))) - MONTH(MAX($G$2, DATE(Initialisatie!$C$5,1,1))) + 1)) &lt;= 0, IFERROR(VALUE($G12),0)=0),
        AND(MAX(0, IF(MIN($H$1, DATE(Initialisatie!$C$5,12,31)) &lt; MAX($H$2, DATE(Initialisatie!$C$5,1,1)), 0, MONTH(MIN($H$1, DATE(Initialisatie!$C$5,12,31))) - MONTH(MAX($H$2, DATE(Initialisatie!$C$5,1,1))) + 1)) &lt;= 0, IFERROR(VALUE($H12),0)=0)
    ),
    0,
    SUM(
        IFERROR(VALUE($D12),0) * MAX(0, IF(MIN($D$1, DATE(Initialisatie!$C$5,12,31)) &lt; MAX($D$2, DATE(Initialisatie!$C$5,1,1)), 0, MONTH(MIN($D$1, DATE(Initialisatie!$C$5,12,31))) - MONTH(MAX($D$2, DATE(Initialisatie!$C$5,1,1))) + 1)),
        IFERROR(VALUE($E12),0) * MAX(0, IF(MIN($E$1, DATE(Initialisatie!$C$5,12,31)) &lt; MAX($E$2, DATE(Initialisatie!$C$5,1,1)), 0, MONTH(MIN($E$1, DATE(Initialisatie!$C$5,12,31))) - MONTH(MAX($E$2, DATE(Initialisatie!$C$5,1,1))) + 1)),
        IFERROR(VALUE($F12),0) * MAX(0, IF(MIN($F$1, DATE(Initialisatie!$C$5,12,31)) &lt; MAX($F$2, DATE(Initialisatie!$C$5,1,1)), 0, MONTH(MIN($F$1, DATE(Initialisatie!$C$5,12,31))) - MONTH(MAX($F$2, DATE(Initialisatie!$C$5,1,1))) + 1)),
        IFERROR(VALUE($G12),0) * MAX(0, IF(MIN($G$1, DATE(Initialisatie!$C$5,12,31)) &lt; MAX($G$2, DATE(Initialisatie!$C$5,1,1)), 0, MONTH(MIN($G$1, DATE(Initialisatie!$C$5,12,31))) - MONTH(MAX($G$2, DATE(Initialisatie!$C$5,1,1))) + 1)),
        IFERROR(VALUE($H12),0) * MAX(0, IF(MIN($H$1, DATE(Initialisatie!$C$5,12,31)) &lt; MAX($H$2, DATE(Initialisatie!$C$5,1,1)), 0, MONTH(MIN($H$1, DATE(Initialisatie!$C$5,12,31))) - MONTH(MAX($H$2, DATE(Initialisatie!$C$5,1,1))) + 1))
    ) / 12
)</f>
        <v>2628</v>
      </c>
    </row>
    <row r="13" spans="1:11" x14ac:dyDescent="0.45">
      <c r="A13" s="990"/>
      <c r="B13" s="371">
        <v>8</v>
      </c>
      <c r="C13" s="371" t="s">
        <v>105</v>
      </c>
      <c r="D13" t="s">
        <v>1586</v>
      </c>
      <c r="E13" t="s">
        <v>1585</v>
      </c>
      <c r="F13" t="s">
        <v>1587</v>
      </c>
      <c r="G13" t="s">
        <v>1587</v>
      </c>
      <c r="H13" t="s">
        <v>1622</v>
      </c>
      <c r="J13">
        <f>IF(
    OR(
        AND(MAX(0, MIN($D$1, DATE(Initialisatie!$C$5,12,31)) - MAX($D$2, DATE(Initialisatie!$C$5,1,1)) + 1) &gt; 0,IFERROR(VALUE($D13),0)=0),
        AND(MAX(0, MIN($E$1, DATE(Initialisatie!$C$5,12,31)) - MAX($E$2, DATE(Initialisatie!$C$5,1,1)) + 1) &gt; 0,IFERROR(VALUE($E13),0)=0),
        AND(MAX(0, MIN($F$1, DATE(Initialisatie!$C$5,12,31)) - MAX($F$2, DATE(Initialisatie!$C$5,1,1)) + 1) &gt; 0,IFERROR(VALUE($F13),0)=0),
        AND(MAX(0, MIN($G$1, DATE(Initialisatie!$C$5,12,31)) - MAX($G$2, DATE(Initialisatie!$C$5,1,1)) + 1) &gt; 0,IFERROR(VALUE($G13),0)=0),
        AND(MAX(0, MIN($H$1, DATE(Initialisatie!$C$5,12,31)) - MAX($H$2, DATE(Initialisatie!$C$5,1,1)) + 1) &gt; 0,IFERROR(VALUE($H13),0)=0)
    ),
    0,
    SUM(
        IFERROR(VALUE($D13),0) * MAX(0, MIN($D$1, DATE(Initialisatie!$C$5,12,31)) - MAX($D$2, DATE(Initialisatie!$C$5,1,1)) + 1),
        IFERROR(VALUE($E13),0) * MAX(0, MIN($E$1, DATE(Initialisatie!$C$5,12,31)) - MAX($E$2, DATE(Initialisatie!$C$5,1,1)) + 1),
        IFERROR(VALUE($F13),0) * MAX(0, MIN($F$1, DATE(Initialisatie!$C$5,12,31)) - MAX($F$2, DATE(Initialisatie!$C$5,1,1)) + 1),
        IFERROR(VALUE($G13),0) * MAX(0, MIN($G$1, DATE(Initialisatie!$C$5,12,31)) - MAX($G$2, DATE(Initialisatie!$C$5,1,1)) + 1),
        IFERROR(VALUE($H13),0) * MAX(0, MIN($H$1, DATE(Initialisatie!$C$5,12,31)) - MAX($H$2, DATE(Initialisatie!$C$5,1,1)) + 1)
    ) / (DATE(Initialisatie!$C$5,12,31) - DATE(Initialisatie!$C$5,1,1) + 1)
)</f>
        <v>2695.3287671232879</v>
      </c>
      <c r="K13">
        <f>IF(
    OR(
        AND(MAX(0, IF(MIN($D$1, DATE(Initialisatie!$C$5,12,31)) &lt; MAX($D$2, DATE(Initialisatie!$C$5,1,1)), 0, MONTH(MIN($D$1, DATE(Initialisatie!$C$5,12,31))) - MONTH(MAX($D$2, DATE(Initialisatie!$C$5,1,1))) + 1)) &lt;= 0, IFERROR(VALUE($D13),0)=0),
        AND(MAX(0, IF(MIN($E$1, DATE(Initialisatie!$C$5,12,31)) &lt; MAX($E$2, DATE(Initialisatie!$C$5,1,1)), 0, MONTH(MIN($E$1, DATE(Initialisatie!$C$5,12,31))) - MONTH(MAX($E$2, DATE(Initialisatie!$C$5,1,1))) + 1)) &lt;= 0, IFERROR(VALUE($E13),0)=0),
        AND(MAX(0, IF(MIN($F$1, DATE(Initialisatie!$C$5,12,31)) &lt; MAX($F$2, DATE(Initialisatie!$C$5,1,1)), 0, MONTH(MIN($F$1, DATE(Initialisatie!$C$5,12,31))) - MONTH(MAX($F$2, DATE(Initialisatie!$C$5,1,1))) + 1)) &lt;= 0, IFERROR(VALUE($F13),0)=0),
        AND(MAX(0, IF(MIN($G$1, DATE(Initialisatie!$C$5,12,31)) &lt; MAX($G$2, DATE(Initialisatie!$C$5,1,1)), 0, MONTH(MIN($G$1, DATE(Initialisatie!$C$5,12,31))) - MONTH(MAX($G$2, DATE(Initialisatie!$C$5,1,1))) + 1)) &lt;= 0, IFERROR(VALUE($G13),0)=0),
        AND(MAX(0, IF(MIN($H$1, DATE(Initialisatie!$C$5,12,31)) &lt; MAX($H$2, DATE(Initialisatie!$C$5,1,1)), 0, MONTH(MIN($H$1, DATE(Initialisatie!$C$5,12,31))) - MONTH(MAX($H$2, DATE(Initialisatie!$C$5,1,1))) + 1)) &lt;= 0, IFERROR(VALUE($H13),0)=0)
    ),
    0,
    SUM(
        IFERROR(VALUE($D13),0) * MAX(0, IF(MIN($D$1, DATE(Initialisatie!$C$5,12,31)) &lt; MAX($D$2, DATE(Initialisatie!$C$5,1,1)), 0, MONTH(MIN($D$1, DATE(Initialisatie!$C$5,12,31))) - MONTH(MAX($D$2, DATE(Initialisatie!$C$5,1,1))) + 1)),
        IFERROR(VALUE($E13),0) * MAX(0, IF(MIN($E$1, DATE(Initialisatie!$C$5,12,31)) &lt; MAX($E$2, DATE(Initialisatie!$C$5,1,1)), 0, MONTH(MIN($E$1, DATE(Initialisatie!$C$5,12,31))) - MONTH(MAX($E$2, DATE(Initialisatie!$C$5,1,1))) + 1)),
        IFERROR(VALUE($F13),0) * MAX(0, IF(MIN($F$1, DATE(Initialisatie!$C$5,12,31)) &lt; MAX($F$2, DATE(Initialisatie!$C$5,1,1)), 0, MONTH(MIN($F$1, DATE(Initialisatie!$C$5,12,31))) - MONTH(MAX($F$2, DATE(Initialisatie!$C$5,1,1))) + 1)),
        IFERROR(VALUE($G13),0) * MAX(0, IF(MIN($G$1, DATE(Initialisatie!$C$5,12,31)) &lt; MAX($G$2, DATE(Initialisatie!$C$5,1,1)), 0, MONTH(MIN($G$1, DATE(Initialisatie!$C$5,12,31))) - MONTH(MAX($G$2, DATE(Initialisatie!$C$5,1,1))) + 1)),
        IFERROR(VALUE($H13),0) * MAX(0, IF(MIN($H$1, DATE(Initialisatie!$C$5,12,31)) &lt; MAX($H$2, DATE(Initialisatie!$C$5,1,1)), 0, MONTH(MIN($H$1, DATE(Initialisatie!$C$5,12,31))) - MONTH(MAX($H$2, DATE(Initialisatie!$C$5,1,1))) + 1))
    ) / 12
)</f>
        <v>2695</v>
      </c>
    </row>
    <row r="14" spans="1:11" x14ac:dyDescent="0.45">
      <c r="A14" s="993">
        <v>15</v>
      </c>
      <c r="B14" s="371">
        <v>0</v>
      </c>
      <c r="C14" s="371" t="s">
        <v>1281</v>
      </c>
      <c r="D14" t="s">
        <v>1606</v>
      </c>
      <c r="E14" t="s">
        <v>1616</v>
      </c>
      <c r="F14" t="s">
        <v>1616</v>
      </c>
      <c r="G14" t="s">
        <v>1618</v>
      </c>
      <c r="H14" t="s">
        <v>1618</v>
      </c>
      <c r="J14">
        <f>IF(
    OR(
        AND(MAX(0, MIN($D$1, DATE(Initialisatie!$C$5,12,31)) - MAX($D$2, DATE(Initialisatie!$C$5,1,1)) + 1) &gt; 0,IFERROR(VALUE($D14),0)=0),
        AND(MAX(0, MIN($E$1, DATE(Initialisatie!$C$5,12,31)) - MAX($E$2, DATE(Initialisatie!$C$5,1,1)) + 1) &gt; 0,IFERROR(VALUE($E14),0)=0),
        AND(MAX(0, MIN($F$1, DATE(Initialisatie!$C$5,12,31)) - MAX($F$2, DATE(Initialisatie!$C$5,1,1)) + 1) &gt; 0,IFERROR(VALUE($F14),0)=0),
        AND(MAX(0, MIN($G$1, DATE(Initialisatie!$C$5,12,31)) - MAX($G$2, DATE(Initialisatie!$C$5,1,1)) + 1) &gt; 0,IFERROR(VALUE($G14),0)=0),
        AND(MAX(0, MIN($H$1, DATE(Initialisatie!$C$5,12,31)) - MAX($H$2, DATE(Initialisatie!$C$5,1,1)) + 1) &gt; 0,IFERROR(VALUE($H14),0)=0)
    ),
    0,
    SUM(
        IFERROR(VALUE($D14),0) * MAX(0, MIN($D$1, DATE(Initialisatie!$C$5,12,31)) - MAX($D$2, DATE(Initialisatie!$C$5,1,1)) + 1),
        IFERROR(VALUE($E14),0) * MAX(0, MIN($E$1, DATE(Initialisatie!$C$5,12,31)) - MAX($E$2, DATE(Initialisatie!$C$5,1,1)) + 1),
        IFERROR(VALUE($F14),0) * MAX(0, MIN($F$1, DATE(Initialisatie!$C$5,12,31)) - MAX($F$2, DATE(Initialisatie!$C$5,1,1)) + 1),
        IFERROR(VALUE($G14),0) * MAX(0, MIN($G$1, DATE(Initialisatie!$C$5,12,31)) - MAX($G$2, DATE(Initialisatie!$C$5,1,1)) + 1),
        IFERROR(VALUE($H14),0) * MAX(0, MIN($H$1, DATE(Initialisatie!$C$5,12,31)) - MAX($H$2, DATE(Initialisatie!$C$5,1,1)) + 1)
    ) / (DATE(Initialisatie!$C$5,12,31) - DATE(Initialisatie!$C$5,1,1) + 1)
)</f>
        <v>2504</v>
      </c>
      <c r="K14">
        <f>IF(
    OR(
        AND(MAX(0, IF(MIN($D$1, DATE(Initialisatie!$C$5,12,31)) &lt; MAX($D$2, DATE(Initialisatie!$C$5,1,1)), 0, MONTH(MIN($D$1, DATE(Initialisatie!$C$5,12,31))) - MONTH(MAX($D$2, DATE(Initialisatie!$C$5,1,1))) + 1)) &lt;= 0, IFERROR(VALUE($D14),0)=0),
        AND(MAX(0, IF(MIN($E$1, DATE(Initialisatie!$C$5,12,31)) &lt; MAX($E$2, DATE(Initialisatie!$C$5,1,1)), 0, MONTH(MIN($E$1, DATE(Initialisatie!$C$5,12,31))) - MONTH(MAX($E$2, DATE(Initialisatie!$C$5,1,1))) + 1)) &lt;= 0, IFERROR(VALUE($E14),0)=0),
        AND(MAX(0, IF(MIN($F$1, DATE(Initialisatie!$C$5,12,31)) &lt; MAX($F$2, DATE(Initialisatie!$C$5,1,1)), 0, MONTH(MIN($F$1, DATE(Initialisatie!$C$5,12,31))) - MONTH(MAX($F$2, DATE(Initialisatie!$C$5,1,1))) + 1)) &lt;= 0, IFERROR(VALUE($F14),0)=0),
        AND(MAX(0, IF(MIN($G$1, DATE(Initialisatie!$C$5,12,31)) &lt; MAX($G$2, DATE(Initialisatie!$C$5,1,1)), 0, MONTH(MIN($G$1, DATE(Initialisatie!$C$5,12,31))) - MONTH(MAX($G$2, DATE(Initialisatie!$C$5,1,1))) + 1)) &lt;= 0, IFERROR(VALUE($G14),0)=0),
        AND(MAX(0, IF(MIN($H$1, DATE(Initialisatie!$C$5,12,31)) &lt; MAX($H$2, DATE(Initialisatie!$C$5,1,1)), 0, MONTH(MIN($H$1, DATE(Initialisatie!$C$5,12,31))) - MONTH(MAX($H$2, DATE(Initialisatie!$C$5,1,1))) + 1)) &lt;= 0, IFERROR(VALUE($H14),0)=0)
    ),
    0,
    SUM(
        IFERROR(VALUE($D14),0) * MAX(0, IF(MIN($D$1, DATE(Initialisatie!$C$5,12,31)) &lt; MAX($D$2, DATE(Initialisatie!$C$5,1,1)), 0, MONTH(MIN($D$1, DATE(Initialisatie!$C$5,12,31))) - MONTH(MAX($D$2, DATE(Initialisatie!$C$5,1,1))) + 1)),
        IFERROR(VALUE($E14),0) * MAX(0, IF(MIN($E$1, DATE(Initialisatie!$C$5,12,31)) &lt; MAX($E$2, DATE(Initialisatie!$C$5,1,1)), 0, MONTH(MIN($E$1, DATE(Initialisatie!$C$5,12,31))) - MONTH(MAX($E$2, DATE(Initialisatie!$C$5,1,1))) + 1)),
        IFERROR(VALUE($F14),0) * MAX(0, IF(MIN($F$1, DATE(Initialisatie!$C$5,12,31)) &lt; MAX($F$2, DATE(Initialisatie!$C$5,1,1)), 0, MONTH(MIN($F$1, DATE(Initialisatie!$C$5,12,31))) - MONTH(MAX($F$2, DATE(Initialisatie!$C$5,1,1))) + 1)),
        IFERROR(VALUE($G14),0) * MAX(0, IF(MIN($G$1, DATE(Initialisatie!$C$5,12,31)) &lt; MAX($G$2, DATE(Initialisatie!$C$5,1,1)), 0, MONTH(MIN($G$1, DATE(Initialisatie!$C$5,12,31))) - MONTH(MAX($G$2, DATE(Initialisatie!$C$5,1,1))) + 1)),
        IFERROR(VALUE($H14),0) * MAX(0, IF(MIN($H$1, DATE(Initialisatie!$C$5,12,31)) &lt; MAX($H$2, DATE(Initialisatie!$C$5,1,1)), 0, MONTH(MIN($H$1, DATE(Initialisatie!$C$5,12,31))) - MONTH(MAX($H$2, DATE(Initialisatie!$C$5,1,1))) + 1))
    ) / 12
)</f>
        <v>2504</v>
      </c>
    </row>
    <row r="15" spans="1:11" x14ac:dyDescent="0.45">
      <c r="A15" s="989"/>
      <c r="B15" s="371">
        <v>1</v>
      </c>
      <c r="C15" s="371" t="s">
        <v>1282</v>
      </c>
      <c r="D15" t="s">
        <v>1605</v>
      </c>
      <c r="E15" t="s">
        <v>1616</v>
      </c>
      <c r="F15" t="s">
        <v>1616</v>
      </c>
      <c r="G15" t="s">
        <v>1618</v>
      </c>
      <c r="H15" t="s">
        <v>1618</v>
      </c>
      <c r="J15">
        <f>IF(
    OR(
        AND(MAX(0, MIN($D$1, DATE(Initialisatie!$C$5,12,31)) - MAX($D$2, DATE(Initialisatie!$C$5,1,1)) + 1) &gt; 0,IFERROR(VALUE($D15),0)=0),
        AND(MAX(0, MIN($E$1, DATE(Initialisatie!$C$5,12,31)) - MAX($E$2, DATE(Initialisatie!$C$5,1,1)) + 1) &gt; 0,IFERROR(VALUE($E15),0)=0),
        AND(MAX(0, MIN($F$1, DATE(Initialisatie!$C$5,12,31)) - MAX($F$2, DATE(Initialisatie!$C$5,1,1)) + 1) &gt; 0,IFERROR(VALUE($F15),0)=0),
        AND(MAX(0, MIN($G$1, DATE(Initialisatie!$C$5,12,31)) - MAX($G$2, DATE(Initialisatie!$C$5,1,1)) + 1) &gt; 0,IFERROR(VALUE($G15),0)=0),
        AND(MAX(0, MIN($H$1, DATE(Initialisatie!$C$5,12,31)) - MAX($H$2, DATE(Initialisatie!$C$5,1,1)) + 1) &gt; 0,IFERROR(VALUE($H15),0)=0)
    ),
    0,
    SUM(
        IFERROR(VALUE($D15),0) * MAX(0, MIN($D$1, DATE(Initialisatie!$C$5,12,31)) - MAX($D$2, DATE(Initialisatie!$C$5,1,1)) + 1),
        IFERROR(VALUE($E15),0) * MAX(0, MIN($E$1, DATE(Initialisatie!$C$5,12,31)) - MAX($E$2, DATE(Initialisatie!$C$5,1,1)) + 1),
        IFERROR(VALUE($F15),0) * MAX(0, MIN($F$1, DATE(Initialisatie!$C$5,12,31)) - MAX($F$2, DATE(Initialisatie!$C$5,1,1)) + 1),
        IFERROR(VALUE($G15),0) * MAX(0, MIN($G$1, DATE(Initialisatie!$C$5,12,31)) - MAX($G$2, DATE(Initialisatie!$C$5,1,1)) + 1),
        IFERROR(VALUE($H15),0) * MAX(0, MIN($H$1, DATE(Initialisatie!$C$5,12,31)) - MAX($H$2, DATE(Initialisatie!$C$5,1,1)) + 1)
    ) / (DATE(Initialisatie!$C$5,12,31) - DATE(Initialisatie!$C$5,1,1) + 1)
)</f>
        <v>2504</v>
      </c>
      <c r="K15">
        <f>IF(
    OR(
        AND(MAX(0, IF(MIN($D$1, DATE(Initialisatie!$C$5,12,31)) &lt; MAX($D$2, DATE(Initialisatie!$C$5,1,1)), 0, MONTH(MIN($D$1, DATE(Initialisatie!$C$5,12,31))) - MONTH(MAX($D$2, DATE(Initialisatie!$C$5,1,1))) + 1)) &lt;= 0, IFERROR(VALUE($D15),0)=0),
        AND(MAX(0, IF(MIN($E$1, DATE(Initialisatie!$C$5,12,31)) &lt; MAX($E$2, DATE(Initialisatie!$C$5,1,1)), 0, MONTH(MIN($E$1, DATE(Initialisatie!$C$5,12,31))) - MONTH(MAX($E$2, DATE(Initialisatie!$C$5,1,1))) + 1)) &lt;= 0, IFERROR(VALUE($E15),0)=0),
        AND(MAX(0, IF(MIN($F$1, DATE(Initialisatie!$C$5,12,31)) &lt; MAX($F$2, DATE(Initialisatie!$C$5,1,1)), 0, MONTH(MIN($F$1, DATE(Initialisatie!$C$5,12,31))) - MONTH(MAX($F$2, DATE(Initialisatie!$C$5,1,1))) + 1)) &lt;= 0, IFERROR(VALUE($F15),0)=0),
        AND(MAX(0, IF(MIN($G$1, DATE(Initialisatie!$C$5,12,31)) &lt; MAX($G$2, DATE(Initialisatie!$C$5,1,1)), 0, MONTH(MIN($G$1, DATE(Initialisatie!$C$5,12,31))) - MONTH(MAX($G$2, DATE(Initialisatie!$C$5,1,1))) + 1)) &lt;= 0, IFERROR(VALUE($G15),0)=0),
        AND(MAX(0, IF(MIN($H$1, DATE(Initialisatie!$C$5,12,31)) &lt; MAX($H$2, DATE(Initialisatie!$C$5,1,1)), 0, MONTH(MIN($H$1, DATE(Initialisatie!$C$5,12,31))) - MONTH(MAX($H$2, DATE(Initialisatie!$C$5,1,1))) + 1)) &lt;= 0, IFERROR(VALUE($H15),0)=0)
    ),
    0,
    SUM(
        IFERROR(VALUE($D15),0) * MAX(0, IF(MIN($D$1, DATE(Initialisatie!$C$5,12,31)) &lt; MAX($D$2, DATE(Initialisatie!$C$5,1,1)), 0, MONTH(MIN($D$1, DATE(Initialisatie!$C$5,12,31))) - MONTH(MAX($D$2, DATE(Initialisatie!$C$5,1,1))) + 1)),
        IFERROR(VALUE($E15),0) * MAX(0, IF(MIN($E$1, DATE(Initialisatie!$C$5,12,31)) &lt; MAX($E$2, DATE(Initialisatie!$C$5,1,1)), 0, MONTH(MIN($E$1, DATE(Initialisatie!$C$5,12,31))) - MONTH(MAX($E$2, DATE(Initialisatie!$C$5,1,1))) + 1)),
        IFERROR(VALUE($F15),0) * MAX(0, IF(MIN($F$1, DATE(Initialisatie!$C$5,12,31)) &lt; MAX($F$2, DATE(Initialisatie!$C$5,1,1)), 0, MONTH(MIN($F$1, DATE(Initialisatie!$C$5,12,31))) - MONTH(MAX($F$2, DATE(Initialisatie!$C$5,1,1))) + 1)),
        IFERROR(VALUE($G15),0) * MAX(0, IF(MIN($G$1, DATE(Initialisatie!$C$5,12,31)) &lt; MAX($G$2, DATE(Initialisatie!$C$5,1,1)), 0, MONTH(MIN($G$1, DATE(Initialisatie!$C$5,12,31))) - MONTH(MAX($G$2, DATE(Initialisatie!$C$5,1,1))) + 1)),
        IFERROR(VALUE($H15),0) * MAX(0, IF(MIN($H$1, DATE(Initialisatie!$C$5,12,31)) &lt; MAX($H$2, DATE(Initialisatie!$C$5,1,1)), 0, MONTH(MIN($H$1, DATE(Initialisatie!$C$5,12,31))) - MONTH(MAX($H$2, DATE(Initialisatie!$C$5,1,1))) + 1))
    ) / 12
)</f>
        <v>2504</v>
      </c>
    </row>
    <row r="16" spans="1:11" x14ac:dyDescent="0.45">
      <c r="A16" s="989"/>
      <c r="B16" s="371">
        <v>2</v>
      </c>
      <c r="C16" s="371" t="s">
        <v>1283</v>
      </c>
      <c r="D16" t="s">
        <v>1603</v>
      </c>
      <c r="E16" t="s">
        <v>1616</v>
      </c>
      <c r="F16" t="s">
        <v>1604</v>
      </c>
      <c r="G16" t="s">
        <v>1618</v>
      </c>
      <c r="H16" t="s">
        <v>1618</v>
      </c>
      <c r="J16">
        <f>IF(
    OR(
        AND(MAX(0, MIN($D$1, DATE(Initialisatie!$C$5,12,31)) - MAX($D$2, DATE(Initialisatie!$C$5,1,1)) + 1) &gt; 0,IFERROR(VALUE($D16),0)=0),
        AND(MAX(0, MIN($E$1, DATE(Initialisatie!$C$5,12,31)) - MAX($E$2, DATE(Initialisatie!$C$5,1,1)) + 1) &gt; 0,IFERROR(VALUE($E16),0)=0),
        AND(MAX(0, MIN($F$1, DATE(Initialisatie!$C$5,12,31)) - MAX($F$2, DATE(Initialisatie!$C$5,1,1)) + 1) &gt; 0,IFERROR(VALUE($F16),0)=0),
        AND(MAX(0, MIN($G$1, DATE(Initialisatie!$C$5,12,31)) - MAX($G$2, DATE(Initialisatie!$C$5,1,1)) + 1) &gt; 0,IFERROR(VALUE($G16),0)=0),
        AND(MAX(0, MIN($H$1, DATE(Initialisatie!$C$5,12,31)) - MAX($H$2, DATE(Initialisatie!$C$5,1,1)) + 1) &gt; 0,IFERROR(VALUE($H16),0)=0)
    ),
    0,
    SUM(
        IFERROR(VALUE($D16),0) * MAX(0, MIN($D$1, DATE(Initialisatie!$C$5,12,31)) - MAX($D$2, DATE(Initialisatie!$C$5,1,1)) + 1),
        IFERROR(VALUE($E16),0) * MAX(0, MIN($E$1, DATE(Initialisatie!$C$5,12,31)) - MAX($E$2, DATE(Initialisatie!$C$5,1,1)) + 1),
        IFERROR(VALUE($F16),0) * MAX(0, MIN($F$1, DATE(Initialisatie!$C$5,12,31)) - MAX($F$2, DATE(Initialisatie!$C$5,1,1)) + 1),
        IFERROR(VALUE($G16),0) * MAX(0, MIN($G$1, DATE(Initialisatie!$C$5,12,31)) - MAX($G$2, DATE(Initialisatie!$C$5,1,1)) + 1),
        IFERROR(VALUE($H16),0) * MAX(0, MIN($H$1, DATE(Initialisatie!$C$5,12,31)) - MAX($H$2, DATE(Initialisatie!$C$5,1,1)) + 1)
    ) / (DATE(Initialisatie!$C$5,12,31) - DATE(Initialisatie!$C$5,1,1) + 1)
)</f>
        <v>2504</v>
      </c>
      <c r="K16">
        <f>IF(
    OR(
        AND(MAX(0, IF(MIN($D$1, DATE(Initialisatie!$C$5,12,31)) &lt; MAX($D$2, DATE(Initialisatie!$C$5,1,1)), 0, MONTH(MIN($D$1, DATE(Initialisatie!$C$5,12,31))) - MONTH(MAX($D$2, DATE(Initialisatie!$C$5,1,1))) + 1)) &lt;= 0, IFERROR(VALUE($D16),0)=0),
        AND(MAX(0, IF(MIN($E$1, DATE(Initialisatie!$C$5,12,31)) &lt; MAX($E$2, DATE(Initialisatie!$C$5,1,1)), 0, MONTH(MIN($E$1, DATE(Initialisatie!$C$5,12,31))) - MONTH(MAX($E$2, DATE(Initialisatie!$C$5,1,1))) + 1)) &lt;= 0, IFERROR(VALUE($E16),0)=0),
        AND(MAX(0, IF(MIN($F$1, DATE(Initialisatie!$C$5,12,31)) &lt; MAX($F$2, DATE(Initialisatie!$C$5,1,1)), 0, MONTH(MIN($F$1, DATE(Initialisatie!$C$5,12,31))) - MONTH(MAX($F$2, DATE(Initialisatie!$C$5,1,1))) + 1)) &lt;= 0, IFERROR(VALUE($F16),0)=0),
        AND(MAX(0, IF(MIN($G$1, DATE(Initialisatie!$C$5,12,31)) &lt; MAX($G$2, DATE(Initialisatie!$C$5,1,1)), 0, MONTH(MIN($G$1, DATE(Initialisatie!$C$5,12,31))) - MONTH(MAX($G$2, DATE(Initialisatie!$C$5,1,1))) + 1)) &lt;= 0, IFERROR(VALUE($G16),0)=0),
        AND(MAX(0, IF(MIN($H$1, DATE(Initialisatie!$C$5,12,31)) &lt; MAX($H$2, DATE(Initialisatie!$C$5,1,1)), 0, MONTH(MIN($H$1, DATE(Initialisatie!$C$5,12,31))) - MONTH(MAX($H$2, DATE(Initialisatie!$C$5,1,1))) + 1)) &lt;= 0, IFERROR(VALUE($H16),0)=0)
    ),
    0,
    SUM(
        IFERROR(VALUE($D16),0) * MAX(0, IF(MIN($D$1, DATE(Initialisatie!$C$5,12,31)) &lt; MAX($D$2, DATE(Initialisatie!$C$5,1,1)), 0, MONTH(MIN($D$1, DATE(Initialisatie!$C$5,12,31))) - MONTH(MAX($D$2, DATE(Initialisatie!$C$5,1,1))) + 1)),
        IFERROR(VALUE($E16),0) * MAX(0, IF(MIN($E$1, DATE(Initialisatie!$C$5,12,31)) &lt; MAX($E$2, DATE(Initialisatie!$C$5,1,1)), 0, MONTH(MIN($E$1, DATE(Initialisatie!$C$5,12,31))) - MONTH(MAX($E$2, DATE(Initialisatie!$C$5,1,1))) + 1)),
        IFERROR(VALUE($F16),0) * MAX(0, IF(MIN($F$1, DATE(Initialisatie!$C$5,12,31)) &lt; MAX($F$2, DATE(Initialisatie!$C$5,1,1)), 0, MONTH(MIN($F$1, DATE(Initialisatie!$C$5,12,31))) - MONTH(MAX($F$2, DATE(Initialisatie!$C$5,1,1))) + 1)),
        IFERROR(VALUE($G16),0) * MAX(0, IF(MIN($G$1, DATE(Initialisatie!$C$5,12,31)) &lt; MAX($G$2, DATE(Initialisatie!$C$5,1,1)), 0, MONTH(MIN($G$1, DATE(Initialisatie!$C$5,12,31))) - MONTH(MAX($G$2, DATE(Initialisatie!$C$5,1,1))) + 1)),
        IFERROR(VALUE($H16),0) * MAX(0, IF(MIN($H$1, DATE(Initialisatie!$C$5,12,31)) &lt; MAX($H$2, DATE(Initialisatie!$C$5,1,1)), 0, MONTH(MIN($H$1, DATE(Initialisatie!$C$5,12,31))) - MONTH(MAX($H$2, DATE(Initialisatie!$C$5,1,1))) + 1))
    ) / 12
)</f>
        <v>2504</v>
      </c>
    </row>
    <row r="17" spans="1:11" x14ac:dyDescent="0.45">
      <c r="A17" s="989"/>
      <c r="B17" s="371">
        <v>3</v>
      </c>
      <c r="C17" s="371" t="s">
        <v>1284</v>
      </c>
      <c r="D17" t="s">
        <v>1595</v>
      </c>
      <c r="E17" t="s">
        <v>1594</v>
      </c>
      <c r="F17" t="s">
        <v>1596</v>
      </c>
      <c r="G17" t="s">
        <v>1618</v>
      </c>
      <c r="H17" t="s">
        <v>1618</v>
      </c>
      <c r="J17">
        <f>IF(
    OR(
        AND(MAX(0, MIN($D$1, DATE(Initialisatie!$C$5,12,31)) - MAX($D$2, DATE(Initialisatie!$C$5,1,1)) + 1) &gt; 0,IFERROR(VALUE($D17),0)=0),
        AND(MAX(0, MIN($E$1, DATE(Initialisatie!$C$5,12,31)) - MAX($E$2, DATE(Initialisatie!$C$5,1,1)) + 1) &gt; 0,IFERROR(VALUE($E17),0)=0),
        AND(MAX(0, MIN($F$1, DATE(Initialisatie!$C$5,12,31)) - MAX($F$2, DATE(Initialisatie!$C$5,1,1)) + 1) &gt; 0,IFERROR(VALUE($F17),0)=0),
        AND(MAX(0, MIN($G$1, DATE(Initialisatie!$C$5,12,31)) - MAX($G$2, DATE(Initialisatie!$C$5,1,1)) + 1) &gt; 0,IFERROR(VALUE($G17),0)=0),
        AND(MAX(0, MIN($H$1, DATE(Initialisatie!$C$5,12,31)) - MAX($H$2, DATE(Initialisatie!$C$5,1,1)) + 1) &gt; 0,IFERROR(VALUE($H17),0)=0)
    ),
    0,
    SUM(
        IFERROR(VALUE($D17),0) * MAX(0, MIN($D$1, DATE(Initialisatie!$C$5,12,31)) - MAX($D$2, DATE(Initialisatie!$C$5,1,1)) + 1),
        IFERROR(VALUE($E17),0) * MAX(0, MIN($E$1, DATE(Initialisatie!$C$5,12,31)) - MAX($E$2, DATE(Initialisatie!$C$5,1,1)) + 1),
        IFERROR(VALUE($F17),0) * MAX(0, MIN($F$1, DATE(Initialisatie!$C$5,12,31)) - MAX($F$2, DATE(Initialisatie!$C$5,1,1)) + 1),
        IFERROR(VALUE($G17),0) * MAX(0, MIN($G$1, DATE(Initialisatie!$C$5,12,31)) - MAX($G$2, DATE(Initialisatie!$C$5,1,1)) + 1),
        IFERROR(VALUE($H17),0) * MAX(0, MIN($H$1, DATE(Initialisatie!$C$5,12,31)) - MAX($H$2, DATE(Initialisatie!$C$5,1,1)) + 1)
    ) / (DATE(Initialisatie!$C$5,12,31) - DATE(Initialisatie!$C$5,1,1) + 1)
)</f>
        <v>2504</v>
      </c>
      <c r="K17">
        <f>IF(
    OR(
        AND(MAX(0, IF(MIN($D$1, DATE(Initialisatie!$C$5,12,31)) &lt; MAX($D$2, DATE(Initialisatie!$C$5,1,1)), 0, MONTH(MIN($D$1, DATE(Initialisatie!$C$5,12,31))) - MONTH(MAX($D$2, DATE(Initialisatie!$C$5,1,1))) + 1)) &lt;= 0, IFERROR(VALUE($D17),0)=0),
        AND(MAX(0, IF(MIN($E$1, DATE(Initialisatie!$C$5,12,31)) &lt; MAX($E$2, DATE(Initialisatie!$C$5,1,1)), 0, MONTH(MIN($E$1, DATE(Initialisatie!$C$5,12,31))) - MONTH(MAX($E$2, DATE(Initialisatie!$C$5,1,1))) + 1)) &lt;= 0, IFERROR(VALUE($E17),0)=0),
        AND(MAX(0, IF(MIN($F$1, DATE(Initialisatie!$C$5,12,31)) &lt; MAX($F$2, DATE(Initialisatie!$C$5,1,1)), 0, MONTH(MIN($F$1, DATE(Initialisatie!$C$5,12,31))) - MONTH(MAX($F$2, DATE(Initialisatie!$C$5,1,1))) + 1)) &lt;= 0, IFERROR(VALUE($F17),0)=0),
        AND(MAX(0, IF(MIN($G$1, DATE(Initialisatie!$C$5,12,31)) &lt; MAX($G$2, DATE(Initialisatie!$C$5,1,1)), 0, MONTH(MIN($G$1, DATE(Initialisatie!$C$5,12,31))) - MONTH(MAX($G$2, DATE(Initialisatie!$C$5,1,1))) + 1)) &lt;= 0, IFERROR(VALUE($G17),0)=0),
        AND(MAX(0, IF(MIN($H$1, DATE(Initialisatie!$C$5,12,31)) &lt; MAX($H$2, DATE(Initialisatie!$C$5,1,1)), 0, MONTH(MIN($H$1, DATE(Initialisatie!$C$5,12,31))) - MONTH(MAX($H$2, DATE(Initialisatie!$C$5,1,1))) + 1)) &lt;= 0, IFERROR(VALUE($H17),0)=0)
    ),
    0,
    SUM(
        IFERROR(VALUE($D17),0) * MAX(0, IF(MIN($D$1, DATE(Initialisatie!$C$5,12,31)) &lt; MAX($D$2, DATE(Initialisatie!$C$5,1,1)), 0, MONTH(MIN($D$1, DATE(Initialisatie!$C$5,12,31))) - MONTH(MAX($D$2, DATE(Initialisatie!$C$5,1,1))) + 1)),
        IFERROR(VALUE($E17),0) * MAX(0, IF(MIN($E$1, DATE(Initialisatie!$C$5,12,31)) &lt; MAX($E$2, DATE(Initialisatie!$C$5,1,1)), 0, MONTH(MIN($E$1, DATE(Initialisatie!$C$5,12,31))) - MONTH(MAX($E$2, DATE(Initialisatie!$C$5,1,1))) + 1)),
        IFERROR(VALUE($F17),0) * MAX(0, IF(MIN($F$1, DATE(Initialisatie!$C$5,12,31)) &lt; MAX($F$2, DATE(Initialisatie!$C$5,1,1)), 0, MONTH(MIN($F$1, DATE(Initialisatie!$C$5,12,31))) - MONTH(MAX($F$2, DATE(Initialisatie!$C$5,1,1))) + 1)),
        IFERROR(VALUE($G17),0) * MAX(0, IF(MIN($G$1, DATE(Initialisatie!$C$5,12,31)) &lt; MAX($G$2, DATE(Initialisatie!$C$5,1,1)), 0, MONTH(MIN($G$1, DATE(Initialisatie!$C$5,12,31))) - MONTH(MAX($G$2, DATE(Initialisatie!$C$5,1,1))) + 1)),
        IFERROR(VALUE($H17),0) * MAX(0, IF(MIN($H$1, DATE(Initialisatie!$C$5,12,31)) &lt; MAX($H$2, DATE(Initialisatie!$C$5,1,1)), 0, MONTH(MIN($H$1, DATE(Initialisatie!$C$5,12,31))) - MONTH(MAX($H$2, DATE(Initialisatie!$C$5,1,1))) + 1))
    ) / 12
)</f>
        <v>2504</v>
      </c>
    </row>
    <row r="18" spans="1:11" x14ac:dyDescent="0.45">
      <c r="A18" s="989"/>
      <c r="B18" s="371">
        <v>4</v>
      </c>
      <c r="C18" s="371" t="s">
        <v>1285</v>
      </c>
      <c r="D18" t="s">
        <v>1601</v>
      </c>
      <c r="E18" t="s">
        <v>1600</v>
      </c>
      <c r="F18" t="s">
        <v>1596</v>
      </c>
      <c r="G18" t="s">
        <v>1618</v>
      </c>
      <c r="H18" t="s">
        <v>1619</v>
      </c>
      <c r="J18">
        <f>IF(
    OR(
        AND(MAX(0, MIN($D$1, DATE(Initialisatie!$C$5,12,31)) - MAX($D$2, DATE(Initialisatie!$C$5,1,1)) + 1) &gt; 0,IFERROR(VALUE($D18),0)=0),
        AND(MAX(0, MIN($E$1, DATE(Initialisatie!$C$5,12,31)) - MAX($E$2, DATE(Initialisatie!$C$5,1,1)) + 1) &gt; 0,IFERROR(VALUE($E18),0)=0),
        AND(MAX(0, MIN($F$1, DATE(Initialisatie!$C$5,12,31)) - MAX($F$2, DATE(Initialisatie!$C$5,1,1)) + 1) &gt; 0,IFERROR(VALUE($F18),0)=0),
        AND(MAX(0, MIN($G$1, DATE(Initialisatie!$C$5,12,31)) - MAX($G$2, DATE(Initialisatie!$C$5,1,1)) + 1) &gt; 0,IFERROR(VALUE($G18),0)=0),
        AND(MAX(0, MIN($H$1, DATE(Initialisatie!$C$5,12,31)) - MAX($H$2, DATE(Initialisatie!$C$5,1,1)) + 1) &gt; 0,IFERROR(VALUE($H18),0)=0)
    ),
    0,
    SUM(
        IFERROR(VALUE($D18),0) * MAX(0, MIN($D$1, DATE(Initialisatie!$C$5,12,31)) - MAX($D$2, DATE(Initialisatie!$C$5,1,1)) + 1),
        IFERROR(VALUE($E18),0) * MAX(0, MIN($E$1, DATE(Initialisatie!$C$5,12,31)) - MAX($E$2, DATE(Initialisatie!$C$5,1,1)) + 1),
        IFERROR(VALUE($F18),0) * MAX(0, MIN($F$1, DATE(Initialisatie!$C$5,12,31)) - MAX($F$2, DATE(Initialisatie!$C$5,1,1)) + 1),
        IFERROR(VALUE($G18),0) * MAX(0, MIN($G$1, DATE(Initialisatie!$C$5,12,31)) - MAX($G$2, DATE(Initialisatie!$C$5,1,1)) + 1),
        IFERROR(VALUE($H18),0) * MAX(0, MIN($H$1, DATE(Initialisatie!$C$5,12,31)) - MAX($H$2, DATE(Initialisatie!$C$5,1,1)) + 1)
    ) / (DATE(Initialisatie!$C$5,12,31) - DATE(Initialisatie!$C$5,1,1) + 1)
)</f>
        <v>2524.6684931506848</v>
      </c>
      <c r="K18">
        <f>IF(
    OR(
        AND(MAX(0, IF(MIN($D$1, DATE(Initialisatie!$C$5,12,31)) &lt; MAX($D$2, DATE(Initialisatie!$C$5,1,1)), 0, MONTH(MIN($D$1, DATE(Initialisatie!$C$5,12,31))) - MONTH(MAX($D$2, DATE(Initialisatie!$C$5,1,1))) + 1)) &lt;= 0, IFERROR(VALUE($D18),0)=0),
        AND(MAX(0, IF(MIN($E$1, DATE(Initialisatie!$C$5,12,31)) &lt; MAX($E$2, DATE(Initialisatie!$C$5,1,1)), 0, MONTH(MIN($E$1, DATE(Initialisatie!$C$5,12,31))) - MONTH(MAX($E$2, DATE(Initialisatie!$C$5,1,1))) + 1)) &lt;= 0, IFERROR(VALUE($E18),0)=0),
        AND(MAX(0, IF(MIN($F$1, DATE(Initialisatie!$C$5,12,31)) &lt; MAX($F$2, DATE(Initialisatie!$C$5,1,1)), 0, MONTH(MIN($F$1, DATE(Initialisatie!$C$5,12,31))) - MONTH(MAX($F$2, DATE(Initialisatie!$C$5,1,1))) + 1)) &lt;= 0, IFERROR(VALUE($F18),0)=0),
        AND(MAX(0, IF(MIN($G$1, DATE(Initialisatie!$C$5,12,31)) &lt; MAX($G$2, DATE(Initialisatie!$C$5,1,1)), 0, MONTH(MIN($G$1, DATE(Initialisatie!$C$5,12,31))) - MONTH(MAX($G$2, DATE(Initialisatie!$C$5,1,1))) + 1)) &lt;= 0, IFERROR(VALUE($G18),0)=0),
        AND(MAX(0, IF(MIN($H$1, DATE(Initialisatie!$C$5,12,31)) &lt; MAX($H$2, DATE(Initialisatie!$C$5,1,1)), 0, MONTH(MIN($H$1, DATE(Initialisatie!$C$5,12,31))) - MONTH(MAX($H$2, DATE(Initialisatie!$C$5,1,1))) + 1)) &lt;= 0, IFERROR(VALUE($H18),0)=0)
    ),
    0,
    SUM(
        IFERROR(VALUE($D18),0) * MAX(0, IF(MIN($D$1, DATE(Initialisatie!$C$5,12,31)) &lt; MAX($D$2, DATE(Initialisatie!$C$5,1,1)), 0, MONTH(MIN($D$1, DATE(Initialisatie!$C$5,12,31))) - MONTH(MAX($D$2, DATE(Initialisatie!$C$5,1,1))) + 1)),
        IFERROR(VALUE($E18),0) * MAX(0, IF(MIN($E$1, DATE(Initialisatie!$C$5,12,31)) &lt; MAX($E$2, DATE(Initialisatie!$C$5,1,1)), 0, MONTH(MIN($E$1, DATE(Initialisatie!$C$5,12,31))) - MONTH(MAX($E$2, DATE(Initialisatie!$C$5,1,1))) + 1)),
        IFERROR(VALUE($F18),0) * MAX(0, IF(MIN($F$1, DATE(Initialisatie!$C$5,12,31)) &lt; MAX($F$2, DATE(Initialisatie!$C$5,1,1)), 0, MONTH(MIN($F$1, DATE(Initialisatie!$C$5,12,31))) - MONTH(MAX($F$2, DATE(Initialisatie!$C$5,1,1))) + 1)),
        IFERROR(VALUE($G18),0) * MAX(0, IF(MIN($G$1, DATE(Initialisatie!$C$5,12,31)) &lt; MAX($G$2, DATE(Initialisatie!$C$5,1,1)), 0, MONTH(MIN($G$1, DATE(Initialisatie!$C$5,12,31))) - MONTH(MAX($G$2, DATE(Initialisatie!$C$5,1,1))) + 1)),
        IFERROR(VALUE($H18),0) * MAX(0, IF(MIN($H$1, DATE(Initialisatie!$C$5,12,31)) &lt; MAX($H$2, DATE(Initialisatie!$C$5,1,1)), 0, MONTH(MIN($H$1, DATE(Initialisatie!$C$5,12,31))) - MONTH(MAX($H$2, DATE(Initialisatie!$C$5,1,1))) + 1))
    ) / 12
)</f>
        <v>2524.5</v>
      </c>
    </row>
    <row r="19" spans="1:11" x14ac:dyDescent="0.45">
      <c r="A19" s="989"/>
      <c r="B19" s="371">
        <v>5</v>
      </c>
      <c r="C19" s="371" t="s">
        <v>109</v>
      </c>
      <c r="D19" t="s">
        <v>1592</v>
      </c>
      <c r="E19" t="s">
        <v>1591</v>
      </c>
      <c r="F19" t="s">
        <v>1593</v>
      </c>
      <c r="G19" t="s">
        <v>1593</v>
      </c>
      <c r="H19" t="s">
        <v>1620</v>
      </c>
      <c r="J19">
        <f>IF(
    OR(
        AND(MAX(0, MIN($D$1, DATE(Initialisatie!$C$5,12,31)) - MAX($D$2, DATE(Initialisatie!$C$5,1,1)) + 1) &gt; 0,IFERROR(VALUE($D19),0)=0),
        AND(MAX(0, MIN($E$1, DATE(Initialisatie!$C$5,12,31)) - MAX($E$2, DATE(Initialisatie!$C$5,1,1)) + 1) &gt; 0,IFERROR(VALUE($E19),0)=0),
        AND(MAX(0, MIN($F$1, DATE(Initialisatie!$C$5,12,31)) - MAX($F$2, DATE(Initialisatie!$C$5,1,1)) + 1) &gt; 0,IFERROR(VALUE($F19),0)=0),
        AND(MAX(0, MIN($G$1, DATE(Initialisatie!$C$5,12,31)) - MAX($G$2, DATE(Initialisatie!$C$5,1,1)) + 1) &gt; 0,IFERROR(VALUE($G19),0)=0),
        AND(MAX(0, MIN($H$1, DATE(Initialisatie!$C$5,12,31)) - MAX($H$2, DATE(Initialisatie!$C$5,1,1)) + 1) &gt; 0,IFERROR(VALUE($H19),0)=0)
    ),
    0,
    SUM(
        IFERROR(VALUE($D19),0) * MAX(0, MIN($D$1, DATE(Initialisatie!$C$5,12,31)) - MAX($D$2, DATE(Initialisatie!$C$5,1,1)) + 1),
        IFERROR(VALUE($E19),0) * MAX(0, MIN($E$1, DATE(Initialisatie!$C$5,12,31)) - MAX($E$2, DATE(Initialisatie!$C$5,1,1)) + 1),
        IFERROR(VALUE($F19),0) * MAX(0, MIN($F$1, DATE(Initialisatie!$C$5,12,31)) - MAX($F$2, DATE(Initialisatie!$C$5,1,1)) + 1),
        IFERROR(VALUE($G19),0) * MAX(0, MIN($G$1, DATE(Initialisatie!$C$5,12,31)) - MAX($G$2, DATE(Initialisatie!$C$5,1,1)) + 1),
        IFERROR(VALUE($H19),0) * MAX(0, MIN($H$1, DATE(Initialisatie!$C$5,12,31)) - MAX($H$2, DATE(Initialisatie!$C$5,1,1)) + 1)
    ) / (DATE(Initialisatie!$C$5,12,31) - DATE(Initialisatie!$C$5,1,1) + 1)
)</f>
        <v>2564.3123287671233</v>
      </c>
      <c r="K19">
        <f>IF(
    OR(
        AND(MAX(0, IF(MIN($D$1, DATE(Initialisatie!$C$5,12,31)) &lt; MAX($D$2, DATE(Initialisatie!$C$5,1,1)), 0, MONTH(MIN($D$1, DATE(Initialisatie!$C$5,12,31))) - MONTH(MAX($D$2, DATE(Initialisatie!$C$5,1,1))) + 1)) &lt;= 0, IFERROR(VALUE($D19),0)=0),
        AND(MAX(0, IF(MIN($E$1, DATE(Initialisatie!$C$5,12,31)) &lt; MAX($E$2, DATE(Initialisatie!$C$5,1,1)), 0, MONTH(MIN($E$1, DATE(Initialisatie!$C$5,12,31))) - MONTH(MAX($E$2, DATE(Initialisatie!$C$5,1,1))) + 1)) &lt;= 0, IFERROR(VALUE($E19),0)=0),
        AND(MAX(0, IF(MIN($F$1, DATE(Initialisatie!$C$5,12,31)) &lt; MAX($F$2, DATE(Initialisatie!$C$5,1,1)), 0, MONTH(MIN($F$1, DATE(Initialisatie!$C$5,12,31))) - MONTH(MAX($F$2, DATE(Initialisatie!$C$5,1,1))) + 1)) &lt;= 0, IFERROR(VALUE($F19),0)=0),
        AND(MAX(0, IF(MIN($G$1, DATE(Initialisatie!$C$5,12,31)) &lt; MAX($G$2, DATE(Initialisatie!$C$5,1,1)), 0, MONTH(MIN($G$1, DATE(Initialisatie!$C$5,12,31))) - MONTH(MAX($G$2, DATE(Initialisatie!$C$5,1,1))) + 1)) &lt;= 0, IFERROR(VALUE($G19),0)=0),
        AND(MAX(0, IF(MIN($H$1, DATE(Initialisatie!$C$5,12,31)) &lt; MAX($H$2, DATE(Initialisatie!$C$5,1,1)), 0, MONTH(MIN($H$1, DATE(Initialisatie!$C$5,12,31))) - MONTH(MAX($H$2, DATE(Initialisatie!$C$5,1,1))) + 1)) &lt;= 0, IFERROR(VALUE($H19),0)=0)
    ),
    0,
    SUM(
        IFERROR(VALUE($D19),0) * MAX(0, IF(MIN($D$1, DATE(Initialisatie!$C$5,12,31)) &lt; MAX($D$2, DATE(Initialisatie!$C$5,1,1)), 0, MONTH(MIN($D$1, DATE(Initialisatie!$C$5,12,31))) - MONTH(MAX($D$2, DATE(Initialisatie!$C$5,1,1))) + 1)),
        IFERROR(VALUE($E19),0) * MAX(0, IF(MIN($E$1, DATE(Initialisatie!$C$5,12,31)) &lt; MAX($E$2, DATE(Initialisatie!$C$5,1,1)), 0, MONTH(MIN($E$1, DATE(Initialisatie!$C$5,12,31))) - MONTH(MAX($E$2, DATE(Initialisatie!$C$5,1,1))) + 1)),
        IFERROR(VALUE($F19),0) * MAX(0, IF(MIN($F$1, DATE(Initialisatie!$C$5,12,31)) &lt; MAX($F$2, DATE(Initialisatie!$C$5,1,1)), 0, MONTH(MIN($F$1, DATE(Initialisatie!$C$5,12,31))) - MONTH(MAX($F$2, DATE(Initialisatie!$C$5,1,1))) + 1)),
        IFERROR(VALUE($G19),0) * MAX(0, IF(MIN($G$1, DATE(Initialisatie!$C$5,12,31)) &lt; MAX($G$2, DATE(Initialisatie!$C$5,1,1)), 0, MONTH(MIN($G$1, DATE(Initialisatie!$C$5,12,31))) - MONTH(MAX($G$2, DATE(Initialisatie!$C$5,1,1))) + 1)),
        IFERROR(VALUE($H19),0) * MAX(0, IF(MIN($H$1, DATE(Initialisatie!$C$5,12,31)) &lt; MAX($H$2, DATE(Initialisatie!$C$5,1,1)), 0, MONTH(MIN($H$1, DATE(Initialisatie!$C$5,12,31))) - MONTH(MAX($H$2, DATE(Initialisatie!$C$5,1,1))) + 1))
    ) / 12
)</f>
        <v>2564</v>
      </c>
    </row>
    <row r="20" spans="1:11" x14ac:dyDescent="0.45">
      <c r="A20" s="989"/>
      <c r="B20" s="371">
        <v>6</v>
      </c>
      <c r="C20" s="371" t="s">
        <v>107</v>
      </c>
      <c r="D20" t="s">
        <v>1598</v>
      </c>
      <c r="E20" t="s">
        <v>1597</v>
      </c>
      <c r="F20" t="s">
        <v>1599</v>
      </c>
      <c r="G20" t="s">
        <v>1599</v>
      </c>
      <c r="H20" t="s">
        <v>1621</v>
      </c>
      <c r="J20">
        <f>IF(
    OR(
        AND(MAX(0, MIN($D$1, DATE(Initialisatie!$C$5,12,31)) - MAX($D$2, DATE(Initialisatie!$C$5,1,1)) + 1) &gt; 0,IFERROR(VALUE($D20),0)=0),
        AND(MAX(0, MIN($E$1, DATE(Initialisatie!$C$5,12,31)) - MAX($E$2, DATE(Initialisatie!$C$5,1,1)) + 1) &gt; 0,IFERROR(VALUE($E20),0)=0),
        AND(MAX(0, MIN($F$1, DATE(Initialisatie!$C$5,12,31)) - MAX($F$2, DATE(Initialisatie!$C$5,1,1)) + 1) &gt; 0,IFERROR(VALUE($F20),0)=0),
        AND(MAX(0, MIN($G$1, DATE(Initialisatie!$C$5,12,31)) - MAX($G$2, DATE(Initialisatie!$C$5,1,1)) + 1) &gt; 0,IFERROR(VALUE($G20),0)=0),
        AND(MAX(0, MIN($H$1, DATE(Initialisatie!$C$5,12,31)) - MAX($H$2, DATE(Initialisatie!$C$5,1,1)) + 1) &gt; 0,IFERROR(VALUE($H20),0)=0)
    ),
    0,
    SUM(
        IFERROR(VALUE($D20),0) * MAX(0, MIN($D$1, DATE(Initialisatie!$C$5,12,31)) - MAX($D$2, DATE(Initialisatie!$C$5,1,1)) + 1),
        IFERROR(VALUE($E20),0) * MAX(0, MIN($E$1, DATE(Initialisatie!$C$5,12,31)) - MAX($E$2, DATE(Initialisatie!$C$5,1,1)) + 1),
        IFERROR(VALUE($F20),0) * MAX(0, MIN($F$1, DATE(Initialisatie!$C$5,12,31)) - MAX($F$2, DATE(Initialisatie!$C$5,1,1)) + 1),
        IFERROR(VALUE($G20),0) * MAX(0, MIN($G$1, DATE(Initialisatie!$C$5,12,31)) - MAX($G$2, DATE(Initialisatie!$C$5,1,1)) + 1),
        IFERROR(VALUE($H20),0) * MAX(0, MIN($H$1, DATE(Initialisatie!$C$5,12,31)) - MAX($H$2, DATE(Initialisatie!$C$5,1,1)) + 1)
    ) / (DATE(Initialisatie!$C$5,12,31) - DATE(Initialisatie!$C$5,1,1) + 1)
)</f>
        <v>2628.3205479452054</v>
      </c>
      <c r="K20">
        <f>IF(
    OR(
        AND(MAX(0, IF(MIN($D$1, DATE(Initialisatie!$C$5,12,31)) &lt; MAX($D$2, DATE(Initialisatie!$C$5,1,1)), 0, MONTH(MIN($D$1, DATE(Initialisatie!$C$5,12,31))) - MONTH(MAX($D$2, DATE(Initialisatie!$C$5,1,1))) + 1)) &lt;= 0, IFERROR(VALUE($D20),0)=0),
        AND(MAX(0, IF(MIN($E$1, DATE(Initialisatie!$C$5,12,31)) &lt; MAX($E$2, DATE(Initialisatie!$C$5,1,1)), 0, MONTH(MIN($E$1, DATE(Initialisatie!$C$5,12,31))) - MONTH(MAX($E$2, DATE(Initialisatie!$C$5,1,1))) + 1)) &lt;= 0, IFERROR(VALUE($E20),0)=0),
        AND(MAX(0, IF(MIN($F$1, DATE(Initialisatie!$C$5,12,31)) &lt; MAX($F$2, DATE(Initialisatie!$C$5,1,1)), 0, MONTH(MIN($F$1, DATE(Initialisatie!$C$5,12,31))) - MONTH(MAX($F$2, DATE(Initialisatie!$C$5,1,1))) + 1)) &lt;= 0, IFERROR(VALUE($F20),0)=0),
        AND(MAX(0, IF(MIN($G$1, DATE(Initialisatie!$C$5,12,31)) &lt; MAX($G$2, DATE(Initialisatie!$C$5,1,1)), 0, MONTH(MIN($G$1, DATE(Initialisatie!$C$5,12,31))) - MONTH(MAX($G$2, DATE(Initialisatie!$C$5,1,1))) + 1)) &lt;= 0, IFERROR(VALUE($G20),0)=0),
        AND(MAX(0, IF(MIN($H$1, DATE(Initialisatie!$C$5,12,31)) &lt; MAX($H$2, DATE(Initialisatie!$C$5,1,1)), 0, MONTH(MIN($H$1, DATE(Initialisatie!$C$5,12,31))) - MONTH(MAX($H$2, DATE(Initialisatie!$C$5,1,1))) + 1)) &lt;= 0, IFERROR(VALUE($H20),0)=0)
    ),
    0,
    SUM(
        IFERROR(VALUE($D20),0) * MAX(0, IF(MIN($D$1, DATE(Initialisatie!$C$5,12,31)) &lt; MAX($D$2, DATE(Initialisatie!$C$5,1,1)), 0, MONTH(MIN($D$1, DATE(Initialisatie!$C$5,12,31))) - MONTH(MAX($D$2, DATE(Initialisatie!$C$5,1,1))) + 1)),
        IFERROR(VALUE($E20),0) * MAX(0, IF(MIN($E$1, DATE(Initialisatie!$C$5,12,31)) &lt; MAX($E$2, DATE(Initialisatie!$C$5,1,1)), 0, MONTH(MIN($E$1, DATE(Initialisatie!$C$5,12,31))) - MONTH(MAX($E$2, DATE(Initialisatie!$C$5,1,1))) + 1)),
        IFERROR(VALUE($F20),0) * MAX(0, IF(MIN($F$1, DATE(Initialisatie!$C$5,12,31)) &lt; MAX($F$2, DATE(Initialisatie!$C$5,1,1)), 0, MONTH(MIN($F$1, DATE(Initialisatie!$C$5,12,31))) - MONTH(MAX($F$2, DATE(Initialisatie!$C$5,1,1))) + 1)),
        IFERROR(VALUE($G20),0) * MAX(0, IF(MIN($G$1, DATE(Initialisatie!$C$5,12,31)) &lt; MAX($G$2, DATE(Initialisatie!$C$5,1,1)), 0, MONTH(MIN($G$1, DATE(Initialisatie!$C$5,12,31))) - MONTH(MAX($G$2, DATE(Initialisatie!$C$5,1,1))) + 1)),
        IFERROR(VALUE($H20),0) * MAX(0, IF(MIN($H$1, DATE(Initialisatie!$C$5,12,31)) &lt; MAX($H$2, DATE(Initialisatie!$C$5,1,1)), 0, MONTH(MIN($H$1, DATE(Initialisatie!$C$5,12,31))) - MONTH(MAX($H$2, DATE(Initialisatie!$C$5,1,1))) + 1))
    ) / 12
)</f>
        <v>2628</v>
      </c>
    </row>
    <row r="21" spans="1:11" x14ac:dyDescent="0.45">
      <c r="A21" s="989"/>
      <c r="B21" s="371">
        <v>7</v>
      </c>
      <c r="C21" s="371" t="s">
        <v>105</v>
      </c>
      <c r="D21" t="s">
        <v>1586</v>
      </c>
      <c r="E21" t="s">
        <v>1585</v>
      </c>
      <c r="F21" t="s">
        <v>1587</v>
      </c>
      <c r="G21" t="s">
        <v>1587</v>
      </c>
      <c r="H21" t="s">
        <v>1622</v>
      </c>
      <c r="J21">
        <f>IF(
    OR(
        AND(MAX(0, MIN($D$1, DATE(Initialisatie!$C$5,12,31)) - MAX($D$2, DATE(Initialisatie!$C$5,1,1)) + 1) &gt; 0,IFERROR(VALUE($D21),0)=0),
        AND(MAX(0, MIN($E$1, DATE(Initialisatie!$C$5,12,31)) - MAX($E$2, DATE(Initialisatie!$C$5,1,1)) + 1) &gt; 0,IFERROR(VALUE($E21),0)=0),
        AND(MAX(0, MIN($F$1, DATE(Initialisatie!$C$5,12,31)) - MAX($F$2, DATE(Initialisatie!$C$5,1,1)) + 1) &gt; 0,IFERROR(VALUE($F21),0)=0),
        AND(MAX(0, MIN($G$1, DATE(Initialisatie!$C$5,12,31)) - MAX($G$2, DATE(Initialisatie!$C$5,1,1)) + 1) &gt; 0,IFERROR(VALUE($G21),0)=0),
        AND(MAX(0, MIN($H$1, DATE(Initialisatie!$C$5,12,31)) - MAX($H$2, DATE(Initialisatie!$C$5,1,1)) + 1) &gt; 0,IFERROR(VALUE($H21),0)=0)
    ),
    0,
    SUM(
        IFERROR(VALUE($D21),0) * MAX(0, MIN($D$1, DATE(Initialisatie!$C$5,12,31)) - MAX($D$2, DATE(Initialisatie!$C$5,1,1)) + 1),
        IFERROR(VALUE($E21),0) * MAX(0, MIN($E$1, DATE(Initialisatie!$C$5,12,31)) - MAX($E$2, DATE(Initialisatie!$C$5,1,1)) + 1),
        IFERROR(VALUE($F21),0) * MAX(0, MIN($F$1, DATE(Initialisatie!$C$5,12,31)) - MAX($F$2, DATE(Initialisatie!$C$5,1,1)) + 1),
        IFERROR(VALUE($G21),0) * MAX(0, MIN($G$1, DATE(Initialisatie!$C$5,12,31)) - MAX($G$2, DATE(Initialisatie!$C$5,1,1)) + 1),
        IFERROR(VALUE($H21),0) * MAX(0, MIN($H$1, DATE(Initialisatie!$C$5,12,31)) - MAX($H$2, DATE(Initialisatie!$C$5,1,1)) + 1)
    ) / (DATE(Initialisatie!$C$5,12,31) - DATE(Initialisatie!$C$5,1,1) + 1)
)</f>
        <v>2695.3287671232879</v>
      </c>
      <c r="K21">
        <f>IF(
    OR(
        AND(MAX(0, IF(MIN($D$1, DATE(Initialisatie!$C$5,12,31)) &lt; MAX($D$2, DATE(Initialisatie!$C$5,1,1)), 0, MONTH(MIN($D$1, DATE(Initialisatie!$C$5,12,31))) - MONTH(MAX($D$2, DATE(Initialisatie!$C$5,1,1))) + 1)) &lt;= 0, IFERROR(VALUE($D21),0)=0),
        AND(MAX(0, IF(MIN($E$1, DATE(Initialisatie!$C$5,12,31)) &lt; MAX($E$2, DATE(Initialisatie!$C$5,1,1)), 0, MONTH(MIN($E$1, DATE(Initialisatie!$C$5,12,31))) - MONTH(MAX($E$2, DATE(Initialisatie!$C$5,1,1))) + 1)) &lt;= 0, IFERROR(VALUE($E21),0)=0),
        AND(MAX(0, IF(MIN($F$1, DATE(Initialisatie!$C$5,12,31)) &lt; MAX($F$2, DATE(Initialisatie!$C$5,1,1)), 0, MONTH(MIN($F$1, DATE(Initialisatie!$C$5,12,31))) - MONTH(MAX($F$2, DATE(Initialisatie!$C$5,1,1))) + 1)) &lt;= 0, IFERROR(VALUE($F21),0)=0),
        AND(MAX(0, IF(MIN($G$1, DATE(Initialisatie!$C$5,12,31)) &lt; MAX($G$2, DATE(Initialisatie!$C$5,1,1)), 0, MONTH(MIN($G$1, DATE(Initialisatie!$C$5,12,31))) - MONTH(MAX($G$2, DATE(Initialisatie!$C$5,1,1))) + 1)) &lt;= 0, IFERROR(VALUE($G21),0)=0),
        AND(MAX(0, IF(MIN($H$1, DATE(Initialisatie!$C$5,12,31)) &lt; MAX($H$2, DATE(Initialisatie!$C$5,1,1)), 0, MONTH(MIN($H$1, DATE(Initialisatie!$C$5,12,31))) - MONTH(MAX($H$2, DATE(Initialisatie!$C$5,1,1))) + 1)) &lt;= 0, IFERROR(VALUE($H21),0)=0)
    ),
    0,
    SUM(
        IFERROR(VALUE($D21),0) * MAX(0, IF(MIN($D$1, DATE(Initialisatie!$C$5,12,31)) &lt; MAX($D$2, DATE(Initialisatie!$C$5,1,1)), 0, MONTH(MIN($D$1, DATE(Initialisatie!$C$5,12,31))) - MONTH(MAX($D$2, DATE(Initialisatie!$C$5,1,1))) + 1)),
        IFERROR(VALUE($E21),0) * MAX(0, IF(MIN($E$1, DATE(Initialisatie!$C$5,12,31)) &lt; MAX($E$2, DATE(Initialisatie!$C$5,1,1)), 0, MONTH(MIN($E$1, DATE(Initialisatie!$C$5,12,31))) - MONTH(MAX($E$2, DATE(Initialisatie!$C$5,1,1))) + 1)),
        IFERROR(VALUE($F21),0) * MAX(0, IF(MIN($F$1, DATE(Initialisatie!$C$5,12,31)) &lt; MAX($F$2, DATE(Initialisatie!$C$5,1,1)), 0, MONTH(MIN($F$1, DATE(Initialisatie!$C$5,12,31))) - MONTH(MAX($F$2, DATE(Initialisatie!$C$5,1,1))) + 1)),
        IFERROR(VALUE($G21),0) * MAX(0, IF(MIN($G$1, DATE(Initialisatie!$C$5,12,31)) &lt; MAX($G$2, DATE(Initialisatie!$C$5,1,1)), 0, MONTH(MIN($G$1, DATE(Initialisatie!$C$5,12,31))) - MONTH(MAX($G$2, DATE(Initialisatie!$C$5,1,1))) + 1)),
        IFERROR(VALUE($H21),0) * MAX(0, IF(MIN($H$1, DATE(Initialisatie!$C$5,12,31)) &lt; MAX($H$2, DATE(Initialisatie!$C$5,1,1)), 0, MONTH(MIN($H$1, DATE(Initialisatie!$C$5,12,31))) - MONTH(MAX($H$2, DATE(Initialisatie!$C$5,1,1))) + 1))
    ) / 12
)</f>
        <v>2695</v>
      </c>
    </row>
    <row r="22" spans="1:11" x14ac:dyDescent="0.45">
      <c r="A22" s="989"/>
      <c r="B22" s="371">
        <v>8</v>
      </c>
      <c r="C22" s="371" t="s">
        <v>103</v>
      </c>
      <c r="D22" t="s">
        <v>1589</v>
      </c>
      <c r="E22" t="s">
        <v>1588</v>
      </c>
      <c r="F22" t="s">
        <v>1590</v>
      </c>
      <c r="G22" t="s">
        <v>1590</v>
      </c>
      <c r="H22" t="s">
        <v>1623</v>
      </c>
      <c r="J22">
        <f>IF(
    OR(
        AND(MAX(0, MIN($D$1, DATE(Initialisatie!$C$5,12,31)) - MAX($D$2, DATE(Initialisatie!$C$5,1,1)) + 1) &gt; 0,IFERROR(VALUE($D22),0)=0),
        AND(MAX(0, MIN($E$1, DATE(Initialisatie!$C$5,12,31)) - MAX($E$2, DATE(Initialisatie!$C$5,1,1)) + 1) &gt; 0,IFERROR(VALUE($E22),0)=0),
        AND(MAX(0, MIN($F$1, DATE(Initialisatie!$C$5,12,31)) - MAX($F$2, DATE(Initialisatie!$C$5,1,1)) + 1) &gt; 0,IFERROR(VALUE($F22),0)=0),
        AND(MAX(0, MIN($G$1, DATE(Initialisatie!$C$5,12,31)) - MAX($G$2, DATE(Initialisatie!$C$5,1,1)) + 1) &gt; 0,IFERROR(VALUE($G22),0)=0),
        AND(MAX(0, MIN($H$1, DATE(Initialisatie!$C$5,12,31)) - MAX($H$2, DATE(Initialisatie!$C$5,1,1)) + 1) &gt; 0,IFERROR(VALUE($H22),0)=0)
    ),
    0,
    SUM(
        IFERROR(VALUE($D22),0) * MAX(0, MIN($D$1, DATE(Initialisatie!$C$5,12,31)) - MAX($D$2, DATE(Initialisatie!$C$5,1,1)) + 1),
        IFERROR(VALUE($E22),0) * MAX(0, MIN($E$1, DATE(Initialisatie!$C$5,12,31)) - MAX($E$2, DATE(Initialisatie!$C$5,1,1)) + 1),
        IFERROR(VALUE($F22),0) * MAX(0, MIN($F$1, DATE(Initialisatie!$C$5,12,31)) - MAX($F$2, DATE(Initialisatie!$C$5,1,1)) + 1),
        IFERROR(VALUE($G22),0) * MAX(0, MIN($G$1, DATE(Initialisatie!$C$5,12,31)) - MAX($G$2, DATE(Initialisatie!$C$5,1,1)) + 1),
        IFERROR(VALUE($H22),0) * MAX(0, MIN($H$1, DATE(Initialisatie!$C$5,12,31)) - MAX($H$2, DATE(Initialisatie!$C$5,1,1)) + 1)
    ) / (DATE(Initialisatie!$C$5,12,31) - DATE(Initialisatie!$C$5,1,1) + 1)
)</f>
        <v>2770.33698630137</v>
      </c>
      <c r="K22">
        <f>IF(
    OR(
        AND(MAX(0, IF(MIN($D$1, DATE(Initialisatie!$C$5,12,31)) &lt; MAX($D$2, DATE(Initialisatie!$C$5,1,1)), 0, MONTH(MIN($D$1, DATE(Initialisatie!$C$5,12,31))) - MONTH(MAX($D$2, DATE(Initialisatie!$C$5,1,1))) + 1)) &lt;= 0, IFERROR(VALUE($D22),0)=0),
        AND(MAX(0, IF(MIN($E$1, DATE(Initialisatie!$C$5,12,31)) &lt; MAX($E$2, DATE(Initialisatie!$C$5,1,1)), 0, MONTH(MIN($E$1, DATE(Initialisatie!$C$5,12,31))) - MONTH(MAX($E$2, DATE(Initialisatie!$C$5,1,1))) + 1)) &lt;= 0, IFERROR(VALUE($E22),0)=0),
        AND(MAX(0, IF(MIN($F$1, DATE(Initialisatie!$C$5,12,31)) &lt; MAX($F$2, DATE(Initialisatie!$C$5,1,1)), 0, MONTH(MIN($F$1, DATE(Initialisatie!$C$5,12,31))) - MONTH(MAX($F$2, DATE(Initialisatie!$C$5,1,1))) + 1)) &lt;= 0, IFERROR(VALUE($F22),0)=0),
        AND(MAX(0, IF(MIN($G$1, DATE(Initialisatie!$C$5,12,31)) &lt; MAX($G$2, DATE(Initialisatie!$C$5,1,1)), 0, MONTH(MIN($G$1, DATE(Initialisatie!$C$5,12,31))) - MONTH(MAX($G$2, DATE(Initialisatie!$C$5,1,1))) + 1)) &lt;= 0, IFERROR(VALUE($G22),0)=0),
        AND(MAX(0, IF(MIN($H$1, DATE(Initialisatie!$C$5,12,31)) &lt; MAX($H$2, DATE(Initialisatie!$C$5,1,1)), 0, MONTH(MIN($H$1, DATE(Initialisatie!$C$5,12,31))) - MONTH(MAX($H$2, DATE(Initialisatie!$C$5,1,1))) + 1)) &lt;= 0, IFERROR(VALUE($H22),0)=0)
    ),
    0,
    SUM(
        IFERROR(VALUE($D22),0) * MAX(0, IF(MIN($D$1, DATE(Initialisatie!$C$5,12,31)) &lt; MAX($D$2, DATE(Initialisatie!$C$5,1,1)), 0, MONTH(MIN($D$1, DATE(Initialisatie!$C$5,12,31))) - MONTH(MAX($D$2, DATE(Initialisatie!$C$5,1,1))) + 1)),
        IFERROR(VALUE($E22),0) * MAX(0, IF(MIN($E$1, DATE(Initialisatie!$C$5,12,31)) &lt; MAX($E$2, DATE(Initialisatie!$C$5,1,1)), 0, MONTH(MIN($E$1, DATE(Initialisatie!$C$5,12,31))) - MONTH(MAX($E$2, DATE(Initialisatie!$C$5,1,1))) + 1)),
        IFERROR(VALUE($F22),0) * MAX(0, IF(MIN($F$1, DATE(Initialisatie!$C$5,12,31)) &lt; MAX($F$2, DATE(Initialisatie!$C$5,1,1)), 0, MONTH(MIN($F$1, DATE(Initialisatie!$C$5,12,31))) - MONTH(MAX($F$2, DATE(Initialisatie!$C$5,1,1))) + 1)),
        IFERROR(VALUE($G22),0) * MAX(0, IF(MIN($G$1, DATE(Initialisatie!$C$5,12,31)) &lt; MAX($G$2, DATE(Initialisatie!$C$5,1,1)), 0, MONTH(MIN($G$1, DATE(Initialisatie!$C$5,12,31))) - MONTH(MAX($G$2, DATE(Initialisatie!$C$5,1,1))) + 1)),
        IFERROR(VALUE($H22),0) * MAX(0, IF(MIN($H$1, DATE(Initialisatie!$C$5,12,31)) &lt; MAX($H$2, DATE(Initialisatie!$C$5,1,1)), 0, MONTH(MIN($H$1, DATE(Initialisatie!$C$5,12,31))) - MONTH(MAX($H$2, DATE(Initialisatie!$C$5,1,1))) + 1))
    ) / 12
)</f>
        <v>2770</v>
      </c>
    </row>
    <row r="23" spans="1:11" x14ac:dyDescent="0.45">
      <c r="A23" s="990"/>
      <c r="B23" s="371">
        <v>9</v>
      </c>
      <c r="C23" s="371" t="s">
        <v>1286</v>
      </c>
      <c r="D23" t="s">
        <v>1580</v>
      </c>
      <c r="E23" t="s">
        <v>1579</v>
      </c>
      <c r="F23" t="s">
        <v>1581</v>
      </c>
      <c r="G23" t="s">
        <v>1581</v>
      </c>
      <c r="H23" t="s">
        <v>1624</v>
      </c>
      <c r="J23">
        <f>IF(
    OR(
        AND(MAX(0, MIN($D$1, DATE(Initialisatie!$C$5,12,31)) - MAX($D$2, DATE(Initialisatie!$C$5,1,1)) + 1) &gt; 0,IFERROR(VALUE($D23),0)=0),
        AND(MAX(0, MIN($E$1, DATE(Initialisatie!$C$5,12,31)) - MAX($E$2, DATE(Initialisatie!$C$5,1,1)) + 1) &gt; 0,IFERROR(VALUE($E23),0)=0),
        AND(MAX(0, MIN($F$1, DATE(Initialisatie!$C$5,12,31)) - MAX($F$2, DATE(Initialisatie!$C$5,1,1)) + 1) &gt; 0,IFERROR(VALUE($F23),0)=0),
        AND(MAX(0, MIN($G$1, DATE(Initialisatie!$C$5,12,31)) - MAX($G$2, DATE(Initialisatie!$C$5,1,1)) + 1) &gt; 0,IFERROR(VALUE($G23),0)=0),
        AND(MAX(0, MIN($H$1, DATE(Initialisatie!$C$5,12,31)) - MAX($H$2, DATE(Initialisatie!$C$5,1,1)) + 1) &gt; 0,IFERROR(VALUE($H23),0)=0)
    ),
    0,
    SUM(
        IFERROR(VALUE($D23),0) * MAX(0, MIN($D$1, DATE(Initialisatie!$C$5,12,31)) - MAX($D$2, DATE(Initialisatie!$C$5,1,1)) + 1),
        IFERROR(VALUE($E23),0) * MAX(0, MIN($E$1, DATE(Initialisatie!$C$5,12,31)) - MAX($E$2, DATE(Initialisatie!$C$5,1,1)) + 1),
        IFERROR(VALUE($F23),0) * MAX(0, MIN($F$1, DATE(Initialisatie!$C$5,12,31)) - MAX($F$2, DATE(Initialisatie!$C$5,1,1)) + 1),
        IFERROR(VALUE($G23),0) * MAX(0, MIN($G$1, DATE(Initialisatie!$C$5,12,31)) - MAX($G$2, DATE(Initialisatie!$C$5,1,1)) + 1),
        IFERROR(VALUE($H23),0) * MAX(0, MIN($H$1, DATE(Initialisatie!$C$5,12,31)) - MAX($H$2, DATE(Initialisatie!$C$5,1,1)) + 1)
    ) / (DATE(Initialisatie!$C$5,12,31) - DATE(Initialisatie!$C$5,1,1) + 1)
)</f>
        <v>2846.345205479452</v>
      </c>
      <c r="K23">
        <f>IF(
    OR(
        AND(MAX(0, IF(MIN($D$1, DATE(Initialisatie!$C$5,12,31)) &lt; MAX($D$2, DATE(Initialisatie!$C$5,1,1)), 0, MONTH(MIN($D$1, DATE(Initialisatie!$C$5,12,31))) - MONTH(MAX($D$2, DATE(Initialisatie!$C$5,1,1))) + 1)) &lt;= 0, IFERROR(VALUE($D23),0)=0),
        AND(MAX(0, IF(MIN($E$1, DATE(Initialisatie!$C$5,12,31)) &lt; MAX($E$2, DATE(Initialisatie!$C$5,1,1)), 0, MONTH(MIN($E$1, DATE(Initialisatie!$C$5,12,31))) - MONTH(MAX($E$2, DATE(Initialisatie!$C$5,1,1))) + 1)) &lt;= 0, IFERROR(VALUE($E23),0)=0),
        AND(MAX(0, IF(MIN($F$1, DATE(Initialisatie!$C$5,12,31)) &lt; MAX($F$2, DATE(Initialisatie!$C$5,1,1)), 0, MONTH(MIN($F$1, DATE(Initialisatie!$C$5,12,31))) - MONTH(MAX($F$2, DATE(Initialisatie!$C$5,1,1))) + 1)) &lt;= 0, IFERROR(VALUE($F23),0)=0),
        AND(MAX(0, IF(MIN($G$1, DATE(Initialisatie!$C$5,12,31)) &lt; MAX($G$2, DATE(Initialisatie!$C$5,1,1)), 0, MONTH(MIN($G$1, DATE(Initialisatie!$C$5,12,31))) - MONTH(MAX($G$2, DATE(Initialisatie!$C$5,1,1))) + 1)) &lt;= 0, IFERROR(VALUE($G23),0)=0),
        AND(MAX(0, IF(MIN($H$1, DATE(Initialisatie!$C$5,12,31)) &lt; MAX($H$2, DATE(Initialisatie!$C$5,1,1)), 0, MONTH(MIN($H$1, DATE(Initialisatie!$C$5,12,31))) - MONTH(MAX($H$2, DATE(Initialisatie!$C$5,1,1))) + 1)) &lt;= 0, IFERROR(VALUE($H23),0)=0)
    ),
    0,
    SUM(
        IFERROR(VALUE($D23),0) * MAX(0, IF(MIN($D$1, DATE(Initialisatie!$C$5,12,31)) &lt; MAX($D$2, DATE(Initialisatie!$C$5,1,1)), 0, MONTH(MIN($D$1, DATE(Initialisatie!$C$5,12,31))) - MONTH(MAX($D$2, DATE(Initialisatie!$C$5,1,1))) + 1)),
        IFERROR(VALUE($E23),0) * MAX(0, IF(MIN($E$1, DATE(Initialisatie!$C$5,12,31)) &lt; MAX($E$2, DATE(Initialisatie!$C$5,1,1)), 0, MONTH(MIN($E$1, DATE(Initialisatie!$C$5,12,31))) - MONTH(MAX($E$2, DATE(Initialisatie!$C$5,1,1))) + 1)),
        IFERROR(VALUE($F23),0) * MAX(0, IF(MIN($F$1, DATE(Initialisatie!$C$5,12,31)) &lt; MAX($F$2, DATE(Initialisatie!$C$5,1,1)), 0, MONTH(MIN($F$1, DATE(Initialisatie!$C$5,12,31))) - MONTH(MAX($F$2, DATE(Initialisatie!$C$5,1,1))) + 1)),
        IFERROR(VALUE($G23),0) * MAX(0, IF(MIN($G$1, DATE(Initialisatie!$C$5,12,31)) &lt; MAX($G$2, DATE(Initialisatie!$C$5,1,1)), 0, MONTH(MIN($G$1, DATE(Initialisatie!$C$5,12,31))) - MONTH(MAX($G$2, DATE(Initialisatie!$C$5,1,1))) + 1)),
        IFERROR(VALUE($H23),0) * MAX(0, IF(MIN($H$1, DATE(Initialisatie!$C$5,12,31)) &lt; MAX($H$2, DATE(Initialisatie!$C$5,1,1)), 0, MONTH(MIN($H$1, DATE(Initialisatie!$C$5,12,31))) - MONTH(MAX($H$2, DATE(Initialisatie!$C$5,1,1))) + 1))
    ) / 12
)</f>
        <v>2846</v>
      </c>
    </row>
    <row r="24" spans="1:11" x14ac:dyDescent="0.45">
      <c r="A24" s="993">
        <v>20</v>
      </c>
      <c r="B24" s="371">
        <v>0</v>
      </c>
      <c r="C24" s="371" t="s">
        <v>1282</v>
      </c>
      <c r="D24" t="s">
        <v>1605</v>
      </c>
      <c r="E24" t="s">
        <v>1616</v>
      </c>
      <c r="F24" t="s">
        <v>1616</v>
      </c>
      <c r="G24" s="288">
        <v>2504</v>
      </c>
      <c r="H24" t="s">
        <v>1618</v>
      </c>
      <c r="J24">
        <f>IF(
    OR(
        AND(MAX(0, MIN($D$1, DATE(Initialisatie!$C$5,12,31)) - MAX($D$2, DATE(Initialisatie!$C$5,1,1)) + 1) &gt; 0,IFERROR(VALUE($D24),0)=0),
        AND(MAX(0, MIN($E$1, DATE(Initialisatie!$C$5,12,31)) - MAX($E$2, DATE(Initialisatie!$C$5,1,1)) + 1) &gt; 0,IFERROR(VALUE($E24),0)=0),
        AND(MAX(0, MIN($F$1, DATE(Initialisatie!$C$5,12,31)) - MAX($F$2, DATE(Initialisatie!$C$5,1,1)) + 1) &gt; 0,IFERROR(VALUE($F24),0)=0),
        AND(MAX(0, MIN($G$1, DATE(Initialisatie!$C$5,12,31)) - MAX($G$2, DATE(Initialisatie!$C$5,1,1)) + 1) &gt; 0,IFERROR(VALUE($G24),0)=0),
        AND(MAX(0, MIN($H$1, DATE(Initialisatie!$C$5,12,31)) - MAX($H$2, DATE(Initialisatie!$C$5,1,1)) + 1) &gt; 0,IFERROR(VALUE($H24),0)=0)
    ),
    0,
    SUM(
        IFERROR(VALUE($D24),0) * MAX(0, MIN($D$1, DATE(Initialisatie!$C$5,12,31)) - MAX($D$2, DATE(Initialisatie!$C$5,1,1)) + 1),
        IFERROR(VALUE($E24),0) * MAX(0, MIN($E$1, DATE(Initialisatie!$C$5,12,31)) - MAX($E$2, DATE(Initialisatie!$C$5,1,1)) + 1),
        IFERROR(VALUE($F24),0) * MAX(0, MIN($F$1, DATE(Initialisatie!$C$5,12,31)) - MAX($F$2, DATE(Initialisatie!$C$5,1,1)) + 1),
        IFERROR(VALUE($G24),0) * MAX(0, MIN($G$1, DATE(Initialisatie!$C$5,12,31)) - MAX($G$2, DATE(Initialisatie!$C$5,1,1)) + 1),
        IFERROR(VALUE($H24),0) * MAX(0, MIN($H$1, DATE(Initialisatie!$C$5,12,31)) - MAX($H$2, DATE(Initialisatie!$C$5,1,1)) + 1)
    ) / (DATE(Initialisatie!$C$5,12,31) - DATE(Initialisatie!$C$5,1,1) + 1)
)</f>
        <v>2504</v>
      </c>
      <c r="K24">
        <f>IF(
    OR(
        AND(MAX(0, IF(MIN($D$1, DATE(Initialisatie!$C$5,12,31)) &lt; MAX($D$2, DATE(Initialisatie!$C$5,1,1)), 0, MONTH(MIN($D$1, DATE(Initialisatie!$C$5,12,31))) - MONTH(MAX($D$2, DATE(Initialisatie!$C$5,1,1))) + 1)) &lt;= 0, IFERROR(VALUE($D24),0)=0),
        AND(MAX(0, IF(MIN($E$1, DATE(Initialisatie!$C$5,12,31)) &lt; MAX($E$2, DATE(Initialisatie!$C$5,1,1)), 0, MONTH(MIN($E$1, DATE(Initialisatie!$C$5,12,31))) - MONTH(MAX($E$2, DATE(Initialisatie!$C$5,1,1))) + 1)) &lt;= 0, IFERROR(VALUE($E24),0)=0),
        AND(MAX(0, IF(MIN($F$1, DATE(Initialisatie!$C$5,12,31)) &lt; MAX($F$2, DATE(Initialisatie!$C$5,1,1)), 0, MONTH(MIN($F$1, DATE(Initialisatie!$C$5,12,31))) - MONTH(MAX($F$2, DATE(Initialisatie!$C$5,1,1))) + 1)) &lt;= 0, IFERROR(VALUE($F24),0)=0),
        AND(MAX(0, IF(MIN($G$1, DATE(Initialisatie!$C$5,12,31)) &lt; MAX($G$2, DATE(Initialisatie!$C$5,1,1)), 0, MONTH(MIN($G$1, DATE(Initialisatie!$C$5,12,31))) - MONTH(MAX($G$2, DATE(Initialisatie!$C$5,1,1))) + 1)) &lt;= 0, IFERROR(VALUE($G24),0)=0),
        AND(MAX(0, IF(MIN($H$1, DATE(Initialisatie!$C$5,12,31)) &lt; MAX($H$2, DATE(Initialisatie!$C$5,1,1)), 0, MONTH(MIN($H$1, DATE(Initialisatie!$C$5,12,31))) - MONTH(MAX($H$2, DATE(Initialisatie!$C$5,1,1))) + 1)) &lt;= 0, IFERROR(VALUE($H24),0)=0)
    ),
    0,
    SUM(
        IFERROR(VALUE($D24),0) * MAX(0, IF(MIN($D$1, DATE(Initialisatie!$C$5,12,31)) &lt; MAX($D$2, DATE(Initialisatie!$C$5,1,1)), 0, MONTH(MIN($D$1, DATE(Initialisatie!$C$5,12,31))) - MONTH(MAX($D$2, DATE(Initialisatie!$C$5,1,1))) + 1)),
        IFERROR(VALUE($E24),0) * MAX(0, IF(MIN($E$1, DATE(Initialisatie!$C$5,12,31)) &lt; MAX($E$2, DATE(Initialisatie!$C$5,1,1)), 0, MONTH(MIN($E$1, DATE(Initialisatie!$C$5,12,31))) - MONTH(MAX($E$2, DATE(Initialisatie!$C$5,1,1))) + 1)),
        IFERROR(VALUE($F24),0) * MAX(0, IF(MIN($F$1, DATE(Initialisatie!$C$5,12,31)) &lt; MAX($F$2, DATE(Initialisatie!$C$5,1,1)), 0, MONTH(MIN($F$1, DATE(Initialisatie!$C$5,12,31))) - MONTH(MAX($F$2, DATE(Initialisatie!$C$5,1,1))) + 1)),
        IFERROR(VALUE($G24),0) * MAX(0, IF(MIN($G$1, DATE(Initialisatie!$C$5,12,31)) &lt; MAX($G$2, DATE(Initialisatie!$C$5,1,1)), 0, MONTH(MIN($G$1, DATE(Initialisatie!$C$5,12,31))) - MONTH(MAX($G$2, DATE(Initialisatie!$C$5,1,1))) + 1)),
        IFERROR(VALUE($H24),0) * MAX(0, IF(MIN($H$1, DATE(Initialisatie!$C$5,12,31)) &lt; MAX($H$2, DATE(Initialisatie!$C$5,1,1)), 0, MONTH(MIN($H$1, DATE(Initialisatie!$C$5,12,31))) - MONTH(MAX($H$2, DATE(Initialisatie!$C$5,1,1))) + 1))
    ) / 12
)</f>
        <v>2504</v>
      </c>
    </row>
    <row r="25" spans="1:11" x14ac:dyDescent="0.45">
      <c r="A25" s="989"/>
      <c r="B25" s="371">
        <v>1</v>
      </c>
      <c r="C25" s="371" t="s">
        <v>1283</v>
      </c>
      <c r="D25" t="s">
        <v>1603</v>
      </c>
      <c r="E25" t="s">
        <v>1616</v>
      </c>
      <c r="F25" t="s">
        <v>1604</v>
      </c>
      <c r="G25" t="s">
        <v>1618</v>
      </c>
      <c r="H25" t="s">
        <v>1618</v>
      </c>
      <c r="J25">
        <f>IF(
    OR(
        AND(MAX(0, MIN($D$1, DATE(Initialisatie!$C$5,12,31)) - MAX($D$2, DATE(Initialisatie!$C$5,1,1)) + 1) &gt; 0,IFERROR(VALUE($D25),0)=0),
        AND(MAX(0, MIN($E$1, DATE(Initialisatie!$C$5,12,31)) - MAX($E$2, DATE(Initialisatie!$C$5,1,1)) + 1) &gt; 0,IFERROR(VALUE($E25),0)=0),
        AND(MAX(0, MIN($F$1, DATE(Initialisatie!$C$5,12,31)) - MAX($F$2, DATE(Initialisatie!$C$5,1,1)) + 1) &gt; 0,IFERROR(VALUE($F25),0)=0),
        AND(MAX(0, MIN($G$1, DATE(Initialisatie!$C$5,12,31)) - MAX($G$2, DATE(Initialisatie!$C$5,1,1)) + 1) &gt; 0,IFERROR(VALUE($G25),0)=0),
        AND(MAX(0, MIN($H$1, DATE(Initialisatie!$C$5,12,31)) - MAX($H$2, DATE(Initialisatie!$C$5,1,1)) + 1) &gt; 0,IFERROR(VALUE($H25),0)=0)
    ),
    0,
    SUM(
        IFERROR(VALUE($D25),0) * MAX(0, MIN($D$1, DATE(Initialisatie!$C$5,12,31)) - MAX($D$2, DATE(Initialisatie!$C$5,1,1)) + 1),
        IFERROR(VALUE($E25),0) * MAX(0, MIN($E$1, DATE(Initialisatie!$C$5,12,31)) - MAX($E$2, DATE(Initialisatie!$C$5,1,1)) + 1),
        IFERROR(VALUE($F25),0) * MAX(0, MIN($F$1, DATE(Initialisatie!$C$5,12,31)) - MAX($F$2, DATE(Initialisatie!$C$5,1,1)) + 1),
        IFERROR(VALUE($G25),0) * MAX(0, MIN($G$1, DATE(Initialisatie!$C$5,12,31)) - MAX($G$2, DATE(Initialisatie!$C$5,1,1)) + 1),
        IFERROR(VALUE($H25),0) * MAX(0, MIN($H$1, DATE(Initialisatie!$C$5,12,31)) - MAX($H$2, DATE(Initialisatie!$C$5,1,1)) + 1)
    ) / (DATE(Initialisatie!$C$5,12,31) - DATE(Initialisatie!$C$5,1,1) + 1)
)</f>
        <v>2504</v>
      </c>
      <c r="K25">
        <f>IF(
    OR(
        AND(MAX(0, IF(MIN($D$1, DATE(Initialisatie!$C$5,12,31)) &lt; MAX($D$2, DATE(Initialisatie!$C$5,1,1)), 0, MONTH(MIN($D$1, DATE(Initialisatie!$C$5,12,31))) - MONTH(MAX($D$2, DATE(Initialisatie!$C$5,1,1))) + 1)) &lt;= 0, IFERROR(VALUE($D25),0)=0),
        AND(MAX(0, IF(MIN($E$1, DATE(Initialisatie!$C$5,12,31)) &lt; MAX($E$2, DATE(Initialisatie!$C$5,1,1)), 0, MONTH(MIN($E$1, DATE(Initialisatie!$C$5,12,31))) - MONTH(MAX($E$2, DATE(Initialisatie!$C$5,1,1))) + 1)) &lt;= 0, IFERROR(VALUE($E25),0)=0),
        AND(MAX(0, IF(MIN($F$1, DATE(Initialisatie!$C$5,12,31)) &lt; MAX($F$2, DATE(Initialisatie!$C$5,1,1)), 0, MONTH(MIN($F$1, DATE(Initialisatie!$C$5,12,31))) - MONTH(MAX($F$2, DATE(Initialisatie!$C$5,1,1))) + 1)) &lt;= 0, IFERROR(VALUE($F25),0)=0),
        AND(MAX(0, IF(MIN($G$1, DATE(Initialisatie!$C$5,12,31)) &lt; MAX($G$2, DATE(Initialisatie!$C$5,1,1)), 0, MONTH(MIN($G$1, DATE(Initialisatie!$C$5,12,31))) - MONTH(MAX($G$2, DATE(Initialisatie!$C$5,1,1))) + 1)) &lt;= 0, IFERROR(VALUE($G25),0)=0),
        AND(MAX(0, IF(MIN($H$1, DATE(Initialisatie!$C$5,12,31)) &lt; MAX($H$2, DATE(Initialisatie!$C$5,1,1)), 0, MONTH(MIN($H$1, DATE(Initialisatie!$C$5,12,31))) - MONTH(MAX($H$2, DATE(Initialisatie!$C$5,1,1))) + 1)) &lt;= 0, IFERROR(VALUE($H25),0)=0)
    ),
    0,
    SUM(
        IFERROR(VALUE($D25),0) * MAX(0, IF(MIN($D$1, DATE(Initialisatie!$C$5,12,31)) &lt; MAX($D$2, DATE(Initialisatie!$C$5,1,1)), 0, MONTH(MIN($D$1, DATE(Initialisatie!$C$5,12,31))) - MONTH(MAX($D$2, DATE(Initialisatie!$C$5,1,1))) + 1)),
        IFERROR(VALUE($E25),0) * MAX(0, IF(MIN($E$1, DATE(Initialisatie!$C$5,12,31)) &lt; MAX($E$2, DATE(Initialisatie!$C$5,1,1)), 0, MONTH(MIN($E$1, DATE(Initialisatie!$C$5,12,31))) - MONTH(MAX($E$2, DATE(Initialisatie!$C$5,1,1))) + 1)),
        IFERROR(VALUE($F25),0) * MAX(0, IF(MIN($F$1, DATE(Initialisatie!$C$5,12,31)) &lt; MAX($F$2, DATE(Initialisatie!$C$5,1,1)), 0, MONTH(MIN($F$1, DATE(Initialisatie!$C$5,12,31))) - MONTH(MAX($F$2, DATE(Initialisatie!$C$5,1,1))) + 1)),
        IFERROR(VALUE($G25),0) * MAX(0, IF(MIN($G$1, DATE(Initialisatie!$C$5,12,31)) &lt; MAX($G$2, DATE(Initialisatie!$C$5,1,1)), 0, MONTH(MIN($G$1, DATE(Initialisatie!$C$5,12,31))) - MONTH(MAX($G$2, DATE(Initialisatie!$C$5,1,1))) + 1)),
        IFERROR(VALUE($H25),0) * MAX(0, IF(MIN($H$1, DATE(Initialisatie!$C$5,12,31)) &lt; MAX($H$2, DATE(Initialisatie!$C$5,1,1)), 0, MONTH(MIN($H$1, DATE(Initialisatie!$C$5,12,31))) - MONTH(MAX($H$2, DATE(Initialisatie!$C$5,1,1))) + 1))
    ) / 12
)</f>
        <v>2504</v>
      </c>
    </row>
    <row r="26" spans="1:11" x14ac:dyDescent="0.45">
      <c r="A26" s="989"/>
      <c r="B26" s="371">
        <v>2</v>
      </c>
      <c r="C26" s="371" t="s">
        <v>1284</v>
      </c>
      <c r="D26" t="s">
        <v>1595</v>
      </c>
      <c r="E26" t="s">
        <v>1594</v>
      </c>
      <c r="F26" t="s">
        <v>1596</v>
      </c>
      <c r="G26" t="s">
        <v>1618</v>
      </c>
      <c r="H26" t="s">
        <v>1618</v>
      </c>
      <c r="J26">
        <f>IF(
    OR(
        AND(MAX(0, MIN($D$1, DATE(Initialisatie!$C$5,12,31)) - MAX($D$2, DATE(Initialisatie!$C$5,1,1)) + 1) &gt; 0,IFERROR(VALUE($D26),0)=0),
        AND(MAX(0, MIN($E$1, DATE(Initialisatie!$C$5,12,31)) - MAX($E$2, DATE(Initialisatie!$C$5,1,1)) + 1) &gt; 0,IFERROR(VALUE($E26),0)=0),
        AND(MAX(0, MIN($F$1, DATE(Initialisatie!$C$5,12,31)) - MAX($F$2, DATE(Initialisatie!$C$5,1,1)) + 1) &gt; 0,IFERROR(VALUE($F26),0)=0),
        AND(MAX(0, MIN($G$1, DATE(Initialisatie!$C$5,12,31)) - MAX($G$2, DATE(Initialisatie!$C$5,1,1)) + 1) &gt; 0,IFERROR(VALUE($G26),0)=0),
        AND(MAX(0, MIN($H$1, DATE(Initialisatie!$C$5,12,31)) - MAX($H$2, DATE(Initialisatie!$C$5,1,1)) + 1) &gt; 0,IFERROR(VALUE($H26),0)=0)
    ),
    0,
    SUM(
        IFERROR(VALUE($D26),0) * MAX(0, MIN($D$1, DATE(Initialisatie!$C$5,12,31)) - MAX($D$2, DATE(Initialisatie!$C$5,1,1)) + 1),
        IFERROR(VALUE($E26),0) * MAX(0, MIN($E$1, DATE(Initialisatie!$C$5,12,31)) - MAX($E$2, DATE(Initialisatie!$C$5,1,1)) + 1),
        IFERROR(VALUE($F26),0) * MAX(0, MIN($F$1, DATE(Initialisatie!$C$5,12,31)) - MAX($F$2, DATE(Initialisatie!$C$5,1,1)) + 1),
        IFERROR(VALUE($G26),0) * MAX(0, MIN($G$1, DATE(Initialisatie!$C$5,12,31)) - MAX($G$2, DATE(Initialisatie!$C$5,1,1)) + 1),
        IFERROR(VALUE($H26),0) * MAX(0, MIN($H$1, DATE(Initialisatie!$C$5,12,31)) - MAX($H$2, DATE(Initialisatie!$C$5,1,1)) + 1)
    ) / (DATE(Initialisatie!$C$5,12,31) - DATE(Initialisatie!$C$5,1,1) + 1)
)</f>
        <v>2504</v>
      </c>
      <c r="K26">
        <f>IF(
    OR(
        AND(MAX(0, IF(MIN($D$1, DATE(Initialisatie!$C$5,12,31)) &lt; MAX($D$2, DATE(Initialisatie!$C$5,1,1)), 0, MONTH(MIN($D$1, DATE(Initialisatie!$C$5,12,31))) - MONTH(MAX($D$2, DATE(Initialisatie!$C$5,1,1))) + 1)) &lt;= 0, IFERROR(VALUE($D26),0)=0),
        AND(MAX(0, IF(MIN($E$1, DATE(Initialisatie!$C$5,12,31)) &lt; MAX($E$2, DATE(Initialisatie!$C$5,1,1)), 0, MONTH(MIN($E$1, DATE(Initialisatie!$C$5,12,31))) - MONTH(MAX($E$2, DATE(Initialisatie!$C$5,1,1))) + 1)) &lt;= 0, IFERROR(VALUE($E26),0)=0),
        AND(MAX(0, IF(MIN($F$1, DATE(Initialisatie!$C$5,12,31)) &lt; MAX($F$2, DATE(Initialisatie!$C$5,1,1)), 0, MONTH(MIN($F$1, DATE(Initialisatie!$C$5,12,31))) - MONTH(MAX($F$2, DATE(Initialisatie!$C$5,1,1))) + 1)) &lt;= 0, IFERROR(VALUE($F26),0)=0),
        AND(MAX(0, IF(MIN($G$1, DATE(Initialisatie!$C$5,12,31)) &lt; MAX($G$2, DATE(Initialisatie!$C$5,1,1)), 0, MONTH(MIN($G$1, DATE(Initialisatie!$C$5,12,31))) - MONTH(MAX($G$2, DATE(Initialisatie!$C$5,1,1))) + 1)) &lt;= 0, IFERROR(VALUE($G26),0)=0),
        AND(MAX(0, IF(MIN($H$1, DATE(Initialisatie!$C$5,12,31)) &lt; MAX($H$2, DATE(Initialisatie!$C$5,1,1)), 0, MONTH(MIN($H$1, DATE(Initialisatie!$C$5,12,31))) - MONTH(MAX($H$2, DATE(Initialisatie!$C$5,1,1))) + 1)) &lt;= 0, IFERROR(VALUE($H26),0)=0)
    ),
    0,
    SUM(
        IFERROR(VALUE($D26),0) * MAX(0, IF(MIN($D$1, DATE(Initialisatie!$C$5,12,31)) &lt; MAX($D$2, DATE(Initialisatie!$C$5,1,1)), 0, MONTH(MIN($D$1, DATE(Initialisatie!$C$5,12,31))) - MONTH(MAX($D$2, DATE(Initialisatie!$C$5,1,1))) + 1)),
        IFERROR(VALUE($E26),0) * MAX(0, IF(MIN($E$1, DATE(Initialisatie!$C$5,12,31)) &lt; MAX($E$2, DATE(Initialisatie!$C$5,1,1)), 0, MONTH(MIN($E$1, DATE(Initialisatie!$C$5,12,31))) - MONTH(MAX($E$2, DATE(Initialisatie!$C$5,1,1))) + 1)),
        IFERROR(VALUE($F26),0) * MAX(0, IF(MIN($F$1, DATE(Initialisatie!$C$5,12,31)) &lt; MAX($F$2, DATE(Initialisatie!$C$5,1,1)), 0, MONTH(MIN($F$1, DATE(Initialisatie!$C$5,12,31))) - MONTH(MAX($F$2, DATE(Initialisatie!$C$5,1,1))) + 1)),
        IFERROR(VALUE($G26),0) * MAX(0, IF(MIN($G$1, DATE(Initialisatie!$C$5,12,31)) &lt; MAX($G$2, DATE(Initialisatie!$C$5,1,1)), 0, MONTH(MIN($G$1, DATE(Initialisatie!$C$5,12,31))) - MONTH(MAX($G$2, DATE(Initialisatie!$C$5,1,1))) + 1)),
        IFERROR(VALUE($H26),0) * MAX(0, IF(MIN($H$1, DATE(Initialisatie!$C$5,12,31)) &lt; MAX($H$2, DATE(Initialisatie!$C$5,1,1)), 0, MONTH(MIN($H$1, DATE(Initialisatie!$C$5,12,31))) - MONTH(MAX($H$2, DATE(Initialisatie!$C$5,1,1))) + 1))
    ) / 12
)</f>
        <v>2504</v>
      </c>
    </row>
    <row r="27" spans="1:11" x14ac:dyDescent="0.45">
      <c r="A27" s="989"/>
      <c r="B27" s="371">
        <v>3</v>
      </c>
      <c r="C27" s="371" t="s">
        <v>1285</v>
      </c>
      <c r="D27" t="s">
        <v>1601</v>
      </c>
      <c r="E27" t="s">
        <v>1600</v>
      </c>
      <c r="F27" t="s">
        <v>1602</v>
      </c>
      <c r="G27" t="s">
        <v>1618</v>
      </c>
      <c r="H27" t="s">
        <v>1619</v>
      </c>
      <c r="J27">
        <f>IF(
    OR(
        AND(MAX(0, MIN($D$1, DATE(Initialisatie!$C$5,12,31)) - MAX($D$2, DATE(Initialisatie!$C$5,1,1)) + 1) &gt; 0,IFERROR(VALUE($D27),0)=0),
        AND(MAX(0, MIN($E$1, DATE(Initialisatie!$C$5,12,31)) - MAX($E$2, DATE(Initialisatie!$C$5,1,1)) + 1) &gt; 0,IFERROR(VALUE($E27),0)=0),
        AND(MAX(0, MIN($F$1, DATE(Initialisatie!$C$5,12,31)) - MAX($F$2, DATE(Initialisatie!$C$5,1,1)) + 1) &gt; 0,IFERROR(VALUE($F27),0)=0),
        AND(MAX(0, MIN($G$1, DATE(Initialisatie!$C$5,12,31)) - MAX($G$2, DATE(Initialisatie!$C$5,1,1)) + 1) &gt; 0,IFERROR(VALUE($G27),0)=0),
        AND(MAX(0, MIN($H$1, DATE(Initialisatie!$C$5,12,31)) - MAX($H$2, DATE(Initialisatie!$C$5,1,1)) + 1) &gt; 0,IFERROR(VALUE($H27),0)=0)
    ),
    0,
    SUM(
        IFERROR(VALUE($D27),0) * MAX(0, MIN($D$1, DATE(Initialisatie!$C$5,12,31)) - MAX($D$2, DATE(Initialisatie!$C$5,1,1)) + 1),
        IFERROR(VALUE($E27),0) * MAX(0, MIN($E$1, DATE(Initialisatie!$C$5,12,31)) - MAX($E$2, DATE(Initialisatie!$C$5,1,1)) + 1),
        IFERROR(VALUE($F27),0) * MAX(0, MIN($F$1, DATE(Initialisatie!$C$5,12,31)) - MAX($F$2, DATE(Initialisatie!$C$5,1,1)) + 1),
        IFERROR(VALUE($G27),0) * MAX(0, MIN($G$1, DATE(Initialisatie!$C$5,12,31)) - MAX($G$2, DATE(Initialisatie!$C$5,1,1)) + 1),
        IFERROR(VALUE($H27),0) * MAX(0, MIN($H$1, DATE(Initialisatie!$C$5,12,31)) - MAX($H$2, DATE(Initialisatie!$C$5,1,1)) + 1)
    ) / (DATE(Initialisatie!$C$5,12,31) - DATE(Initialisatie!$C$5,1,1) + 1)
)</f>
        <v>2524.6684931506848</v>
      </c>
      <c r="K27">
        <f>IF(
    OR(
        AND(MAX(0, IF(MIN($D$1, DATE(Initialisatie!$C$5,12,31)) &lt; MAX($D$2, DATE(Initialisatie!$C$5,1,1)), 0, MONTH(MIN($D$1, DATE(Initialisatie!$C$5,12,31))) - MONTH(MAX($D$2, DATE(Initialisatie!$C$5,1,1))) + 1)) &lt;= 0, IFERROR(VALUE($D27),0)=0),
        AND(MAX(0, IF(MIN($E$1, DATE(Initialisatie!$C$5,12,31)) &lt; MAX($E$2, DATE(Initialisatie!$C$5,1,1)), 0, MONTH(MIN($E$1, DATE(Initialisatie!$C$5,12,31))) - MONTH(MAX($E$2, DATE(Initialisatie!$C$5,1,1))) + 1)) &lt;= 0, IFERROR(VALUE($E27),0)=0),
        AND(MAX(0, IF(MIN($F$1, DATE(Initialisatie!$C$5,12,31)) &lt; MAX($F$2, DATE(Initialisatie!$C$5,1,1)), 0, MONTH(MIN($F$1, DATE(Initialisatie!$C$5,12,31))) - MONTH(MAX($F$2, DATE(Initialisatie!$C$5,1,1))) + 1)) &lt;= 0, IFERROR(VALUE($F27),0)=0),
        AND(MAX(0, IF(MIN($G$1, DATE(Initialisatie!$C$5,12,31)) &lt; MAX($G$2, DATE(Initialisatie!$C$5,1,1)), 0, MONTH(MIN($G$1, DATE(Initialisatie!$C$5,12,31))) - MONTH(MAX($G$2, DATE(Initialisatie!$C$5,1,1))) + 1)) &lt;= 0, IFERROR(VALUE($G27),0)=0),
        AND(MAX(0, IF(MIN($H$1, DATE(Initialisatie!$C$5,12,31)) &lt; MAX($H$2, DATE(Initialisatie!$C$5,1,1)), 0, MONTH(MIN($H$1, DATE(Initialisatie!$C$5,12,31))) - MONTH(MAX($H$2, DATE(Initialisatie!$C$5,1,1))) + 1)) &lt;= 0, IFERROR(VALUE($H27),0)=0)
    ),
    0,
    SUM(
        IFERROR(VALUE($D27),0) * MAX(0, IF(MIN($D$1, DATE(Initialisatie!$C$5,12,31)) &lt; MAX($D$2, DATE(Initialisatie!$C$5,1,1)), 0, MONTH(MIN($D$1, DATE(Initialisatie!$C$5,12,31))) - MONTH(MAX($D$2, DATE(Initialisatie!$C$5,1,1))) + 1)),
        IFERROR(VALUE($E27),0) * MAX(0, IF(MIN($E$1, DATE(Initialisatie!$C$5,12,31)) &lt; MAX($E$2, DATE(Initialisatie!$C$5,1,1)), 0, MONTH(MIN($E$1, DATE(Initialisatie!$C$5,12,31))) - MONTH(MAX($E$2, DATE(Initialisatie!$C$5,1,1))) + 1)),
        IFERROR(VALUE($F27),0) * MAX(0, IF(MIN($F$1, DATE(Initialisatie!$C$5,12,31)) &lt; MAX($F$2, DATE(Initialisatie!$C$5,1,1)), 0, MONTH(MIN($F$1, DATE(Initialisatie!$C$5,12,31))) - MONTH(MAX($F$2, DATE(Initialisatie!$C$5,1,1))) + 1)),
        IFERROR(VALUE($G27),0) * MAX(0, IF(MIN($G$1, DATE(Initialisatie!$C$5,12,31)) &lt; MAX($G$2, DATE(Initialisatie!$C$5,1,1)), 0, MONTH(MIN($G$1, DATE(Initialisatie!$C$5,12,31))) - MONTH(MAX($G$2, DATE(Initialisatie!$C$5,1,1))) + 1)),
        IFERROR(VALUE($H27),0) * MAX(0, IF(MIN($H$1, DATE(Initialisatie!$C$5,12,31)) &lt; MAX($H$2, DATE(Initialisatie!$C$5,1,1)), 0, MONTH(MIN($H$1, DATE(Initialisatie!$C$5,12,31))) - MONTH(MAX($H$2, DATE(Initialisatie!$C$5,1,1))) + 1))
    ) / 12
)</f>
        <v>2524.5</v>
      </c>
    </row>
    <row r="28" spans="1:11" x14ac:dyDescent="0.45">
      <c r="A28" s="989"/>
      <c r="B28" s="371">
        <v>4</v>
      </c>
      <c r="C28" s="371" t="s">
        <v>109</v>
      </c>
      <c r="D28" t="s">
        <v>1592</v>
      </c>
      <c r="E28" t="s">
        <v>1591</v>
      </c>
      <c r="F28" t="s">
        <v>1593</v>
      </c>
      <c r="G28" t="s">
        <v>1593</v>
      </c>
      <c r="H28" t="s">
        <v>1620</v>
      </c>
      <c r="J28">
        <f>IF(
    OR(
        AND(MAX(0, MIN($D$1, DATE(Initialisatie!$C$5,12,31)) - MAX($D$2, DATE(Initialisatie!$C$5,1,1)) + 1) &gt; 0,IFERROR(VALUE($D28),0)=0),
        AND(MAX(0, MIN($E$1, DATE(Initialisatie!$C$5,12,31)) - MAX($E$2, DATE(Initialisatie!$C$5,1,1)) + 1) &gt; 0,IFERROR(VALUE($E28),0)=0),
        AND(MAX(0, MIN($F$1, DATE(Initialisatie!$C$5,12,31)) - MAX($F$2, DATE(Initialisatie!$C$5,1,1)) + 1) &gt; 0,IFERROR(VALUE($F28),0)=0),
        AND(MAX(0, MIN($G$1, DATE(Initialisatie!$C$5,12,31)) - MAX($G$2, DATE(Initialisatie!$C$5,1,1)) + 1) &gt; 0,IFERROR(VALUE($G28),0)=0),
        AND(MAX(0, MIN($H$1, DATE(Initialisatie!$C$5,12,31)) - MAX($H$2, DATE(Initialisatie!$C$5,1,1)) + 1) &gt; 0,IFERROR(VALUE($H28),0)=0)
    ),
    0,
    SUM(
        IFERROR(VALUE($D28),0) * MAX(0, MIN($D$1, DATE(Initialisatie!$C$5,12,31)) - MAX($D$2, DATE(Initialisatie!$C$5,1,1)) + 1),
        IFERROR(VALUE($E28),0) * MAX(0, MIN($E$1, DATE(Initialisatie!$C$5,12,31)) - MAX($E$2, DATE(Initialisatie!$C$5,1,1)) + 1),
        IFERROR(VALUE($F28),0) * MAX(0, MIN($F$1, DATE(Initialisatie!$C$5,12,31)) - MAX($F$2, DATE(Initialisatie!$C$5,1,1)) + 1),
        IFERROR(VALUE($G28),0) * MAX(0, MIN($G$1, DATE(Initialisatie!$C$5,12,31)) - MAX($G$2, DATE(Initialisatie!$C$5,1,1)) + 1),
        IFERROR(VALUE($H28),0) * MAX(0, MIN($H$1, DATE(Initialisatie!$C$5,12,31)) - MAX($H$2, DATE(Initialisatie!$C$5,1,1)) + 1)
    ) / (DATE(Initialisatie!$C$5,12,31) - DATE(Initialisatie!$C$5,1,1) + 1)
)</f>
        <v>2564.3123287671233</v>
      </c>
      <c r="K28">
        <f>IF(
    OR(
        AND(MAX(0, IF(MIN($D$1, DATE(Initialisatie!$C$5,12,31)) &lt; MAX($D$2, DATE(Initialisatie!$C$5,1,1)), 0, MONTH(MIN($D$1, DATE(Initialisatie!$C$5,12,31))) - MONTH(MAX($D$2, DATE(Initialisatie!$C$5,1,1))) + 1)) &lt;= 0, IFERROR(VALUE($D28),0)=0),
        AND(MAX(0, IF(MIN($E$1, DATE(Initialisatie!$C$5,12,31)) &lt; MAX($E$2, DATE(Initialisatie!$C$5,1,1)), 0, MONTH(MIN($E$1, DATE(Initialisatie!$C$5,12,31))) - MONTH(MAX($E$2, DATE(Initialisatie!$C$5,1,1))) + 1)) &lt;= 0, IFERROR(VALUE($E28),0)=0),
        AND(MAX(0, IF(MIN($F$1, DATE(Initialisatie!$C$5,12,31)) &lt; MAX($F$2, DATE(Initialisatie!$C$5,1,1)), 0, MONTH(MIN($F$1, DATE(Initialisatie!$C$5,12,31))) - MONTH(MAX($F$2, DATE(Initialisatie!$C$5,1,1))) + 1)) &lt;= 0, IFERROR(VALUE($F28),0)=0),
        AND(MAX(0, IF(MIN($G$1, DATE(Initialisatie!$C$5,12,31)) &lt; MAX($G$2, DATE(Initialisatie!$C$5,1,1)), 0, MONTH(MIN($G$1, DATE(Initialisatie!$C$5,12,31))) - MONTH(MAX($G$2, DATE(Initialisatie!$C$5,1,1))) + 1)) &lt;= 0, IFERROR(VALUE($G28),0)=0),
        AND(MAX(0, IF(MIN($H$1, DATE(Initialisatie!$C$5,12,31)) &lt; MAX($H$2, DATE(Initialisatie!$C$5,1,1)), 0, MONTH(MIN($H$1, DATE(Initialisatie!$C$5,12,31))) - MONTH(MAX($H$2, DATE(Initialisatie!$C$5,1,1))) + 1)) &lt;= 0, IFERROR(VALUE($H28),0)=0)
    ),
    0,
    SUM(
        IFERROR(VALUE($D28),0) * MAX(0, IF(MIN($D$1, DATE(Initialisatie!$C$5,12,31)) &lt; MAX($D$2, DATE(Initialisatie!$C$5,1,1)), 0, MONTH(MIN($D$1, DATE(Initialisatie!$C$5,12,31))) - MONTH(MAX($D$2, DATE(Initialisatie!$C$5,1,1))) + 1)),
        IFERROR(VALUE($E28),0) * MAX(0, IF(MIN($E$1, DATE(Initialisatie!$C$5,12,31)) &lt; MAX($E$2, DATE(Initialisatie!$C$5,1,1)), 0, MONTH(MIN($E$1, DATE(Initialisatie!$C$5,12,31))) - MONTH(MAX($E$2, DATE(Initialisatie!$C$5,1,1))) + 1)),
        IFERROR(VALUE($F28),0) * MAX(0, IF(MIN($F$1, DATE(Initialisatie!$C$5,12,31)) &lt; MAX($F$2, DATE(Initialisatie!$C$5,1,1)), 0, MONTH(MIN($F$1, DATE(Initialisatie!$C$5,12,31))) - MONTH(MAX($F$2, DATE(Initialisatie!$C$5,1,1))) + 1)),
        IFERROR(VALUE($G28),0) * MAX(0, IF(MIN($G$1, DATE(Initialisatie!$C$5,12,31)) &lt; MAX($G$2, DATE(Initialisatie!$C$5,1,1)), 0, MONTH(MIN($G$1, DATE(Initialisatie!$C$5,12,31))) - MONTH(MAX($G$2, DATE(Initialisatie!$C$5,1,1))) + 1)),
        IFERROR(VALUE($H28),0) * MAX(0, IF(MIN($H$1, DATE(Initialisatie!$C$5,12,31)) &lt; MAX($H$2, DATE(Initialisatie!$C$5,1,1)), 0, MONTH(MIN($H$1, DATE(Initialisatie!$C$5,12,31))) - MONTH(MAX($H$2, DATE(Initialisatie!$C$5,1,1))) + 1))
    ) / 12
)</f>
        <v>2564</v>
      </c>
    </row>
    <row r="29" spans="1:11" x14ac:dyDescent="0.45">
      <c r="A29" s="989"/>
      <c r="B29" s="371">
        <v>5</v>
      </c>
      <c r="C29" s="371" t="s">
        <v>107</v>
      </c>
      <c r="D29" t="s">
        <v>1598</v>
      </c>
      <c r="E29" t="s">
        <v>1597</v>
      </c>
      <c r="F29" t="s">
        <v>1599</v>
      </c>
      <c r="G29" t="s">
        <v>1599</v>
      </c>
      <c r="H29" t="s">
        <v>1621</v>
      </c>
      <c r="J29">
        <f>IF(
    OR(
        AND(MAX(0, MIN($D$1, DATE(Initialisatie!$C$5,12,31)) - MAX($D$2, DATE(Initialisatie!$C$5,1,1)) + 1) &gt; 0,IFERROR(VALUE($D29),0)=0),
        AND(MAX(0, MIN($E$1, DATE(Initialisatie!$C$5,12,31)) - MAX($E$2, DATE(Initialisatie!$C$5,1,1)) + 1) &gt; 0,IFERROR(VALUE($E29),0)=0),
        AND(MAX(0, MIN($F$1, DATE(Initialisatie!$C$5,12,31)) - MAX($F$2, DATE(Initialisatie!$C$5,1,1)) + 1) &gt; 0,IFERROR(VALUE($F29),0)=0),
        AND(MAX(0, MIN($G$1, DATE(Initialisatie!$C$5,12,31)) - MAX($G$2, DATE(Initialisatie!$C$5,1,1)) + 1) &gt; 0,IFERROR(VALUE($G29),0)=0),
        AND(MAX(0, MIN($H$1, DATE(Initialisatie!$C$5,12,31)) - MAX($H$2, DATE(Initialisatie!$C$5,1,1)) + 1) &gt; 0,IFERROR(VALUE($H29),0)=0)
    ),
    0,
    SUM(
        IFERROR(VALUE($D29),0) * MAX(0, MIN($D$1, DATE(Initialisatie!$C$5,12,31)) - MAX($D$2, DATE(Initialisatie!$C$5,1,1)) + 1),
        IFERROR(VALUE($E29),0) * MAX(0, MIN($E$1, DATE(Initialisatie!$C$5,12,31)) - MAX($E$2, DATE(Initialisatie!$C$5,1,1)) + 1),
        IFERROR(VALUE($F29),0) * MAX(0, MIN($F$1, DATE(Initialisatie!$C$5,12,31)) - MAX($F$2, DATE(Initialisatie!$C$5,1,1)) + 1),
        IFERROR(VALUE($G29),0) * MAX(0, MIN($G$1, DATE(Initialisatie!$C$5,12,31)) - MAX($G$2, DATE(Initialisatie!$C$5,1,1)) + 1),
        IFERROR(VALUE($H29),0) * MAX(0, MIN($H$1, DATE(Initialisatie!$C$5,12,31)) - MAX($H$2, DATE(Initialisatie!$C$5,1,1)) + 1)
    ) / (DATE(Initialisatie!$C$5,12,31) - DATE(Initialisatie!$C$5,1,1) + 1)
)</f>
        <v>2628.3205479452054</v>
      </c>
      <c r="K29">
        <f>IF(
    OR(
        AND(MAX(0, IF(MIN($D$1, DATE(Initialisatie!$C$5,12,31)) &lt; MAX($D$2, DATE(Initialisatie!$C$5,1,1)), 0, MONTH(MIN($D$1, DATE(Initialisatie!$C$5,12,31))) - MONTH(MAX($D$2, DATE(Initialisatie!$C$5,1,1))) + 1)) &lt;= 0, IFERROR(VALUE($D29),0)=0),
        AND(MAX(0, IF(MIN($E$1, DATE(Initialisatie!$C$5,12,31)) &lt; MAX($E$2, DATE(Initialisatie!$C$5,1,1)), 0, MONTH(MIN($E$1, DATE(Initialisatie!$C$5,12,31))) - MONTH(MAX($E$2, DATE(Initialisatie!$C$5,1,1))) + 1)) &lt;= 0, IFERROR(VALUE($E29),0)=0),
        AND(MAX(0, IF(MIN($F$1, DATE(Initialisatie!$C$5,12,31)) &lt; MAX($F$2, DATE(Initialisatie!$C$5,1,1)), 0, MONTH(MIN($F$1, DATE(Initialisatie!$C$5,12,31))) - MONTH(MAX($F$2, DATE(Initialisatie!$C$5,1,1))) + 1)) &lt;= 0, IFERROR(VALUE($F29),0)=0),
        AND(MAX(0, IF(MIN($G$1, DATE(Initialisatie!$C$5,12,31)) &lt; MAX($G$2, DATE(Initialisatie!$C$5,1,1)), 0, MONTH(MIN($G$1, DATE(Initialisatie!$C$5,12,31))) - MONTH(MAX($G$2, DATE(Initialisatie!$C$5,1,1))) + 1)) &lt;= 0, IFERROR(VALUE($G29),0)=0),
        AND(MAX(0, IF(MIN($H$1, DATE(Initialisatie!$C$5,12,31)) &lt; MAX($H$2, DATE(Initialisatie!$C$5,1,1)), 0, MONTH(MIN($H$1, DATE(Initialisatie!$C$5,12,31))) - MONTH(MAX($H$2, DATE(Initialisatie!$C$5,1,1))) + 1)) &lt;= 0, IFERROR(VALUE($H29),0)=0)
    ),
    0,
    SUM(
        IFERROR(VALUE($D29),0) * MAX(0, IF(MIN($D$1, DATE(Initialisatie!$C$5,12,31)) &lt; MAX($D$2, DATE(Initialisatie!$C$5,1,1)), 0, MONTH(MIN($D$1, DATE(Initialisatie!$C$5,12,31))) - MONTH(MAX($D$2, DATE(Initialisatie!$C$5,1,1))) + 1)),
        IFERROR(VALUE($E29),0) * MAX(0, IF(MIN($E$1, DATE(Initialisatie!$C$5,12,31)) &lt; MAX($E$2, DATE(Initialisatie!$C$5,1,1)), 0, MONTH(MIN($E$1, DATE(Initialisatie!$C$5,12,31))) - MONTH(MAX($E$2, DATE(Initialisatie!$C$5,1,1))) + 1)),
        IFERROR(VALUE($F29),0) * MAX(0, IF(MIN($F$1, DATE(Initialisatie!$C$5,12,31)) &lt; MAX($F$2, DATE(Initialisatie!$C$5,1,1)), 0, MONTH(MIN($F$1, DATE(Initialisatie!$C$5,12,31))) - MONTH(MAX($F$2, DATE(Initialisatie!$C$5,1,1))) + 1)),
        IFERROR(VALUE($G29),0) * MAX(0, IF(MIN($G$1, DATE(Initialisatie!$C$5,12,31)) &lt; MAX($G$2, DATE(Initialisatie!$C$5,1,1)), 0, MONTH(MIN($G$1, DATE(Initialisatie!$C$5,12,31))) - MONTH(MAX($G$2, DATE(Initialisatie!$C$5,1,1))) + 1)),
        IFERROR(VALUE($H29),0) * MAX(0, IF(MIN($H$1, DATE(Initialisatie!$C$5,12,31)) &lt; MAX($H$2, DATE(Initialisatie!$C$5,1,1)), 0, MONTH(MIN($H$1, DATE(Initialisatie!$C$5,12,31))) - MONTH(MAX($H$2, DATE(Initialisatie!$C$5,1,1))) + 1))
    ) / 12
)</f>
        <v>2628</v>
      </c>
    </row>
    <row r="30" spans="1:11" x14ac:dyDescent="0.45">
      <c r="A30" s="989"/>
      <c r="B30" s="371">
        <v>6</v>
      </c>
      <c r="C30" s="371" t="s">
        <v>105</v>
      </c>
      <c r="D30" t="s">
        <v>1586</v>
      </c>
      <c r="E30" t="s">
        <v>1585</v>
      </c>
      <c r="F30" t="s">
        <v>1587</v>
      </c>
      <c r="G30" t="s">
        <v>1587</v>
      </c>
      <c r="H30" t="s">
        <v>1622</v>
      </c>
      <c r="J30">
        <f>IF(
    OR(
        AND(MAX(0, MIN($D$1, DATE(Initialisatie!$C$5,12,31)) - MAX($D$2, DATE(Initialisatie!$C$5,1,1)) + 1) &gt; 0,IFERROR(VALUE($D30),0)=0),
        AND(MAX(0, MIN($E$1, DATE(Initialisatie!$C$5,12,31)) - MAX($E$2, DATE(Initialisatie!$C$5,1,1)) + 1) &gt; 0,IFERROR(VALUE($E30),0)=0),
        AND(MAX(0, MIN($F$1, DATE(Initialisatie!$C$5,12,31)) - MAX($F$2, DATE(Initialisatie!$C$5,1,1)) + 1) &gt; 0,IFERROR(VALUE($F30),0)=0),
        AND(MAX(0, MIN($G$1, DATE(Initialisatie!$C$5,12,31)) - MAX($G$2, DATE(Initialisatie!$C$5,1,1)) + 1) &gt; 0,IFERROR(VALUE($G30),0)=0),
        AND(MAX(0, MIN($H$1, DATE(Initialisatie!$C$5,12,31)) - MAX($H$2, DATE(Initialisatie!$C$5,1,1)) + 1) &gt; 0,IFERROR(VALUE($H30),0)=0)
    ),
    0,
    SUM(
        IFERROR(VALUE($D30),0) * MAX(0, MIN($D$1, DATE(Initialisatie!$C$5,12,31)) - MAX($D$2, DATE(Initialisatie!$C$5,1,1)) + 1),
        IFERROR(VALUE($E30),0) * MAX(0, MIN($E$1, DATE(Initialisatie!$C$5,12,31)) - MAX($E$2, DATE(Initialisatie!$C$5,1,1)) + 1),
        IFERROR(VALUE($F30),0) * MAX(0, MIN($F$1, DATE(Initialisatie!$C$5,12,31)) - MAX($F$2, DATE(Initialisatie!$C$5,1,1)) + 1),
        IFERROR(VALUE($G30),0) * MAX(0, MIN($G$1, DATE(Initialisatie!$C$5,12,31)) - MAX($G$2, DATE(Initialisatie!$C$5,1,1)) + 1),
        IFERROR(VALUE($H30),0) * MAX(0, MIN($H$1, DATE(Initialisatie!$C$5,12,31)) - MAX($H$2, DATE(Initialisatie!$C$5,1,1)) + 1)
    ) / (DATE(Initialisatie!$C$5,12,31) - DATE(Initialisatie!$C$5,1,1) + 1)
)</f>
        <v>2695.3287671232879</v>
      </c>
      <c r="K30">
        <f>IF(
    OR(
        AND(MAX(0, IF(MIN($D$1, DATE(Initialisatie!$C$5,12,31)) &lt; MAX($D$2, DATE(Initialisatie!$C$5,1,1)), 0, MONTH(MIN($D$1, DATE(Initialisatie!$C$5,12,31))) - MONTH(MAX($D$2, DATE(Initialisatie!$C$5,1,1))) + 1)) &lt;= 0, IFERROR(VALUE($D30),0)=0),
        AND(MAX(0, IF(MIN($E$1, DATE(Initialisatie!$C$5,12,31)) &lt; MAX($E$2, DATE(Initialisatie!$C$5,1,1)), 0, MONTH(MIN($E$1, DATE(Initialisatie!$C$5,12,31))) - MONTH(MAX($E$2, DATE(Initialisatie!$C$5,1,1))) + 1)) &lt;= 0, IFERROR(VALUE($E30),0)=0),
        AND(MAX(0, IF(MIN($F$1, DATE(Initialisatie!$C$5,12,31)) &lt; MAX($F$2, DATE(Initialisatie!$C$5,1,1)), 0, MONTH(MIN($F$1, DATE(Initialisatie!$C$5,12,31))) - MONTH(MAX($F$2, DATE(Initialisatie!$C$5,1,1))) + 1)) &lt;= 0, IFERROR(VALUE($F30),0)=0),
        AND(MAX(0, IF(MIN($G$1, DATE(Initialisatie!$C$5,12,31)) &lt; MAX($G$2, DATE(Initialisatie!$C$5,1,1)), 0, MONTH(MIN($G$1, DATE(Initialisatie!$C$5,12,31))) - MONTH(MAX($G$2, DATE(Initialisatie!$C$5,1,1))) + 1)) &lt;= 0, IFERROR(VALUE($G30),0)=0),
        AND(MAX(0, IF(MIN($H$1, DATE(Initialisatie!$C$5,12,31)) &lt; MAX($H$2, DATE(Initialisatie!$C$5,1,1)), 0, MONTH(MIN($H$1, DATE(Initialisatie!$C$5,12,31))) - MONTH(MAX($H$2, DATE(Initialisatie!$C$5,1,1))) + 1)) &lt;= 0, IFERROR(VALUE($H30),0)=0)
    ),
    0,
    SUM(
        IFERROR(VALUE($D30),0) * MAX(0, IF(MIN($D$1, DATE(Initialisatie!$C$5,12,31)) &lt; MAX($D$2, DATE(Initialisatie!$C$5,1,1)), 0, MONTH(MIN($D$1, DATE(Initialisatie!$C$5,12,31))) - MONTH(MAX($D$2, DATE(Initialisatie!$C$5,1,1))) + 1)),
        IFERROR(VALUE($E30),0) * MAX(0, IF(MIN($E$1, DATE(Initialisatie!$C$5,12,31)) &lt; MAX($E$2, DATE(Initialisatie!$C$5,1,1)), 0, MONTH(MIN($E$1, DATE(Initialisatie!$C$5,12,31))) - MONTH(MAX($E$2, DATE(Initialisatie!$C$5,1,1))) + 1)),
        IFERROR(VALUE($F30),0) * MAX(0, IF(MIN($F$1, DATE(Initialisatie!$C$5,12,31)) &lt; MAX($F$2, DATE(Initialisatie!$C$5,1,1)), 0, MONTH(MIN($F$1, DATE(Initialisatie!$C$5,12,31))) - MONTH(MAX($F$2, DATE(Initialisatie!$C$5,1,1))) + 1)),
        IFERROR(VALUE($G30),0) * MAX(0, IF(MIN($G$1, DATE(Initialisatie!$C$5,12,31)) &lt; MAX($G$2, DATE(Initialisatie!$C$5,1,1)), 0, MONTH(MIN($G$1, DATE(Initialisatie!$C$5,12,31))) - MONTH(MAX($G$2, DATE(Initialisatie!$C$5,1,1))) + 1)),
        IFERROR(VALUE($H30),0) * MAX(0, IF(MIN($H$1, DATE(Initialisatie!$C$5,12,31)) &lt; MAX($H$2, DATE(Initialisatie!$C$5,1,1)), 0, MONTH(MIN($H$1, DATE(Initialisatie!$C$5,12,31))) - MONTH(MAX($H$2, DATE(Initialisatie!$C$5,1,1))) + 1))
    ) / 12
)</f>
        <v>2695</v>
      </c>
    </row>
    <row r="31" spans="1:11" x14ac:dyDescent="0.45">
      <c r="A31" s="989"/>
      <c r="B31" s="371">
        <v>7</v>
      </c>
      <c r="C31" s="371" t="s">
        <v>103</v>
      </c>
      <c r="D31" t="s">
        <v>1589</v>
      </c>
      <c r="E31" t="s">
        <v>1588</v>
      </c>
      <c r="F31" t="s">
        <v>1590</v>
      </c>
      <c r="G31" t="s">
        <v>1590</v>
      </c>
      <c r="H31" t="s">
        <v>1623</v>
      </c>
      <c r="J31">
        <f>IF(
    OR(
        AND(MAX(0, MIN($D$1, DATE(Initialisatie!$C$5,12,31)) - MAX($D$2, DATE(Initialisatie!$C$5,1,1)) + 1) &gt; 0,IFERROR(VALUE($D31),0)=0),
        AND(MAX(0, MIN($E$1, DATE(Initialisatie!$C$5,12,31)) - MAX($E$2, DATE(Initialisatie!$C$5,1,1)) + 1) &gt; 0,IFERROR(VALUE($E31),0)=0),
        AND(MAX(0, MIN($F$1, DATE(Initialisatie!$C$5,12,31)) - MAX($F$2, DATE(Initialisatie!$C$5,1,1)) + 1) &gt; 0,IFERROR(VALUE($F31),0)=0),
        AND(MAX(0, MIN($G$1, DATE(Initialisatie!$C$5,12,31)) - MAX($G$2, DATE(Initialisatie!$C$5,1,1)) + 1) &gt; 0,IFERROR(VALUE($G31),0)=0),
        AND(MAX(0, MIN($H$1, DATE(Initialisatie!$C$5,12,31)) - MAX($H$2, DATE(Initialisatie!$C$5,1,1)) + 1) &gt; 0,IFERROR(VALUE($H31),0)=0)
    ),
    0,
    SUM(
        IFERROR(VALUE($D31),0) * MAX(0, MIN($D$1, DATE(Initialisatie!$C$5,12,31)) - MAX($D$2, DATE(Initialisatie!$C$5,1,1)) + 1),
        IFERROR(VALUE($E31),0) * MAX(0, MIN($E$1, DATE(Initialisatie!$C$5,12,31)) - MAX($E$2, DATE(Initialisatie!$C$5,1,1)) + 1),
        IFERROR(VALUE($F31),0) * MAX(0, MIN($F$1, DATE(Initialisatie!$C$5,12,31)) - MAX($F$2, DATE(Initialisatie!$C$5,1,1)) + 1),
        IFERROR(VALUE($G31),0) * MAX(0, MIN($G$1, DATE(Initialisatie!$C$5,12,31)) - MAX($G$2, DATE(Initialisatie!$C$5,1,1)) + 1),
        IFERROR(VALUE($H31),0) * MAX(0, MIN($H$1, DATE(Initialisatie!$C$5,12,31)) - MAX($H$2, DATE(Initialisatie!$C$5,1,1)) + 1)
    ) / (DATE(Initialisatie!$C$5,12,31) - DATE(Initialisatie!$C$5,1,1) + 1)
)</f>
        <v>2770.33698630137</v>
      </c>
      <c r="K31">
        <f>IF(
    OR(
        AND(MAX(0, IF(MIN($D$1, DATE(Initialisatie!$C$5,12,31)) &lt; MAX($D$2, DATE(Initialisatie!$C$5,1,1)), 0, MONTH(MIN($D$1, DATE(Initialisatie!$C$5,12,31))) - MONTH(MAX($D$2, DATE(Initialisatie!$C$5,1,1))) + 1)) &lt;= 0, IFERROR(VALUE($D31),0)=0),
        AND(MAX(0, IF(MIN($E$1, DATE(Initialisatie!$C$5,12,31)) &lt; MAX($E$2, DATE(Initialisatie!$C$5,1,1)), 0, MONTH(MIN($E$1, DATE(Initialisatie!$C$5,12,31))) - MONTH(MAX($E$2, DATE(Initialisatie!$C$5,1,1))) + 1)) &lt;= 0, IFERROR(VALUE($E31),0)=0),
        AND(MAX(0, IF(MIN($F$1, DATE(Initialisatie!$C$5,12,31)) &lt; MAX($F$2, DATE(Initialisatie!$C$5,1,1)), 0, MONTH(MIN($F$1, DATE(Initialisatie!$C$5,12,31))) - MONTH(MAX($F$2, DATE(Initialisatie!$C$5,1,1))) + 1)) &lt;= 0, IFERROR(VALUE($F31),0)=0),
        AND(MAX(0, IF(MIN($G$1, DATE(Initialisatie!$C$5,12,31)) &lt; MAX($G$2, DATE(Initialisatie!$C$5,1,1)), 0, MONTH(MIN($G$1, DATE(Initialisatie!$C$5,12,31))) - MONTH(MAX($G$2, DATE(Initialisatie!$C$5,1,1))) + 1)) &lt;= 0, IFERROR(VALUE($G31),0)=0),
        AND(MAX(0, IF(MIN($H$1, DATE(Initialisatie!$C$5,12,31)) &lt; MAX($H$2, DATE(Initialisatie!$C$5,1,1)), 0, MONTH(MIN($H$1, DATE(Initialisatie!$C$5,12,31))) - MONTH(MAX($H$2, DATE(Initialisatie!$C$5,1,1))) + 1)) &lt;= 0, IFERROR(VALUE($H31),0)=0)
    ),
    0,
    SUM(
        IFERROR(VALUE($D31),0) * MAX(0, IF(MIN($D$1, DATE(Initialisatie!$C$5,12,31)) &lt; MAX($D$2, DATE(Initialisatie!$C$5,1,1)), 0, MONTH(MIN($D$1, DATE(Initialisatie!$C$5,12,31))) - MONTH(MAX($D$2, DATE(Initialisatie!$C$5,1,1))) + 1)),
        IFERROR(VALUE($E31),0) * MAX(0, IF(MIN($E$1, DATE(Initialisatie!$C$5,12,31)) &lt; MAX($E$2, DATE(Initialisatie!$C$5,1,1)), 0, MONTH(MIN($E$1, DATE(Initialisatie!$C$5,12,31))) - MONTH(MAX($E$2, DATE(Initialisatie!$C$5,1,1))) + 1)),
        IFERROR(VALUE($F31),0) * MAX(0, IF(MIN($F$1, DATE(Initialisatie!$C$5,12,31)) &lt; MAX($F$2, DATE(Initialisatie!$C$5,1,1)), 0, MONTH(MIN($F$1, DATE(Initialisatie!$C$5,12,31))) - MONTH(MAX($F$2, DATE(Initialisatie!$C$5,1,1))) + 1)),
        IFERROR(VALUE($G31),0) * MAX(0, IF(MIN($G$1, DATE(Initialisatie!$C$5,12,31)) &lt; MAX($G$2, DATE(Initialisatie!$C$5,1,1)), 0, MONTH(MIN($G$1, DATE(Initialisatie!$C$5,12,31))) - MONTH(MAX($G$2, DATE(Initialisatie!$C$5,1,1))) + 1)),
        IFERROR(VALUE($H31),0) * MAX(0, IF(MIN($H$1, DATE(Initialisatie!$C$5,12,31)) &lt; MAX($H$2, DATE(Initialisatie!$C$5,1,1)), 0, MONTH(MIN($H$1, DATE(Initialisatie!$C$5,12,31))) - MONTH(MAX($H$2, DATE(Initialisatie!$C$5,1,1))) + 1))
    ) / 12
)</f>
        <v>2770</v>
      </c>
    </row>
    <row r="32" spans="1:11" x14ac:dyDescent="0.45">
      <c r="A32" s="989"/>
      <c r="B32" s="371">
        <v>8</v>
      </c>
      <c r="C32" s="371" t="s">
        <v>1286</v>
      </c>
      <c r="D32" t="s">
        <v>1580</v>
      </c>
      <c r="E32" t="s">
        <v>1579</v>
      </c>
      <c r="F32" t="s">
        <v>1581</v>
      </c>
      <c r="G32" t="s">
        <v>1581</v>
      </c>
      <c r="H32" t="s">
        <v>1624</v>
      </c>
      <c r="J32">
        <f>IF(
    OR(
        AND(MAX(0, MIN($D$1, DATE(Initialisatie!$C$5,12,31)) - MAX($D$2, DATE(Initialisatie!$C$5,1,1)) + 1) &gt; 0,IFERROR(VALUE($D32),0)=0),
        AND(MAX(0, MIN($E$1, DATE(Initialisatie!$C$5,12,31)) - MAX($E$2, DATE(Initialisatie!$C$5,1,1)) + 1) &gt; 0,IFERROR(VALUE($E32),0)=0),
        AND(MAX(0, MIN($F$1, DATE(Initialisatie!$C$5,12,31)) - MAX($F$2, DATE(Initialisatie!$C$5,1,1)) + 1) &gt; 0,IFERROR(VALUE($F32),0)=0),
        AND(MAX(0, MIN($G$1, DATE(Initialisatie!$C$5,12,31)) - MAX($G$2, DATE(Initialisatie!$C$5,1,1)) + 1) &gt; 0,IFERROR(VALUE($G32),0)=0),
        AND(MAX(0, MIN($H$1, DATE(Initialisatie!$C$5,12,31)) - MAX($H$2, DATE(Initialisatie!$C$5,1,1)) + 1) &gt; 0,IFERROR(VALUE($H32),0)=0)
    ),
    0,
    SUM(
        IFERROR(VALUE($D32),0) * MAX(0, MIN($D$1, DATE(Initialisatie!$C$5,12,31)) - MAX($D$2, DATE(Initialisatie!$C$5,1,1)) + 1),
        IFERROR(VALUE($E32),0) * MAX(0, MIN($E$1, DATE(Initialisatie!$C$5,12,31)) - MAX($E$2, DATE(Initialisatie!$C$5,1,1)) + 1),
        IFERROR(VALUE($F32),0) * MAX(0, MIN($F$1, DATE(Initialisatie!$C$5,12,31)) - MAX($F$2, DATE(Initialisatie!$C$5,1,1)) + 1),
        IFERROR(VALUE($G32),0) * MAX(0, MIN($G$1, DATE(Initialisatie!$C$5,12,31)) - MAX($G$2, DATE(Initialisatie!$C$5,1,1)) + 1),
        IFERROR(VALUE($H32),0) * MAX(0, MIN($H$1, DATE(Initialisatie!$C$5,12,31)) - MAX($H$2, DATE(Initialisatie!$C$5,1,1)) + 1)
    ) / (DATE(Initialisatie!$C$5,12,31) - DATE(Initialisatie!$C$5,1,1) + 1)
)</f>
        <v>2846.345205479452</v>
      </c>
      <c r="K32">
        <f>IF(
    OR(
        AND(MAX(0, IF(MIN($D$1, DATE(Initialisatie!$C$5,12,31)) &lt; MAX($D$2, DATE(Initialisatie!$C$5,1,1)), 0, MONTH(MIN($D$1, DATE(Initialisatie!$C$5,12,31))) - MONTH(MAX($D$2, DATE(Initialisatie!$C$5,1,1))) + 1)) &lt;= 0, IFERROR(VALUE($D32),0)=0),
        AND(MAX(0, IF(MIN($E$1, DATE(Initialisatie!$C$5,12,31)) &lt; MAX($E$2, DATE(Initialisatie!$C$5,1,1)), 0, MONTH(MIN($E$1, DATE(Initialisatie!$C$5,12,31))) - MONTH(MAX($E$2, DATE(Initialisatie!$C$5,1,1))) + 1)) &lt;= 0, IFERROR(VALUE($E32),0)=0),
        AND(MAX(0, IF(MIN($F$1, DATE(Initialisatie!$C$5,12,31)) &lt; MAX($F$2, DATE(Initialisatie!$C$5,1,1)), 0, MONTH(MIN($F$1, DATE(Initialisatie!$C$5,12,31))) - MONTH(MAX($F$2, DATE(Initialisatie!$C$5,1,1))) + 1)) &lt;= 0, IFERROR(VALUE($F32),0)=0),
        AND(MAX(0, IF(MIN($G$1, DATE(Initialisatie!$C$5,12,31)) &lt; MAX($G$2, DATE(Initialisatie!$C$5,1,1)), 0, MONTH(MIN($G$1, DATE(Initialisatie!$C$5,12,31))) - MONTH(MAX($G$2, DATE(Initialisatie!$C$5,1,1))) + 1)) &lt;= 0, IFERROR(VALUE($G32),0)=0),
        AND(MAX(0, IF(MIN($H$1, DATE(Initialisatie!$C$5,12,31)) &lt; MAX($H$2, DATE(Initialisatie!$C$5,1,1)), 0, MONTH(MIN($H$1, DATE(Initialisatie!$C$5,12,31))) - MONTH(MAX($H$2, DATE(Initialisatie!$C$5,1,1))) + 1)) &lt;= 0, IFERROR(VALUE($H32),0)=0)
    ),
    0,
    SUM(
        IFERROR(VALUE($D32),0) * MAX(0, IF(MIN($D$1, DATE(Initialisatie!$C$5,12,31)) &lt; MAX($D$2, DATE(Initialisatie!$C$5,1,1)), 0, MONTH(MIN($D$1, DATE(Initialisatie!$C$5,12,31))) - MONTH(MAX($D$2, DATE(Initialisatie!$C$5,1,1))) + 1)),
        IFERROR(VALUE($E32),0) * MAX(0, IF(MIN($E$1, DATE(Initialisatie!$C$5,12,31)) &lt; MAX($E$2, DATE(Initialisatie!$C$5,1,1)), 0, MONTH(MIN($E$1, DATE(Initialisatie!$C$5,12,31))) - MONTH(MAX($E$2, DATE(Initialisatie!$C$5,1,1))) + 1)),
        IFERROR(VALUE($F32),0) * MAX(0, IF(MIN($F$1, DATE(Initialisatie!$C$5,12,31)) &lt; MAX($F$2, DATE(Initialisatie!$C$5,1,1)), 0, MONTH(MIN($F$1, DATE(Initialisatie!$C$5,12,31))) - MONTH(MAX($F$2, DATE(Initialisatie!$C$5,1,1))) + 1)),
        IFERROR(VALUE($G32),0) * MAX(0, IF(MIN($G$1, DATE(Initialisatie!$C$5,12,31)) &lt; MAX($G$2, DATE(Initialisatie!$C$5,1,1)), 0, MONTH(MIN($G$1, DATE(Initialisatie!$C$5,12,31))) - MONTH(MAX($G$2, DATE(Initialisatie!$C$5,1,1))) + 1)),
        IFERROR(VALUE($H32),0) * MAX(0, IF(MIN($H$1, DATE(Initialisatie!$C$5,12,31)) &lt; MAX($H$2, DATE(Initialisatie!$C$5,1,1)), 0, MONTH(MIN($H$1, DATE(Initialisatie!$C$5,12,31))) - MONTH(MAX($H$2, DATE(Initialisatie!$C$5,1,1))) + 1))
    ) / 12
)</f>
        <v>2846</v>
      </c>
    </row>
    <row r="33" spans="1:11" x14ac:dyDescent="0.45">
      <c r="A33" s="989"/>
      <c r="B33" s="371">
        <v>9</v>
      </c>
      <c r="C33" s="371" t="s">
        <v>1287</v>
      </c>
      <c r="D33" t="s">
        <v>1583</v>
      </c>
      <c r="E33" t="s">
        <v>1582</v>
      </c>
      <c r="F33" t="s">
        <v>1584</v>
      </c>
      <c r="G33" t="s">
        <v>1584</v>
      </c>
      <c r="H33" t="s">
        <v>1625</v>
      </c>
      <c r="J33">
        <f>IF(
    OR(
        AND(MAX(0, MIN($D$1, DATE(Initialisatie!$C$5,12,31)) - MAX($D$2, DATE(Initialisatie!$C$5,1,1)) + 1) &gt; 0,IFERROR(VALUE($D33),0)=0),
        AND(MAX(0, MIN($E$1, DATE(Initialisatie!$C$5,12,31)) - MAX($E$2, DATE(Initialisatie!$C$5,1,1)) + 1) &gt; 0,IFERROR(VALUE($E33),0)=0),
        AND(MAX(0, MIN($F$1, DATE(Initialisatie!$C$5,12,31)) - MAX($F$2, DATE(Initialisatie!$C$5,1,1)) + 1) &gt; 0,IFERROR(VALUE($F33),0)=0),
        AND(MAX(0, MIN($G$1, DATE(Initialisatie!$C$5,12,31)) - MAX($G$2, DATE(Initialisatie!$C$5,1,1)) + 1) &gt; 0,IFERROR(VALUE($G33),0)=0),
        AND(MAX(0, MIN($H$1, DATE(Initialisatie!$C$5,12,31)) - MAX($H$2, DATE(Initialisatie!$C$5,1,1)) + 1) &gt; 0,IFERROR(VALUE($H33),0)=0)
    ),
    0,
    SUM(
        IFERROR(VALUE($D33),0) * MAX(0, MIN($D$1, DATE(Initialisatie!$C$5,12,31)) - MAX($D$2, DATE(Initialisatie!$C$5,1,1)) + 1),
        IFERROR(VALUE($E33),0) * MAX(0, MIN($E$1, DATE(Initialisatie!$C$5,12,31)) - MAX($E$2, DATE(Initialisatie!$C$5,1,1)) + 1),
        IFERROR(VALUE($F33),0) * MAX(0, MIN($F$1, DATE(Initialisatie!$C$5,12,31)) - MAX($F$2, DATE(Initialisatie!$C$5,1,1)) + 1),
        IFERROR(VALUE($G33),0) * MAX(0, MIN($G$1, DATE(Initialisatie!$C$5,12,31)) - MAX($G$2, DATE(Initialisatie!$C$5,1,1)) + 1),
        IFERROR(VALUE($H33),0) * MAX(0, MIN($H$1, DATE(Initialisatie!$C$5,12,31)) - MAX($H$2, DATE(Initialisatie!$C$5,1,1)) + 1)
    ) / (DATE(Initialisatie!$C$5,12,31) - DATE(Initialisatie!$C$5,1,1) + 1)
)</f>
        <v>2915.3534246575341</v>
      </c>
      <c r="K33">
        <f>IF(
    OR(
        AND(MAX(0, IF(MIN($D$1, DATE(Initialisatie!$C$5,12,31)) &lt; MAX($D$2, DATE(Initialisatie!$C$5,1,1)), 0, MONTH(MIN($D$1, DATE(Initialisatie!$C$5,12,31))) - MONTH(MAX($D$2, DATE(Initialisatie!$C$5,1,1))) + 1)) &lt;= 0, IFERROR(VALUE($D33),0)=0),
        AND(MAX(0, IF(MIN($E$1, DATE(Initialisatie!$C$5,12,31)) &lt; MAX($E$2, DATE(Initialisatie!$C$5,1,1)), 0, MONTH(MIN($E$1, DATE(Initialisatie!$C$5,12,31))) - MONTH(MAX($E$2, DATE(Initialisatie!$C$5,1,1))) + 1)) &lt;= 0, IFERROR(VALUE($E33),0)=0),
        AND(MAX(0, IF(MIN($F$1, DATE(Initialisatie!$C$5,12,31)) &lt; MAX($F$2, DATE(Initialisatie!$C$5,1,1)), 0, MONTH(MIN($F$1, DATE(Initialisatie!$C$5,12,31))) - MONTH(MAX($F$2, DATE(Initialisatie!$C$5,1,1))) + 1)) &lt;= 0, IFERROR(VALUE($F33),0)=0),
        AND(MAX(0, IF(MIN($G$1, DATE(Initialisatie!$C$5,12,31)) &lt; MAX($G$2, DATE(Initialisatie!$C$5,1,1)), 0, MONTH(MIN($G$1, DATE(Initialisatie!$C$5,12,31))) - MONTH(MAX($G$2, DATE(Initialisatie!$C$5,1,1))) + 1)) &lt;= 0, IFERROR(VALUE($G33),0)=0),
        AND(MAX(0, IF(MIN($H$1, DATE(Initialisatie!$C$5,12,31)) &lt; MAX($H$2, DATE(Initialisatie!$C$5,1,1)), 0, MONTH(MIN($H$1, DATE(Initialisatie!$C$5,12,31))) - MONTH(MAX($H$2, DATE(Initialisatie!$C$5,1,1))) + 1)) &lt;= 0, IFERROR(VALUE($H33),0)=0)
    ),
    0,
    SUM(
        IFERROR(VALUE($D33),0) * MAX(0, IF(MIN($D$1, DATE(Initialisatie!$C$5,12,31)) &lt; MAX($D$2, DATE(Initialisatie!$C$5,1,1)), 0, MONTH(MIN($D$1, DATE(Initialisatie!$C$5,12,31))) - MONTH(MAX($D$2, DATE(Initialisatie!$C$5,1,1))) + 1)),
        IFERROR(VALUE($E33),0) * MAX(0, IF(MIN($E$1, DATE(Initialisatie!$C$5,12,31)) &lt; MAX($E$2, DATE(Initialisatie!$C$5,1,1)), 0, MONTH(MIN($E$1, DATE(Initialisatie!$C$5,12,31))) - MONTH(MAX($E$2, DATE(Initialisatie!$C$5,1,1))) + 1)),
        IFERROR(VALUE($F33),0) * MAX(0, IF(MIN($F$1, DATE(Initialisatie!$C$5,12,31)) &lt; MAX($F$2, DATE(Initialisatie!$C$5,1,1)), 0, MONTH(MIN($F$1, DATE(Initialisatie!$C$5,12,31))) - MONTH(MAX($F$2, DATE(Initialisatie!$C$5,1,1))) + 1)),
        IFERROR(VALUE($G33),0) * MAX(0, IF(MIN($G$1, DATE(Initialisatie!$C$5,12,31)) &lt; MAX($G$2, DATE(Initialisatie!$C$5,1,1)), 0, MONTH(MIN($G$1, DATE(Initialisatie!$C$5,12,31))) - MONTH(MAX($G$2, DATE(Initialisatie!$C$5,1,1))) + 1)),
        IFERROR(VALUE($H33),0) * MAX(0, IF(MIN($H$1, DATE(Initialisatie!$C$5,12,31)) &lt; MAX($H$2, DATE(Initialisatie!$C$5,1,1)), 0, MONTH(MIN($H$1, DATE(Initialisatie!$C$5,12,31))) - MONTH(MAX($H$2, DATE(Initialisatie!$C$5,1,1))) + 1))
    ) / 12
)</f>
        <v>2915</v>
      </c>
    </row>
    <row r="34" spans="1:11" x14ac:dyDescent="0.45">
      <c r="A34" s="990"/>
      <c r="B34" s="371">
        <v>10</v>
      </c>
      <c r="C34" s="371" t="s">
        <v>1578</v>
      </c>
      <c r="D34" t="s">
        <v>1576</v>
      </c>
      <c r="E34" t="s">
        <v>1575</v>
      </c>
      <c r="F34" t="s">
        <v>1577</v>
      </c>
      <c r="G34" t="s">
        <v>1577</v>
      </c>
      <c r="H34" t="s">
        <v>1626</v>
      </c>
      <c r="J34">
        <f>IF(
    OR(
        AND(MAX(0, MIN($D$1, DATE(Initialisatie!$C$5,12,31)) - MAX($D$2, DATE(Initialisatie!$C$5,1,1)) + 1) &gt; 0,IFERROR(VALUE($D34),0)=0),
        AND(MAX(0, MIN($E$1, DATE(Initialisatie!$C$5,12,31)) - MAX($E$2, DATE(Initialisatie!$C$5,1,1)) + 1) &gt; 0,IFERROR(VALUE($E34),0)=0),
        AND(MAX(0, MIN($F$1, DATE(Initialisatie!$C$5,12,31)) - MAX($F$2, DATE(Initialisatie!$C$5,1,1)) + 1) &gt; 0,IFERROR(VALUE($F34),0)=0),
        AND(MAX(0, MIN($G$1, DATE(Initialisatie!$C$5,12,31)) - MAX($G$2, DATE(Initialisatie!$C$5,1,1)) + 1) &gt; 0,IFERROR(VALUE($G34),0)=0),
        AND(MAX(0, MIN($H$1, DATE(Initialisatie!$C$5,12,31)) - MAX($H$2, DATE(Initialisatie!$C$5,1,1)) + 1) &gt; 0,IFERROR(VALUE($H34),0)=0)
    ),
    0,
    SUM(
        IFERROR(VALUE($D34),0) * MAX(0, MIN($D$1, DATE(Initialisatie!$C$5,12,31)) - MAX($D$2, DATE(Initialisatie!$C$5,1,1)) + 1),
        IFERROR(VALUE($E34),0) * MAX(0, MIN($E$1, DATE(Initialisatie!$C$5,12,31)) - MAX($E$2, DATE(Initialisatie!$C$5,1,1)) + 1),
        IFERROR(VALUE($F34),0) * MAX(0, MIN($F$1, DATE(Initialisatie!$C$5,12,31)) - MAX($F$2, DATE(Initialisatie!$C$5,1,1)) + 1),
        IFERROR(VALUE($G34),0) * MAX(0, MIN($G$1, DATE(Initialisatie!$C$5,12,31)) - MAX($G$2, DATE(Initialisatie!$C$5,1,1)) + 1),
        IFERROR(VALUE($H34),0) * MAX(0, MIN($H$1, DATE(Initialisatie!$C$5,12,31)) - MAX($H$2, DATE(Initialisatie!$C$5,1,1)) + 1)
    ) / (DATE(Initialisatie!$C$5,12,31) - DATE(Initialisatie!$C$5,1,1) + 1)
)</f>
        <v>2994.8657534246577</v>
      </c>
      <c r="K34">
        <f>IF(
    OR(
        AND(MAX(0, IF(MIN($D$1, DATE(Initialisatie!$C$5,12,31)) &lt; MAX($D$2, DATE(Initialisatie!$C$5,1,1)), 0, MONTH(MIN($D$1, DATE(Initialisatie!$C$5,12,31))) - MONTH(MAX($D$2, DATE(Initialisatie!$C$5,1,1))) + 1)) &lt;= 0, IFERROR(VALUE($D34),0)=0),
        AND(MAX(0, IF(MIN($E$1, DATE(Initialisatie!$C$5,12,31)) &lt; MAX($E$2, DATE(Initialisatie!$C$5,1,1)), 0, MONTH(MIN($E$1, DATE(Initialisatie!$C$5,12,31))) - MONTH(MAX($E$2, DATE(Initialisatie!$C$5,1,1))) + 1)) &lt;= 0, IFERROR(VALUE($E34),0)=0),
        AND(MAX(0, IF(MIN($F$1, DATE(Initialisatie!$C$5,12,31)) &lt; MAX($F$2, DATE(Initialisatie!$C$5,1,1)), 0, MONTH(MIN($F$1, DATE(Initialisatie!$C$5,12,31))) - MONTH(MAX($F$2, DATE(Initialisatie!$C$5,1,1))) + 1)) &lt;= 0, IFERROR(VALUE($F34),0)=0),
        AND(MAX(0, IF(MIN($G$1, DATE(Initialisatie!$C$5,12,31)) &lt; MAX($G$2, DATE(Initialisatie!$C$5,1,1)), 0, MONTH(MIN($G$1, DATE(Initialisatie!$C$5,12,31))) - MONTH(MAX($G$2, DATE(Initialisatie!$C$5,1,1))) + 1)) &lt;= 0, IFERROR(VALUE($G34),0)=0),
        AND(MAX(0, IF(MIN($H$1, DATE(Initialisatie!$C$5,12,31)) &lt; MAX($H$2, DATE(Initialisatie!$C$5,1,1)), 0, MONTH(MIN($H$1, DATE(Initialisatie!$C$5,12,31))) - MONTH(MAX($H$2, DATE(Initialisatie!$C$5,1,1))) + 1)) &lt;= 0, IFERROR(VALUE($H34),0)=0)
    ),
    0,
    SUM(
        IFERROR(VALUE($D34),0) * MAX(0, IF(MIN($D$1, DATE(Initialisatie!$C$5,12,31)) &lt; MAX($D$2, DATE(Initialisatie!$C$5,1,1)), 0, MONTH(MIN($D$1, DATE(Initialisatie!$C$5,12,31))) - MONTH(MAX($D$2, DATE(Initialisatie!$C$5,1,1))) + 1)),
        IFERROR(VALUE($E34),0) * MAX(0, IF(MIN($E$1, DATE(Initialisatie!$C$5,12,31)) &lt; MAX($E$2, DATE(Initialisatie!$C$5,1,1)), 0, MONTH(MIN($E$1, DATE(Initialisatie!$C$5,12,31))) - MONTH(MAX($E$2, DATE(Initialisatie!$C$5,1,1))) + 1)),
        IFERROR(VALUE($F34),0) * MAX(0, IF(MIN($F$1, DATE(Initialisatie!$C$5,12,31)) &lt; MAX($F$2, DATE(Initialisatie!$C$5,1,1)), 0, MONTH(MIN($F$1, DATE(Initialisatie!$C$5,12,31))) - MONTH(MAX($F$2, DATE(Initialisatie!$C$5,1,1))) + 1)),
        IFERROR(VALUE($G34),0) * MAX(0, IF(MIN($G$1, DATE(Initialisatie!$C$5,12,31)) &lt; MAX($G$2, DATE(Initialisatie!$C$5,1,1)), 0, MONTH(MIN($G$1, DATE(Initialisatie!$C$5,12,31))) - MONTH(MAX($G$2, DATE(Initialisatie!$C$5,1,1))) + 1)),
        IFERROR(VALUE($H34),0) * MAX(0, IF(MIN($H$1, DATE(Initialisatie!$C$5,12,31)) &lt; MAX($H$2, DATE(Initialisatie!$C$5,1,1)), 0, MONTH(MIN($H$1, DATE(Initialisatie!$C$5,12,31))) - MONTH(MAX($H$2, DATE(Initialisatie!$C$5,1,1))) + 1))
    ) / 12
)</f>
        <v>2994.5</v>
      </c>
    </row>
    <row r="35" spans="1:11" x14ac:dyDescent="0.45">
      <c r="A35" s="993">
        <v>25</v>
      </c>
      <c r="B35" s="371">
        <v>0</v>
      </c>
      <c r="C35" s="371" t="s">
        <v>1283</v>
      </c>
      <c r="D35" t="s">
        <v>1603</v>
      </c>
      <c r="E35" t="s">
        <v>1616</v>
      </c>
      <c r="F35" t="s">
        <v>1604</v>
      </c>
      <c r="G35" t="s">
        <v>1618</v>
      </c>
      <c r="H35" t="s">
        <v>1618</v>
      </c>
      <c r="J35">
        <f>IF(
    OR(
        AND(MAX(0, MIN($D$1, DATE(Initialisatie!$C$5,12,31)) - MAX($D$2, DATE(Initialisatie!$C$5,1,1)) + 1) &gt; 0,IFERROR(VALUE($D35),0)=0),
        AND(MAX(0, MIN($E$1, DATE(Initialisatie!$C$5,12,31)) - MAX($E$2, DATE(Initialisatie!$C$5,1,1)) + 1) &gt; 0,IFERROR(VALUE($E35),0)=0),
        AND(MAX(0, MIN($F$1, DATE(Initialisatie!$C$5,12,31)) - MAX($F$2, DATE(Initialisatie!$C$5,1,1)) + 1) &gt; 0,IFERROR(VALUE($F35),0)=0),
        AND(MAX(0, MIN($G$1, DATE(Initialisatie!$C$5,12,31)) - MAX($G$2, DATE(Initialisatie!$C$5,1,1)) + 1) &gt; 0,IFERROR(VALUE($G35),0)=0),
        AND(MAX(0, MIN($H$1, DATE(Initialisatie!$C$5,12,31)) - MAX($H$2, DATE(Initialisatie!$C$5,1,1)) + 1) &gt; 0,IFERROR(VALUE($H35),0)=0)
    ),
    0,
    SUM(
        IFERROR(VALUE($D35),0) * MAX(0, MIN($D$1, DATE(Initialisatie!$C$5,12,31)) - MAX($D$2, DATE(Initialisatie!$C$5,1,1)) + 1),
        IFERROR(VALUE($E35),0) * MAX(0, MIN($E$1, DATE(Initialisatie!$C$5,12,31)) - MAX($E$2, DATE(Initialisatie!$C$5,1,1)) + 1),
        IFERROR(VALUE($F35),0) * MAX(0, MIN($F$1, DATE(Initialisatie!$C$5,12,31)) - MAX($F$2, DATE(Initialisatie!$C$5,1,1)) + 1),
        IFERROR(VALUE($G35),0) * MAX(0, MIN($G$1, DATE(Initialisatie!$C$5,12,31)) - MAX($G$2, DATE(Initialisatie!$C$5,1,1)) + 1),
        IFERROR(VALUE($H35),0) * MAX(0, MIN($H$1, DATE(Initialisatie!$C$5,12,31)) - MAX($H$2, DATE(Initialisatie!$C$5,1,1)) + 1)
    ) / (DATE(Initialisatie!$C$5,12,31) - DATE(Initialisatie!$C$5,1,1) + 1)
)</f>
        <v>2504</v>
      </c>
      <c r="K35">
        <f>IF(
    OR(
        AND(MAX(0, IF(MIN($D$1, DATE(Initialisatie!$C$5,12,31)) &lt; MAX($D$2, DATE(Initialisatie!$C$5,1,1)), 0, MONTH(MIN($D$1, DATE(Initialisatie!$C$5,12,31))) - MONTH(MAX($D$2, DATE(Initialisatie!$C$5,1,1))) + 1)) &lt;= 0, IFERROR(VALUE($D35),0)=0),
        AND(MAX(0, IF(MIN($E$1, DATE(Initialisatie!$C$5,12,31)) &lt; MAX($E$2, DATE(Initialisatie!$C$5,1,1)), 0, MONTH(MIN($E$1, DATE(Initialisatie!$C$5,12,31))) - MONTH(MAX($E$2, DATE(Initialisatie!$C$5,1,1))) + 1)) &lt;= 0, IFERROR(VALUE($E35),0)=0),
        AND(MAX(0, IF(MIN($F$1, DATE(Initialisatie!$C$5,12,31)) &lt; MAX($F$2, DATE(Initialisatie!$C$5,1,1)), 0, MONTH(MIN($F$1, DATE(Initialisatie!$C$5,12,31))) - MONTH(MAX($F$2, DATE(Initialisatie!$C$5,1,1))) + 1)) &lt;= 0, IFERROR(VALUE($F35),0)=0),
        AND(MAX(0, IF(MIN($G$1, DATE(Initialisatie!$C$5,12,31)) &lt; MAX($G$2, DATE(Initialisatie!$C$5,1,1)), 0, MONTH(MIN($G$1, DATE(Initialisatie!$C$5,12,31))) - MONTH(MAX($G$2, DATE(Initialisatie!$C$5,1,1))) + 1)) &lt;= 0, IFERROR(VALUE($G35),0)=0),
        AND(MAX(0, IF(MIN($H$1, DATE(Initialisatie!$C$5,12,31)) &lt; MAX($H$2, DATE(Initialisatie!$C$5,1,1)), 0, MONTH(MIN($H$1, DATE(Initialisatie!$C$5,12,31))) - MONTH(MAX($H$2, DATE(Initialisatie!$C$5,1,1))) + 1)) &lt;= 0, IFERROR(VALUE($H35),0)=0)
    ),
    0,
    SUM(
        IFERROR(VALUE($D35),0) * MAX(0, IF(MIN($D$1, DATE(Initialisatie!$C$5,12,31)) &lt; MAX($D$2, DATE(Initialisatie!$C$5,1,1)), 0, MONTH(MIN($D$1, DATE(Initialisatie!$C$5,12,31))) - MONTH(MAX($D$2, DATE(Initialisatie!$C$5,1,1))) + 1)),
        IFERROR(VALUE($E35),0) * MAX(0, IF(MIN($E$1, DATE(Initialisatie!$C$5,12,31)) &lt; MAX($E$2, DATE(Initialisatie!$C$5,1,1)), 0, MONTH(MIN($E$1, DATE(Initialisatie!$C$5,12,31))) - MONTH(MAX($E$2, DATE(Initialisatie!$C$5,1,1))) + 1)),
        IFERROR(VALUE($F35),0) * MAX(0, IF(MIN($F$1, DATE(Initialisatie!$C$5,12,31)) &lt; MAX($F$2, DATE(Initialisatie!$C$5,1,1)), 0, MONTH(MIN($F$1, DATE(Initialisatie!$C$5,12,31))) - MONTH(MAX($F$2, DATE(Initialisatie!$C$5,1,1))) + 1)),
        IFERROR(VALUE($G35),0) * MAX(0, IF(MIN($G$1, DATE(Initialisatie!$C$5,12,31)) &lt; MAX($G$2, DATE(Initialisatie!$C$5,1,1)), 0, MONTH(MIN($G$1, DATE(Initialisatie!$C$5,12,31))) - MONTH(MAX($G$2, DATE(Initialisatie!$C$5,1,1))) + 1)),
        IFERROR(VALUE($H35),0) * MAX(0, IF(MIN($H$1, DATE(Initialisatie!$C$5,12,31)) &lt; MAX($H$2, DATE(Initialisatie!$C$5,1,1)), 0, MONTH(MIN($H$1, DATE(Initialisatie!$C$5,12,31))) - MONTH(MAX($H$2, DATE(Initialisatie!$C$5,1,1))) + 1))
    ) / 12
)</f>
        <v>2504</v>
      </c>
    </row>
    <row r="36" spans="1:11" x14ac:dyDescent="0.45">
      <c r="A36" s="989"/>
      <c r="B36" s="371">
        <v>1</v>
      </c>
      <c r="C36" s="371" t="s">
        <v>1285</v>
      </c>
      <c r="D36" t="s">
        <v>1601</v>
      </c>
      <c r="E36" t="s">
        <v>1600</v>
      </c>
      <c r="F36" t="s">
        <v>1602</v>
      </c>
      <c r="G36" t="s">
        <v>1618</v>
      </c>
      <c r="H36" t="s">
        <v>1619</v>
      </c>
      <c r="J36">
        <f>IF(
    OR(
        AND(MAX(0, MIN($D$1, DATE(Initialisatie!$C$5,12,31)) - MAX($D$2, DATE(Initialisatie!$C$5,1,1)) + 1) &gt; 0,IFERROR(VALUE($D36),0)=0),
        AND(MAX(0, MIN($E$1, DATE(Initialisatie!$C$5,12,31)) - MAX($E$2, DATE(Initialisatie!$C$5,1,1)) + 1) &gt; 0,IFERROR(VALUE($E36),0)=0),
        AND(MAX(0, MIN($F$1, DATE(Initialisatie!$C$5,12,31)) - MAX($F$2, DATE(Initialisatie!$C$5,1,1)) + 1) &gt; 0,IFERROR(VALUE($F36),0)=0),
        AND(MAX(0, MIN($G$1, DATE(Initialisatie!$C$5,12,31)) - MAX($G$2, DATE(Initialisatie!$C$5,1,1)) + 1) &gt; 0,IFERROR(VALUE($G36),0)=0),
        AND(MAX(0, MIN($H$1, DATE(Initialisatie!$C$5,12,31)) - MAX($H$2, DATE(Initialisatie!$C$5,1,1)) + 1) &gt; 0,IFERROR(VALUE($H36),0)=0)
    ),
    0,
    SUM(
        IFERROR(VALUE($D36),0) * MAX(0, MIN($D$1, DATE(Initialisatie!$C$5,12,31)) - MAX($D$2, DATE(Initialisatie!$C$5,1,1)) + 1),
        IFERROR(VALUE($E36),0) * MAX(0, MIN($E$1, DATE(Initialisatie!$C$5,12,31)) - MAX($E$2, DATE(Initialisatie!$C$5,1,1)) + 1),
        IFERROR(VALUE($F36),0) * MAX(0, MIN($F$1, DATE(Initialisatie!$C$5,12,31)) - MAX($F$2, DATE(Initialisatie!$C$5,1,1)) + 1),
        IFERROR(VALUE($G36),0) * MAX(0, MIN($G$1, DATE(Initialisatie!$C$5,12,31)) - MAX($G$2, DATE(Initialisatie!$C$5,1,1)) + 1),
        IFERROR(VALUE($H36),0) * MAX(0, MIN($H$1, DATE(Initialisatie!$C$5,12,31)) - MAX($H$2, DATE(Initialisatie!$C$5,1,1)) + 1)
    ) / (DATE(Initialisatie!$C$5,12,31) - DATE(Initialisatie!$C$5,1,1) + 1)
)</f>
        <v>2524.6684931506848</v>
      </c>
      <c r="K36">
        <f>IF(
    OR(
        AND(MAX(0, IF(MIN($D$1, DATE(Initialisatie!$C$5,12,31)) &lt; MAX($D$2, DATE(Initialisatie!$C$5,1,1)), 0, MONTH(MIN($D$1, DATE(Initialisatie!$C$5,12,31))) - MONTH(MAX($D$2, DATE(Initialisatie!$C$5,1,1))) + 1)) &lt;= 0, IFERROR(VALUE($D36),0)=0),
        AND(MAX(0, IF(MIN($E$1, DATE(Initialisatie!$C$5,12,31)) &lt; MAX($E$2, DATE(Initialisatie!$C$5,1,1)), 0, MONTH(MIN($E$1, DATE(Initialisatie!$C$5,12,31))) - MONTH(MAX($E$2, DATE(Initialisatie!$C$5,1,1))) + 1)) &lt;= 0, IFERROR(VALUE($E36),0)=0),
        AND(MAX(0, IF(MIN($F$1, DATE(Initialisatie!$C$5,12,31)) &lt; MAX($F$2, DATE(Initialisatie!$C$5,1,1)), 0, MONTH(MIN($F$1, DATE(Initialisatie!$C$5,12,31))) - MONTH(MAX($F$2, DATE(Initialisatie!$C$5,1,1))) + 1)) &lt;= 0, IFERROR(VALUE($F36),0)=0),
        AND(MAX(0, IF(MIN($G$1, DATE(Initialisatie!$C$5,12,31)) &lt; MAX($G$2, DATE(Initialisatie!$C$5,1,1)), 0, MONTH(MIN($G$1, DATE(Initialisatie!$C$5,12,31))) - MONTH(MAX($G$2, DATE(Initialisatie!$C$5,1,1))) + 1)) &lt;= 0, IFERROR(VALUE($G36),0)=0),
        AND(MAX(0, IF(MIN($H$1, DATE(Initialisatie!$C$5,12,31)) &lt; MAX($H$2, DATE(Initialisatie!$C$5,1,1)), 0, MONTH(MIN($H$1, DATE(Initialisatie!$C$5,12,31))) - MONTH(MAX($H$2, DATE(Initialisatie!$C$5,1,1))) + 1)) &lt;= 0, IFERROR(VALUE($H36),0)=0)
    ),
    0,
    SUM(
        IFERROR(VALUE($D36),0) * MAX(0, IF(MIN($D$1, DATE(Initialisatie!$C$5,12,31)) &lt; MAX($D$2, DATE(Initialisatie!$C$5,1,1)), 0, MONTH(MIN($D$1, DATE(Initialisatie!$C$5,12,31))) - MONTH(MAX($D$2, DATE(Initialisatie!$C$5,1,1))) + 1)),
        IFERROR(VALUE($E36),0) * MAX(0, IF(MIN($E$1, DATE(Initialisatie!$C$5,12,31)) &lt; MAX($E$2, DATE(Initialisatie!$C$5,1,1)), 0, MONTH(MIN($E$1, DATE(Initialisatie!$C$5,12,31))) - MONTH(MAX($E$2, DATE(Initialisatie!$C$5,1,1))) + 1)),
        IFERROR(VALUE($F36),0) * MAX(0, IF(MIN($F$1, DATE(Initialisatie!$C$5,12,31)) &lt; MAX($F$2, DATE(Initialisatie!$C$5,1,1)), 0, MONTH(MIN($F$1, DATE(Initialisatie!$C$5,12,31))) - MONTH(MAX($F$2, DATE(Initialisatie!$C$5,1,1))) + 1)),
        IFERROR(VALUE($G36),0) * MAX(0, IF(MIN($G$1, DATE(Initialisatie!$C$5,12,31)) &lt; MAX($G$2, DATE(Initialisatie!$C$5,1,1)), 0, MONTH(MIN($G$1, DATE(Initialisatie!$C$5,12,31))) - MONTH(MAX($G$2, DATE(Initialisatie!$C$5,1,1))) + 1)),
        IFERROR(VALUE($H36),0) * MAX(0, IF(MIN($H$1, DATE(Initialisatie!$C$5,12,31)) &lt; MAX($H$2, DATE(Initialisatie!$C$5,1,1)), 0, MONTH(MIN($H$1, DATE(Initialisatie!$C$5,12,31))) - MONTH(MAX($H$2, DATE(Initialisatie!$C$5,1,1))) + 1))
    ) / 12
)</f>
        <v>2524.5</v>
      </c>
    </row>
    <row r="37" spans="1:11" x14ac:dyDescent="0.45">
      <c r="A37" s="989"/>
      <c r="B37" s="371">
        <v>2</v>
      </c>
      <c r="C37" s="371" t="s">
        <v>109</v>
      </c>
      <c r="D37" t="s">
        <v>1592</v>
      </c>
      <c r="E37" t="s">
        <v>1591</v>
      </c>
      <c r="F37" t="s">
        <v>1593</v>
      </c>
      <c r="G37" t="s">
        <v>1593</v>
      </c>
      <c r="H37" t="s">
        <v>1620</v>
      </c>
      <c r="J37">
        <f>IF(
    OR(
        AND(MAX(0, MIN($D$1, DATE(Initialisatie!$C$5,12,31)) - MAX($D$2, DATE(Initialisatie!$C$5,1,1)) + 1) &gt; 0,IFERROR(VALUE($D37),0)=0),
        AND(MAX(0, MIN($E$1, DATE(Initialisatie!$C$5,12,31)) - MAX($E$2, DATE(Initialisatie!$C$5,1,1)) + 1) &gt; 0,IFERROR(VALUE($E37),0)=0),
        AND(MAX(0, MIN($F$1, DATE(Initialisatie!$C$5,12,31)) - MAX($F$2, DATE(Initialisatie!$C$5,1,1)) + 1) &gt; 0,IFERROR(VALUE($F37),0)=0),
        AND(MAX(0, MIN($G$1, DATE(Initialisatie!$C$5,12,31)) - MAX($G$2, DATE(Initialisatie!$C$5,1,1)) + 1) &gt; 0,IFERROR(VALUE($G37),0)=0),
        AND(MAX(0, MIN($H$1, DATE(Initialisatie!$C$5,12,31)) - MAX($H$2, DATE(Initialisatie!$C$5,1,1)) + 1) &gt; 0,IFERROR(VALUE($H37),0)=0)
    ),
    0,
    SUM(
        IFERROR(VALUE($D37),0) * MAX(0, MIN($D$1, DATE(Initialisatie!$C$5,12,31)) - MAX($D$2, DATE(Initialisatie!$C$5,1,1)) + 1),
        IFERROR(VALUE($E37),0) * MAX(0, MIN($E$1, DATE(Initialisatie!$C$5,12,31)) - MAX($E$2, DATE(Initialisatie!$C$5,1,1)) + 1),
        IFERROR(VALUE($F37),0) * MAX(0, MIN($F$1, DATE(Initialisatie!$C$5,12,31)) - MAX($F$2, DATE(Initialisatie!$C$5,1,1)) + 1),
        IFERROR(VALUE($G37),0) * MAX(0, MIN($G$1, DATE(Initialisatie!$C$5,12,31)) - MAX($G$2, DATE(Initialisatie!$C$5,1,1)) + 1),
        IFERROR(VALUE($H37),0) * MAX(0, MIN($H$1, DATE(Initialisatie!$C$5,12,31)) - MAX($H$2, DATE(Initialisatie!$C$5,1,1)) + 1)
    ) / (DATE(Initialisatie!$C$5,12,31) - DATE(Initialisatie!$C$5,1,1) + 1)
)</f>
        <v>2564.3123287671233</v>
      </c>
      <c r="K37">
        <f>IF(
    OR(
        AND(MAX(0, IF(MIN($D$1, DATE(Initialisatie!$C$5,12,31)) &lt; MAX($D$2, DATE(Initialisatie!$C$5,1,1)), 0, MONTH(MIN($D$1, DATE(Initialisatie!$C$5,12,31))) - MONTH(MAX($D$2, DATE(Initialisatie!$C$5,1,1))) + 1)) &lt;= 0, IFERROR(VALUE($D37),0)=0),
        AND(MAX(0, IF(MIN($E$1, DATE(Initialisatie!$C$5,12,31)) &lt; MAX($E$2, DATE(Initialisatie!$C$5,1,1)), 0, MONTH(MIN($E$1, DATE(Initialisatie!$C$5,12,31))) - MONTH(MAX($E$2, DATE(Initialisatie!$C$5,1,1))) + 1)) &lt;= 0, IFERROR(VALUE($E37),0)=0),
        AND(MAX(0, IF(MIN($F$1, DATE(Initialisatie!$C$5,12,31)) &lt; MAX($F$2, DATE(Initialisatie!$C$5,1,1)), 0, MONTH(MIN($F$1, DATE(Initialisatie!$C$5,12,31))) - MONTH(MAX($F$2, DATE(Initialisatie!$C$5,1,1))) + 1)) &lt;= 0, IFERROR(VALUE($F37),0)=0),
        AND(MAX(0, IF(MIN($G$1, DATE(Initialisatie!$C$5,12,31)) &lt; MAX($G$2, DATE(Initialisatie!$C$5,1,1)), 0, MONTH(MIN($G$1, DATE(Initialisatie!$C$5,12,31))) - MONTH(MAX($G$2, DATE(Initialisatie!$C$5,1,1))) + 1)) &lt;= 0, IFERROR(VALUE($G37),0)=0),
        AND(MAX(0, IF(MIN($H$1, DATE(Initialisatie!$C$5,12,31)) &lt; MAX($H$2, DATE(Initialisatie!$C$5,1,1)), 0, MONTH(MIN($H$1, DATE(Initialisatie!$C$5,12,31))) - MONTH(MAX($H$2, DATE(Initialisatie!$C$5,1,1))) + 1)) &lt;= 0, IFERROR(VALUE($H37),0)=0)
    ),
    0,
    SUM(
        IFERROR(VALUE($D37),0) * MAX(0, IF(MIN($D$1, DATE(Initialisatie!$C$5,12,31)) &lt; MAX($D$2, DATE(Initialisatie!$C$5,1,1)), 0, MONTH(MIN($D$1, DATE(Initialisatie!$C$5,12,31))) - MONTH(MAX($D$2, DATE(Initialisatie!$C$5,1,1))) + 1)),
        IFERROR(VALUE($E37),0) * MAX(0, IF(MIN($E$1, DATE(Initialisatie!$C$5,12,31)) &lt; MAX($E$2, DATE(Initialisatie!$C$5,1,1)), 0, MONTH(MIN($E$1, DATE(Initialisatie!$C$5,12,31))) - MONTH(MAX($E$2, DATE(Initialisatie!$C$5,1,1))) + 1)),
        IFERROR(VALUE($F37),0) * MAX(0, IF(MIN($F$1, DATE(Initialisatie!$C$5,12,31)) &lt; MAX($F$2, DATE(Initialisatie!$C$5,1,1)), 0, MONTH(MIN($F$1, DATE(Initialisatie!$C$5,12,31))) - MONTH(MAX($F$2, DATE(Initialisatie!$C$5,1,1))) + 1)),
        IFERROR(VALUE($G37),0) * MAX(0, IF(MIN($G$1, DATE(Initialisatie!$C$5,12,31)) &lt; MAX($G$2, DATE(Initialisatie!$C$5,1,1)), 0, MONTH(MIN($G$1, DATE(Initialisatie!$C$5,12,31))) - MONTH(MAX($G$2, DATE(Initialisatie!$C$5,1,1))) + 1)),
        IFERROR(VALUE($H37),0) * MAX(0, IF(MIN($H$1, DATE(Initialisatie!$C$5,12,31)) &lt; MAX($H$2, DATE(Initialisatie!$C$5,1,1)), 0, MONTH(MIN($H$1, DATE(Initialisatie!$C$5,12,31))) - MONTH(MAX($H$2, DATE(Initialisatie!$C$5,1,1))) + 1))
    ) / 12
)</f>
        <v>2564</v>
      </c>
    </row>
    <row r="38" spans="1:11" x14ac:dyDescent="0.45">
      <c r="A38" s="989"/>
      <c r="B38" s="371">
        <v>3</v>
      </c>
      <c r="C38" s="371" t="s">
        <v>107</v>
      </c>
      <c r="D38" t="s">
        <v>1598</v>
      </c>
      <c r="E38" t="s">
        <v>1597</v>
      </c>
      <c r="F38" t="s">
        <v>1599</v>
      </c>
      <c r="G38" t="s">
        <v>1599</v>
      </c>
      <c r="H38" t="s">
        <v>1621</v>
      </c>
      <c r="J38">
        <f>IF(
    OR(
        AND(MAX(0, MIN($D$1, DATE(Initialisatie!$C$5,12,31)) - MAX($D$2, DATE(Initialisatie!$C$5,1,1)) + 1) &gt; 0,IFERROR(VALUE($D38),0)=0),
        AND(MAX(0, MIN($E$1, DATE(Initialisatie!$C$5,12,31)) - MAX($E$2, DATE(Initialisatie!$C$5,1,1)) + 1) &gt; 0,IFERROR(VALUE($E38),0)=0),
        AND(MAX(0, MIN($F$1, DATE(Initialisatie!$C$5,12,31)) - MAX($F$2, DATE(Initialisatie!$C$5,1,1)) + 1) &gt; 0,IFERROR(VALUE($F38),0)=0),
        AND(MAX(0, MIN($G$1, DATE(Initialisatie!$C$5,12,31)) - MAX($G$2, DATE(Initialisatie!$C$5,1,1)) + 1) &gt; 0,IFERROR(VALUE($G38),0)=0),
        AND(MAX(0, MIN($H$1, DATE(Initialisatie!$C$5,12,31)) - MAX($H$2, DATE(Initialisatie!$C$5,1,1)) + 1) &gt; 0,IFERROR(VALUE($H38),0)=0)
    ),
    0,
    SUM(
        IFERROR(VALUE($D38),0) * MAX(0, MIN($D$1, DATE(Initialisatie!$C$5,12,31)) - MAX($D$2, DATE(Initialisatie!$C$5,1,1)) + 1),
        IFERROR(VALUE($E38),0) * MAX(0, MIN($E$1, DATE(Initialisatie!$C$5,12,31)) - MAX($E$2, DATE(Initialisatie!$C$5,1,1)) + 1),
        IFERROR(VALUE($F38),0) * MAX(0, MIN($F$1, DATE(Initialisatie!$C$5,12,31)) - MAX($F$2, DATE(Initialisatie!$C$5,1,1)) + 1),
        IFERROR(VALUE($G38),0) * MAX(0, MIN($G$1, DATE(Initialisatie!$C$5,12,31)) - MAX($G$2, DATE(Initialisatie!$C$5,1,1)) + 1),
        IFERROR(VALUE($H38),0) * MAX(0, MIN($H$1, DATE(Initialisatie!$C$5,12,31)) - MAX($H$2, DATE(Initialisatie!$C$5,1,1)) + 1)
    ) / (DATE(Initialisatie!$C$5,12,31) - DATE(Initialisatie!$C$5,1,1) + 1)
)</f>
        <v>2628.3205479452054</v>
      </c>
      <c r="K38">
        <f>IF(
    OR(
        AND(MAX(0, IF(MIN($D$1, DATE(Initialisatie!$C$5,12,31)) &lt; MAX($D$2, DATE(Initialisatie!$C$5,1,1)), 0, MONTH(MIN($D$1, DATE(Initialisatie!$C$5,12,31))) - MONTH(MAX($D$2, DATE(Initialisatie!$C$5,1,1))) + 1)) &lt;= 0, IFERROR(VALUE($D38),0)=0),
        AND(MAX(0, IF(MIN($E$1, DATE(Initialisatie!$C$5,12,31)) &lt; MAX($E$2, DATE(Initialisatie!$C$5,1,1)), 0, MONTH(MIN($E$1, DATE(Initialisatie!$C$5,12,31))) - MONTH(MAX($E$2, DATE(Initialisatie!$C$5,1,1))) + 1)) &lt;= 0, IFERROR(VALUE($E38),0)=0),
        AND(MAX(0, IF(MIN($F$1, DATE(Initialisatie!$C$5,12,31)) &lt; MAX($F$2, DATE(Initialisatie!$C$5,1,1)), 0, MONTH(MIN($F$1, DATE(Initialisatie!$C$5,12,31))) - MONTH(MAX($F$2, DATE(Initialisatie!$C$5,1,1))) + 1)) &lt;= 0, IFERROR(VALUE($F38),0)=0),
        AND(MAX(0, IF(MIN($G$1, DATE(Initialisatie!$C$5,12,31)) &lt; MAX($G$2, DATE(Initialisatie!$C$5,1,1)), 0, MONTH(MIN($G$1, DATE(Initialisatie!$C$5,12,31))) - MONTH(MAX($G$2, DATE(Initialisatie!$C$5,1,1))) + 1)) &lt;= 0, IFERROR(VALUE($G38),0)=0),
        AND(MAX(0, IF(MIN($H$1, DATE(Initialisatie!$C$5,12,31)) &lt; MAX($H$2, DATE(Initialisatie!$C$5,1,1)), 0, MONTH(MIN($H$1, DATE(Initialisatie!$C$5,12,31))) - MONTH(MAX($H$2, DATE(Initialisatie!$C$5,1,1))) + 1)) &lt;= 0, IFERROR(VALUE($H38),0)=0)
    ),
    0,
    SUM(
        IFERROR(VALUE($D38),0) * MAX(0, IF(MIN($D$1, DATE(Initialisatie!$C$5,12,31)) &lt; MAX($D$2, DATE(Initialisatie!$C$5,1,1)), 0, MONTH(MIN($D$1, DATE(Initialisatie!$C$5,12,31))) - MONTH(MAX($D$2, DATE(Initialisatie!$C$5,1,1))) + 1)),
        IFERROR(VALUE($E38),0) * MAX(0, IF(MIN($E$1, DATE(Initialisatie!$C$5,12,31)) &lt; MAX($E$2, DATE(Initialisatie!$C$5,1,1)), 0, MONTH(MIN($E$1, DATE(Initialisatie!$C$5,12,31))) - MONTH(MAX($E$2, DATE(Initialisatie!$C$5,1,1))) + 1)),
        IFERROR(VALUE($F38),0) * MAX(0, IF(MIN($F$1, DATE(Initialisatie!$C$5,12,31)) &lt; MAX($F$2, DATE(Initialisatie!$C$5,1,1)), 0, MONTH(MIN($F$1, DATE(Initialisatie!$C$5,12,31))) - MONTH(MAX($F$2, DATE(Initialisatie!$C$5,1,1))) + 1)),
        IFERROR(VALUE($G38),0) * MAX(0, IF(MIN($G$1, DATE(Initialisatie!$C$5,12,31)) &lt; MAX($G$2, DATE(Initialisatie!$C$5,1,1)), 0, MONTH(MIN($G$1, DATE(Initialisatie!$C$5,12,31))) - MONTH(MAX($G$2, DATE(Initialisatie!$C$5,1,1))) + 1)),
        IFERROR(VALUE($H38),0) * MAX(0, IF(MIN($H$1, DATE(Initialisatie!$C$5,12,31)) &lt; MAX($H$2, DATE(Initialisatie!$C$5,1,1)), 0, MONTH(MIN($H$1, DATE(Initialisatie!$C$5,12,31))) - MONTH(MAX($H$2, DATE(Initialisatie!$C$5,1,1))) + 1))
    ) / 12
)</f>
        <v>2628</v>
      </c>
    </row>
    <row r="39" spans="1:11" x14ac:dyDescent="0.45">
      <c r="A39" s="989"/>
      <c r="B39" s="371">
        <v>4</v>
      </c>
      <c r="C39" s="371" t="s">
        <v>105</v>
      </c>
      <c r="D39" t="s">
        <v>1586</v>
      </c>
      <c r="E39" t="s">
        <v>1585</v>
      </c>
      <c r="F39" t="s">
        <v>1587</v>
      </c>
      <c r="G39" t="s">
        <v>1587</v>
      </c>
      <c r="H39" t="s">
        <v>1622</v>
      </c>
      <c r="J39">
        <f>IF(
    OR(
        AND(MAX(0, MIN($D$1, DATE(Initialisatie!$C$5,12,31)) - MAX($D$2, DATE(Initialisatie!$C$5,1,1)) + 1) &gt; 0,IFERROR(VALUE($D39),0)=0),
        AND(MAX(0, MIN($E$1, DATE(Initialisatie!$C$5,12,31)) - MAX($E$2, DATE(Initialisatie!$C$5,1,1)) + 1) &gt; 0,IFERROR(VALUE($E39),0)=0),
        AND(MAX(0, MIN($F$1, DATE(Initialisatie!$C$5,12,31)) - MAX($F$2, DATE(Initialisatie!$C$5,1,1)) + 1) &gt; 0,IFERROR(VALUE($F39),0)=0),
        AND(MAX(0, MIN($G$1, DATE(Initialisatie!$C$5,12,31)) - MAX($G$2, DATE(Initialisatie!$C$5,1,1)) + 1) &gt; 0,IFERROR(VALUE($G39),0)=0),
        AND(MAX(0, MIN($H$1, DATE(Initialisatie!$C$5,12,31)) - MAX($H$2, DATE(Initialisatie!$C$5,1,1)) + 1) &gt; 0,IFERROR(VALUE($H39),0)=0)
    ),
    0,
    SUM(
        IFERROR(VALUE($D39),0) * MAX(0, MIN($D$1, DATE(Initialisatie!$C$5,12,31)) - MAX($D$2, DATE(Initialisatie!$C$5,1,1)) + 1),
        IFERROR(VALUE($E39),0) * MAX(0, MIN($E$1, DATE(Initialisatie!$C$5,12,31)) - MAX($E$2, DATE(Initialisatie!$C$5,1,1)) + 1),
        IFERROR(VALUE($F39),0) * MAX(0, MIN($F$1, DATE(Initialisatie!$C$5,12,31)) - MAX($F$2, DATE(Initialisatie!$C$5,1,1)) + 1),
        IFERROR(VALUE($G39),0) * MAX(0, MIN($G$1, DATE(Initialisatie!$C$5,12,31)) - MAX($G$2, DATE(Initialisatie!$C$5,1,1)) + 1),
        IFERROR(VALUE($H39),0) * MAX(0, MIN($H$1, DATE(Initialisatie!$C$5,12,31)) - MAX($H$2, DATE(Initialisatie!$C$5,1,1)) + 1)
    ) / (DATE(Initialisatie!$C$5,12,31) - DATE(Initialisatie!$C$5,1,1) + 1)
)</f>
        <v>2695.3287671232879</v>
      </c>
      <c r="K39">
        <f>IF(
    OR(
        AND(MAX(0, IF(MIN($D$1, DATE(Initialisatie!$C$5,12,31)) &lt; MAX($D$2, DATE(Initialisatie!$C$5,1,1)), 0, MONTH(MIN($D$1, DATE(Initialisatie!$C$5,12,31))) - MONTH(MAX($D$2, DATE(Initialisatie!$C$5,1,1))) + 1)) &lt;= 0, IFERROR(VALUE($D39),0)=0),
        AND(MAX(0, IF(MIN($E$1, DATE(Initialisatie!$C$5,12,31)) &lt; MAX($E$2, DATE(Initialisatie!$C$5,1,1)), 0, MONTH(MIN($E$1, DATE(Initialisatie!$C$5,12,31))) - MONTH(MAX($E$2, DATE(Initialisatie!$C$5,1,1))) + 1)) &lt;= 0, IFERROR(VALUE($E39),0)=0),
        AND(MAX(0, IF(MIN($F$1, DATE(Initialisatie!$C$5,12,31)) &lt; MAX($F$2, DATE(Initialisatie!$C$5,1,1)), 0, MONTH(MIN($F$1, DATE(Initialisatie!$C$5,12,31))) - MONTH(MAX($F$2, DATE(Initialisatie!$C$5,1,1))) + 1)) &lt;= 0, IFERROR(VALUE($F39),0)=0),
        AND(MAX(0, IF(MIN($G$1, DATE(Initialisatie!$C$5,12,31)) &lt; MAX($G$2, DATE(Initialisatie!$C$5,1,1)), 0, MONTH(MIN($G$1, DATE(Initialisatie!$C$5,12,31))) - MONTH(MAX($G$2, DATE(Initialisatie!$C$5,1,1))) + 1)) &lt;= 0, IFERROR(VALUE($G39),0)=0),
        AND(MAX(0, IF(MIN($H$1, DATE(Initialisatie!$C$5,12,31)) &lt; MAX($H$2, DATE(Initialisatie!$C$5,1,1)), 0, MONTH(MIN($H$1, DATE(Initialisatie!$C$5,12,31))) - MONTH(MAX($H$2, DATE(Initialisatie!$C$5,1,1))) + 1)) &lt;= 0, IFERROR(VALUE($H39),0)=0)
    ),
    0,
    SUM(
        IFERROR(VALUE($D39),0) * MAX(0, IF(MIN($D$1, DATE(Initialisatie!$C$5,12,31)) &lt; MAX($D$2, DATE(Initialisatie!$C$5,1,1)), 0, MONTH(MIN($D$1, DATE(Initialisatie!$C$5,12,31))) - MONTH(MAX($D$2, DATE(Initialisatie!$C$5,1,1))) + 1)),
        IFERROR(VALUE($E39),0) * MAX(0, IF(MIN($E$1, DATE(Initialisatie!$C$5,12,31)) &lt; MAX($E$2, DATE(Initialisatie!$C$5,1,1)), 0, MONTH(MIN($E$1, DATE(Initialisatie!$C$5,12,31))) - MONTH(MAX($E$2, DATE(Initialisatie!$C$5,1,1))) + 1)),
        IFERROR(VALUE($F39),0) * MAX(0, IF(MIN($F$1, DATE(Initialisatie!$C$5,12,31)) &lt; MAX($F$2, DATE(Initialisatie!$C$5,1,1)), 0, MONTH(MIN($F$1, DATE(Initialisatie!$C$5,12,31))) - MONTH(MAX($F$2, DATE(Initialisatie!$C$5,1,1))) + 1)),
        IFERROR(VALUE($G39),0) * MAX(0, IF(MIN($G$1, DATE(Initialisatie!$C$5,12,31)) &lt; MAX($G$2, DATE(Initialisatie!$C$5,1,1)), 0, MONTH(MIN($G$1, DATE(Initialisatie!$C$5,12,31))) - MONTH(MAX($G$2, DATE(Initialisatie!$C$5,1,1))) + 1)),
        IFERROR(VALUE($H39),0) * MAX(0, IF(MIN($H$1, DATE(Initialisatie!$C$5,12,31)) &lt; MAX($H$2, DATE(Initialisatie!$C$5,1,1)), 0, MONTH(MIN($H$1, DATE(Initialisatie!$C$5,12,31))) - MONTH(MAX($H$2, DATE(Initialisatie!$C$5,1,1))) + 1))
    ) / 12
)</f>
        <v>2695</v>
      </c>
    </row>
    <row r="40" spans="1:11" x14ac:dyDescent="0.45">
      <c r="A40" s="989"/>
      <c r="B40" s="371">
        <v>5</v>
      </c>
      <c r="C40" s="371" t="s">
        <v>103</v>
      </c>
      <c r="D40" t="s">
        <v>1589</v>
      </c>
      <c r="E40" t="s">
        <v>1588</v>
      </c>
      <c r="F40" t="s">
        <v>1590</v>
      </c>
      <c r="G40" t="s">
        <v>1590</v>
      </c>
      <c r="H40" t="s">
        <v>1623</v>
      </c>
      <c r="J40">
        <f>IF(
    OR(
        AND(MAX(0, MIN($D$1, DATE(Initialisatie!$C$5,12,31)) - MAX($D$2, DATE(Initialisatie!$C$5,1,1)) + 1) &gt; 0,IFERROR(VALUE($D40),0)=0),
        AND(MAX(0, MIN($E$1, DATE(Initialisatie!$C$5,12,31)) - MAX($E$2, DATE(Initialisatie!$C$5,1,1)) + 1) &gt; 0,IFERROR(VALUE($E40),0)=0),
        AND(MAX(0, MIN($F$1, DATE(Initialisatie!$C$5,12,31)) - MAX($F$2, DATE(Initialisatie!$C$5,1,1)) + 1) &gt; 0,IFERROR(VALUE($F40),0)=0),
        AND(MAX(0, MIN($G$1, DATE(Initialisatie!$C$5,12,31)) - MAX($G$2, DATE(Initialisatie!$C$5,1,1)) + 1) &gt; 0,IFERROR(VALUE($G40),0)=0),
        AND(MAX(0, MIN($H$1, DATE(Initialisatie!$C$5,12,31)) - MAX($H$2, DATE(Initialisatie!$C$5,1,1)) + 1) &gt; 0,IFERROR(VALUE($H40),0)=0)
    ),
    0,
    SUM(
        IFERROR(VALUE($D40),0) * MAX(0, MIN($D$1, DATE(Initialisatie!$C$5,12,31)) - MAX($D$2, DATE(Initialisatie!$C$5,1,1)) + 1),
        IFERROR(VALUE($E40),0) * MAX(0, MIN($E$1, DATE(Initialisatie!$C$5,12,31)) - MAX($E$2, DATE(Initialisatie!$C$5,1,1)) + 1),
        IFERROR(VALUE($F40),0) * MAX(0, MIN($F$1, DATE(Initialisatie!$C$5,12,31)) - MAX($F$2, DATE(Initialisatie!$C$5,1,1)) + 1),
        IFERROR(VALUE($G40),0) * MAX(0, MIN($G$1, DATE(Initialisatie!$C$5,12,31)) - MAX($G$2, DATE(Initialisatie!$C$5,1,1)) + 1),
        IFERROR(VALUE($H40),0) * MAX(0, MIN($H$1, DATE(Initialisatie!$C$5,12,31)) - MAX($H$2, DATE(Initialisatie!$C$5,1,1)) + 1)
    ) / (DATE(Initialisatie!$C$5,12,31) - DATE(Initialisatie!$C$5,1,1) + 1)
)</f>
        <v>2770.33698630137</v>
      </c>
      <c r="K40">
        <f>IF(
    OR(
        AND(MAX(0, IF(MIN($D$1, DATE(Initialisatie!$C$5,12,31)) &lt; MAX($D$2, DATE(Initialisatie!$C$5,1,1)), 0, MONTH(MIN($D$1, DATE(Initialisatie!$C$5,12,31))) - MONTH(MAX($D$2, DATE(Initialisatie!$C$5,1,1))) + 1)) &lt;= 0, IFERROR(VALUE($D40),0)=0),
        AND(MAX(0, IF(MIN($E$1, DATE(Initialisatie!$C$5,12,31)) &lt; MAX($E$2, DATE(Initialisatie!$C$5,1,1)), 0, MONTH(MIN($E$1, DATE(Initialisatie!$C$5,12,31))) - MONTH(MAX($E$2, DATE(Initialisatie!$C$5,1,1))) + 1)) &lt;= 0, IFERROR(VALUE($E40),0)=0),
        AND(MAX(0, IF(MIN($F$1, DATE(Initialisatie!$C$5,12,31)) &lt; MAX($F$2, DATE(Initialisatie!$C$5,1,1)), 0, MONTH(MIN($F$1, DATE(Initialisatie!$C$5,12,31))) - MONTH(MAX($F$2, DATE(Initialisatie!$C$5,1,1))) + 1)) &lt;= 0, IFERROR(VALUE($F40),0)=0),
        AND(MAX(0, IF(MIN($G$1, DATE(Initialisatie!$C$5,12,31)) &lt; MAX($G$2, DATE(Initialisatie!$C$5,1,1)), 0, MONTH(MIN($G$1, DATE(Initialisatie!$C$5,12,31))) - MONTH(MAX($G$2, DATE(Initialisatie!$C$5,1,1))) + 1)) &lt;= 0, IFERROR(VALUE($G40),0)=0),
        AND(MAX(0, IF(MIN($H$1, DATE(Initialisatie!$C$5,12,31)) &lt; MAX($H$2, DATE(Initialisatie!$C$5,1,1)), 0, MONTH(MIN($H$1, DATE(Initialisatie!$C$5,12,31))) - MONTH(MAX($H$2, DATE(Initialisatie!$C$5,1,1))) + 1)) &lt;= 0, IFERROR(VALUE($H40),0)=0)
    ),
    0,
    SUM(
        IFERROR(VALUE($D40),0) * MAX(0, IF(MIN($D$1, DATE(Initialisatie!$C$5,12,31)) &lt; MAX($D$2, DATE(Initialisatie!$C$5,1,1)), 0, MONTH(MIN($D$1, DATE(Initialisatie!$C$5,12,31))) - MONTH(MAX($D$2, DATE(Initialisatie!$C$5,1,1))) + 1)),
        IFERROR(VALUE($E40),0) * MAX(0, IF(MIN($E$1, DATE(Initialisatie!$C$5,12,31)) &lt; MAX($E$2, DATE(Initialisatie!$C$5,1,1)), 0, MONTH(MIN($E$1, DATE(Initialisatie!$C$5,12,31))) - MONTH(MAX($E$2, DATE(Initialisatie!$C$5,1,1))) + 1)),
        IFERROR(VALUE($F40),0) * MAX(0, IF(MIN($F$1, DATE(Initialisatie!$C$5,12,31)) &lt; MAX($F$2, DATE(Initialisatie!$C$5,1,1)), 0, MONTH(MIN($F$1, DATE(Initialisatie!$C$5,12,31))) - MONTH(MAX($F$2, DATE(Initialisatie!$C$5,1,1))) + 1)),
        IFERROR(VALUE($G40),0) * MAX(0, IF(MIN($G$1, DATE(Initialisatie!$C$5,12,31)) &lt; MAX($G$2, DATE(Initialisatie!$C$5,1,1)), 0, MONTH(MIN($G$1, DATE(Initialisatie!$C$5,12,31))) - MONTH(MAX($G$2, DATE(Initialisatie!$C$5,1,1))) + 1)),
        IFERROR(VALUE($H40),0) * MAX(0, IF(MIN($H$1, DATE(Initialisatie!$C$5,12,31)) &lt; MAX($H$2, DATE(Initialisatie!$C$5,1,1)), 0, MONTH(MIN($H$1, DATE(Initialisatie!$C$5,12,31))) - MONTH(MAX($H$2, DATE(Initialisatie!$C$5,1,1))) + 1))
    ) / 12
)</f>
        <v>2770</v>
      </c>
    </row>
    <row r="41" spans="1:11" x14ac:dyDescent="0.45">
      <c r="A41" s="989"/>
      <c r="B41" s="371">
        <v>6</v>
      </c>
      <c r="C41" s="371" t="s">
        <v>1286</v>
      </c>
      <c r="D41" t="s">
        <v>1580</v>
      </c>
      <c r="E41" t="s">
        <v>1579</v>
      </c>
      <c r="F41" t="s">
        <v>1581</v>
      </c>
      <c r="G41" t="s">
        <v>1581</v>
      </c>
      <c r="H41" t="s">
        <v>1624</v>
      </c>
      <c r="J41">
        <f>IF(
    OR(
        AND(MAX(0, MIN($D$1, DATE(Initialisatie!$C$5,12,31)) - MAX($D$2, DATE(Initialisatie!$C$5,1,1)) + 1) &gt; 0,IFERROR(VALUE($D41),0)=0),
        AND(MAX(0, MIN($E$1, DATE(Initialisatie!$C$5,12,31)) - MAX($E$2, DATE(Initialisatie!$C$5,1,1)) + 1) &gt; 0,IFERROR(VALUE($E41),0)=0),
        AND(MAX(0, MIN($F$1, DATE(Initialisatie!$C$5,12,31)) - MAX($F$2, DATE(Initialisatie!$C$5,1,1)) + 1) &gt; 0,IFERROR(VALUE($F41),0)=0),
        AND(MAX(0, MIN($G$1, DATE(Initialisatie!$C$5,12,31)) - MAX($G$2, DATE(Initialisatie!$C$5,1,1)) + 1) &gt; 0,IFERROR(VALUE($G41),0)=0),
        AND(MAX(0, MIN($H$1, DATE(Initialisatie!$C$5,12,31)) - MAX($H$2, DATE(Initialisatie!$C$5,1,1)) + 1) &gt; 0,IFERROR(VALUE($H41),0)=0)
    ),
    0,
    SUM(
        IFERROR(VALUE($D41),0) * MAX(0, MIN($D$1, DATE(Initialisatie!$C$5,12,31)) - MAX($D$2, DATE(Initialisatie!$C$5,1,1)) + 1),
        IFERROR(VALUE($E41),0) * MAX(0, MIN($E$1, DATE(Initialisatie!$C$5,12,31)) - MAX($E$2, DATE(Initialisatie!$C$5,1,1)) + 1),
        IFERROR(VALUE($F41),0) * MAX(0, MIN($F$1, DATE(Initialisatie!$C$5,12,31)) - MAX($F$2, DATE(Initialisatie!$C$5,1,1)) + 1),
        IFERROR(VALUE($G41),0) * MAX(0, MIN($G$1, DATE(Initialisatie!$C$5,12,31)) - MAX($G$2, DATE(Initialisatie!$C$5,1,1)) + 1),
        IFERROR(VALUE($H41),0) * MAX(0, MIN($H$1, DATE(Initialisatie!$C$5,12,31)) - MAX($H$2, DATE(Initialisatie!$C$5,1,1)) + 1)
    ) / (DATE(Initialisatie!$C$5,12,31) - DATE(Initialisatie!$C$5,1,1) + 1)
)</f>
        <v>2846.345205479452</v>
      </c>
      <c r="K41">
        <f>IF(
    OR(
        AND(MAX(0, IF(MIN($D$1, DATE(Initialisatie!$C$5,12,31)) &lt; MAX($D$2, DATE(Initialisatie!$C$5,1,1)), 0, MONTH(MIN($D$1, DATE(Initialisatie!$C$5,12,31))) - MONTH(MAX($D$2, DATE(Initialisatie!$C$5,1,1))) + 1)) &lt;= 0, IFERROR(VALUE($D41),0)=0),
        AND(MAX(0, IF(MIN($E$1, DATE(Initialisatie!$C$5,12,31)) &lt; MAX($E$2, DATE(Initialisatie!$C$5,1,1)), 0, MONTH(MIN($E$1, DATE(Initialisatie!$C$5,12,31))) - MONTH(MAX($E$2, DATE(Initialisatie!$C$5,1,1))) + 1)) &lt;= 0, IFERROR(VALUE($E41),0)=0),
        AND(MAX(0, IF(MIN($F$1, DATE(Initialisatie!$C$5,12,31)) &lt; MAX($F$2, DATE(Initialisatie!$C$5,1,1)), 0, MONTH(MIN($F$1, DATE(Initialisatie!$C$5,12,31))) - MONTH(MAX($F$2, DATE(Initialisatie!$C$5,1,1))) + 1)) &lt;= 0, IFERROR(VALUE($F41),0)=0),
        AND(MAX(0, IF(MIN($G$1, DATE(Initialisatie!$C$5,12,31)) &lt; MAX($G$2, DATE(Initialisatie!$C$5,1,1)), 0, MONTH(MIN($G$1, DATE(Initialisatie!$C$5,12,31))) - MONTH(MAX($G$2, DATE(Initialisatie!$C$5,1,1))) + 1)) &lt;= 0, IFERROR(VALUE($G41),0)=0),
        AND(MAX(0, IF(MIN($H$1, DATE(Initialisatie!$C$5,12,31)) &lt; MAX($H$2, DATE(Initialisatie!$C$5,1,1)), 0, MONTH(MIN($H$1, DATE(Initialisatie!$C$5,12,31))) - MONTH(MAX($H$2, DATE(Initialisatie!$C$5,1,1))) + 1)) &lt;= 0, IFERROR(VALUE($H41),0)=0)
    ),
    0,
    SUM(
        IFERROR(VALUE($D41),0) * MAX(0, IF(MIN($D$1, DATE(Initialisatie!$C$5,12,31)) &lt; MAX($D$2, DATE(Initialisatie!$C$5,1,1)), 0, MONTH(MIN($D$1, DATE(Initialisatie!$C$5,12,31))) - MONTH(MAX($D$2, DATE(Initialisatie!$C$5,1,1))) + 1)),
        IFERROR(VALUE($E41),0) * MAX(0, IF(MIN($E$1, DATE(Initialisatie!$C$5,12,31)) &lt; MAX($E$2, DATE(Initialisatie!$C$5,1,1)), 0, MONTH(MIN($E$1, DATE(Initialisatie!$C$5,12,31))) - MONTH(MAX($E$2, DATE(Initialisatie!$C$5,1,1))) + 1)),
        IFERROR(VALUE($F41),0) * MAX(0, IF(MIN($F$1, DATE(Initialisatie!$C$5,12,31)) &lt; MAX($F$2, DATE(Initialisatie!$C$5,1,1)), 0, MONTH(MIN($F$1, DATE(Initialisatie!$C$5,12,31))) - MONTH(MAX($F$2, DATE(Initialisatie!$C$5,1,1))) + 1)),
        IFERROR(VALUE($G41),0) * MAX(0, IF(MIN($G$1, DATE(Initialisatie!$C$5,12,31)) &lt; MAX($G$2, DATE(Initialisatie!$C$5,1,1)), 0, MONTH(MIN($G$1, DATE(Initialisatie!$C$5,12,31))) - MONTH(MAX($G$2, DATE(Initialisatie!$C$5,1,1))) + 1)),
        IFERROR(VALUE($H41),0) * MAX(0, IF(MIN($H$1, DATE(Initialisatie!$C$5,12,31)) &lt; MAX($H$2, DATE(Initialisatie!$C$5,1,1)), 0, MONTH(MIN($H$1, DATE(Initialisatie!$C$5,12,31))) - MONTH(MAX($H$2, DATE(Initialisatie!$C$5,1,1))) + 1))
    ) / 12
)</f>
        <v>2846</v>
      </c>
    </row>
    <row r="42" spans="1:11" x14ac:dyDescent="0.45">
      <c r="A42" s="989"/>
      <c r="B42" s="371">
        <v>7</v>
      </c>
      <c r="C42" s="371" t="s">
        <v>1287</v>
      </c>
      <c r="D42" t="s">
        <v>1583</v>
      </c>
      <c r="E42" t="s">
        <v>1582</v>
      </c>
      <c r="F42" t="s">
        <v>1584</v>
      </c>
      <c r="G42" t="s">
        <v>1584</v>
      </c>
      <c r="H42" t="s">
        <v>1625</v>
      </c>
      <c r="J42">
        <f>IF(
    OR(
        AND(MAX(0, MIN($D$1, DATE(Initialisatie!$C$5,12,31)) - MAX($D$2, DATE(Initialisatie!$C$5,1,1)) + 1) &gt; 0,IFERROR(VALUE($D42),0)=0),
        AND(MAX(0, MIN($E$1, DATE(Initialisatie!$C$5,12,31)) - MAX($E$2, DATE(Initialisatie!$C$5,1,1)) + 1) &gt; 0,IFERROR(VALUE($E42),0)=0),
        AND(MAX(0, MIN($F$1, DATE(Initialisatie!$C$5,12,31)) - MAX($F$2, DATE(Initialisatie!$C$5,1,1)) + 1) &gt; 0,IFERROR(VALUE($F42),0)=0),
        AND(MAX(0, MIN($G$1, DATE(Initialisatie!$C$5,12,31)) - MAX($G$2, DATE(Initialisatie!$C$5,1,1)) + 1) &gt; 0,IFERROR(VALUE($G42),0)=0),
        AND(MAX(0, MIN($H$1, DATE(Initialisatie!$C$5,12,31)) - MAX($H$2, DATE(Initialisatie!$C$5,1,1)) + 1) &gt; 0,IFERROR(VALUE($H42),0)=0)
    ),
    0,
    SUM(
        IFERROR(VALUE($D42),0) * MAX(0, MIN($D$1, DATE(Initialisatie!$C$5,12,31)) - MAX($D$2, DATE(Initialisatie!$C$5,1,1)) + 1),
        IFERROR(VALUE($E42),0) * MAX(0, MIN($E$1, DATE(Initialisatie!$C$5,12,31)) - MAX($E$2, DATE(Initialisatie!$C$5,1,1)) + 1),
        IFERROR(VALUE($F42),0) * MAX(0, MIN($F$1, DATE(Initialisatie!$C$5,12,31)) - MAX($F$2, DATE(Initialisatie!$C$5,1,1)) + 1),
        IFERROR(VALUE($G42),0) * MAX(0, MIN($G$1, DATE(Initialisatie!$C$5,12,31)) - MAX($G$2, DATE(Initialisatie!$C$5,1,1)) + 1),
        IFERROR(VALUE($H42),0) * MAX(0, MIN($H$1, DATE(Initialisatie!$C$5,12,31)) - MAX($H$2, DATE(Initialisatie!$C$5,1,1)) + 1)
    ) / (DATE(Initialisatie!$C$5,12,31) - DATE(Initialisatie!$C$5,1,1) + 1)
)</f>
        <v>2915.3534246575341</v>
      </c>
      <c r="K42">
        <f>IF(
    OR(
        AND(MAX(0, IF(MIN($D$1, DATE(Initialisatie!$C$5,12,31)) &lt; MAX($D$2, DATE(Initialisatie!$C$5,1,1)), 0, MONTH(MIN($D$1, DATE(Initialisatie!$C$5,12,31))) - MONTH(MAX($D$2, DATE(Initialisatie!$C$5,1,1))) + 1)) &lt;= 0, IFERROR(VALUE($D42),0)=0),
        AND(MAX(0, IF(MIN($E$1, DATE(Initialisatie!$C$5,12,31)) &lt; MAX($E$2, DATE(Initialisatie!$C$5,1,1)), 0, MONTH(MIN($E$1, DATE(Initialisatie!$C$5,12,31))) - MONTH(MAX($E$2, DATE(Initialisatie!$C$5,1,1))) + 1)) &lt;= 0, IFERROR(VALUE($E42),0)=0),
        AND(MAX(0, IF(MIN($F$1, DATE(Initialisatie!$C$5,12,31)) &lt; MAX($F$2, DATE(Initialisatie!$C$5,1,1)), 0, MONTH(MIN($F$1, DATE(Initialisatie!$C$5,12,31))) - MONTH(MAX($F$2, DATE(Initialisatie!$C$5,1,1))) + 1)) &lt;= 0, IFERROR(VALUE($F42),0)=0),
        AND(MAX(0, IF(MIN($G$1, DATE(Initialisatie!$C$5,12,31)) &lt; MAX($G$2, DATE(Initialisatie!$C$5,1,1)), 0, MONTH(MIN($G$1, DATE(Initialisatie!$C$5,12,31))) - MONTH(MAX($G$2, DATE(Initialisatie!$C$5,1,1))) + 1)) &lt;= 0, IFERROR(VALUE($G42),0)=0),
        AND(MAX(0, IF(MIN($H$1, DATE(Initialisatie!$C$5,12,31)) &lt; MAX($H$2, DATE(Initialisatie!$C$5,1,1)), 0, MONTH(MIN($H$1, DATE(Initialisatie!$C$5,12,31))) - MONTH(MAX($H$2, DATE(Initialisatie!$C$5,1,1))) + 1)) &lt;= 0, IFERROR(VALUE($H42),0)=0)
    ),
    0,
    SUM(
        IFERROR(VALUE($D42),0) * MAX(0, IF(MIN($D$1, DATE(Initialisatie!$C$5,12,31)) &lt; MAX($D$2, DATE(Initialisatie!$C$5,1,1)), 0, MONTH(MIN($D$1, DATE(Initialisatie!$C$5,12,31))) - MONTH(MAX($D$2, DATE(Initialisatie!$C$5,1,1))) + 1)),
        IFERROR(VALUE($E42),0) * MAX(0, IF(MIN($E$1, DATE(Initialisatie!$C$5,12,31)) &lt; MAX($E$2, DATE(Initialisatie!$C$5,1,1)), 0, MONTH(MIN($E$1, DATE(Initialisatie!$C$5,12,31))) - MONTH(MAX($E$2, DATE(Initialisatie!$C$5,1,1))) + 1)),
        IFERROR(VALUE($F42),0) * MAX(0, IF(MIN($F$1, DATE(Initialisatie!$C$5,12,31)) &lt; MAX($F$2, DATE(Initialisatie!$C$5,1,1)), 0, MONTH(MIN($F$1, DATE(Initialisatie!$C$5,12,31))) - MONTH(MAX($F$2, DATE(Initialisatie!$C$5,1,1))) + 1)),
        IFERROR(VALUE($G42),0) * MAX(0, IF(MIN($G$1, DATE(Initialisatie!$C$5,12,31)) &lt; MAX($G$2, DATE(Initialisatie!$C$5,1,1)), 0, MONTH(MIN($G$1, DATE(Initialisatie!$C$5,12,31))) - MONTH(MAX($G$2, DATE(Initialisatie!$C$5,1,1))) + 1)),
        IFERROR(VALUE($H42),0) * MAX(0, IF(MIN($H$1, DATE(Initialisatie!$C$5,12,31)) &lt; MAX($H$2, DATE(Initialisatie!$C$5,1,1)), 0, MONTH(MIN($H$1, DATE(Initialisatie!$C$5,12,31))) - MONTH(MAX($H$2, DATE(Initialisatie!$C$5,1,1))) + 1))
    ) / 12
)</f>
        <v>2915</v>
      </c>
    </row>
    <row r="43" spans="1:11" x14ac:dyDescent="0.45">
      <c r="A43" s="989"/>
      <c r="B43" s="371">
        <v>8</v>
      </c>
      <c r="C43" s="371" t="s">
        <v>1578</v>
      </c>
      <c r="D43" t="s">
        <v>1576</v>
      </c>
      <c r="E43" t="s">
        <v>1575</v>
      </c>
      <c r="F43" t="s">
        <v>1577</v>
      </c>
      <c r="G43" t="s">
        <v>1577</v>
      </c>
      <c r="H43" t="s">
        <v>1626</v>
      </c>
      <c r="J43">
        <f>IF(
    OR(
        AND(MAX(0, MIN($D$1, DATE(Initialisatie!$C$5,12,31)) - MAX($D$2, DATE(Initialisatie!$C$5,1,1)) + 1) &gt; 0,IFERROR(VALUE($D43),0)=0),
        AND(MAX(0, MIN($E$1, DATE(Initialisatie!$C$5,12,31)) - MAX($E$2, DATE(Initialisatie!$C$5,1,1)) + 1) &gt; 0,IFERROR(VALUE($E43),0)=0),
        AND(MAX(0, MIN($F$1, DATE(Initialisatie!$C$5,12,31)) - MAX($F$2, DATE(Initialisatie!$C$5,1,1)) + 1) &gt; 0,IFERROR(VALUE($F43),0)=0),
        AND(MAX(0, MIN($G$1, DATE(Initialisatie!$C$5,12,31)) - MAX($G$2, DATE(Initialisatie!$C$5,1,1)) + 1) &gt; 0,IFERROR(VALUE($G43),0)=0),
        AND(MAX(0, MIN($H$1, DATE(Initialisatie!$C$5,12,31)) - MAX($H$2, DATE(Initialisatie!$C$5,1,1)) + 1) &gt; 0,IFERROR(VALUE($H43),0)=0)
    ),
    0,
    SUM(
        IFERROR(VALUE($D43),0) * MAX(0, MIN($D$1, DATE(Initialisatie!$C$5,12,31)) - MAX($D$2, DATE(Initialisatie!$C$5,1,1)) + 1),
        IFERROR(VALUE($E43),0) * MAX(0, MIN($E$1, DATE(Initialisatie!$C$5,12,31)) - MAX($E$2, DATE(Initialisatie!$C$5,1,1)) + 1),
        IFERROR(VALUE($F43),0) * MAX(0, MIN($F$1, DATE(Initialisatie!$C$5,12,31)) - MAX($F$2, DATE(Initialisatie!$C$5,1,1)) + 1),
        IFERROR(VALUE($G43),0) * MAX(0, MIN($G$1, DATE(Initialisatie!$C$5,12,31)) - MAX($G$2, DATE(Initialisatie!$C$5,1,1)) + 1),
        IFERROR(VALUE($H43),0) * MAX(0, MIN($H$1, DATE(Initialisatie!$C$5,12,31)) - MAX($H$2, DATE(Initialisatie!$C$5,1,1)) + 1)
    ) / (DATE(Initialisatie!$C$5,12,31) - DATE(Initialisatie!$C$5,1,1) + 1)
)</f>
        <v>2994.8657534246577</v>
      </c>
      <c r="K43">
        <f>IF(
    OR(
        AND(MAX(0, IF(MIN($D$1, DATE(Initialisatie!$C$5,12,31)) &lt; MAX($D$2, DATE(Initialisatie!$C$5,1,1)), 0, MONTH(MIN($D$1, DATE(Initialisatie!$C$5,12,31))) - MONTH(MAX($D$2, DATE(Initialisatie!$C$5,1,1))) + 1)) &lt;= 0, IFERROR(VALUE($D43),0)=0),
        AND(MAX(0, IF(MIN($E$1, DATE(Initialisatie!$C$5,12,31)) &lt; MAX($E$2, DATE(Initialisatie!$C$5,1,1)), 0, MONTH(MIN($E$1, DATE(Initialisatie!$C$5,12,31))) - MONTH(MAX($E$2, DATE(Initialisatie!$C$5,1,1))) + 1)) &lt;= 0, IFERROR(VALUE($E43),0)=0),
        AND(MAX(0, IF(MIN($F$1, DATE(Initialisatie!$C$5,12,31)) &lt; MAX($F$2, DATE(Initialisatie!$C$5,1,1)), 0, MONTH(MIN($F$1, DATE(Initialisatie!$C$5,12,31))) - MONTH(MAX($F$2, DATE(Initialisatie!$C$5,1,1))) + 1)) &lt;= 0, IFERROR(VALUE($F43),0)=0),
        AND(MAX(0, IF(MIN($G$1, DATE(Initialisatie!$C$5,12,31)) &lt; MAX($G$2, DATE(Initialisatie!$C$5,1,1)), 0, MONTH(MIN($G$1, DATE(Initialisatie!$C$5,12,31))) - MONTH(MAX($G$2, DATE(Initialisatie!$C$5,1,1))) + 1)) &lt;= 0, IFERROR(VALUE($G43),0)=0),
        AND(MAX(0, IF(MIN($H$1, DATE(Initialisatie!$C$5,12,31)) &lt; MAX($H$2, DATE(Initialisatie!$C$5,1,1)), 0, MONTH(MIN($H$1, DATE(Initialisatie!$C$5,12,31))) - MONTH(MAX($H$2, DATE(Initialisatie!$C$5,1,1))) + 1)) &lt;= 0, IFERROR(VALUE($H43),0)=0)
    ),
    0,
    SUM(
        IFERROR(VALUE($D43),0) * MAX(0, IF(MIN($D$1, DATE(Initialisatie!$C$5,12,31)) &lt; MAX($D$2, DATE(Initialisatie!$C$5,1,1)), 0, MONTH(MIN($D$1, DATE(Initialisatie!$C$5,12,31))) - MONTH(MAX($D$2, DATE(Initialisatie!$C$5,1,1))) + 1)),
        IFERROR(VALUE($E43),0) * MAX(0, IF(MIN($E$1, DATE(Initialisatie!$C$5,12,31)) &lt; MAX($E$2, DATE(Initialisatie!$C$5,1,1)), 0, MONTH(MIN($E$1, DATE(Initialisatie!$C$5,12,31))) - MONTH(MAX($E$2, DATE(Initialisatie!$C$5,1,1))) + 1)),
        IFERROR(VALUE($F43),0) * MAX(0, IF(MIN($F$1, DATE(Initialisatie!$C$5,12,31)) &lt; MAX($F$2, DATE(Initialisatie!$C$5,1,1)), 0, MONTH(MIN($F$1, DATE(Initialisatie!$C$5,12,31))) - MONTH(MAX($F$2, DATE(Initialisatie!$C$5,1,1))) + 1)),
        IFERROR(VALUE($G43),0) * MAX(0, IF(MIN($G$1, DATE(Initialisatie!$C$5,12,31)) &lt; MAX($G$2, DATE(Initialisatie!$C$5,1,1)), 0, MONTH(MIN($G$1, DATE(Initialisatie!$C$5,12,31))) - MONTH(MAX($G$2, DATE(Initialisatie!$C$5,1,1))) + 1)),
        IFERROR(VALUE($H43),0) * MAX(0, IF(MIN($H$1, DATE(Initialisatie!$C$5,12,31)) &lt; MAX($H$2, DATE(Initialisatie!$C$5,1,1)), 0, MONTH(MIN($H$1, DATE(Initialisatie!$C$5,12,31))) - MONTH(MAX($H$2, DATE(Initialisatie!$C$5,1,1))) + 1))
    ) / 12
)</f>
        <v>2994.5</v>
      </c>
    </row>
    <row r="44" spans="1:11" x14ac:dyDescent="0.45">
      <c r="A44" s="989"/>
      <c r="B44" s="371">
        <v>9</v>
      </c>
      <c r="C44" s="371" t="s">
        <v>1574</v>
      </c>
      <c r="D44" t="s">
        <v>1572</v>
      </c>
      <c r="E44" t="s">
        <v>1571</v>
      </c>
      <c r="F44" t="s">
        <v>1573</v>
      </c>
      <c r="G44" t="s">
        <v>1573</v>
      </c>
      <c r="H44" t="s">
        <v>1627</v>
      </c>
      <c r="J44">
        <f>IF(
    OR(
        AND(MAX(0, MIN($D$1, DATE(Initialisatie!$C$5,12,31)) - MAX($D$2, DATE(Initialisatie!$C$5,1,1)) + 1) &gt; 0,IFERROR(VALUE($D44),0)=0),
        AND(MAX(0, MIN($E$1, DATE(Initialisatie!$C$5,12,31)) - MAX($E$2, DATE(Initialisatie!$C$5,1,1)) + 1) &gt; 0,IFERROR(VALUE($E44),0)=0),
        AND(MAX(0, MIN($F$1, DATE(Initialisatie!$C$5,12,31)) - MAX($F$2, DATE(Initialisatie!$C$5,1,1)) + 1) &gt; 0,IFERROR(VALUE($F44),0)=0),
        AND(MAX(0, MIN($G$1, DATE(Initialisatie!$C$5,12,31)) - MAX($G$2, DATE(Initialisatie!$C$5,1,1)) + 1) &gt; 0,IFERROR(VALUE($G44),0)=0),
        AND(MAX(0, MIN($H$1, DATE(Initialisatie!$C$5,12,31)) - MAX($H$2, DATE(Initialisatie!$C$5,1,1)) + 1) &gt; 0,IFERROR(VALUE($H44),0)=0)
    ),
    0,
    SUM(
        IFERROR(VALUE($D44),0) * MAX(0, MIN($D$1, DATE(Initialisatie!$C$5,12,31)) - MAX($D$2, DATE(Initialisatie!$C$5,1,1)) + 1),
        IFERROR(VALUE($E44),0) * MAX(0, MIN($E$1, DATE(Initialisatie!$C$5,12,31)) - MAX($E$2, DATE(Initialisatie!$C$5,1,1)) + 1),
        IFERROR(VALUE($F44),0) * MAX(0, MIN($F$1, DATE(Initialisatie!$C$5,12,31)) - MAX($F$2, DATE(Initialisatie!$C$5,1,1)) + 1),
        IFERROR(VALUE($G44),0) * MAX(0, MIN($G$1, DATE(Initialisatie!$C$5,12,31)) - MAX($G$2, DATE(Initialisatie!$C$5,1,1)) + 1),
        IFERROR(VALUE($H44),0) * MAX(0, MIN($H$1, DATE(Initialisatie!$C$5,12,31)) - MAX($H$2, DATE(Initialisatie!$C$5,1,1)) + 1)
    ) / (DATE(Initialisatie!$C$5,12,31) - DATE(Initialisatie!$C$5,1,1) + 1)
)</f>
        <v>3058.3698630136987</v>
      </c>
      <c r="K44">
        <f>IF(
    OR(
        AND(MAX(0, IF(MIN($D$1, DATE(Initialisatie!$C$5,12,31)) &lt; MAX($D$2, DATE(Initialisatie!$C$5,1,1)), 0, MONTH(MIN($D$1, DATE(Initialisatie!$C$5,12,31))) - MONTH(MAX($D$2, DATE(Initialisatie!$C$5,1,1))) + 1)) &lt;= 0, IFERROR(VALUE($D44),0)=0),
        AND(MAX(0, IF(MIN($E$1, DATE(Initialisatie!$C$5,12,31)) &lt; MAX($E$2, DATE(Initialisatie!$C$5,1,1)), 0, MONTH(MIN($E$1, DATE(Initialisatie!$C$5,12,31))) - MONTH(MAX($E$2, DATE(Initialisatie!$C$5,1,1))) + 1)) &lt;= 0, IFERROR(VALUE($E44),0)=0),
        AND(MAX(0, IF(MIN($F$1, DATE(Initialisatie!$C$5,12,31)) &lt; MAX($F$2, DATE(Initialisatie!$C$5,1,1)), 0, MONTH(MIN($F$1, DATE(Initialisatie!$C$5,12,31))) - MONTH(MAX($F$2, DATE(Initialisatie!$C$5,1,1))) + 1)) &lt;= 0, IFERROR(VALUE($F44),0)=0),
        AND(MAX(0, IF(MIN($G$1, DATE(Initialisatie!$C$5,12,31)) &lt; MAX($G$2, DATE(Initialisatie!$C$5,1,1)), 0, MONTH(MIN($G$1, DATE(Initialisatie!$C$5,12,31))) - MONTH(MAX($G$2, DATE(Initialisatie!$C$5,1,1))) + 1)) &lt;= 0, IFERROR(VALUE($G44),0)=0),
        AND(MAX(0, IF(MIN($H$1, DATE(Initialisatie!$C$5,12,31)) &lt; MAX($H$2, DATE(Initialisatie!$C$5,1,1)), 0, MONTH(MIN($H$1, DATE(Initialisatie!$C$5,12,31))) - MONTH(MAX($H$2, DATE(Initialisatie!$C$5,1,1))) + 1)) &lt;= 0, IFERROR(VALUE($H44),0)=0)
    ),
    0,
    SUM(
        IFERROR(VALUE($D44),0) * MAX(0, IF(MIN($D$1, DATE(Initialisatie!$C$5,12,31)) &lt; MAX($D$2, DATE(Initialisatie!$C$5,1,1)), 0, MONTH(MIN($D$1, DATE(Initialisatie!$C$5,12,31))) - MONTH(MAX($D$2, DATE(Initialisatie!$C$5,1,1))) + 1)),
        IFERROR(VALUE($E44),0) * MAX(0, IF(MIN($E$1, DATE(Initialisatie!$C$5,12,31)) &lt; MAX($E$2, DATE(Initialisatie!$C$5,1,1)), 0, MONTH(MIN($E$1, DATE(Initialisatie!$C$5,12,31))) - MONTH(MAX($E$2, DATE(Initialisatie!$C$5,1,1))) + 1)),
        IFERROR(VALUE($F44),0) * MAX(0, IF(MIN($F$1, DATE(Initialisatie!$C$5,12,31)) &lt; MAX($F$2, DATE(Initialisatie!$C$5,1,1)), 0, MONTH(MIN($F$1, DATE(Initialisatie!$C$5,12,31))) - MONTH(MAX($F$2, DATE(Initialisatie!$C$5,1,1))) + 1)),
        IFERROR(VALUE($G44),0) * MAX(0, IF(MIN($G$1, DATE(Initialisatie!$C$5,12,31)) &lt; MAX($G$2, DATE(Initialisatie!$C$5,1,1)), 0, MONTH(MIN($G$1, DATE(Initialisatie!$C$5,12,31))) - MONTH(MAX($G$2, DATE(Initialisatie!$C$5,1,1))) + 1)),
        IFERROR(VALUE($H44),0) * MAX(0, IF(MIN($H$1, DATE(Initialisatie!$C$5,12,31)) &lt; MAX($H$2, DATE(Initialisatie!$C$5,1,1)), 0, MONTH(MIN($H$1, DATE(Initialisatie!$C$5,12,31))) - MONTH(MAX($H$2, DATE(Initialisatie!$C$5,1,1))) + 1))
    ) / 12
)</f>
        <v>3058</v>
      </c>
    </row>
    <row r="45" spans="1:11" x14ac:dyDescent="0.45">
      <c r="A45" s="989"/>
      <c r="B45" s="371">
        <v>10</v>
      </c>
      <c r="C45" s="371" t="s">
        <v>1567</v>
      </c>
      <c r="D45" t="s">
        <v>1565</v>
      </c>
      <c r="E45" t="s">
        <v>1564</v>
      </c>
      <c r="F45" t="s">
        <v>1566</v>
      </c>
      <c r="G45" t="s">
        <v>1566</v>
      </c>
      <c r="H45" t="s">
        <v>1628</v>
      </c>
      <c r="J45">
        <f>IF(
    OR(
        AND(MAX(0, MIN($D$1, DATE(Initialisatie!$C$5,12,31)) - MAX($D$2, DATE(Initialisatie!$C$5,1,1)) + 1) &gt; 0,IFERROR(VALUE($D45),0)=0),
        AND(MAX(0, MIN($E$1, DATE(Initialisatie!$C$5,12,31)) - MAX($E$2, DATE(Initialisatie!$C$5,1,1)) + 1) &gt; 0,IFERROR(VALUE($E45),0)=0),
        AND(MAX(0, MIN($F$1, DATE(Initialisatie!$C$5,12,31)) - MAX($F$2, DATE(Initialisatie!$C$5,1,1)) + 1) &gt; 0,IFERROR(VALUE($F45),0)=0),
        AND(MAX(0, MIN($G$1, DATE(Initialisatie!$C$5,12,31)) - MAX($G$2, DATE(Initialisatie!$C$5,1,1)) + 1) &gt; 0,IFERROR(VALUE($G45),0)=0),
        AND(MAX(0, MIN($H$1, DATE(Initialisatie!$C$5,12,31)) - MAX($H$2, DATE(Initialisatie!$C$5,1,1)) + 1) &gt; 0,IFERROR(VALUE($H45),0)=0)
    ),
    0,
    SUM(
        IFERROR(VALUE($D45),0) * MAX(0, MIN($D$1, DATE(Initialisatie!$C$5,12,31)) - MAX($D$2, DATE(Initialisatie!$C$5,1,1)) + 1),
        IFERROR(VALUE($E45),0) * MAX(0, MIN($E$1, DATE(Initialisatie!$C$5,12,31)) - MAX($E$2, DATE(Initialisatie!$C$5,1,1)) + 1),
        IFERROR(VALUE($F45),0) * MAX(0, MIN($F$1, DATE(Initialisatie!$C$5,12,31)) - MAX($F$2, DATE(Initialisatie!$C$5,1,1)) + 1),
        IFERROR(VALUE($G45),0) * MAX(0, MIN($G$1, DATE(Initialisatie!$C$5,12,31)) - MAX($G$2, DATE(Initialisatie!$C$5,1,1)) + 1),
        IFERROR(VALUE($H45),0) * MAX(0, MIN($H$1, DATE(Initialisatie!$C$5,12,31)) - MAX($H$2, DATE(Initialisatie!$C$5,1,1)) + 1)
    ) / (DATE(Initialisatie!$C$5,12,31) - DATE(Initialisatie!$C$5,1,1) + 1)
)</f>
        <v>3134.3780821917808</v>
      </c>
      <c r="K45">
        <f>IF(
    OR(
        AND(MAX(0, IF(MIN($D$1, DATE(Initialisatie!$C$5,12,31)) &lt; MAX($D$2, DATE(Initialisatie!$C$5,1,1)), 0, MONTH(MIN($D$1, DATE(Initialisatie!$C$5,12,31))) - MONTH(MAX($D$2, DATE(Initialisatie!$C$5,1,1))) + 1)) &lt;= 0, IFERROR(VALUE($D45),0)=0),
        AND(MAX(0, IF(MIN($E$1, DATE(Initialisatie!$C$5,12,31)) &lt; MAX($E$2, DATE(Initialisatie!$C$5,1,1)), 0, MONTH(MIN($E$1, DATE(Initialisatie!$C$5,12,31))) - MONTH(MAX($E$2, DATE(Initialisatie!$C$5,1,1))) + 1)) &lt;= 0, IFERROR(VALUE($E45),0)=0),
        AND(MAX(0, IF(MIN($F$1, DATE(Initialisatie!$C$5,12,31)) &lt; MAX($F$2, DATE(Initialisatie!$C$5,1,1)), 0, MONTH(MIN($F$1, DATE(Initialisatie!$C$5,12,31))) - MONTH(MAX($F$2, DATE(Initialisatie!$C$5,1,1))) + 1)) &lt;= 0, IFERROR(VALUE($F45),0)=0),
        AND(MAX(0, IF(MIN($G$1, DATE(Initialisatie!$C$5,12,31)) &lt; MAX($G$2, DATE(Initialisatie!$C$5,1,1)), 0, MONTH(MIN($G$1, DATE(Initialisatie!$C$5,12,31))) - MONTH(MAX($G$2, DATE(Initialisatie!$C$5,1,1))) + 1)) &lt;= 0, IFERROR(VALUE($G45),0)=0),
        AND(MAX(0, IF(MIN($H$1, DATE(Initialisatie!$C$5,12,31)) &lt; MAX($H$2, DATE(Initialisatie!$C$5,1,1)), 0, MONTH(MIN($H$1, DATE(Initialisatie!$C$5,12,31))) - MONTH(MAX($H$2, DATE(Initialisatie!$C$5,1,1))) + 1)) &lt;= 0, IFERROR(VALUE($H45),0)=0)
    ),
    0,
    SUM(
        IFERROR(VALUE($D45),0) * MAX(0, IF(MIN($D$1, DATE(Initialisatie!$C$5,12,31)) &lt; MAX($D$2, DATE(Initialisatie!$C$5,1,1)), 0, MONTH(MIN($D$1, DATE(Initialisatie!$C$5,12,31))) - MONTH(MAX($D$2, DATE(Initialisatie!$C$5,1,1))) + 1)),
        IFERROR(VALUE($E45),0) * MAX(0, IF(MIN($E$1, DATE(Initialisatie!$C$5,12,31)) &lt; MAX($E$2, DATE(Initialisatie!$C$5,1,1)), 0, MONTH(MIN($E$1, DATE(Initialisatie!$C$5,12,31))) - MONTH(MAX($E$2, DATE(Initialisatie!$C$5,1,1))) + 1)),
        IFERROR(VALUE($F45),0) * MAX(0, IF(MIN($F$1, DATE(Initialisatie!$C$5,12,31)) &lt; MAX($F$2, DATE(Initialisatie!$C$5,1,1)), 0, MONTH(MIN($F$1, DATE(Initialisatie!$C$5,12,31))) - MONTH(MAX($F$2, DATE(Initialisatie!$C$5,1,1))) + 1)),
        IFERROR(VALUE($G45),0) * MAX(0, IF(MIN($G$1, DATE(Initialisatie!$C$5,12,31)) &lt; MAX($G$2, DATE(Initialisatie!$C$5,1,1)), 0, MONTH(MIN($G$1, DATE(Initialisatie!$C$5,12,31))) - MONTH(MAX($G$2, DATE(Initialisatie!$C$5,1,1))) + 1)),
        IFERROR(VALUE($H45),0) * MAX(0, IF(MIN($H$1, DATE(Initialisatie!$C$5,12,31)) &lt; MAX($H$2, DATE(Initialisatie!$C$5,1,1)), 0, MONTH(MIN($H$1, DATE(Initialisatie!$C$5,12,31))) - MONTH(MAX($H$2, DATE(Initialisatie!$C$5,1,1))) + 1))
    ) / 12
)</f>
        <v>3134</v>
      </c>
    </row>
    <row r="46" spans="1:11" x14ac:dyDescent="0.45">
      <c r="A46" s="993">
        <v>30</v>
      </c>
      <c r="B46" s="371">
        <v>0</v>
      </c>
      <c r="C46" s="371" t="s">
        <v>1284</v>
      </c>
      <c r="D46" t="s">
        <v>1595</v>
      </c>
      <c r="E46" t="s">
        <v>1594</v>
      </c>
      <c r="F46" t="s">
        <v>1596</v>
      </c>
      <c r="G46" t="s">
        <v>1618</v>
      </c>
      <c r="H46" t="s">
        <v>1618</v>
      </c>
      <c r="J46">
        <f>IF(
    OR(
        AND(MAX(0, MIN($D$1, DATE(Initialisatie!$C$5,12,31)) - MAX($D$2, DATE(Initialisatie!$C$5,1,1)) + 1) &gt; 0,IFERROR(VALUE($D46),0)=0),
        AND(MAX(0, MIN($E$1, DATE(Initialisatie!$C$5,12,31)) - MAX($E$2, DATE(Initialisatie!$C$5,1,1)) + 1) &gt; 0,IFERROR(VALUE($E46),0)=0),
        AND(MAX(0, MIN($F$1, DATE(Initialisatie!$C$5,12,31)) - MAX($F$2, DATE(Initialisatie!$C$5,1,1)) + 1) &gt; 0,IFERROR(VALUE($F46),0)=0),
        AND(MAX(0, MIN($G$1, DATE(Initialisatie!$C$5,12,31)) - MAX($G$2, DATE(Initialisatie!$C$5,1,1)) + 1) &gt; 0,IFERROR(VALUE($G46),0)=0),
        AND(MAX(0, MIN($H$1, DATE(Initialisatie!$C$5,12,31)) - MAX($H$2, DATE(Initialisatie!$C$5,1,1)) + 1) &gt; 0,IFERROR(VALUE($H46),0)=0)
    ),
    0,
    SUM(
        IFERROR(VALUE($D46),0) * MAX(0, MIN($D$1, DATE(Initialisatie!$C$5,12,31)) - MAX($D$2, DATE(Initialisatie!$C$5,1,1)) + 1),
        IFERROR(VALUE($E46),0) * MAX(0, MIN($E$1, DATE(Initialisatie!$C$5,12,31)) - MAX($E$2, DATE(Initialisatie!$C$5,1,1)) + 1),
        IFERROR(VALUE($F46),0) * MAX(0, MIN($F$1, DATE(Initialisatie!$C$5,12,31)) - MAX($F$2, DATE(Initialisatie!$C$5,1,1)) + 1),
        IFERROR(VALUE($G46),0) * MAX(0, MIN($G$1, DATE(Initialisatie!$C$5,12,31)) - MAX($G$2, DATE(Initialisatie!$C$5,1,1)) + 1),
        IFERROR(VALUE($H46),0) * MAX(0, MIN($H$1, DATE(Initialisatie!$C$5,12,31)) - MAX($H$2, DATE(Initialisatie!$C$5,1,1)) + 1)
    ) / (DATE(Initialisatie!$C$5,12,31) - DATE(Initialisatie!$C$5,1,1) + 1)
)</f>
        <v>2504</v>
      </c>
      <c r="K46">
        <f>IF(
    OR(
        AND(MAX(0, IF(MIN($D$1, DATE(Initialisatie!$C$5,12,31)) &lt; MAX($D$2, DATE(Initialisatie!$C$5,1,1)), 0, MONTH(MIN($D$1, DATE(Initialisatie!$C$5,12,31))) - MONTH(MAX($D$2, DATE(Initialisatie!$C$5,1,1))) + 1)) &lt;= 0, IFERROR(VALUE($D46),0)=0),
        AND(MAX(0, IF(MIN($E$1, DATE(Initialisatie!$C$5,12,31)) &lt; MAX($E$2, DATE(Initialisatie!$C$5,1,1)), 0, MONTH(MIN($E$1, DATE(Initialisatie!$C$5,12,31))) - MONTH(MAX($E$2, DATE(Initialisatie!$C$5,1,1))) + 1)) &lt;= 0, IFERROR(VALUE($E46),0)=0),
        AND(MAX(0, IF(MIN($F$1, DATE(Initialisatie!$C$5,12,31)) &lt; MAX($F$2, DATE(Initialisatie!$C$5,1,1)), 0, MONTH(MIN($F$1, DATE(Initialisatie!$C$5,12,31))) - MONTH(MAX($F$2, DATE(Initialisatie!$C$5,1,1))) + 1)) &lt;= 0, IFERROR(VALUE($F46),0)=0),
        AND(MAX(0, IF(MIN($G$1, DATE(Initialisatie!$C$5,12,31)) &lt; MAX($G$2, DATE(Initialisatie!$C$5,1,1)), 0, MONTH(MIN($G$1, DATE(Initialisatie!$C$5,12,31))) - MONTH(MAX($G$2, DATE(Initialisatie!$C$5,1,1))) + 1)) &lt;= 0, IFERROR(VALUE($G46),0)=0),
        AND(MAX(0, IF(MIN($H$1, DATE(Initialisatie!$C$5,12,31)) &lt; MAX($H$2, DATE(Initialisatie!$C$5,1,1)), 0, MONTH(MIN($H$1, DATE(Initialisatie!$C$5,12,31))) - MONTH(MAX($H$2, DATE(Initialisatie!$C$5,1,1))) + 1)) &lt;= 0, IFERROR(VALUE($H46),0)=0)
    ),
    0,
    SUM(
        IFERROR(VALUE($D46),0) * MAX(0, IF(MIN($D$1, DATE(Initialisatie!$C$5,12,31)) &lt; MAX($D$2, DATE(Initialisatie!$C$5,1,1)), 0, MONTH(MIN($D$1, DATE(Initialisatie!$C$5,12,31))) - MONTH(MAX($D$2, DATE(Initialisatie!$C$5,1,1))) + 1)),
        IFERROR(VALUE($E46),0) * MAX(0, IF(MIN($E$1, DATE(Initialisatie!$C$5,12,31)) &lt; MAX($E$2, DATE(Initialisatie!$C$5,1,1)), 0, MONTH(MIN($E$1, DATE(Initialisatie!$C$5,12,31))) - MONTH(MAX($E$2, DATE(Initialisatie!$C$5,1,1))) + 1)),
        IFERROR(VALUE($F46),0) * MAX(0, IF(MIN($F$1, DATE(Initialisatie!$C$5,12,31)) &lt; MAX($F$2, DATE(Initialisatie!$C$5,1,1)), 0, MONTH(MIN($F$1, DATE(Initialisatie!$C$5,12,31))) - MONTH(MAX($F$2, DATE(Initialisatie!$C$5,1,1))) + 1)),
        IFERROR(VALUE($G46),0) * MAX(0, IF(MIN($G$1, DATE(Initialisatie!$C$5,12,31)) &lt; MAX($G$2, DATE(Initialisatie!$C$5,1,1)), 0, MONTH(MIN($G$1, DATE(Initialisatie!$C$5,12,31))) - MONTH(MAX($G$2, DATE(Initialisatie!$C$5,1,1))) + 1)),
        IFERROR(VALUE($H46),0) * MAX(0, IF(MIN($H$1, DATE(Initialisatie!$C$5,12,31)) &lt; MAX($H$2, DATE(Initialisatie!$C$5,1,1)), 0, MONTH(MIN($H$1, DATE(Initialisatie!$C$5,12,31))) - MONTH(MAX($H$2, DATE(Initialisatie!$C$5,1,1))) + 1))
    ) / 12
)</f>
        <v>2504</v>
      </c>
    </row>
    <row r="47" spans="1:11" x14ac:dyDescent="0.45">
      <c r="A47" s="989"/>
      <c r="B47" s="371">
        <v>1</v>
      </c>
      <c r="C47" s="371" t="s">
        <v>109</v>
      </c>
      <c r="D47" t="s">
        <v>1592</v>
      </c>
      <c r="E47" t="s">
        <v>1591</v>
      </c>
      <c r="F47" t="s">
        <v>1593</v>
      </c>
      <c r="G47" t="s">
        <v>1593</v>
      </c>
      <c r="H47" t="s">
        <v>1620</v>
      </c>
      <c r="J47">
        <f>IF(
    OR(
        AND(MAX(0, MIN($D$1, DATE(Initialisatie!$C$5,12,31)) - MAX($D$2, DATE(Initialisatie!$C$5,1,1)) + 1) &gt; 0,IFERROR(VALUE($D47),0)=0),
        AND(MAX(0, MIN($E$1, DATE(Initialisatie!$C$5,12,31)) - MAX($E$2, DATE(Initialisatie!$C$5,1,1)) + 1) &gt; 0,IFERROR(VALUE($E47),0)=0),
        AND(MAX(0, MIN($F$1, DATE(Initialisatie!$C$5,12,31)) - MAX($F$2, DATE(Initialisatie!$C$5,1,1)) + 1) &gt; 0,IFERROR(VALUE($F47),0)=0),
        AND(MAX(0, MIN($G$1, DATE(Initialisatie!$C$5,12,31)) - MAX($G$2, DATE(Initialisatie!$C$5,1,1)) + 1) &gt; 0,IFERROR(VALUE($G47),0)=0),
        AND(MAX(0, MIN($H$1, DATE(Initialisatie!$C$5,12,31)) - MAX($H$2, DATE(Initialisatie!$C$5,1,1)) + 1) &gt; 0,IFERROR(VALUE($H47),0)=0)
    ),
    0,
    SUM(
        IFERROR(VALUE($D47),0) * MAX(0, MIN($D$1, DATE(Initialisatie!$C$5,12,31)) - MAX($D$2, DATE(Initialisatie!$C$5,1,1)) + 1),
        IFERROR(VALUE($E47),0) * MAX(0, MIN($E$1, DATE(Initialisatie!$C$5,12,31)) - MAX($E$2, DATE(Initialisatie!$C$5,1,1)) + 1),
        IFERROR(VALUE($F47),0) * MAX(0, MIN($F$1, DATE(Initialisatie!$C$5,12,31)) - MAX($F$2, DATE(Initialisatie!$C$5,1,1)) + 1),
        IFERROR(VALUE($G47),0) * MAX(0, MIN($G$1, DATE(Initialisatie!$C$5,12,31)) - MAX($G$2, DATE(Initialisatie!$C$5,1,1)) + 1),
        IFERROR(VALUE($H47),0) * MAX(0, MIN($H$1, DATE(Initialisatie!$C$5,12,31)) - MAX($H$2, DATE(Initialisatie!$C$5,1,1)) + 1)
    ) / (DATE(Initialisatie!$C$5,12,31) - DATE(Initialisatie!$C$5,1,1) + 1)
)</f>
        <v>2564.3123287671233</v>
      </c>
      <c r="K47">
        <f>IF(
    OR(
        AND(MAX(0, IF(MIN($D$1, DATE(Initialisatie!$C$5,12,31)) &lt; MAX($D$2, DATE(Initialisatie!$C$5,1,1)), 0, MONTH(MIN($D$1, DATE(Initialisatie!$C$5,12,31))) - MONTH(MAX($D$2, DATE(Initialisatie!$C$5,1,1))) + 1)) &lt;= 0, IFERROR(VALUE($D47),0)=0),
        AND(MAX(0, IF(MIN($E$1, DATE(Initialisatie!$C$5,12,31)) &lt; MAX($E$2, DATE(Initialisatie!$C$5,1,1)), 0, MONTH(MIN($E$1, DATE(Initialisatie!$C$5,12,31))) - MONTH(MAX($E$2, DATE(Initialisatie!$C$5,1,1))) + 1)) &lt;= 0, IFERROR(VALUE($E47),0)=0),
        AND(MAX(0, IF(MIN($F$1, DATE(Initialisatie!$C$5,12,31)) &lt; MAX($F$2, DATE(Initialisatie!$C$5,1,1)), 0, MONTH(MIN($F$1, DATE(Initialisatie!$C$5,12,31))) - MONTH(MAX($F$2, DATE(Initialisatie!$C$5,1,1))) + 1)) &lt;= 0, IFERROR(VALUE($F47),0)=0),
        AND(MAX(0, IF(MIN($G$1, DATE(Initialisatie!$C$5,12,31)) &lt; MAX($G$2, DATE(Initialisatie!$C$5,1,1)), 0, MONTH(MIN($G$1, DATE(Initialisatie!$C$5,12,31))) - MONTH(MAX($G$2, DATE(Initialisatie!$C$5,1,1))) + 1)) &lt;= 0, IFERROR(VALUE($G47),0)=0),
        AND(MAX(0, IF(MIN($H$1, DATE(Initialisatie!$C$5,12,31)) &lt; MAX($H$2, DATE(Initialisatie!$C$5,1,1)), 0, MONTH(MIN($H$1, DATE(Initialisatie!$C$5,12,31))) - MONTH(MAX($H$2, DATE(Initialisatie!$C$5,1,1))) + 1)) &lt;= 0, IFERROR(VALUE($H47),0)=0)
    ),
    0,
    SUM(
        IFERROR(VALUE($D47),0) * MAX(0, IF(MIN($D$1, DATE(Initialisatie!$C$5,12,31)) &lt; MAX($D$2, DATE(Initialisatie!$C$5,1,1)), 0, MONTH(MIN($D$1, DATE(Initialisatie!$C$5,12,31))) - MONTH(MAX($D$2, DATE(Initialisatie!$C$5,1,1))) + 1)),
        IFERROR(VALUE($E47),0) * MAX(0, IF(MIN($E$1, DATE(Initialisatie!$C$5,12,31)) &lt; MAX($E$2, DATE(Initialisatie!$C$5,1,1)), 0, MONTH(MIN($E$1, DATE(Initialisatie!$C$5,12,31))) - MONTH(MAX($E$2, DATE(Initialisatie!$C$5,1,1))) + 1)),
        IFERROR(VALUE($F47),0) * MAX(0, IF(MIN($F$1, DATE(Initialisatie!$C$5,12,31)) &lt; MAX($F$2, DATE(Initialisatie!$C$5,1,1)), 0, MONTH(MIN($F$1, DATE(Initialisatie!$C$5,12,31))) - MONTH(MAX($F$2, DATE(Initialisatie!$C$5,1,1))) + 1)),
        IFERROR(VALUE($G47),0) * MAX(0, IF(MIN($G$1, DATE(Initialisatie!$C$5,12,31)) &lt; MAX($G$2, DATE(Initialisatie!$C$5,1,1)), 0, MONTH(MIN($G$1, DATE(Initialisatie!$C$5,12,31))) - MONTH(MAX($G$2, DATE(Initialisatie!$C$5,1,1))) + 1)),
        IFERROR(VALUE($H47),0) * MAX(0, IF(MIN($H$1, DATE(Initialisatie!$C$5,12,31)) &lt; MAX($H$2, DATE(Initialisatie!$C$5,1,1)), 0, MONTH(MIN($H$1, DATE(Initialisatie!$C$5,12,31))) - MONTH(MAX($H$2, DATE(Initialisatie!$C$5,1,1))) + 1))
    ) / 12
)</f>
        <v>2564</v>
      </c>
    </row>
    <row r="48" spans="1:11" x14ac:dyDescent="0.45">
      <c r="A48" s="989"/>
      <c r="B48" s="371">
        <v>2</v>
      </c>
      <c r="C48" s="371" t="s">
        <v>105</v>
      </c>
      <c r="D48" t="s">
        <v>1586</v>
      </c>
      <c r="E48" t="s">
        <v>1585</v>
      </c>
      <c r="F48" t="s">
        <v>1587</v>
      </c>
      <c r="G48" t="s">
        <v>1587</v>
      </c>
      <c r="H48" t="s">
        <v>1622</v>
      </c>
      <c r="J48">
        <f>IF(
    OR(
        AND(MAX(0, MIN($D$1, DATE(Initialisatie!$C$5,12,31)) - MAX($D$2, DATE(Initialisatie!$C$5,1,1)) + 1) &gt; 0,IFERROR(VALUE($D48),0)=0),
        AND(MAX(0, MIN($E$1, DATE(Initialisatie!$C$5,12,31)) - MAX($E$2, DATE(Initialisatie!$C$5,1,1)) + 1) &gt; 0,IFERROR(VALUE($E48),0)=0),
        AND(MAX(0, MIN($F$1, DATE(Initialisatie!$C$5,12,31)) - MAX($F$2, DATE(Initialisatie!$C$5,1,1)) + 1) &gt; 0,IFERROR(VALUE($F48),0)=0),
        AND(MAX(0, MIN($G$1, DATE(Initialisatie!$C$5,12,31)) - MAX($G$2, DATE(Initialisatie!$C$5,1,1)) + 1) &gt; 0,IFERROR(VALUE($G48),0)=0),
        AND(MAX(0, MIN($H$1, DATE(Initialisatie!$C$5,12,31)) - MAX($H$2, DATE(Initialisatie!$C$5,1,1)) + 1) &gt; 0,IFERROR(VALUE($H48),0)=0)
    ),
    0,
    SUM(
        IFERROR(VALUE($D48),0) * MAX(0, MIN($D$1, DATE(Initialisatie!$C$5,12,31)) - MAX($D$2, DATE(Initialisatie!$C$5,1,1)) + 1),
        IFERROR(VALUE($E48),0) * MAX(0, MIN($E$1, DATE(Initialisatie!$C$5,12,31)) - MAX($E$2, DATE(Initialisatie!$C$5,1,1)) + 1),
        IFERROR(VALUE($F48),0) * MAX(0, MIN($F$1, DATE(Initialisatie!$C$5,12,31)) - MAX($F$2, DATE(Initialisatie!$C$5,1,1)) + 1),
        IFERROR(VALUE($G48),0) * MAX(0, MIN($G$1, DATE(Initialisatie!$C$5,12,31)) - MAX($G$2, DATE(Initialisatie!$C$5,1,1)) + 1),
        IFERROR(VALUE($H48),0) * MAX(0, MIN($H$1, DATE(Initialisatie!$C$5,12,31)) - MAX($H$2, DATE(Initialisatie!$C$5,1,1)) + 1)
    ) / (DATE(Initialisatie!$C$5,12,31) - DATE(Initialisatie!$C$5,1,1) + 1)
)</f>
        <v>2695.3287671232879</v>
      </c>
      <c r="K48">
        <f>IF(
    OR(
        AND(MAX(0, IF(MIN($D$1, DATE(Initialisatie!$C$5,12,31)) &lt; MAX($D$2, DATE(Initialisatie!$C$5,1,1)), 0, MONTH(MIN($D$1, DATE(Initialisatie!$C$5,12,31))) - MONTH(MAX($D$2, DATE(Initialisatie!$C$5,1,1))) + 1)) &lt;= 0, IFERROR(VALUE($D48),0)=0),
        AND(MAX(0, IF(MIN($E$1, DATE(Initialisatie!$C$5,12,31)) &lt; MAX($E$2, DATE(Initialisatie!$C$5,1,1)), 0, MONTH(MIN($E$1, DATE(Initialisatie!$C$5,12,31))) - MONTH(MAX($E$2, DATE(Initialisatie!$C$5,1,1))) + 1)) &lt;= 0, IFERROR(VALUE($E48),0)=0),
        AND(MAX(0, IF(MIN($F$1, DATE(Initialisatie!$C$5,12,31)) &lt; MAX($F$2, DATE(Initialisatie!$C$5,1,1)), 0, MONTH(MIN($F$1, DATE(Initialisatie!$C$5,12,31))) - MONTH(MAX($F$2, DATE(Initialisatie!$C$5,1,1))) + 1)) &lt;= 0, IFERROR(VALUE($F48),0)=0),
        AND(MAX(0, IF(MIN($G$1, DATE(Initialisatie!$C$5,12,31)) &lt; MAX($G$2, DATE(Initialisatie!$C$5,1,1)), 0, MONTH(MIN($G$1, DATE(Initialisatie!$C$5,12,31))) - MONTH(MAX($G$2, DATE(Initialisatie!$C$5,1,1))) + 1)) &lt;= 0, IFERROR(VALUE($G48),0)=0),
        AND(MAX(0, IF(MIN($H$1, DATE(Initialisatie!$C$5,12,31)) &lt; MAX($H$2, DATE(Initialisatie!$C$5,1,1)), 0, MONTH(MIN($H$1, DATE(Initialisatie!$C$5,12,31))) - MONTH(MAX($H$2, DATE(Initialisatie!$C$5,1,1))) + 1)) &lt;= 0, IFERROR(VALUE($H48),0)=0)
    ),
    0,
    SUM(
        IFERROR(VALUE($D48),0) * MAX(0, IF(MIN($D$1, DATE(Initialisatie!$C$5,12,31)) &lt; MAX($D$2, DATE(Initialisatie!$C$5,1,1)), 0, MONTH(MIN($D$1, DATE(Initialisatie!$C$5,12,31))) - MONTH(MAX($D$2, DATE(Initialisatie!$C$5,1,1))) + 1)),
        IFERROR(VALUE($E48),0) * MAX(0, IF(MIN($E$1, DATE(Initialisatie!$C$5,12,31)) &lt; MAX($E$2, DATE(Initialisatie!$C$5,1,1)), 0, MONTH(MIN($E$1, DATE(Initialisatie!$C$5,12,31))) - MONTH(MAX($E$2, DATE(Initialisatie!$C$5,1,1))) + 1)),
        IFERROR(VALUE($F48),0) * MAX(0, IF(MIN($F$1, DATE(Initialisatie!$C$5,12,31)) &lt; MAX($F$2, DATE(Initialisatie!$C$5,1,1)), 0, MONTH(MIN($F$1, DATE(Initialisatie!$C$5,12,31))) - MONTH(MAX($F$2, DATE(Initialisatie!$C$5,1,1))) + 1)),
        IFERROR(VALUE($G48),0) * MAX(0, IF(MIN($G$1, DATE(Initialisatie!$C$5,12,31)) &lt; MAX($G$2, DATE(Initialisatie!$C$5,1,1)), 0, MONTH(MIN($G$1, DATE(Initialisatie!$C$5,12,31))) - MONTH(MAX($G$2, DATE(Initialisatie!$C$5,1,1))) + 1)),
        IFERROR(VALUE($H48),0) * MAX(0, IF(MIN($H$1, DATE(Initialisatie!$C$5,12,31)) &lt; MAX($H$2, DATE(Initialisatie!$C$5,1,1)), 0, MONTH(MIN($H$1, DATE(Initialisatie!$C$5,12,31))) - MONTH(MAX($H$2, DATE(Initialisatie!$C$5,1,1))) + 1))
    ) / 12
)</f>
        <v>2695</v>
      </c>
    </row>
    <row r="49" spans="1:11" x14ac:dyDescent="0.45">
      <c r="A49" s="989"/>
      <c r="B49" s="371">
        <v>3</v>
      </c>
      <c r="C49" s="371" t="s">
        <v>103</v>
      </c>
      <c r="D49" t="s">
        <v>1589</v>
      </c>
      <c r="E49" t="s">
        <v>1588</v>
      </c>
      <c r="F49" t="s">
        <v>1590</v>
      </c>
      <c r="G49" t="s">
        <v>1590</v>
      </c>
      <c r="H49" t="s">
        <v>1623</v>
      </c>
      <c r="J49">
        <f>IF(
    OR(
        AND(MAX(0, MIN($D$1, DATE(Initialisatie!$C$5,12,31)) - MAX($D$2, DATE(Initialisatie!$C$5,1,1)) + 1) &gt; 0,IFERROR(VALUE($D49),0)=0),
        AND(MAX(0, MIN($E$1, DATE(Initialisatie!$C$5,12,31)) - MAX($E$2, DATE(Initialisatie!$C$5,1,1)) + 1) &gt; 0,IFERROR(VALUE($E49),0)=0),
        AND(MAX(0, MIN($F$1, DATE(Initialisatie!$C$5,12,31)) - MAX($F$2, DATE(Initialisatie!$C$5,1,1)) + 1) &gt; 0,IFERROR(VALUE($F49),0)=0),
        AND(MAX(0, MIN($G$1, DATE(Initialisatie!$C$5,12,31)) - MAX($G$2, DATE(Initialisatie!$C$5,1,1)) + 1) &gt; 0,IFERROR(VALUE($G49),0)=0),
        AND(MAX(0, MIN($H$1, DATE(Initialisatie!$C$5,12,31)) - MAX($H$2, DATE(Initialisatie!$C$5,1,1)) + 1) &gt; 0,IFERROR(VALUE($H49),0)=0)
    ),
    0,
    SUM(
        IFERROR(VALUE($D49),0) * MAX(0, MIN($D$1, DATE(Initialisatie!$C$5,12,31)) - MAX($D$2, DATE(Initialisatie!$C$5,1,1)) + 1),
        IFERROR(VALUE($E49),0) * MAX(0, MIN($E$1, DATE(Initialisatie!$C$5,12,31)) - MAX($E$2, DATE(Initialisatie!$C$5,1,1)) + 1),
        IFERROR(VALUE($F49),0) * MAX(0, MIN($F$1, DATE(Initialisatie!$C$5,12,31)) - MAX($F$2, DATE(Initialisatie!$C$5,1,1)) + 1),
        IFERROR(VALUE($G49),0) * MAX(0, MIN($G$1, DATE(Initialisatie!$C$5,12,31)) - MAX($G$2, DATE(Initialisatie!$C$5,1,1)) + 1),
        IFERROR(VALUE($H49),0) * MAX(0, MIN($H$1, DATE(Initialisatie!$C$5,12,31)) - MAX($H$2, DATE(Initialisatie!$C$5,1,1)) + 1)
    ) / (DATE(Initialisatie!$C$5,12,31) - DATE(Initialisatie!$C$5,1,1) + 1)
)</f>
        <v>2770.33698630137</v>
      </c>
      <c r="K49">
        <f>IF(
    OR(
        AND(MAX(0, IF(MIN($D$1, DATE(Initialisatie!$C$5,12,31)) &lt; MAX($D$2, DATE(Initialisatie!$C$5,1,1)), 0, MONTH(MIN($D$1, DATE(Initialisatie!$C$5,12,31))) - MONTH(MAX($D$2, DATE(Initialisatie!$C$5,1,1))) + 1)) &lt;= 0, IFERROR(VALUE($D49),0)=0),
        AND(MAX(0, IF(MIN($E$1, DATE(Initialisatie!$C$5,12,31)) &lt; MAX($E$2, DATE(Initialisatie!$C$5,1,1)), 0, MONTH(MIN($E$1, DATE(Initialisatie!$C$5,12,31))) - MONTH(MAX($E$2, DATE(Initialisatie!$C$5,1,1))) + 1)) &lt;= 0, IFERROR(VALUE($E49),0)=0),
        AND(MAX(0, IF(MIN($F$1, DATE(Initialisatie!$C$5,12,31)) &lt; MAX($F$2, DATE(Initialisatie!$C$5,1,1)), 0, MONTH(MIN($F$1, DATE(Initialisatie!$C$5,12,31))) - MONTH(MAX($F$2, DATE(Initialisatie!$C$5,1,1))) + 1)) &lt;= 0, IFERROR(VALUE($F49),0)=0),
        AND(MAX(0, IF(MIN($G$1, DATE(Initialisatie!$C$5,12,31)) &lt; MAX($G$2, DATE(Initialisatie!$C$5,1,1)), 0, MONTH(MIN($G$1, DATE(Initialisatie!$C$5,12,31))) - MONTH(MAX($G$2, DATE(Initialisatie!$C$5,1,1))) + 1)) &lt;= 0, IFERROR(VALUE($G49),0)=0),
        AND(MAX(0, IF(MIN($H$1, DATE(Initialisatie!$C$5,12,31)) &lt; MAX($H$2, DATE(Initialisatie!$C$5,1,1)), 0, MONTH(MIN($H$1, DATE(Initialisatie!$C$5,12,31))) - MONTH(MAX($H$2, DATE(Initialisatie!$C$5,1,1))) + 1)) &lt;= 0, IFERROR(VALUE($H49),0)=0)
    ),
    0,
    SUM(
        IFERROR(VALUE($D49),0) * MAX(0, IF(MIN($D$1, DATE(Initialisatie!$C$5,12,31)) &lt; MAX($D$2, DATE(Initialisatie!$C$5,1,1)), 0, MONTH(MIN($D$1, DATE(Initialisatie!$C$5,12,31))) - MONTH(MAX($D$2, DATE(Initialisatie!$C$5,1,1))) + 1)),
        IFERROR(VALUE($E49),0) * MAX(0, IF(MIN($E$1, DATE(Initialisatie!$C$5,12,31)) &lt; MAX($E$2, DATE(Initialisatie!$C$5,1,1)), 0, MONTH(MIN($E$1, DATE(Initialisatie!$C$5,12,31))) - MONTH(MAX($E$2, DATE(Initialisatie!$C$5,1,1))) + 1)),
        IFERROR(VALUE($F49),0) * MAX(0, IF(MIN($F$1, DATE(Initialisatie!$C$5,12,31)) &lt; MAX($F$2, DATE(Initialisatie!$C$5,1,1)), 0, MONTH(MIN($F$1, DATE(Initialisatie!$C$5,12,31))) - MONTH(MAX($F$2, DATE(Initialisatie!$C$5,1,1))) + 1)),
        IFERROR(VALUE($G49),0) * MAX(0, IF(MIN($G$1, DATE(Initialisatie!$C$5,12,31)) &lt; MAX($G$2, DATE(Initialisatie!$C$5,1,1)), 0, MONTH(MIN($G$1, DATE(Initialisatie!$C$5,12,31))) - MONTH(MAX($G$2, DATE(Initialisatie!$C$5,1,1))) + 1)),
        IFERROR(VALUE($H49),0) * MAX(0, IF(MIN($H$1, DATE(Initialisatie!$C$5,12,31)) &lt; MAX($H$2, DATE(Initialisatie!$C$5,1,1)), 0, MONTH(MIN($H$1, DATE(Initialisatie!$C$5,12,31))) - MONTH(MAX($H$2, DATE(Initialisatie!$C$5,1,1))) + 1))
    ) / 12
)</f>
        <v>2770</v>
      </c>
    </row>
    <row r="50" spans="1:11" x14ac:dyDescent="0.45">
      <c r="A50" s="989"/>
      <c r="B50" s="371">
        <v>4</v>
      </c>
      <c r="C50" s="371" t="s">
        <v>1286</v>
      </c>
      <c r="D50" t="s">
        <v>1580</v>
      </c>
      <c r="E50" t="s">
        <v>1579</v>
      </c>
      <c r="F50" t="s">
        <v>1581</v>
      </c>
      <c r="G50" t="s">
        <v>1581</v>
      </c>
      <c r="H50" t="s">
        <v>1624</v>
      </c>
      <c r="J50">
        <f>IF(
    OR(
        AND(MAX(0, MIN($D$1, DATE(Initialisatie!$C$5,12,31)) - MAX($D$2, DATE(Initialisatie!$C$5,1,1)) + 1) &gt; 0,IFERROR(VALUE($D50),0)=0),
        AND(MAX(0, MIN($E$1, DATE(Initialisatie!$C$5,12,31)) - MAX($E$2, DATE(Initialisatie!$C$5,1,1)) + 1) &gt; 0,IFERROR(VALUE($E50),0)=0),
        AND(MAX(0, MIN($F$1, DATE(Initialisatie!$C$5,12,31)) - MAX($F$2, DATE(Initialisatie!$C$5,1,1)) + 1) &gt; 0,IFERROR(VALUE($F50),0)=0),
        AND(MAX(0, MIN($G$1, DATE(Initialisatie!$C$5,12,31)) - MAX($G$2, DATE(Initialisatie!$C$5,1,1)) + 1) &gt; 0,IFERROR(VALUE($G50),0)=0),
        AND(MAX(0, MIN($H$1, DATE(Initialisatie!$C$5,12,31)) - MAX($H$2, DATE(Initialisatie!$C$5,1,1)) + 1) &gt; 0,IFERROR(VALUE($H50),0)=0)
    ),
    0,
    SUM(
        IFERROR(VALUE($D50),0) * MAX(0, MIN($D$1, DATE(Initialisatie!$C$5,12,31)) - MAX($D$2, DATE(Initialisatie!$C$5,1,1)) + 1),
        IFERROR(VALUE($E50),0) * MAX(0, MIN($E$1, DATE(Initialisatie!$C$5,12,31)) - MAX($E$2, DATE(Initialisatie!$C$5,1,1)) + 1),
        IFERROR(VALUE($F50),0) * MAX(0, MIN($F$1, DATE(Initialisatie!$C$5,12,31)) - MAX($F$2, DATE(Initialisatie!$C$5,1,1)) + 1),
        IFERROR(VALUE($G50),0) * MAX(0, MIN($G$1, DATE(Initialisatie!$C$5,12,31)) - MAX($G$2, DATE(Initialisatie!$C$5,1,1)) + 1),
        IFERROR(VALUE($H50),0) * MAX(0, MIN($H$1, DATE(Initialisatie!$C$5,12,31)) - MAX($H$2, DATE(Initialisatie!$C$5,1,1)) + 1)
    ) / (DATE(Initialisatie!$C$5,12,31) - DATE(Initialisatie!$C$5,1,1) + 1)
)</f>
        <v>2846.345205479452</v>
      </c>
      <c r="K50">
        <f>IF(
    OR(
        AND(MAX(0, IF(MIN($D$1, DATE(Initialisatie!$C$5,12,31)) &lt; MAX($D$2, DATE(Initialisatie!$C$5,1,1)), 0, MONTH(MIN($D$1, DATE(Initialisatie!$C$5,12,31))) - MONTH(MAX($D$2, DATE(Initialisatie!$C$5,1,1))) + 1)) &lt;= 0, IFERROR(VALUE($D50),0)=0),
        AND(MAX(0, IF(MIN($E$1, DATE(Initialisatie!$C$5,12,31)) &lt; MAX($E$2, DATE(Initialisatie!$C$5,1,1)), 0, MONTH(MIN($E$1, DATE(Initialisatie!$C$5,12,31))) - MONTH(MAX($E$2, DATE(Initialisatie!$C$5,1,1))) + 1)) &lt;= 0, IFERROR(VALUE($E50),0)=0),
        AND(MAX(0, IF(MIN($F$1, DATE(Initialisatie!$C$5,12,31)) &lt; MAX($F$2, DATE(Initialisatie!$C$5,1,1)), 0, MONTH(MIN($F$1, DATE(Initialisatie!$C$5,12,31))) - MONTH(MAX($F$2, DATE(Initialisatie!$C$5,1,1))) + 1)) &lt;= 0, IFERROR(VALUE($F50),0)=0),
        AND(MAX(0, IF(MIN($G$1, DATE(Initialisatie!$C$5,12,31)) &lt; MAX($G$2, DATE(Initialisatie!$C$5,1,1)), 0, MONTH(MIN($G$1, DATE(Initialisatie!$C$5,12,31))) - MONTH(MAX($G$2, DATE(Initialisatie!$C$5,1,1))) + 1)) &lt;= 0, IFERROR(VALUE($G50),0)=0),
        AND(MAX(0, IF(MIN($H$1, DATE(Initialisatie!$C$5,12,31)) &lt; MAX($H$2, DATE(Initialisatie!$C$5,1,1)), 0, MONTH(MIN($H$1, DATE(Initialisatie!$C$5,12,31))) - MONTH(MAX($H$2, DATE(Initialisatie!$C$5,1,1))) + 1)) &lt;= 0, IFERROR(VALUE($H50),0)=0)
    ),
    0,
    SUM(
        IFERROR(VALUE($D50),0) * MAX(0, IF(MIN($D$1, DATE(Initialisatie!$C$5,12,31)) &lt; MAX($D$2, DATE(Initialisatie!$C$5,1,1)), 0, MONTH(MIN($D$1, DATE(Initialisatie!$C$5,12,31))) - MONTH(MAX($D$2, DATE(Initialisatie!$C$5,1,1))) + 1)),
        IFERROR(VALUE($E50),0) * MAX(0, IF(MIN($E$1, DATE(Initialisatie!$C$5,12,31)) &lt; MAX($E$2, DATE(Initialisatie!$C$5,1,1)), 0, MONTH(MIN($E$1, DATE(Initialisatie!$C$5,12,31))) - MONTH(MAX($E$2, DATE(Initialisatie!$C$5,1,1))) + 1)),
        IFERROR(VALUE($F50),0) * MAX(0, IF(MIN($F$1, DATE(Initialisatie!$C$5,12,31)) &lt; MAX($F$2, DATE(Initialisatie!$C$5,1,1)), 0, MONTH(MIN($F$1, DATE(Initialisatie!$C$5,12,31))) - MONTH(MAX($F$2, DATE(Initialisatie!$C$5,1,1))) + 1)),
        IFERROR(VALUE($G50),0) * MAX(0, IF(MIN($G$1, DATE(Initialisatie!$C$5,12,31)) &lt; MAX($G$2, DATE(Initialisatie!$C$5,1,1)), 0, MONTH(MIN($G$1, DATE(Initialisatie!$C$5,12,31))) - MONTH(MAX($G$2, DATE(Initialisatie!$C$5,1,1))) + 1)),
        IFERROR(VALUE($H50),0) * MAX(0, IF(MIN($H$1, DATE(Initialisatie!$C$5,12,31)) &lt; MAX($H$2, DATE(Initialisatie!$C$5,1,1)), 0, MONTH(MIN($H$1, DATE(Initialisatie!$C$5,12,31))) - MONTH(MAX($H$2, DATE(Initialisatie!$C$5,1,1))) + 1))
    ) / 12
)</f>
        <v>2846</v>
      </c>
    </row>
    <row r="51" spans="1:11" x14ac:dyDescent="0.45">
      <c r="A51" s="989"/>
      <c r="B51" s="371">
        <v>5</v>
      </c>
      <c r="C51" s="371" t="s">
        <v>1287</v>
      </c>
      <c r="D51" t="s">
        <v>1583</v>
      </c>
      <c r="E51" t="s">
        <v>1582</v>
      </c>
      <c r="F51" t="s">
        <v>1584</v>
      </c>
      <c r="G51" t="s">
        <v>1584</v>
      </c>
      <c r="H51" t="s">
        <v>1625</v>
      </c>
      <c r="J51">
        <f>IF(
    OR(
        AND(MAX(0, MIN($D$1, DATE(Initialisatie!$C$5,12,31)) - MAX($D$2, DATE(Initialisatie!$C$5,1,1)) + 1) &gt; 0,IFERROR(VALUE($D51),0)=0),
        AND(MAX(0, MIN($E$1, DATE(Initialisatie!$C$5,12,31)) - MAX($E$2, DATE(Initialisatie!$C$5,1,1)) + 1) &gt; 0,IFERROR(VALUE($E51),0)=0),
        AND(MAX(0, MIN($F$1, DATE(Initialisatie!$C$5,12,31)) - MAX($F$2, DATE(Initialisatie!$C$5,1,1)) + 1) &gt; 0,IFERROR(VALUE($F51),0)=0),
        AND(MAX(0, MIN($G$1, DATE(Initialisatie!$C$5,12,31)) - MAX($G$2, DATE(Initialisatie!$C$5,1,1)) + 1) &gt; 0,IFERROR(VALUE($G51),0)=0),
        AND(MAX(0, MIN($H$1, DATE(Initialisatie!$C$5,12,31)) - MAX($H$2, DATE(Initialisatie!$C$5,1,1)) + 1) &gt; 0,IFERROR(VALUE($H51),0)=0)
    ),
    0,
    SUM(
        IFERROR(VALUE($D51),0) * MAX(0, MIN($D$1, DATE(Initialisatie!$C$5,12,31)) - MAX($D$2, DATE(Initialisatie!$C$5,1,1)) + 1),
        IFERROR(VALUE($E51),0) * MAX(0, MIN($E$1, DATE(Initialisatie!$C$5,12,31)) - MAX($E$2, DATE(Initialisatie!$C$5,1,1)) + 1),
        IFERROR(VALUE($F51),0) * MAX(0, MIN($F$1, DATE(Initialisatie!$C$5,12,31)) - MAX($F$2, DATE(Initialisatie!$C$5,1,1)) + 1),
        IFERROR(VALUE($G51),0) * MAX(0, MIN($G$1, DATE(Initialisatie!$C$5,12,31)) - MAX($G$2, DATE(Initialisatie!$C$5,1,1)) + 1),
        IFERROR(VALUE($H51),0) * MAX(0, MIN($H$1, DATE(Initialisatie!$C$5,12,31)) - MAX($H$2, DATE(Initialisatie!$C$5,1,1)) + 1)
    ) / (DATE(Initialisatie!$C$5,12,31) - DATE(Initialisatie!$C$5,1,1) + 1)
)</f>
        <v>2915.3534246575341</v>
      </c>
      <c r="K51">
        <f>IF(
    OR(
        AND(MAX(0, IF(MIN($D$1, DATE(Initialisatie!$C$5,12,31)) &lt; MAX($D$2, DATE(Initialisatie!$C$5,1,1)), 0, MONTH(MIN($D$1, DATE(Initialisatie!$C$5,12,31))) - MONTH(MAX($D$2, DATE(Initialisatie!$C$5,1,1))) + 1)) &lt;= 0, IFERROR(VALUE($D51),0)=0),
        AND(MAX(0, IF(MIN($E$1, DATE(Initialisatie!$C$5,12,31)) &lt; MAX($E$2, DATE(Initialisatie!$C$5,1,1)), 0, MONTH(MIN($E$1, DATE(Initialisatie!$C$5,12,31))) - MONTH(MAX($E$2, DATE(Initialisatie!$C$5,1,1))) + 1)) &lt;= 0, IFERROR(VALUE($E51),0)=0),
        AND(MAX(0, IF(MIN($F$1, DATE(Initialisatie!$C$5,12,31)) &lt; MAX($F$2, DATE(Initialisatie!$C$5,1,1)), 0, MONTH(MIN($F$1, DATE(Initialisatie!$C$5,12,31))) - MONTH(MAX($F$2, DATE(Initialisatie!$C$5,1,1))) + 1)) &lt;= 0, IFERROR(VALUE($F51),0)=0),
        AND(MAX(0, IF(MIN($G$1, DATE(Initialisatie!$C$5,12,31)) &lt; MAX($G$2, DATE(Initialisatie!$C$5,1,1)), 0, MONTH(MIN($G$1, DATE(Initialisatie!$C$5,12,31))) - MONTH(MAX($G$2, DATE(Initialisatie!$C$5,1,1))) + 1)) &lt;= 0, IFERROR(VALUE($G51),0)=0),
        AND(MAX(0, IF(MIN($H$1, DATE(Initialisatie!$C$5,12,31)) &lt; MAX($H$2, DATE(Initialisatie!$C$5,1,1)), 0, MONTH(MIN($H$1, DATE(Initialisatie!$C$5,12,31))) - MONTH(MAX($H$2, DATE(Initialisatie!$C$5,1,1))) + 1)) &lt;= 0, IFERROR(VALUE($H51),0)=0)
    ),
    0,
    SUM(
        IFERROR(VALUE($D51),0) * MAX(0, IF(MIN($D$1, DATE(Initialisatie!$C$5,12,31)) &lt; MAX($D$2, DATE(Initialisatie!$C$5,1,1)), 0, MONTH(MIN($D$1, DATE(Initialisatie!$C$5,12,31))) - MONTH(MAX($D$2, DATE(Initialisatie!$C$5,1,1))) + 1)),
        IFERROR(VALUE($E51),0) * MAX(0, IF(MIN($E$1, DATE(Initialisatie!$C$5,12,31)) &lt; MAX($E$2, DATE(Initialisatie!$C$5,1,1)), 0, MONTH(MIN($E$1, DATE(Initialisatie!$C$5,12,31))) - MONTH(MAX($E$2, DATE(Initialisatie!$C$5,1,1))) + 1)),
        IFERROR(VALUE($F51),0) * MAX(0, IF(MIN($F$1, DATE(Initialisatie!$C$5,12,31)) &lt; MAX($F$2, DATE(Initialisatie!$C$5,1,1)), 0, MONTH(MIN($F$1, DATE(Initialisatie!$C$5,12,31))) - MONTH(MAX($F$2, DATE(Initialisatie!$C$5,1,1))) + 1)),
        IFERROR(VALUE($G51),0) * MAX(0, IF(MIN($G$1, DATE(Initialisatie!$C$5,12,31)) &lt; MAX($G$2, DATE(Initialisatie!$C$5,1,1)), 0, MONTH(MIN($G$1, DATE(Initialisatie!$C$5,12,31))) - MONTH(MAX($G$2, DATE(Initialisatie!$C$5,1,1))) + 1)),
        IFERROR(VALUE($H51),0) * MAX(0, IF(MIN($H$1, DATE(Initialisatie!$C$5,12,31)) &lt; MAX($H$2, DATE(Initialisatie!$C$5,1,1)), 0, MONTH(MIN($H$1, DATE(Initialisatie!$C$5,12,31))) - MONTH(MAX($H$2, DATE(Initialisatie!$C$5,1,1))) + 1))
    ) / 12
)</f>
        <v>2915</v>
      </c>
    </row>
    <row r="52" spans="1:11" x14ac:dyDescent="0.45">
      <c r="A52" s="989"/>
      <c r="B52" s="371">
        <v>6</v>
      </c>
      <c r="C52" s="371" t="s">
        <v>1578</v>
      </c>
      <c r="D52" t="s">
        <v>1576</v>
      </c>
      <c r="E52" t="s">
        <v>1575</v>
      </c>
      <c r="F52" t="s">
        <v>1577</v>
      </c>
      <c r="G52" t="s">
        <v>1577</v>
      </c>
      <c r="H52" t="s">
        <v>1626</v>
      </c>
      <c r="J52">
        <f>IF(
    OR(
        AND(MAX(0, MIN($D$1, DATE(Initialisatie!$C$5,12,31)) - MAX($D$2, DATE(Initialisatie!$C$5,1,1)) + 1) &gt; 0,IFERROR(VALUE($D52),0)=0),
        AND(MAX(0, MIN($E$1, DATE(Initialisatie!$C$5,12,31)) - MAX($E$2, DATE(Initialisatie!$C$5,1,1)) + 1) &gt; 0,IFERROR(VALUE($E52),0)=0),
        AND(MAX(0, MIN($F$1, DATE(Initialisatie!$C$5,12,31)) - MAX($F$2, DATE(Initialisatie!$C$5,1,1)) + 1) &gt; 0,IFERROR(VALUE($F52),0)=0),
        AND(MAX(0, MIN($G$1, DATE(Initialisatie!$C$5,12,31)) - MAX($G$2, DATE(Initialisatie!$C$5,1,1)) + 1) &gt; 0,IFERROR(VALUE($G52),0)=0),
        AND(MAX(0, MIN($H$1, DATE(Initialisatie!$C$5,12,31)) - MAX($H$2, DATE(Initialisatie!$C$5,1,1)) + 1) &gt; 0,IFERROR(VALUE($H52),0)=0)
    ),
    0,
    SUM(
        IFERROR(VALUE($D52),0) * MAX(0, MIN($D$1, DATE(Initialisatie!$C$5,12,31)) - MAX($D$2, DATE(Initialisatie!$C$5,1,1)) + 1),
        IFERROR(VALUE($E52),0) * MAX(0, MIN($E$1, DATE(Initialisatie!$C$5,12,31)) - MAX($E$2, DATE(Initialisatie!$C$5,1,1)) + 1),
        IFERROR(VALUE($F52),0) * MAX(0, MIN($F$1, DATE(Initialisatie!$C$5,12,31)) - MAX($F$2, DATE(Initialisatie!$C$5,1,1)) + 1),
        IFERROR(VALUE($G52),0) * MAX(0, MIN($G$1, DATE(Initialisatie!$C$5,12,31)) - MAX($G$2, DATE(Initialisatie!$C$5,1,1)) + 1),
        IFERROR(VALUE($H52),0) * MAX(0, MIN($H$1, DATE(Initialisatie!$C$5,12,31)) - MAX($H$2, DATE(Initialisatie!$C$5,1,1)) + 1)
    ) / (DATE(Initialisatie!$C$5,12,31) - DATE(Initialisatie!$C$5,1,1) + 1)
)</f>
        <v>2994.8657534246577</v>
      </c>
      <c r="K52">
        <f>IF(
    OR(
        AND(MAX(0, IF(MIN($D$1, DATE(Initialisatie!$C$5,12,31)) &lt; MAX($D$2, DATE(Initialisatie!$C$5,1,1)), 0, MONTH(MIN($D$1, DATE(Initialisatie!$C$5,12,31))) - MONTH(MAX($D$2, DATE(Initialisatie!$C$5,1,1))) + 1)) &lt;= 0, IFERROR(VALUE($D52),0)=0),
        AND(MAX(0, IF(MIN($E$1, DATE(Initialisatie!$C$5,12,31)) &lt; MAX($E$2, DATE(Initialisatie!$C$5,1,1)), 0, MONTH(MIN($E$1, DATE(Initialisatie!$C$5,12,31))) - MONTH(MAX($E$2, DATE(Initialisatie!$C$5,1,1))) + 1)) &lt;= 0, IFERROR(VALUE($E52),0)=0),
        AND(MAX(0, IF(MIN($F$1, DATE(Initialisatie!$C$5,12,31)) &lt; MAX($F$2, DATE(Initialisatie!$C$5,1,1)), 0, MONTH(MIN($F$1, DATE(Initialisatie!$C$5,12,31))) - MONTH(MAX($F$2, DATE(Initialisatie!$C$5,1,1))) + 1)) &lt;= 0, IFERROR(VALUE($F52),0)=0),
        AND(MAX(0, IF(MIN($G$1, DATE(Initialisatie!$C$5,12,31)) &lt; MAX($G$2, DATE(Initialisatie!$C$5,1,1)), 0, MONTH(MIN($G$1, DATE(Initialisatie!$C$5,12,31))) - MONTH(MAX($G$2, DATE(Initialisatie!$C$5,1,1))) + 1)) &lt;= 0, IFERROR(VALUE($G52),0)=0),
        AND(MAX(0, IF(MIN($H$1, DATE(Initialisatie!$C$5,12,31)) &lt; MAX($H$2, DATE(Initialisatie!$C$5,1,1)), 0, MONTH(MIN($H$1, DATE(Initialisatie!$C$5,12,31))) - MONTH(MAX($H$2, DATE(Initialisatie!$C$5,1,1))) + 1)) &lt;= 0, IFERROR(VALUE($H52),0)=0)
    ),
    0,
    SUM(
        IFERROR(VALUE($D52),0) * MAX(0, IF(MIN($D$1, DATE(Initialisatie!$C$5,12,31)) &lt; MAX($D$2, DATE(Initialisatie!$C$5,1,1)), 0, MONTH(MIN($D$1, DATE(Initialisatie!$C$5,12,31))) - MONTH(MAX($D$2, DATE(Initialisatie!$C$5,1,1))) + 1)),
        IFERROR(VALUE($E52),0) * MAX(0, IF(MIN($E$1, DATE(Initialisatie!$C$5,12,31)) &lt; MAX($E$2, DATE(Initialisatie!$C$5,1,1)), 0, MONTH(MIN($E$1, DATE(Initialisatie!$C$5,12,31))) - MONTH(MAX($E$2, DATE(Initialisatie!$C$5,1,1))) + 1)),
        IFERROR(VALUE($F52),0) * MAX(0, IF(MIN($F$1, DATE(Initialisatie!$C$5,12,31)) &lt; MAX($F$2, DATE(Initialisatie!$C$5,1,1)), 0, MONTH(MIN($F$1, DATE(Initialisatie!$C$5,12,31))) - MONTH(MAX($F$2, DATE(Initialisatie!$C$5,1,1))) + 1)),
        IFERROR(VALUE($G52),0) * MAX(0, IF(MIN($G$1, DATE(Initialisatie!$C$5,12,31)) &lt; MAX($G$2, DATE(Initialisatie!$C$5,1,1)), 0, MONTH(MIN($G$1, DATE(Initialisatie!$C$5,12,31))) - MONTH(MAX($G$2, DATE(Initialisatie!$C$5,1,1))) + 1)),
        IFERROR(VALUE($H52),0) * MAX(0, IF(MIN($H$1, DATE(Initialisatie!$C$5,12,31)) &lt; MAX($H$2, DATE(Initialisatie!$C$5,1,1)), 0, MONTH(MIN($H$1, DATE(Initialisatie!$C$5,12,31))) - MONTH(MAX($H$2, DATE(Initialisatie!$C$5,1,1))) + 1))
    ) / 12
)</f>
        <v>2994.5</v>
      </c>
    </row>
    <row r="53" spans="1:11" x14ac:dyDescent="0.45">
      <c r="A53" s="989"/>
      <c r="B53" s="371">
        <v>7</v>
      </c>
      <c r="C53" s="371" t="s">
        <v>1574</v>
      </c>
      <c r="D53" t="s">
        <v>1572</v>
      </c>
      <c r="E53" t="s">
        <v>1571</v>
      </c>
      <c r="F53" t="s">
        <v>1573</v>
      </c>
      <c r="G53" t="s">
        <v>1573</v>
      </c>
      <c r="H53" t="s">
        <v>1627</v>
      </c>
      <c r="J53">
        <f>IF(
    OR(
        AND(MAX(0, MIN($D$1, DATE(Initialisatie!$C$5,12,31)) - MAX($D$2, DATE(Initialisatie!$C$5,1,1)) + 1) &gt; 0,IFERROR(VALUE($D53),0)=0),
        AND(MAX(0, MIN($E$1, DATE(Initialisatie!$C$5,12,31)) - MAX($E$2, DATE(Initialisatie!$C$5,1,1)) + 1) &gt; 0,IFERROR(VALUE($E53),0)=0),
        AND(MAX(0, MIN($F$1, DATE(Initialisatie!$C$5,12,31)) - MAX($F$2, DATE(Initialisatie!$C$5,1,1)) + 1) &gt; 0,IFERROR(VALUE($F53),0)=0),
        AND(MAX(0, MIN($G$1, DATE(Initialisatie!$C$5,12,31)) - MAX($G$2, DATE(Initialisatie!$C$5,1,1)) + 1) &gt; 0,IFERROR(VALUE($G53),0)=0),
        AND(MAX(0, MIN($H$1, DATE(Initialisatie!$C$5,12,31)) - MAX($H$2, DATE(Initialisatie!$C$5,1,1)) + 1) &gt; 0,IFERROR(VALUE($H53),0)=0)
    ),
    0,
    SUM(
        IFERROR(VALUE($D53),0) * MAX(0, MIN($D$1, DATE(Initialisatie!$C$5,12,31)) - MAX($D$2, DATE(Initialisatie!$C$5,1,1)) + 1),
        IFERROR(VALUE($E53),0) * MAX(0, MIN($E$1, DATE(Initialisatie!$C$5,12,31)) - MAX($E$2, DATE(Initialisatie!$C$5,1,1)) + 1),
        IFERROR(VALUE($F53),0) * MAX(0, MIN($F$1, DATE(Initialisatie!$C$5,12,31)) - MAX($F$2, DATE(Initialisatie!$C$5,1,1)) + 1),
        IFERROR(VALUE($G53),0) * MAX(0, MIN($G$1, DATE(Initialisatie!$C$5,12,31)) - MAX($G$2, DATE(Initialisatie!$C$5,1,1)) + 1),
        IFERROR(VALUE($H53),0) * MAX(0, MIN($H$1, DATE(Initialisatie!$C$5,12,31)) - MAX($H$2, DATE(Initialisatie!$C$5,1,1)) + 1)
    ) / (DATE(Initialisatie!$C$5,12,31) - DATE(Initialisatie!$C$5,1,1) + 1)
)</f>
        <v>3058.3698630136987</v>
      </c>
      <c r="K53">
        <f>IF(
    OR(
        AND(MAX(0, IF(MIN($D$1, DATE(Initialisatie!$C$5,12,31)) &lt; MAX($D$2, DATE(Initialisatie!$C$5,1,1)), 0, MONTH(MIN($D$1, DATE(Initialisatie!$C$5,12,31))) - MONTH(MAX($D$2, DATE(Initialisatie!$C$5,1,1))) + 1)) &lt;= 0, IFERROR(VALUE($D53),0)=0),
        AND(MAX(0, IF(MIN($E$1, DATE(Initialisatie!$C$5,12,31)) &lt; MAX($E$2, DATE(Initialisatie!$C$5,1,1)), 0, MONTH(MIN($E$1, DATE(Initialisatie!$C$5,12,31))) - MONTH(MAX($E$2, DATE(Initialisatie!$C$5,1,1))) + 1)) &lt;= 0, IFERROR(VALUE($E53),0)=0),
        AND(MAX(0, IF(MIN($F$1, DATE(Initialisatie!$C$5,12,31)) &lt; MAX($F$2, DATE(Initialisatie!$C$5,1,1)), 0, MONTH(MIN($F$1, DATE(Initialisatie!$C$5,12,31))) - MONTH(MAX($F$2, DATE(Initialisatie!$C$5,1,1))) + 1)) &lt;= 0, IFERROR(VALUE($F53),0)=0),
        AND(MAX(0, IF(MIN($G$1, DATE(Initialisatie!$C$5,12,31)) &lt; MAX($G$2, DATE(Initialisatie!$C$5,1,1)), 0, MONTH(MIN($G$1, DATE(Initialisatie!$C$5,12,31))) - MONTH(MAX($G$2, DATE(Initialisatie!$C$5,1,1))) + 1)) &lt;= 0, IFERROR(VALUE($G53),0)=0),
        AND(MAX(0, IF(MIN($H$1, DATE(Initialisatie!$C$5,12,31)) &lt; MAX($H$2, DATE(Initialisatie!$C$5,1,1)), 0, MONTH(MIN($H$1, DATE(Initialisatie!$C$5,12,31))) - MONTH(MAX($H$2, DATE(Initialisatie!$C$5,1,1))) + 1)) &lt;= 0, IFERROR(VALUE($H53),0)=0)
    ),
    0,
    SUM(
        IFERROR(VALUE($D53),0) * MAX(0, IF(MIN($D$1, DATE(Initialisatie!$C$5,12,31)) &lt; MAX($D$2, DATE(Initialisatie!$C$5,1,1)), 0, MONTH(MIN($D$1, DATE(Initialisatie!$C$5,12,31))) - MONTH(MAX($D$2, DATE(Initialisatie!$C$5,1,1))) + 1)),
        IFERROR(VALUE($E53),0) * MAX(0, IF(MIN($E$1, DATE(Initialisatie!$C$5,12,31)) &lt; MAX($E$2, DATE(Initialisatie!$C$5,1,1)), 0, MONTH(MIN($E$1, DATE(Initialisatie!$C$5,12,31))) - MONTH(MAX($E$2, DATE(Initialisatie!$C$5,1,1))) + 1)),
        IFERROR(VALUE($F53),0) * MAX(0, IF(MIN($F$1, DATE(Initialisatie!$C$5,12,31)) &lt; MAX($F$2, DATE(Initialisatie!$C$5,1,1)), 0, MONTH(MIN($F$1, DATE(Initialisatie!$C$5,12,31))) - MONTH(MAX($F$2, DATE(Initialisatie!$C$5,1,1))) + 1)),
        IFERROR(VALUE($G53),0) * MAX(0, IF(MIN($G$1, DATE(Initialisatie!$C$5,12,31)) &lt; MAX($G$2, DATE(Initialisatie!$C$5,1,1)), 0, MONTH(MIN($G$1, DATE(Initialisatie!$C$5,12,31))) - MONTH(MAX($G$2, DATE(Initialisatie!$C$5,1,1))) + 1)),
        IFERROR(VALUE($H53),0) * MAX(0, IF(MIN($H$1, DATE(Initialisatie!$C$5,12,31)) &lt; MAX($H$2, DATE(Initialisatie!$C$5,1,1)), 0, MONTH(MIN($H$1, DATE(Initialisatie!$C$5,12,31))) - MONTH(MAX($H$2, DATE(Initialisatie!$C$5,1,1))) + 1))
    ) / 12
)</f>
        <v>3058</v>
      </c>
    </row>
    <row r="54" spans="1:11" x14ac:dyDescent="0.45">
      <c r="A54" s="989"/>
      <c r="B54" s="371">
        <v>8</v>
      </c>
      <c r="C54" s="371" t="s">
        <v>1567</v>
      </c>
      <c r="D54" t="s">
        <v>1565</v>
      </c>
      <c r="E54" t="s">
        <v>1564</v>
      </c>
      <c r="F54" t="s">
        <v>1566</v>
      </c>
      <c r="G54" t="s">
        <v>1566</v>
      </c>
      <c r="H54" t="s">
        <v>1628</v>
      </c>
      <c r="J54">
        <f>IF(
    OR(
        AND(MAX(0, MIN($D$1, DATE(Initialisatie!$C$5,12,31)) - MAX($D$2, DATE(Initialisatie!$C$5,1,1)) + 1) &gt; 0,IFERROR(VALUE($D54),0)=0),
        AND(MAX(0, MIN($E$1, DATE(Initialisatie!$C$5,12,31)) - MAX($E$2, DATE(Initialisatie!$C$5,1,1)) + 1) &gt; 0,IFERROR(VALUE($E54),0)=0),
        AND(MAX(0, MIN($F$1, DATE(Initialisatie!$C$5,12,31)) - MAX($F$2, DATE(Initialisatie!$C$5,1,1)) + 1) &gt; 0,IFERROR(VALUE($F54),0)=0),
        AND(MAX(0, MIN($G$1, DATE(Initialisatie!$C$5,12,31)) - MAX($G$2, DATE(Initialisatie!$C$5,1,1)) + 1) &gt; 0,IFERROR(VALUE($G54),0)=0),
        AND(MAX(0, MIN($H$1, DATE(Initialisatie!$C$5,12,31)) - MAX($H$2, DATE(Initialisatie!$C$5,1,1)) + 1) &gt; 0,IFERROR(VALUE($H54),0)=0)
    ),
    0,
    SUM(
        IFERROR(VALUE($D54),0) * MAX(0, MIN($D$1, DATE(Initialisatie!$C$5,12,31)) - MAX($D$2, DATE(Initialisatie!$C$5,1,1)) + 1),
        IFERROR(VALUE($E54),0) * MAX(0, MIN($E$1, DATE(Initialisatie!$C$5,12,31)) - MAX($E$2, DATE(Initialisatie!$C$5,1,1)) + 1),
        IFERROR(VALUE($F54),0) * MAX(0, MIN($F$1, DATE(Initialisatie!$C$5,12,31)) - MAX($F$2, DATE(Initialisatie!$C$5,1,1)) + 1),
        IFERROR(VALUE($G54),0) * MAX(0, MIN($G$1, DATE(Initialisatie!$C$5,12,31)) - MAX($G$2, DATE(Initialisatie!$C$5,1,1)) + 1),
        IFERROR(VALUE($H54),0) * MAX(0, MIN($H$1, DATE(Initialisatie!$C$5,12,31)) - MAX($H$2, DATE(Initialisatie!$C$5,1,1)) + 1)
    ) / (DATE(Initialisatie!$C$5,12,31) - DATE(Initialisatie!$C$5,1,1) + 1)
)</f>
        <v>3134.3780821917808</v>
      </c>
      <c r="K54">
        <f>IF(
    OR(
        AND(MAX(0, IF(MIN($D$1, DATE(Initialisatie!$C$5,12,31)) &lt; MAX($D$2, DATE(Initialisatie!$C$5,1,1)), 0, MONTH(MIN($D$1, DATE(Initialisatie!$C$5,12,31))) - MONTH(MAX($D$2, DATE(Initialisatie!$C$5,1,1))) + 1)) &lt;= 0, IFERROR(VALUE($D54),0)=0),
        AND(MAX(0, IF(MIN($E$1, DATE(Initialisatie!$C$5,12,31)) &lt; MAX($E$2, DATE(Initialisatie!$C$5,1,1)), 0, MONTH(MIN($E$1, DATE(Initialisatie!$C$5,12,31))) - MONTH(MAX($E$2, DATE(Initialisatie!$C$5,1,1))) + 1)) &lt;= 0, IFERROR(VALUE($E54),0)=0),
        AND(MAX(0, IF(MIN($F$1, DATE(Initialisatie!$C$5,12,31)) &lt; MAX($F$2, DATE(Initialisatie!$C$5,1,1)), 0, MONTH(MIN($F$1, DATE(Initialisatie!$C$5,12,31))) - MONTH(MAX($F$2, DATE(Initialisatie!$C$5,1,1))) + 1)) &lt;= 0, IFERROR(VALUE($F54),0)=0),
        AND(MAX(0, IF(MIN($G$1, DATE(Initialisatie!$C$5,12,31)) &lt; MAX($G$2, DATE(Initialisatie!$C$5,1,1)), 0, MONTH(MIN($G$1, DATE(Initialisatie!$C$5,12,31))) - MONTH(MAX($G$2, DATE(Initialisatie!$C$5,1,1))) + 1)) &lt;= 0, IFERROR(VALUE($G54),0)=0),
        AND(MAX(0, IF(MIN($H$1, DATE(Initialisatie!$C$5,12,31)) &lt; MAX($H$2, DATE(Initialisatie!$C$5,1,1)), 0, MONTH(MIN($H$1, DATE(Initialisatie!$C$5,12,31))) - MONTH(MAX($H$2, DATE(Initialisatie!$C$5,1,1))) + 1)) &lt;= 0, IFERROR(VALUE($H54),0)=0)
    ),
    0,
    SUM(
        IFERROR(VALUE($D54),0) * MAX(0, IF(MIN($D$1, DATE(Initialisatie!$C$5,12,31)) &lt; MAX($D$2, DATE(Initialisatie!$C$5,1,1)), 0, MONTH(MIN($D$1, DATE(Initialisatie!$C$5,12,31))) - MONTH(MAX($D$2, DATE(Initialisatie!$C$5,1,1))) + 1)),
        IFERROR(VALUE($E54),0) * MAX(0, IF(MIN($E$1, DATE(Initialisatie!$C$5,12,31)) &lt; MAX($E$2, DATE(Initialisatie!$C$5,1,1)), 0, MONTH(MIN($E$1, DATE(Initialisatie!$C$5,12,31))) - MONTH(MAX($E$2, DATE(Initialisatie!$C$5,1,1))) + 1)),
        IFERROR(VALUE($F54),0) * MAX(0, IF(MIN($F$1, DATE(Initialisatie!$C$5,12,31)) &lt; MAX($F$2, DATE(Initialisatie!$C$5,1,1)), 0, MONTH(MIN($F$1, DATE(Initialisatie!$C$5,12,31))) - MONTH(MAX($F$2, DATE(Initialisatie!$C$5,1,1))) + 1)),
        IFERROR(VALUE($G54),0) * MAX(0, IF(MIN($G$1, DATE(Initialisatie!$C$5,12,31)) &lt; MAX($G$2, DATE(Initialisatie!$C$5,1,1)), 0, MONTH(MIN($G$1, DATE(Initialisatie!$C$5,12,31))) - MONTH(MAX($G$2, DATE(Initialisatie!$C$5,1,1))) + 1)),
        IFERROR(VALUE($H54),0) * MAX(0, IF(MIN($H$1, DATE(Initialisatie!$C$5,12,31)) &lt; MAX($H$2, DATE(Initialisatie!$C$5,1,1)), 0, MONTH(MIN($H$1, DATE(Initialisatie!$C$5,12,31))) - MONTH(MAX($H$2, DATE(Initialisatie!$C$5,1,1))) + 1))
    ) / 12
)</f>
        <v>3134</v>
      </c>
    </row>
    <row r="55" spans="1:11" x14ac:dyDescent="0.45">
      <c r="A55" s="989"/>
      <c r="B55" s="371">
        <v>9</v>
      </c>
      <c r="C55" s="371" t="s">
        <v>1570</v>
      </c>
      <c r="D55" t="s">
        <v>1568</v>
      </c>
      <c r="E55" t="s">
        <v>1566</v>
      </c>
      <c r="F55" t="s">
        <v>1569</v>
      </c>
      <c r="G55" t="s">
        <v>1569</v>
      </c>
      <c r="H55" t="s">
        <v>1629</v>
      </c>
      <c r="J55">
        <f>IF(
    OR(
        AND(MAX(0, MIN($D$1, DATE(Initialisatie!$C$5,12,31)) - MAX($D$2, DATE(Initialisatie!$C$5,1,1)) + 1) &gt; 0,IFERROR(VALUE($D55),0)=0),
        AND(MAX(0, MIN($E$1, DATE(Initialisatie!$C$5,12,31)) - MAX($E$2, DATE(Initialisatie!$C$5,1,1)) + 1) &gt; 0,IFERROR(VALUE($E55),0)=0),
        AND(MAX(0, MIN($F$1, DATE(Initialisatie!$C$5,12,31)) - MAX($F$2, DATE(Initialisatie!$C$5,1,1)) + 1) &gt; 0,IFERROR(VALUE($F55),0)=0),
        AND(MAX(0, MIN($G$1, DATE(Initialisatie!$C$5,12,31)) - MAX($G$2, DATE(Initialisatie!$C$5,1,1)) + 1) &gt; 0,IFERROR(VALUE($G55),0)=0),
        AND(MAX(0, MIN($H$1, DATE(Initialisatie!$C$5,12,31)) - MAX($H$2, DATE(Initialisatie!$C$5,1,1)) + 1) &gt; 0,IFERROR(VALUE($H55),0)=0)
    ),
    0,
    SUM(
        IFERROR(VALUE($D55),0) * MAX(0, MIN($D$1, DATE(Initialisatie!$C$5,12,31)) - MAX($D$2, DATE(Initialisatie!$C$5,1,1)) + 1),
        IFERROR(VALUE($E55),0) * MAX(0, MIN($E$1, DATE(Initialisatie!$C$5,12,31)) - MAX($E$2, DATE(Initialisatie!$C$5,1,1)) + 1),
        IFERROR(VALUE($F55),0) * MAX(0, MIN($F$1, DATE(Initialisatie!$C$5,12,31)) - MAX($F$2, DATE(Initialisatie!$C$5,1,1)) + 1),
        IFERROR(VALUE($G55),0) * MAX(0, MIN($G$1, DATE(Initialisatie!$C$5,12,31)) - MAX($G$2, DATE(Initialisatie!$C$5,1,1)) + 1),
        IFERROR(VALUE($H55),0) * MAX(0, MIN($H$1, DATE(Initialisatie!$C$5,12,31)) - MAX($H$2, DATE(Initialisatie!$C$5,1,1)) + 1)
    ) / (DATE(Initialisatie!$C$5,12,31) - DATE(Initialisatie!$C$5,1,1) + 1)
)</f>
        <v>3204.8904109589039</v>
      </c>
      <c r="K55">
        <f>IF(
    OR(
        AND(MAX(0, IF(MIN($D$1, DATE(Initialisatie!$C$5,12,31)) &lt; MAX($D$2, DATE(Initialisatie!$C$5,1,1)), 0, MONTH(MIN($D$1, DATE(Initialisatie!$C$5,12,31))) - MONTH(MAX($D$2, DATE(Initialisatie!$C$5,1,1))) + 1)) &lt;= 0, IFERROR(VALUE($D55),0)=0),
        AND(MAX(0, IF(MIN($E$1, DATE(Initialisatie!$C$5,12,31)) &lt; MAX($E$2, DATE(Initialisatie!$C$5,1,1)), 0, MONTH(MIN($E$1, DATE(Initialisatie!$C$5,12,31))) - MONTH(MAX($E$2, DATE(Initialisatie!$C$5,1,1))) + 1)) &lt;= 0, IFERROR(VALUE($E55),0)=0),
        AND(MAX(0, IF(MIN($F$1, DATE(Initialisatie!$C$5,12,31)) &lt; MAX($F$2, DATE(Initialisatie!$C$5,1,1)), 0, MONTH(MIN($F$1, DATE(Initialisatie!$C$5,12,31))) - MONTH(MAX($F$2, DATE(Initialisatie!$C$5,1,1))) + 1)) &lt;= 0, IFERROR(VALUE($F55),0)=0),
        AND(MAX(0, IF(MIN($G$1, DATE(Initialisatie!$C$5,12,31)) &lt; MAX($G$2, DATE(Initialisatie!$C$5,1,1)), 0, MONTH(MIN($G$1, DATE(Initialisatie!$C$5,12,31))) - MONTH(MAX($G$2, DATE(Initialisatie!$C$5,1,1))) + 1)) &lt;= 0, IFERROR(VALUE($G55),0)=0),
        AND(MAX(0, IF(MIN($H$1, DATE(Initialisatie!$C$5,12,31)) &lt; MAX($H$2, DATE(Initialisatie!$C$5,1,1)), 0, MONTH(MIN($H$1, DATE(Initialisatie!$C$5,12,31))) - MONTH(MAX($H$2, DATE(Initialisatie!$C$5,1,1))) + 1)) &lt;= 0, IFERROR(VALUE($H55),0)=0)
    ),
    0,
    SUM(
        IFERROR(VALUE($D55),0) * MAX(0, IF(MIN($D$1, DATE(Initialisatie!$C$5,12,31)) &lt; MAX($D$2, DATE(Initialisatie!$C$5,1,1)), 0, MONTH(MIN($D$1, DATE(Initialisatie!$C$5,12,31))) - MONTH(MAX($D$2, DATE(Initialisatie!$C$5,1,1))) + 1)),
        IFERROR(VALUE($E55),0) * MAX(0, IF(MIN($E$1, DATE(Initialisatie!$C$5,12,31)) &lt; MAX($E$2, DATE(Initialisatie!$C$5,1,1)), 0, MONTH(MIN($E$1, DATE(Initialisatie!$C$5,12,31))) - MONTH(MAX($E$2, DATE(Initialisatie!$C$5,1,1))) + 1)),
        IFERROR(VALUE($F55),0) * MAX(0, IF(MIN($F$1, DATE(Initialisatie!$C$5,12,31)) &lt; MAX($F$2, DATE(Initialisatie!$C$5,1,1)), 0, MONTH(MIN($F$1, DATE(Initialisatie!$C$5,12,31))) - MONTH(MAX($F$2, DATE(Initialisatie!$C$5,1,1))) + 1)),
        IFERROR(VALUE($G55),0) * MAX(0, IF(MIN($G$1, DATE(Initialisatie!$C$5,12,31)) &lt; MAX($G$2, DATE(Initialisatie!$C$5,1,1)), 0, MONTH(MIN($G$1, DATE(Initialisatie!$C$5,12,31))) - MONTH(MAX($G$2, DATE(Initialisatie!$C$5,1,1))) + 1)),
        IFERROR(VALUE($H55),0) * MAX(0, IF(MIN($H$1, DATE(Initialisatie!$C$5,12,31)) &lt; MAX($H$2, DATE(Initialisatie!$C$5,1,1)), 0, MONTH(MIN($H$1, DATE(Initialisatie!$C$5,12,31))) - MONTH(MAX($H$2, DATE(Initialisatie!$C$5,1,1))) + 1))
    ) / 12
)</f>
        <v>3204.5</v>
      </c>
    </row>
    <row r="56" spans="1:11" x14ac:dyDescent="0.45">
      <c r="A56" s="989"/>
      <c r="B56" s="371">
        <v>10</v>
      </c>
      <c r="C56" s="371" t="s">
        <v>1563</v>
      </c>
      <c r="D56" t="s">
        <v>1561</v>
      </c>
      <c r="E56" t="s">
        <v>1560</v>
      </c>
      <c r="F56" t="s">
        <v>1562</v>
      </c>
      <c r="G56" t="s">
        <v>1562</v>
      </c>
      <c r="H56" t="s">
        <v>1630</v>
      </c>
      <c r="J56">
        <f>IF(
    OR(
        AND(MAX(0, MIN($D$1, DATE(Initialisatie!$C$5,12,31)) - MAX($D$2, DATE(Initialisatie!$C$5,1,1)) + 1) &gt; 0,IFERROR(VALUE($D56),0)=0),
        AND(MAX(0, MIN($E$1, DATE(Initialisatie!$C$5,12,31)) - MAX($E$2, DATE(Initialisatie!$C$5,1,1)) + 1) &gt; 0,IFERROR(VALUE($E56),0)=0),
        AND(MAX(0, MIN($F$1, DATE(Initialisatie!$C$5,12,31)) - MAX($F$2, DATE(Initialisatie!$C$5,1,1)) + 1) &gt; 0,IFERROR(VALUE($F56),0)=0),
        AND(MAX(0, MIN($G$1, DATE(Initialisatie!$C$5,12,31)) - MAX($G$2, DATE(Initialisatie!$C$5,1,1)) + 1) &gt; 0,IFERROR(VALUE($G56),0)=0),
        AND(MAX(0, MIN($H$1, DATE(Initialisatie!$C$5,12,31)) - MAX($H$2, DATE(Initialisatie!$C$5,1,1)) + 1) &gt; 0,IFERROR(VALUE($H56),0)=0)
    ),
    0,
    SUM(
        IFERROR(VALUE($D56),0) * MAX(0, MIN($D$1, DATE(Initialisatie!$C$5,12,31)) - MAX($D$2, DATE(Initialisatie!$C$5,1,1)) + 1),
        IFERROR(VALUE($E56),0) * MAX(0, MIN($E$1, DATE(Initialisatie!$C$5,12,31)) - MAX($E$2, DATE(Initialisatie!$C$5,1,1)) + 1),
        IFERROR(VALUE($F56),0) * MAX(0, MIN($F$1, DATE(Initialisatie!$C$5,12,31)) - MAX($F$2, DATE(Initialisatie!$C$5,1,1)) + 1),
        IFERROR(VALUE($G56),0) * MAX(0, MIN($G$1, DATE(Initialisatie!$C$5,12,31)) - MAX($G$2, DATE(Initialisatie!$C$5,1,1)) + 1),
        IFERROR(VALUE($H56),0) * MAX(0, MIN($H$1, DATE(Initialisatie!$C$5,12,31)) - MAX($H$2, DATE(Initialisatie!$C$5,1,1)) + 1)
    ) / (DATE(Initialisatie!$C$5,12,31) - DATE(Initialisatie!$C$5,1,1) + 1)
)</f>
        <v>3277.8986301369864</v>
      </c>
      <c r="K56">
        <f>IF(
    OR(
        AND(MAX(0, IF(MIN($D$1, DATE(Initialisatie!$C$5,12,31)) &lt; MAX($D$2, DATE(Initialisatie!$C$5,1,1)), 0, MONTH(MIN($D$1, DATE(Initialisatie!$C$5,12,31))) - MONTH(MAX($D$2, DATE(Initialisatie!$C$5,1,1))) + 1)) &lt;= 0, IFERROR(VALUE($D56),0)=0),
        AND(MAX(0, IF(MIN($E$1, DATE(Initialisatie!$C$5,12,31)) &lt; MAX($E$2, DATE(Initialisatie!$C$5,1,1)), 0, MONTH(MIN($E$1, DATE(Initialisatie!$C$5,12,31))) - MONTH(MAX($E$2, DATE(Initialisatie!$C$5,1,1))) + 1)) &lt;= 0, IFERROR(VALUE($E56),0)=0),
        AND(MAX(0, IF(MIN($F$1, DATE(Initialisatie!$C$5,12,31)) &lt; MAX($F$2, DATE(Initialisatie!$C$5,1,1)), 0, MONTH(MIN($F$1, DATE(Initialisatie!$C$5,12,31))) - MONTH(MAX($F$2, DATE(Initialisatie!$C$5,1,1))) + 1)) &lt;= 0, IFERROR(VALUE($F56),0)=0),
        AND(MAX(0, IF(MIN($G$1, DATE(Initialisatie!$C$5,12,31)) &lt; MAX($G$2, DATE(Initialisatie!$C$5,1,1)), 0, MONTH(MIN($G$1, DATE(Initialisatie!$C$5,12,31))) - MONTH(MAX($G$2, DATE(Initialisatie!$C$5,1,1))) + 1)) &lt;= 0, IFERROR(VALUE($G56),0)=0),
        AND(MAX(0, IF(MIN($H$1, DATE(Initialisatie!$C$5,12,31)) &lt; MAX($H$2, DATE(Initialisatie!$C$5,1,1)), 0, MONTH(MIN($H$1, DATE(Initialisatie!$C$5,12,31))) - MONTH(MAX($H$2, DATE(Initialisatie!$C$5,1,1))) + 1)) &lt;= 0, IFERROR(VALUE($H56),0)=0)
    ),
    0,
    SUM(
        IFERROR(VALUE($D56),0) * MAX(0, IF(MIN($D$1, DATE(Initialisatie!$C$5,12,31)) &lt; MAX($D$2, DATE(Initialisatie!$C$5,1,1)), 0, MONTH(MIN($D$1, DATE(Initialisatie!$C$5,12,31))) - MONTH(MAX($D$2, DATE(Initialisatie!$C$5,1,1))) + 1)),
        IFERROR(VALUE($E56),0) * MAX(0, IF(MIN($E$1, DATE(Initialisatie!$C$5,12,31)) &lt; MAX($E$2, DATE(Initialisatie!$C$5,1,1)), 0, MONTH(MIN($E$1, DATE(Initialisatie!$C$5,12,31))) - MONTH(MAX($E$2, DATE(Initialisatie!$C$5,1,1))) + 1)),
        IFERROR(VALUE($F56),0) * MAX(0, IF(MIN($F$1, DATE(Initialisatie!$C$5,12,31)) &lt; MAX($F$2, DATE(Initialisatie!$C$5,1,1)), 0, MONTH(MIN($F$1, DATE(Initialisatie!$C$5,12,31))) - MONTH(MAX($F$2, DATE(Initialisatie!$C$5,1,1))) + 1)),
        IFERROR(VALUE($G56),0) * MAX(0, IF(MIN($G$1, DATE(Initialisatie!$C$5,12,31)) &lt; MAX($G$2, DATE(Initialisatie!$C$5,1,1)), 0, MONTH(MIN($G$1, DATE(Initialisatie!$C$5,12,31))) - MONTH(MAX($G$2, DATE(Initialisatie!$C$5,1,1))) + 1)),
        IFERROR(VALUE($H56),0) * MAX(0, IF(MIN($H$1, DATE(Initialisatie!$C$5,12,31)) &lt; MAX($H$2, DATE(Initialisatie!$C$5,1,1)), 0, MONTH(MIN($H$1, DATE(Initialisatie!$C$5,12,31))) - MONTH(MAX($H$2, DATE(Initialisatie!$C$5,1,1))) + 1))
    ) / 12
)</f>
        <v>3277.5</v>
      </c>
    </row>
    <row r="57" spans="1:11" x14ac:dyDescent="0.45">
      <c r="A57" s="993">
        <v>35</v>
      </c>
      <c r="B57" s="371">
        <v>1</v>
      </c>
      <c r="C57" s="371" t="s">
        <v>105</v>
      </c>
      <c r="D57" t="s">
        <v>1586</v>
      </c>
      <c r="E57" t="s">
        <v>1585</v>
      </c>
      <c r="F57" t="s">
        <v>1587</v>
      </c>
      <c r="G57" s="288">
        <v>2655</v>
      </c>
      <c r="H57" t="s">
        <v>1622</v>
      </c>
      <c r="J57">
        <f>IF(
    OR(
        AND(MAX(0, MIN($D$1, DATE(Initialisatie!$C$5,12,31)) - MAX($D$2, DATE(Initialisatie!$C$5,1,1)) + 1) &gt; 0,IFERROR(VALUE($D57),0)=0),
        AND(MAX(0, MIN($E$1, DATE(Initialisatie!$C$5,12,31)) - MAX($E$2, DATE(Initialisatie!$C$5,1,1)) + 1) &gt; 0,IFERROR(VALUE($E57),0)=0),
        AND(MAX(0, MIN($F$1, DATE(Initialisatie!$C$5,12,31)) - MAX($F$2, DATE(Initialisatie!$C$5,1,1)) + 1) &gt; 0,IFERROR(VALUE($F57),0)=0),
        AND(MAX(0, MIN($G$1, DATE(Initialisatie!$C$5,12,31)) - MAX($G$2, DATE(Initialisatie!$C$5,1,1)) + 1) &gt; 0,IFERROR(VALUE($G57),0)=0),
        AND(MAX(0, MIN($H$1, DATE(Initialisatie!$C$5,12,31)) - MAX($H$2, DATE(Initialisatie!$C$5,1,1)) + 1) &gt; 0,IFERROR(VALUE($H57),0)=0)
    ),
    0,
    SUM(
        IFERROR(VALUE($D57),0) * MAX(0, MIN($D$1, DATE(Initialisatie!$C$5,12,31)) - MAX($D$2, DATE(Initialisatie!$C$5,1,1)) + 1),
        IFERROR(VALUE($E57),0) * MAX(0, MIN($E$1, DATE(Initialisatie!$C$5,12,31)) - MAX($E$2, DATE(Initialisatie!$C$5,1,1)) + 1),
        IFERROR(VALUE($F57),0) * MAX(0, MIN($F$1, DATE(Initialisatie!$C$5,12,31)) - MAX($F$2, DATE(Initialisatie!$C$5,1,1)) + 1),
        IFERROR(VALUE($G57),0) * MAX(0, MIN($G$1, DATE(Initialisatie!$C$5,12,31)) - MAX($G$2, DATE(Initialisatie!$C$5,1,1)) + 1),
        IFERROR(VALUE($H57),0) * MAX(0, MIN($H$1, DATE(Initialisatie!$C$5,12,31)) - MAX($H$2, DATE(Initialisatie!$C$5,1,1)) + 1)
    ) / (DATE(Initialisatie!$C$5,12,31) - DATE(Initialisatie!$C$5,1,1) + 1)
)</f>
        <v>2695.3287671232879</v>
      </c>
      <c r="K57">
        <f>IF(
    OR(
        AND(MAX(0, IF(MIN($D$1, DATE(Initialisatie!$C$5,12,31)) &lt; MAX($D$2, DATE(Initialisatie!$C$5,1,1)), 0, MONTH(MIN($D$1, DATE(Initialisatie!$C$5,12,31))) - MONTH(MAX($D$2, DATE(Initialisatie!$C$5,1,1))) + 1)) &lt;= 0, IFERROR(VALUE($D57),0)=0),
        AND(MAX(0, IF(MIN($E$1, DATE(Initialisatie!$C$5,12,31)) &lt; MAX($E$2, DATE(Initialisatie!$C$5,1,1)), 0, MONTH(MIN($E$1, DATE(Initialisatie!$C$5,12,31))) - MONTH(MAX($E$2, DATE(Initialisatie!$C$5,1,1))) + 1)) &lt;= 0, IFERROR(VALUE($E57),0)=0),
        AND(MAX(0, IF(MIN($F$1, DATE(Initialisatie!$C$5,12,31)) &lt; MAX($F$2, DATE(Initialisatie!$C$5,1,1)), 0, MONTH(MIN($F$1, DATE(Initialisatie!$C$5,12,31))) - MONTH(MAX($F$2, DATE(Initialisatie!$C$5,1,1))) + 1)) &lt;= 0, IFERROR(VALUE($F57),0)=0),
        AND(MAX(0, IF(MIN($G$1, DATE(Initialisatie!$C$5,12,31)) &lt; MAX($G$2, DATE(Initialisatie!$C$5,1,1)), 0, MONTH(MIN($G$1, DATE(Initialisatie!$C$5,12,31))) - MONTH(MAX($G$2, DATE(Initialisatie!$C$5,1,1))) + 1)) &lt;= 0, IFERROR(VALUE($G57),0)=0),
        AND(MAX(0, IF(MIN($H$1, DATE(Initialisatie!$C$5,12,31)) &lt; MAX($H$2, DATE(Initialisatie!$C$5,1,1)), 0, MONTH(MIN($H$1, DATE(Initialisatie!$C$5,12,31))) - MONTH(MAX($H$2, DATE(Initialisatie!$C$5,1,1))) + 1)) &lt;= 0, IFERROR(VALUE($H57),0)=0)
    ),
    0,
    SUM(
        IFERROR(VALUE($D57),0) * MAX(0, IF(MIN($D$1, DATE(Initialisatie!$C$5,12,31)) &lt; MAX($D$2, DATE(Initialisatie!$C$5,1,1)), 0, MONTH(MIN($D$1, DATE(Initialisatie!$C$5,12,31))) - MONTH(MAX($D$2, DATE(Initialisatie!$C$5,1,1))) + 1)),
        IFERROR(VALUE($E57),0) * MAX(0, IF(MIN($E$1, DATE(Initialisatie!$C$5,12,31)) &lt; MAX($E$2, DATE(Initialisatie!$C$5,1,1)), 0, MONTH(MIN($E$1, DATE(Initialisatie!$C$5,12,31))) - MONTH(MAX($E$2, DATE(Initialisatie!$C$5,1,1))) + 1)),
        IFERROR(VALUE($F57),0) * MAX(0, IF(MIN($F$1, DATE(Initialisatie!$C$5,12,31)) &lt; MAX($F$2, DATE(Initialisatie!$C$5,1,1)), 0, MONTH(MIN($F$1, DATE(Initialisatie!$C$5,12,31))) - MONTH(MAX($F$2, DATE(Initialisatie!$C$5,1,1))) + 1)),
        IFERROR(VALUE($G57),0) * MAX(0, IF(MIN($G$1, DATE(Initialisatie!$C$5,12,31)) &lt; MAX($G$2, DATE(Initialisatie!$C$5,1,1)), 0, MONTH(MIN($G$1, DATE(Initialisatie!$C$5,12,31))) - MONTH(MAX($G$2, DATE(Initialisatie!$C$5,1,1))) + 1)),
        IFERROR(VALUE($H57),0) * MAX(0, IF(MIN($H$1, DATE(Initialisatie!$C$5,12,31)) &lt; MAX($H$2, DATE(Initialisatie!$C$5,1,1)), 0, MONTH(MIN($H$1, DATE(Initialisatie!$C$5,12,31))) - MONTH(MAX($H$2, DATE(Initialisatie!$C$5,1,1))) + 1))
    ) / 12
)</f>
        <v>2695</v>
      </c>
    </row>
    <row r="58" spans="1:11" x14ac:dyDescent="0.45">
      <c r="A58" s="989"/>
      <c r="B58" s="371">
        <v>2</v>
      </c>
      <c r="C58" s="371" t="s">
        <v>1286</v>
      </c>
      <c r="D58" t="s">
        <v>1580</v>
      </c>
      <c r="E58" t="s">
        <v>1579</v>
      </c>
      <c r="F58" t="s">
        <v>1581</v>
      </c>
      <c r="G58" t="s">
        <v>1581</v>
      </c>
      <c r="H58" t="s">
        <v>1624</v>
      </c>
      <c r="J58">
        <f>IF(
    OR(
        AND(MAX(0, MIN($D$1, DATE(Initialisatie!$C$5,12,31)) - MAX($D$2, DATE(Initialisatie!$C$5,1,1)) + 1) &gt; 0,IFERROR(VALUE($D58),0)=0),
        AND(MAX(0, MIN($E$1, DATE(Initialisatie!$C$5,12,31)) - MAX($E$2, DATE(Initialisatie!$C$5,1,1)) + 1) &gt; 0,IFERROR(VALUE($E58),0)=0),
        AND(MAX(0, MIN($F$1, DATE(Initialisatie!$C$5,12,31)) - MAX($F$2, DATE(Initialisatie!$C$5,1,1)) + 1) &gt; 0,IFERROR(VALUE($F58),0)=0),
        AND(MAX(0, MIN($G$1, DATE(Initialisatie!$C$5,12,31)) - MAX($G$2, DATE(Initialisatie!$C$5,1,1)) + 1) &gt; 0,IFERROR(VALUE($G58),0)=0),
        AND(MAX(0, MIN($H$1, DATE(Initialisatie!$C$5,12,31)) - MAX($H$2, DATE(Initialisatie!$C$5,1,1)) + 1) &gt; 0,IFERROR(VALUE($H58),0)=0)
    ),
    0,
    SUM(
        IFERROR(VALUE($D58),0) * MAX(0, MIN($D$1, DATE(Initialisatie!$C$5,12,31)) - MAX($D$2, DATE(Initialisatie!$C$5,1,1)) + 1),
        IFERROR(VALUE($E58),0) * MAX(0, MIN($E$1, DATE(Initialisatie!$C$5,12,31)) - MAX($E$2, DATE(Initialisatie!$C$5,1,1)) + 1),
        IFERROR(VALUE($F58),0) * MAX(0, MIN($F$1, DATE(Initialisatie!$C$5,12,31)) - MAX($F$2, DATE(Initialisatie!$C$5,1,1)) + 1),
        IFERROR(VALUE($G58),0) * MAX(0, MIN($G$1, DATE(Initialisatie!$C$5,12,31)) - MAX($G$2, DATE(Initialisatie!$C$5,1,1)) + 1),
        IFERROR(VALUE($H58),0) * MAX(0, MIN($H$1, DATE(Initialisatie!$C$5,12,31)) - MAX($H$2, DATE(Initialisatie!$C$5,1,1)) + 1)
    ) / (DATE(Initialisatie!$C$5,12,31) - DATE(Initialisatie!$C$5,1,1) + 1)
)</f>
        <v>2846.345205479452</v>
      </c>
      <c r="K58">
        <f>IF(
    OR(
        AND(MAX(0, IF(MIN($D$1, DATE(Initialisatie!$C$5,12,31)) &lt; MAX($D$2, DATE(Initialisatie!$C$5,1,1)), 0, MONTH(MIN($D$1, DATE(Initialisatie!$C$5,12,31))) - MONTH(MAX($D$2, DATE(Initialisatie!$C$5,1,1))) + 1)) &lt;= 0, IFERROR(VALUE($D58),0)=0),
        AND(MAX(0, IF(MIN($E$1, DATE(Initialisatie!$C$5,12,31)) &lt; MAX($E$2, DATE(Initialisatie!$C$5,1,1)), 0, MONTH(MIN($E$1, DATE(Initialisatie!$C$5,12,31))) - MONTH(MAX($E$2, DATE(Initialisatie!$C$5,1,1))) + 1)) &lt;= 0, IFERROR(VALUE($E58),0)=0),
        AND(MAX(0, IF(MIN($F$1, DATE(Initialisatie!$C$5,12,31)) &lt; MAX($F$2, DATE(Initialisatie!$C$5,1,1)), 0, MONTH(MIN($F$1, DATE(Initialisatie!$C$5,12,31))) - MONTH(MAX($F$2, DATE(Initialisatie!$C$5,1,1))) + 1)) &lt;= 0, IFERROR(VALUE($F58),0)=0),
        AND(MAX(0, IF(MIN($G$1, DATE(Initialisatie!$C$5,12,31)) &lt; MAX($G$2, DATE(Initialisatie!$C$5,1,1)), 0, MONTH(MIN($G$1, DATE(Initialisatie!$C$5,12,31))) - MONTH(MAX($G$2, DATE(Initialisatie!$C$5,1,1))) + 1)) &lt;= 0, IFERROR(VALUE($G58),0)=0),
        AND(MAX(0, IF(MIN($H$1, DATE(Initialisatie!$C$5,12,31)) &lt; MAX($H$2, DATE(Initialisatie!$C$5,1,1)), 0, MONTH(MIN($H$1, DATE(Initialisatie!$C$5,12,31))) - MONTH(MAX($H$2, DATE(Initialisatie!$C$5,1,1))) + 1)) &lt;= 0, IFERROR(VALUE($H58),0)=0)
    ),
    0,
    SUM(
        IFERROR(VALUE($D58),0) * MAX(0, IF(MIN($D$1, DATE(Initialisatie!$C$5,12,31)) &lt; MAX($D$2, DATE(Initialisatie!$C$5,1,1)), 0, MONTH(MIN($D$1, DATE(Initialisatie!$C$5,12,31))) - MONTH(MAX($D$2, DATE(Initialisatie!$C$5,1,1))) + 1)),
        IFERROR(VALUE($E58),0) * MAX(0, IF(MIN($E$1, DATE(Initialisatie!$C$5,12,31)) &lt; MAX($E$2, DATE(Initialisatie!$C$5,1,1)), 0, MONTH(MIN($E$1, DATE(Initialisatie!$C$5,12,31))) - MONTH(MAX($E$2, DATE(Initialisatie!$C$5,1,1))) + 1)),
        IFERROR(VALUE($F58),0) * MAX(0, IF(MIN($F$1, DATE(Initialisatie!$C$5,12,31)) &lt; MAX($F$2, DATE(Initialisatie!$C$5,1,1)), 0, MONTH(MIN($F$1, DATE(Initialisatie!$C$5,12,31))) - MONTH(MAX($F$2, DATE(Initialisatie!$C$5,1,1))) + 1)),
        IFERROR(VALUE($G58),0) * MAX(0, IF(MIN($G$1, DATE(Initialisatie!$C$5,12,31)) &lt; MAX($G$2, DATE(Initialisatie!$C$5,1,1)), 0, MONTH(MIN($G$1, DATE(Initialisatie!$C$5,12,31))) - MONTH(MAX($G$2, DATE(Initialisatie!$C$5,1,1))) + 1)),
        IFERROR(VALUE($H58),0) * MAX(0, IF(MIN($H$1, DATE(Initialisatie!$C$5,12,31)) &lt; MAX($H$2, DATE(Initialisatie!$C$5,1,1)), 0, MONTH(MIN($H$1, DATE(Initialisatie!$C$5,12,31))) - MONTH(MAX($H$2, DATE(Initialisatie!$C$5,1,1))) + 1))
    ) / 12
)</f>
        <v>2846</v>
      </c>
    </row>
    <row r="59" spans="1:11" x14ac:dyDescent="0.45">
      <c r="A59" s="989"/>
      <c r="B59" s="371">
        <v>3</v>
      </c>
      <c r="C59" s="371" t="s">
        <v>1287</v>
      </c>
      <c r="D59" t="s">
        <v>1583</v>
      </c>
      <c r="E59" t="s">
        <v>1582</v>
      </c>
      <c r="F59" t="s">
        <v>1584</v>
      </c>
      <c r="G59" t="s">
        <v>1584</v>
      </c>
      <c r="H59" t="s">
        <v>1625</v>
      </c>
      <c r="J59">
        <f>IF(
    OR(
        AND(MAX(0, MIN($D$1, DATE(Initialisatie!$C$5,12,31)) - MAX($D$2, DATE(Initialisatie!$C$5,1,1)) + 1) &gt; 0,IFERROR(VALUE($D59),0)=0),
        AND(MAX(0, MIN($E$1, DATE(Initialisatie!$C$5,12,31)) - MAX($E$2, DATE(Initialisatie!$C$5,1,1)) + 1) &gt; 0,IFERROR(VALUE($E59),0)=0),
        AND(MAX(0, MIN($F$1, DATE(Initialisatie!$C$5,12,31)) - MAX($F$2, DATE(Initialisatie!$C$5,1,1)) + 1) &gt; 0,IFERROR(VALUE($F59),0)=0),
        AND(MAX(0, MIN($G$1, DATE(Initialisatie!$C$5,12,31)) - MAX($G$2, DATE(Initialisatie!$C$5,1,1)) + 1) &gt; 0,IFERROR(VALUE($G59),0)=0),
        AND(MAX(0, MIN($H$1, DATE(Initialisatie!$C$5,12,31)) - MAX($H$2, DATE(Initialisatie!$C$5,1,1)) + 1) &gt; 0,IFERROR(VALUE($H59),0)=0)
    ),
    0,
    SUM(
        IFERROR(VALUE($D59),0) * MAX(0, MIN($D$1, DATE(Initialisatie!$C$5,12,31)) - MAX($D$2, DATE(Initialisatie!$C$5,1,1)) + 1),
        IFERROR(VALUE($E59),0) * MAX(0, MIN($E$1, DATE(Initialisatie!$C$5,12,31)) - MAX($E$2, DATE(Initialisatie!$C$5,1,1)) + 1),
        IFERROR(VALUE($F59),0) * MAX(0, MIN($F$1, DATE(Initialisatie!$C$5,12,31)) - MAX($F$2, DATE(Initialisatie!$C$5,1,1)) + 1),
        IFERROR(VALUE($G59),0) * MAX(0, MIN($G$1, DATE(Initialisatie!$C$5,12,31)) - MAX($G$2, DATE(Initialisatie!$C$5,1,1)) + 1),
        IFERROR(VALUE($H59),0) * MAX(0, MIN($H$1, DATE(Initialisatie!$C$5,12,31)) - MAX($H$2, DATE(Initialisatie!$C$5,1,1)) + 1)
    ) / (DATE(Initialisatie!$C$5,12,31) - DATE(Initialisatie!$C$5,1,1) + 1)
)</f>
        <v>2915.3534246575341</v>
      </c>
      <c r="K59">
        <f>IF(
    OR(
        AND(MAX(0, IF(MIN($D$1, DATE(Initialisatie!$C$5,12,31)) &lt; MAX($D$2, DATE(Initialisatie!$C$5,1,1)), 0, MONTH(MIN($D$1, DATE(Initialisatie!$C$5,12,31))) - MONTH(MAX($D$2, DATE(Initialisatie!$C$5,1,1))) + 1)) &lt;= 0, IFERROR(VALUE($D59),0)=0),
        AND(MAX(0, IF(MIN($E$1, DATE(Initialisatie!$C$5,12,31)) &lt; MAX($E$2, DATE(Initialisatie!$C$5,1,1)), 0, MONTH(MIN($E$1, DATE(Initialisatie!$C$5,12,31))) - MONTH(MAX($E$2, DATE(Initialisatie!$C$5,1,1))) + 1)) &lt;= 0, IFERROR(VALUE($E59),0)=0),
        AND(MAX(0, IF(MIN($F$1, DATE(Initialisatie!$C$5,12,31)) &lt; MAX($F$2, DATE(Initialisatie!$C$5,1,1)), 0, MONTH(MIN($F$1, DATE(Initialisatie!$C$5,12,31))) - MONTH(MAX($F$2, DATE(Initialisatie!$C$5,1,1))) + 1)) &lt;= 0, IFERROR(VALUE($F59),0)=0),
        AND(MAX(0, IF(MIN($G$1, DATE(Initialisatie!$C$5,12,31)) &lt; MAX($G$2, DATE(Initialisatie!$C$5,1,1)), 0, MONTH(MIN($G$1, DATE(Initialisatie!$C$5,12,31))) - MONTH(MAX($G$2, DATE(Initialisatie!$C$5,1,1))) + 1)) &lt;= 0, IFERROR(VALUE($G59),0)=0),
        AND(MAX(0, IF(MIN($H$1, DATE(Initialisatie!$C$5,12,31)) &lt; MAX($H$2, DATE(Initialisatie!$C$5,1,1)), 0, MONTH(MIN($H$1, DATE(Initialisatie!$C$5,12,31))) - MONTH(MAX($H$2, DATE(Initialisatie!$C$5,1,1))) + 1)) &lt;= 0, IFERROR(VALUE($H59),0)=0)
    ),
    0,
    SUM(
        IFERROR(VALUE($D59),0) * MAX(0, IF(MIN($D$1, DATE(Initialisatie!$C$5,12,31)) &lt; MAX($D$2, DATE(Initialisatie!$C$5,1,1)), 0, MONTH(MIN($D$1, DATE(Initialisatie!$C$5,12,31))) - MONTH(MAX($D$2, DATE(Initialisatie!$C$5,1,1))) + 1)),
        IFERROR(VALUE($E59),0) * MAX(0, IF(MIN($E$1, DATE(Initialisatie!$C$5,12,31)) &lt; MAX($E$2, DATE(Initialisatie!$C$5,1,1)), 0, MONTH(MIN($E$1, DATE(Initialisatie!$C$5,12,31))) - MONTH(MAX($E$2, DATE(Initialisatie!$C$5,1,1))) + 1)),
        IFERROR(VALUE($F59),0) * MAX(0, IF(MIN($F$1, DATE(Initialisatie!$C$5,12,31)) &lt; MAX($F$2, DATE(Initialisatie!$C$5,1,1)), 0, MONTH(MIN($F$1, DATE(Initialisatie!$C$5,12,31))) - MONTH(MAX($F$2, DATE(Initialisatie!$C$5,1,1))) + 1)),
        IFERROR(VALUE($G59),0) * MAX(0, IF(MIN($G$1, DATE(Initialisatie!$C$5,12,31)) &lt; MAX($G$2, DATE(Initialisatie!$C$5,1,1)), 0, MONTH(MIN($G$1, DATE(Initialisatie!$C$5,12,31))) - MONTH(MAX($G$2, DATE(Initialisatie!$C$5,1,1))) + 1)),
        IFERROR(VALUE($H59),0) * MAX(0, IF(MIN($H$1, DATE(Initialisatie!$C$5,12,31)) &lt; MAX($H$2, DATE(Initialisatie!$C$5,1,1)), 0, MONTH(MIN($H$1, DATE(Initialisatie!$C$5,12,31))) - MONTH(MAX($H$2, DATE(Initialisatie!$C$5,1,1))) + 1))
    ) / 12
)</f>
        <v>2915</v>
      </c>
    </row>
    <row r="60" spans="1:11" x14ac:dyDescent="0.45">
      <c r="A60" s="989"/>
      <c r="B60" s="371">
        <v>4</v>
      </c>
      <c r="C60" s="371" t="s">
        <v>1578</v>
      </c>
      <c r="D60" t="s">
        <v>1576</v>
      </c>
      <c r="E60" t="s">
        <v>1575</v>
      </c>
      <c r="F60" t="s">
        <v>1577</v>
      </c>
      <c r="G60" t="s">
        <v>1577</v>
      </c>
      <c r="H60" t="s">
        <v>1626</v>
      </c>
      <c r="J60">
        <f>IF(
    OR(
        AND(MAX(0, MIN($D$1, DATE(Initialisatie!$C$5,12,31)) - MAX($D$2, DATE(Initialisatie!$C$5,1,1)) + 1) &gt; 0,IFERROR(VALUE($D60),0)=0),
        AND(MAX(0, MIN($E$1, DATE(Initialisatie!$C$5,12,31)) - MAX($E$2, DATE(Initialisatie!$C$5,1,1)) + 1) &gt; 0,IFERROR(VALUE($E60),0)=0),
        AND(MAX(0, MIN($F$1, DATE(Initialisatie!$C$5,12,31)) - MAX($F$2, DATE(Initialisatie!$C$5,1,1)) + 1) &gt; 0,IFERROR(VALUE($F60),0)=0),
        AND(MAX(0, MIN($G$1, DATE(Initialisatie!$C$5,12,31)) - MAX($G$2, DATE(Initialisatie!$C$5,1,1)) + 1) &gt; 0,IFERROR(VALUE($G60),0)=0),
        AND(MAX(0, MIN($H$1, DATE(Initialisatie!$C$5,12,31)) - MAX($H$2, DATE(Initialisatie!$C$5,1,1)) + 1) &gt; 0,IFERROR(VALUE($H60),0)=0)
    ),
    0,
    SUM(
        IFERROR(VALUE($D60),0) * MAX(0, MIN($D$1, DATE(Initialisatie!$C$5,12,31)) - MAX($D$2, DATE(Initialisatie!$C$5,1,1)) + 1),
        IFERROR(VALUE($E60),0) * MAX(0, MIN($E$1, DATE(Initialisatie!$C$5,12,31)) - MAX($E$2, DATE(Initialisatie!$C$5,1,1)) + 1),
        IFERROR(VALUE($F60),0) * MAX(0, MIN($F$1, DATE(Initialisatie!$C$5,12,31)) - MAX($F$2, DATE(Initialisatie!$C$5,1,1)) + 1),
        IFERROR(VALUE($G60),0) * MAX(0, MIN($G$1, DATE(Initialisatie!$C$5,12,31)) - MAX($G$2, DATE(Initialisatie!$C$5,1,1)) + 1),
        IFERROR(VALUE($H60),0) * MAX(0, MIN($H$1, DATE(Initialisatie!$C$5,12,31)) - MAX($H$2, DATE(Initialisatie!$C$5,1,1)) + 1)
    ) / (DATE(Initialisatie!$C$5,12,31) - DATE(Initialisatie!$C$5,1,1) + 1)
)</f>
        <v>2994.8657534246577</v>
      </c>
      <c r="K60">
        <f>IF(
    OR(
        AND(MAX(0, IF(MIN($D$1, DATE(Initialisatie!$C$5,12,31)) &lt; MAX($D$2, DATE(Initialisatie!$C$5,1,1)), 0, MONTH(MIN($D$1, DATE(Initialisatie!$C$5,12,31))) - MONTH(MAX($D$2, DATE(Initialisatie!$C$5,1,1))) + 1)) &lt;= 0, IFERROR(VALUE($D60),0)=0),
        AND(MAX(0, IF(MIN($E$1, DATE(Initialisatie!$C$5,12,31)) &lt; MAX($E$2, DATE(Initialisatie!$C$5,1,1)), 0, MONTH(MIN($E$1, DATE(Initialisatie!$C$5,12,31))) - MONTH(MAX($E$2, DATE(Initialisatie!$C$5,1,1))) + 1)) &lt;= 0, IFERROR(VALUE($E60),0)=0),
        AND(MAX(0, IF(MIN($F$1, DATE(Initialisatie!$C$5,12,31)) &lt; MAX($F$2, DATE(Initialisatie!$C$5,1,1)), 0, MONTH(MIN($F$1, DATE(Initialisatie!$C$5,12,31))) - MONTH(MAX($F$2, DATE(Initialisatie!$C$5,1,1))) + 1)) &lt;= 0, IFERROR(VALUE($F60),0)=0),
        AND(MAX(0, IF(MIN($G$1, DATE(Initialisatie!$C$5,12,31)) &lt; MAX($G$2, DATE(Initialisatie!$C$5,1,1)), 0, MONTH(MIN($G$1, DATE(Initialisatie!$C$5,12,31))) - MONTH(MAX($G$2, DATE(Initialisatie!$C$5,1,1))) + 1)) &lt;= 0, IFERROR(VALUE($G60),0)=0),
        AND(MAX(0, IF(MIN($H$1, DATE(Initialisatie!$C$5,12,31)) &lt; MAX($H$2, DATE(Initialisatie!$C$5,1,1)), 0, MONTH(MIN($H$1, DATE(Initialisatie!$C$5,12,31))) - MONTH(MAX($H$2, DATE(Initialisatie!$C$5,1,1))) + 1)) &lt;= 0, IFERROR(VALUE($H60),0)=0)
    ),
    0,
    SUM(
        IFERROR(VALUE($D60),0) * MAX(0, IF(MIN($D$1, DATE(Initialisatie!$C$5,12,31)) &lt; MAX($D$2, DATE(Initialisatie!$C$5,1,1)), 0, MONTH(MIN($D$1, DATE(Initialisatie!$C$5,12,31))) - MONTH(MAX($D$2, DATE(Initialisatie!$C$5,1,1))) + 1)),
        IFERROR(VALUE($E60),0) * MAX(0, IF(MIN($E$1, DATE(Initialisatie!$C$5,12,31)) &lt; MAX($E$2, DATE(Initialisatie!$C$5,1,1)), 0, MONTH(MIN($E$1, DATE(Initialisatie!$C$5,12,31))) - MONTH(MAX($E$2, DATE(Initialisatie!$C$5,1,1))) + 1)),
        IFERROR(VALUE($F60),0) * MAX(0, IF(MIN($F$1, DATE(Initialisatie!$C$5,12,31)) &lt; MAX($F$2, DATE(Initialisatie!$C$5,1,1)), 0, MONTH(MIN($F$1, DATE(Initialisatie!$C$5,12,31))) - MONTH(MAX($F$2, DATE(Initialisatie!$C$5,1,1))) + 1)),
        IFERROR(VALUE($G60),0) * MAX(0, IF(MIN($G$1, DATE(Initialisatie!$C$5,12,31)) &lt; MAX($G$2, DATE(Initialisatie!$C$5,1,1)), 0, MONTH(MIN($G$1, DATE(Initialisatie!$C$5,12,31))) - MONTH(MAX($G$2, DATE(Initialisatie!$C$5,1,1))) + 1)),
        IFERROR(VALUE($H60),0) * MAX(0, IF(MIN($H$1, DATE(Initialisatie!$C$5,12,31)) &lt; MAX($H$2, DATE(Initialisatie!$C$5,1,1)), 0, MONTH(MIN($H$1, DATE(Initialisatie!$C$5,12,31))) - MONTH(MAX($H$2, DATE(Initialisatie!$C$5,1,1))) + 1))
    ) / 12
)</f>
        <v>2994.5</v>
      </c>
    </row>
    <row r="61" spans="1:11" x14ac:dyDescent="0.45">
      <c r="A61" s="989"/>
      <c r="B61" s="371">
        <v>5</v>
      </c>
      <c r="C61" s="371" t="s">
        <v>1574</v>
      </c>
      <c r="D61" t="s">
        <v>1572</v>
      </c>
      <c r="E61" t="s">
        <v>1571</v>
      </c>
      <c r="F61" t="s">
        <v>1573</v>
      </c>
      <c r="G61" t="s">
        <v>1573</v>
      </c>
      <c r="H61" t="s">
        <v>1627</v>
      </c>
      <c r="J61">
        <f>IF(
    OR(
        AND(MAX(0, MIN($D$1, DATE(Initialisatie!$C$5,12,31)) - MAX($D$2, DATE(Initialisatie!$C$5,1,1)) + 1) &gt; 0,IFERROR(VALUE($D61),0)=0),
        AND(MAX(0, MIN($E$1, DATE(Initialisatie!$C$5,12,31)) - MAX($E$2, DATE(Initialisatie!$C$5,1,1)) + 1) &gt; 0,IFERROR(VALUE($E61),0)=0),
        AND(MAX(0, MIN($F$1, DATE(Initialisatie!$C$5,12,31)) - MAX($F$2, DATE(Initialisatie!$C$5,1,1)) + 1) &gt; 0,IFERROR(VALUE($F61),0)=0),
        AND(MAX(0, MIN($G$1, DATE(Initialisatie!$C$5,12,31)) - MAX($G$2, DATE(Initialisatie!$C$5,1,1)) + 1) &gt; 0,IFERROR(VALUE($G61),0)=0),
        AND(MAX(0, MIN($H$1, DATE(Initialisatie!$C$5,12,31)) - MAX($H$2, DATE(Initialisatie!$C$5,1,1)) + 1) &gt; 0,IFERROR(VALUE($H61),0)=0)
    ),
    0,
    SUM(
        IFERROR(VALUE($D61),0) * MAX(0, MIN($D$1, DATE(Initialisatie!$C$5,12,31)) - MAX($D$2, DATE(Initialisatie!$C$5,1,1)) + 1),
        IFERROR(VALUE($E61),0) * MAX(0, MIN($E$1, DATE(Initialisatie!$C$5,12,31)) - MAX($E$2, DATE(Initialisatie!$C$5,1,1)) + 1),
        IFERROR(VALUE($F61),0) * MAX(0, MIN($F$1, DATE(Initialisatie!$C$5,12,31)) - MAX($F$2, DATE(Initialisatie!$C$5,1,1)) + 1),
        IFERROR(VALUE($G61),0) * MAX(0, MIN($G$1, DATE(Initialisatie!$C$5,12,31)) - MAX($G$2, DATE(Initialisatie!$C$5,1,1)) + 1),
        IFERROR(VALUE($H61),0) * MAX(0, MIN($H$1, DATE(Initialisatie!$C$5,12,31)) - MAX($H$2, DATE(Initialisatie!$C$5,1,1)) + 1)
    ) / (DATE(Initialisatie!$C$5,12,31) - DATE(Initialisatie!$C$5,1,1) + 1)
)</f>
        <v>3058.3698630136987</v>
      </c>
      <c r="K61">
        <f>IF(
    OR(
        AND(MAX(0, IF(MIN($D$1, DATE(Initialisatie!$C$5,12,31)) &lt; MAX($D$2, DATE(Initialisatie!$C$5,1,1)), 0, MONTH(MIN($D$1, DATE(Initialisatie!$C$5,12,31))) - MONTH(MAX($D$2, DATE(Initialisatie!$C$5,1,1))) + 1)) &lt;= 0, IFERROR(VALUE($D61),0)=0),
        AND(MAX(0, IF(MIN($E$1, DATE(Initialisatie!$C$5,12,31)) &lt; MAX($E$2, DATE(Initialisatie!$C$5,1,1)), 0, MONTH(MIN($E$1, DATE(Initialisatie!$C$5,12,31))) - MONTH(MAX($E$2, DATE(Initialisatie!$C$5,1,1))) + 1)) &lt;= 0, IFERROR(VALUE($E61),0)=0),
        AND(MAX(0, IF(MIN($F$1, DATE(Initialisatie!$C$5,12,31)) &lt; MAX($F$2, DATE(Initialisatie!$C$5,1,1)), 0, MONTH(MIN($F$1, DATE(Initialisatie!$C$5,12,31))) - MONTH(MAX($F$2, DATE(Initialisatie!$C$5,1,1))) + 1)) &lt;= 0, IFERROR(VALUE($F61),0)=0),
        AND(MAX(0, IF(MIN($G$1, DATE(Initialisatie!$C$5,12,31)) &lt; MAX($G$2, DATE(Initialisatie!$C$5,1,1)), 0, MONTH(MIN($G$1, DATE(Initialisatie!$C$5,12,31))) - MONTH(MAX($G$2, DATE(Initialisatie!$C$5,1,1))) + 1)) &lt;= 0, IFERROR(VALUE($G61),0)=0),
        AND(MAX(0, IF(MIN($H$1, DATE(Initialisatie!$C$5,12,31)) &lt; MAX($H$2, DATE(Initialisatie!$C$5,1,1)), 0, MONTH(MIN($H$1, DATE(Initialisatie!$C$5,12,31))) - MONTH(MAX($H$2, DATE(Initialisatie!$C$5,1,1))) + 1)) &lt;= 0, IFERROR(VALUE($H61),0)=0)
    ),
    0,
    SUM(
        IFERROR(VALUE($D61),0) * MAX(0, IF(MIN($D$1, DATE(Initialisatie!$C$5,12,31)) &lt; MAX($D$2, DATE(Initialisatie!$C$5,1,1)), 0, MONTH(MIN($D$1, DATE(Initialisatie!$C$5,12,31))) - MONTH(MAX($D$2, DATE(Initialisatie!$C$5,1,1))) + 1)),
        IFERROR(VALUE($E61),0) * MAX(0, IF(MIN($E$1, DATE(Initialisatie!$C$5,12,31)) &lt; MAX($E$2, DATE(Initialisatie!$C$5,1,1)), 0, MONTH(MIN($E$1, DATE(Initialisatie!$C$5,12,31))) - MONTH(MAX($E$2, DATE(Initialisatie!$C$5,1,1))) + 1)),
        IFERROR(VALUE($F61),0) * MAX(0, IF(MIN($F$1, DATE(Initialisatie!$C$5,12,31)) &lt; MAX($F$2, DATE(Initialisatie!$C$5,1,1)), 0, MONTH(MIN($F$1, DATE(Initialisatie!$C$5,12,31))) - MONTH(MAX($F$2, DATE(Initialisatie!$C$5,1,1))) + 1)),
        IFERROR(VALUE($G61),0) * MAX(0, IF(MIN($G$1, DATE(Initialisatie!$C$5,12,31)) &lt; MAX($G$2, DATE(Initialisatie!$C$5,1,1)), 0, MONTH(MIN($G$1, DATE(Initialisatie!$C$5,12,31))) - MONTH(MAX($G$2, DATE(Initialisatie!$C$5,1,1))) + 1)),
        IFERROR(VALUE($H61),0) * MAX(0, IF(MIN($H$1, DATE(Initialisatie!$C$5,12,31)) &lt; MAX($H$2, DATE(Initialisatie!$C$5,1,1)), 0, MONTH(MIN($H$1, DATE(Initialisatie!$C$5,12,31))) - MONTH(MAX($H$2, DATE(Initialisatie!$C$5,1,1))) + 1))
    ) / 12
)</f>
        <v>3058</v>
      </c>
    </row>
    <row r="62" spans="1:11" x14ac:dyDescent="0.45">
      <c r="A62" s="989"/>
      <c r="B62" s="371">
        <v>6</v>
      </c>
      <c r="C62" s="371" t="s">
        <v>1567</v>
      </c>
      <c r="D62" t="s">
        <v>1565</v>
      </c>
      <c r="E62" t="s">
        <v>1564</v>
      </c>
      <c r="F62" t="s">
        <v>1566</v>
      </c>
      <c r="G62" t="s">
        <v>1566</v>
      </c>
      <c r="H62" t="s">
        <v>1628</v>
      </c>
      <c r="J62">
        <f>IF(
    OR(
        AND(MAX(0, MIN($D$1, DATE(Initialisatie!$C$5,12,31)) - MAX($D$2, DATE(Initialisatie!$C$5,1,1)) + 1) &gt; 0,IFERROR(VALUE($D62),0)=0),
        AND(MAX(0, MIN($E$1, DATE(Initialisatie!$C$5,12,31)) - MAX($E$2, DATE(Initialisatie!$C$5,1,1)) + 1) &gt; 0,IFERROR(VALUE($E62),0)=0),
        AND(MAX(0, MIN($F$1, DATE(Initialisatie!$C$5,12,31)) - MAX($F$2, DATE(Initialisatie!$C$5,1,1)) + 1) &gt; 0,IFERROR(VALUE($F62),0)=0),
        AND(MAX(0, MIN($G$1, DATE(Initialisatie!$C$5,12,31)) - MAX($G$2, DATE(Initialisatie!$C$5,1,1)) + 1) &gt; 0,IFERROR(VALUE($G62),0)=0),
        AND(MAX(0, MIN($H$1, DATE(Initialisatie!$C$5,12,31)) - MAX($H$2, DATE(Initialisatie!$C$5,1,1)) + 1) &gt; 0,IFERROR(VALUE($H62),0)=0)
    ),
    0,
    SUM(
        IFERROR(VALUE($D62),0) * MAX(0, MIN($D$1, DATE(Initialisatie!$C$5,12,31)) - MAX($D$2, DATE(Initialisatie!$C$5,1,1)) + 1),
        IFERROR(VALUE($E62),0) * MAX(0, MIN($E$1, DATE(Initialisatie!$C$5,12,31)) - MAX($E$2, DATE(Initialisatie!$C$5,1,1)) + 1),
        IFERROR(VALUE($F62),0) * MAX(0, MIN($F$1, DATE(Initialisatie!$C$5,12,31)) - MAX($F$2, DATE(Initialisatie!$C$5,1,1)) + 1),
        IFERROR(VALUE($G62),0) * MAX(0, MIN($G$1, DATE(Initialisatie!$C$5,12,31)) - MAX($G$2, DATE(Initialisatie!$C$5,1,1)) + 1),
        IFERROR(VALUE($H62),0) * MAX(0, MIN($H$1, DATE(Initialisatie!$C$5,12,31)) - MAX($H$2, DATE(Initialisatie!$C$5,1,1)) + 1)
    ) / (DATE(Initialisatie!$C$5,12,31) - DATE(Initialisatie!$C$5,1,1) + 1)
)</f>
        <v>3134.3780821917808</v>
      </c>
      <c r="K62">
        <f>IF(
    OR(
        AND(MAX(0, IF(MIN($D$1, DATE(Initialisatie!$C$5,12,31)) &lt; MAX($D$2, DATE(Initialisatie!$C$5,1,1)), 0, MONTH(MIN($D$1, DATE(Initialisatie!$C$5,12,31))) - MONTH(MAX($D$2, DATE(Initialisatie!$C$5,1,1))) + 1)) &lt;= 0, IFERROR(VALUE($D62),0)=0),
        AND(MAX(0, IF(MIN($E$1, DATE(Initialisatie!$C$5,12,31)) &lt; MAX($E$2, DATE(Initialisatie!$C$5,1,1)), 0, MONTH(MIN($E$1, DATE(Initialisatie!$C$5,12,31))) - MONTH(MAX($E$2, DATE(Initialisatie!$C$5,1,1))) + 1)) &lt;= 0, IFERROR(VALUE($E62),0)=0),
        AND(MAX(0, IF(MIN($F$1, DATE(Initialisatie!$C$5,12,31)) &lt; MAX($F$2, DATE(Initialisatie!$C$5,1,1)), 0, MONTH(MIN($F$1, DATE(Initialisatie!$C$5,12,31))) - MONTH(MAX($F$2, DATE(Initialisatie!$C$5,1,1))) + 1)) &lt;= 0, IFERROR(VALUE($F62),0)=0),
        AND(MAX(0, IF(MIN($G$1, DATE(Initialisatie!$C$5,12,31)) &lt; MAX($G$2, DATE(Initialisatie!$C$5,1,1)), 0, MONTH(MIN($G$1, DATE(Initialisatie!$C$5,12,31))) - MONTH(MAX($G$2, DATE(Initialisatie!$C$5,1,1))) + 1)) &lt;= 0, IFERROR(VALUE($G62),0)=0),
        AND(MAX(0, IF(MIN($H$1, DATE(Initialisatie!$C$5,12,31)) &lt; MAX($H$2, DATE(Initialisatie!$C$5,1,1)), 0, MONTH(MIN($H$1, DATE(Initialisatie!$C$5,12,31))) - MONTH(MAX($H$2, DATE(Initialisatie!$C$5,1,1))) + 1)) &lt;= 0, IFERROR(VALUE($H62),0)=0)
    ),
    0,
    SUM(
        IFERROR(VALUE($D62),0) * MAX(0, IF(MIN($D$1, DATE(Initialisatie!$C$5,12,31)) &lt; MAX($D$2, DATE(Initialisatie!$C$5,1,1)), 0, MONTH(MIN($D$1, DATE(Initialisatie!$C$5,12,31))) - MONTH(MAX($D$2, DATE(Initialisatie!$C$5,1,1))) + 1)),
        IFERROR(VALUE($E62),0) * MAX(0, IF(MIN($E$1, DATE(Initialisatie!$C$5,12,31)) &lt; MAX($E$2, DATE(Initialisatie!$C$5,1,1)), 0, MONTH(MIN($E$1, DATE(Initialisatie!$C$5,12,31))) - MONTH(MAX($E$2, DATE(Initialisatie!$C$5,1,1))) + 1)),
        IFERROR(VALUE($F62),0) * MAX(0, IF(MIN($F$1, DATE(Initialisatie!$C$5,12,31)) &lt; MAX($F$2, DATE(Initialisatie!$C$5,1,1)), 0, MONTH(MIN($F$1, DATE(Initialisatie!$C$5,12,31))) - MONTH(MAX($F$2, DATE(Initialisatie!$C$5,1,1))) + 1)),
        IFERROR(VALUE($G62),0) * MAX(0, IF(MIN($G$1, DATE(Initialisatie!$C$5,12,31)) &lt; MAX($G$2, DATE(Initialisatie!$C$5,1,1)), 0, MONTH(MIN($G$1, DATE(Initialisatie!$C$5,12,31))) - MONTH(MAX($G$2, DATE(Initialisatie!$C$5,1,1))) + 1)),
        IFERROR(VALUE($H62),0) * MAX(0, IF(MIN($H$1, DATE(Initialisatie!$C$5,12,31)) &lt; MAX($H$2, DATE(Initialisatie!$C$5,1,1)), 0, MONTH(MIN($H$1, DATE(Initialisatie!$C$5,12,31))) - MONTH(MAX($H$2, DATE(Initialisatie!$C$5,1,1))) + 1))
    ) / 12
)</f>
        <v>3134</v>
      </c>
    </row>
    <row r="63" spans="1:11" x14ac:dyDescent="0.45">
      <c r="A63" s="989"/>
      <c r="B63" s="371">
        <v>7</v>
      </c>
      <c r="C63" s="371" t="s">
        <v>1570</v>
      </c>
      <c r="D63" t="s">
        <v>1568</v>
      </c>
      <c r="E63" t="s">
        <v>1566</v>
      </c>
      <c r="F63" t="s">
        <v>1569</v>
      </c>
      <c r="G63" t="s">
        <v>1569</v>
      </c>
      <c r="H63" t="s">
        <v>1629</v>
      </c>
      <c r="J63">
        <f>IF(
    OR(
        AND(MAX(0, MIN($D$1, DATE(Initialisatie!$C$5,12,31)) - MAX($D$2, DATE(Initialisatie!$C$5,1,1)) + 1) &gt; 0,IFERROR(VALUE($D63),0)=0),
        AND(MAX(0, MIN($E$1, DATE(Initialisatie!$C$5,12,31)) - MAX($E$2, DATE(Initialisatie!$C$5,1,1)) + 1) &gt; 0,IFERROR(VALUE($E63),0)=0),
        AND(MAX(0, MIN($F$1, DATE(Initialisatie!$C$5,12,31)) - MAX($F$2, DATE(Initialisatie!$C$5,1,1)) + 1) &gt; 0,IFERROR(VALUE($F63),0)=0),
        AND(MAX(0, MIN($G$1, DATE(Initialisatie!$C$5,12,31)) - MAX($G$2, DATE(Initialisatie!$C$5,1,1)) + 1) &gt; 0,IFERROR(VALUE($G63),0)=0),
        AND(MAX(0, MIN($H$1, DATE(Initialisatie!$C$5,12,31)) - MAX($H$2, DATE(Initialisatie!$C$5,1,1)) + 1) &gt; 0,IFERROR(VALUE($H63),0)=0)
    ),
    0,
    SUM(
        IFERROR(VALUE($D63),0) * MAX(0, MIN($D$1, DATE(Initialisatie!$C$5,12,31)) - MAX($D$2, DATE(Initialisatie!$C$5,1,1)) + 1),
        IFERROR(VALUE($E63),0) * MAX(0, MIN($E$1, DATE(Initialisatie!$C$5,12,31)) - MAX($E$2, DATE(Initialisatie!$C$5,1,1)) + 1),
        IFERROR(VALUE($F63),0) * MAX(0, MIN($F$1, DATE(Initialisatie!$C$5,12,31)) - MAX($F$2, DATE(Initialisatie!$C$5,1,1)) + 1),
        IFERROR(VALUE($G63),0) * MAX(0, MIN($G$1, DATE(Initialisatie!$C$5,12,31)) - MAX($G$2, DATE(Initialisatie!$C$5,1,1)) + 1),
        IFERROR(VALUE($H63),0) * MAX(0, MIN($H$1, DATE(Initialisatie!$C$5,12,31)) - MAX($H$2, DATE(Initialisatie!$C$5,1,1)) + 1)
    ) / (DATE(Initialisatie!$C$5,12,31) - DATE(Initialisatie!$C$5,1,1) + 1)
)</f>
        <v>3204.8904109589039</v>
      </c>
      <c r="K63">
        <f>IF(
    OR(
        AND(MAX(0, IF(MIN($D$1, DATE(Initialisatie!$C$5,12,31)) &lt; MAX($D$2, DATE(Initialisatie!$C$5,1,1)), 0, MONTH(MIN($D$1, DATE(Initialisatie!$C$5,12,31))) - MONTH(MAX($D$2, DATE(Initialisatie!$C$5,1,1))) + 1)) &lt;= 0, IFERROR(VALUE($D63),0)=0),
        AND(MAX(0, IF(MIN($E$1, DATE(Initialisatie!$C$5,12,31)) &lt; MAX($E$2, DATE(Initialisatie!$C$5,1,1)), 0, MONTH(MIN($E$1, DATE(Initialisatie!$C$5,12,31))) - MONTH(MAX($E$2, DATE(Initialisatie!$C$5,1,1))) + 1)) &lt;= 0, IFERROR(VALUE($E63),0)=0),
        AND(MAX(0, IF(MIN($F$1, DATE(Initialisatie!$C$5,12,31)) &lt; MAX($F$2, DATE(Initialisatie!$C$5,1,1)), 0, MONTH(MIN($F$1, DATE(Initialisatie!$C$5,12,31))) - MONTH(MAX($F$2, DATE(Initialisatie!$C$5,1,1))) + 1)) &lt;= 0, IFERROR(VALUE($F63),0)=0),
        AND(MAX(0, IF(MIN($G$1, DATE(Initialisatie!$C$5,12,31)) &lt; MAX($G$2, DATE(Initialisatie!$C$5,1,1)), 0, MONTH(MIN($G$1, DATE(Initialisatie!$C$5,12,31))) - MONTH(MAX($G$2, DATE(Initialisatie!$C$5,1,1))) + 1)) &lt;= 0, IFERROR(VALUE($G63),0)=0),
        AND(MAX(0, IF(MIN($H$1, DATE(Initialisatie!$C$5,12,31)) &lt; MAX($H$2, DATE(Initialisatie!$C$5,1,1)), 0, MONTH(MIN($H$1, DATE(Initialisatie!$C$5,12,31))) - MONTH(MAX($H$2, DATE(Initialisatie!$C$5,1,1))) + 1)) &lt;= 0, IFERROR(VALUE($H63),0)=0)
    ),
    0,
    SUM(
        IFERROR(VALUE($D63),0) * MAX(0, IF(MIN($D$1, DATE(Initialisatie!$C$5,12,31)) &lt; MAX($D$2, DATE(Initialisatie!$C$5,1,1)), 0, MONTH(MIN($D$1, DATE(Initialisatie!$C$5,12,31))) - MONTH(MAX($D$2, DATE(Initialisatie!$C$5,1,1))) + 1)),
        IFERROR(VALUE($E63),0) * MAX(0, IF(MIN($E$1, DATE(Initialisatie!$C$5,12,31)) &lt; MAX($E$2, DATE(Initialisatie!$C$5,1,1)), 0, MONTH(MIN($E$1, DATE(Initialisatie!$C$5,12,31))) - MONTH(MAX($E$2, DATE(Initialisatie!$C$5,1,1))) + 1)),
        IFERROR(VALUE($F63),0) * MAX(0, IF(MIN($F$1, DATE(Initialisatie!$C$5,12,31)) &lt; MAX($F$2, DATE(Initialisatie!$C$5,1,1)), 0, MONTH(MIN($F$1, DATE(Initialisatie!$C$5,12,31))) - MONTH(MAX($F$2, DATE(Initialisatie!$C$5,1,1))) + 1)),
        IFERROR(VALUE($G63),0) * MAX(0, IF(MIN($G$1, DATE(Initialisatie!$C$5,12,31)) &lt; MAX($G$2, DATE(Initialisatie!$C$5,1,1)), 0, MONTH(MIN($G$1, DATE(Initialisatie!$C$5,12,31))) - MONTH(MAX($G$2, DATE(Initialisatie!$C$5,1,1))) + 1)),
        IFERROR(VALUE($H63),0) * MAX(0, IF(MIN($H$1, DATE(Initialisatie!$C$5,12,31)) &lt; MAX($H$2, DATE(Initialisatie!$C$5,1,1)), 0, MONTH(MIN($H$1, DATE(Initialisatie!$C$5,12,31))) - MONTH(MAX($H$2, DATE(Initialisatie!$C$5,1,1))) + 1))
    ) / 12
)</f>
        <v>3204.5</v>
      </c>
    </row>
    <row r="64" spans="1:11" x14ac:dyDescent="0.45">
      <c r="A64" s="989"/>
      <c r="B64" s="371">
        <v>8</v>
      </c>
      <c r="C64" s="371" t="s">
        <v>1563</v>
      </c>
      <c r="D64" t="s">
        <v>1561</v>
      </c>
      <c r="E64" t="s">
        <v>1560</v>
      </c>
      <c r="F64" t="s">
        <v>1562</v>
      </c>
      <c r="G64" t="s">
        <v>1562</v>
      </c>
      <c r="H64" t="s">
        <v>1630</v>
      </c>
      <c r="J64">
        <f>IF(
    OR(
        AND(MAX(0, MIN($D$1, DATE(Initialisatie!$C$5,12,31)) - MAX($D$2, DATE(Initialisatie!$C$5,1,1)) + 1) &gt; 0,IFERROR(VALUE($D64),0)=0),
        AND(MAX(0, MIN($E$1, DATE(Initialisatie!$C$5,12,31)) - MAX($E$2, DATE(Initialisatie!$C$5,1,1)) + 1) &gt; 0,IFERROR(VALUE($E64),0)=0),
        AND(MAX(0, MIN($F$1, DATE(Initialisatie!$C$5,12,31)) - MAX($F$2, DATE(Initialisatie!$C$5,1,1)) + 1) &gt; 0,IFERROR(VALUE($F64),0)=0),
        AND(MAX(0, MIN($G$1, DATE(Initialisatie!$C$5,12,31)) - MAX($G$2, DATE(Initialisatie!$C$5,1,1)) + 1) &gt; 0,IFERROR(VALUE($G64),0)=0),
        AND(MAX(0, MIN($H$1, DATE(Initialisatie!$C$5,12,31)) - MAX($H$2, DATE(Initialisatie!$C$5,1,1)) + 1) &gt; 0,IFERROR(VALUE($H64),0)=0)
    ),
    0,
    SUM(
        IFERROR(VALUE($D64),0) * MAX(0, MIN($D$1, DATE(Initialisatie!$C$5,12,31)) - MAX($D$2, DATE(Initialisatie!$C$5,1,1)) + 1),
        IFERROR(VALUE($E64),0) * MAX(0, MIN($E$1, DATE(Initialisatie!$C$5,12,31)) - MAX($E$2, DATE(Initialisatie!$C$5,1,1)) + 1),
        IFERROR(VALUE($F64),0) * MAX(0, MIN($F$1, DATE(Initialisatie!$C$5,12,31)) - MAX($F$2, DATE(Initialisatie!$C$5,1,1)) + 1),
        IFERROR(VALUE($G64),0) * MAX(0, MIN($G$1, DATE(Initialisatie!$C$5,12,31)) - MAX($G$2, DATE(Initialisatie!$C$5,1,1)) + 1),
        IFERROR(VALUE($H64),0) * MAX(0, MIN($H$1, DATE(Initialisatie!$C$5,12,31)) - MAX($H$2, DATE(Initialisatie!$C$5,1,1)) + 1)
    ) / (DATE(Initialisatie!$C$5,12,31) - DATE(Initialisatie!$C$5,1,1) + 1)
)</f>
        <v>3277.8986301369864</v>
      </c>
      <c r="K64">
        <f>IF(
    OR(
        AND(MAX(0, IF(MIN($D$1, DATE(Initialisatie!$C$5,12,31)) &lt; MAX($D$2, DATE(Initialisatie!$C$5,1,1)), 0, MONTH(MIN($D$1, DATE(Initialisatie!$C$5,12,31))) - MONTH(MAX($D$2, DATE(Initialisatie!$C$5,1,1))) + 1)) &lt;= 0, IFERROR(VALUE($D64),0)=0),
        AND(MAX(0, IF(MIN($E$1, DATE(Initialisatie!$C$5,12,31)) &lt; MAX($E$2, DATE(Initialisatie!$C$5,1,1)), 0, MONTH(MIN($E$1, DATE(Initialisatie!$C$5,12,31))) - MONTH(MAX($E$2, DATE(Initialisatie!$C$5,1,1))) + 1)) &lt;= 0, IFERROR(VALUE($E64),0)=0),
        AND(MAX(0, IF(MIN($F$1, DATE(Initialisatie!$C$5,12,31)) &lt; MAX($F$2, DATE(Initialisatie!$C$5,1,1)), 0, MONTH(MIN($F$1, DATE(Initialisatie!$C$5,12,31))) - MONTH(MAX($F$2, DATE(Initialisatie!$C$5,1,1))) + 1)) &lt;= 0, IFERROR(VALUE($F64),0)=0),
        AND(MAX(0, IF(MIN($G$1, DATE(Initialisatie!$C$5,12,31)) &lt; MAX($G$2, DATE(Initialisatie!$C$5,1,1)), 0, MONTH(MIN($G$1, DATE(Initialisatie!$C$5,12,31))) - MONTH(MAX($G$2, DATE(Initialisatie!$C$5,1,1))) + 1)) &lt;= 0, IFERROR(VALUE($G64),0)=0),
        AND(MAX(0, IF(MIN($H$1, DATE(Initialisatie!$C$5,12,31)) &lt; MAX($H$2, DATE(Initialisatie!$C$5,1,1)), 0, MONTH(MIN($H$1, DATE(Initialisatie!$C$5,12,31))) - MONTH(MAX($H$2, DATE(Initialisatie!$C$5,1,1))) + 1)) &lt;= 0, IFERROR(VALUE($H64),0)=0)
    ),
    0,
    SUM(
        IFERROR(VALUE($D64),0) * MAX(0, IF(MIN($D$1, DATE(Initialisatie!$C$5,12,31)) &lt; MAX($D$2, DATE(Initialisatie!$C$5,1,1)), 0, MONTH(MIN($D$1, DATE(Initialisatie!$C$5,12,31))) - MONTH(MAX($D$2, DATE(Initialisatie!$C$5,1,1))) + 1)),
        IFERROR(VALUE($E64),0) * MAX(0, IF(MIN($E$1, DATE(Initialisatie!$C$5,12,31)) &lt; MAX($E$2, DATE(Initialisatie!$C$5,1,1)), 0, MONTH(MIN($E$1, DATE(Initialisatie!$C$5,12,31))) - MONTH(MAX($E$2, DATE(Initialisatie!$C$5,1,1))) + 1)),
        IFERROR(VALUE($F64),0) * MAX(0, IF(MIN($F$1, DATE(Initialisatie!$C$5,12,31)) &lt; MAX($F$2, DATE(Initialisatie!$C$5,1,1)), 0, MONTH(MIN($F$1, DATE(Initialisatie!$C$5,12,31))) - MONTH(MAX($F$2, DATE(Initialisatie!$C$5,1,1))) + 1)),
        IFERROR(VALUE($G64),0) * MAX(0, IF(MIN($G$1, DATE(Initialisatie!$C$5,12,31)) &lt; MAX($G$2, DATE(Initialisatie!$C$5,1,1)), 0, MONTH(MIN($G$1, DATE(Initialisatie!$C$5,12,31))) - MONTH(MAX($G$2, DATE(Initialisatie!$C$5,1,1))) + 1)),
        IFERROR(VALUE($H64),0) * MAX(0, IF(MIN($H$1, DATE(Initialisatie!$C$5,12,31)) &lt; MAX($H$2, DATE(Initialisatie!$C$5,1,1)), 0, MONTH(MIN($H$1, DATE(Initialisatie!$C$5,12,31))) - MONTH(MAX($H$2, DATE(Initialisatie!$C$5,1,1))) + 1))
    ) / 12
)</f>
        <v>3277.5</v>
      </c>
    </row>
    <row r="65" spans="1:11" x14ac:dyDescent="0.45">
      <c r="A65" s="989"/>
      <c r="B65" s="371">
        <v>9</v>
      </c>
      <c r="C65" s="371" t="s">
        <v>1559</v>
      </c>
      <c r="D65" t="s">
        <v>1557</v>
      </c>
      <c r="E65" t="s">
        <v>1556</v>
      </c>
      <c r="F65" t="s">
        <v>1558</v>
      </c>
      <c r="G65" t="s">
        <v>1558</v>
      </c>
      <c r="H65" t="s">
        <v>1631</v>
      </c>
      <c r="J65">
        <f>IF(
    OR(
        AND(MAX(0, MIN($D$1, DATE(Initialisatie!$C$5,12,31)) - MAX($D$2, DATE(Initialisatie!$C$5,1,1)) + 1) &gt; 0,IFERROR(VALUE($D65),0)=0),
        AND(MAX(0, MIN($E$1, DATE(Initialisatie!$C$5,12,31)) - MAX($E$2, DATE(Initialisatie!$C$5,1,1)) + 1) &gt; 0,IFERROR(VALUE($E65),0)=0),
        AND(MAX(0, MIN($F$1, DATE(Initialisatie!$C$5,12,31)) - MAX($F$2, DATE(Initialisatie!$C$5,1,1)) + 1) &gt; 0,IFERROR(VALUE($F65),0)=0),
        AND(MAX(0, MIN($G$1, DATE(Initialisatie!$C$5,12,31)) - MAX($G$2, DATE(Initialisatie!$C$5,1,1)) + 1) &gt; 0,IFERROR(VALUE($G65),0)=0),
        AND(MAX(0, MIN($H$1, DATE(Initialisatie!$C$5,12,31)) - MAX($H$2, DATE(Initialisatie!$C$5,1,1)) + 1) &gt; 0,IFERROR(VALUE($H65),0)=0)
    ),
    0,
    SUM(
        IFERROR(VALUE($D65),0) * MAX(0, MIN($D$1, DATE(Initialisatie!$C$5,12,31)) - MAX($D$2, DATE(Initialisatie!$C$5,1,1)) + 1),
        IFERROR(VALUE($E65),0) * MAX(0, MIN($E$1, DATE(Initialisatie!$C$5,12,31)) - MAX($E$2, DATE(Initialisatie!$C$5,1,1)) + 1),
        IFERROR(VALUE($F65),0) * MAX(0, MIN($F$1, DATE(Initialisatie!$C$5,12,31)) - MAX($F$2, DATE(Initialisatie!$C$5,1,1)) + 1),
        IFERROR(VALUE($G65),0) * MAX(0, MIN($G$1, DATE(Initialisatie!$C$5,12,31)) - MAX($G$2, DATE(Initialisatie!$C$5,1,1)) + 1),
        IFERROR(VALUE($H65),0) * MAX(0, MIN($H$1, DATE(Initialisatie!$C$5,12,31)) - MAX($H$2, DATE(Initialisatie!$C$5,1,1)) + 1)
    ) / (DATE(Initialisatie!$C$5,12,31) - DATE(Initialisatie!$C$5,1,1) + 1)
)</f>
        <v>3353.9068493150685</v>
      </c>
      <c r="K65">
        <f>IF(
    OR(
        AND(MAX(0, IF(MIN($D$1, DATE(Initialisatie!$C$5,12,31)) &lt; MAX($D$2, DATE(Initialisatie!$C$5,1,1)), 0, MONTH(MIN($D$1, DATE(Initialisatie!$C$5,12,31))) - MONTH(MAX($D$2, DATE(Initialisatie!$C$5,1,1))) + 1)) &lt;= 0, IFERROR(VALUE($D65),0)=0),
        AND(MAX(0, IF(MIN($E$1, DATE(Initialisatie!$C$5,12,31)) &lt; MAX($E$2, DATE(Initialisatie!$C$5,1,1)), 0, MONTH(MIN($E$1, DATE(Initialisatie!$C$5,12,31))) - MONTH(MAX($E$2, DATE(Initialisatie!$C$5,1,1))) + 1)) &lt;= 0, IFERROR(VALUE($E65),0)=0),
        AND(MAX(0, IF(MIN($F$1, DATE(Initialisatie!$C$5,12,31)) &lt; MAX($F$2, DATE(Initialisatie!$C$5,1,1)), 0, MONTH(MIN($F$1, DATE(Initialisatie!$C$5,12,31))) - MONTH(MAX($F$2, DATE(Initialisatie!$C$5,1,1))) + 1)) &lt;= 0, IFERROR(VALUE($F65),0)=0),
        AND(MAX(0, IF(MIN($G$1, DATE(Initialisatie!$C$5,12,31)) &lt; MAX($G$2, DATE(Initialisatie!$C$5,1,1)), 0, MONTH(MIN($G$1, DATE(Initialisatie!$C$5,12,31))) - MONTH(MAX($G$2, DATE(Initialisatie!$C$5,1,1))) + 1)) &lt;= 0, IFERROR(VALUE($G65),0)=0),
        AND(MAX(0, IF(MIN($H$1, DATE(Initialisatie!$C$5,12,31)) &lt; MAX($H$2, DATE(Initialisatie!$C$5,1,1)), 0, MONTH(MIN($H$1, DATE(Initialisatie!$C$5,12,31))) - MONTH(MAX($H$2, DATE(Initialisatie!$C$5,1,1))) + 1)) &lt;= 0, IFERROR(VALUE($H65),0)=0)
    ),
    0,
    SUM(
        IFERROR(VALUE($D65),0) * MAX(0, IF(MIN($D$1, DATE(Initialisatie!$C$5,12,31)) &lt; MAX($D$2, DATE(Initialisatie!$C$5,1,1)), 0, MONTH(MIN($D$1, DATE(Initialisatie!$C$5,12,31))) - MONTH(MAX($D$2, DATE(Initialisatie!$C$5,1,1))) + 1)),
        IFERROR(VALUE($E65),0) * MAX(0, IF(MIN($E$1, DATE(Initialisatie!$C$5,12,31)) &lt; MAX($E$2, DATE(Initialisatie!$C$5,1,1)), 0, MONTH(MIN($E$1, DATE(Initialisatie!$C$5,12,31))) - MONTH(MAX($E$2, DATE(Initialisatie!$C$5,1,1))) + 1)),
        IFERROR(VALUE($F65),0) * MAX(0, IF(MIN($F$1, DATE(Initialisatie!$C$5,12,31)) &lt; MAX($F$2, DATE(Initialisatie!$C$5,1,1)), 0, MONTH(MIN($F$1, DATE(Initialisatie!$C$5,12,31))) - MONTH(MAX($F$2, DATE(Initialisatie!$C$5,1,1))) + 1)),
        IFERROR(VALUE($G65),0) * MAX(0, IF(MIN($G$1, DATE(Initialisatie!$C$5,12,31)) &lt; MAX($G$2, DATE(Initialisatie!$C$5,1,1)), 0, MONTH(MIN($G$1, DATE(Initialisatie!$C$5,12,31))) - MONTH(MAX($G$2, DATE(Initialisatie!$C$5,1,1))) + 1)),
        IFERROR(VALUE($H65),0) * MAX(0, IF(MIN($H$1, DATE(Initialisatie!$C$5,12,31)) &lt; MAX($H$2, DATE(Initialisatie!$C$5,1,1)), 0, MONTH(MIN($H$1, DATE(Initialisatie!$C$5,12,31))) - MONTH(MAX($H$2, DATE(Initialisatie!$C$5,1,1))) + 1))
    ) / 12
)</f>
        <v>3353.5</v>
      </c>
    </row>
    <row r="66" spans="1:11" x14ac:dyDescent="0.45">
      <c r="A66" s="989"/>
      <c r="B66" s="371">
        <v>10</v>
      </c>
      <c r="C66" s="371" t="s">
        <v>1555</v>
      </c>
      <c r="D66" t="s">
        <v>1553</v>
      </c>
      <c r="E66" t="s">
        <v>1552</v>
      </c>
      <c r="F66" t="s">
        <v>1554</v>
      </c>
      <c r="G66" t="s">
        <v>1554</v>
      </c>
      <c r="H66" t="s">
        <v>1632</v>
      </c>
      <c r="J66">
        <f>IF(
    OR(
        AND(MAX(0, MIN($D$1, DATE(Initialisatie!$C$5,12,31)) - MAX($D$2, DATE(Initialisatie!$C$5,1,1)) + 1) &gt; 0,IFERROR(VALUE($D66),0)=0),
        AND(MAX(0, MIN($E$1, DATE(Initialisatie!$C$5,12,31)) - MAX($E$2, DATE(Initialisatie!$C$5,1,1)) + 1) &gt; 0,IFERROR(VALUE($E66),0)=0),
        AND(MAX(0, MIN($F$1, DATE(Initialisatie!$C$5,12,31)) - MAX($F$2, DATE(Initialisatie!$C$5,1,1)) + 1) &gt; 0,IFERROR(VALUE($F66),0)=0),
        AND(MAX(0, MIN($G$1, DATE(Initialisatie!$C$5,12,31)) - MAX($G$2, DATE(Initialisatie!$C$5,1,1)) + 1) &gt; 0,IFERROR(VALUE($G66),0)=0),
        AND(MAX(0, MIN($H$1, DATE(Initialisatie!$C$5,12,31)) - MAX($H$2, DATE(Initialisatie!$C$5,1,1)) + 1) &gt; 0,IFERROR(VALUE($H66),0)=0)
    ),
    0,
    SUM(
        IFERROR(VALUE($D66),0) * MAX(0, MIN($D$1, DATE(Initialisatie!$C$5,12,31)) - MAX($D$2, DATE(Initialisatie!$C$5,1,1)) + 1),
        IFERROR(VALUE($E66),0) * MAX(0, MIN($E$1, DATE(Initialisatie!$C$5,12,31)) - MAX($E$2, DATE(Initialisatie!$C$5,1,1)) + 1),
        IFERROR(VALUE($F66),0) * MAX(0, MIN($F$1, DATE(Initialisatie!$C$5,12,31)) - MAX($F$2, DATE(Initialisatie!$C$5,1,1)) + 1),
        IFERROR(VALUE($G66),0) * MAX(0, MIN($G$1, DATE(Initialisatie!$C$5,12,31)) - MAX($G$2, DATE(Initialisatie!$C$5,1,1)) + 1),
        IFERROR(VALUE($H66),0) * MAX(0, MIN($H$1, DATE(Initialisatie!$C$5,12,31)) - MAX($H$2, DATE(Initialisatie!$C$5,1,1)) + 1)
    ) / (DATE(Initialisatie!$C$5,12,31) - DATE(Initialisatie!$C$5,1,1) + 1)
)</f>
        <v>3430.4191780821916</v>
      </c>
      <c r="K66">
        <f>IF(
    OR(
        AND(MAX(0, IF(MIN($D$1, DATE(Initialisatie!$C$5,12,31)) &lt; MAX($D$2, DATE(Initialisatie!$C$5,1,1)), 0, MONTH(MIN($D$1, DATE(Initialisatie!$C$5,12,31))) - MONTH(MAX($D$2, DATE(Initialisatie!$C$5,1,1))) + 1)) &lt;= 0, IFERROR(VALUE($D66),0)=0),
        AND(MAX(0, IF(MIN($E$1, DATE(Initialisatie!$C$5,12,31)) &lt; MAX($E$2, DATE(Initialisatie!$C$5,1,1)), 0, MONTH(MIN($E$1, DATE(Initialisatie!$C$5,12,31))) - MONTH(MAX($E$2, DATE(Initialisatie!$C$5,1,1))) + 1)) &lt;= 0, IFERROR(VALUE($E66),0)=0),
        AND(MAX(0, IF(MIN($F$1, DATE(Initialisatie!$C$5,12,31)) &lt; MAX($F$2, DATE(Initialisatie!$C$5,1,1)), 0, MONTH(MIN($F$1, DATE(Initialisatie!$C$5,12,31))) - MONTH(MAX($F$2, DATE(Initialisatie!$C$5,1,1))) + 1)) &lt;= 0, IFERROR(VALUE($F66),0)=0),
        AND(MAX(0, IF(MIN($G$1, DATE(Initialisatie!$C$5,12,31)) &lt; MAX($G$2, DATE(Initialisatie!$C$5,1,1)), 0, MONTH(MIN($G$1, DATE(Initialisatie!$C$5,12,31))) - MONTH(MAX($G$2, DATE(Initialisatie!$C$5,1,1))) + 1)) &lt;= 0, IFERROR(VALUE($G66),0)=0),
        AND(MAX(0, IF(MIN($H$1, DATE(Initialisatie!$C$5,12,31)) &lt; MAX($H$2, DATE(Initialisatie!$C$5,1,1)), 0, MONTH(MIN($H$1, DATE(Initialisatie!$C$5,12,31))) - MONTH(MAX($H$2, DATE(Initialisatie!$C$5,1,1))) + 1)) &lt;= 0, IFERROR(VALUE($H66),0)=0)
    ),
    0,
    SUM(
        IFERROR(VALUE($D66),0) * MAX(0, IF(MIN($D$1, DATE(Initialisatie!$C$5,12,31)) &lt; MAX($D$2, DATE(Initialisatie!$C$5,1,1)), 0, MONTH(MIN($D$1, DATE(Initialisatie!$C$5,12,31))) - MONTH(MAX($D$2, DATE(Initialisatie!$C$5,1,1))) + 1)),
        IFERROR(VALUE($E66),0) * MAX(0, IF(MIN($E$1, DATE(Initialisatie!$C$5,12,31)) &lt; MAX($E$2, DATE(Initialisatie!$C$5,1,1)), 0, MONTH(MIN($E$1, DATE(Initialisatie!$C$5,12,31))) - MONTH(MAX($E$2, DATE(Initialisatie!$C$5,1,1))) + 1)),
        IFERROR(VALUE($F66),0) * MAX(0, IF(MIN($F$1, DATE(Initialisatie!$C$5,12,31)) &lt; MAX($F$2, DATE(Initialisatie!$C$5,1,1)), 0, MONTH(MIN($F$1, DATE(Initialisatie!$C$5,12,31))) - MONTH(MAX($F$2, DATE(Initialisatie!$C$5,1,1))) + 1)),
        IFERROR(VALUE($G66),0) * MAX(0, IF(MIN($G$1, DATE(Initialisatie!$C$5,12,31)) &lt; MAX($G$2, DATE(Initialisatie!$C$5,1,1)), 0, MONTH(MIN($G$1, DATE(Initialisatie!$C$5,12,31))) - MONTH(MAX($G$2, DATE(Initialisatie!$C$5,1,1))) + 1)),
        IFERROR(VALUE($H66),0) * MAX(0, IF(MIN($H$1, DATE(Initialisatie!$C$5,12,31)) &lt; MAX($H$2, DATE(Initialisatie!$C$5,1,1)), 0, MONTH(MIN($H$1, DATE(Initialisatie!$C$5,12,31))) - MONTH(MAX($H$2, DATE(Initialisatie!$C$5,1,1))) + 1))
    ) / 12
)</f>
        <v>3430</v>
      </c>
    </row>
    <row r="67" spans="1:11" x14ac:dyDescent="0.45">
      <c r="A67" s="990"/>
      <c r="B67" s="371">
        <v>11</v>
      </c>
      <c r="C67" s="371" t="s">
        <v>1543</v>
      </c>
      <c r="D67" t="s">
        <v>1541</v>
      </c>
      <c r="E67" t="s">
        <v>1540</v>
      </c>
      <c r="F67" t="s">
        <v>1542</v>
      </c>
      <c r="G67" t="s">
        <v>1542</v>
      </c>
      <c r="H67" t="s">
        <v>1633</v>
      </c>
      <c r="J67">
        <f>IF(
    OR(
        AND(MAX(0, MIN($D$1, DATE(Initialisatie!$C$5,12,31)) - MAX($D$2, DATE(Initialisatie!$C$5,1,1)) + 1) &gt; 0,IFERROR(VALUE($D67),0)=0),
        AND(MAX(0, MIN($E$1, DATE(Initialisatie!$C$5,12,31)) - MAX($E$2, DATE(Initialisatie!$C$5,1,1)) + 1) &gt; 0,IFERROR(VALUE($E67),0)=0),
        AND(MAX(0, MIN($F$1, DATE(Initialisatie!$C$5,12,31)) - MAX($F$2, DATE(Initialisatie!$C$5,1,1)) + 1) &gt; 0,IFERROR(VALUE($F67),0)=0),
        AND(MAX(0, MIN($G$1, DATE(Initialisatie!$C$5,12,31)) - MAX($G$2, DATE(Initialisatie!$C$5,1,1)) + 1) &gt; 0,IFERROR(VALUE($G67),0)=0),
        AND(MAX(0, MIN($H$1, DATE(Initialisatie!$C$5,12,31)) - MAX($H$2, DATE(Initialisatie!$C$5,1,1)) + 1) &gt; 0,IFERROR(VALUE($H67),0)=0)
    ),
    0,
    SUM(
        IFERROR(VALUE($D67),0) * MAX(0, MIN($D$1, DATE(Initialisatie!$C$5,12,31)) - MAX($D$2, DATE(Initialisatie!$C$5,1,1)) + 1),
        IFERROR(VALUE($E67),0) * MAX(0, MIN($E$1, DATE(Initialisatie!$C$5,12,31)) - MAX($E$2, DATE(Initialisatie!$C$5,1,1)) + 1),
        IFERROR(VALUE($F67),0) * MAX(0, MIN($F$1, DATE(Initialisatie!$C$5,12,31)) - MAX($F$2, DATE(Initialisatie!$C$5,1,1)) + 1),
        IFERROR(VALUE($G67),0) * MAX(0, MIN($G$1, DATE(Initialisatie!$C$5,12,31)) - MAX($G$2, DATE(Initialisatie!$C$5,1,1)) + 1),
        IFERROR(VALUE($H67),0) * MAX(0, MIN($H$1, DATE(Initialisatie!$C$5,12,31)) - MAX($H$2, DATE(Initialisatie!$C$5,1,1)) + 1)
    ) / (DATE(Initialisatie!$C$5,12,31) - DATE(Initialisatie!$C$5,1,1) + 1)
)</f>
        <v>3508.4273972602741</v>
      </c>
      <c r="K67">
        <f>IF(
    OR(
        AND(MAX(0, IF(MIN($D$1, DATE(Initialisatie!$C$5,12,31)) &lt; MAX($D$2, DATE(Initialisatie!$C$5,1,1)), 0, MONTH(MIN($D$1, DATE(Initialisatie!$C$5,12,31))) - MONTH(MAX($D$2, DATE(Initialisatie!$C$5,1,1))) + 1)) &lt;= 0, IFERROR(VALUE($D67),0)=0),
        AND(MAX(0, IF(MIN($E$1, DATE(Initialisatie!$C$5,12,31)) &lt; MAX($E$2, DATE(Initialisatie!$C$5,1,1)), 0, MONTH(MIN($E$1, DATE(Initialisatie!$C$5,12,31))) - MONTH(MAX($E$2, DATE(Initialisatie!$C$5,1,1))) + 1)) &lt;= 0, IFERROR(VALUE($E67),0)=0),
        AND(MAX(0, IF(MIN($F$1, DATE(Initialisatie!$C$5,12,31)) &lt; MAX($F$2, DATE(Initialisatie!$C$5,1,1)), 0, MONTH(MIN($F$1, DATE(Initialisatie!$C$5,12,31))) - MONTH(MAX($F$2, DATE(Initialisatie!$C$5,1,1))) + 1)) &lt;= 0, IFERROR(VALUE($F67),0)=0),
        AND(MAX(0, IF(MIN($G$1, DATE(Initialisatie!$C$5,12,31)) &lt; MAX($G$2, DATE(Initialisatie!$C$5,1,1)), 0, MONTH(MIN($G$1, DATE(Initialisatie!$C$5,12,31))) - MONTH(MAX($G$2, DATE(Initialisatie!$C$5,1,1))) + 1)) &lt;= 0, IFERROR(VALUE($G67),0)=0),
        AND(MAX(0, IF(MIN($H$1, DATE(Initialisatie!$C$5,12,31)) &lt; MAX($H$2, DATE(Initialisatie!$C$5,1,1)), 0, MONTH(MIN($H$1, DATE(Initialisatie!$C$5,12,31))) - MONTH(MAX($H$2, DATE(Initialisatie!$C$5,1,1))) + 1)) &lt;= 0, IFERROR(VALUE($H67),0)=0)
    ),
    0,
    SUM(
        IFERROR(VALUE($D67),0) * MAX(0, IF(MIN($D$1, DATE(Initialisatie!$C$5,12,31)) &lt; MAX($D$2, DATE(Initialisatie!$C$5,1,1)), 0, MONTH(MIN($D$1, DATE(Initialisatie!$C$5,12,31))) - MONTH(MAX($D$2, DATE(Initialisatie!$C$5,1,1))) + 1)),
        IFERROR(VALUE($E67),0) * MAX(0, IF(MIN($E$1, DATE(Initialisatie!$C$5,12,31)) &lt; MAX($E$2, DATE(Initialisatie!$C$5,1,1)), 0, MONTH(MIN($E$1, DATE(Initialisatie!$C$5,12,31))) - MONTH(MAX($E$2, DATE(Initialisatie!$C$5,1,1))) + 1)),
        IFERROR(VALUE($F67),0) * MAX(0, IF(MIN($F$1, DATE(Initialisatie!$C$5,12,31)) &lt; MAX($F$2, DATE(Initialisatie!$C$5,1,1)), 0, MONTH(MIN($F$1, DATE(Initialisatie!$C$5,12,31))) - MONTH(MAX($F$2, DATE(Initialisatie!$C$5,1,1))) + 1)),
        IFERROR(VALUE($G67),0) * MAX(0, IF(MIN($G$1, DATE(Initialisatie!$C$5,12,31)) &lt; MAX($G$2, DATE(Initialisatie!$C$5,1,1)), 0, MONTH(MIN($G$1, DATE(Initialisatie!$C$5,12,31))) - MONTH(MAX($G$2, DATE(Initialisatie!$C$5,1,1))) + 1)),
        IFERROR(VALUE($H67),0) * MAX(0, IF(MIN($H$1, DATE(Initialisatie!$C$5,12,31)) &lt; MAX($H$2, DATE(Initialisatie!$C$5,1,1)), 0, MONTH(MIN($H$1, DATE(Initialisatie!$C$5,12,31))) - MONTH(MAX($H$2, DATE(Initialisatie!$C$5,1,1))) + 1))
    ) / 12
)</f>
        <v>3508</v>
      </c>
    </row>
    <row r="68" spans="1:11" x14ac:dyDescent="0.45">
      <c r="A68" s="993">
        <v>40</v>
      </c>
      <c r="B68" s="371">
        <v>1</v>
      </c>
      <c r="C68" s="371" t="s">
        <v>1286</v>
      </c>
      <c r="D68" t="s">
        <v>1580</v>
      </c>
      <c r="E68" t="s">
        <v>1579</v>
      </c>
      <c r="F68" t="s">
        <v>1581</v>
      </c>
      <c r="G68" t="s">
        <v>1581</v>
      </c>
      <c r="H68" t="s">
        <v>1624</v>
      </c>
      <c r="J68">
        <f>IF(
    OR(
        AND(MAX(0, MIN($D$1, DATE(Initialisatie!$C$5,12,31)) - MAX($D$2, DATE(Initialisatie!$C$5,1,1)) + 1) &gt; 0,IFERROR(VALUE($D68),0)=0),
        AND(MAX(0, MIN($E$1, DATE(Initialisatie!$C$5,12,31)) - MAX($E$2, DATE(Initialisatie!$C$5,1,1)) + 1) &gt; 0,IFERROR(VALUE($E68),0)=0),
        AND(MAX(0, MIN($F$1, DATE(Initialisatie!$C$5,12,31)) - MAX($F$2, DATE(Initialisatie!$C$5,1,1)) + 1) &gt; 0,IFERROR(VALUE($F68),0)=0),
        AND(MAX(0, MIN($G$1, DATE(Initialisatie!$C$5,12,31)) - MAX($G$2, DATE(Initialisatie!$C$5,1,1)) + 1) &gt; 0,IFERROR(VALUE($G68),0)=0),
        AND(MAX(0, MIN($H$1, DATE(Initialisatie!$C$5,12,31)) - MAX($H$2, DATE(Initialisatie!$C$5,1,1)) + 1) &gt; 0,IFERROR(VALUE($H68),0)=0)
    ),
    0,
    SUM(
        IFERROR(VALUE($D68),0) * MAX(0, MIN($D$1, DATE(Initialisatie!$C$5,12,31)) - MAX($D$2, DATE(Initialisatie!$C$5,1,1)) + 1),
        IFERROR(VALUE($E68),0) * MAX(0, MIN($E$1, DATE(Initialisatie!$C$5,12,31)) - MAX($E$2, DATE(Initialisatie!$C$5,1,1)) + 1),
        IFERROR(VALUE($F68),0) * MAX(0, MIN($F$1, DATE(Initialisatie!$C$5,12,31)) - MAX($F$2, DATE(Initialisatie!$C$5,1,1)) + 1),
        IFERROR(VALUE($G68),0) * MAX(0, MIN($G$1, DATE(Initialisatie!$C$5,12,31)) - MAX($G$2, DATE(Initialisatie!$C$5,1,1)) + 1),
        IFERROR(VALUE($H68),0) * MAX(0, MIN($H$1, DATE(Initialisatie!$C$5,12,31)) - MAX($H$2, DATE(Initialisatie!$C$5,1,1)) + 1)
    ) / (DATE(Initialisatie!$C$5,12,31) - DATE(Initialisatie!$C$5,1,1) + 1)
)</f>
        <v>2846.345205479452</v>
      </c>
      <c r="K68">
        <f>IF(
    OR(
        AND(MAX(0, IF(MIN($D$1, DATE(Initialisatie!$C$5,12,31)) &lt; MAX($D$2, DATE(Initialisatie!$C$5,1,1)), 0, MONTH(MIN($D$1, DATE(Initialisatie!$C$5,12,31))) - MONTH(MAX($D$2, DATE(Initialisatie!$C$5,1,1))) + 1)) &lt;= 0, IFERROR(VALUE($D68),0)=0),
        AND(MAX(0, IF(MIN($E$1, DATE(Initialisatie!$C$5,12,31)) &lt; MAX($E$2, DATE(Initialisatie!$C$5,1,1)), 0, MONTH(MIN($E$1, DATE(Initialisatie!$C$5,12,31))) - MONTH(MAX($E$2, DATE(Initialisatie!$C$5,1,1))) + 1)) &lt;= 0, IFERROR(VALUE($E68),0)=0),
        AND(MAX(0, IF(MIN($F$1, DATE(Initialisatie!$C$5,12,31)) &lt; MAX($F$2, DATE(Initialisatie!$C$5,1,1)), 0, MONTH(MIN($F$1, DATE(Initialisatie!$C$5,12,31))) - MONTH(MAX($F$2, DATE(Initialisatie!$C$5,1,1))) + 1)) &lt;= 0, IFERROR(VALUE($F68),0)=0),
        AND(MAX(0, IF(MIN($G$1, DATE(Initialisatie!$C$5,12,31)) &lt; MAX($G$2, DATE(Initialisatie!$C$5,1,1)), 0, MONTH(MIN($G$1, DATE(Initialisatie!$C$5,12,31))) - MONTH(MAX($G$2, DATE(Initialisatie!$C$5,1,1))) + 1)) &lt;= 0, IFERROR(VALUE($G68),0)=0),
        AND(MAX(0, IF(MIN($H$1, DATE(Initialisatie!$C$5,12,31)) &lt; MAX($H$2, DATE(Initialisatie!$C$5,1,1)), 0, MONTH(MIN($H$1, DATE(Initialisatie!$C$5,12,31))) - MONTH(MAX($H$2, DATE(Initialisatie!$C$5,1,1))) + 1)) &lt;= 0, IFERROR(VALUE($H68),0)=0)
    ),
    0,
    SUM(
        IFERROR(VALUE($D68),0) * MAX(0, IF(MIN($D$1, DATE(Initialisatie!$C$5,12,31)) &lt; MAX($D$2, DATE(Initialisatie!$C$5,1,1)), 0, MONTH(MIN($D$1, DATE(Initialisatie!$C$5,12,31))) - MONTH(MAX($D$2, DATE(Initialisatie!$C$5,1,1))) + 1)),
        IFERROR(VALUE($E68),0) * MAX(0, IF(MIN($E$1, DATE(Initialisatie!$C$5,12,31)) &lt; MAX($E$2, DATE(Initialisatie!$C$5,1,1)), 0, MONTH(MIN($E$1, DATE(Initialisatie!$C$5,12,31))) - MONTH(MAX($E$2, DATE(Initialisatie!$C$5,1,1))) + 1)),
        IFERROR(VALUE($F68),0) * MAX(0, IF(MIN($F$1, DATE(Initialisatie!$C$5,12,31)) &lt; MAX($F$2, DATE(Initialisatie!$C$5,1,1)), 0, MONTH(MIN($F$1, DATE(Initialisatie!$C$5,12,31))) - MONTH(MAX($F$2, DATE(Initialisatie!$C$5,1,1))) + 1)),
        IFERROR(VALUE($G68),0) * MAX(0, IF(MIN($G$1, DATE(Initialisatie!$C$5,12,31)) &lt; MAX($G$2, DATE(Initialisatie!$C$5,1,1)), 0, MONTH(MIN($G$1, DATE(Initialisatie!$C$5,12,31))) - MONTH(MAX($G$2, DATE(Initialisatie!$C$5,1,1))) + 1)),
        IFERROR(VALUE($H68),0) * MAX(0, IF(MIN($H$1, DATE(Initialisatie!$C$5,12,31)) &lt; MAX($H$2, DATE(Initialisatie!$C$5,1,1)), 0, MONTH(MIN($H$1, DATE(Initialisatie!$C$5,12,31))) - MONTH(MAX($H$2, DATE(Initialisatie!$C$5,1,1))) + 1))
    ) / 12
)</f>
        <v>2846</v>
      </c>
    </row>
    <row r="69" spans="1:11" x14ac:dyDescent="0.45">
      <c r="A69" s="989"/>
      <c r="B69" s="371">
        <v>2</v>
      </c>
      <c r="C69" s="371" t="s">
        <v>1578</v>
      </c>
      <c r="D69" t="s">
        <v>1576</v>
      </c>
      <c r="E69" t="s">
        <v>1575</v>
      </c>
      <c r="F69" t="s">
        <v>1577</v>
      </c>
      <c r="G69" t="s">
        <v>1577</v>
      </c>
      <c r="H69" t="s">
        <v>1626</v>
      </c>
      <c r="J69">
        <f>IF(
    OR(
        AND(MAX(0, MIN($D$1, DATE(Initialisatie!$C$5,12,31)) - MAX($D$2, DATE(Initialisatie!$C$5,1,1)) + 1) &gt; 0,IFERROR(VALUE($D69),0)=0),
        AND(MAX(0, MIN($E$1, DATE(Initialisatie!$C$5,12,31)) - MAX($E$2, DATE(Initialisatie!$C$5,1,1)) + 1) &gt; 0,IFERROR(VALUE($E69),0)=0),
        AND(MAX(0, MIN($F$1, DATE(Initialisatie!$C$5,12,31)) - MAX($F$2, DATE(Initialisatie!$C$5,1,1)) + 1) &gt; 0,IFERROR(VALUE($F69),0)=0),
        AND(MAX(0, MIN($G$1, DATE(Initialisatie!$C$5,12,31)) - MAX($G$2, DATE(Initialisatie!$C$5,1,1)) + 1) &gt; 0,IFERROR(VALUE($G69),0)=0),
        AND(MAX(0, MIN($H$1, DATE(Initialisatie!$C$5,12,31)) - MAX($H$2, DATE(Initialisatie!$C$5,1,1)) + 1) &gt; 0,IFERROR(VALUE($H69),0)=0)
    ),
    0,
    SUM(
        IFERROR(VALUE($D69),0) * MAX(0, MIN($D$1, DATE(Initialisatie!$C$5,12,31)) - MAX($D$2, DATE(Initialisatie!$C$5,1,1)) + 1),
        IFERROR(VALUE($E69),0) * MAX(0, MIN($E$1, DATE(Initialisatie!$C$5,12,31)) - MAX($E$2, DATE(Initialisatie!$C$5,1,1)) + 1),
        IFERROR(VALUE($F69),0) * MAX(0, MIN($F$1, DATE(Initialisatie!$C$5,12,31)) - MAX($F$2, DATE(Initialisatie!$C$5,1,1)) + 1),
        IFERROR(VALUE($G69),0) * MAX(0, MIN($G$1, DATE(Initialisatie!$C$5,12,31)) - MAX($G$2, DATE(Initialisatie!$C$5,1,1)) + 1),
        IFERROR(VALUE($H69),0) * MAX(0, MIN($H$1, DATE(Initialisatie!$C$5,12,31)) - MAX($H$2, DATE(Initialisatie!$C$5,1,1)) + 1)
    ) / (DATE(Initialisatie!$C$5,12,31) - DATE(Initialisatie!$C$5,1,1) + 1)
)</f>
        <v>2994.8657534246577</v>
      </c>
      <c r="K69">
        <f>IF(
    OR(
        AND(MAX(0, IF(MIN($D$1, DATE(Initialisatie!$C$5,12,31)) &lt; MAX($D$2, DATE(Initialisatie!$C$5,1,1)), 0, MONTH(MIN($D$1, DATE(Initialisatie!$C$5,12,31))) - MONTH(MAX($D$2, DATE(Initialisatie!$C$5,1,1))) + 1)) &lt;= 0, IFERROR(VALUE($D69),0)=0),
        AND(MAX(0, IF(MIN($E$1, DATE(Initialisatie!$C$5,12,31)) &lt; MAX($E$2, DATE(Initialisatie!$C$5,1,1)), 0, MONTH(MIN($E$1, DATE(Initialisatie!$C$5,12,31))) - MONTH(MAX($E$2, DATE(Initialisatie!$C$5,1,1))) + 1)) &lt;= 0, IFERROR(VALUE($E69),0)=0),
        AND(MAX(0, IF(MIN($F$1, DATE(Initialisatie!$C$5,12,31)) &lt; MAX($F$2, DATE(Initialisatie!$C$5,1,1)), 0, MONTH(MIN($F$1, DATE(Initialisatie!$C$5,12,31))) - MONTH(MAX($F$2, DATE(Initialisatie!$C$5,1,1))) + 1)) &lt;= 0, IFERROR(VALUE($F69),0)=0),
        AND(MAX(0, IF(MIN($G$1, DATE(Initialisatie!$C$5,12,31)) &lt; MAX($G$2, DATE(Initialisatie!$C$5,1,1)), 0, MONTH(MIN($G$1, DATE(Initialisatie!$C$5,12,31))) - MONTH(MAX($G$2, DATE(Initialisatie!$C$5,1,1))) + 1)) &lt;= 0, IFERROR(VALUE($G69),0)=0),
        AND(MAX(0, IF(MIN($H$1, DATE(Initialisatie!$C$5,12,31)) &lt; MAX($H$2, DATE(Initialisatie!$C$5,1,1)), 0, MONTH(MIN($H$1, DATE(Initialisatie!$C$5,12,31))) - MONTH(MAX($H$2, DATE(Initialisatie!$C$5,1,1))) + 1)) &lt;= 0, IFERROR(VALUE($H69),0)=0)
    ),
    0,
    SUM(
        IFERROR(VALUE($D69),0) * MAX(0, IF(MIN($D$1, DATE(Initialisatie!$C$5,12,31)) &lt; MAX($D$2, DATE(Initialisatie!$C$5,1,1)), 0, MONTH(MIN($D$1, DATE(Initialisatie!$C$5,12,31))) - MONTH(MAX($D$2, DATE(Initialisatie!$C$5,1,1))) + 1)),
        IFERROR(VALUE($E69),0) * MAX(0, IF(MIN($E$1, DATE(Initialisatie!$C$5,12,31)) &lt; MAX($E$2, DATE(Initialisatie!$C$5,1,1)), 0, MONTH(MIN($E$1, DATE(Initialisatie!$C$5,12,31))) - MONTH(MAX($E$2, DATE(Initialisatie!$C$5,1,1))) + 1)),
        IFERROR(VALUE($F69),0) * MAX(0, IF(MIN($F$1, DATE(Initialisatie!$C$5,12,31)) &lt; MAX($F$2, DATE(Initialisatie!$C$5,1,1)), 0, MONTH(MIN($F$1, DATE(Initialisatie!$C$5,12,31))) - MONTH(MAX($F$2, DATE(Initialisatie!$C$5,1,1))) + 1)),
        IFERROR(VALUE($G69),0) * MAX(0, IF(MIN($G$1, DATE(Initialisatie!$C$5,12,31)) &lt; MAX($G$2, DATE(Initialisatie!$C$5,1,1)), 0, MONTH(MIN($G$1, DATE(Initialisatie!$C$5,12,31))) - MONTH(MAX($G$2, DATE(Initialisatie!$C$5,1,1))) + 1)),
        IFERROR(VALUE($H69),0) * MAX(0, IF(MIN($H$1, DATE(Initialisatie!$C$5,12,31)) &lt; MAX($H$2, DATE(Initialisatie!$C$5,1,1)), 0, MONTH(MIN($H$1, DATE(Initialisatie!$C$5,12,31))) - MONTH(MAX($H$2, DATE(Initialisatie!$C$5,1,1))) + 1))
    ) / 12
)</f>
        <v>2994.5</v>
      </c>
    </row>
    <row r="70" spans="1:11" x14ac:dyDescent="0.45">
      <c r="A70" s="989"/>
      <c r="B70" s="371">
        <v>3</v>
      </c>
      <c r="C70" s="371" t="s">
        <v>1574</v>
      </c>
      <c r="D70" t="s">
        <v>1572</v>
      </c>
      <c r="E70" t="s">
        <v>1571</v>
      </c>
      <c r="F70" t="s">
        <v>1573</v>
      </c>
      <c r="G70" t="s">
        <v>1573</v>
      </c>
      <c r="H70" t="s">
        <v>1627</v>
      </c>
      <c r="J70">
        <f>IF(
    OR(
        AND(MAX(0, MIN($D$1, DATE(Initialisatie!$C$5,12,31)) - MAX($D$2, DATE(Initialisatie!$C$5,1,1)) + 1) &gt; 0,IFERROR(VALUE($D70),0)=0),
        AND(MAX(0, MIN($E$1, DATE(Initialisatie!$C$5,12,31)) - MAX($E$2, DATE(Initialisatie!$C$5,1,1)) + 1) &gt; 0,IFERROR(VALUE($E70),0)=0),
        AND(MAX(0, MIN($F$1, DATE(Initialisatie!$C$5,12,31)) - MAX($F$2, DATE(Initialisatie!$C$5,1,1)) + 1) &gt; 0,IFERROR(VALUE($F70),0)=0),
        AND(MAX(0, MIN($G$1, DATE(Initialisatie!$C$5,12,31)) - MAX($G$2, DATE(Initialisatie!$C$5,1,1)) + 1) &gt; 0,IFERROR(VALUE($G70),0)=0),
        AND(MAX(0, MIN($H$1, DATE(Initialisatie!$C$5,12,31)) - MAX($H$2, DATE(Initialisatie!$C$5,1,1)) + 1) &gt; 0,IFERROR(VALUE($H70),0)=0)
    ),
    0,
    SUM(
        IFERROR(VALUE($D70),0) * MAX(0, MIN($D$1, DATE(Initialisatie!$C$5,12,31)) - MAX($D$2, DATE(Initialisatie!$C$5,1,1)) + 1),
        IFERROR(VALUE($E70),0) * MAX(0, MIN($E$1, DATE(Initialisatie!$C$5,12,31)) - MAX($E$2, DATE(Initialisatie!$C$5,1,1)) + 1),
        IFERROR(VALUE($F70),0) * MAX(0, MIN($F$1, DATE(Initialisatie!$C$5,12,31)) - MAX($F$2, DATE(Initialisatie!$C$5,1,1)) + 1),
        IFERROR(VALUE($G70),0) * MAX(0, MIN($G$1, DATE(Initialisatie!$C$5,12,31)) - MAX($G$2, DATE(Initialisatie!$C$5,1,1)) + 1),
        IFERROR(VALUE($H70),0) * MAX(0, MIN($H$1, DATE(Initialisatie!$C$5,12,31)) - MAX($H$2, DATE(Initialisatie!$C$5,1,1)) + 1)
    ) / (DATE(Initialisatie!$C$5,12,31) - DATE(Initialisatie!$C$5,1,1) + 1)
)</f>
        <v>3058.3698630136987</v>
      </c>
      <c r="K70">
        <f>IF(
    OR(
        AND(MAX(0, IF(MIN($D$1, DATE(Initialisatie!$C$5,12,31)) &lt; MAX($D$2, DATE(Initialisatie!$C$5,1,1)), 0, MONTH(MIN($D$1, DATE(Initialisatie!$C$5,12,31))) - MONTH(MAX($D$2, DATE(Initialisatie!$C$5,1,1))) + 1)) &lt;= 0, IFERROR(VALUE($D70),0)=0),
        AND(MAX(0, IF(MIN($E$1, DATE(Initialisatie!$C$5,12,31)) &lt; MAX($E$2, DATE(Initialisatie!$C$5,1,1)), 0, MONTH(MIN($E$1, DATE(Initialisatie!$C$5,12,31))) - MONTH(MAX($E$2, DATE(Initialisatie!$C$5,1,1))) + 1)) &lt;= 0, IFERROR(VALUE($E70),0)=0),
        AND(MAX(0, IF(MIN($F$1, DATE(Initialisatie!$C$5,12,31)) &lt; MAX($F$2, DATE(Initialisatie!$C$5,1,1)), 0, MONTH(MIN($F$1, DATE(Initialisatie!$C$5,12,31))) - MONTH(MAX($F$2, DATE(Initialisatie!$C$5,1,1))) + 1)) &lt;= 0, IFERROR(VALUE($F70),0)=0),
        AND(MAX(0, IF(MIN($G$1, DATE(Initialisatie!$C$5,12,31)) &lt; MAX($G$2, DATE(Initialisatie!$C$5,1,1)), 0, MONTH(MIN($G$1, DATE(Initialisatie!$C$5,12,31))) - MONTH(MAX($G$2, DATE(Initialisatie!$C$5,1,1))) + 1)) &lt;= 0, IFERROR(VALUE($G70),0)=0),
        AND(MAX(0, IF(MIN($H$1, DATE(Initialisatie!$C$5,12,31)) &lt; MAX($H$2, DATE(Initialisatie!$C$5,1,1)), 0, MONTH(MIN($H$1, DATE(Initialisatie!$C$5,12,31))) - MONTH(MAX($H$2, DATE(Initialisatie!$C$5,1,1))) + 1)) &lt;= 0, IFERROR(VALUE($H70),0)=0)
    ),
    0,
    SUM(
        IFERROR(VALUE($D70),0) * MAX(0, IF(MIN($D$1, DATE(Initialisatie!$C$5,12,31)) &lt; MAX($D$2, DATE(Initialisatie!$C$5,1,1)), 0, MONTH(MIN($D$1, DATE(Initialisatie!$C$5,12,31))) - MONTH(MAX($D$2, DATE(Initialisatie!$C$5,1,1))) + 1)),
        IFERROR(VALUE($E70),0) * MAX(0, IF(MIN($E$1, DATE(Initialisatie!$C$5,12,31)) &lt; MAX($E$2, DATE(Initialisatie!$C$5,1,1)), 0, MONTH(MIN($E$1, DATE(Initialisatie!$C$5,12,31))) - MONTH(MAX($E$2, DATE(Initialisatie!$C$5,1,1))) + 1)),
        IFERROR(VALUE($F70),0) * MAX(0, IF(MIN($F$1, DATE(Initialisatie!$C$5,12,31)) &lt; MAX($F$2, DATE(Initialisatie!$C$5,1,1)), 0, MONTH(MIN($F$1, DATE(Initialisatie!$C$5,12,31))) - MONTH(MAX($F$2, DATE(Initialisatie!$C$5,1,1))) + 1)),
        IFERROR(VALUE($G70),0) * MAX(0, IF(MIN($G$1, DATE(Initialisatie!$C$5,12,31)) &lt; MAX($G$2, DATE(Initialisatie!$C$5,1,1)), 0, MONTH(MIN($G$1, DATE(Initialisatie!$C$5,12,31))) - MONTH(MAX($G$2, DATE(Initialisatie!$C$5,1,1))) + 1)),
        IFERROR(VALUE($H70),0) * MAX(0, IF(MIN($H$1, DATE(Initialisatie!$C$5,12,31)) &lt; MAX($H$2, DATE(Initialisatie!$C$5,1,1)), 0, MONTH(MIN($H$1, DATE(Initialisatie!$C$5,12,31))) - MONTH(MAX($H$2, DATE(Initialisatie!$C$5,1,1))) + 1))
    ) / 12
)</f>
        <v>3058</v>
      </c>
    </row>
    <row r="71" spans="1:11" x14ac:dyDescent="0.45">
      <c r="A71" s="989"/>
      <c r="B71" s="371">
        <v>4</v>
      </c>
      <c r="C71" s="371" t="s">
        <v>1567</v>
      </c>
      <c r="D71" t="s">
        <v>1565</v>
      </c>
      <c r="E71" t="s">
        <v>1564</v>
      </c>
      <c r="F71" t="s">
        <v>1566</v>
      </c>
      <c r="G71" t="s">
        <v>1566</v>
      </c>
      <c r="H71" t="s">
        <v>1628</v>
      </c>
      <c r="J71">
        <f>IF(
    OR(
        AND(MAX(0, MIN($D$1, DATE(Initialisatie!$C$5,12,31)) - MAX($D$2, DATE(Initialisatie!$C$5,1,1)) + 1) &gt; 0,IFERROR(VALUE($D71),0)=0),
        AND(MAX(0, MIN($E$1, DATE(Initialisatie!$C$5,12,31)) - MAX($E$2, DATE(Initialisatie!$C$5,1,1)) + 1) &gt; 0,IFERROR(VALUE($E71),0)=0),
        AND(MAX(0, MIN($F$1, DATE(Initialisatie!$C$5,12,31)) - MAX($F$2, DATE(Initialisatie!$C$5,1,1)) + 1) &gt; 0,IFERROR(VALUE($F71),0)=0),
        AND(MAX(0, MIN($G$1, DATE(Initialisatie!$C$5,12,31)) - MAX($G$2, DATE(Initialisatie!$C$5,1,1)) + 1) &gt; 0,IFERROR(VALUE($G71),0)=0),
        AND(MAX(0, MIN($H$1, DATE(Initialisatie!$C$5,12,31)) - MAX($H$2, DATE(Initialisatie!$C$5,1,1)) + 1) &gt; 0,IFERROR(VALUE($H71),0)=0)
    ),
    0,
    SUM(
        IFERROR(VALUE($D71),0) * MAX(0, MIN($D$1, DATE(Initialisatie!$C$5,12,31)) - MAX($D$2, DATE(Initialisatie!$C$5,1,1)) + 1),
        IFERROR(VALUE($E71),0) * MAX(0, MIN($E$1, DATE(Initialisatie!$C$5,12,31)) - MAX($E$2, DATE(Initialisatie!$C$5,1,1)) + 1),
        IFERROR(VALUE($F71),0) * MAX(0, MIN($F$1, DATE(Initialisatie!$C$5,12,31)) - MAX($F$2, DATE(Initialisatie!$C$5,1,1)) + 1),
        IFERROR(VALUE($G71),0) * MAX(0, MIN($G$1, DATE(Initialisatie!$C$5,12,31)) - MAX($G$2, DATE(Initialisatie!$C$5,1,1)) + 1),
        IFERROR(VALUE($H71),0) * MAX(0, MIN($H$1, DATE(Initialisatie!$C$5,12,31)) - MAX($H$2, DATE(Initialisatie!$C$5,1,1)) + 1)
    ) / (DATE(Initialisatie!$C$5,12,31) - DATE(Initialisatie!$C$5,1,1) + 1)
)</f>
        <v>3134.3780821917808</v>
      </c>
      <c r="K71">
        <f>IF(
    OR(
        AND(MAX(0, IF(MIN($D$1, DATE(Initialisatie!$C$5,12,31)) &lt; MAX($D$2, DATE(Initialisatie!$C$5,1,1)), 0, MONTH(MIN($D$1, DATE(Initialisatie!$C$5,12,31))) - MONTH(MAX($D$2, DATE(Initialisatie!$C$5,1,1))) + 1)) &lt;= 0, IFERROR(VALUE($D71),0)=0),
        AND(MAX(0, IF(MIN($E$1, DATE(Initialisatie!$C$5,12,31)) &lt; MAX($E$2, DATE(Initialisatie!$C$5,1,1)), 0, MONTH(MIN($E$1, DATE(Initialisatie!$C$5,12,31))) - MONTH(MAX($E$2, DATE(Initialisatie!$C$5,1,1))) + 1)) &lt;= 0, IFERROR(VALUE($E71),0)=0),
        AND(MAX(0, IF(MIN($F$1, DATE(Initialisatie!$C$5,12,31)) &lt; MAX($F$2, DATE(Initialisatie!$C$5,1,1)), 0, MONTH(MIN($F$1, DATE(Initialisatie!$C$5,12,31))) - MONTH(MAX($F$2, DATE(Initialisatie!$C$5,1,1))) + 1)) &lt;= 0, IFERROR(VALUE($F71),0)=0),
        AND(MAX(0, IF(MIN($G$1, DATE(Initialisatie!$C$5,12,31)) &lt; MAX($G$2, DATE(Initialisatie!$C$5,1,1)), 0, MONTH(MIN($G$1, DATE(Initialisatie!$C$5,12,31))) - MONTH(MAX($G$2, DATE(Initialisatie!$C$5,1,1))) + 1)) &lt;= 0, IFERROR(VALUE($G71),0)=0),
        AND(MAX(0, IF(MIN($H$1, DATE(Initialisatie!$C$5,12,31)) &lt; MAX($H$2, DATE(Initialisatie!$C$5,1,1)), 0, MONTH(MIN($H$1, DATE(Initialisatie!$C$5,12,31))) - MONTH(MAX($H$2, DATE(Initialisatie!$C$5,1,1))) + 1)) &lt;= 0, IFERROR(VALUE($H71),0)=0)
    ),
    0,
    SUM(
        IFERROR(VALUE($D71),0) * MAX(0, IF(MIN($D$1, DATE(Initialisatie!$C$5,12,31)) &lt; MAX($D$2, DATE(Initialisatie!$C$5,1,1)), 0, MONTH(MIN($D$1, DATE(Initialisatie!$C$5,12,31))) - MONTH(MAX($D$2, DATE(Initialisatie!$C$5,1,1))) + 1)),
        IFERROR(VALUE($E71),0) * MAX(0, IF(MIN($E$1, DATE(Initialisatie!$C$5,12,31)) &lt; MAX($E$2, DATE(Initialisatie!$C$5,1,1)), 0, MONTH(MIN($E$1, DATE(Initialisatie!$C$5,12,31))) - MONTH(MAX($E$2, DATE(Initialisatie!$C$5,1,1))) + 1)),
        IFERROR(VALUE($F71),0) * MAX(0, IF(MIN($F$1, DATE(Initialisatie!$C$5,12,31)) &lt; MAX($F$2, DATE(Initialisatie!$C$5,1,1)), 0, MONTH(MIN($F$1, DATE(Initialisatie!$C$5,12,31))) - MONTH(MAX($F$2, DATE(Initialisatie!$C$5,1,1))) + 1)),
        IFERROR(VALUE($G71),0) * MAX(0, IF(MIN($G$1, DATE(Initialisatie!$C$5,12,31)) &lt; MAX($G$2, DATE(Initialisatie!$C$5,1,1)), 0, MONTH(MIN($G$1, DATE(Initialisatie!$C$5,12,31))) - MONTH(MAX($G$2, DATE(Initialisatie!$C$5,1,1))) + 1)),
        IFERROR(VALUE($H71),0) * MAX(0, IF(MIN($H$1, DATE(Initialisatie!$C$5,12,31)) &lt; MAX($H$2, DATE(Initialisatie!$C$5,1,1)), 0, MONTH(MIN($H$1, DATE(Initialisatie!$C$5,12,31))) - MONTH(MAX($H$2, DATE(Initialisatie!$C$5,1,1))) + 1))
    ) / 12
)</f>
        <v>3134</v>
      </c>
    </row>
    <row r="72" spans="1:11" x14ac:dyDescent="0.45">
      <c r="A72" s="989"/>
      <c r="B72" s="371">
        <v>5</v>
      </c>
      <c r="C72" s="371" t="s">
        <v>1570</v>
      </c>
      <c r="D72" t="s">
        <v>1568</v>
      </c>
      <c r="E72" t="s">
        <v>1566</v>
      </c>
      <c r="F72" t="s">
        <v>1569</v>
      </c>
      <c r="G72" t="s">
        <v>1569</v>
      </c>
      <c r="H72" t="s">
        <v>1629</v>
      </c>
      <c r="J72">
        <f>IF(
    OR(
        AND(MAX(0, MIN($D$1, DATE(Initialisatie!$C$5,12,31)) - MAX($D$2, DATE(Initialisatie!$C$5,1,1)) + 1) &gt; 0,IFERROR(VALUE($D72),0)=0),
        AND(MAX(0, MIN($E$1, DATE(Initialisatie!$C$5,12,31)) - MAX($E$2, DATE(Initialisatie!$C$5,1,1)) + 1) &gt; 0,IFERROR(VALUE($E72),0)=0),
        AND(MAX(0, MIN($F$1, DATE(Initialisatie!$C$5,12,31)) - MAX($F$2, DATE(Initialisatie!$C$5,1,1)) + 1) &gt; 0,IFERROR(VALUE($F72),0)=0),
        AND(MAX(0, MIN($G$1, DATE(Initialisatie!$C$5,12,31)) - MAX($G$2, DATE(Initialisatie!$C$5,1,1)) + 1) &gt; 0,IFERROR(VALUE($G72),0)=0),
        AND(MAX(0, MIN($H$1, DATE(Initialisatie!$C$5,12,31)) - MAX($H$2, DATE(Initialisatie!$C$5,1,1)) + 1) &gt; 0,IFERROR(VALUE($H72),0)=0)
    ),
    0,
    SUM(
        IFERROR(VALUE($D72),0) * MAX(0, MIN($D$1, DATE(Initialisatie!$C$5,12,31)) - MAX($D$2, DATE(Initialisatie!$C$5,1,1)) + 1),
        IFERROR(VALUE($E72),0) * MAX(0, MIN($E$1, DATE(Initialisatie!$C$5,12,31)) - MAX($E$2, DATE(Initialisatie!$C$5,1,1)) + 1),
        IFERROR(VALUE($F72),0) * MAX(0, MIN($F$1, DATE(Initialisatie!$C$5,12,31)) - MAX($F$2, DATE(Initialisatie!$C$5,1,1)) + 1),
        IFERROR(VALUE($G72),0) * MAX(0, MIN($G$1, DATE(Initialisatie!$C$5,12,31)) - MAX($G$2, DATE(Initialisatie!$C$5,1,1)) + 1),
        IFERROR(VALUE($H72),0) * MAX(0, MIN($H$1, DATE(Initialisatie!$C$5,12,31)) - MAX($H$2, DATE(Initialisatie!$C$5,1,1)) + 1)
    ) / (DATE(Initialisatie!$C$5,12,31) - DATE(Initialisatie!$C$5,1,1) + 1)
)</f>
        <v>3204.8904109589039</v>
      </c>
      <c r="K72">
        <f>IF(
    OR(
        AND(MAX(0, IF(MIN($D$1, DATE(Initialisatie!$C$5,12,31)) &lt; MAX($D$2, DATE(Initialisatie!$C$5,1,1)), 0, MONTH(MIN($D$1, DATE(Initialisatie!$C$5,12,31))) - MONTH(MAX($D$2, DATE(Initialisatie!$C$5,1,1))) + 1)) &lt;= 0, IFERROR(VALUE($D72),0)=0),
        AND(MAX(0, IF(MIN($E$1, DATE(Initialisatie!$C$5,12,31)) &lt; MAX($E$2, DATE(Initialisatie!$C$5,1,1)), 0, MONTH(MIN($E$1, DATE(Initialisatie!$C$5,12,31))) - MONTH(MAX($E$2, DATE(Initialisatie!$C$5,1,1))) + 1)) &lt;= 0, IFERROR(VALUE($E72),0)=0),
        AND(MAX(0, IF(MIN($F$1, DATE(Initialisatie!$C$5,12,31)) &lt; MAX($F$2, DATE(Initialisatie!$C$5,1,1)), 0, MONTH(MIN($F$1, DATE(Initialisatie!$C$5,12,31))) - MONTH(MAX($F$2, DATE(Initialisatie!$C$5,1,1))) + 1)) &lt;= 0, IFERROR(VALUE($F72),0)=0),
        AND(MAX(0, IF(MIN($G$1, DATE(Initialisatie!$C$5,12,31)) &lt; MAX($G$2, DATE(Initialisatie!$C$5,1,1)), 0, MONTH(MIN($G$1, DATE(Initialisatie!$C$5,12,31))) - MONTH(MAX($G$2, DATE(Initialisatie!$C$5,1,1))) + 1)) &lt;= 0, IFERROR(VALUE($G72),0)=0),
        AND(MAX(0, IF(MIN($H$1, DATE(Initialisatie!$C$5,12,31)) &lt; MAX($H$2, DATE(Initialisatie!$C$5,1,1)), 0, MONTH(MIN($H$1, DATE(Initialisatie!$C$5,12,31))) - MONTH(MAX($H$2, DATE(Initialisatie!$C$5,1,1))) + 1)) &lt;= 0, IFERROR(VALUE($H72),0)=0)
    ),
    0,
    SUM(
        IFERROR(VALUE($D72),0) * MAX(0, IF(MIN($D$1, DATE(Initialisatie!$C$5,12,31)) &lt; MAX($D$2, DATE(Initialisatie!$C$5,1,1)), 0, MONTH(MIN($D$1, DATE(Initialisatie!$C$5,12,31))) - MONTH(MAX($D$2, DATE(Initialisatie!$C$5,1,1))) + 1)),
        IFERROR(VALUE($E72),0) * MAX(0, IF(MIN($E$1, DATE(Initialisatie!$C$5,12,31)) &lt; MAX($E$2, DATE(Initialisatie!$C$5,1,1)), 0, MONTH(MIN($E$1, DATE(Initialisatie!$C$5,12,31))) - MONTH(MAX($E$2, DATE(Initialisatie!$C$5,1,1))) + 1)),
        IFERROR(VALUE($F72),0) * MAX(0, IF(MIN($F$1, DATE(Initialisatie!$C$5,12,31)) &lt; MAX($F$2, DATE(Initialisatie!$C$5,1,1)), 0, MONTH(MIN($F$1, DATE(Initialisatie!$C$5,12,31))) - MONTH(MAX($F$2, DATE(Initialisatie!$C$5,1,1))) + 1)),
        IFERROR(VALUE($G72),0) * MAX(0, IF(MIN($G$1, DATE(Initialisatie!$C$5,12,31)) &lt; MAX($G$2, DATE(Initialisatie!$C$5,1,1)), 0, MONTH(MIN($G$1, DATE(Initialisatie!$C$5,12,31))) - MONTH(MAX($G$2, DATE(Initialisatie!$C$5,1,1))) + 1)),
        IFERROR(VALUE($H72),0) * MAX(0, IF(MIN($H$1, DATE(Initialisatie!$C$5,12,31)) &lt; MAX($H$2, DATE(Initialisatie!$C$5,1,1)), 0, MONTH(MIN($H$1, DATE(Initialisatie!$C$5,12,31))) - MONTH(MAX($H$2, DATE(Initialisatie!$C$5,1,1))) + 1))
    ) / 12
)</f>
        <v>3204.5</v>
      </c>
    </row>
    <row r="73" spans="1:11" x14ac:dyDescent="0.45">
      <c r="A73" s="989"/>
      <c r="B73" s="371">
        <v>6</v>
      </c>
      <c r="C73" s="371" t="s">
        <v>1563</v>
      </c>
      <c r="D73" t="s">
        <v>1561</v>
      </c>
      <c r="E73" t="s">
        <v>1560</v>
      </c>
      <c r="F73" t="s">
        <v>1562</v>
      </c>
      <c r="G73" t="s">
        <v>1562</v>
      </c>
      <c r="H73" t="s">
        <v>1630</v>
      </c>
      <c r="J73">
        <f>IF(
    OR(
        AND(MAX(0, MIN($D$1, DATE(Initialisatie!$C$5,12,31)) - MAX($D$2, DATE(Initialisatie!$C$5,1,1)) + 1) &gt; 0,IFERROR(VALUE($D73),0)=0),
        AND(MAX(0, MIN($E$1, DATE(Initialisatie!$C$5,12,31)) - MAX($E$2, DATE(Initialisatie!$C$5,1,1)) + 1) &gt; 0,IFERROR(VALUE($E73),0)=0),
        AND(MAX(0, MIN($F$1, DATE(Initialisatie!$C$5,12,31)) - MAX($F$2, DATE(Initialisatie!$C$5,1,1)) + 1) &gt; 0,IFERROR(VALUE($F73),0)=0),
        AND(MAX(0, MIN($G$1, DATE(Initialisatie!$C$5,12,31)) - MAX($G$2, DATE(Initialisatie!$C$5,1,1)) + 1) &gt; 0,IFERROR(VALUE($G73),0)=0),
        AND(MAX(0, MIN($H$1, DATE(Initialisatie!$C$5,12,31)) - MAX($H$2, DATE(Initialisatie!$C$5,1,1)) + 1) &gt; 0,IFERROR(VALUE($H73),0)=0)
    ),
    0,
    SUM(
        IFERROR(VALUE($D73),0) * MAX(0, MIN($D$1, DATE(Initialisatie!$C$5,12,31)) - MAX($D$2, DATE(Initialisatie!$C$5,1,1)) + 1),
        IFERROR(VALUE($E73),0) * MAX(0, MIN($E$1, DATE(Initialisatie!$C$5,12,31)) - MAX($E$2, DATE(Initialisatie!$C$5,1,1)) + 1),
        IFERROR(VALUE($F73),0) * MAX(0, MIN($F$1, DATE(Initialisatie!$C$5,12,31)) - MAX($F$2, DATE(Initialisatie!$C$5,1,1)) + 1),
        IFERROR(VALUE($G73),0) * MAX(0, MIN($G$1, DATE(Initialisatie!$C$5,12,31)) - MAX($G$2, DATE(Initialisatie!$C$5,1,1)) + 1),
        IFERROR(VALUE($H73),0) * MAX(0, MIN($H$1, DATE(Initialisatie!$C$5,12,31)) - MAX($H$2, DATE(Initialisatie!$C$5,1,1)) + 1)
    ) / (DATE(Initialisatie!$C$5,12,31) - DATE(Initialisatie!$C$5,1,1) + 1)
)</f>
        <v>3277.8986301369864</v>
      </c>
      <c r="K73">
        <f>IF(
    OR(
        AND(MAX(0, IF(MIN($D$1, DATE(Initialisatie!$C$5,12,31)) &lt; MAX($D$2, DATE(Initialisatie!$C$5,1,1)), 0, MONTH(MIN($D$1, DATE(Initialisatie!$C$5,12,31))) - MONTH(MAX($D$2, DATE(Initialisatie!$C$5,1,1))) + 1)) &lt;= 0, IFERROR(VALUE($D73),0)=0),
        AND(MAX(0, IF(MIN($E$1, DATE(Initialisatie!$C$5,12,31)) &lt; MAX($E$2, DATE(Initialisatie!$C$5,1,1)), 0, MONTH(MIN($E$1, DATE(Initialisatie!$C$5,12,31))) - MONTH(MAX($E$2, DATE(Initialisatie!$C$5,1,1))) + 1)) &lt;= 0, IFERROR(VALUE($E73),0)=0),
        AND(MAX(0, IF(MIN($F$1, DATE(Initialisatie!$C$5,12,31)) &lt; MAX($F$2, DATE(Initialisatie!$C$5,1,1)), 0, MONTH(MIN($F$1, DATE(Initialisatie!$C$5,12,31))) - MONTH(MAX($F$2, DATE(Initialisatie!$C$5,1,1))) + 1)) &lt;= 0, IFERROR(VALUE($F73),0)=0),
        AND(MAX(0, IF(MIN($G$1, DATE(Initialisatie!$C$5,12,31)) &lt; MAX($G$2, DATE(Initialisatie!$C$5,1,1)), 0, MONTH(MIN($G$1, DATE(Initialisatie!$C$5,12,31))) - MONTH(MAX($G$2, DATE(Initialisatie!$C$5,1,1))) + 1)) &lt;= 0, IFERROR(VALUE($G73),0)=0),
        AND(MAX(0, IF(MIN($H$1, DATE(Initialisatie!$C$5,12,31)) &lt; MAX($H$2, DATE(Initialisatie!$C$5,1,1)), 0, MONTH(MIN($H$1, DATE(Initialisatie!$C$5,12,31))) - MONTH(MAX($H$2, DATE(Initialisatie!$C$5,1,1))) + 1)) &lt;= 0, IFERROR(VALUE($H73),0)=0)
    ),
    0,
    SUM(
        IFERROR(VALUE($D73),0) * MAX(0, IF(MIN($D$1, DATE(Initialisatie!$C$5,12,31)) &lt; MAX($D$2, DATE(Initialisatie!$C$5,1,1)), 0, MONTH(MIN($D$1, DATE(Initialisatie!$C$5,12,31))) - MONTH(MAX($D$2, DATE(Initialisatie!$C$5,1,1))) + 1)),
        IFERROR(VALUE($E73),0) * MAX(0, IF(MIN($E$1, DATE(Initialisatie!$C$5,12,31)) &lt; MAX($E$2, DATE(Initialisatie!$C$5,1,1)), 0, MONTH(MIN($E$1, DATE(Initialisatie!$C$5,12,31))) - MONTH(MAX($E$2, DATE(Initialisatie!$C$5,1,1))) + 1)),
        IFERROR(VALUE($F73),0) * MAX(0, IF(MIN($F$1, DATE(Initialisatie!$C$5,12,31)) &lt; MAX($F$2, DATE(Initialisatie!$C$5,1,1)), 0, MONTH(MIN($F$1, DATE(Initialisatie!$C$5,12,31))) - MONTH(MAX($F$2, DATE(Initialisatie!$C$5,1,1))) + 1)),
        IFERROR(VALUE($G73),0) * MAX(0, IF(MIN($G$1, DATE(Initialisatie!$C$5,12,31)) &lt; MAX($G$2, DATE(Initialisatie!$C$5,1,1)), 0, MONTH(MIN($G$1, DATE(Initialisatie!$C$5,12,31))) - MONTH(MAX($G$2, DATE(Initialisatie!$C$5,1,1))) + 1)),
        IFERROR(VALUE($H73),0) * MAX(0, IF(MIN($H$1, DATE(Initialisatie!$C$5,12,31)) &lt; MAX($H$2, DATE(Initialisatie!$C$5,1,1)), 0, MONTH(MIN($H$1, DATE(Initialisatie!$C$5,12,31))) - MONTH(MAX($H$2, DATE(Initialisatie!$C$5,1,1))) + 1))
    ) / 12
)</f>
        <v>3277.5</v>
      </c>
    </row>
    <row r="74" spans="1:11" x14ac:dyDescent="0.45">
      <c r="A74" s="989"/>
      <c r="B74" s="371">
        <v>7</v>
      </c>
      <c r="C74" s="371" t="s">
        <v>1559</v>
      </c>
      <c r="D74" t="s">
        <v>1557</v>
      </c>
      <c r="E74" t="s">
        <v>1556</v>
      </c>
      <c r="F74" t="s">
        <v>1558</v>
      </c>
      <c r="G74" t="s">
        <v>1558</v>
      </c>
      <c r="H74" t="s">
        <v>1631</v>
      </c>
      <c r="J74">
        <f>IF(
    OR(
        AND(MAX(0, MIN($D$1, DATE(Initialisatie!$C$5,12,31)) - MAX($D$2, DATE(Initialisatie!$C$5,1,1)) + 1) &gt; 0,IFERROR(VALUE($D74),0)=0),
        AND(MAX(0, MIN($E$1, DATE(Initialisatie!$C$5,12,31)) - MAX($E$2, DATE(Initialisatie!$C$5,1,1)) + 1) &gt; 0,IFERROR(VALUE($E74),0)=0),
        AND(MAX(0, MIN($F$1, DATE(Initialisatie!$C$5,12,31)) - MAX($F$2, DATE(Initialisatie!$C$5,1,1)) + 1) &gt; 0,IFERROR(VALUE($F74),0)=0),
        AND(MAX(0, MIN($G$1, DATE(Initialisatie!$C$5,12,31)) - MAX($G$2, DATE(Initialisatie!$C$5,1,1)) + 1) &gt; 0,IFERROR(VALUE($G74),0)=0),
        AND(MAX(0, MIN($H$1, DATE(Initialisatie!$C$5,12,31)) - MAX($H$2, DATE(Initialisatie!$C$5,1,1)) + 1) &gt; 0,IFERROR(VALUE($H74),0)=0)
    ),
    0,
    SUM(
        IFERROR(VALUE($D74),0) * MAX(0, MIN($D$1, DATE(Initialisatie!$C$5,12,31)) - MAX($D$2, DATE(Initialisatie!$C$5,1,1)) + 1),
        IFERROR(VALUE($E74),0) * MAX(0, MIN($E$1, DATE(Initialisatie!$C$5,12,31)) - MAX($E$2, DATE(Initialisatie!$C$5,1,1)) + 1),
        IFERROR(VALUE($F74),0) * MAX(0, MIN($F$1, DATE(Initialisatie!$C$5,12,31)) - MAX($F$2, DATE(Initialisatie!$C$5,1,1)) + 1),
        IFERROR(VALUE($G74),0) * MAX(0, MIN($G$1, DATE(Initialisatie!$C$5,12,31)) - MAX($G$2, DATE(Initialisatie!$C$5,1,1)) + 1),
        IFERROR(VALUE($H74),0) * MAX(0, MIN($H$1, DATE(Initialisatie!$C$5,12,31)) - MAX($H$2, DATE(Initialisatie!$C$5,1,1)) + 1)
    ) / (DATE(Initialisatie!$C$5,12,31) - DATE(Initialisatie!$C$5,1,1) + 1)
)</f>
        <v>3353.9068493150685</v>
      </c>
      <c r="K74">
        <f>IF(
    OR(
        AND(MAX(0, IF(MIN($D$1, DATE(Initialisatie!$C$5,12,31)) &lt; MAX($D$2, DATE(Initialisatie!$C$5,1,1)), 0, MONTH(MIN($D$1, DATE(Initialisatie!$C$5,12,31))) - MONTH(MAX($D$2, DATE(Initialisatie!$C$5,1,1))) + 1)) &lt;= 0, IFERROR(VALUE($D74),0)=0),
        AND(MAX(0, IF(MIN($E$1, DATE(Initialisatie!$C$5,12,31)) &lt; MAX($E$2, DATE(Initialisatie!$C$5,1,1)), 0, MONTH(MIN($E$1, DATE(Initialisatie!$C$5,12,31))) - MONTH(MAX($E$2, DATE(Initialisatie!$C$5,1,1))) + 1)) &lt;= 0, IFERROR(VALUE($E74),0)=0),
        AND(MAX(0, IF(MIN($F$1, DATE(Initialisatie!$C$5,12,31)) &lt; MAX($F$2, DATE(Initialisatie!$C$5,1,1)), 0, MONTH(MIN($F$1, DATE(Initialisatie!$C$5,12,31))) - MONTH(MAX($F$2, DATE(Initialisatie!$C$5,1,1))) + 1)) &lt;= 0, IFERROR(VALUE($F74),0)=0),
        AND(MAX(0, IF(MIN($G$1, DATE(Initialisatie!$C$5,12,31)) &lt; MAX($G$2, DATE(Initialisatie!$C$5,1,1)), 0, MONTH(MIN($G$1, DATE(Initialisatie!$C$5,12,31))) - MONTH(MAX($G$2, DATE(Initialisatie!$C$5,1,1))) + 1)) &lt;= 0, IFERROR(VALUE($G74),0)=0),
        AND(MAX(0, IF(MIN($H$1, DATE(Initialisatie!$C$5,12,31)) &lt; MAX($H$2, DATE(Initialisatie!$C$5,1,1)), 0, MONTH(MIN($H$1, DATE(Initialisatie!$C$5,12,31))) - MONTH(MAX($H$2, DATE(Initialisatie!$C$5,1,1))) + 1)) &lt;= 0, IFERROR(VALUE($H74),0)=0)
    ),
    0,
    SUM(
        IFERROR(VALUE($D74),0) * MAX(0, IF(MIN($D$1, DATE(Initialisatie!$C$5,12,31)) &lt; MAX($D$2, DATE(Initialisatie!$C$5,1,1)), 0, MONTH(MIN($D$1, DATE(Initialisatie!$C$5,12,31))) - MONTH(MAX($D$2, DATE(Initialisatie!$C$5,1,1))) + 1)),
        IFERROR(VALUE($E74),0) * MAX(0, IF(MIN($E$1, DATE(Initialisatie!$C$5,12,31)) &lt; MAX($E$2, DATE(Initialisatie!$C$5,1,1)), 0, MONTH(MIN($E$1, DATE(Initialisatie!$C$5,12,31))) - MONTH(MAX($E$2, DATE(Initialisatie!$C$5,1,1))) + 1)),
        IFERROR(VALUE($F74),0) * MAX(0, IF(MIN($F$1, DATE(Initialisatie!$C$5,12,31)) &lt; MAX($F$2, DATE(Initialisatie!$C$5,1,1)), 0, MONTH(MIN($F$1, DATE(Initialisatie!$C$5,12,31))) - MONTH(MAX($F$2, DATE(Initialisatie!$C$5,1,1))) + 1)),
        IFERROR(VALUE($G74),0) * MAX(0, IF(MIN($G$1, DATE(Initialisatie!$C$5,12,31)) &lt; MAX($G$2, DATE(Initialisatie!$C$5,1,1)), 0, MONTH(MIN($G$1, DATE(Initialisatie!$C$5,12,31))) - MONTH(MAX($G$2, DATE(Initialisatie!$C$5,1,1))) + 1)),
        IFERROR(VALUE($H74),0) * MAX(0, IF(MIN($H$1, DATE(Initialisatie!$C$5,12,31)) &lt; MAX($H$2, DATE(Initialisatie!$C$5,1,1)), 0, MONTH(MIN($H$1, DATE(Initialisatie!$C$5,12,31))) - MONTH(MAX($H$2, DATE(Initialisatie!$C$5,1,1))) + 1))
    ) / 12
)</f>
        <v>3353.5</v>
      </c>
    </row>
    <row r="75" spans="1:11" x14ac:dyDescent="0.45">
      <c r="A75" s="989"/>
      <c r="B75" s="371">
        <v>8</v>
      </c>
      <c r="C75" s="371" t="s">
        <v>1555</v>
      </c>
      <c r="D75" t="s">
        <v>1553</v>
      </c>
      <c r="E75" t="s">
        <v>1552</v>
      </c>
      <c r="F75" t="s">
        <v>1554</v>
      </c>
      <c r="G75" t="s">
        <v>1554</v>
      </c>
      <c r="H75" t="s">
        <v>1632</v>
      </c>
      <c r="J75">
        <f>IF(
    OR(
        AND(MAX(0, MIN($D$1, DATE(Initialisatie!$C$5,12,31)) - MAX($D$2, DATE(Initialisatie!$C$5,1,1)) + 1) &gt; 0,IFERROR(VALUE($D75),0)=0),
        AND(MAX(0, MIN($E$1, DATE(Initialisatie!$C$5,12,31)) - MAX($E$2, DATE(Initialisatie!$C$5,1,1)) + 1) &gt; 0,IFERROR(VALUE($E75),0)=0),
        AND(MAX(0, MIN($F$1, DATE(Initialisatie!$C$5,12,31)) - MAX($F$2, DATE(Initialisatie!$C$5,1,1)) + 1) &gt; 0,IFERROR(VALUE($F75),0)=0),
        AND(MAX(0, MIN($G$1, DATE(Initialisatie!$C$5,12,31)) - MAX($G$2, DATE(Initialisatie!$C$5,1,1)) + 1) &gt; 0,IFERROR(VALUE($G75),0)=0),
        AND(MAX(0, MIN($H$1, DATE(Initialisatie!$C$5,12,31)) - MAX($H$2, DATE(Initialisatie!$C$5,1,1)) + 1) &gt; 0,IFERROR(VALUE($H75),0)=0)
    ),
    0,
    SUM(
        IFERROR(VALUE($D75),0) * MAX(0, MIN($D$1, DATE(Initialisatie!$C$5,12,31)) - MAX($D$2, DATE(Initialisatie!$C$5,1,1)) + 1),
        IFERROR(VALUE($E75),0) * MAX(0, MIN($E$1, DATE(Initialisatie!$C$5,12,31)) - MAX($E$2, DATE(Initialisatie!$C$5,1,1)) + 1),
        IFERROR(VALUE($F75),0) * MAX(0, MIN($F$1, DATE(Initialisatie!$C$5,12,31)) - MAX($F$2, DATE(Initialisatie!$C$5,1,1)) + 1),
        IFERROR(VALUE($G75),0) * MAX(0, MIN($G$1, DATE(Initialisatie!$C$5,12,31)) - MAX($G$2, DATE(Initialisatie!$C$5,1,1)) + 1),
        IFERROR(VALUE($H75),0) * MAX(0, MIN($H$1, DATE(Initialisatie!$C$5,12,31)) - MAX($H$2, DATE(Initialisatie!$C$5,1,1)) + 1)
    ) / (DATE(Initialisatie!$C$5,12,31) - DATE(Initialisatie!$C$5,1,1) + 1)
)</f>
        <v>3430.4191780821916</v>
      </c>
      <c r="K75">
        <f>IF(
    OR(
        AND(MAX(0, IF(MIN($D$1, DATE(Initialisatie!$C$5,12,31)) &lt; MAX($D$2, DATE(Initialisatie!$C$5,1,1)), 0, MONTH(MIN($D$1, DATE(Initialisatie!$C$5,12,31))) - MONTH(MAX($D$2, DATE(Initialisatie!$C$5,1,1))) + 1)) &lt;= 0, IFERROR(VALUE($D75),0)=0),
        AND(MAX(0, IF(MIN($E$1, DATE(Initialisatie!$C$5,12,31)) &lt; MAX($E$2, DATE(Initialisatie!$C$5,1,1)), 0, MONTH(MIN($E$1, DATE(Initialisatie!$C$5,12,31))) - MONTH(MAX($E$2, DATE(Initialisatie!$C$5,1,1))) + 1)) &lt;= 0, IFERROR(VALUE($E75),0)=0),
        AND(MAX(0, IF(MIN($F$1, DATE(Initialisatie!$C$5,12,31)) &lt; MAX($F$2, DATE(Initialisatie!$C$5,1,1)), 0, MONTH(MIN($F$1, DATE(Initialisatie!$C$5,12,31))) - MONTH(MAX($F$2, DATE(Initialisatie!$C$5,1,1))) + 1)) &lt;= 0, IFERROR(VALUE($F75),0)=0),
        AND(MAX(0, IF(MIN($G$1, DATE(Initialisatie!$C$5,12,31)) &lt; MAX($G$2, DATE(Initialisatie!$C$5,1,1)), 0, MONTH(MIN($G$1, DATE(Initialisatie!$C$5,12,31))) - MONTH(MAX($G$2, DATE(Initialisatie!$C$5,1,1))) + 1)) &lt;= 0, IFERROR(VALUE($G75),0)=0),
        AND(MAX(0, IF(MIN($H$1, DATE(Initialisatie!$C$5,12,31)) &lt; MAX($H$2, DATE(Initialisatie!$C$5,1,1)), 0, MONTH(MIN($H$1, DATE(Initialisatie!$C$5,12,31))) - MONTH(MAX($H$2, DATE(Initialisatie!$C$5,1,1))) + 1)) &lt;= 0, IFERROR(VALUE($H75),0)=0)
    ),
    0,
    SUM(
        IFERROR(VALUE($D75),0) * MAX(0, IF(MIN($D$1, DATE(Initialisatie!$C$5,12,31)) &lt; MAX($D$2, DATE(Initialisatie!$C$5,1,1)), 0, MONTH(MIN($D$1, DATE(Initialisatie!$C$5,12,31))) - MONTH(MAX($D$2, DATE(Initialisatie!$C$5,1,1))) + 1)),
        IFERROR(VALUE($E75),0) * MAX(0, IF(MIN($E$1, DATE(Initialisatie!$C$5,12,31)) &lt; MAX($E$2, DATE(Initialisatie!$C$5,1,1)), 0, MONTH(MIN($E$1, DATE(Initialisatie!$C$5,12,31))) - MONTH(MAX($E$2, DATE(Initialisatie!$C$5,1,1))) + 1)),
        IFERROR(VALUE($F75),0) * MAX(0, IF(MIN($F$1, DATE(Initialisatie!$C$5,12,31)) &lt; MAX($F$2, DATE(Initialisatie!$C$5,1,1)), 0, MONTH(MIN($F$1, DATE(Initialisatie!$C$5,12,31))) - MONTH(MAX($F$2, DATE(Initialisatie!$C$5,1,1))) + 1)),
        IFERROR(VALUE($G75),0) * MAX(0, IF(MIN($G$1, DATE(Initialisatie!$C$5,12,31)) &lt; MAX($G$2, DATE(Initialisatie!$C$5,1,1)), 0, MONTH(MIN($G$1, DATE(Initialisatie!$C$5,12,31))) - MONTH(MAX($G$2, DATE(Initialisatie!$C$5,1,1))) + 1)),
        IFERROR(VALUE($H75),0) * MAX(0, IF(MIN($H$1, DATE(Initialisatie!$C$5,12,31)) &lt; MAX($H$2, DATE(Initialisatie!$C$5,1,1)), 0, MONTH(MIN($H$1, DATE(Initialisatie!$C$5,12,31))) - MONTH(MAX($H$2, DATE(Initialisatie!$C$5,1,1))) + 1))
    ) / 12
)</f>
        <v>3430</v>
      </c>
    </row>
    <row r="76" spans="1:11" x14ac:dyDescent="0.45">
      <c r="A76" s="989"/>
      <c r="B76" s="371">
        <v>9</v>
      </c>
      <c r="C76" s="371" t="s">
        <v>1543</v>
      </c>
      <c r="D76" t="s">
        <v>1541</v>
      </c>
      <c r="E76" t="s">
        <v>1540</v>
      </c>
      <c r="F76" t="s">
        <v>1542</v>
      </c>
      <c r="G76" t="s">
        <v>1542</v>
      </c>
      <c r="H76" t="s">
        <v>1633</v>
      </c>
      <c r="J76">
        <f>IF(
    OR(
        AND(MAX(0, MIN($D$1, DATE(Initialisatie!$C$5,12,31)) - MAX($D$2, DATE(Initialisatie!$C$5,1,1)) + 1) &gt; 0,IFERROR(VALUE($D76),0)=0),
        AND(MAX(0, MIN($E$1, DATE(Initialisatie!$C$5,12,31)) - MAX($E$2, DATE(Initialisatie!$C$5,1,1)) + 1) &gt; 0,IFERROR(VALUE($E76),0)=0),
        AND(MAX(0, MIN($F$1, DATE(Initialisatie!$C$5,12,31)) - MAX($F$2, DATE(Initialisatie!$C$5,1,1)) + 1) &gt; 0,IFERROR(VALUE($F76),0)=0),
        AND(MAX(0, MIN($G$1, DATE(Initialisatie!$C$5,12,31)) - MAX($G$2, DATE(Initialisatie!$C$5,1,1)) + 1) &gt; 0,IFERROR(VALUE($G76),0)=0),
        AND(MAX(0, MIN($H$1, DATE(Initialisatie!$C$5,12,31)) - MAX($H$2, DATE(Initialisatie!$C$5,1,1)) + 1) &gt; 0,IFERROR(VALUE($H76),0)=0)
    ),
    0,
    SUM(
        IFERROR(VALUE($D76),0) * MAX(0, MIN($D$1, DATE(Initialisatie!$C$5,12,31)) - MAX($D$2, DATE(Initialisatie!$C$5,1,1)) + 1),
        IFERROR(VALUE($E76),0) * MAX(0, MIN($E$1, DATE(Initialisatie!$C$5,12,31)) - MAX($E$2, DATE(Initialisatie!$C$5,1,1)) + 1),
        IFERROR(VALUE($F76),0) * MAX(0, MIN($F$1, DATE(Initialisatie!$C$5,12,31)) - MAX($F$2, DATE(Initialisatie!$C$5,1,1)) + 1),
        IFERROR(VALUE($G76),0) * MAX(0, MIN($G$1, DATE(Initialisatie!$C$5,12,31)) - MAX($G$2, DATE(Initialisatie!$C$5,1,1)) + 1),
        IFERROR(VALUE($H76),0) * MAX(0, MIN($H$1, DATE(Initialisatie!$C$5,12,31)) - MAX($H$2, DATE(Initialisatie!$C$5,1,1)) + 1)
    ) / (DATE(Initialisatie!$C$5,12,31) - DATE(Initialisatie!$C$5,1,1) + 1)
)</f>
        <v>3508.4273972602741</v>
      </c>
      <c r="K76">
        <f>IF(
    OR(
        AND(MAX(0, IF(MIN($D$1, DATE(Initialisatie!$C$5,12,31)) &lt; MAX($D$2, DATE(Initialisatie!$C$5,1,1)), 0, MONTH(MIN($D$1, DATE(Initialisatie!$C$5,12,31))) - MONTH(MAX($D$2, DATE(Initialisatie!$C$5,1,1))) + 1)) &lt;= 0, IFERROR(VALUE($D76),0)=0),
        AND(MAX(0, IF(MIN($E$1, DATE(Initialisatie!$C$5,12,31)) &lt; MAX($E$2, DATE(Initialisatie!$C$5,1,1)), 0, MONTH(MIN($E$1, DATE(Initialisatie!$C$5,12,31))) - MONTH(MAX($E$2, DATE(Initialisatie!$C$5,1,1))) + 1)) &lt;= 0, IFERROR(VALUE($E76),0)=0),
        AND(MAX(0, IF(MIN($F$1, DATE(Initialisatie!$C$5,12,31)) &lt; MAX($F$2, DATE(Initialisatie!$C$5,1,1)), 0, MONTH(MIN($F$1, DATE(Initialisatie!$C$5,12,31))) - MONTH(MAX($F$2, DATE(Initialisatie!$C$5,1,1))) + 1)) &lt;= 0, IFERROR(VALUE($F76),0)=0),
        AND(MAX(0, IF(MIN($G$1, DATE(Initialisatie!$C$5,12,31)) &lt; MAX($G$2, DATE(Initialisatie!$C$5,1,1)), 0, MONTH(MIN($G$1, DATE(Initialisatie!$C$5,12,31))) - MONTH(MAX($G$2, DATE(Initialisatie!$C$5,1,1))) + 1)) &lt;= 0, IFERROR(VALUE($G76),0)=0),
        AND(MAX(0, IF(MIN($H$1, DATE(Initialisatie!$C$5,12,31)) &lt; MAX($H$2, DATE(Initialisatie!$C$5,1,1)), 0, MONTH(MIN($H$1, DATE(Initialisatie!$C$5,12,31))) - MONTH(MAX($H$2, DATE(Initialisatie!$C$5,1,1))) + 1)) &lt;= 0, IFERROR(VALUE($H76),0)=0)
    ),
    0,
    SUM(
        IFERROR(VALUE($D76),0) * MAX(0, IF(MIN($D$1, DATE(Initialisatie!$C$5,12,31)) &lt; MAX($D$2, DATE(Initialisatie!$C$5,1,1)), 0, MONTH(MIN($D$1, DATE(Initialisatie!$C$5,12,31))) - MONTH(MAX($D$2, DATE(Initialisatie!$C$5,1,1))) + 1)),
        IFERROR(VALUE($E76),0) * MAX(0, IF(MIN($E$1, DATE(Initialisatie!$C$5,12,31)) &lt; MAX($E$2, DATE(Initialisatie!$C$5,1,1)), 0, MONTH(MIN($E$1, DATE(Initialisatie!$C$5,12,31))) - MONTH(MAX($E$2, DATE(Initialisatie!$C$5,1,1))) + 1)),
        IFERROR(VALUE($F76),0) * MAX(0, IF(MIN($F$1, DATE(Initialisatie!$C$5,12,31)) &lt; MAX($F$2, DATE(Initialisatie!$C$5,1,1)), 0, MONTH(MIN($F$1, DATE(Initialisatie!$C$5,12,31))) - MONTH(MAX($F$2, DATE(Initialisatie!$C$5,1,1))) + 1)),
        IFERROR(VALUE($G76),0) * MAX(0, IF(MIN($G$1, DATE(Initialisatie!$C$5,12,31)) &lt; MAX($G$2, DATE(Initialisatie!$C$5,1,1)), 0, MONTH(MIN($G$1, DATE(Initialisatie!$C$5,12,31))) - MONTH(MAX($G$2, DATE(Initialisatie!$C$5,1,1))) + 1)),
        IFERROR(VALUE($H76),0) * MAX(0, IF(MIN($H$1, DATE(Initialisatie!$C$5,12,31)) &lt; MAX($H$2, DATE(Initialisatie!$C$5,1,1)), 0, MONTH(MIN($H$1, DATE(Initialisatie!$C$5,12,31))) - MONTH(MAX($H$2, DATE(Initialisatie!$C$5,1,1))) + 1))
    ) / 12
)</f>
        <v>3508</v>
      </c>
    </row>
    <row r="77" spans="1:11" x14ac:dyDescent="0.45">
      <c r="A77" s="989"/>
      <c r="B77" s="371">
        <v>10</v>
      </c>
      <c r="C77" s="371" t="s">
        <v>1551</v>
      </c>
      <c r="D77" t="s">
        <v>1549</v>
      </c>
      <c r="E77" t="s">
        <v>1548</v>
      </c>
      <c r="F77" t="s">
        <v>1550</v>
      </c>
      <c r="G77" t="s">
        <v>1550</v>
      </c>
      <c r="H77" t="s">
        <v>1634</v>
      </c>
      <c r="J77">
        <f>IF(
    OR(
        AND(MAX(0, MIN($D$1, DATE(Initialisatie!$C$5,12,31)) - MAX($D$2, DATE(Initialisatie!$C$5,1,1)) + 1) &gt; 0,IFERROR(VALUE($D77),0)=0),
        AND(MAX(0, MIN($E$1, DATE(Initialisatie!$C$5,12,31)) - MAX($E$2, DATE(Initialisatie!$C$5,1,1)) + 1) &gt; 0,IFERROR(VALUE($E77),0)=0),
        AND(MAX(0, MIN($F$1, DATE(Initialisatie!$C$5,12,31)) - MAX($F$2, DATE(Initialisatie!$C$5,1,1)) + 1) &gt; 0,IFERROR(VALUE($F77),0)=0),
        AND(MAX(0, MIN($G$1, DATE(Initialisatie!$C$5,12,31)) - MAX($G$2, DATE(Initialisatie!$C$5,1,1)) + 1) &gt; 0,IFERROR(VALUE($G77),0)=0),
        AND(MAX(0, MIN($H$1, DATE(Initialisatie!$C$5,12,31)) - MAX($H$2, DATE(Initialisatie!$C$5,1,1)) + 1) &gt; 0,IFERROR(VALUE($H77),0)=0)
    ),
    0,
    SUM(
        IFERROR(VALUE($D77),0) * MAX(0, MIN($D$1, DATE(Initialisatie!$C$5,12,31)) - MAX($D$2, DATE(Initialisatie!$C$5,1,1)) + 1),
        IFERROR(VALUE($E77),0) * MAX(0, MIN($E$1, DATE(Initialisatie!$C$5,12,31)) - MAX($E$2, DATE(Initialisatie!$C$5,1,1)) + 1),
        IFERROR(VALUE($F77),0) * MAX(0, MIN($F$1, DATE(Initialisatie!$C$5,12,31)) - MAX($F$2, DATE(Initialisatie!$C$5,1,1)) + 1),
        IFERROR(VALUE($G77),0) * MAX(0, MIN($G$1, DATE(Initialisatie!$C$5,12,31)) - MAX($G$2, DATE(Initialisatie!$C$5,1,1)) + 1),
        IFERROR(VALUE($H77),0) * MAX(0, MIN($H$1, DATE(Initialisatie!$C$5,12,31)) - MAX($H$2, DATE(Initialisatie!$C$5,1,1)) + 1)
    ) / (DATE(Initialisatie!$C$5,12,31) - DATE(Initialisatie!$C$5,1,1) + 1)
)</f>
        <v>3590.4356164383562</v>
      </c>
      <c r="K77">
        <f>IF(
    OR(
        AND(MAX(0, IF(MIN($D$1, DATE(Initialisatie!$C$5,12,31)) &lt; MAX($D$2, DATE(Initialisatie!$C$5,1,1)), 0, MONTH(MIN($D$1, DATE(Initialisatie!$C$5,12,31))) - MONTH(MAX($D$2, DATE(Initialisatie!$C$5,1,1))) + 1)) &lt;= 0, IFERROR(VALUE($D77),0)=0),
        AND(MAX(0, IF(MIN($E$1, DATE(Initialisatie!$C$5,12,31)) &lt; MAX($E$2, DATE(Initialisatie!$C$5,1,1)), 0, MONTH(MIN($E$1, DATE(Initialisatie!$C$5,12,31))) - MONTH(MAX($E$2, DATE(Initialisatie!$C$5,1,1))) + 1)) &lt;= 0, IFERROR(VALUE($E77),0)=0),
        AND(MAX(0, IF(MIN($F$1, DATE(Initialisatie!$C$5,12,31)) &lt; MAX($F$2, DATE(Initialisatie!$C$5,1,1)), 0, MONTH(MIN($F$1, DATE(Initialisatie!$C$5,12,31))) - MONTH(MAX($F$2, DATE(Initialisatie!$C$5,1,1))) + 1)) &lt;= 0, IFERROR(VALUE($F77),0)=0),
        AND(MAX(0, IF(MIN($G$1, DATE(Initialisatie!$C$5,12,31)) &lt; MAX($G$2, DATE(Initialisatie!$C$5,1,1)), 0, MONTH(MIN($G$1, DATE(Initialisatie!$C$5,12,31))) - MONTH(MAX($G$2, DATE(Initialisatie!$C$5,1,1))) + 1)) &lt;= 0, IFERROR(VALUE($G77),0)=0),
        AND(MAX(0, IF(MIN($H$1, DATE(Initialisatie!$C$5,12,31)) &lt; MAX($H$2, DATE(Initialisatie!$C$5,1,1)), 0, MONTH(MIN($H$1, DATE(Initialisatie!$C$5,12,31))) - MONTH(MAX($H$2, DATE(Initialisatie!$C$5,1,1))) + 1)) &lt;= 0, IFERROR(VALUE($H77),0)=0)
    ),
    0,
    SUM(
        IFERROR(VALUE($D77),0) * MAX(0, IF(MIN($D$1, DATE(Initialisatie!$C$5,12,31)) &lt; MAX($D$2, DATE(Initialisatie!$C$5,1,1)), 0, MONTH(MIN($D$1, DATE(Initialisatie!$C$5,12,31))) - MONTH(MAX($D$2, DATE(Initialisatie!$C$5,1,1))) + 1)),
        IFERROR(VALUE($E77),0) * MAX(0, IF(MIN($E$1, DATE(Initialisatie!$C$5,12,31)) &lt; MAX($E$2, DATE(Initialisatie!$C$5,1,1)), 0, MONTH(MIN($E$1, DATE(Initialisatie!$C$5,12,31))) - MONTH(MAX($E$2, DATE(Initialisatie!$C$5,1,1))) + 1)),
        IFERROR(VALUE($F77),0) * MAX(0, IF(MIN($F$1, DATE(Initialisatie!$C$5,12,31)) &lt; MAX($F$2, DATE(Initialisatie!$C$5,1,1)), 0, MONTH(MIN($F$1, DATE(Initialisatie!$C$5,12,31))) - MONTH(MAX($F$2, DATE(Initialisatie!$C$5,1,1))) + 1)),
        IFERROR(VALUE($G77),0) * MAX(0, IF(MIN($G$1, DATE(Initialisatie!$C$5,12,31)) &lt; MAX($G$2, DATE(Initialisatie!$C$5,1,1)), 0, MONTH(MIN($G$1, DATE(Initialisatie!$C$5,12,31))) - MONTH(MAX($G$2, DATE(Initialisatie!$C$5,1,1))) + 1)),
        IFERROR(VALUE($H77),0) * MAX(0, IF(MIN($H$1, DATE(Initialisatie!$C$5,12,31)) &lt; MAX($H$2, DATE(Initialisatie!$C$5,1,1)), 0, MONTH(MIN($H$1, DATE(Initialisatie!$C$5,12,31))) - MONTH(MAX($H$2, DATE(Initialisatie!$C$5,1,1))) + 1))
    ) / 12
)</f>
        <v>3590</v>
      </c>
    </row>
    <row r="78" spans="1:11" x14ac:dyDescent="0.45">
      <c r="A78" s="989"/>
      <c r="B78" s="371">
        <v>11</v>
      </c>
      <c r="C78" s="371" t="s">
        <v>1539</v>
      </c>
      <c r="D78" t="s">
        <v>1537</v>
      </c>
      <c r="E78" t="s">
        <v>1536</v>
      </c>
      <c r="F78" t="s">
        <v>1538</v>
      </c>
      <c r="G78" t="s">
        <v>1538</v>
      </c>
      <c r="H78" t="s">
        <v>1635</v>
      </c>
      <c r="J78">
        <f>IF(
    OR(
        AND(MAX(0, MIN($D$1, DATE(Initialisatie!$C$5,12,31)) - MAX($D$2, DATE(Initialisatie!$C$5,1,1)) + 1) &gt; 0,IFERROR(VALUE($D78),0)=0),
        AND(MAX(0, MIN($E$1, DATE(Initialisatie!$C$5,12,31)) - MAX($E$2, DATE(Initialisatie!$C$5,1,1)) + 1) &gt; 0,IFERROR(VALUE($E78),0)=0),
        AND(MAX(0, MIN($F$1, DATE(Initialisatie!$C$5,12,31)) - MAX($F$2, DATE(Initialisatie!$C$5,1,1)) + 1) &gt; 0,IFERROR(VALUE($F78),0)=0),
        AND(MAX(0, MIN($G$1, DATE(Initialisatie!$C$5,12,31)) - MAX($G$2, DATE(Initialisatie!$C$5,1,1)) + 1) &gt; 0,IFERROR(VALUE($G78),0)=0),
        AND(MAX(0, MIN($H$1, DATE(Initialisatie!$C$5,12,31)) - MAX($H$2, DATE(Initialisatie!$C$5,1,1)) + 1) &gt; 0,IFERROR(VALUE($H78),0)=0)
    ),
    0,
    SUM(
        IFERROR(VALUE($D78),0) * MAX(0, MIN($D$1, DATE(Initialisatie!$C$5,12,31)) - MAX($D$2, DATE(Initialisatie!$C$5,1,1)) + 1),
        IFERROR(VALUE($E78),0) * MAX(0, MIN($E$1, DATE(Initialisatie!$C$5,12,31)) - MAX($E$2, DATE(Initialisatie!$C$5,1,1)) + 1),
        IFERROR(VALUE($F78),0) * MAX(0, MIN($F$1, DATE(Initialisatie!$C$5,12,31)) - MAX($F$2, DATE(Initialisatie!$C$5,1,1)) + 1),
        IFERROR(VALUE($G78),0) * MAX(0, MIN($G$1, DATE(Initialisatie!$C$5,12,31)) - MAX($G$2, DATE(Initialisatie!$C$5,1,1)) + 1),
        IFERROR(VALUE($H78),0) * MAX(0, MIN($H$1, DATE(Initialisatie!$C$5,12,31)) - MAX($H$2, DATE(Initialisatie!$C$5,1,1)) + 1)
    ) / (DATE(Initialisatie!$C$5,12,31) - DATE(Initialisatie!$C$5,1,1) + 1)
)</f>
        <v>3675.9479452054793</v>
      </c>
      <c r="K78">
        <f>IF(
    OR(
        AND(MAX(0, IF(MIN($D$1, DATE(Initialisatie!$C$5,12,31)) &lt; MAX($D$2, DATE(Initialisatie!$C$5,1,1)), 0, MONTH(MIN($D$1, DATE(Initialisatie!$C$5,12,31))) - MONTH(MAX($D$2, DATE(Initialisatie!$C$5,1,1))) + 1)) &lt;= 0, IFERROR(VALUE($D78),0)=0),
        AND(MAX(0, IF(MIN($E$1, DATE(Initialisatie!$C$5,12,31)) &lt; MAX($E$2, DATE(Initialisatie!$C$5,1,1)), 0, MONTH(MIN($E$1, DATE(Initialisatie!$C$5,12,31))) - MONTH(MAX($E$2, DATE(Initialisatie!$C$5,1,1))) + 1)) &lt;= 0, IFERROR(VALUE($E78),0)=0),
        AND(MAX(0, IF(MIN($F$1, DATE(Initialisatie!$C$5,12,31)) &lt; MAX($F$2, DATE(Initialisatie!$C$5,1,1)), 0, MONTH(MIN($F$1, DATE(Initialisatie!$C$5,12,31))) - MONTH(MAX($F$2, DATE(Initialisatie!$C$5,1,1))) + 1)) &lt;= 0, IFERROR(VALUE($F78),0)=0),
        AND(MAX(0, IF(MIN($G$1, DATE(Initialisatie!$C$5,12,31)) &lt; MAX($G$2, DATE(Initialisatie!$C$5,1,1)), 0, MONTH(MIN($G$1, DATE(Initialisatie!$C$5,12,31))) - MONTH(MAX($G$2, DATE(Initialisatie!$C$5,1,1))) + 1)) &lt;= 0, IFERROR(VALUE($G78),0)=0),
        AND(MAX(0, IF(MIN($H$1, DATE(Initialisatie!$C$5,12,31)) &lt; MAX($H$2, DATE(Initialisatie!$C$5,1,1)), 0, MONTH(MIN($H$1, DATE(Initialisatie!$C$5,12,31))) - MONTH(MAX($H$2, DATE(Initialisatie!$C$5,1,1))) + 1)) &lt;= 0, IFERROR(VALUE($H78),0)=0)
    ),
    0,
    SUM(
        IFERROR(VALUE($D78),0) * MAX(0, IF(MIN($D$1, DATE(Initialisatie!$C$5,12,31)) &lt; MAX($D$2, DATE(Initialisatie!$C$5,1,1)), 0, MONTH(MIN($D$1, DATE(Initialisatie!$C$5,12,31))) - MONTH(MAX($D$2, DATE(Initialisatie!$C$5,1,1))) + 1)),
        IFERROR(VALUE($E78),0) * MAX(0, IF(MIN($E$1, DATE(Initialisatie!$C$5,12,31)) &lt; MAX($E$2, DATE(Initialisatie!$C$5,1,1)), 0, MONTH(MIN($E$1, DATE(Initialisatie!$C$5,12,31))) - MONTH(MAX($E$2, DATE(Initialisatie!$C$5,1,1))) + 1)),
        IFERROR(VALUE($F78),0) * MAX(0, IF(MIN($F$1, DATE(Initialisatie!$C$5,12,31)) &lt; MAX($F$2, DATE(Initialisatie!$C$5,1,1)), 0, MONTH(MIN($F$1, DATE(Initialisatie!$C$5,12,31))) - MONTH(MAX($F$2, DATE(Initialisatie!$C$5,1,1))) + 1)),
        IFERROR(VALUE($G78),0) * MAX(0, IF(MIN($G$1, DATE(Initialisatie!$C$5,12,31)) &lt; MAX($G$2, DATE(Initialisatie!$C$5,1,1)), 0, MONTH(MIN($G$1, DATE(Initialisatie!$C$5,12,31))) - MONTH(MAX($G$2, DATE(Initialisatie!$C$5,1,1))) + 1)),
        IFERROR(VALUE($H78),0) * MAX(0, IF(MIN($H$1, DATE(Initialisatie!$C$5,12,31)) &lt; MAX($H$2, DATE(Initialisatie!$C$5,1,1)), 0, MONTH(MIN($H$1, DATE(Initialisatie!$C$5,12,31))) - MONTH(MAX($H$2, DATE(Initialisatie!$C$5,1,1))) + 1))
    ) / 12
)</f>
        <v>3675.5</v>
      </c>
    </row>
    <row r="79" spans="1:11" x14ac:dyDescent="0.45">
      <c r="A79" s="989"/>
      <c r="B79" s="371">
        <v>12</v>
      </c>
      <c r="C79" s="371" t="s">
        <v>1547</v>
      </c>
      <c r="D79" t="s">
        <v>1545</v>
      </c>
      <c r="E79" t="s">
        <v>1544</v>
      </c>
      <c r="F79" t="s">
        <v>1546</v>
      </c>
      <c r="G79" t="s">
        <v>1546</v>
      </c>
      <c r="H79" t="s">
        <v>1636</v>
      </c>
      <c r="J79">
        <f>IF(
    OR(
        AND(MAX(0, MIN($D$1, DATE(Initialisatie!$C$5,12,31)) - MAX($D$2, DATE(Initialisatie!$C$5,1,1)) + 1) &gt; 0,IFERROR(VALUE($D79),0)=0),
        AND(MAX(0, MIN($E$1, DATE(Initialisatie!$C$5,12,31)) - MAX($E$2, DATE(Initialisatie!$C$5,1,1)) + 1) &gt; 0,IFERROR(VALUE($E79),0)=0),
        AND(MAX(0, MIN($F$1, DATE(Initialisatie!$C$5,12,31)) - MAX($F$2, DATE(Initialisatie!$C$5,1,1)) + 1) &gt; 0,IFERROR(VALUE($F79),0)=0),
        AND(MAX(0, MIN($G$1, DATE(Initialisatie!$C$5,12,31)) - MAX($G$2, DATE(Initialisatie!$C$5,1,1)) + 1) &gt; 0,IFERROR(VALUE($G79),0)=0),
        AND(MAX(0, MIN($H$1, DATE(Initialisatie!$C$5,12,31)) - MAX($H$2, DATE(Initialisatie!$C$5,1,1)) + 1) &gt; 0,IFERROR(VALUE($H79),0)=0)
    ),
    0,
    SUM(
        IFERROR(VALUE($D79),0) * MAX(0, MIN($D$1, DATE(Initialisatie!$C$5,12,31)) - MAX($D$2, DATE(Initialisatie!$C$5,1,1)) + 1),
        IFERROR(VALUE($E79),0) * MAX(0, MIN($E$1, DATE(Initialisatie!$C$5,12,31)) - MAX($E$2, DATE(Initialisatie!$C$5,1,1)) + 1),
        IFERROR(VALUE($F79),0) * MAX(0, MIN($F$1, DATE(Initialisatie!$C$5,12,31)) - MAX($F$2, DATE(Initialisatie!$C$5,1,1)) + 1),
        IFERROR(VALUE($G79),0) * MAX(0, MIN($G$1, DATE(Initialisatie!$C$5,12,31)) - MAX($G$2, DATE(Initialisatie!$C$5,1,1)) + 1),
        IFERROR(VALUE($H79),0) * MAX(0, MIN($H$1, DATE(Initialisatie!$C$5,12,31)) - MAX($H$2, DATE(Initialisatie!$C$5,1,1)) + 1)
    ) / (DATE(Initialisatie!$C$5,12,31) - DATE(Initialisatie!$C$5,1,1) + 1)
)</f>
        <v>3767.4602739726029</v>
      </c>
      <c r="K79">
        <f>IF(
    OR(
        AND(MAX(0, IF(MIN($D$1, DATE(Initialisatie!$C$5,12,31)) &lt; MAX($D$2, DATE(Initialisatie!$C$5,1,1)), 0, MONTH(MIN($D$1, DATE(Initialisatie!$C$5,12,31))) - MONTH(MAX($D$2, DATE(Initialisatie!$C$5,1,1))) + 1)) &lt;= 0, IFERROR(VALUE($D79),0)=0),
        AND(MAX(0, IF(MIN($E$1, DATE(Initialisatie!$C$5,12,31)) &lt; MAX($E$2, DATE(Initialisatie!$C$5,1,1)), 0, MONTH(MIN($E$1, DATE(Initialisatie!$C$5,12,31))) - MONTH(MAX($E$2, DATE(Initialisatie!$C$5,1,1))) + 1)) &lt;= 0, IFERROR(VALUE($E79),0)=0),
        AND(MAX(0, IF(MIN($F$1, DATE(Initialisatie!$C$5,12,31)) &lt; MAX($F$2, DATE(Initialisatie!$C$5,1,1)), 0, MONTH(MIN($F$1, DATE(Initialisatie!$C$5,12,31))) - MONTH(MAX($F$2, DATE(Initialisatie!$C$5,1,1))) + 1)) &lt;= 0, IFERROR(VALUE($F79),0)=0),
        AND(MAX(0, IF(MIN($G$1, DATE(Initialisatie!$C$5,12,31)) &lt; MAX($G$2, DATE(Initialisatie!$C$5,1,1)), 0, MONTH(MIN($G$1, DATE(Initialisatie!$C$5,12,31))) - MONTH(MAX($G$2, DATE(Initialisatie!$C$5,1,1))) + 1)) &lt;= 0, IFERROR(VALUE($G79),0)=0),
        AND(MAX(0, IF(MIN($H$1, DATE(Initialisatie!$C$5,12,31)) &lt; MAX($H$2, DATE(Initialisatie!$C$5,1,1)), 0, MONTH(MIN($H$1, DATE(Initialisatie!$C$5,12,31))) - MONTH(MAX($H$2, DATE(Initialisatie!$C$5,1,1))) + 1)) &lt;= 0, IFERROR(VALUE($H79),0)=0)
    ),
    0,
    SUM(
        IFERROR(VALUE($D79),0) * MAX(0, IF(MIN($D$1, DATE(Initialisatie!$C$5,12,31)) &lt; MAX($D$2, DATE(Initialisatie!$C$5,1,1)), 0, MONTH(MIN($D$1, DATE(Initialisatie!$C$5,12,31))) - MONTH(MAX($D$2, DATE(Initialisatie!$C$5,1,1))) + 1)),
        IFERROR(VALUE($E79),0) * MAX(0, IF(MIN($E$1, DATE(Initialisatie!$C$5,12,31)) &lt; MAX($E$2, DATE(Initialisatie!$C$5,1,1)), 0, MONTH(MIN($E$1, DATE(Initialisatie!$C$5,12,31))) - MONTH(MAX($E$2, DATE(Initialisatie!$C$5,1,1))) + 1)),
        IFERROR(VALUE($F79),0) * MAX(0, IF(MIN($F$1, DATE(Initialisatie!$C$5,12,31)) &lt; MAX($F$2, DATE(Initialisatie!$C$5,1,1)), 0, MONTH(MIN($F$1, DATE(Initialisatie!$C$5,12,31))) - MONTH(MAX($F$2, DATE(Initialisatie!$C$5,1,1))) + 1)),
        IFERROR(VALUE($G79),0) * MAX(0, IF(MIN($G$1, DATE(Initialisatie!$C$5,12,31)) &lt; MAX($G$2, DATE(Initialisatie!$C$5,1,1)), 0, MONTH(MIN($G$1, DATE(Initialisatie!$C$5,12,31))) - MONTH(MAX($G$2, DATE(Initialisatie!$C$5,1,1))) + 1)),
        IFERROR(VALUE($H79),0) * MAX(0, IF(MIN($H$1, DATE(Initialisatie!$C$5,12,31)) &lt; MAX($H$2, DATE(Initialisatie!$C$5,1,1)), 0, MONTH(MIN($H$1, DATE(Initialisatie!$C$5,12,31))) - MONTH(MAX($H$2, DATE(Initialisatie!$C$5,1,1))) + 1))
    ) / 12
)</f>
        <v>3767</v>
      </c>
    </row>
    <row r="80" spans="1:11" x14ac:dyDescent="0.45">
      <c r="A80" s="990"/>
      <c r="B80" s="371">
        <v>13</v>
      </c>
      <c r="C80" s="371" t="s">
        <v>1535</v>
      </c>
      <c r="D80" t="s">
        <v>1533</v>
      </c>
      <c r="E80" t="s">
        <v>1532</v>
      </c>
      <c r="F80" t="s">
        <v>1534</v>
      </c>
      <c r="G80" t="s">
        <v>1534</v>
      </c>
      <c r="H80" t="s">
        <v>1637</v>
      </c>
      <c r="J80">
        <f>IF(
    OR(
        AND(MAX(0, MIN($D$1, DATE(Initialisatie!$C$5,12,31)) - MAX($D$2, DATE(Initialisatie!$C$5,1,1)) + 1) &gt; 0,IFERROR(VALUE($D80),0)=0),
        AND(MAX(0, MIN($E$1, DATE(Initialisatie!$C$5,12,31)) - MAX($E$2, DATE(Initialisatie!$C$5,1,1)) + 1) &gt; 0,IFERROR(VALUE($E80),0)=0),
        AND(MAX(0, MIN($F$1, DATE(Initialisatie!$C$5,12,31)) - MAX($F$2, DATE(Initialisatie!$C$5,1,1)) + 1) &gt; 0,IFERROR(VALUE($F80),0)=0),
        AND(MAX(0, MIN($G$1, DATE(Initialisatie!$C$5,12,31)) - MAX($G$2, DATE(Initialisatie!$C$5,1,1)) + 1) &gt; 0,IFERROR(VALUE($G80),0)=0),
        AND(MAX(0, MIN($H$1, DATE(Initialisatie!$C$5,12,31)) - MAX($H$2, DATE(Initialisatie!$C$5,1,1)) + 1) &gt; 0,IFERROR(VALUE($H80),0)=0)
    ),
    0,
    SUM(
        IFERROR(VALUE($D80),0) * MAX(0, MIN($D$1, DATE(Initialisatie!$C$5,12,31)) - MAX($D$2, DATE(Initialisatie!$C$5,1,1)) + 1),
        IFERROR(VALUE($E80),0) * MAX(0, MIN($E$1, DATE(Initialisatie!$C$5,12,31)) - MAX($E$2, DATE(Initialisatie!$C$5,1,1)) + 1),
        IFERROR(VALUE($F80),0) * MAX(0, MIN($F$1, DATE(Initialisatie!$C$5,12,31)) - MAX($F$2, DATE(Initialisatie!$C$5,1,1)) + 1),
        IFERROR(VALUE($G80),0) * MAX(0, MIN($G$1, DATE(Initialisatie!$C$5,12,31)) - MAX($G$2, DATE(Initialisatie!$C$5,1,1)) + 1),
        IFERROR(VALUE($H80),0) * MAX(0, MIN($H$1, DATE(Initialisatie!$C$5,12,31)) - MAX($H$2, DATE(Initialisatie!$C$5,1,1)) + 1)
    ) / (DATE(Initialisatie!$C$5,12,31) - DATE(Initialisatie!$C$5,1,1) + 1)
)</f>
        <v>3860.4684931506849</v>
      </c>
      <c r="K80">
        <f>IF(
    OR(
        AND(MAX(0, IF(MIN($D$1, DATE(Initialisatie!$C$5,12,31)) &lt; MAX($D$2, DATE(Initialisatie!$C$5,1,1)), 0, MONTH(MIN($D$1, DATE(Initialisatie!$C$5,12,31))) - MONTH(MAX($D$2, DATE(Initialisatie!$C$5,1,1))) + 1)) &lt;= 0, IFERROR(VALUE($D80),0)=0),
        AND(MAX(0, IF(MIN($E$1, DATE(Initialisatie!$C$5,12,31)) &lt; MAX($E$2, DATE(Initialisatie!$C$5,1,1)), 0, MONTH(MIN($E$1, DATE(Initialisatie!$C$5,12,31))) - MONTH(MAX($E$2, DATE(Initialisatie!$C$5,1,1))) + 1)) &lt;= 0, IFERROR(VALUE($E80),0)=0),
        AND(MAX(0, IF(MIN($F$1, DATE(Initialisatie!$C$5,12,31)) &lt; MAX($F$2, DATE(Initialisatie!$C$5,1,1)), 0, MONTH(MIN($F$1, DATE(Initialisatie!$C$5,12,31))) - MONTH(MAX($F$2, DATE(Initialisatie!$C$5,1,1))) + 1)) &lt;= 0, IFERROR(VALUE($F80),0)=0),
        AND(MAX(0, IF(MIN($G$1, DATE(Initialisatie!$C$5,12,31)) &lt; MAX($G$2, DATE(Initialisatie!$C$5,1,1)), 0, MONTH(MIN($G$1, DATE(Initialisatie!$C$5,12,31))) - MONTH(MAX($G$2, DATE(Initialisatie!$C$5,1,1))) + 1)) &lt;= 0, IFERROR(VALUE($G80),0)=0),
        AND(MAX(0, IF(MIN($H$1, DATE(Initialisatie!$C$5,12,31)) &lt; MAX($H$2, DATE(Initialisatie!$C$5,1,1)), 0, MONTH(MIN($H$1, DATE(Initialisatie!$C$5,12,31))) - MONTH(MAX($H$2, DATE(Initialisatie!$C$5,1,1))) + 1)) &lt;= 0, IFERROR(VALUE($H80),0)=0)
    ),
    0,
    SUM(
        IFERROR(VALUE($D80),0) * MAX(0, IF(MIN($D$1, DATE(Initialisatie!$C$5,12,31)) &lt; MAX($D$2, DATE(Initialisatie!$C$5,1,1)), 0, MONTH(MIN($D$1, DATE(Initialisatie!$C$5,12,31))) - MONTH(MAX($D$2, DATE(Initialisatie!$C$5,1,1))) + 1)),
        IFERROR(VALUE($E80),0) * MAX(0, IF(MIN($E$1, DATE(Initialisatie!$C$5,12,31)) &lt; MAX($E$2, DATE(Initialisatie!$C$5,1,1)), 0, MONTH(MIN($E$1, DATE(Initialisatie!$C$5,12,31))) - MONTH(MAX($E$2, DATE(Initialisatie!$C$5,1,1))) + 1)),
        IFERROR(VALUE($F80),0) * MAX(0, IF(MIN($F$1, DATE(Initialisatie!$C$5,12,31)) &lt; MAX($F$2, DATE(Initialisatie!$C$5,1,1)), 0, MONTH(MIN($F$1, DATE(Initialisatie!$C$5,12,31))) - MONTH(MAX($F$2, DATE(Initialisatie!$C$5,1,1))) + 1)),
        IFERROR(VALUE($G80),0) * MAX(0, IF(MIN($G$1, DATE(Initialisatie!$C$5,12,31)) &lt; MAX($G$2, DATE(Initialisatie!$C$5,1,1)), 0, MONTH(MIN($G$1, DATE(Initialisatie!$C$5,12,31))) - MONTH(MAX($G$2, DATE(Initialisatie!$C$5,1,1))) + 1)),
        IFERROR(VALUE($H80),0) * MAX(0, IF(MIN($H$1, DATE(Initialisatie!$C$5,12,31)) &lt; MAX($H$2, DATE(Initialisatie!$C$5,1,1)), 0, MONTH(MIN($H$1, DATE(Initialisatie!$C$5,12,31))) - MONTH(MAX($H$2, DATE(Initialisatie!$C$5,1,1))) + 1))
    ) / 12
)</f>
        <v>3860</v>
      </c>
    </row>
    <row r="81" spans="1:11" x14ac:dyDescent="0.45">
      <c r="A81" s="993">
        <v>45</v>
      </c>
      <c r="B81" s="371">
        <v>1</v>
      </c>
      <c r="C81" s="371" t="s">
        <v>1567</v>
      </c>
      <c r="D81" t="s">
        <v>1565</v>
      </c>
      <c r="E81" t="s">
        <v>1564</v>
      </c>
      <c r="F81" t="s">
        <v>1566</v>
      </c>
      <c r="G81" t="s">
        <v>1566</v>
      </c>
      <c r="H81" t="s">
        <v>1628</v>
      </c>
      <c r="J81">
        <f>IF(
    OR(
        AND(MAX(0, MIN($D$1, DATE(Initialisatie!$C$5,12,31)) - MAX($D$2, DATE(Initialisatie!$C$5,1,1)) + 1) &gt; 0,IFERROR(VALUE($D81),0)=0),
        AND(MAX(0, MIN($E$1, DATE(Initialisatie!$C$5,12,31)) - MAX($E$2, DATE(Initialisatie!$C$5,1,1)) + 1) &gt; 0,IFERROR(VALUE($E81),0)=0),
        AND(MAX(0, MIN($F$1, DATE(Initialisatie!$C$5,12,31)) - MAX($F$2, DATE(Initialisatie!$C$5,1,1)) + 1) &gt; 0,IFERROR(VALUE($F81),0)=0),
        AND(MAX(0, MIN($G$1, DATE(Initialisatie!$C$5,12,31)) - MAX($G$2, DATE(Initialisatie!$C$5,1,1)) + 1) &gt; 0,IFERROR(VALUE($G81),0)=0),
        AND(MAX(0, MIN($H$1, DATE(Initialisatie!$C$5,12,31)) - MAX($H$2, DATE(Initialisatie!$C$5,1,1)) + 1) &gt; 0,IFERROR(VALUE($H81),0)=0)
    ),
    0,
    SUM(
        IFERROR(VALUE($D81),0) * MAX(0, MIN($D$1, DATE(Initialisatie!$C$5,12,31)) - MAX($D$2, DATE(Initialisatie!$C$5,1,1)) + 1),
        IFERROR(VALUE($E81),0) * MAX(0, MIN($E$1, DATE(Initialisatie!$C$5,12,31)) - MAX($E$2, DATE(Initialisatie!$C$5,1,1)) + 1),
        IFERROR(VALUE($F81),0) * MAX(0, MIN($F$1, DATE(Initialisatie!$C$5,12,31)) - MAX($F$2, DATE(Initialisatie!$C$5,1,1)) + 1),
        IFERROR(VALUE($G81),0) * MAX(0, MIN($G$1, DATE(Initialisatie!$C$5,12,31)) - MAX($G$2, DATE(Initialisatie!$C$5,1,1)) + 1),
        IFERROR(VALUE($H81),0) * MAX(0, MIN($H$1, DATE(Initialisatie!$C$5,12,31)) - MAX($H$2, DATE(Initialisatie!$C$5,1,1)) + 1)
    ) / (DATE(Initialisatie!$C$5,12,31) - DATE(Initialisatie!$C$5,1,1) + 1)
)</f>
        <v>3134.3780821917808</v>
      </c>
      <c r="K81">
        <f>IF(
    OR(
        AND(MAX(0, IF(MIN($D$1, DATE(Initialisatie!$C$5,12,31)) &lt; MAX($D$2, DATE(Initialisatie!$C$5,1,1)), 0, MONTH(MIN($D$1, DATE(Initialisatie!$C$5,12,31))) - MONTH(MAX($D$2, DATE(Initialisatie!$C$5,1,1))) + 1)) &lt;= 0, IFERROR(VALUE($D81),0)=0),
        AND(MAX(0, IF(MIN($E$1, DATE(Initialisatie!$C$5,12,31)) &lt; MAX($E$2, DATE(Initialisatie!$C$5,1,1)), 0, MONTH(MIN($E$1, DATE(Initialisatie!$C$5,12,31))) - MONTH(MAX($E$2, DATE(Initialisatie!$C$5,1,1))) + 1)) &lt;= 0, IFERROR(VALUE($E81),0)=0),
        AND(MAX(0, IF(MIN($F$1, DATE(Initialisatie!$C$5,12,31)) &lt; MAX($F$2, DATE(Initialisatie!$C$5,1,1)), 0, MONTH(MIN($F$1, DATE(Initialisatie!$C$5,12,31))) - MONTH(MAX($F$2, DATE(Initialisatie!$C$5,1,1))) + 1)) &lt;= 0, IFERROR(VALUE($F81),0)=0),
        AND(MAX(0, IF(MIN($G$1, DATE(Initialisatie!$C$5,12,31)) &lt; MAX($G$2, DATE(Initialisatie!$C$5,1,1)), 0, MONTH(MIN($G$1, DATE(Initialisatie!$C$5,12,31))) - MONTH(MAX($G$2, DATE(Initialisatie!$C$5,1,1))) + 1)) &lt;= 0, IFERROR(VALUE($G81),0)=0),
        AND(MAX(0, IF(MIN($H$1, DATE(Initialisatie!$C$5,12,31)) &lt; MAX($H$2, DATE(Initialisatie!$C$5,1,1)), 0, MONTH(MIN($H$1, DATE(Initialisatie!$C$5,12,31))) - MONTH(MAX($H$2, DATE(Initialisatie!$C$5,1,1))) + 1)) &lt;= 0, IFERROR(VALUE($H81),0)=0)
    ),
    0,
    SUM(
        IFERROR(VALUE($D81),0) * MAX(0, IF(MIN($D$1, DATE(Initialisatie!$C$5,12,31)) &lt; MAX($D$2, DATE(Initialisatie!$C$5,1,1)), 0, MONTH(MIN($D$1, DATE(Initialisatie!$C$5,12,31))) - MONTH(MAX($D$2, DATE(Initialisatie!$C$5,1,1))) + 1)),
        IFERROR(VALUE($E81),0) * MAX(0, IF(MIN($E$1, DATE(Initialisatie!$C$5,12,31)) &lt; MAX($E$2, DATE(Initialisatie!$C$5,1,1)), 0, MONTH(MIN($E$1, DATE(Initialisatie!$C$5,12,31))) - MONTH(MAX($E$2, DATE(Initialisatie!$C$5,1,1))) + 1)),
        IFERROR(VALUE($F81),0) * MAX(0, IF(MIN($F$1, DATE(Initialisatie!$C$5,12,31)) &lt; MAX($F$2, DATE(Initialisatie!$C$5,1,1)), 0, MONTH(MIN($F$1, DATE(Initialisatie!$C$5,12,31))) - MONTH(MAX($F$2, DATE(Initialisatie!$C$5,1,1))) + 1)),
        IFERROR(VALUE($G81),0) * MAX(0, IF(MIN($G$1, DATE(Initialisatie!$C$5,12,31)) &lt; MAX($G$2, DATE(Initialisatie!$C$5,1,1)), 0, MONTH(MIN($G$1, DATE(Initialisatie!$C$5,12,31))) - MONTH(MAX($G$2, DATE(Initialisatie!$C$5,1,1))) + 1)),
        IFERROR(VALUE($H81),0) * MAX(0, IF(MIN($H$1, DATE(Initialisatie!$C$5,12,31)) &lt; MAX($H$2, DATE(Initialisatie!$C$5,1,1)), 0, MONTH(MIN($H$1, DATE(Initialisatie!$C$5,12,31))) - MONTH(MAX($H$2, DATE(Initialisatie!$C$5,1,1))) + 1))
    ) / 12
)</f>
        <v>3134</v>
      </c>
    </row>
    <row r="82" spans="1:11" x14ac:dyDescent="0.45">
      <c r="A82" s="989"/>
      <c r="B82" s="371">
        <v>2</v>
      </c>
      <c r="C82" s="371" t="s">
        <v>1563</v>
      </c>
      <c r="D82" t="s">
        <v>1561</v>
      </c>
      <c r="E82" t="s">
        <v>1560</v>
      </c>
      <c r="F82" t="s">
        <v>1562</v>
      </c>
      <c r="G82" t="s">
        <v>1562</v>
      </c>
      <c r="H82" t="s">
        <v>1630</v>
      </c>
      <c r="J82">
        <f>IF(
    OR(
        AND(MAX(0, MIN($D$1, DATE(Initialisatie!$C$5,12,31)) - MAX($D$2, DATE(Initialisatie!$C$5,1,1)) + 1) &gt; 0,IFERROR(VALUE($D82),0)=0),
        AND(MAX(0, MIN($E$1, DATE(Initialisatie!$C$5,12,31)) - MAX($E$2, DATE(Initialisatie!$C$5,1,1)) + 1) &gt; 0,IFERROR(VALUE($E82),0)=0),
        AND(MAX(0, MIN($F$1, DATE(Initialisatie!$C$5,12,31)) - MAX($F$2, DATE(Initialisatie!$C$5,1,1)) + 1) &gt; 0,IFERROR(VALUE($F82),0)=0),
        AND(MAX(0, MIN($G$1, DATE(Initialisatie!$C$5,12,31)) - MAX($G$2, DATE(Initialisatie!$C$5,1,1)) + 1) &gt; 0,IFERROR(VALUE($G82),0)=0),
        AND(MAX(0, MIN($H$1, DATE(Initialisatie!$C$5,12,31)) - MAX($H$2, DATE(Initialisatie!$C$5,1,1)) + 1) &gt; 0,IFERROR(VALUE($H82),0)=0)
    ),
    0,
    SUM(
        IFERROR(VALUE($D82),0) * MAX(0, MIN($D$1, DATE(Initialisatie!$C$5,12,31)) - MAX($D$2, DATE(Initialisatie!$C$5,1,1)) + 1),
        IFERROR(VALUE($E82),0) * MAX(0, MIN($E$1, DATE(Initialisatie!$C$5,12,31)) - MAX($E$2, DATE(Initialisatie!$C$5,1,1)) + 1),
        IFERROR(VALUE($F82),0) * MAX(0, MIN($F$1, DATE(Initialisatie!$C$5,12,31)) - MAX($F$2, DATE(Initialisatie!$C$5,1,1)) + 1),
        IFERROR(VALUE($G82),0) * MAX(0, MIN($G$1, DATE(Initialisatie!$C$5,12,31)) - MAX($G$2, DATE(Initialisatie!$C$5,1,1)) + 1),
        IFERROR(VALUE($H82),0) * MAX(0, MIN($H$1, DATE(Initialisatie!$C$5,12,31)) - MAX($H$2, DATE(Initialisatie!$C$5,1,1)) + 1)
    ) / (DATE(Initialisatie!$C$5,12,31) - DATE(Initialisatie!$C$5,1,1) + 1)
)</f>
        <v>3277.8986301369864</v>
      </c>
      <c r="K82">
        <f>IF(
    OR(
        AND(MAX(0, IF(MIN($D$1, DATE(Initialisatie!$C$5,12,31)) &lt; MAX($D$2, DATE(Initialisatie!$C$5,1,1)), 0, MONTH(MIN($D$1, DATE(Initialisatie!$C$5,12,31))) - MONTH(MAX($D$2, DATE(Initialisatie!$C$5,1,1))) + 1)) &lt;= 0, IFERROR(VALUE($D82),0)=0),
        AND(MAX(0, IF(MIN($E$1, DATE(Initialisatie!$C$5,12,31)) &lt; MAX($E$2, DATE(Initialisatie!$C$5,1,1)), 0, MONTH(MIN($E$1, DATE(Initialisatie!$C$5,12,31))) - MONTH(MAX($E$2, DATE(Initialisatie!$C$5,1,1))) + 1)) &lt;= 0, IFERROR(VALUE($E82),0)=0),
        AND(MAX(0, IF(MIN($F$1, DATE(Initialisatie!$C$5,12,31)) &lt; MAX($F$2, DATE(Initialisatie!$C$5,1,1)), 0, MONTH(MIN($F$1, DATE(Initialisatie!$C$5,12,31))) - MONTH(MAX($F$2, DATE(Initialisatie!$C$5,1,1))) + 1)) &lt;= 0, IFERROR(VALUE($F82),0)=0),
        AND(MAX(0, IF(MIN($G$1, DATE(Initialisatie!$C$5,12,31)) &lt; MAX($G$2, DATE(Initialisatie!$C$5,1,1)), 0, MONTH(MIN($G$1, DATE(Initialisatie!$C$5,12,31))) - MONTH(MAX($G$2, DATE(Initialisatie!$C$5,1,1))) + 1)) &lt;= 0, IFERROR(VALUE($G82),0)=0),
        AND(MAX(0, IF(MIN($H$1, DATE(Initialisatie!$C$5,12,31)) &lt; MAX($H$2, DATE(Initialisatie!$C$5,1,1)), 0, MONTH(MIN($H$1, DATE(Initialisatie!$C$5,12,31))) - MONTH(MAX($H$2, DATE(Initialisatie!$C$5,1,1))) + 1)) &lt;= 0, IFERROR(VALUE($H82),0)=0)
    ),
    0,
    SUM(
        IFERROR(VALUE($D82),0) * MAX(0, IF(MIN($D$1, DATE(Initialisatie!$C$5,12,31)) &lt; MAX($D$2, DATE(Initialisatie!$C$5,1,1)), 0, MONTH(MIN($D$1, DATE(Initialisatie!$C$5,12,31))) - MONTH(MAX($D$2, DATE(Initialisatie!$C$5,1,1))) + 1)),
        IFERROR(VALUE($E82),0) * MAX(0, IF(MIN($E$1, DATE(Initialisatie!$C$5,12,31)) &lt; MAX($E$2, DATE(Initialisatie!$C$5,1,1)), 0, MONTH(MIN($E$1, DATE(Initialisatie!$C$5,12,31))) - MONTH(MAX($E$2, DATE(Initialisatie!$C$5,1,1))) + 1)),
        IFERROR(VALUE($F82),0) * MAX(0, IF(MIN($F$1, DATE(Initialisatie!$C$5,12,31)) &lt; MAX($F$2, DATE(Initialisatie!$C$5,1,1)), 0, MONTH(MIN($F$1, DATE(Initialisatie!$C$5,12,31))) - MONTH(MAX($F$2, DATE(Initialisatie!$C$5,1,1))) + 1)),
        IFERROR(VALUE($G82),0) * MAX(0, IF(MIN($G$1, DATE(Initialisatie!$C$5,12,31)) &lt; MAX($G$2, DATE(Initialisatie!$C$5,1,1)), 0, MONTH(MIN($G$1, DATE(Initialisatie!$C$5,12,31))) - MONTH(MAX($G$2, DATE(Initialisatie!$C$5,1,1))) + 1)),
        IFERROR(VALUE($H82),0) * MAX(0, IF(MIN($H$1, DATE(Initialisatie!$C$5,12,31)) &lt; MAX($H$2, DATE(Initialisatie!$C$5,1,1)), 0, MONTH(MIN($H$1, DATE(Initialisatie!$C$5,12,31))) - MONTH(MAX($H$2, DATE(Initialisatie!$C$5,1,1))) + 1))
    ) / 12
)</f>
        <v>3277.5</v>
      </c>
    </row>
    <row r="83" spans="1:11" x14ac:dyDescent="0.45">
      <c r="A83" s="989"/>
      <c r="B83" s="371">
        <v>3</v>
      </c>
      <c r="C83" s="371" t="s">
        <v>1559</v>
      </c>
      <c r="D83" t="s">
        <v>1557</v>
      </c>
      <c r="E83" t="s">
        <v>1556</v>
      </c>
      <c r="F83" t="s">
        <v>1558</v>
      </c>
      <c r="G83" t="s">
        <v>1558</v>
      </c>
      <c r="H83" t="s">
        <v>1631</v>
      </c>
      <c r="J83">
        <f>IF(
    OR(
        AND(MAX(0, MIN($D$1, DATE(Initialisatie!$C$5,12,31)) - MAX($D$2, DATE(Initialisatie!$C$5,1,1)) + 1) &gt; 0,IFERROR(VALUE($D83),0)=0),
        AND(MAX(0, MIN($E$1, DATE(Initialisatie!$C$5,12,31)) - MAX($E$2, DATE(Initialisatie!$C$5,1,1)) + 1) &gt; 0,IFERROR(VALUE($E83),0)=0),
        AND(MAX(0, MIN($F$1, DATE(Initialisatie!$C$5,12,31)) - MAX($F$2, DATE(Initialisatie!$C$5,1,1)) + 1) &gt; 0,IFERROR(VALUE($F83),0)=0),
        AND(MAX(0, MIN($G$1, DATE(Initialisatie!$C$5,12,31)) - MAX($G$2, DATE(Initialisatie!$C$5,1,1)) + 1) &gt; 0,IFERROR(VALUE($G83),0)=0),
        AND(MAX(0, MIN($H$1, DATE(Initialisatie!$C$5,12,31)) - MAX($H$2, DATE(Initialisatie!$C$5,1,1)) + 1) &gt; 0,IFERROR(VALUE($H83),0)=0)
    ),
    0,
    SUM(
        IFERROR(VALUE($D83),0) * MAX(0, MIN($D$1, DATE(Initialisatie!$C$5,12,31)) - MAX($D$2, DATE(Initialisatie!$C$5,1,1)) + 1),
        IFERROR(VALUE($E83),0) * MAX(0, MIN($E$1, DATE(Initialisatie!$C$5,12,31)) - MAX($E$2, DATE(Initialisatie!$C$5,1,1)) + 1),
        IFERROR(VALUE($F83),0) * MAX(0, MIN($F$1, DATE(Initialisatie!$C$5,12,31)) - MAX($F$2, DATE(Initialisatie!$C$5,1,1)) + 1),
        IFERROR(VALUE($G83),0) * MAX(0, MIN($G$1, DATE(Initialisatie!$C$5,12,31)) - MAX($G$2, DATE(Initialisatie!$C$5,1,1)) + 1),
        IFERROR(VALUE($H83),0) * MAX(0, MIN($H$1, DATE(Initialisatie!$C$5,12,31)) - MAX($H$2, DATE(Initialisatie!$C$5,1,1)) + 1)
    ) / (DATE(Initialisatie!$C$5,12,31) - DATE(Initialisatie!$C$5,1,1) + 1)
)</f>
        <v>3353.9068493150685</v>
      </c>
      <c r="K83">
        <f>IF(
    OR(
        AND(MAX(0, IF(MIN($D$1, DATE(Initialisatie!$C$5,12,31)) &lt; MAX($D$2, DATE(Initialisatie!$C$5,1,1)), 0, MONTH(MIN($D$1, DATE(Initialisatie!$C$5,12,31))) - MONTH(MAX($D$2, DATE(Initialisatie!$C$5,1,1))) + 1)) &lt;= 0, IFERROR(VALUE($D83),0)=0),
        AND(MAX(0, IF(MIN($E$1, DATE(Initialisatie!$C$5,12,31)) &lt; MAX($E$2, DATE(Initialisatie!$C$5,1,1)), 0, MONTH(MIN($E$1, DATE(Initialisatie!$C$5,12,31))) - MONTH(MAX($E$2, DATE(Initialisatie!$C$5,1,1))) + 1)) &lt;= 0, IFERROR(VALUE($E83),0)=0),
        AND(MAX(0, IF(MIN($F$1, DATE(Initialisatie!$C$5,12,31)) &lt; MAX($F$2, DATE(Initialisatie!$C$5,1,1)), 0, MONTH(MIN($F$1, DATE(Initialisatie!$C$5,12,31))) - MONTH(MAX($F$2, DATE(Initialisatie!$C$5,1,1))) + 1)) &lt;= 0, IFERROR(VALUE($F83),0)=0),
        AND(MAX(0, IF(MIN($G$1, DATE(Initialisatie!$C$5,12,31)) &lt; MAX($G$2, DATE(Initialisatie!$C$5,1,1)), 0, MONTH(MIN($G$1, DATE(Initialisatie!$C$5,12,31))) - MONTH(MAX($G$2, DATE(Initialisatie!$C$5,1,1))) + 1)) &lt;= 0, IFERROR(VALUE($G83),0)=0),
        AND(MAX(0, IF(MIN($H$1, DATE(Initialisatie!$C$5,12,31)) &lt; MAX($H$2, DATE(Initialisatie!$C$5,1,1)), 0, MONTH(MIN($H$1, DATE(Initialisatie!$C$5,12,31))) - MONTH(MAX($H$2, DATE(Initialisatie!$C$5,1,1))) + 1)) &lt;= 0, IFERROR(VALUE($H83),0)=0)
    ),
    0,
    SUM(
        IFERROR(VALUE($D83),0) * MAX(0, IF(MIN($D$1, DATE(Initialisatie!$C$5,12,31)) &lt; MAX($D$2, DATE(Initialisatie!$C$5,1,1)), 0, MONTH(MIN($D$1, DATE(Initialisatie!$C$5,12,31))) - MONTH(MAX($D$2, DATE(Initialisatie!$C$5,1,1))) + 1)),
        IFERROR(VALUE($E83),0) * MAX(0, IF(MIN($E$1, DATE(Initialisatie!$C$5,12,31)) &lt; MAX($E$2, DATE(Initialisatie!$C$5,1,1)), 0, MONTH(MIN($E$1, DATE(Initialisatie!$C$5,12,31))) - MONTH(MAX($E$2, DATE(Initialisatie!$C$5,1,1))) + 1)),
        IFERROR(VALUE($F83),0) * MAX(0, IF(MIN($F$1, DATE(Initialisatie!$C$5,12,31)) &lt; MAX($F$2, DATE(Initialisatie!$C$5,1,1)), 0, MONTH(MIN($F$1, DATE(Initialisatie!$C$5,12,31))) - MONTH(MAX($F$2, DATE(Initialisatie!$C$5,1,1))) + 1)),
        IFERROR(VALUE($G83),0) * MAX(0, IF(MIN($G$1, DATE(Initialisatie!$C$5,12,31)) &lt; MAX($G$2, DATE(Initialisatie!$C$5,1,1)), 0, MONTH(MIN($G$1, DATE(Initialisatie!$C$5,12,31))) - MONTH(MAX($G$2, DATE(Initialisatie!$C$5,1,1))) + 1)),
        IFERROR(VALUE($H83),0) * MAX(0, IF(MIN($H$1, DATE(Initialisatie!$C$5,12,31)) &lt; MAX($H$2, DATE(Initialisatie!$C$5,1,1)), 0, MONTH(MIN($H$1, DATE(Initialisatie!$C$5,12,31))) - MONTH(MAX($H$2, DATE(Initialisatie!$C$5,1,1))) + 1))
    ) / 12
)</f>
        <v>3353.5</v>
      </c>
    </row>
    <row r="84" spans="1:11" x14ac:dyDescent="0.45">
      <c r="A84" s="989"/>
      <c r="B84" s="371">
        <v>4</v>
      </c>
      <c r="C84" s="371" t="s">
        <v>1555</v>
      </c>
      <c r="D84" t="s">
        <v>1553</v>
      </c>
      <c r="E84" t="s">
        <v>1552</v>
      </c>
      <c r="F84" t="s">
        <v>1554</v>
      </c>
      <c r="G84" t="s">
        <v>1554</v>
      </c>
      <c r="H84" t="s">
        <v>1632</v>
      </c>
      <c r="J84">
        <f>IF(
    OR(
        AND(MAX(0, MIN($D$1, DATE(Initialisatie!$C$5,12,31)) - MAX($D$2, DATE(Initialisatie!$C$5,1,1)) + 1) &gt; 0,IFERROR(VALUE($D84),0)=0),
        AND(MAX(0, MIN($E$1, DATE(Initialisatie!$C$5,12,31)) - MAX($E$2, DATE(Initialisatie!$C$5,1,1)) + 1) &gt; 0,IFERROR(VALUE($E84),0)=0),
        AND(MAX(0, MIN($F$1, DATE(Initialisatie!$C$5,12,31)) - MAX($F$2, DATE(Initialisatie!$C$5,1,1)) + 1) &gt; 0,IFERROR(VALUE($F84),0)=0),
        AND(MAX(0, MIN($G$1, DATE(Initialisatie!$C$5,12,31)) - MAX($G$2, DATE(Initialisatie!$C$5,1,1)) + 1) &gt; 0,IFERROR(VALUE($G84),0)=0),
        AND(MAX(0, MIN($H$1, DATE(Initialisatie!$C$5,12,31)) - MAX($H$2, DATE(Initialisatie!$C$5,1,1)) + 1) &gt; 0,IFERROR(VALUE($H84),0)=0)
    ),
    0,
    SUM(
        IFERROR(VALUE($D84),0) * MAX(0, MIN($D$1, DATE(Initialisatie!$C$5,12,31)) - MAX($D$2, DATE(Initialisatie!$C$5,1,1)) + 1),
        IFERROR(VALUE($E84),0) * MAX(0, MIN($E$1, DATE(Initialisatie!$C$5,12,31)) - MAX($E$2, DATE(Initialisatie!$C$5,1,1)) + 1),
        IFERROR(VALUE($F84),0) * MAX(0, MIN($F$1, DATE(Initialisatie!$C$5,12,31)) - MAX($F$2, DATE(Initialisatie!$C$5,1,1)) + 1),
        IFERROR(VALUE($G84),0) * MAX(0, MIN($G$1, DATE(Initialisatie!$C$5,12,31)) - MAX($G$2, DATE(Initialisatie!$C$5,1,1)) + 1),
        IFERROR(VALUE($H84),0) * MAX(0, MIN($H$1, DATE(Initialisatie!$C$5,12,31)) - MAX($H$2, DATE(Initialisatie!$C$5,1,1)) + 1)
    ) / (DATE(Initialisatie!$C$5,12,31) - DATE(Initialisatie!$C$5,1,1) + 1)
)</f>
        <v>3430.4191780821916</v>
      </c>
      <c r="K84">
        <f>IF(
    OR(
        AND(MAX(0, IF(MIN($D$1, DATE(Initialisatie!$C$5,12,31)) &lt; MAX($D$2, DATE(Initialisatie!$C$5,1,1)), 0, MONTH(MIN($D$1, DATE(Initialisatie!$C$5,12,31))) - MONTH(MAX($D$2, DATE(Initialisatie!$C$5,1,1))) + 1)) &lt;= 0, IFERROR(VALUE($D84),0)=0),
        AND(MAX(0, IF(MIN($E$1, DATE(Initialisatie!$C$5,12,31)) &lt; MAX($E$2, DATE(Initialisatie!$C$5,1,1)), 0, MONTH(MIN($E$1, DATE(Initialisatie!$C$5,12,31))) - MONTH(MAX($E$2, DATE(Initialisatie!$C$5,1,1))) + 1)) &lt;= 0, IFERROR(VALUE($E84),0)=0),
        AND(MAX(0, IF(MIN($F$1, DATE(Initialisatie!$C$5,12,31)) &lt; MAX($F$2, DATE(Initialisatie!$C$5,1,1)), 0, MONTH(MIN($F$1, DATE(Initialisatie!$C$5,12,31))) - MONTH(MAX($F$2, DATE(Initialisatie!$C$5,1,1))) + 1)) &lt;= 0, IFERROR(VALUE($F84),0)=0),
        AND(MAX(0, IF(MIN($G$1, DATE(Initialisatie!$C$5,12,31)) &lt; MAX($G$2, DATE(Initialisatie!$C$5,1,1)), 0, MONTH(MIN($G$1, DATE(Initialisatie!$C$5,12,31))) - MONTH(MAX($G$2, DATE(Initialisatie!$C$5,1,1))) + 1)) &lt;= 0, IFERROR(VALUE($G84),0)=0),
        AND(MAX(0, IF(MIN($H$1, DATE(Initialisatie!$C$5,12,31)) &lt; MAX($H$2, DATE(Initialisatie!$C$5,1,1)), 0, MONTH(MIN($H$1, DATE(Initialisatie!$C$5,12,31))) - MONTH(MAX($H$2, DATE(Initialisatie!$C$5,1,1))) + 1)) &lt;= 0, IFERROR(VALUE($H84),0)=0)
    ),
    0,
    SUM(
        IFERROR(VALUE($D84),0) * MAX(0, IF(MIN($D$1, DATE(Initialisatie!$C$5,12,31)) &lt; MAX($D$2, DATE(Initialisatie!$C$5,1,1)), 0, MONTH(MIN($D$1, DATE(Initialisatie!$C$5,12,31))) - MONTH(MAX($D$2, DATE(Initialisatie!$C$5,1,1))) + 1)),
        IFERROR(VALUE($E84),0) * MAX(0, IF(MIN($E$1, DATE(Initialisatie!$C$5,12,31)) &lt; MAX($E$2, DATE(Initialisatie!$C$5,1,1)), 0, MONTH(MIN($E$1, DATE(Initialisatie!$C$5,12,31))) - MONTH(MAX($E$2, DATE(Initialisatie!$C$5,1,1))) + 1)),
        IFERROR(VALUE($F84),0) * MAX(0, IF(MIN($F$1, DATE(Initialisatie!$C$5,12,31)) &lt; MAX($F$2, DATE(Initialisatie!$C$5,1,1)), 0, MONTH(MIN($F$1, DATE(Initialisatie!$C$5,12,31))) - MONTH(MAX($F$2, DATE(Initialisatie!$C$5,1,1))) + 1)),
        IFERROR(VALUE($G84),0) * MAX(0, IF(MIN($G$1, DATE(Initialisatie!$C$5,12,31)) &lt; MAX($G$2, DATE(Initialisatie!$C$5,1,1)), 0, MONTH(MIN($G$1, DATE(Initialisatie!$C$5,12,31))) - MONTH(MAX($G$2, DATE(Initialisatie!$C$5,1,1))) + 1)),
        IFERROR(VALUE($H84),0) * MAX(0, IF(MIN($H$1, DATE(Initialisatie!$C$5,12,31)) &lt; MAX($H$2, DATE(Initialisatie!$C$5,1,1)), 0, MONTH(MIN($H$1, DATE(Initialisatie!$C$5,12,31))) - MONTH(MAX($H$2, DATE(Initialisatie!$C$5,1,1))) + 1))
    ) / 12
)</f>
        <v>3430</v>
      </c>
    </row>
    <row r="85" spans="1:11" x14ac:dyDescent="0.45">
      <c r="A85" s="989"/>
      <c r="B85" s="371">
        <v>5</v>
      </c>
      <c r="C85" s="371" t="s">
        <v>1543</v>
      </c>
      <c r="D85" t="s">
        <v>1541</v>
      </c>
      <c r="E85" t="s">
        <v>1540</v>
      </c>
      <c r="F85" t="s">
        <v>1542</v>
      </c>
      <c r="G85" t="s">
        <v>1542</v>
      </c>
      <c r="H85" t="s">
        <v>1633</v>
      </c>
      <c r="J85">
        <f>IF(
    OR(
        AND(MAX(0, MIN($D$1, DATE(Initialisatie!$C$5,12,31)) - MAX($D$2, DATE(Initialisatie!$C$5,1,1)) + 1) &gt; 0,IFERROR(VALUE($D85),0)=0),
        AND(MAX(0, MIN($E$1, DATE(Initialisatie!$C$5,12,31)) - MAX($E$2, DATE(Initialisatie!$C$5,1,1)) + 1) &gt; 0,IFERROR(VALUE($E85),0)=0),
        AND(MAX(0, MIN($F$1, DATE(Initialisatie!$C$5,12,31)) - MAX($F$2, DATE(Initialisatie!$C$5,1,1)) + 1) &gt; 0,IFERROR(VALUE($F85),0)=0),
        AND(MAX(0, MIN($G$1, DATE(Initialisatie!$C$5,12,31)) - MAX($G$2, DATE(Initialisatie!$C$5,1,1)) + 1) &gt; 0,IFERROR(VALUE($G85),0)=0),
        AND(MAX(0, MIN($H$1, DATE(Initialisatie!$C$5,12,31)) - MAX($H$2, DATE(Initialisatie!$C$5,1,1)) + 1) &gt; 0,IFERROR(VALUE($H85),0)=0)
    ),
    0,
    SUM(
        IFERROR(VALUE($D85),0) * MAX(0, MIN($D$1, DATE(Initialisatie!$C$5,12,31)) - MAX($D$2, DATE(Initialisatie!$C$5,1,1)) + 1),
        IFERROR(VALUE($E85),0) * MAX(0, MIN($E$1, DATE(Initialisatie!$C$5,12,31)) - MAX($E$2, DATE(Initialisatie!$C$5,1,1)) + 1),
        IFERROR(VALUE($F85),0) * MAX(0, MIN($F$1, DATE(Initialisatie!$C$5,12,31)) - MAX($F$2, DATE(Initialisatie!$C$5,1,1)) + 1),
        IFERROR(VALUE($G85),0) * MAX(0, MIN($G$1, DATE(Initialisatie!$C$5,12,31)) - MAX($G$2, DATE(Initialisatie!$C$5,1,1)) + 1),
        IFERROR(VALUE($H85),0) * MAX(0, MIN($H$1, DATE(Initialisatie!$C$5,12,31)) - MAX($H$2, DATE(Initialisatie!$C$5,1,1)) + 1)
    ) / (DATE(Initialisatie!$C$5,12,31) - DATE(Initialisatie!$C$5,1,1) + 1)
)</f>
        <v>3508.4273972602741</v>
      </c>
      <c r="K85">
        <f>IF(
    OR(
        AND(MAX(0, IF(MIN($D$1, DATE(Initialisatie!$C$5,12,31)) &lt; MAX($D$2, DATE(Initialisatie!$C$5,1,1)), 0, MONTH(MIN($D$1, DATE(Initialisatie!$C$5,12,31))) - MONTH(MAX($D$2, DATE(Initialisatie!$C$5,1,1))) + 1)) &lt;= 0, IFERROR(VALUE($D85),0)=0),
        AND(MAX(0, IF(MIN($E$1, DATE(Initialisatie!$C$5,12,31)) &lt; MAX($E$2, DATE(Initialisatie!$C$5,1,1)), 0, MONTH(MIN($E$1, DATE(Initialisatie!$C$5,12,31))) - MONTH(MAX($E$2, DATE(Initialisatie!$C$5,1,1))) + 1)) &lt;= 0, IFERROR(VALUE($E85),0)=0),
        AND(MAX(0, IF(MIN($F$1, DATE(Initialisatie!$C$5,12,31)) &lt; MAX($F$2, DATE(Initialisatie!$C$5,1,1)), 0, MONTH(MIN($F$1, DATE(Initialisatie!$C$5,12,31))) - MONTH(MAX($F$2, DATE(Initialisatie!$C$5,1,1))) + 1)) &lt;= 0, IFERROR(VALUE($F85),0)=0),
        AND(MAX(0, IF(MIN($G$1, DATE(Initialisatie!$C$5,12,31)) &lt; MAX($G$2, DATE(Initialisatie!$C$5,1,1)), 0, MONTH(MIN($G$1, DATE(Initialisatie!$C$5,12,31))) - MONTH(MAX($G$2, DATE(Initialisatie!$C$5,1,1))) + 1)) &lt;= 0, IFERROR(VALUE($G85),0)=0),
        AND(MAX(0, IF(MIN($H$1, DATE(Initialisatie!$C$5,12,31)) &lt; MAX($H$2, DATE(Initialisatie!$C$5,1,1)), 0, MONTH(MIN($H$1, DATE(Initialisatie!$C$5,12,31))) - MONTH(MAX($H$2, DATE(Initialisatie!$C$5,1,1))) + 1)) &lt;= 0, IFERROR(VALUE($H85),0)=0)
    ),
    0,
    SUM(
        IFERROR(VALUE($D85),0) * MAX(0, IF(MIN($D$1, DATE(Initialisatie!$C$5,12,31)) &lt; MAX($D$2, DATE(Initialisatie!$C$5,1,1)), 0, MONTH(MIN($D$1, DATE(Initialisatie!$C$5,12,31))) - MONTH(MAX($D$2, DATE(Initialisatie!$C$5,1,1))) + 1)),
        IFERROR(VALUE($E85),0) * MAX(0, IF(MIN($E$1, DATE(Initialisatie!$C$5,12,31)) &lt; MAX($E$2, DATE(Initialisatie!$C$5,1,1)), 0, MONTH(MIN($E$1, DATE(Initialisatie!$C$5,12,31))) - MONTH(MAX($E$2, DATE(Initialisatie!$C$5,1,1))) + 1)),
        IFERROR(VALUE($F85),0) * MAX(0, IF(MIN($F$1, DATE(Initialisatie!$C$5,12,31)) &lt; MAX($F$2, DATE(Initialisatie!$C$5,1,1)), 0, MONTH(MIN($F$1, DATE(Initialisatie!$C$5,12,31))) - MONTH(MAX($F$2, DATE(Initialisatie!$C$5,1,1))) + 1)),
        IFERROR(VALUE($G85),0) * MAX(0, IF(MIN($G$1, DATE(Initialisatie!$C$5,12,31)) &lt; MAX($G$2, DATE(Initialisatie!$C$5,1,1)), 0, MONTH(MIN($G$1, DATE(Initialisatie!$C$5,12,31))) - MONTH(MAX($G$2, DATE(Initialisatie!$C$5,1,1))) + 1)),
        IFERROR(VALUE($H85),0) * MAX(0, IF(MIN($H$1, DATE(Initialisatie!$C$5,12,31)) &lt; MAX($H$2, DATE(Initialisatie!$C$5,1,1)), 0, MONTH(MIN($H$1, DATE(Initialisatie!$C$5,12,31))) - MONTH(MAX($H$2, DATE(Initialisatie!$C$5,1,1))) + 1))
    ) / 12
)</f>
        <v>3508</v>
      </c>
    </row>
    <row r="86" spans="1:11" x14ac:dyDescent="0.45">
      <c r="A86" s="989"/>
      <c r="B86" s="371">
        <v>6</v>
      </c>
      <c r="C86" s="371" t="s">
        <v>1551</v>
      </c>
      <c r="D86" t="s">
        <v>1549</v>
      </c>
      <c r="E86" t="s">
        <v>1548</v>
      </c>
      <c r="F86" t="s">
        <v>1550</v>
      </c>
      <c r="G86" t="s">
        <v>1550</v>
      </c>
      <c r="H86" t="s">
        <v>1634</v>
      </c>
      <c r="J86">
        <f>IF(
    OR(
        AND(MAX(0, MIN($D$1, DATE(Initialisatie!$C$5,12,31)) - MAX($D$2, DATE(Initialisatie!$C$5,1,1)) + 1) &gt; 0,IFERROR(VALUE($D86),0)=0),
        AND(MAX(0, MIN($E$1, DATE(Initialisatie!$C$5,12,31)) - MAX($E$2, DATE(Initialisatie!$C$5,1,1)) + 1) &gt; 0,IFERROR(VALUE($E86),0)=0),
        AND(MAX(0, MIN($F$1, DATE(Initialisatie!$C$5,12,31)) - MAX($F$2, DATE(Initialisatie!$C$5,1,1)) + 1) &gt; 0,IFERROR(VALUE($F86),0)=0),
        AND(MAX(0, MIN($G$1, DATE(Initialisatie!$C$5,12,31)) - MAX($G$2, DATE(Initialisatie!$C$5,1,1)) + 1) &gt; 0,IFERROR(VALUE($G86),0)=0),
        AND(MAX(0, MIN($H$1, DATE(Initialisatie!$C$5,12,31)) - MAX($H$2, DATE(Initialisatie!$C$5,1,1)) + 1) &gt; 0,IFERROR(VALUE($H86),0)=0)
    ),
    0,
    SUM(
        IFERROR(VALUE($D86),0) * MAX(0, MIN($D$1, DATE(Initialisatie!$C$5,12,31)) - MAX($D$2, DATE(Initialisatie!$C$5,1,1)) + 1),
        IFERROR(VALUE($E86),0) * MAX(0, MIN($E$1, DATE(Initialisatie!$C$5,12,31)) - MAX($E$2, DATE(Initialisatie!$C$5,1,1)) + 1),
        IFERROR(VALUE($F86),0) * MAX(0, MIN($F$1, DATE(Initialisatie!$C$5,12,31)) - MAX($F$2, DATE(Initialisatie!$C$5,1,1)) + 1),
        IFERROR(VALUE($G86),0) * MAX(0, MIN($G$1, DATE(Initialisatie!$C$5,12,31)) - MAX($G$2, DATE(Initialisatie!$C$5,1,1)) + 1),
        IFERROR(VALUE($H86),0) * MAX(0, MIN($H$1, DATE(Initialisatie!$C$5,12,31)) - MAX($H$2, DATE(Initialisatie!$C$5,1,1)) + 1)
    ) / (DATE(Initialisatie!$C$5,12,31) - DATE(Initialisatie!$C$5,1,1) + 1)
)</f>
        <v>3590.4356164383562</v>
      </c>
      <c r="K86">
        <f>IF(
    OR(
        AND(MAX(0, IF(MIN($D$1, DATE(Initialisatie!$C$5,12,31)) &lt; MAX($D$2, DATE(Initialisatie!$C$5,1,1)), 0, MONTH(MIN($D$1, DATE(Initialisatie!$C$5,12,31))) - MONTH(MAX($D$2, DATE(Initialisatie!$C$5,1,1))) + 1)) &lt;= 0, IFERROR(VALUE($D86),0)=0),
        AND(MAX(0, IF(MIN($E$1, DATE(Initialisatie!$C$5,12,31)) &lt; MAX($E$2, DATE(Initialisatie!$C$5,1,1)), 0, MONTH(MIN($E$1, DATE(Initialisatie!$C$5,12,31))) - MONTH(MAX($E$2, DATE(Initialisatie!$C$5,1,1))) + 1)) &lt;= 0, IFERROR(VALUE($E86),0)=0),
        AND(MAX(0, IF(MIN($F$1, DATE(Initialisatie!$C$5,12,31)) &lt; MAX($F$2, DATE(Initialisatie!$C$5,1,1)), 0, MONTH(MIN($F$1, DATE(Initialisatie!$C$5,12,31))) - MONTH(MAX($F$2, DATE(Initialisatie!$C$5,1,1))) + 1)) &lt;= 0, IFERROR(VALUE($F86),0)=0),
        AND(MAX(0, IF(MIN($G$1, DATE(Initialisatie!$C$5,12,31)) &lt; MAX($G$2, DATE(Initialisatie!$C$5,1,1)), 0, MONTH(MIN($G$1, DATE(Initialisatie!$C$5,12,31))) - MONTH(MAX($G$2, DATE(Initialisatie!$C$5,1,1))) + 1)) &lt;= 0, IFERROR(VALUE($G86),0)=0),
        AND(MAX(0, IF(MIN($H$1, DATE(Initialisatie!$C$5,12,31)) &lt; MAX($H$2, DATE(Initialisatie!$C$5,1,1)), 0, MONTH(MIN($H$1, DATE(Initialisatie!$C$5,12,31))) - MONTH(MAX($H$2, DATE(Initialisatie!$C$5,1,1))) + 1)) &lt;= 0, IFERROR(VALUE($H86),0)=0)
    ),
    0,
    SUM(
        IFERROR(VALUE($D86),0) * MAX(0, IF(MIN($D$1, DATE(Initialisatie!$C$5,12,31)) &lt; MAX($D$2, DATE(Initialisatie!$C$5,1,1)), 0, MONTH(MIN($D$1, DATE(Initialisatie!$C$5,12,31))) - MONTH(MAX($D$2, DATE(Initialisatie!$C$5,1,1))) + 1)),
        IFERROR(VALUE($E86),0) * MAX(0, IF(MIN($E$1, DATE(Initialisatie!$C$5,12,31)) &lt; MAX($E$2, DATE(Initialisatie!$C$5,1,1)), 0, MONTH(MIN($E$1, DATE(Initialisatie!$C$5,12,31))) - MONTH(MAX($E$2, DATE(Initialisatie!$C$5,1,1))) + 1)),
        IFERROR(VALUE($F86),0) * MAX(0, IF(MIN($F$1, DATE(Initialisatie!$C$5,12,31)) &lt; MAX($F$2, DATE(Initialisatie!$C$5,1,1)), 0, MONTH(MIN($F$1, DATE(Initialisatie!$C$5,12,31))) - MONTH(MAX($F$2, DATE(Initialisatie!$C$5,1,1))) + 1)),
        IFERROR(VALUE($G86),0) * MAX(0, IF(MIN($G$1, DATE(Initialisatie!$C$5,12,31)) &lt; MAX($G$2, DATE(Initialisatie!$C$5,1,1)), 0, MONTH(MIN($G$1, DATE(Initialisatie!$C$5,12,31))) - MONTH(MAX($G$2, DATE(Initialisatie!$C$5,1,1))) + 1)),
        IFERROR(VALUE($H86),0) * MAX(0, IF(MIN($H$1, DATE(Initialisatie!$C$5,12,31)) &lt; MAX($H$2, DATE(Initialisatie!$C$5,1,1)), 0, MONTH(MIN($H$1, DATE(Initialisatie!$C$5,12,31))) - MONTH(MAX($H$2, DATE(Initialisatie!$C$5,1,1))) + 1))
    ) / 12
)</f>
        <v>3590</v>
      </c>
    </row>
    <row r="87" spans="1:11" x14ac:dyDescent="0.45">
      <c r="A87" s="989"/>
      <c r="B87" s="371">
        <v>7</v>
      </c>
      <c r="C87" s="371" t="s">
        <v>1539</v>
      </c>
      <c r="D87" t="s">
        <v>1537</v>
      </c>
      <c r="E87" t="s">
        <v>1536</v>
      </c>
      <c r="F87" t="s">
        <v>1538</v>
      </c>
      <c r="G87" t="s">
        <v>1538</v>
      </c>
      <c r="H87" t="s">
        <v>1635</v>
      </c>
      <c r="J87">
        <f>IF(
    OR(
        AND(MAX(0, MIN($D$1, DATE(Initialisatie!$C$5,12,31)) - MAX($D$2, DATE(Initialisatie!$C$5,1,1)) + 1) &gt; 0,IFERROR(VALUE($D87),0)=0),
        AND(MAX(0, MIN($E$1, DATE(Initialisatie!$C$5,12,31)) - MAX($E$2, DATE(Initialisatie!$C$5,1,1)) + 1) &gt; 0,IFERROR(VALUE($E87),0)=0),
        AND(MAX(0, MIN($F$1, DATE(Initialisatie!$C$5,12,31)) - MAX($F$2, DATE(Initialisatie!$C$5,1,1)) + 1) &gt; 0,IFERROR(VALUE($F87),0)=0),
        AND(MAX(0, MIN($G$1, DATE(Initialisatie!$C$5,12,31)) - MAX($G$2, DATE(Initialisatie!$C$5,1,1)) + 1) &gt; 0,IFERROR(VALUE($G87),0)=0),
        AND(MAX(0, MIN($H$1, DATE(Initialisatie!$C$5,12,31)) - MAX($H$2, DATE(Initialisatie!$C$5,1,1)) + 1) &gt; 0,IFERROR(VALUE($H87),0)=0)
    ),
    0,
    SUM(
        IFERROR(VALUE($D87),0) * MAX(0, MIN($D$1, DATE(Initialisatie!$C$5,12,31)) - MAX($D$2, DATE(Initialisatie!$C$5,1,1)) + 1),
        IFERROR(VALUE($E87),0) * MAX(0, MIN($E$1, DATE(Initialisatie!$C$5,12,31)) - MAX($E$2, DATE(Initialisatie!$C$5,1,1)) + 1),
        IFERROR(VALUE($F87),0) * MAX(0, MIN($F$1, DATE(Initialisatie!$C$5,12,31)) - MAX($F$2, DATE(Initialisatie!$C$5,1,1)) + 1),
        IFERROR(VALUE($G87),0) * MAX(0, MIN($G$1, DATE(Initialisatie!$C$5,12,31)) - MAX($G$2, DATE(Initialisatie!$C$5,1,1)) + 1),
        IFERROR(VALUE($H87),0) * MAX(0, MIN($H$1, DATE(Initialisatie!$C$5,12,31)) - MAX($H$2, DATE(Initialisatie!$C$5,1,1)) + 1)
    ) / (DATE(Initialisatie!$C$5,12,31) - DATE(Initialisatie!$C$5,1,1) + 1)
)</f>
        <v>3675.9479452054793</v>
      </c>
      <c r="K87">
        <f>IF(
    OR(
        AND(MAX(0, IF(MIN($D$1, DATE(Initialisatie!$C$5,12,31)) &lt; MAX($D$2, DATE(Initialisatie!$C$5,1,1)), 0, MONTH(MIN($D$1, DATE(Initialisatie!$C$5,12,31))) - MONTH(MAX($D$2, DATE(Initialisatie!$C$5,1,1))) + 1)) &lt;= 0, IFERROR(VALUE($D87),0)=0),
        AND(MAX(0, IF(MIN($E$1, DATE(Initialisatie!$C$5,12,31)) &lt; MAX($E$2, DATE(Initialisatie!$C$5,1,1)), 0, MONTH(MIN($E$1, DATE(Initialisatie!$C$5,12,31))) - MONTH(MAX($E$2, DATE(Initialisatie!$C$5,1,1))) + 1)) &lt;= 0, IFERROR(VALUE($E87),0)=0),
        AND(MAX(0, IF(MIN($F$1, DATE(Initialisatie!$C$5,12,31)) &lt; MAX($F$2, DATE(Initialisatie!$C$5,1,1)), 0, MONTH(MIN($F$1, DATE(Initialisatie!$C$5,12,31))) - MONTH(MAX($F$2, DATE(Initialisatie!$C$5,1,1))) + 1)) &lt;= 0, IFERROR(VALUE($F87),0)=0),
        AND(MAX(0, IF(MIN($G$1, DATE(Initialisatie!$C$5,12,31)) &lt; MAX($G$2, DATE(Initialisatie!$C$5,1,1)), 0, MONTH(MIN($G$1, DATE(Initialisatie!$C$5,12,31))) - MONTH(MAX($G$2, DATE(Initialisatie!$C$5,1,1))) + 1)) &lt;= 0, IFERROR(VALUE($G87),0)=0),
        AND(MAX(0, IF(MIN($H$1, DATE(Initialisatie!$C$5,12,31)) &lt; MAX($H$2, DATE(Initialisatie!$C$5,1,1)), 0, MONTH(MIN($H$1, DATE(Initialisatie!$C$5,12,31))) - MONTH(MAX($H$2, DATE(Initialisatie!$C$5,1,1))) + 1)) &lt;= 0, IFERROR(VALUE($H87),0)=0)
    ),
    0,
    SUM(
        IFERROR(VALUE($D87),0) * MAX(0, IF(MIN($D$1, DATE(Initialisatie!$C$5,12,31)) &lt; MAX($D$2, DATE(Initialisatie!$C$5,1,1)), 0, MONTH(MIN($D$1, DATE(Initialisatie!$C$5,12,31))) - MONTH(MAX($D$2, DATE(Initialisatie!$C$5,1,1))) + 1)),
        IFERROR(VALUE($E87),0) * MAX(0, IF(MIN($E$1, DATE(Initialisatie!$C$5,12,31)) &lt; MAX($E$2, DATE(Initialisatie!$C$5,1,1)), 0, MONTH(MIN($E$1, DATE(Initialisatie!$C$5,12,31))) - MONTH(MAX($E$2, DATE(Initialisatie!$C$5,1,1))) + 1)),
        IFERROR(VALUE($F87),0) * MAX(0, IF(MIN($F$1, DATE(Initialisatie!$C$5,12,31)) &lt; MAX($F$2, DATE(Initialisatie!$C$5,1,1)), 0, MONTH(MIN($F$1, DATE(Initialisatie!$C$5,12,31))) - MONTH(MAX($F$2, DATE(Initialisatie!$C$5,1,1))) + 1)),
        IFERROR(VALUE($G87),0) * MAX(0, IF(MIN($G$1, DATE(Initialisatie!$C$5,12,31)) &lt; MAX($G$2, DATE(Initialisatie!$C$5,1,1)), 0, MONTH(MIN($G$1, DATE(Initialisatie!$C$5,12,31))) - MONTH(MAX($G$2, DATE(Initialisatie!$C$5,1,1))) + 1)),
        IFERROR(VALUE($H87),0) * MAX(0, IF(MIN($H$1, DATE(Initialisatie!$C$5,12,31)) &lt; MAX($H$2, DATE(Initialisatie!$C$5,1,1)), 0, MONTH(MIN($H$1, DATE(Initialisatie!$C$5,12,31))) - MONTH(MAX($H$2, DATE(Initialisatie!$C$5,1,1))) + 1))
    ) / 12
)</f>
        <v>3675.5</v>
      </c>
    </row>
    <row r="88" spans="1:11" x14ac:dyDescent="0.45">
      <c r="A88" s="989"/>
      <c r="B88" s="371">
        <v>8</v>
      </c>
      <c r="C88" s="371" t="s">
        <v>1547</v>
      </c>
      <c r="D88" t="s">
        <v>1545</v>
      </c>
      <c r="E88" t="s">
        <v>1544</v>
      </c>
      <c r="F88" t="s">
        <v>1546</v>
      </c>
      <c r="G88" t="s">
        <v>1546</v>
      </c>
      <c r="H88" t="s">
        <v>1636</v>
      </c>
      <c r="J88">
        <f>IF(
    OR(
        AND(MAX(0, MIN($D$1, DATE(Initialisatie!$C$5,12,31)) - MAX($D$2, DATE(Initialisatie!$C$5,1,1)) + 1) &gt; 0,IFERROR(VALUE($D88),0)=0),
        AND(MAX(0, MIN($E$1, DATE(Initialisatie!$C$5,12,31)) - MAX($E$2, DATE(Initialisatie!$C$5,1,1)) + 1) &gt; 0,IFERROR(VALUE($E88),0)=0),
        AND(MAX(0, MIN($F$1, DATE(Initialisatie!$C$5,12,31)) - MAX($F$2, DATE(Initialisatie!$C$5,1,1)) + 1) &gt; 0,IFERROR(VALUE($F88),0)=0),
        AND(MAX(0, MIN($G$1, DATE(Initialisatie!$C$5,12,31)) - MAX($G$2, DATE(Initialisatie!$C$5,1,1)) + 1) &gt; 0,IFERROR(VALUE($G88),0)=0),
        AND(MAX(0, MIN($H$1, DATE(Initialisatie!$C$5,12,31)) - MAX($H$2, DATE(Initialisatie!$C$5,1,1)) + 1) &gt; 0,IFERROR(VALUE($H88),0)=0)
    ),
    0,
    SUM(
        IFERROR(VALUE($D88),0) * MAX(0, MIN($D$1, DATE(Initialisatie!$C$5,12,31)) - MAX($D$2, DATE(Initialisatie!$C$5,1,1)) + 1),
        IFERROR(VALUE($E88),0) * MAX(0, MIN($E$1, DATE(Initialisatie!$C$5,12,31)) - MAX($E$2, DATE(Initialisatie!$C$5,1,1)) + 1),
        IFERROR(VALUE($F88),0) * MAX(0, MIN($F$1, DATE(Initialisatie!$C$5,12,31)) - MAX($F$2, DATE(Initialisatie!$C$5,1,1)) + 1),
        IFERROR(VALUE($G88),0) * MAX(0, MIN($G$1, DATE(Initialisatie!$C$5,12,31)) - MAX($G$2, DATE(Initialisatie!$C$5,1,1)) + 1),
        IFERROR(VALUE($H88),0) * MAX(0, MIN($H$1, DATE(Initialisatie!$C$5,12,31)) - MAX($H$2, DATE(Initialisatie!$C$5,1,1)) + 1)
    ) / (DATE(Initialisatie!$C$5,12,31) - DATE(Initialisatie!$C$5,1,1) + 1)
)</f>
        <v>3767.4602739726029</v>
      </c>
      <c r="K88">
        <f>IF(
    OR(
        AND(MAX(0, IF(MIN($D$1, DATE(Initialisatie!$C$5,12,31)) &lt; MAX($D$2, DATE(Initialisatie!$C$5,1,1)), 0, MONTH(MIN($D$1, DATE(Initialisatie!$C$5,12,31))) - MONTH(MAX($D$2, DATE(Initialisatie!$C$5,1,1))) + 1)) &lt;= 0, IFERROR(VALUE($D88),0)=0),
        AND(MAX(0, IF(MIN($E$1, DATE(Initialisatie!$C$5,12,31)) &lt; MAX($E$2, DATE(Initialisatie!$C$5,1,1)), 0, MONTH(MIN($E$1, DATE(Initialisatie!$C$5,12,31))) - MONTH(MAX($E$2, DATE(Initialisatie!$C$5,1,1))) + 1)) &lt;= 0, IFERROR(VALUE($E88),0)=0),
        AND(MAX(0, IF(MIN($F$1, DATE(Initialisatie!$C$5,12,31)) &lt; MAX($F$2, DATE(Initialisatie!$C$5,1,1)), 0, MONTH(MIN($F$1, DATE(Initialisatie!$C$5,12,31))) - MONTH(MAX($F$2, DATE(Initialisatie!$C$5,1,1))) + 1)) &lt;= 0, IFERROR(VALUE($F88),0)=0),
        AND(MAX(0, IF(MIN($G$1, DATE(Initialisatie!$C$5,12,31)) &lt; MAX($G$2, DATE(Initialisatie!$C$5,1,1)), 0, MONTH(MIN($G$1, DATE(Initialisatie!$C$5,12,31))) - MONTH(MAX($G$2, DATE(Initialisatie!$C$5,1,1))) + 1)) &lt;= 0, IFERROR(VALUE($G88),0)=0),
        AND(MAX(0, IF(MIN($H$1, DATE(Initialisatie!$C$5,12,31)) &lt; MAX($H$2, DATE(Initialisatie!$C$5,1,1)), 0, MONTH(MIN($H$1, DATE(Initialisatie!$C$5,12,31))) - MONTH(MAX($H$2, DATE(Initialisatie!$C$5,1,1))) + 1)) &lt;= 0, IFERROR(VALUE($H88),0)=0)
    ),
    0,
    SUM(
        IFERROR(VALUE($D88),0) * MAX(0, IF(MIN($D$1, DATE(Initialisatie!$C$5,12,31)) &lt; MAX($D$2, DATE(Initialisatie!$C$5,1,1)), 0, MONTH(MIN($D$1, DATE(Initialisatie!$C$5,12,31))) - MONTH(MAX($D$2, DATE(Initialisatie!$C$5,1,1))) + 1)),
        IFERROR(VALUE($E88),0) * MAX(0, IF(MIN($E$1, DATE(Initialisatie!$C$5,12,31)) &lt; MAX($E$2, DATE(Initialisatie!$C$5,1,1)), 0, MONTH(MIN($E$1, DATE(Initialisatie!$C$5,12,31))) - MONTH(MAX($E$2, DATE(Initialisatie!$C$5,1,1))) + 1)),
        IFERROR(VALUE($F88),0) * MAX(0, IF(MIN($F$1, DATE(Initialisatie!$C$5,12,31)) &lt; MAX($F$2, DATE(Initialisatie!$C$5,1,1)), 0, MONTH(MIN($F$1, DATE(Initialisatie!$C$5,12,31))) - MONTH(MAX($F$2, DATE(Initialisatie!$C$5,1,1))) + 1)),
        IFERROR(VALUE($G88),0) * MAX(0, IF(MIN($G$1, DATE(Initialisatie!$C$5,12,31)) &lt; MAX($G$2, DATE(Initialisatie!$C$5,1,1)), 0, MONTH(MIN($G$1, DATE(Initialisatie!$C$5,12,31))) - MONTH(MAX($G$2, DATE(Initialisatie!$C$5,1,1))) + 1)),
        IFERROR(VALUE($H88),0) * MAX(0, IF(MIN($H$1, DATE(Initialisatie!$C$5,12,31)) &lt; MAX($H$2, DATE(Initialisatie!$C$5,1,1)), 0, MONTH(MIN($H$1, DATE(Initialisatie!$C$5,12,31))) - MONTH(MAX($H$2, DATE(Initialisatie!$C$5,1,1))) + 1))
    ) / 12
)</f>
        <v>3767</v>
      </c>
    </row>
    <row r="89" spans="1:11" x14ac:dyDescent="0.45">
      <c r="A89" s="989"/>
      <c r="B89" s="371">
        <v>9</v>
      </c>
      <c r="C89" s="371" t="s">
        <v>1535</v>
      </c>
      <c r="D89" t="s">
        <v>1533</v>
      </c>
      <c r="E89" t="s">
        <v>1532</v>
      </c>
      <c r="F89" t="s">
        <v>1534</v>
      </c>
      <c r="G89" t="s">
        <v>1534</v>
      </c>
      <c r="H89" t="s">
        <v>1637</v>
      </c>
      <c r="J89">
        <f>IF(
    OR(
        AND(MAX(0, MIN($D$1, DATE(Initialisatie!$C$5,12,31)) - MAX($D$2, DATE(Initialisatie!$C$5,1,1)) + 1) &gt; 0,IFERROR(VALUE($D89),0)=0),
        AND(MAX(0, MIN($E$1, DATE(Initialisatie!$C$5,12,31)) - MAX($E$2, DATE(Initialisatie!$C$5,1,1)) + 1) &gt; 0,IFERROR(VALUE($E89),0)=0),
        AND(MAX(0, MIN($F$1, DATE(Initialisatie!$C$5,12,31)) - MAX($F$2, DATE(Initialisatie!$C$5,1,1)) + 1) &gt; 0,IFERROR(VALUE($F89),0)=0),
        AND(MAX(0, MIN($G$1, DATE(Initialisatie!$C$5,12,31)) - MAX($G$2, DATE(Initialisatie!$C$5,1,1)) + 1) &gt; 0,IFERROR(VALUE($G89),0)=0),
        AND(MAX(0, MIN($H$1, DATE(Initialisatie!$C$5,12,31)) - MAX($H$2, DATE(Initialisatie!$C$5,1,1)) + 1) &gt; 0,IFERROR(VALUE($H89),0)=0)
    ),
    0,
    SUM(
        IFERROR(VALUE($D89),0) * MAX(0, MIN($D$1, DATE(Initialisatie!$C$5,12,31)) - MAX($D$2, DATE(Initialisatie!$C$5,1,1)) + 1),
        IFERROR(VALUE($E89),0) * MAX(0, MIN($E$1, DATE(Initialisatie!$C$5,12,31)) - MAX($E$2, DATE(Initialisatie!$C$5,1,1)) + 1),
        IFERROR(VALUE($F89),0) * MAX(0, MIN($F$1, DATE(Initialisatie!$C$5,12,31)) - MAX($F$2, DATE(Initialisatie!$C$5,1,1)) + 1),
        IFERROR(VALUE($G89),0) * MAX(0, MIN($G$1, DATE(Initialisatie!$C$5,12,31)) - MAX($G$2, DATE(Initialisatie!$C$5,1,1)) + 1),
        IFERROR(VALUE($H89),0) * MAX(0, MIN($H$1, DATE(Initialisatie!$C$5,12,31)) - MAX($H$2, DATE(Initialisatie!$C$5,1,1)) + 1)
    ) / (DATE(Initialisatie!$C$5,12,31) - DATE(Initialisatie!$C$5,1,1) + 1)
)</f>
        <v>3860.4684931506849</v>
      </c>
      <c r="K89">
        <f>IF(
    OR(
        AND(MAX(0, IF(MIN($D$1, DATE(Initialisatie!$C$5,12,31)) &lt; MAX($D$2, DATE(Initialisatie!$C$5,1,1)), 0, MONTH(MIN($D$1, DATE(Initialisatie!$C$5,12,31))) - MONTH(MAX($D$2, DATE(Initialisatie!$C$5,1,1))) + 1)) &lt;= 0, IFERROR(VALUE($D89),0)=0),
        AND(MAX(0, IF(MIN($E$1, DATE(Initialisatie!$C$5,12,31)) &lt; MAX($E$2, DATE(Initialisatie!$C$5,1,1)), 0, MONTH(MIN($E$1, DATE(Initialisatie!$C$5,12,31))) - MONTH(MAX($E$2, DATE(Initialisatie!$C$5,1,1))) + 1)) &lt;= 0, IFERROR(VALUE($E89),0)=0),
        AND(MAX(0, IF(MIN($F$1, DATE(Initialisatie!$C$5,12,31)) &lt; MAX($F$2, DATE(Initialisatie!$C$5,1,1)), 0, MONTH(MIN($F$1, DATE(Initialisatie!$C$5,12,31))) - MONTH(MAX($F$2, DATE(Initialisatie!$C$5,1,1))) + 1)) &lt;= 0, IFERROR(VALUE($F89),0)=0),
        AND(MAX(0, IF(MIN($G$1, DATE(Initialisatie!$C$5,12,31)) &lt; MAX($G$2, DATE(Initialisatie!$C$5,1,1)), 0, MONTH(MIN($G$1, DATE(Initialisatie!$C$5,12,31))) - MONTH(MAX($G$2, DATE(Initialisatie!$C$5,1,1))) + 1)) &lt;= 0, IFERROR(VALUE($G89),0)=0),
        AND(MAX(0, IF(MIN($H$1, DATE(Initialisatie!$C$5,12,31)) &lt; MAX($H$2, DATE(Initialisatie!$C$5,1,1)), 0, MONTH(MIN($H$1, DATE(Initialisatie!$C$5,12,31))) - MONTH(MAX($H$2, DATE(Initialisatie!$C$5,1,1))) + 1)) &lt;= 0, IFERROR(VALUE($H89),0)=0)
    ),
    0,
    SUM(
        IFERROR(VALUE($D89),0) * MAX(0, IF(MIN($D$1, DATE(Initialisatie!$C$5,12,31)) &lt; MAX($D$2, DATE(Initialisatie!$C$5,1,1)), 0, MONTH(MIN($D$1, DATE(Initialisatie!$C$5,12,31))) - MONTH(MAX($D$2, DATE(Initialisatie!$C$5,1,1))) + 1)),
        IFERROR(VALUE($E89),0) * MAX(0, IF(MIN($E$1, DATE(Initialisatie!$C$5,12,31)) &lt; MAX($E$2, DATE(Initialisatie!$C$5,1,1)), 0, MONTH(MIN($E$1, DATE(Initialisatie!$C$5,12,31))) - MONTH(MAX($E$2, DATE(Initialisatie!$C$5,1,1))) + 1)),
        IFERROR(VALUE($F89),0) * MAX(0, IF(MIN($F$1, DATE(Initialisatie!$C$5,12,31)) &lt; MAX($F$2, DATE(Initialisatie!$C$5,1,1)), 0, MONTH(MIN($F$1, DATE(Initialisatie!$C$5,12,31))) - MONTH(MAX($F$2, DATE(Initialisatie!$C$5,1,1))) + 1)),
        IFERROR(VALUE($G89),0) * MAX(0, IF(MIN($G$1, DATE(Initialisatie!$C$5,12,31)) &lt; MAX($G$2, DATE(Initialisatie!$C$5,1,1)), 0, MONTH(MIN($G$1, DATE(Initialisatie!$C$5,12,31))) - MONTH(MAX($G$2, DATE(Initialisatie!$C$5,1,1))) + 1)),
        IFERROR(VALUE($H89),0) * MAX(0, IF(MIN($H$1, DATE(Initialisatie!$C$5,12,31)) &lt; MAX($H$2, DATE(Initialisatie!$C$5,1,1)), 0, MONTH(MIN($H$1, DATE(Initialisatie!$C$5,12,31))) - MONTH(MAX($H$2, DATE(Initialisatie!$C$5,1,1))) + 1))
    ) / 12
)</f>
        <v>3860</v>
      </c>
    </row>
    <row r="90" spans="1:11" x14ac:dyDescent="0.45">
      <c r="A90" s="989"/>
      <c r="B90" s="371">
        <v>10</v>
      </c>
      <c r="C90" s="371" t="s">
        <v>1520</v>
      </c>
      <c r="D90" t="s">
        <v>1518</v>
      </c>
      <c r="E90" t="s">
        <v>1517</v>
      </c>
      <c r="F90" t="s">
        <v>1519</v>
      </c>
      <c r="G90" t="s">
        <v>1519</v>
      </c>
      <c r="H90" t="s">
        <v>1638</v>
      </c>
      <c r="J90">
        <f>IF(
    OR(
        AND(MAX(0, MIN($D$1, DATE(Initialisatie!$C$5,12,31)) - MAX($D$2, DATE(Initialisatie!$C$5,1,1)) + 1) &gt; 0,IFERROR(VALUE($D90),0)=0),
        AND(MAX(0, MIN($E$1, DATE(Initialisatie!$C$5,12,31)) - MAX($E$2, DATE(Initialisatie!$C$5,1,1)) + 1) &gt; 0,IFERROR(VALUE($E90),0)=0),
        AND(MAX(0, MIN($F$1, DATE(Initialisatie!$C$5,12,31)) - MAX($F$2, DATE(Initialisatie!$C$5,1,1)) + 1) &gt; 0,IFERROR(VALUE($F90),0)=0),
        AND(MAX(0, MIN($G$1, DATE(Initialisatie!$C$5,12,31)) - MAX($G$2, DATE(Initialisatie!$C$5,1,1)) + 1) &gt; 0,IFERROR(VALUE($G90),0)=0),
        AND(MAX(0, MIN($H$1, DATE(Initialisatie!$C$5,12,31)) - MAX($H$2, DATE(Initialisatie!$C$5,1,1)) + 1) &gt; 0,IFERROR(VALUE($H90),0)=0)
    ),
    0,
    SUM(
        IFERROR(VALUE($D90),0) * MAX(0, MIN($D$1, DATE(Initialisatie!$C$5,12,31)) - MAX($D$2, DATE(Initialisatie!$C$5,1,1)) + 1),
        IFERROR(VALUE($E90),0) * MAX(0, MIN($E$1, DATE(Initialisatie!$C$5,12,31)) - MAX($E$2, DATE(Initialisatie!$C$5,1,1)) + 1),
        IFERROR(VALUE($F90),0) * MAX(0, MIN($F$1, DATE(Initialisatie!$C$5,12,31)) - MAX($F$2, DATE(Initialisatie!$C$5,1,1)) + 1),
        IFERROR(VALUE($G90),0) * MAX(0, MIN($G$1, DATE(Initialisatie!$C$5,12,31)) - MAX($G$2, DATE(Initialisatie!$C$5,1,1)) + 1),
        IFERROR(VALUE($H90),0) * MAX(0, MIN($H$1, DATE(Initialisatie!$C$5,12,31)) - MAX($H$2, DATE(Initialisatie!$C$5,1,1)) + 1)
    ) / (DATE(Initialisatie!$C$5,12,31) - DATE(Initialisatie!$C$5,1,1) + 1)
)</f>
        <v>3941.980821917808</v>
      </c>
      <c r="K90">
        <f>IF(
    OR(
        AND(MAX(0, IF(MIN($D$1, DATE(Initialisatie!$C$5,12,31)) &lt; MAX($D$2, DATE(Initialisatie!$C$5,1,1)), 0, MONTH(MIN($D$1, DATE(Initialisatie!$C$5,12,31))) - MONTH(MAX($D$2, DATE(Initialisatie!$C$5,1,1))) + 1)) &lt;= 0, IFERROR(VALUE($D90),0)=0),
        AND(MAX(0, IF(MIN($E$1, DATE(Initialisatie!$C$5,12,31)) &lt; MAX($E$2, DATE(Initialisatie!$C$5,1,1)), 0, MONTH(MIN($E$1, DATE(Initialisatie!$C$5,12,31))) - MONTH(MAX($E$2, DATE(Initialisatie!$C$5,1,1))) + 1)) &lt;= 0, IFERROR(VALUE($E90),0)=0),
        AND(MAX(0, IF(MIN($F$1, DATE(Initialisatie!$C$5,12,31)) &lt; MAX($F$2, DATE(Initialisatie!$C$5,1,1)), 0, MONTH(MIN($F$1, DATE(Initialisatie!$C$5,12,31))) - MONTH(MAX($F$2, DATE(Initialisatie!$C$5,1,1))) + 1)) &lt;= 0, IFERROR(VALUE($F90),0)=0),
        AND(MAX(0, IF(MIN($G$1, DATE(Initialisatie!$C$5,12,31)) &lt; MAX($G$2, DATE(Initialisatie!$C$5,1,1)), 0, MONTH(MIN($G$1, DATE(Initialisatie!$C$5,12,31))) - MONTH(MAX($G$2, DATE(Initialisatie!$C$5,1,1))) + 1)) &lt;= 0, IFERROR(VALUE($G90),0)=0),
        AND(MAX(0, IF(MIN($H$1, DATE(Initialisatie!$C$5,12,31)) &lt; MAX($H$2, DATE(Initialisatie!$C$5,1,1)), 0, MONTH(MIN($H$1, DATE(Initialisatie!$C$5,12,31))) - MONTH(MAX($H$2, DATE(Initialisatie!$C$5,1,1))) + 1)) &lt;= 0, IFERROR(VALUE($H90),0)=0)
    ),
    0,
    SUM(
        IFERROR(VALUE($D90),0) * MAX(0, IF(MIN($D$1, DATE(Initialisatie!$C$5,12,31)) &lt; MAX($D$2, DATE(Initialisatie!$C$5,1,1)), 0, MONTH(MIN($D$1, DATE(Initialisatie!$C$5,12,31))) - MONTH(MAX($D$2, DATE(Initialisatie!$C$5,1,1))) + 1)),
        IFERROR(VALUE($E90),0) * MAX(0, IF(MIN($E$1, DATE(Initialisatie!$C$5,12,31)) &lt; MAX($E$2, DATE(Initialisatie!$C$5,1,1)), 0, MONTH(MIN($E$1, DATE(Initialisatie!$C$5,12,31))) - MONTH(MAX($E$2, DATE(Initialisatie!$C$5,1,1))) + 1)),
        IFERROR(VALUE($F90),0) * MAX(0, IF(MIN($F$1, DATE(Initialisatie!$C$5,12,31)) &lt; MAX($F$2, DATE(Initialisatie!$C$5,1,1)), 0, MONTH(MIN($F$1, DATE(Initialisatie!$C$5,12,31))) - MONTH(MAX($F$2, DATE(Initialisatie!$C$5,1,1))) + 1)),
        IFERROR(VALUE($G90),0) * MAX(0, IF(MIN($G$1, DATE(Initialisatie!$C$5,12,31)) &lt; MAX($G$2, DATE(Initialisatie!$C$5,1,1)), 0, MONTH(MIN($G$1, DATE(Initialisatie!$C$5,12,31))) - MONTH(MAX($G$2, DATE(Initialisatie!$C$5,1,1))) + 1)),
        IFERROR(VALUE($H90),0) * MAX(0, IF(MIN($H$1, DATE(Initialisatie!$C$5,12,31)) &lt; MAX($H$2, DATE(Initialisatie!$C$5,1,1)), 0, MONTH(MIN($H$1, DATE(Initialisatie!$C$5,12,31))) - MONTH(MAX($H$2, DATE(Initialisatie!$C$5,1,1))) + 1))
    ) / 12
)</f>
        <v>3941.5</v>
      </c>
    </row>
    <row r="91" spans="1:11" x14ac:dyDescent="0.45">
      <c r="A91" s="989"/>
      <c r="B91" s="371">
        <v>11</v>
      </c>
      <c r="C91" s="371" t="s">
        <v>1531</v>
      </c>
      <c r="D91" t="s">
        <v>1530</v>
      </c>
      <c r="E91" t="s">
        <v>1529</v>
      </c>
      <c r="F91" t="s">
        <v>1513</v>
      </c>
      <c r="G91" t="s">
        <v>1513</v>
      </c>
      <c r="H91" t="s">
        <v>1639</v>
      </c>
      <c r="J91">
        <f>IF(
    OR(
        AND(MAX(0, MIN($D$1, DATE(Initialisatie!$C$5,12,31)) - MAX($D$2, DATE(Initialisatie!$C$5,1,1)) + 1) &gt; 0,IFERROR(VALUE($D91),0)=0),
        AND(MAX(0, MIN($E$1, DATE(Initialisatie!$C$5,12,31)) - MAX($E$2, DATE(Initialisatie!$C$5,1,1)) + 1) &gt; 0,IFERROR(VALUE($E91),0)=0),
        AND(MAX(0, MIN($F$1, DATE(Initialisatie!$C$5,12,31)) - MAX($F$2, DATE(Initialisatie!$C$5,1,1)) + 1) &gt; 0,IFERROR(VALUE($F91),0)=0),
        AND(MAX(0, MIN($G$1, DATE(Initialisatie!$C$5,12,31)) - MAX($G$2, DATE(Initialisatie!$C$5,1,1)) + 1) &gt; 0,IFERROR(VALUE($G91),0)=0),
        AND(MAX(0, MIN($H$1, DATE(Initialisatie!$C$5,12,31)) - MAX($H$2, DATE(Initialisatie!$C$5,1,1)) + 1) &gt; 0,IFERROR(VALUE($H91),0)=0)
    ),
    0,
    SUM(
        IFERROR(VALUE($D91),0) * MAX(0, MIN($D$1, DATE(Initialisatie!$C$5,12,31)) - MAX($D$2, DATE(Initialisatie!$C$5,1,1)) + 1),
        IFERROR(VALUE($E91),0) * MAX(0, MIN($E$1, DATE(Initialisatie!$C$5,12,31)) - MAX($E$2, DATE(Initialisatie!$C$5,1,1)) + 1),
        IFERROR(VALUE($F91),0) * MAX(0, MIN($F$1, DATE(Initialisatie!$C$5,12,31)) - MAX($F$2, DATE(Initialisatie!$C$5,1,1)) + 1),
        IFERROR(VALUE($G91),0) * MAX(0, MIN($G$1, DATE(Initialisatie!$C$5,12,31)) - MAX($G$2, DATE(Initialisatie!$C$5,1,1)) + 1),
        IFERROR(VALUE($H91),0) * MAX(0, MIN($H$1, DATE(Initialisatie!$C$5,12,31)) - MAX($H$2, DATE(Initialisatie!$C$5,1,1)) + 1)
    ) / (DATE(Initialisatie!$C$5,12,31) - DATE(Initialisatie!$C$5,1,1) + 1)
)</f>
        <v>4034.9890410958906</v>
      </c>
      <c r="K91">
        <f>IF(
    OR(
        AND(MAX(0, IF(MIN($D$1, DATE(Initialisatie!$C$5,12,31)) &lt; MAX($D$2, DATE(Initialisatie!$C$5,1,1)), 0, MONTH(MIN($D$1, DATE(Initialisatie!$C$5,12,31))) - MONTH(MAX($D$2, DATE(Initialisatie!$C$5,1,1))) + 1)) &lt;= 0, IFERROR(VALUE($D91),0)=0),
        AND(MAX(0, IF(MIN($E$1, DATE(Initialisatie!$C$5,12,31)) &lt; MAX($E$2, DATE(Initialisatie!$C$5,1,1)), 0, MONTH(MIN($E$1, DATE(Initialisatie!$C$5,12,31))) - MONTH(MAX($E$2, DATE(Initialisatie!$C$5,1,1))) + 1)) &lt;= 0, IFERROR(VALUE($E91),0)=0),
        AND(MAX(0, IF(MIN($F$1, DATE(Initialisatie!$C$5,12,31)) &lt; MAX($F$2, DATE(Initialisatie!$C$5,1,1)), 0, MONTH(MIN($F$1, DATE(Initialisatie!$C$5,12,31))) - MONTH(MAX($F$2, DATE(Initialisatie!$C$5,1,1))) + 1)) &lt;= 0, IFERROR(VALUE($F91),0)=0),
        AND(MAX(0, IF(MIN($G$1, DATE(Initialisatie!$C$5,12,31)) &lt; MAX($G$2, DATE(Initialisatie!$C$5,1,1)), 0, MONTH(MIN($G$1, DATE(Initialisatie!$C$5,12,31))) - MONTH(MAX($G$2, DATE(Initialisatie!$C$5,1,1))) + 1)) &lt;= 0, IFERROR(VALUE($G91),0)=0),
        AND(MAX(0, IF(MIN($H$1, DATE(Initialisatie!$C$5,12,31)) &lt; MAX($H$2, DATE(Initialisatie!$C$5,1,1)), 0, MONTH(MIN($H$1, DATE(Initialisatie!$C$5,12,31))) - MONTH(MAX($H$2, DATE(Initialisatie!$C$5,1,1))) + 1)) &lt;= 0, IFERROR(VALUE($H91),0)=0)
    ),
    0,
    SUM(
        IFERROR(VALUE($D91),0) * MAX(0, IF(MIN($D$1, DATE(Initialisatie!$C$5,12,31)) &lt; MAX($D$2, DATE(Initialisatie!$C$5,1,1)), 0, MONTH(MIN($D$1, DATE(Initialisatie!$C$5,12,31))) - MONTH(MAX($D$2, DATE(Initialisatie!$C$5,1,1))) + 1)),
        IFERROR(VALUE($E91),0) * MAX(0, IF(MIN($E$1, DATE(Initialisatie!$C$5,12,31)) &lt; MAX($E$2, DATE(Initialisatie!$C$5,1,1)), 0, MONTH(MIN($E$1, DATE(Initialisatie!$C$5,12,31))) - MONTH(MAX($E$2, DATE(Initialisatie!$C$5,1,1))) + 1)),
        IFERROR(VALUE($F91),0) * MAX(0, IF(MIN($F$1, DATE(Initialisatie!$C$5,12,31)) &lt; MAX($F$2, DATE(Initialisatie!$C$5,1,1)), 0, MONTH(MIN($F$1, DATE(Initialisatie!$C$5,12,31))) - MONTH(MAX($F$2, DATE(Initialisatie!$C$5,1,1))) + 1)),
        IFERROR(VALUE($G91),0) * MAX(0, IF(MIN($G$1, DATE(Initialisatie!$C$5,12,31)) &lt; MAX($G$2, DATE(Initialisatie!$C$5,1,1)), 0, MONTH(MIN($G$1, DATE(Initialisatie!$C$5,12,31))) - MONTH(MAX($G$2, DATE(Initialisatie!$C$5,1,1))) + 1)),
        IFERROR(VALUE($H91),0) * MAX(0, IF(MIN($H$1, DATE(Initialisatie!$C$5,12,31)) &lt; MAX($H$2, DATE(Initialisatie!$C$5,1,1)), 0, MONTH(MIN($H$1, DATE(Initialisatie!$C$5,12,31))) - MONTH(MAX($H$2, DATE(Initialisatie!$C$5,1,1))) + 1))
    ) / 12
)</f>
        <v>4034.5</v>
      </c>
    </row>
    <row r="92" spans="1:11" x14ac:dyDescent="0.45">
      <c r="A92" s="989"/>
      <c r="B92" s="371">
        <v>12</v>
      </c>
      <c r="C92" s="371" t="s">
        <v>1516</v>
      </c>
      <c r="D92" t="s">
        <v>1514</v>
      </c>
      <c r="E92" t="s">
        <v>1513</v>
      </c>
      <c r="F92" t="s">
        <v>1515</v>
      </c>
      <c r="G92" t="s">
        <v>1515</v>
      </c>
      <c r="H92" t="s">
        <v>1640</v>
      </c>
      <c r="J92">
        <f>IF(
    OR(
        AND(MAX(0, MIN($D$1, DATE(Initialisatie!$C$5,12,31)) - MAX($D$2, DATE(Initialisatie!$C$5,1,1)) + 1) &gt; 0,IFERROR(VALUE($D92),0)=0),
        AND(MAX(0, MIN($E$1, DATE(Initialisatie!$C$5,12,31)) - MAX($E$2, DATE(Initialisatie!$C$5,1,1)) + 1) &gt; 0,IFERROR(VALUE($E92),0)=0),
        AND(MAX(0, MIN($F$1, DATE(Initialisatie!$C$5,12,31)) - MAX($F$2, DATE(Initialisatie!$C$5,1,1)) + 1) &gt; 0,IFERROR(VALUE($F92),0)=0),
        AND(MAX(0, MIN($G$1, DATE(Initialisatie!$C$5,12,31)) - MAX($G$2, DATE(Initialisatie!$C$5,1,1)) + 1) &gt; 0,IFERROR(VALUE($G92),0)=0),
        AND(MAX(0, MIN($H$1, DATE(Initialisatie!$C$5,12,31)) - MAX($H$2, DATE(Initialisatie!$C$5,1,1)) + 1) &gt; 0,IFERROR(VALUE($H92),0)=0)
    ),
    0,
    SUM(
        IFERROR(VALUE($D92),0) * MAX(0, MIN($D$1, DATE(Initialisatie!$C$5,12,31)) - MAX($D$2, DATE(Initialisatie!$C$5,1,1)) + 1),
        IFERROR(VALUE($E92),0) * MAX(0, MIN($E$1, DATE(Initialisatie!$C$5,12,31)) - MAX($E$2, DATE(Initialisatie!$C$5,1,1)) + 1),
        IFERROR(VALUE($F92),0) * MAX(0, MIN($F$1, DATE(Initialisatie!$C$5,12,31)) - MAX($F$2, DATE(Initialisatie!$C$5,1,1)) + 1),
        IFERROR(VALUE($G92),0) * MAX(0, MIN($G$1, DATE(Initialisatie!$C$5,12,31)) - MAX($G$2, DATE(Initialisatie!$C$5,1,1)) + 1),
        IFERROR(VALUE($H92),0) * MAX(0, MIN($H$1, DATE(Initialisatie!$C$5,12,31)) - MAX($H$2, DATE(Initialisatie!$C$5,1,1)) + 1)
    ) / (DATE(Initialisatie!$C$5,12,31) - DATE(Initialisatie!$C$5,1,1) + 1)
)</f>
        <v>4125.5013698630137</v>
      </c>
      <c r="K92">
        <f>IF(
    OR(
        AND(MAX(0, IF(MIN($D$1, DATE(Initialisatie!$C$5,12,31)) &lt; MAX($D$2, DATE(Initialisatie!$C$5,1,1)), 0, MONTH(MIN($D$1, DATE(Initialisatie!$C$5,12,31))) - MONTH(MAX($D$2, DATE(Initialisatie!$C$5,1,1))) + 1)) &lt;= 0, IFERROR(VALUE($D92),0)=0),
        AND(MAX(0, IF(MIN($E$1, DATE(Initialisatie!$C$5,12,31)) &lt; MAX($E$2, DATE(Initialisatie!$C$5,1,1)), 0, MONTH(MIN($E$1, DATE(Initialisatie!$C$5,12,31))) - MONTH(MAX($E$2, DATE(Initialisatie!$C$5,1,1))) + 1)) &lt;= 0, IFERROR(VALUE($E92),0)=0),
        AND(MAX(0, IF(MIN($F$1, DATE(Initialisatie!$C$5,12,31)) &lt; MAX($F$2, DATE(Initialisatie!$C$5,1,1)), 0, MONTH(MIN($F$1, DATE(Initialisatie!$C$5,12,31))) - MONTH(MAX($F$2, DATE(Initialisatie!$C$5,1,1))) + 1)) &lt;= 0, IFERROR(VALUE($F92),0)=0),
        AND(MAX(0, IF(MIN($G$1, DATE(Initialisatie!$C$5,12,31)) &lt; MAX($G$2, DATE(Initialisatie!$C$5,1,1)), 0, MONTH(MIN($G$1, DATE(Initialisatie!$C$5,12,31))) - MONTH(MAX($G$2, DATE(Initialisatie!$C$5,1,1))) + 1)) &lt;= 0, IFERROR(VALUE($G92),0)=0),
        AND(MAX(0, IF(MIN($H$1, DATE(Initialisatie!$C$5,12,31)) &lt; MAX($H$2, DATE(Initialisatie!$C$5,1,1)), 0, MONTH(MIN($H$1, DATE(Initialisatie!$C$5,12,31))) - MONTH(MAX($H$2, DATE(Initialisatie!$C$5,1,1))) + 1)) &lt;= 0, IFERROR(VALUE($H92),0)=0)
    ),
    0,
    SUM(
        IFERROR(VALUE($D92),0) * MAX(0, IF(MIN($D$1, DATE(Initialisatie!$C$5,12,31)) &lt; MAX($D$2, DATE(Initialisatie!$C$5,1,1)), 0, MONTH(MIN($D$1, DATE(Initialisatie!$C$5,12,31))) - MONTH(MAX($D$2, DATE(Initialisatie!$C$5,1,1))) + 1)),
        IFERROR(VALUE($E92),0) * MAX(0, IF(MIN($E$1, DATE(Initialisatie!$C$5,12,31)) &lt; MAX($E$2, DATE(Initialisatie!$C$5,1,1)), 0, MONTH(MIN($E$1, DATE(Initialisatie!$C$5,12,31))) - MONTH(MAX($E$2, DATE(Initialisatie!$C$5,1,1))) + 1)),
        IFERROR(VALUE($F92),0) * MAX(0, IF(MIN($F$1, DATE(Initialisatie!$C$5,12,31)) &lt; MAX($F$2, DATE(Initialisatie!$C$5,1,1)), 0, MONTH(MIN($F$1, DATE(Initialisatie!$C$5,12,31))) - MONTH(MAX($F$2, DATE(Initialisatie!$C$5,1,1))) + 1)),
        IFERROR(VALUE($G92),0) * MAX(0, IF(MIN($G$1, DATE(Initialisatie!$C$5,12,31)) &lt; MAX($G$2, DATE(Initialisatie!$C$5,1,1)), 0, MONTH(MIN($G$1, DATE(Initialisatie!$C$5,12,31))) - MONTH(MAX($G$2, DATE(Initialisatie!$C$5,1,1))) + 1)),
        IFERROR(VALUE($H92),0) * MAX(0, IF(MIN($H$1, DATE(Initialisatie!$C$5,12,31)) &lt; MAX($H$2, DATE(Initialisatie!$C$5,1,1)), 0, MONTH(MIN($H$1, DATE(Initialisatie!$C$5,12,31))) - MONTH(MAX($H$2, DATE(Initialisatie!$C$5,1,1))) + 1))
    ) / 12
)</f>
        <v>4125</v>
      </c>
    </row>
    <row r="93" spans="1:11" x14ac:dyDescent="0.45">
      <c r="A93" s="990"/>
      <c r="B93" s="371">
        <v>13</v>
      </c>
      <c r="C93" s="371" t="s">
        <v>1528</v>
      </c>
      <c r="D93" t="s">
        <v>1526</v>
      </c>
      <c r="E93" t="s">
        <v>1525</v>
      </c>
      <c r="F93" t="s">
        <v>1527</v>
      </c>
      <c r="G93" t="s">
        <v>1527</v>
      </c>
      <c r="H93" t="s">
        <v>1641</v>
      </c>
      <c r="J93">
        <f>IF(
    OR(
        AND(MAX(0, MIN($D$1, DATE(Initialisatie!$C$5,12,31)) - MAX($D$2, DATE(Initialisatie!$C$5,1,1)) + 1) &gt; 0,IFERROR(VALUE($D93),0)=0),
        AND(MAX(0, MIN($E$1, DATE(Initialisatie!$C$5,12,31)) - MAX($E$2, DATE(Initialisatie!$C$5,1,1)) + 1) &gt; 0,IFERROR(VALUE($E93),0)=0),
        AND(MAX(0, MIN($F$1, DATE(Initialisatie!$C$5,12,31)) - MAX($F$2, DATE(Initialisatie!$C$5,1,1)) + 1) &gt; 0,IFERROR(VALUE($F93),0)=0),
        AND(MAX(0, MIN($G$1, DATE(Initialisatie!$C$5,12,31)) - MAX($G$2, DATE(Initialisatie!$C$5,1,1)) + 1) &gt; 0,IFERROR(VALUE($G93),0)=0),
        AND(MAX(0, MIN($H$1, DATE(Initialisatie!$C$5,12,31)) - MAX($H$2, DATE(Initialisatie!$C$5,1,1)) + 1) &gt; 0,IFERROR(VALUE($H93),0)=0)
    ),
    0,
    SUM(
        IFERROR(VALUE($D93),0) * MAX(0, MIN($D$1, DATE(Initialisatie!$C$5,12,31)) - MAX($D$2, DATE(Initialisatie!$C$5,1,1)) + 1),
        IFERROR(VALUE($E93),0) * MAX(0, MIN($E$1, DATE(Initialisatie!$C$5,12,31)) - MAX($E$2, DATE(Initialisatie!$C$5,1,1)) + 1),
        IFERROR(VALUE($F93),0) * MAX(0, MIN($F$1, DATE(Initialisatie!$C$5,12,31)) - MAX($F$2, DATE(Initialisatie!$C$5,1,1)) + 1),
        IFERROR(VALUE($G93),0) * MAX(0, MIN($G$1, DATE(Initialisatie!$C$5,12,31)) - MAX($G$2, DATE(Initialisatie!$C$5,1,1)) + 1),
        IFERROR(VALUE($H93),0) * MAX(0, MIN($H$1, DATE(Initialisatie!$C$5,12,31)) - MAX($H$2, DATE(Initialisatie!$C$5,1,1)) + 1)
    ) / (DATE(Initialisatie!$C$5,12,31) - DATE(Initialisatie!$C$5,1,1) + 1)
)</f>
        <v>4211.5095890410958</v>
      </c>
      <c r="K93">
        <f>IF(
    OR(
        AND(MAX(0, IF(MIN($D$1, DATE(Initialisatie!$C$5,12,31)) &lt; MAX($D$2, DATE(Initialisatie!$C$5,1,1)), 0, MONTH(MIN($D$1, DATE(Initialisatie!$C$5,12,31))) - MONTH(MAX($D$2, DATE(Initialisatie!$C$5,1,1))) + 1)) &lt;= 0, IFERROR(VALUE($D93),0)=0),
        AND(MAX(0, IF(MIN($E$1, DATE(Initialisatie!$C$5,12,31)) &lt; MAX($E$2, DATE(Initialisatie!$C$5,1,1)), 0, MONTH(MIN($E$1, DATE(Initialisatie!$C$5,12,31))) - MONTH(MAX($E$2, DATE(Initialisatie!$C$5,1,1))) + 1)) &lt;= 0, IFERROR(VALUE($E93),0)=0),
        AND(MAX(0, IF(MIN($F$1, DATE(Initialisatie!$C$5,12,31)) &lt; MAX($F$2, DATE(Initialisatie!$C$5,1,1)), 0, MONTH(MIN($F$1, DATE(Initialisatie!$C$5,12,31))) - MONTH(MAX($F$2, DATE(Initialisatie!$C$5,1,1))) + 1)) &lt;= 0, IFERROR(VALUE($F93),0)=0),
        AND(MAX(0, IF(MIN($G$1, DATE(Initialisatie!$C$5,12,31)) &lt; MAX($G$2, DATE(Initialisatie!$C$5,1,1)), 0, MONTH(MIN($G$1, DATE(Initialisatie!$C$5,12,31))) - MONTH(MAX($G$2, DATE(Initialisatie!$C$5,1,1))) + 1)) &lt;= 0, IFERROR(VALUE($G93),0)=0),
        AND(MAX(0, IF(MIN($H$1, DATE(Initialisatie!$C$5,12,31)) &lt; MAX($H$2, DATE(Initialisatie!$C$5,1,1)), 0, MONTH(MIN($H$1, DATE(Initialisatie!$C$5,12,31))) - MONTH(MAX($H$2, DATE(Initialisatie!$C$5,1,1))) + 1)) &lt;= 0, IFERROR(VALUE($H93),0)=0)
    ),
    0,
    SUM(
        IFERROR(VALUE($D93),0) * MAX(0, IF(MIN($D$1, DATE(Initialisatie!$C$5,12,31)) &lt; MAX($D$2, DATE(Initialisatie!$C$5,1,1)), 0, MONTH(MIN($D$1, DATE(Initialisatie!$C$5,12,31))) - MONTH(MAX($D$2, DATE(Initialisatie!$C$5,1,1))) + 1)),
        IFERROR(VALUE($E93),0) * MAX(0, IF(MIN($E$1, DATE(Initialisatie!$C$5,12,31)) &lt; MAX($E$2, DATE(Initialisatie!$C$5,1,1)), 0, MONTH(MIN($E$1, DATE(Initialisatie!$C$5,12,31))) - MONTH(MAX($E$2, DATE(Initialisatie!$C$5,1,1))) + 1)),
        IFERROR(VALUE($F93),0) * MAX(0, IF(MIN($F$1, DATE(Initialisatie!$C$5,12,31)) &lt; MAX($F$2, DATE(Initialisatie!$C$5,1,1)), 0, MONTH(MIN($F$1, DATE(Initialisatie!$C$5,12,31))) - MONTH(MAX($F$2, DATE(Initialisatie!$C$5,1,1))) + 1)),
        IFERROR(VALUE($G93),0) * MAX(0, IF(MIN($G$1, DATE(Initialisatie!$C$5,12,31)) &lt; MAX($G$2, DATE(Initialisatie!$C$5,1,1)), 0, MONTH(MIN($G$1, DATE(Initialisatie!$C$5,12,31))) - MONTH(MAX($G$2, DATE(Initialisatie!$C$5,1,1))) + 1)),
        IFERROR(VALUE($H93),0) * MAX(0, IF(MIN($H$1, DATE(Initialisatie!$C$5,12,31)) &lt; MAX($H$2, DATE(Initialisatie!$C$5,1,1)), 0, MONTH(MIN($H$1, DATE(Initialisatie!$C$5,12,31))) - MONTH(MAX($H$2, DATE(Initialisatie!$C$5,1,1))) + 1))
    ) / 12
)</f>
        <v>4211</v>
      </c>
    </row>
    <row r="94" spans="1:11" x14ac:dyDescent="0.45">
      <c r="A94" s="993">
        <v>50</v>
      </c>
      <c r="B94" s="371">
        <v>1</v>
      </c>
      <c r="C94" s="371" t="s">
        <v>1543</v>
      </c>
      <c r="D94" t="s">
        <v>1541</v>
      </c>
      <c r="E94" t="s">
        <v>1540</v>
      </c>
      <c r="F94" t="s">
        <v>1542</v>
      </c>
      <c r="G94" t="s">
        <v>1542</v>
      </c>
      <c r="H94" t="s">
        <v>1633</v>
      </c>
      <c r="J94">
        <f>IF(
    OR(
        AND(MAX(0, MIN($D$1, DATE(Initialisatie!$C$5,12,31)) - MAX($D$2, DATE(Initialisatie!$C$5,1,1)) + 1) &gt; 0,IFERROR(VALUE($D94),0)=0),
        AND(MAX(0, MIN($E$1, DATE(Initialisatie!$C$5,12,31)) - MAX($E$2, DATE(Initialisatie!$C$5,1,1)) + 1) &gt; 0,IFERROR(VALUE($E94),0)=0),
        AND(MAX(0, MIN($F$1, DATE(Initialisatie!$C$5,12,31)) - MAX($F$2, DATE(Initialisatie!$C$5,1,1)) + 1) &gt; 0,IFERROR(VALUE($F94),0)=0),
        AND(MAX(0, MIN($G$1, DATE(Initialisatie!$C$5,12,31)) - MAX($G$2, DATE(Initialisatie!$C$5,1,1)) + 1) &gt; 0,IFERROR(VALUE($G94),0)=0),
        AND(MAX(0, MIN($H$1, DATE(Initialisatie!$C$5,12,31)) - MAX($H$2, DATE(Initialisatie!$C$5,1,1)) + 1) &gt; 0,IFERROR(VALUE($H94),0)=0)
    ),
    0,
    SUM(
        IFERROR(VALUE($D94),0) * MAX(0, MIN($D$1, DATE(Initialisatie!$C$5,12,31)) - MAX($D$2, DATE(Initialisatie!$C$5,1,1)) + 1),
        IFERROR(VALUE($E94),0) * MAX(0, MIN($E$1, DATE(Initialisatie!$C$5,12,31)) - MAX($E$2, DATE(Initialisatie!$C$5,1,1)) + 1),
        IFERROR(VALUE($F94),0) * MAX(0, MIN($F$1, DATE(Initialisatie!$C$5,12,31)) - MAX($F$2, DATE(Initialisatie!$C$5,1,1)) + 1),
        IFERROR(VALUE($G94),0) * MAX(0, MIN($G$1, DATE(Initialisatie!$C$5,12,31)) - MAX($G$2, DATE(Initialisatie!$C$5,1,1)) + 1),
        IFERROR(VALUE($H94),0) * MAX(0, MIN($H$1, DATE(Initialisatie!$C$5,12,31)) - MAX($H$2, DATE(Initialisatie!$C$5,1,1)) + 1)
    ) / (DATE(Initialisatie!$C$5,12,31) - DATE(Initialisatie!$C$5,1,1) + 1)
)</f>
        <v>3508.4273972602741</v>
      </c>
      <c r="K94">
        <f>IF(
    OR(
        AND(MAX(0, IF(MIN($D$1, DATE(Initialisatie!$C$5,12,31)) &lt; MAX($D$2, DATE(Initialisatie!$C$5,1,1)), 0, MONTH(MIN($D$1, DATE(Initialisatie!$C$5,12,31))) - MONTH(MAX($D$2, DATE(Initialisatie!$C$5,1,1))) + 1)) &lt;= 0, IFERROR(VALUE($D94),0)=0),
        AND(MAX(0, IF(MIN($E$1, DATE(Initialisatie!$C$5,12,31)) &lt; MAX($E$2, DATE(Initialisatie!$C$5,1,1)), 0, MONTH(MIN($E$1, DATE(Initialisatie!$C$5,12,31))) - MONTH(MAX($E$2, DATE(Initialisatie!$C$5,1,1))) + 1)) &lt;= 0, IFERROR(VALUE($E94),0)=0),
        AND(MAX(0, IF(MIN($F$1, DATE(Initialisatie!$C$5,12,31)) &lt; MAX($F$2, DATE(Initialisatie!$C$5,1,1)), 0, MONTH(MIN($F$1, DATE(Initialisatie!$C$5,12,31))) - MONTH(MAX($F$2, DATE(Initialisatie!$C$5,1,1))) + 1)) &lt;= 0, IFERROR(VALUE($F94),0)=0),
        AND(MAX(0, IF(MIN($G$1, DATE(Initialisatie!$C$5,12,31)) &lt; MAX($G$2, DATE(Initialisatie!$C$5,1,1)), 0, MONTH(MIN($G$1, DATE(Initialisatie!$C$5,12,31))) - MONTH(MAX($G$2, DATE(Initialisatie!$C$5,1,1))) + 1)) &lt;= 0, IFERROR(VALUE($G94),0)=0),
        AND(MAX(0, IF(MIN($H$1, DATE(Initialisatie!$C$5,12,31)) &lt; MAX($H$2, DATE(Initialisatie!$C$5,1,1)), 0, MONTH(MIN($H$1, DATE(Initialisatie!$C$5,12,31))) - MONTH(MAX($H$2, DATE(Initialisatie!$C$5,1,1))) + 1)) &lt;= 0, IFERROR(VALUE($H94),0)=0)
    ),
    0,
    SUM(
        IFERROR(VALUE($D94),0) * MAX(0, IF(MIN($D$1, DATE(Initialisatie!$C$5,12,31)) &lt; MAX($D$2, DATE(Initialisatie!$C$5,1,1)), 0, MONTH(MIN($D$1, DATE(Initialisatie!$C$5,12,31))) - MONTH(MAX($D$2, DATE(Initialisatie!$C$5,1,1))) + 1)),
        IFERROR(VALUE($E94),0) * MAX(0, IF(MIN($E$1, DATE(Initialisatie!$C$5,12,31)) &lt; MAX($E$2, DATE(Initialisatie!$C$5,1,1)), 0, MONTH(MIN($E$1, DATE(Initialisatie!$C$5,12,31))) - MONTH(MAX($E$2, DATE(Initialisatie!$C$5,1,1))) + 1)),
        IFERROR(VALUE($F94),0) * MAX(0, IF(MIN($F$1, DATE(Initialisatie!$C$5,12,31)) &lt; MAX($F$2, DATE(Initialisatie!$C$5,1,1)), 0, MONTH(MIN($F$1, DATE(Initialisatie!$C$5,12,31))) - MONTH(MAX($F$2, DATE(Initialisatie!$C$5,1,1))) + 1)),
        IFERROR(VALUE($G94),0) * MAX(0, IF(MIN($G$1, DATE(Initialisatie!$C$5,12,31)) &lt; MAX($G$2, DATE(Initialisatie!$C$5,1,1)), 0, MONTH(MIN($G$1, DATE(Initialisatie!$C$5,12,31))) - MONTH(MAX($G$2, DATE(Initialisatie!$C$5,1,1))) + 1)),
        IFERROR(VALUE($H94),0) * MAX(0, IF(MIN($H$1, DATE(Initialisatie!$C$5,12,31)) &lt; MAX($H$2, DATE(Initialisatie!$C$5,1,1)), 0, MONTH(MIN($H$1, DATE(Initialisatie!$C$5,12,31))) - MONTH(MAX($H$2, DATE(Initialisatie!$C$5,1,1))) + 1))
    ) / 12
)</f>
        <v>3508</v>
      </c>
    </row>
    <row r="95" spans="1:11" x14ac:dyDescent="0.45">
      <c r="A95" s="989"/>
      <c r="B95" s="371">
        <v>2</v>
      </c>
      <c r="C95" s="371" t="s">
        <v>1539</v>
      </c>
      <c r="D95" t="s">
        <v>1537</v>
      </c>
      <c r="E95" t="s">
        <v>1536</v>
      </c>
      <c r="F95" t="s">
        <v>1538</v>
      </c>
      <c r="G95" t="s">
        <v>1538</v>
      </c>
      <c r="H95" t="s">
        <v>1635</v>
      </c>
      <c r="J95">
        <f>IF(
    OR(
        AND(MAX(0, MIN($D$1, DATE(Initialisatie!$C$5,12,31)) - MAX($D$2, DATE(Initialisatie!$C$5,1,1)) + 1) &gt; 0,IFERROR(VALUE($D95),0)=0),
        AND(MAX(0, MIN($E$1, DATE(Initialisatie!$C$5,12,31)) - MAX($E$2, DATE(Initialisatie!$C$5,1,1)) + 1) &gt; 0,IFERROR(VALUE($E95),0)=0),
        AND(MAX(0, MIN($F$1, DATE(Initialisatie!$C$5,12,31)) - MAX($F$2, DATE(Initialisatie!$C$5,1,1)) + 1) &gt; 0,IFERROR(VALUE($F95),0)=0),
        AND(MAX(0, MIN($G$1, DATE(Initialisatie!$C$5,12,31)) - MAX($G$2, DATE(Initialisatie!$C$5,1,1)) + 1) &gt; 0,IFERROR(VALUE($G95),0)=0),
        AND(MAX(0, MIN($H$1, DATE(Initialisatie!$C$5,12,31)) - MAX($H$2, DATE(Initialisatie!$C$5,1,1)) + 1) &gt; 0,IFERROR(VALUE($H95),0)=0)
    ),
    0,
    SUM(
        IFERROR(VALUE($D95),0) * MAX(0, MIN($D$1, DATE(Initialisatie!$C$5,12,31)) - MAX($D$2, DATE(Initialisatie!$C$5,1,1)) + 1),
        IFERROR(VALUE($E95),0) * MAX(0, MIN($E$1, DATE(Initialisatie!$C$5,12,31)) - MAX($E$2, DATE(Initialisatie!$C$5,1,1)) + 1),
        IFERROR(VALUE($F95),0) * MAX(0, MIN($F$1, DATE(Initialisatie!$C$5,12,31)) - MAX($F$2, DATE(Initialisatie!$C$5,1,1)) + 1),
        IFERROR(VALUE($G95),0) * MAX(0, MIN($G$1, DATE(Initialisatie!$C$5,12,31)) - MAX($G$2, DATE(Initialisatie!$C$5,1,1)) + 1),
        IFERROR(VALUE($H95),0) * MAX(0, MIN($H$1, DATE(Initialisatie!$C$5,12,31)) - MAX($H$2, DATE(Initialisatie!$C$5,1,1)) + 1)
    ) / (DATE(Initialisatie!$C$5,12,31) - DATE(Initialisatie!$C$5,1,1) + 1)
)</f>
        <v>3675.9479452054793</v>
      </c>
      <c r="K95">
        <f>IF(
    OR(
        AND(MAX(0, IF(MIN($D$1, DATE(Initialisatie!$C$5,12,31)) &lt; MAX($D$2, DATE(Initialisatie!$C$5,1,1)), 0, MONTH(MIN($D$1, DATE(Initialisatie!$C$5,12,31))) - MONTH(MAX($D$2, DATE(Initialisatie!$C$5,1,1))) + 1)) &lt;= 0, IFERROR(VALUE($D95),0)=0),
        AND(MAX(0, IF(MIN($E$1, DATE(Initialisatie!$C$5,12,31)) &lt; MAX($E$2, DATE(Initialisatie!$C$5,1,1)), 0, MONTH(MIN($E$1, DATE(Initialisatie!$C$5,12,31))) - MONTH(MAX($E$2, DATE(Initialisatie!$C$5,1,1))) + 1)) &lt;= 0, IFERROR(VALUE($E95),0)=0),
        AND(MAX(0, IF(MIN($F$1, DATE(Initialisatie!$C$5,12,31)) &lt; MAX($F$2, DATE(Initialisatie!$C$5,1,1)), 0, MONTH(MIN($F$1, DATE(Initialisatie!$C$5,12,31))) - MONTH(MAX($F$2, DATE(Initialisatie!$C$5,1,1))) + 1)) &lt;= 0, IFERROR(VALUE($F95),0)=0),
        AND(MAX(0, IF(MIN($G$1, DATE(Initialisatie!$C$5,12,31)) &lt; MAX($G$2, DATE(Initialisatie!$C$5,1,1)), 0, MONTH(MIN($G$1, DATE(Initialisatie!$C$5,12,31))) - MONTH(MAX($G$2, DATE(Initialisatie!$C$5,1,1))) + 1)) &lt;= 0, IFERROR(VALUE($G95),0)=0),
        AND(MAX(0, IF(MIN($H$1, DATE(Initialisatie!$C$5,12,31)) &lt; MAX($H$2, DATE(Initialisatie!$C$5,1,1)), 0, MONTH(MIN($H$1, DATE(Initialisatie!$C$5,12,31))) - MONTH(MAX($H$2, DATE(Initialisatie!$C$5,1,1))) + 1)) &lt;= 0, IFERROR(VALUE($H95),0)=0)
    ),
    0,
    SUM(
        IFERROR(VALUE($D95),0) * MAX(0, IF(MIN($D$1, DATE(Initialisatie!$C$5,12,31)) &lt; MAX($D$2, DATE(Initialisatie!$C$5,1,1)), 0, MONTH(MIN($D$1, DATE(Initialisatie!$C$5,12,31))) - MONTH(MAX($D$2, DATE(Initialisatie!$C$5,1,1))) + 1)),
        IFERROR(VALUE($E95),0) * MAX(0, IF(MIN($E$1, DATE(Initialisatie!$C$5,12,31)) &lt; MAX($E$2, DATE(Initialisatie!$C$5,1,1)), 0, MONTH(MIN($E$1, DATE(Initialisatie!$C$5,12,31))) - MONTH(MAX($E$2, DATE(Initialisatie!$C$5,1,1))) + 1)),
        IFERROR(VALUE($F95),0) * MAX(0, IF(MIN($F$1, DATE(Initialisatie!$C$5,12,31)) &lt; MAX($F$2, DATE(Initialisatie!$C$5,1,1)), 0, MONTH(MIN($F$1, DATE(Initialisatie!$C$5,12,31))) - MONTH(MAX($F$2, DATE(Initialisatie!$C$5,1,1))) + 1)),
        IFERROR(VALUE($G95),0) * MAX(0, IF(MIN($G$1, DATE(Initialisatie!$C$5,12,31)) &lt; MAX($G$2, DATE(Initialisatie!$C$5,1,1)), 0, MONTH(MIN($G$1, DATE(Initialisatie!$C$5,12,31))) - MONTH(MAX($G$2, DATE(Initialisatie!$C$5,1,1))) + 1)),
        IFERROR(VALUE($H95),0) * MAX(0, IF(MIN($H$1, DATE(Initialisatie!$C$5,12,31)) &lt; MAX($H$2, DATE(Initialisatie!$C$5,1,1)), 0, MONTH(MIN($H$1, DATE(Initialisatie!$C$5,12,31))) - MONTH(MAX($H$2, DATE(Initialisatie!$C$5,1,1))) + 1))
    ) / 12
)</f>
        <v>3675.5</v>
      </c>
    </row>
    <row r="96" spans="1:11" x14ac:dyDescent="0.45">
      <c r="A96" s="989"/>
      <c r="B96" s="371">
        <v>3</v>
      </c>
      <c r="C96" s="371" t="s">
        <v>1535</v>
      </c>
      <c r="D96" t="s">
        <v>1533</v>
      </c>
      <c r="E96" t="s">
        <v>1532</v>
      </c>
      <c r="F96" t="s">
        <v>1534</v>
      </c>
      <c r="G96" t="s">
        <v>1534</v>
      </c>
      <c r="H96" t="s">
        <v>1637</v>
      </c>
      <c r="J96">
        <f>IF(
    OR(
        AND(MAX(0, MIN($D$1, DATE(Initialisatie!$C$5,12,31)) - MAX($D$2, DATE(Initialisatie!$C$5,1,1)) + 1) &gt; 0,IFERROR(VALUE($D96),0)=0),
        AND(MAX(0, MIN($E$1, DATE(Initialisatie!$C$5,12,31)) - MAX($E$2, DATE(Initialisatie!$C$5,1,1)) + 1) &gt; 0,IFERROR(VALUE($E96),0)=0),
        AND(MAX(0, MIN($F$1, DATE(Initialisatie!$C$5,12,31)) - MAX($F$2, DATE(Initialisatie!$C$5,1,1)) + 1) &gt; 0,IFERROR(VALUE($F96),0)=0),
        AND(MAX(0, MIN($G$1, DATE(Initialisatie!$C$5,12,31)) - MAX($G$2, DATE(Initialisatie!$C$5,1,1)) + 1) &gt; 0,IFERROR(VALUE($G96),0)=0),
        AND(MAX(0, MIN($H$1, DATE(Initialisatie!$C$5,12,31)) - MAX($H$2, DATE(Initialisatie!$C$5,1,1)) + 1) &gt; 0,IFERROR(VALUE($H96),0)=0)
    ),
    0,
    SUM(
        IFERROR(VALUE($D96),0) * MAX(0, MIN($D$1, DATE(Initialisatie!$C$5,12,31)) - MAX($D$2, DATE(Initialisatie!$C$5,1,1)) + 1),
        IFERROR(VALUE($E96),0) * MAX(0, MIN($E$1, DATE(Initialisatie!$C$5,12,31)) - MAX($E$2, DATE(Initialisatie!$C$5,1,1)) + 1),
        IFERROR(VALUE($F96),0) * MAX(0, MIN($F$1, DATE(Initialisatie!$C$5,12,31)) - MAX($F$2, DATE(Initialisatie!$C$5,1,1)) + 1),
        IFERROR(VALUE($G96),0) * MAX(0, MIN($G$1, DATE(Initialisatie!$C$5,12,31)) - MAX($G$2, DATE(Initialisatie!$C$5,1,1)) + 1),
        IFERROR(VALUE($H96),0) * MAX(0, MIN($H$1, DATE(Initialisatie!$C$5,12,31)) - MAX($H$2, DATE(Initialisatie!$C$5,1,1)) + 1)
    ) / (DATE(Initialisatie!$C$5,12,31) - DATE(Initialisatie!$C$5,1,1) + 1)
)</f>
        <v>3860.4684931506849</v>
      </c>
      <c r="K96">
        <f>IF(
    OR(
        AND(MAX(0, IF(MIN($D$1, DATE(Initialisatie!$C$5,12,31)) &lt; MAX($D$2, DATE(Initialisatie!$C$5,1,1)), 0, MONTH(MIN($D$1, DATE(Initialisatie!$C$5,12,31))) - MONTH(MAX($D$2, DATE(Initialisatie!$C$5,1,1))) + 1)) &lt;= 0, IFERROR(VALUE($D96),0)=0),
        AND(MAX(0, IF(MIN($E$1, DATE(Initialisatie!$C$5,12,31)) &lt; MAX($E$2, DATE(Initialisatie!$C$5,1,1)), 0, MONTH(MIN($E$1, DATE(Initialisatie!$C$5,12,31))) - MONTH(MAX($E$2, DATE(Initialisatie!$C$5,1,1))) + 1)) &lt;= 0, IFERROR(VALUE($E96),0)=0),
        AND(MAX(0, IF(MIN($F$1, DATE(Initialisatie!$C$5,12,31)) &lt; MAX($F$2, DATE(Initialisatie!$C$5,1,1)), 0, MONTH(MIN($F$1, DATE(Initialisatie!$C$5,12,31))) - MONTH(MAX($F$2, DATE(Initialisatie!$C$5,1,1))) + 1)) &lt;= 0, IFERROR(VALUE($F96),0)=0),
        AND(MAX(0, IF(MIN($G$1, DATE(Initialisatie!$C$5,12,31)) &lt; MAX($G$2, DATE(Initialisatie!$C$5,1,1)), 0, MONTH(MIN($G$1, DATE(Initialisatie!$C$5,12,31))) - MONTH(MAX($G$2, DATE(Initialisatie!$C$5,1,1))) + 1)) &lt;= 0, IFERROR(VALUE($G96),0)=0),
        AND(MAX(0, IF(MIN($H$1, DATE(Initialisatie!$C$5,12,31)) &lt; MAX($H$2, DATE(Initialisatie!$C$5,1,1)), 0, MONTH(MIN($H$1, DATE(Initialisatie!$C$5,12,31))) - MONTH(MAX($H$2, DATE(Initialisatie!$C$5,1,1))) + 1)) &lt;= 0, IFERROR(VALUE($H96),0)=0)
    ),
    0,
    SUM(
        IFERROR(VALUE($D96),0) * MAX(0, IF(MIN($D$1, DATE(Initialisatie!$C$5,12,31)) &lt; MAX($D$2, DATE(Initialisatie!$C$5,1,1)), 0, MONTH(MIN($D$1, DATE(Initialisatie!$C$5,12,31))) - MONTH(MAX($D$2, DATE(Initialisatie!$C$5,1,1))) + 1)),
        IFERROR(VALUE($E96),0) * MAX(0, IF(MIN($E$1, DATE(Initialisatie!$C$5,12,31)) &lt; MAX($E$2, DATE(Initialisatie!$C$5,1,1)), 0, MONTH(MIN($E$1, DATE(Initialisatie!$C$5,12,31))) - MONTH(MAX($E$2, DATE(Initialisatie!$C$5,1,1))) + 1)),
        IFERROR(VALUE($F96),0) * MAX(0, IF(MIN($F$1, DATE(Initialisatie!$C$5,12,31)) &lt; MAX($F$2, DATE(Initialisatie!$C$5,1,1)), 0, MONTH(MIN($F$1, DATE(Initialisatie!$C$5,12,31))) - MONTH(MAX($F$2, DATE(Initialisatie!$C$5,1,1))) + 1)),
        IFERROR(VALUE($G96),0) * MAX(0, IF(MIN($G$1, DATE(Initialisatie!$C$5,12,31)) &lt; MAX($G$2, DATE(Initialisatie!$C$5,1,1)), 0, MONTH(MIN($G$1, DATE(Initialisatie!$C$5,12,31))) - MONTH(MAX($G$2, DATE(Initialisatie!$C$5,1,1))) + 1)),
        IFERROR(VALUE($H96),0) * MAX(0, IF(MIN($H$1, DATE(Initialisatie!$C$5,12,31)) &lt; MAX($H$2, DATE(Initialisatie!$C$5,1,1)), 0, MONTH(MIN($H$1, DATE(Initialisatie!$C$5,12,31))) - MONTH(MAX($H$2, DATE(Initialisatie!$C$5,1,1))) + 1))
    ) / 12
)</f>
        <v>3860</v>
      </c>
    </row>
    <row r="97" spans="1:11" x14ac:dyDescent="0.45">
      <c r="A97" s="989"/>
      <c r="B97" s="371">
        <v>4</v>
      </c>
      <c r="C97" s="371" t="s">
        <v>1520</v>
      </c>
      <c r="D97" t="s">
        <v>1518</v>
      </c>
      <c r="E97" t="s">
        <v>1517</v>
      </c>
      <c r="F97" t="s">
        <v>1519</v>
      </c>
      <c r="G97" t="s">
        <v>1519</v>
      </c>
      <c r="H97" t="s">
        <v>1638</v>
      </c>
      <c r="J97">
        <f>IF(
    OR(
        AND(MAX(0, MIN($D$1, DATE(Initialisatie!$C$5,12,31)) - MAX($D$2, DATE(Initialisatie!$C$5,1,1)) + 1) &gt; 0,IFERROR(VALUE($D97),0)=0),
        AND(MAX(0, MIN($E$1, DATE(Initialisatie!$C$5,12,31)) - MAX($E$2, DATE(Initialisatie!$C$5,1,1)) + 1) &gt; 0,IFERROR(VALUE($E97),0)=0),
        AND(MAX(0, MIN($F$1, DATE(Initialisatie!$C$5,12,31)) - MAX($F$2, DATE(Initialisatie!$C$5,1,1)) + 1) &gt; 0,IFERROR(VALUE($F97),0)=0),
        AND(MAX(0, MIN($G$1, DATE(Initialisatie!$C$5,12,31)) - MAX($G$2, DATE(Initialisatie!$C$5,1,1)) + 1) &gt; 0,IFERROR(VALUE($G97),0)=0),
        AND(MAX(0, MIN($H$1, DATE(Initialisatie!$C$5,12,31)) - MAX($H$2, DATE(Initialisatie!$C$5,1,1)) + 1) &gt; 0,IFERROR(VALUE($H97),0)=0)
    ),
    0,
    SUM(
        IFERROR(VALUE($D97),0) * MAX(0, MIN($D$1, DATE(Initialisatie!$C$5,12,31)) - MAX($D$2, DATE(Initialisatie!$C$5,1,1)) + 1),
        IFERROR(VALUE($E97),0) * MAX(0, MIN($E$1, DATE(Initialisatie!$C$5,12,31)) - MAX($E$2, DATE(Initialisatie!$C$5,1,1)) + 1),
        IFERROR(VALUE($F97),0) * MAX(0, MIN($F$1, DATE(Initialisatie!$C$5,12,31)) - MAX($F$2, DATE(Initialisatie!$C$5,1,1)) + 1),
        IFERROR(VALUE($G97),0) * MAX(0, MIN($G$1, DATE(Initialisatie!$C$5,12,31)) - MAX($G$2, DATE(Initialisatie!$C$5,1,1)) + 1),
        IFERROR(VALUE($H97),0) * MAX(0, MIN($H$1, DATE(Initialisatie!$C$5,12,31)) - MAX($H$2, DATE(Initialisatie!$C$5,1,1)) + 1)
    ) / (DATE(Initialisatie!$C$5,12,31) - DATE(Initialisatie!$C$5,1,1) + 1)
)</f>
        <v>3941.980821917808</v>
      </c>
      <c r="K97">
        <f>IF(
    OR(
        AND(MAX(0, IF(MIN($D$1, DATE(Initialisatie!$C$5,12,31)) &lt; MAX($D$2, DATE(Initialisatie!$C$5,1,1)), 0, MONTH(MIN($D$1, DATE(Initialisatie!$C$5,12,31))) - MONTH(MAX($D$2, DATE(Initialisatie!$C$5,1,1))) + 1)) &lt;= 0, IFERROR(VALUE($D97),0)=0),
        AND(MAX(0, IF(MIN($E$1, DATE(Initialisatie!$C$5,12,31)) &lt; MAX($E$2, DATE(Initialisatie!$C$5,1,1)), 0, MONTH(MIN($E$1, DATE(Initialisatie!$C$5,12,31))) - MONTH(MAX($E$2, DATE(Initialisatie!$C$5,1,1))) + 1)) &lt;= 0, IFERROR(VALUE($E97),0)=0),
        AND(MAX(0, IF(MIN($F$1, DATE(Initialisatie!$C$5,12,31)) &lt; MAX($F$2, DATE(Initialisatie!$C$5,1,1)), 0, MONTH(MIN($F$1, DATE(Initialisatie!$C$5,12,31))) - MONTH(MAX($F$2, DATE(Initialisatie!$C$5,1,1))) + 1)) &lt;= 0, IFERROR(VALUE($F97),0)=0),
        AND(MAX(0, IF(MIN($G$1, DATE(Initialisatie!$C$5,12,31)) &lt; MAX($G$2, DATE(Initialisatie!$C$5,1,1)), 0, MONTH(MIN($G$1, DATE(Initialisatie!$C$5,12,31))) - MONTH(MAX($G$2, DATE(Initialisatie!$C$5,1,1))) + 1)) &lt;= 0, IFERROR(VALUE($G97),0)=0),
        AND(MAX(0, IF(MIN($H$1, DATE(Initialisatie!$C$5,12,31)) &lt; MAX($H$2, DATE(Initialisatie!$C$5,1,1)), 0, MONTH(MIN($H$1, DATE(Initialisatie!$C$5,12,31))) - MONTH(MAX($H$2, DATE(Initialisatie!$C$5,1,1))) + 1)) &lt;= 0, IFERROR(VALUE($H97),0)=0)
    ),
    0,
    SUM(
        IFERROR(VALUE($D97),0) * MAX(0, IF(MIN($D$1, DATE(Initialisatie!$C$5,12,31)) &lt; MAX($D$2, DATE(Initialisatie!$C$5,1,1)), 0, MONTH(MIN($D$1, DATE(Initialisatie!$C$5,12,31))) - MONTH(MAX($D$2, DATE(Initialisatie!$C$5,1,1))) + 1)),
        IFERROR(VALUE($E97),0) * MAX(0, IF(MIN($E$1, DATE(Initialisatie!$C$5,12,31)) &lt; MAX($E$2, DATE(Initialisatie!$C$5,1,1)), 0, MONTH(MIN($E$1, DATE(Initialisatie!$C$5,12,31))) - MONTH(MAX($E$2, DATE(Initialisatie!$C$5,1,1))) + 1)),
        IFERROR(VALUE($F97),0) * MAX(0, IF(MIN($F$1, DATE(Initialisatie!$C$5,12,31)) &lt; MAX($F$2, DATE(Initialisatie!$C$5,1,1)), 0, MONTH(MIN($F$1, DATE(Initialisatie!$C$5,12,31))) - MONTH(MAX($F$2, DATE(Initialisatie!$C$5,1,1))) + 1)),
        IFERROR(VALUE($G97),0) * MAX(0, IF(MIN($G$1, DATE(Initialisatie!$C$5,12,31)) &lt; MAX($G$2, DATE(Initialisatie!$C$5,1,1)), 0, MONTH(MIN($G$1, DATE(Initialisatie!$C$5,12,31))) - MONTH(MAX($G$2, DATE(Initialisatie!$C$5,1,1))) + 1)),
        IFERROR(VALUE($H97),0) * MAX(0, IF(MIN($H$1, DATE(Initialisatie!$C$5,12,31)) &lt; MAX($H$2, DATE(Initialisatie!$C$5,1,1)), 0, MONTH(MIN($H$1, DATE(Initialisatie!$C$5,12,31))) - MONTH(MAX($H$2, DATE(Initialisatie!$C$5,1,1))) + 1))
    ) / 12
)</f>
        <v>3941.5</v>
      </c>
    </row>
    <row r="98" spans="1:11" x14ac:dyDescent="0.45">
      <c r="A98" s="989"/>
      <c r="B98" s="371">
        <v>5</v>
      </c>
      <c r="C98" s="371" t="s">
        <v>1531</v>
      </c>
      <c r="D98" t="s">
        <v>1530</v>
      </c>
      <c r="E98" t="s">
        <v>1529</v>
      </c>
      <c r="F98" t="s">
        <v>1513</v>
      </c>
      <c r="G98" t="s">
        <v>1513</v>
      </c>
      <c r="H98" t="s">
        <v>1639</v>
      </c>
      <c r="J98">
        <f>IF(
    OR(
        AND(MAX(0, MIN($D$1, DATE(Initialisatie!$C$5,12,31)) - MAX($D$2, DATE(Initialisatie!$C$5,1,1)) + 1) &gt; 0,IFERROR(VALUE($D98),0)=0),
        AND(MAX(0, MIN($E$1, DATE(Initialisatie!$C$5,12,31)) - MAX($E$2, DATE(Initialisatie!$C$5,1,1)) + 1) &gt; 0,IFERROR(VALUE($E98),0)=0),
        AND(MAX(0, MIN($F$1, DATE(Initialisatie!$C$5,12,31)) - MAX($F$2, DATE(Initialisatie!$C$5,1,1)) + 1) &gt; 0,IFERROR(VALUE($F98),0)=0),
        AND(MAX(0, MIN($G$1, DATE(Initialisatie!$C$5,12,31)) - MAX($G$2, DATE(Initialisatie!$C$5,1,1)) + 1) &gt; 0,IFERROR(VALUE($G98),0)=0),
        AND(MAX(0, MIN($H$1, DATE(Initialisatie!$C$5,12,31)) - MAX($H$2, DATE(Initialisatie!$C$5,1,1)) + 1) &gt; 0,IFERROR(VALUE($H98),0)=0)
    ),
    0,
    SUM(
        IFERROR(VALUE($D98),0) * MAX(0, MIN($D$1, DATE(Initialisatie!$C$5,12,31)) - MAX($D$2, DATE(Initialisatie!$C$5,1,1)) + 1),
        IFERROR(VALUE($E98),0) * MAX(0, MIN($E$1, DATE(Initialisatie!$C$5,12,31)) - MAX($E$2, DATE(Initialisatie!$C$5,1,1)) + 1),
        IFERROR(VALUE($F98),0) * MAX(0, MIN($F$1, DATE(Initialisatie!$C$5,12,31)) - MAX($F$2, DATE(Initialisatie!$C$5,1,1)) + 1),
        IFERROR(VALUE($G98),0) * MAX(0, MIN($G$1, DATE(Initialisatie!$C$5,12,31)) - MAX($G$2, DATE(Initialisatie!$C$5,1,1)) + 1),
        IFERROR(VALUE($H98),0) * MAX(0, MIN($H$1, DATE(Initialisatie!$C$5,12,31)) - MAX($H$2, DATE(Initialisatie!$C$5,1,1)) + 1)
    ) / (DATE(Initialisatie!$C$5,12,31) - DATE(Initialisatie!$C$5,1,1) + 1)
)</f>
        <v>4034.9890410958906</v>
      </c>
      <c r="K98">
        <f>IF(
    OR(
        AND(MAX(0, IF(MIN($D$1, DATE(Initialisatie!$C$5,12,31)) &lt; MAX($D$2, DATE(Initialisatie!$C$5,1,1)), 0, MONTH(MIN($D$1, DATE(Initialisatie!$C$5,12,31))) - MONTH(MAX($D$2, DATE(Initialisatie!$C$5,1,1))) + 1)) &lt;= 0, IFERROR(VALUE($D98),0)=0),
        AND(MAX(0, IF(MIN($E$1, DATE(Initialisatie!$C$5,12,31)) &lt; MAX($E$2, DATE(Initialisatie!$C$5,1,1)), 0, MONTH(MIN($E$1, DATE(Initialisatie!$C$5,12,31))) - MONTH(MAX($E$2, DATE(Initialisatie!$C$5,1,1))) + 1)) &lt;= 0, IFERROR(VALUE($E98),0)=0),
        AND(MAX(0, IF(MIN($F$1, DATE(Initialisatie!$C$5,12,31)) &lt; MAX($F$2, DATE(Initialisatie!$C$5,1,1)), 0, MONTH(MIN($F$1, DATE(Initialisatie!$C$5,12,31))) - MONTH(MAX($F$2, DATE(Initialisatie!$C$5,1,1))) + 1)) &lt;= 0, IFERROR(VALUE($F98),0)=0),
        AND(MAX(0, IF(MIN($G$1, DATE(Initialisatie!$C$5,12,31)) &lt; MAX($G$2, DATE(Initialisatie!$C$5,1,1)), 0, MONTH(MIN($G$1, DATE(Initialisatie!$C$5,12,31))) - MONTH(MAX($G$2, DATE(Initialisatie!$C$5,1,1))) + 1)) &lt;= 0, IFERROR(VALUE($G98),0)=0),
        AND(MAX(0, IF(MIN($H$1, DATE(Initialisatie!$C$5,12,31)) &lt; MAX($H$2, DATE(Initialisatie!$C$5,1,1)), 0, MONTH(MIN($H$1, DATE(Initialisatie!$C$5,12,31))) - MONTH(MAX($H$2, DATE(Initialisatie!$C$5,1,1))) + 1)) &lt;= 0, IFERROR(VALUE($H98),0)=0)
    ),
    0,
    SUM(
        IFERROR(VALUE($D98),0) * MAX(0, IF(MIN($D$1, DATE(Initialisatie!$C$5,12,31)) &lt; MAX($D$2, DATE(Initialisatie!$C$5,1,1)), 0, MONTH(MIN($D$1, DATE(Initialisatie!$C$5,12,31))) - MONTH(MAX($D$2, DATE(Initialisatie!$C$5,1,1))) + 1)),
        IFERROR(VALUE($E98),0) * MAX(0, IF(MIN($E$1, DATE(Initialisatie!$C$5,12,31)) &lt; MAX($E$2, DATE(Initialisatie!$C$5,1,1)), 0, MONTH(MIN($E$1, DATE(Initialisatie!$C$5,12,31))) - MONTH(MAX($E$2, DATE(Initialisatie!$C$5,1,1))) + 1)),
        IFERROR(VALUE($F98),0) * MAX(0, IF(MIN($F$1, DATE(Initialisatie!$C$5,12,31)) &lt; MAX($F$2, DATE(Initialisatie!$C$5,1,1)), 0, MONTH(MIN($F$1, DATE(Initialisatie!$C$5,12,31))) - MONTH(MAX($F$2, DATE(Initialisatie!$C$5,1,1))) + 1)),
        IFERROR(VALUE($G98),0) * MAX(0, IF(MIN($G$1, DATE(Initialisatie!$C$5,12,31)) &lt; MAX($G$2, DATE(Initialisatie!$C$5,1,1)), 0, MONTH(MIN($G$1, DATE(Initialisatie!$C$5,12,31))) - MONTH(MAX($G$2, DATE(Initialisatie!$C$5,1,1))) + 1)),
        IFERROR(VALUE($H98),0) * MAX(0, IF(MIN($H$1, DATE(Initialisatie!$C$5,12,31)) &lt; MAX($H$2, DATE(Initialisatie!$C$5,1,1)), 0, MONTH(MIN($H$1, DATE(Initialisatie!$C$5,12,31))) - MONTH(MAX($H$2, DATE(Initialisatie!$C$5,1,1))) + 1))
    ) / 12
)</f>
        <v>4034.5</v>
      </c>
    </row>
    <row r="99" spans="1:11" x14ac:dyDescent="0.45">
      <c r="A99" s="989"/>
      <c r="B99" s="371">
        <v>6</v>
      </c>
      <c r="C99" s="371" t="s">
        <v>1516</v>
      </c>
      <c r="D99" t="s">
        <v>1514</v>
      </c>
      <c r="E99" t="s">
        <v>1513</v>
      </c>
      <c r="F99" t="s">
        <v>1515</v>
      </c>
      <c r="G99" t="s">
        <v>1515</v>
      </c>
      <c r="H99" t="s">
        <v>1640</v>
      </c>
      <c r="J99">
        <f>IF(
    OR(
        AND(MAX(0, MIN($D$1, DATE(Initialisatie!$C$5,12,31)) - MAX($D$2, DATE(Initialisatie!$C$5,1,1)) + 1) &gt; 0,IFERROR(VALUE($D99),0)=0),
        AND(MAX(0, MIN($E$1, DATE(Initialisatie!$C$5,12,31)) - MAX($E$2, DATE(Initialisatie!$C$5,1,1)) + 1) &gt; 0,IFERROR(VALUE($E99),0)=0),
        AND(MAX(0, MIN($F$1, DATE(Initialisatie!$C$5,12,31)) - MAX($F$2, DATE(Initialisatie!$C$5,1,1)) + 1) &gt; 0,IFERROR(VALUE($F99),0)=0),
        AND(MAX(0, MIN($G$1, DATE(Initialisatie!$C$5,12,31)) - MAX($G$2, DATE(Initialisatie!$C$5,1,1)) + 1) &gt; 0,IFERROR(VALUE($G99),0)=0),
        AND(MAX(0, MIN($H$1, DATE(Initialisatie!$C$5,12,31)) - MAX($H$2, DATE(Initialisatie!$C$5,1,1)) + 1) &gt; 0,IFERROR(VALUE($H99),0)=0)
    ),
    0,
    SUM(
        IFERROR(VALUE($D99),0) * MAX(0, MIN($D$1, DATE(Initialisatie!$C$5,12,31)) - MAX($D$2, DATE(Initialisatie!$C$5,1,1)) + 1),
        IFERROR(VALUE($E99),0) * MAX(0, MIN($E$1, DATE(Initialisatie!$C$5,12,31)) - MAX($E$2, DATE(Initialisatie!$C$5,1,1)) + 1),
        IFERROR(VALUE($F99),0) * MAX(0, MIN($F$1, DATE(Initialisatie!$C$5,12,31)) - MAX($F$2, DATE(Initialisatie!$C$5,1,1)) + 1),
        IFERROR(VALUE($G99),0) * MAX(0, MIN($G$1, DATE(Initialisatie!$C$5,12,31)) - MAX($G$2, DATE(Initialisatie!$C$5,1,1)) + 1),
        IFERROR(VALUE($H99),0) * MAX(0, MIN($H$1, DATE(Initialisatie!$C$5,12,31)) - MAX($H$2, DATE(Initialisatie!$C$5,1,1)) + 1)
    ) / (DATE(Initialisatie!$C$5,12,31) - DATE(Initialisatie!$C$5,1,1) + 1)
)</f>
        <v>4125.5013698630137</v>
      </c>
      <c r="K99">
        <f>IF(
    OR(
        AND(MAX(0, IF(MIN($D$1, DATE(Initialisatie!$C$5,12,31)) &lt; MAX($D$2, DATE(Initialisatie!$C$5,1,1)), 0, MONTH(MIN($D$1, DATE(Initialisatie!$C$5,12,31))) - MONTH(MAX($D$2, DATE(Initialisatie!$C$5,1,1))) + 1)) &lt;= 0, IFERROR(VALUE($D99),0)=0),
        AND(MAX(0, IF(MIN($E$1, DATE(Initialisatie!$C$5,12,31)) &lt; MAX($E$2, DATE(Initialisatie!$C$5,1,1)), 0, MONTH(MIN($E$1, DATE(Initialisatie!$C$5,12,31))) - MONTH(MAX($E$2, DATE(Initialisatie!$C$5,1,1))) + 1)) &lt;= 0, IFERROR(VALUE($E99),0)=0),
        AND(MAX(0, IF(MIN($F$1, DATE(Initialisatie!$C$5,12,31)) &lt; MAX($F$2, DATE(Initialisatie!$C$5,1,1)), 0, MONTH(MIN($F$1, DATE(Initialisatie!$C$5,12,31))) - MONTH(MAX($F$2, DATE(Initialisatie!$C$5,1,1))) + 1)) &lt;= 0, IFERROR(VALUE($F99),0)=0),
        AND(MAX(0, IF(MIN($G$1, DATE(Initialisatie!$C$5,12,31)) &lt; MAX($G$2, DATE(Initialisatie!$C$5,1,1)), 0, MONTH(MIN($G$1, DATE(Initialisatie!$C$5,12,31))) - MONTH(MAX($G$2, DATE(Initialisatie!$C$5,1,1))) + 1)) &lt;= 0, IFERROR(VALUE($G99),0)=0),
        AND(MAX(0, IF(MIN($H$1, DATE(Initialisatie!$C$5,12,31)) &lt; MAX($H$2, DATE(Initialisatie!$C$5,1,1)), 0, MONTH(MIN($H$1, DATE(Initialisatie!$C$5,12,31))) - MONTH(MAX($H$2, DATE(Initialisatie!$C$5,1,1))) + 1)) &lt;= 0, IFERROR(VALUE($H99),0)=0)
    ),
    0,
    SUM(
        IFERROR(VALUE($D99),0) * MAX(0, IF(MIN($D$1, DATE(Initialisatie!$C$5,12,31)) &lt; MAX($D$2, DATE(Initialisatie!$C$5,1,1)), 0, MONTH(MIN($D$1, DATE(Initialisatie!$C$5,12,31))) - MONTH(MAX($D$2, DATE(Initialisatie!$C$5,1,1))) + 1)),
        IFERROR(VALUE($E99),0) * MAX(0, IF(MIN($E$1, DATE(Initialisatie!$C$5,12,31)) &lt; MAX($E$2, DATE(Initialisatie!$C$5,1,1)), 0, MONTH(MIN($E$1, DATE(Initialisatie!$C$5,12,31))) - MONTH(MAX($E$2, DATE(Initialisatie!$C$5,1,1))) + 1)),
        IFERROR(VALUE($F99),0) * MAX(0, IF(MIN($F$1, DATE(Initialisatie!$C$5,12,31)) &lt; MAX($F$2, DATE(Initialisatie!$C$5,1,1)), 0, MONTH(MIN($F$1, DATE(Initialisatie!$C$5,12,31))) - MONTH(MAX($F$2, DATE(Initialisatie!$C$5,1,1))) + 1)),
        IFERROR(VALUE($G99),0) * MAX(0, IF(MIN($G$1, DATE(Initialisatie!$C$5,12,31)) &lt; MAX($G$2, DATE(Initialisatie!$C$5,1,1)), 0, MONTH(MIN($G$1, DATE(Initialisatie!$C$5,12,31))) - MONTH(MAX($G$2, DATE(Initialisatie!$C$5,1,1))) + 1)),
        IFERROR(VALUE($H99),0) * MAX(0, IF(MIN($H$1, DATE(Initialisatie!$C$5,12,31)) &lt; MAX($H$2, DATE(Initialisatie!$C$5,1,1)), 0, MONTH(MIN($H$1, DATE(Initialisatie!$C$5,12,31))) - MONTH(MAX($H$2, DATE(Initialisatie!$C$5,1,1))) + 1))
    ) / 12
)</f>
        <v>4125</v>
      </c>
    </row>
    <row r="100" spans="1:11" x14ac:dyDescent="0.45">
      <c r="A100" s="989"/>
      <c r="B100" s="371">
        <v>7</v>
      </c>
      <c r="C100" s="371" t="s">
        <v>1528</v>
      </c>
      <c r="D100" t="s">
        <v>1526</v>
      </c>
      <c r="E100" t="s">
        <v>1525</v>
      </c>
      <c r="F100" t="s">
        <v>1527</v>
      </c>
      <c r="G100" t="s">
        <v>1527</v>
      </c>
      <c r="H100" t="s">
        <v>1641</v>
      </c>
      <c r="J100">
        <f>IF(
    OR(
        AND(MAX(0, MIN($D$1, DATE(Initialisatie!$C$5,12,31)) - MAX($D$2, DATE(Initialisatie!$C$5,1,1)) + 1) &gt; 0,IFERROR(VALUE($D100),0)=0),
        AND(MAX(0, MIN($E$1, DATE(Initialisatie!$C$5,12,31)) - MAX($E$2, DATE(Initialisatie!$C$5,1,1)) + 1) &gt; 0,IFERROR(VALUE($E100),0)=0),
        AND(MAX(0, MIN($F$1, DATE(Initialisatie!$C$5,12,31)) - MAX($F$2, DATE(Initialisatie!$C$5,1,1)) + 1) &gt; 0,IFERROR(VALUE($F100),0)=0),
        AND(MAX(0, MIN($G$1, DATE(Initialisatie!$C$5,12,31)) - MAX($G$2, DATE(Initialisatie!$C$5,1,1)) + 1) &gt; 0,IFERROR(VALUE($G100),0)=0),
        AND(MAX(0, MIN($H$1, DATE(Initialisatie!$C$5,12,31)) - MAX($H$2, DATE(Initialisatie!$C$5,1,1)) + 1) &gt; 0,IFERROR(VALUE($H100),0)=0)
    ),
    0,
    SUM(
        IFERROR(VALUE($D100),0) * MAX(0, MIN($D$1, DATE(Initialisatie!$C$5,12,31)) - MAX($D$2, DATE(Initialisatie!$C$5,1,1)) + 1),
        IFERROR(VALUE($E100),0) * MAX(0, MIN($E$1, DATE(Initialisatie!$C$5,12,31)) - MAX($E$2, DATE(Initialisatie!$C$5,1,1)) + 1),
        IFERROR(VALUE($F100),0) * MAX(0, MIN($F$1, DATE(Initialisatie!$C$5,12,31)) - MAX($F$2, DATE(Initialisatie!$C$5,1,1)) + 1),
        IFERROR(VALUE($G100),0) * MAX(0, MIN($G$1, DATE(Initialisatie!$C$5,12,31)) - MAX($G$2, DATE(Initialisatie!$C$5,1,1)) + 1),
        IFERROR(VALUE($H100),0) * MAX(0, MIN($H$1, DATE(Initialisatie!$C$5,12,31)) - MAX($H$2, DATE(Initialisatie!$C$5,1,1)) + 1)
    ) / (DATE(Initialisatie!$C$5,12,31) - DATE(Initialisatie!$C$5,1,1) + 1)
)</f>
        <v>4211.5095890410958</v>
      </c>
      <c r="K100">
        <f>IF(
    OR(
        AND(MAX(0, IF(MIN($D$1, DATE(Initialisatie!$C$5,12,31)) &lt; MAX($D$2, DATE(Initialisatie!$C$5,1,1)), 0, MONTH(MIN($D$1, DATE(Initialisatie!$C$5,12,31))) - MONTH(MAX($D$2, DATE(Initialisatie!$C$5,1,1))) + 1)) &lt;= 0, IFERROR(VALUE($D100),0)=0),
        AND(MAX(0, IF(MIN($E$1, DATE(Initialisatie!$C$5,12,31)) &lt; MAX($E$2, DATE(Initialisatie!$C$5,1,1)), 0, MONTH(MIN($E$1, DATE(Initialisatie!$C$5,12,31))) - MONTH(MAX($E$2, DATE(Initialisatie!$C$5,1,1))) + 1)) &lt;= 0, IFERROR(VALUE($E100),0)=0),
        AND(MAX(0, IF(MIN($F$1, DATE(Initialisatie!$C$5,12,31)) &lt; MAX($F$2, DATE(Initialisatie!$C$5,1,1)), 0, MONTH(MIN($F$1, DATE(Initialisatie!$C$5,12,31))) - MONTH(MAX($F$2, DATE(Initialisatie!$C$5,1,1))) + 1)) &lt;= 0, IFERROR(VALUE($F100),0)=0),
        AND(MAX(0, IF(MIN($G$1, DATE(Initialisatie!$C$5,12,31)) &lt; MAX($G$2, DATE(Initialisatie!$C$5,1,1)), 0, MONTH(MIN($G$1, DATE(Initialisatie!$C$5,12,31))) - MONTH(MAX($G$2, DATE(Initialisatie!$C$5,1,1))) + 1)) &lt;= 0, IFERROR(VALUE($G100),0)=0),
        AND(MAX(0, IF(MIN($H$1, DATE(Initialisatie!$C$5,12,31)) &lt; MAX($H$2, DATE(Initialisatie!$C$5,1,1)), 0, MONTH(MIN($H$1, DATE(Initialisatie!$C$5,12,31))) - MONTH(MAX($H$2, DATE(Initialisatie!$C$5,1,1))) + 1)) &lt;= 0, IFERROR(VALUE($H100),0)=0)
    ),
    0,
    SUM(
        IFERROR(VALUE($D100),0) * MAX(0, IF(MIN($D$1, DATE(Initialisatie!$C$5,12,31)) &lt; MAX($D$2, DATE(Initialisatie!$C$5,1,1)), 0, MONTH(MIN($D$1, DATE(Initialisatie!$C$5,12,31))) - MONTH(MAX($D$2, DATE(Initialisatie!$C$5,1,1))) + 1)),
        IFERROR(VALUE($E100),0) * MAX(0, IF(MIN($E$1, DATE(Initialisatie!$C$5,12,31)) &lt; MAX($E$2, DATE(Initialisatie!$C$5,1,1)), 0, MONTH(MIN($E$1, DATE(Initialisatie!$C$5,12,31))) - MONTH(MAX($E$2, DATE(Initialisatie!$C$5,1,1))) + 1)),
        IFERROR(VALUE($F100),0) * MAX(0, IF(MIN($F$1, DATE(Initialisatie!$C$5,12,31)) &lt; MAX($F$2, DATE(Initialisatie!$C$5,1,1)), 0, MONTH(MIN($F$1, DATE(Initialisatie!$C$5,12,31))) - MONTH(MAX($F$2, DATE(Initialisatie!$C$5,1,1))) + 1)),
        IFERROR(VALUE($G100),0) * MAX(0, IF(MIN($G$1, DATE(Initialisatie!$C$5,12,31)) &lt; MAX($G$2, DATE(Initialisatie!$C$5,1,1)), 0, MONTH(MIN($G$1, DATE(Initialisatie!$C$5,12,31))) - MONTH(MAX($G$2, DATE(Initialisatie!$C$5,1,1))) + 1)),
        IFERROR(VALUE($H100),0) * MAX(0, IF(MIN($H$1, DATE(Initialisatie!$C$5,12,31)) &lt; MAX($H$2, DATE(Initialisatie!$C$5,1,1)), 0, MONTH(MIN($H$1, DATE(Initialisatie!$C$5,12,31))) - MONTH(MAX($H$2, DATE(Initialisatie!$C$5,1,1))) + 1))
    ) / 12
)</f>
        <v>4211</v>
      </c>
    </row>
    <row r="101" spans="1:11" x14ac:dyDescent="0.45">
      <c r="A101" s="989"/>
      <c r="B101" s="371">
        <v>8</v>
      </c>
      <c r="C101" s="371" t="s">
        <v>1512</v>
      </c>
      <c r="D101" t="s">
        <v>1510</v>
      </c>
      <c r="E101" t="s">
        <v>1509</v>
      </c>
      <c r="F101" t="s">
        <v>1511</v>
      </c>
      <c r="G101" t="s">
        <v>1511</v>
      </c>
      <c r="H101" t="s">
        <v>1642</v>
      </c>
      <c r="J101">
        <f>IF(
    OR(
        AND(MAX(0, MIN($D$1, DATE(Initialisatie!$C$5,12,31)) - MAX($D$2, DATE(Initialisatie!$C$5,1,1)) + 1) &gt; 0,IFERROR(VALUE($D101),0)=0),
        AND(MAX(0, MIN($E$1, DATE(Initialisatie!$C$5,12,31)) - MAX($E$2, DATE(Initialisatie!$C$5,1,1)) + 1) &gt; 0,IFERROR(VALUE($E101),0)=0),
        AND(MAX(0, MIN($F$1, DATE(Initialisatie!$C$5,12,31)) - MAX($F$2, DATE(Initialisatie!$C$5,1,1)) + 1) &gt; 0,IFERROR(VALUE($F101),0)=0),
        AND(MAX(0, MIN($G$1, DATE(Initialisatie!$C$5,12,31)) - MAX($G$2, DATE(Initialisatie!$C$5,1,1)) + 1) &gt; 0,IFERROR(VALUE($G101),0)=0),
        AND(MAX(0, MIN($H$1, DATE(Initialisatie!$C$5,12,31)) - MAX($H$2, DATE(Initialisatie!$C$5,1,1)) + 1) &gt; 0,IFERROR(VALUE($H101),0)=0)
    ),
    0,
    SUM(
        IFERROR(VALUE($D101),0) * MAX(0, MIN($D$1, DATE(Initialisatie!$C$5,12,31)) - MAX($D$2, DATE(Initialisatie!$C$5,1,1)) + 1),
        IFERROR(VALUE($E101),0) * MAX(0, MIN($E$1, DATE(Initialisatie!$C$5,12,31)) - MAX($E$2, DATE(Initialisatie!$C$5,1,1)) + 1),
        IFERROR(VALUE($F101),0) * MAX(0, MIN($F$1, DATE(Initialisatie!$C$5,12,31)) - MAX($F$2, DATE(Initialisatie!$C$5,1,1)) + 1),
        IFERROR(VALUE($G101),0) * MAX(0, MIN($G$1, DATE(Initialisatie!$C$5,12,31)) - MAX($G$2, DATE(Initialisatie!$C$5,1,1)) + 1),
        IFERROR(VALUE($H101),0) * MAX(0, MIN($H$1, DATE(Initialisatie!$C$5,12,31)) - MAX($H$2, DATE(Initialisatie!$C$5,1,1)) + 1)
    ) / (DATE(Initialisatie!$C$5,12,31) - DATE(Initialisatie!$C$5,1,1) + 1)
)</f>
        <v>4298.0219178082189</v>
      </c>
      <c r="K101">
        <f>IF(
    OR(
        AND(MAX(0, IF(MIN($D$1, DATE(Initialisatie!$C$5,12,31)) &lt; MAX($D$2, DATE(Initialisatie!$C$5,1,1)), 0, MONTH(MIN($D$1, DATE(Initialisatie!$C$5,12,31))) - MONTH(MAX($D$2, DATE(Initialisatie!$C$5,1,1))) + 1)) &lt;= 0, IFERROR(VALUE($D101),0)=0),
        AND(MAX(0, IF(MIN($E$1, DATE(Initialisatie!$C$5,12,31)) &lt; MAX($E$2, DATE(Initialisatie!$C$5,1,1)), 0, MONTH(MIN($E$1, DATE(Initialisatie!$C$5,12,31))) - MONTH(MAX($E$2, DATE(Initialisatie!$C$5,1,1))) + 1)) &lt;= 0, IFERROR(VALUE($E101),0)=0),
        AND(MAX(0, IF(MIN($F$1, DATE(Initialisatie!$C$5,12,31)) &lt; MAX($F$2, DATE(Initialisatie!$C$5,1,1)), 0, MONTH(MIN($F$1, DATE(Initialisatie!$C$5,12,31))) - MONTH(MAX($F$2, DATE(Initialisatie!$C$5,1,1))) + 1)) &lt;= 0, IFERROR(VALUE($F101),0)=0),
        AND(MAX(0, IF(MIN($G$1, DATE(Initialisatie!$C$5,12,31)) &lt; MAX($G$2, DATE(Initialisatie!$C$5,1,1)), 0, MONTH(MIN($G$1, DATE(Initialisatie!$C$5,12,31))) - MONTH(MAX($G$2, DATE(Initialisatie!$C$5,1,1))) + 1)) &lt;= 0, IFERROR(VALUE($G101),0)=0),
        AND(MAX(0, IF(MIN($H$1, DATE(Initialisatie!$C$5,12,31)) &lt; MAX($H$2, DATE(Initialisatie!$C$5,1,1)), 0, MONTH(MIN($H$1, DATE(Initialisatie!$C$5,12,31))) - MONTH(MAX($H$2, DATE(Initialisatie!$C$5,1,1))) + 1)) &lt;= 0, IFERROR(VALUE($H101),0)=0)
    ),
    0,
    SUM(
        IFERROR(VALUE($D101),0) * MAX(0, IF(MIN($D$1, DATE(Initialisatie!$C$5,12,31)) &lt; MAX($D$2, DATE(Initialisatie!$C$5,1,1)), 0, MONTH(MIN($D$1, DATE(Initialisatie!$C$5,12,31))) - MONTH(MAX($D$2, DATE(Initialisatie!$C$5,1,1))) + 1)),
        IFERROR(VALUE($E101),0) * MAX(0, IF(MIN($E$1, DATE(Initialisatie!$C$5,12,31)) &lt; MAX($E$2, DATE(Initialisatie!$C$5,1,1)), 0, MONTH(MIN($E$1, DATE(Initialisatie!$C$5,12,31))) - MONTH(MAX($E$2, DATE(Initialisatie!$C$5,1,1))) + 1)),
        IFERROR(VALUE($F101),0) * MAX(0, IF(MIN($F$1, DATE(Initialisatie!$C$5,12,31)) &lt; MAX($F$2, DATE(Initialisatie!$C$5,1,1)), 0, MONTH(MIN($F$1, DATE(Initialisatie!$C$5,12,31))) - MONTH(MAX($F$2, DATE(Initialisatie!$C$5,1,1))) + 1)),
        IFERROR(VALUE($G101),0) * MAX(0, IF(MIN($G$1, DATE(Initialisatie!$C$5,12,31)) &lt; MAX($G$2, DATE(Initialisatie!$C$5,1,1)), 0, MONTH(MIN($G$1, DATE(Initialisatie!$C$5,12,31))) - MONTH(MAX($G$2, DATE(Initialisatie!$C$5,1,1))) + 1)),
        IFERROR(VALUE($H101),0) * MAX(0, IF(MIN($H$1, DATE(Initialisatie!$C$5,12,31)) &lt; MAX($H$2, DATE(Initialisatie!$C$5,1,1)), 0, MONTH(MIN($H$1, DATE(Initialisatie!$C$5,12,31))) - MONTH(MAX($H$2, DATE(Initialisatie!$C$5,1,1))) + 1))
    ) / 12
)</f>
        <v>4297.5</v>
      </c>
    </row>
    <row r="102" spans="1:11" x14ac:dyDescent="0.45">
      <c r="A102" s="989"/>
      <c r="B102" s="371">
        <v>9</v>
      </c>
      <c r="C102" s="371" t="s">
        <v>1524</v>
      </c>
      <c r="D102" t="s">
        <v>1522</v>
      </c>
      <c r="E102" t="s">
        <v>1521</v>
      </c>
      <c r="F102" t="s">
        <v>1523</v>
      </c>
      <c r="G102" t="s">
        <v>1523</v>
      </c>
      <c r="H102" t="s">
        <v>1643</v>
      </c>
      <c r="J102">
        <f>IF(
    OR(
        AND(MAX(0, MIN($D$1, DATE(Initialisatie!$C$5,12,31)) - MAX($D$2, DATE(Initialisatie!$C$5,1,1)) + 1) &gt; 0,IFERROR(VALUE($D102),0)=0),
        AND(MAX(0, MIN($E$1, DATE(Initialisatie!$C$5,12,31)) - MAX($E$2, DATE(Initialisatie!$C$5,1,1)) + 1) &gt; 0,IFERROR(VALUE($E102),0)=0),
        AND(MAX(0, MIN($F$1, DATE(Initialisatie!$C$5,12,31)) - MAX($F$2, DATE(Initialisatie!$C$5,1,1)) + 1) &gt; 0,IFERROR(VALUE($F102),0)=0),
        AND(MAX(0, MIN($G$1, DATE(Initialisatie!$C$5,12,31)) - MAX($G$2, DATE(Initialisatie!$C$5,1,1)) + 1) &gt; 0,IFERROR(VALUE($G102),0)=0),
        AND(MAX(0, MIN($H$1, DATE(Initialisatie!$C$5,12,31)) - MAX($H$2, DATE(Initialisatie!$C$5,1,1)) + 1) &gt; 0,IFERROR(VALUE($H102),0)=0)
    ),
    0,
    SUM(
        IFERROR(VALUE($D102),0) * MAX(0, MIN($D$1, DATE(Initialisatie!$C$5,12,31)) - MAX($D$2, DATE(Initialisatie!$C$5,1,1)) + 1),
        IFERROR(VALUE($E102),0) * MAX(0, MIN($E$1, DATE(Initialisatie!$C$5,12,31)) - MAX($E$2, DATE(Initialisatie!$C$5,1,1)) + 1),
        IFERROR(VALUE($F102),0) * MAX(0, MIN($F$1, DATE(Initialisatie!$C$5,12,31)) - MAX($F$2, DATE(Initialisatie!$C$5,1,1)) + 1),
        IFERROR(VALUE($G102),0) * MAX(0, MIN($G$1, DATE(Initialisatie!$C$5,12,31)) - MAX($G$2, DATE(Initialisatie!$C$5,1,1)) + 1),
        IFERROR(VALUE($H102),0) * MAX(0, MIN($H$1, DATE(Initialisatie!$C$5,12,31)) - MAX($H$2, DATE(Initialisatie!$C$5,1,1)) + 1)
    ) / (DATE(Initialisatie!$C$5,12,31) - DATE(Initialisatie!$C$5,1,1) + 1)
)</f>
        <v>4387.5342465753429</v>
      </c>
      <c r="K102">
        <f>IF(
    OR(
        AND(MAX(0, IF(MIN($D$1, DATE(Initialisatie!$C$5,12,31)) &lt; MAX($D$2, DATE(Initialisatie!$C$5,1,1)), 0, MONTH(MIN($D$1, DATE(Initialisatie!$C$5,12,31))) - MONTH(MAX($D$2, DATE(Initialisatie!$C$5,1,1))) + 1)) &lt;= 0, IFERROR(VALUE($D102),0)=0),
        AND(MAX(0, IF(MIN($E$1, DATE(Initialisatie!$C$5,12,31)) &lt; MAX($E$2, DATE(Initialisatie!$C$5,1,1)), 0, MONTH(MIN($E$1, DATE(Initialisatie!$C$5,12,31))) - MONTH(MAX($E$2, DATE(Initialisatie!$C$5,1,1))) + 1)) &lt;= 0, IFERROR(VALUE($E102),0)=0),
        AND(MAX(0, IF(MIN($F$1, DATE(Initialisatie!$C$5,12,31)) &lt; MAX($F$2, DATE(Initialisatie!$C$5,1,1)), 0, MONTH(MIN($F$1, DATE(Initialisatie!$C$5,12,31))) - MONTH(MAX($F$2, DATE(Initialisatie!$C$5,1,1))) + 1)) &lt;= 0, IFERROR(VALUE($F102),0)=0),
        AND(MAX(0, IF(MIN($G$1, DATE(Initialisatie!$C$5,12,31)) &lt; MAX($G$2, DATE(Initialisatie!$C$5,1,1)), 0, MONTH(MIN($G$1, DATE(Initialisatie!$C$5,12,31))) - MONTH(MAX($G$2, DATE(Initialisatie!$C$5,1,1))) + 1)) &lt;= 0, IFERROR(VALUE($G102),0)=0),
        AND(MAX(0, IF(MIN($H$1, DATE(Initialisatie!$C$5,12,31)) &lt; MAX($H$2, DATE(Initialisatie!$C$5,1,1)), 0, MONTH(MIN($H$1, DATE(Initialisatie!$C$5,12,31))) - MONTH(MAX($H$2, DATE(Initialisatie!$C$5,1,1))) + 1)) &lt;= 0, IFERROR(VALUE($H102),0)=0)
    ),
    0,
    SUM(
        IFERROR(VALUE($D102),0) * MAX(0, IF(MIN($D$1, DATE(Initialisatie!$C$5,12,31)) &lt; MAX($D$2, DATE(Initialisatie!$C$5,1,1)), 0, MONTH(MIN($D$1, DATE(Initialisatie!$C$5,12,31))) - MONTH(MAX($D$2, DATE(Initialisatie!$C$5,1,1))) + 1)),
        IFERROR(VALUE($E102),0) * MAX(0, IF(MIN($E$1, DATE(Initialisatie!$C$5,12,31)) &lt; MAX($E$2, DATE(Initialisatie!$C$5,1,1)), 0, MONTH(MIN($E$1, DATE(Initialisatie!$C$5,12,31))) - MONTH(MAX($E$2, DATE(Initialisatie!$C$5,1,1))) + 1)),
        IFERROR(VALUE($F102),0) * MAX(0, IF(MIN($F$1, DATE(Initialisatie!$C$5,12,31)) &lt; MAX($F$2, DATE(Initialisatie!$C$5,1,1)), 0, MONTH(MIN($F$1, DATE(Initialisatie!$C$5,12,31))) - MONTH(MAX($F$2, DATE(Initialisatie!$C$5,1,1))) + 1)),
        IFERROR(VALUE($G102),0) * MAX(0, IF(MIN($G$1, DATE(Initialisatie!$C$5,12,31)) &lt; MAX($G$2, DATE(Initialisatie!$C$5,1,1)), 0, MONTH(MIN($G$1, DATE(Initialisatie!$C$5,12,31))) - MONTH(MAX($G$2, DATE(Initialisatie!$C$5,1,1))) + 1)),
        IFERROR(VALUE($H102),0) * MAX(0, IF(MIN($H$1, DATE(Initialisatie!$C$5,12,31)) &lt; MAX($H$2, DATE(Initialisatie!$C$5,1,1)), 0, MONTH(MIN($H$1, DATE(Initialisatie!$C$5,12,31))) - MONTH(MAX($H$2, DATE(Initialisatie!$C$5,1,1))) + 1))
    ) / 12
)</f>
        <v>4387</v>
      </c>
    </row>
    <row r="103" spans="1:11" x14ac:dyDescent="0.45">
      <c r="A103" s="989"/>
      <c r="B103" s="371">
        <v>10</v>
      </c>
      <c r="C103" s="371" t="s">
        <v>1492</v>
      </c>
      <c r="D103" t="s">
        <v>1490</v>
      </c>
      <c r="E103" t="s">
        <v>1489</v>
      </c>
      <c r="F103" t="s">
        <v>1491</v>
      </c>
      <c r="G103" t="s">
        <v>1491</v>
      </c>
      <c r="H103" t="s">
        <v>1644</v>
      </c>
      <c r="J103">
        <f>IF(
    OR(
        AND(MAX(0, MIN($D$1, DATE(Initialisatie!$C$5,12,31)) - MAX($D$2, DATE(Initialisatie!$C$5,1,1)) + 1) &gt; 0,IFERROR(VALUE($D103),0)=0),
        AND(MAX(0, MIN($E$1, DATE(Initialisatie!$C$5,12,31)) - MAX($E$2, DATE(Initialisatie!$C$5,1,1)) + 1) &gt; 0,IFERROR(VALUE($E103),0)=0),
        AND(MAX(0, MIN($F$1, DATE(Initialisatie!$C$5,12,31)) - MAX($F$2, DATE(Initialisatie!$C$5,1,1)) + 1) &gt; 0,IFERROR(VALUE($F103),0)=0),
        AND(MAX(0, MIN($G$1, DATE(Initialisatie!$C$5,12,31)) - MAX($G$2, DATE(Initialisatie!$C$5,1,1)) + 1) &gt; 0,IFERROR(VALUE($G103),0)=0),
        AND(MAX(0, MIN($H$1, DATE(Initialisatie!$C$5,12,31)) - MAX($H$2, DATE(Initialisatie!$C$5,1,1)) + 1) &gt; 0,IFERROR(VALUE($H103),0)=0)
    ),
    0,
    SUM(
        IFERROR(VALUE($D103),0) * MAX(0, MIN($D$1, DATE(Initialisatie!$C$5,12,31)) - MAX($D$2, DATE(Initialisatie!$C$5,1,1)) + 1),
        IFERROR(VALUE($E103),0) * MAX(0, MIN($E$1, DATE(Initialisatie!$C$5,12,31)) - MAX($E$2, DATE(Initialisatie!$C$5,1,1)) + 1),
        IFERROR(VALUE($F103),0) * MAX(0, MIN($F$1, DATE(Initialisatie!$C$5,12,31)) - MAX($F$2, DATE(Initialisatie!$C$5,1,1)) + 1),
        IFERROR(VALUE($G103),0) * MAX(0, MIN($G$1, DATE(Initialisatie!$C$5,12,31)) - MAX($G$2, DATE(Initialisatie!$C$5,1,1)) + 1),
        IFERROR(VALUE($H103),0) * MAX(0, MIN($H$1, DATE(Initialisatie!$C$5,12,31)) - MAX($H$2, DATE(Initialisatie!$C$5,1,1)) + 1)
    ) / (DATE(Initialisatie!$C$5,12,31) - DATE(Initialisatie!$C$5,1,1) + 1)
)</f>
        <v>4478.5424657534249</v>
      </c>
      <c r="K103">
        <f>IF(
    OR(
        AND(MAX(0, IF(MIN($D$1, DATE(Initialisatie!$C$5,12,31)) &lt; MAX($D$2, DATE(Initialisatie!$C$5,1,1)), 0, MONTH(MIN($D$1, DATE(Initialisatie!$C$5,12,31))) - MONTH(MAX($D$2, DATE(Initialisatie!$C$5,1,1))) + 1)) &lt;= 0, IFERROR(VALUE($D103),0)=0),
        AND(MAX(0, IF(MIN($E$1, DATE(Initialisatie!$C$5,12,31)) &lt; MAX($E$2, DATE(Initialisatie!$C$5,1,1)), 0, MONTH(MIN($E$1, DATE(Initialisatie!$C$5,12,31))) - MONTH(MAX($E$2, DATE(Initialisatie!$C$5,1,1))) + 1)) &lt;= 0, IFERROR(VALUE($E103),0)=0),
        AND(MAX(0, IF(MIN($F$1, DATE(Initialisatie!$C$5,12,31)) &lt; MAX($F$2, DATE(Initialisatie!$C$5,1,1)), 0, MONTH(MIN($F$1, DATE(Initialisatie!$C$5,12,31))) - MONTH(MAX($F$2, DATE(Initialisatie!$C$5,1,1))) + 1)) &lt;= 0, IFERROR(VALUE($F103),0)=0),
        AND(MAX(0, IF(MIN($G$1, DATE(Initialisatie!$C$5,12,31)) &lt; MAX($G$2, DATE(Initialisatie!$C$5,1,1)), 0, MONTH(MIN($G$1, DATE(Initialisatie!$C$5,12,31))) - MONTH(MAX($G$2, DATE(Initialisatie!$C$5,1,1))) + 1)) &lt;= 0, IFERROR(VALUE($G103),0)=0),
        AND(MAX(0, IF(MIN($H$1, DATE(Initialisatie!$C$5,12,31)) &lt; MAX($H$2, DATE(Initialisatie!$C$5,1,1)), 0, MONTH(MIN($H$1, DATE(Initialisatie!$C$5,12,31))) - MONTH(MAX($H$2, DATE(Initialisatie!$C$5,1,1))) + 1)) &lt;= 0, IFERROR(VALUE($H103),0)=0)
    ),
    0,
    SUM(
        IFERROR(VALUE($D103),0) * MAX(0, IF(MIN($D$1, DATE(Initialisatie!$C$5,12,31)) &lt; MAX($D$2, DATE(Initialisatie!$C$5,1,1)), 0, MONTH(MIN($D$1, DATE(Initialisatie!$C$5,12,31))) - MONTH(MAX($D$2, DATE(Initialisatie!$C$5,1,1))) + 1)),
        IFERROR(VALUE($E103),0) * MAX(0, IF(MIN($E$1, DATE(Initialisatie!$C$5,12,31)) &lt; MAX($E$2, DATE(Initialisatie!$C$5,1,1)), 0, MONTH(MIN($E$1, DATE(Initialisatie!$C$5,12,31))) - MONTH(MAX($E$2, DATE(Initialisatie!$C$5,1,1))) + 1)),
        IFERROR(VALUE($F103),0) * MAX(0, IF(MIN($F$1, DATE(Initialisatie!$C$5,12,31)) &lt; MAX($F$2, DATE(Initialisatie!$C$5,1,1)), 0, MONTH(MIN($F$1, DATE(Initialisatie!$C$5,12,31))) - MONTH(MAX($F$2, DATE(Initialisatie!$C$5,1,1))) + 1)),
        IFERROR(VALUE($G103),0) * MAX(0, IF(MIN($G$1, DATE(Initialisatie!$C$5,12,31)) &lt; MAX($G$2, DATE(Initialisatie!$C$5,1,1)), 0, MONTH(MIN($G$1, DATE(Initialisatie!$C$5,12,31))) - MONTH(MAX($G$2, DATE(Initialisatie!$C$5,1,1))) + 1)),
        IFERROR(VALUE($H103),0) * MAX(0, IF(MIN($H$1, DATE(Initialisatie!$C$5,12,31)) &lt; MAX($H$2, DATE(Initialisatie!$C$5,1,1)), 0, MONTH(MIN($H$1, DATE(Initialisatie!$C$5,12,31))) - MONTH(MAX($H$2, DATE(Initialisatie!$C$5,1,1))) + 1))
    ) / 12
)</f>
        <v>4478</v>
      </c>
    </row>
    <row r="104" spans="1:11" x14ac:dyDescent="0.45">
      <c r="A104" s="989"/>
      <c r="B104" s="371">
        <v>11</v>
      </c>
      <c r="C104" s="371" t="s">
        <v>1508</v>
      </c>
      <c r="D104" t="s">
        <v>1506</v>
      </c>
      <c r="E104" t="s">
        <v>1505</v>
      </c>
      <c r="F104" t="s">
        <v>1507</v>
      </c>
      <c r="G104" t="s">
        <v>1507</v>
      </c>
      <c r="H104" t="s">
        <v>1645</v>
      </c>
      <c r="J104">
        <f>IF(
    OR(
        AND(MAX(0, MIN($D$1, DATE(Initialisatie!$C$5,12,31)) - MAX($D$2, DATE(Initialisatie!$C$5,1,1)) + 1) &gt; 0,IFERROR(VALUE($D104),0)=0),
        AND(MAX(0, MIN($E$1, DATE(Initialisatie!$C$5,12,31)) - MAX($E$2, DATE(Initialisatie!$C$5,1,1)) + 1) &gt; 0,IFERROR(VALUE($E104),0)=0),
        AND(MAX(0, MIN($F$1, DATE(Initialisatie!$C$5,12,31)) - MAX($F$2, DATE(Initialisatie!$C$5,1,1)) + 1) &gt; 0,IFERROR(VALUE($F104),0)=0),
        AND(MAX(0, MIN($G$1, DATE(Initialisatie!$C$5,12,31)) - MAX($G$2, DATE(Initialisatie!$C$5,1,1)) + 1) &gt; 0,IFERROR(VALUE($G104),0)=0),
        AND(MAX(0, MIN($H$1, DATE(Initialisatie!$C$5,12,31)) - MAX($H$2, DATE(Initialisatie!$C$5,1,1)) + 1) &gt; 0,IFERROR(VALUE($H104),0)=0)
    ),
    0,
    SUM(
        IFERROR(VALUE($D104),0) * MAX(0, MIN($D$1, DATE(Initialisatie!$C$5,12,31)) - MAX($D$2, DATE(Initialisatie!$C$5,1,1)) + 1),
        IFERROR(VALUE($E104),0) * MAX(0, MIN($E$1, DATE(Initialisatie!$C$5,12,31)) - MAX($E$2, DATE(Initialisatie!$C$5,1,1)) + 1),
        IFERROR(VALUE($F104),0) * MAX(0, MIN($F$1, DATE(Initialisatie!$C$5,12,31)) - MAX($F$2, DATE(Initialisatie!$C$5,1,1)) + 1),
        IFERROR(VALUE($G104),0) * MAX(0, MIN($G$1, DATE(Initialisatie!$C$5,12,31)) - MAX($G$2, DATE(Initialisatie!$C$5,1,1)) + 1),
        IFERROR(VALUE($H104),0) * MAX(0, MIN($H$1, DATE(Initialisatie!$C$5,12,31)) - MAX($H$2, DATE(Initialisatie!$C$5,1,1)) + 1)
    ) / (DATE(Initialisatie!$C$5,12,31) - DATE(Initialisatie!$C$5,1,1) + 1)
)</f>
        <v>4562.0547945205481</v>
      </c>
      <c r="K104">
        <f>IF(
    OR(
        AND(MAX(0, IF(MIN($D$1, DATE(Initialisatie!$C$5,12,31)) &lt; MAX($D$2, DATE(Initialisatie!$C$5,1,1)), 0, MONTH(MIN($D$1, DATE(Initialisatie!$C$5,12,31))) - MONTH(MAX($D$2, DATE(Initialisatie!$C$5,1,1))) + 1)) &lt;= 0, IFERROR(VALUE($D104),0)=0),
        AND(MAX(0, IF(MIN($E$1, DATE(Initialisatie!$C$5,12,31)) &lt; MAX($E$2, DATE(Initialisatie!$C$5,1,1)), 0, MONTH(MIN($E$1, DATE(Initialisatie!$C$5,12,31))) - MONTH(MAX($E$2, DATE(Initialisatie!$C$5,1,1))) + 1)) &lt;= 0, IFERROR(VALUE($E104),0)=0),
        AND(MAX(0, IF(MIN($F$1, DATE(Initialisatie!$C$5,12,31)) &lt; MAX($F$2, DATE(Initialisatie!$C$5,1,1)), 0, MONTH(MIN($F$1, DATE(Initialisatie!$C$5,12,31))) - MONTH(MAX($F$2, DATE(Initialisatie!$C$5,1,1))) + 1)) &lt;= 0, IFERROR(VALUE($F104),0)=0),
        AND(MAX(0, IF(MIN($G$1, DATE(Initialisatie!$C$5,12,31)) &lt; MAX($G$2, DATE(Initialisatie!$C$5,1,1)), 0, MONTH(MIN($G$1, DATE(Initialisatie!$C$5,12,31))) - MONTH(MAX($G$2, DATE(Initialisatie!$C$5,1,1))) + 1)) &lt;= 0, IFERROR(VALUE($G104),0)=0),
        AND(MAX(0, IF(MIN($H$1, DATE(Initialisatie!$C$5,12,31)) &lt; MAX($H$2, DATE(Initialisatie!$C$5,1,1)), 0, MONTH(MIN($H$1, DATE(Initialisatie!$C$5,12,31))) - MONTH(MAX($H$2, DATE(Initialisatie!$C$5,1,1))) + 1)) &lt;= 0, IFERROR(VALUE($H104),0)=0)
    ),
    0,
    SUM(
        IFERROR(VALUE($D104),0) * MAX(0, IF(MIN($D$1, DATE(Initialisatie!$C$5,12,31)) &lt; MAX($D$2, DATE(Initialisatie!$C$5,1,1)), 0, MONTH(MIN($D$1, DATE(Initialisatie!$C$5,12,31))) - MONTH(MAX($D$2, DATE(Initialisatie!$C$5,1,1))) + 1)),
        IFERROR(VALUE($E104),0) * MAX(0, IF(MIN($E$1, DATE(Initialisatie!$C$5,12,31)) &lt; MAX($E$2, DATE(Initialisatie!$C$5,1,1)), 0, MONTH(MIN($E$1, DATE(Initialisatie!$C$5,12,31))) - MONTH(MAX($E$2, DATE(Initialisatie!$C$5,1,1))) + 1)),
        IFERROR(VALUE($F104),0) * MAX(0, IF(MIN($F$1, DATE(Initialisatie!$C$5,12,31)) &lt; MAX($F$2, DATE(Initialisatie!$C$5,1,1)), 0, MONTH(MIN($F$1, DATE(Initialisatie!$C$5,12,31))) - MONTH(MAX($F$2, DATE(Initialisatie!$C$5,1,1))) + 1)),
        IFERROR(VALUE($G104),0) * MAX(0, IF(MIN($G$1, DATE(Initialisatie!$C$5,12,31)) &lt; MAX($G$2, DATE(Initialisatie!$C$5,1,1)), 0, MONTH(MIN($G$1, DATE(Initialisatie!$C$5,12,31))) - MONTH(MAX($G$2, DATE(Initialisatie!$C$5,1,1))) + 1)),
        IFERROR(VALUE($H104),0) * MAX(0, IF(MIN($H$1, DATE(Initialisatie!$C$5,12,31)) &lt; MAX($H$2, DATE(Initialisatie!$C$5,1,1)), 0, MONTH(MIN($H$1, DATE(Initialisatie!$C$5,12,31))) - MONTH(MAX($H$2, DATE(Initialisatie!$C$5,1,1))) + 1))
    ) / 12
)</f>
        <v>4561.5</v>
      </c>
    </row>
    <row r="105" spans="1:11" x14ac:dyDescent="0.45">
      <c r="A105" s="990"/>
      <c r="B105" s="371">
        <v>12</v>
      </c>
      <c r="C105" s="371" t="s">
        <v>1488</v>
      </c>
      <c r="D105" t="s">
        <v>1486</v>
      </c>
      <c r="E105" t="s">
        <v>1485</v>
      </c>
      <c r="F105" t="s">
        <v>1487</v>
      </c>
      <c r="G105" t="s">
        <v>1487</v>
      </c>
      <c r="H105" t="s">
        <v>1646</v>
      </c>
      <c r="J105">
        <f>IF(
    OR(
        AND(MAX(0, MIN($D$1, DATE(Initialisatie!$C$5,12,31)) - MAX($D$2, DATE(Initialisatie!$C$5,1,1)) + 1) &gt; 0,IFERROR(VALUE($D105),0)=0),
        AND(MAX(0, MIN($E$1, DATE(Initialisatie!$C$5,12,31)) - MAX($E$2, DATE(Initialisatie!$C$5,1,1)) + 1) &gt; 0,IFERROR(VALUE($E105),0)=0),
        AND(MAX(0, MIN($F$1, DATE(Initialisatie!$C$5,12,31)) - MAX($F$2, DATE(Initialisatie!$C$5,1,1)) + 1) &gt; 0,IFERROR(VALUE($F105),0)=0),
        AND(MAX(0, MIN($G$1, DATE(Initialisatie!$C$5,12,31)) - MAX($G$2, DATE(Initialisatie!$C$5,1,1)) + 1) &gt; 0,IFERROR(VALUE($G105),0)=0),
        AND(MAX(0, MIN($H$1, DATE(Initialisatie!$C$5,12,31)) - MAX($H$2, DATE(Initialisatie!$C$5,1,1)) + 1) &gt; 0,IFERROR(VALUE($H105),0)=0)
    ),
    0,
    SUM(
        IFERROR(VALUE($D105),0) * MAX(0, MIN($D$1, DATE(Initialisatie!$C$5,12,31)) - MAX($D$2, DATE(Initialisatie!$C$5,1,1)) + 1),
        IFERROR(VALUE($E105),0) * MAX(0, MIN($E$1, DATE(Initialisatie!$C$5,12,31)) - MAX($E$2, DATE(Initialisatie!$C$5,1,1)) + 1),
        IFERROR(VALUE($F105),0) * MAX(0, MIN($F$1, DATE(Initialisatie!$C$5,12,31)) - MAX($F$2, DATE(Initialisatie!$C$5,1,1)) + 1),
        IFERROR(VALUE($G105),0) * MAX(0, MIN($G$1, DATE(Initialisatie!$C$5,12,31)) - MAX($G$2, DATE(Initialisatie!$C$5,1,1)) + 1),
        IFERROR(VALUE($H105),0) * MAX(0, MIN($H$1, DATE(Initialisatie!$C$5,12,31)) - MAX($H$2, DATE(Initialisatie!$C$5,1,1)) + 1)
    ) / (DATE(Initialisatie!$C$5,12,31) - DATE(Initialisatie!$C$5,1,1) + 1)
)</f>
        <v>4648.0630136986301</v>
      </c>
      <c r="K105">
        <f>IF(
    OR(
        AND(MAX(0, IF(MIN($D$1, DATE(Initialisatie!$C$5,12,31)) &lt; MAX($D$2, DATE(Initialisatie!$C$5,1,1)), 0, MONTH(MIN($D$1, DATE(Initialisatie!$C$5,12,31))) - MONTH(MAX($D$2, DATE(Initialisatie!$C$5,1,1))) + 1)) &lt;= 0, IFERROR(VALUE($D105),0)=0),
        AND(MAX(0, IF(MIN($E$1, DATE(Initialisatie!$C$5,12,31)) &lt; MAX($E$2, DATE(Initialisatie!$C$5,1,1)), 0, MONTH(MIN($E$1, DATE(Initialisatie!$C$5,12,31))) - MONTH(MAX($E$2, DATE(Initialisatie!$C$5,1,1))) + 1)) &lt;= 0, IFERROR(VALUE($E105),0)=0),
        AND(MAX(0, IF(MIN($F$1, DATE(Initialisatie!$C$5,12,31)) &lt; MAX($F$2, DATE(Initialisatie!$C$5,1,1)), 0, MONTH(MIN($F$1, DATE(Initialisatie!$C$5,12,31))) - MONTH(MAX($F$2, DATE(Initialisatie!$C$5,1,1))) + 1)) &lt;= 0, IFERROR(VALUE($F105),0)=0),
        AND(MAX(0, IF(MIN($G$1, DATE(Initialisatie!$C$5,12,31)) &lt; MAX($G$2, DATE(Initialisatie!$C$5,1,1)), 0, MONTH(MIN($G$1, DATE(Initialisatie!$C$5,12,31))) - MONTH(MAX($G$2, DATE(Initialisatie!$C$5,1,1))) + 1)) &lt;= 0, IFERROR(VALUE($G105),0)=0),
        AND(MAX(0, IF(MIN($H$1, DATE(Initialisatie!$C$5,12,31)) &lt; MAX($H$2, DATE(Initialisatie!$C$5,1,1)), 0, MONTH(MIN($H$1, DATE(Initialisatie!$C$5,12,31))) - MONTH(MAX($H$2, DATE(Initialisatie!$C$5,1,1))) + 1)) &lt;= 0, IFERROR(VALUE($H105),0)=0)
    ),
    0,
    SUM(
        IFERROR(VALUE($D105),0) * MAX(0, IF(MIN($D$1, DATE(Initialisatie!$C$5,12,31)) &lt; MAX($D$2, DATE(Initialisatie!$C$5,1,1)), 0, MONTH(MIN($D$1, DATE(Initialisatie!$C$5,12,31))) - MONTH(MAX($D$2, DATE(Initialisatie!$C$5,1,1))) + 1)),
        IFERROR(VALUE($E105),0) * MAX(0, IF(MIN($E$1, DATE(Initialisatie!$C$5,12,31)) &lt; MAX($E$2, DATE(Initialisatie!$C$5,1,1)), 0, MONTH(MIN($E$1, DATE(Initialisatie!$C$5,12,31))) - MONTH(MAX($E$2, DATE(Initialisatie!$C$5,1,1))) + 1)),
        IFERROR(VALUE($F105),0) * MAX(0, IF(MIN($F$1, DATE(Initialisatie!$C$5,12,31)) &lt; MAX($F$2, DATE(Initialisatie!$C$5,1,1)), 0, MONTH(MIN($F$1, DATE(Initialisatie!$C$5,12,31))) - MONTH(MAX($F$2, DATE(Initialisatie!$C$5,1,1))) + 1)),
        IFERROR(VALUE($G105),0) * MAX(0, IF(MIN($G$1, DATE(Initialisatie!$C$5,12,31)) &lt; MAX($G$2, DATE(Initialisatie!$C$5,1,1)), 0, MONTH(MIN($G$1, DATE(Initialisatie!$C$5,12,31))) - MONTH(MAX($G$2, DATE(Initialisatie!$C$5,1,1))) + 1)),
        IFERROR(VALUE($H105),0) * MAX(0, IF(MIN($H$1, DATE(Initialisatie!$C$5,12,31)) &lt; MAX($H$2, DATE(Initialisatie!$C$5,1,1)), 0, MONTH(MIN($H$1, DATE(Initialisatie!$C$5,12,31))) - MONTH(MAX($H$2, DATE(Initialisatie!$C$5,1,1))) + 1))
    ) / 12
)</f>
        <v>4647.5</v>
      </c>
    </row>
    <row r="106" spans="1:11" x14ac:dyDescent="0.45">
      <c r="A106" s="993">
        <v>55</v>
      </c>
      <c r="B106" s="371">
        <v>1</v>
      </c>
      <c r="C106" s="371" t="s">
        <v>1520</v>
      </c>
      <c r="D106" t="s">
        <v>1518</v>
      </c>
      <c r="E106" t="s">
        <v>1517</v>
      </c>
      <c r="F106" t="s">
        <v>1519</v>
      </c>
      <c r="G106" t="s">
        <v>1519</v>
      </c>
      <c r="H106" t="s">
        <v>1638</v>
      </c>
      <c r="J106">
        <f>IF(
    OR(
        AND(MAX(0, MIN($D$1, DATE(Initialisatie!$C$5,12,31)) - MAX($D$2, DATE(Initialisatie!$C$5,1,1)) + 1) &gt; 0,IFERROR(VALUE($D106),0)=0),
        AND(MAX(0, MIN($E$1, DATE(Initialisatie!$C$5,12,31)) - MAX($E$2, DATE(Initialisatie!$C$5,1,1)) + 1) &gt; 0,IFERROR(VALUE($E106),0)=0),
        AND(MAX(0, MIN($F$1, DATE(Initialisatie!$C$5,12,31)) - MAX($F$2, DATE(Initialisatie!$C$5,1,1)) + 1) &gt; 0,IFERROR(VALUE($F106),0)=0),
        AND(MAX(0, MIN($G$1, DATE(Initialisatie!$C$5,12,31)) - MAX($G$2, DATE(Initialisatie!$C$5,1,1)) + 1) &gt; 0,IFERROR(VALUE($G106),0)=0),
        AND(MAX(0, MIN($H$1, DATE(Initialisatie!$C$5,12,31)) - MAX($H$2, DATE(Initialisatie!$C$5,1,1)) + 1) &gt; 0,IFERROR(VALUE($H106),0)=0)
    ),
    0,
    SUM(
        IFERROR(VALUE($D106),0) * MAX(0, MIN($D$1, DATE(Initialisatie!$C$5,12,31)) - MAX($D$2, DATE(Initialisatie!$C$5,1,1)) + 1),
        IFERROR(VALUE($E106),0) * MAX(0, MIN($E$1, DATE(Initialisatie!$C$5,12,31)) - MAX($E$2, DATE(Initialisatie!$C$5,1,1)) + 1),
        IFERROR(VALUE($F106),0) * MAX(0, MIN($F$1, DATE(Initialisatie!$C$5,12,31)) - MAX($F$2, DATE(Initialisatie!$C$5,1,1)) + 1),
        IFERROR(VALUE($G106),0) * MAX(0, MIN($G$1, DATE(Initialisatie!$C$5,12,31)) - MAX($G$2, DATE(Initialisatie!$C$5,1,1)) + 1),
        IFERROR(VALUE($H106),0) * MAX(0, MIN($H$1, DATE(Initialisatie!$C$5,12,31)) - MAX($H$2, DATE(Initialisatie!$C$5,1,1)) + 1)
    ) / (DATE(Initialisatie!$C$5,12,31) - DATE(Initialisatie!$C$5,1,1) + 1)
)</f>
        <v>3941.980821917808</v>
      </c>
      <c r="K106">
        <f>IF(
    OR(
        AND(MAX(0, IF(MIN($D$1, DATE(Initialisatie!$C$5,12,31)) &lt; MAX($D$2, DATE(Initialisatie!$C$5,1,1)), 0, MONTH(MIN($D$1, DATE(Initialisatie!$C$5,12,31))) - MONTH(MAX($D$2, DATE(Initialisatie!$C$5,1,1))) + 1)) &lt;= 0, IFERROR(VALUE($D106),0)=0),
        AND(MAX(0, IF(MIN($E$1, DATE(Initialisatie!$C$5,12,31)) &lt; MAX($E$2, DATE(Initialisatie!$C$5,1,1)), 0, MONTH(MIN($E$1, DATE(Initialisatie!$C$5,12,31))) - MONTH(MAX($E$2, DATE(Initialisatie!$C$5,1,1))) + 1)) &lt;= 0, IFERROR(VALUE($E106),0)=0),
        AND(MAX(0, IF(MIN($F$1, DATE(Initialisatie!$C$5,12,31)) &lt; MAX($F$2, DATE(Initialisatie!$C$5,1,1)), 0, MONTH(MIN($F$1, DATE(Initialisatie!$C$5,12,31))) - MONTH(MAX($F$2, DATE(Initialisatie!$C$5,1,1))) + 1)) &lt;= 0, IFERROR(VALUE($F106),0)=0),
        AND(MAX(0, IF(MIN($G$1, DATE(Initialisatie!$C$5,12,31)) &lt; MAX($G$2, DATE(Initialisatie!$C$5,1,1)), 0, MONTH(MIN($G$1, DATE(Initialisatie!$C$5,12,31))) - MONTH(MAX($G$2, DATE(Initialisatie!$C$5,1,1))) + 1)) &lt;= 0, IFERROR(VALUE($G106),0)=0),
        AND(MAX(0, IF(MIN($H$1, DATE(Initialisatie!$C$5,12,31)) &lt; MAX($H$2, DATE(Initialisatie!$C$5,1,1)), 0, MONTH(MIN($H$1, DATE(Initialisatie!$C$5,12,31))) - MONTH(MAX($H$2, DATE(Initialisatie!$C$5,1,1))) + 1)) &lt;= 0, IFERROR(VALUE($H106),0)=0)
    ),
    0,
    SUM(
        IFERROR(VALUE($D106),0) * MAX(0, IF(MIN($D$1, DATE(Initialisatie!$C$5,12,31)) &lt; MAX($D$2, DATE(Initialisatie!$C$5,1,1)), 0, MONTH(MIN($D$1, DATE(Initialisatie!$C$5,12,31))) - MONTH(MAX($D$2, DATE(Initialisatie!$C$5,1,1))) + 1)),
        IFERROR(VALUE($E106),0) * MAX(0, IF(MIN($E$1, DATE(Initialisatie!$C$5,12,31)) &lt; MAX($E$2, DATE(Initialisatie!$C$5,1,1)), 0, MONTH(MIN($E$1, DATE(Initialisatie!$C$5,12,31))) - MONTH(MAX($E$2, DATE(Initialisatie!$C$5,1,1))) + 1)),
        IFERROR(VALUE($F106),0) * MAX(0, IF(MIN($F$1, DATE(Initialisatie!$C$5,12,31)) &lt; MAX($F$2, DATE(Initialisatie!$C$5,1,1)), 0, MONTH(MIN($F$1, DATE(Initialisatie!$C$5,12,31))) - MONTH(MAX($F$2, DATE(Initialisatie!$C$5,1,1))) + 1)),
        IFERROR(VALUE($G106),0) * MAX(0, IF(MIN($G$1, DATE(Initialisatie!$C$5,12,31)) &lt; MAX($G$2, DATE(Initialisatie!$C$5,1,1)), 0, MONTH(MIN($G$1, DATE(Initialisatie!$C$5,12,31))) - MONTH(MAX($G$2, DATE(Initialisatie!$C$5,1,1))) + 1)),
        IFERROR(VALUE($H106),0) * MAX(0, IF(MIN($H$1, DATE(Initialisatie!$C$5,12,31)) &lt; MAX($H$2, DATE(Initialisatie!$C$5,1,1)), 0, MONTH(MIN($H$1, DATE(Initialisatie!$C$5,12,31))) - MONTH(MAX($H$2, DATE(Initialisatie!$C$5,1,1))) + 1))
    ) / 12
)</f>
        <v>3941.5</v>
      </c>
    </row>
    <row r="107" spans="1:11" x14ac:dyDescent="0.45">
      <c r="A107" s="989"/>
      <c r="B107" s="371">
        <v>2</v>
      </c>
      <c r="C107" s="371" t="s">
        <v>1516</v>
      </c>
      <c r="D107" t="s">
        <v>1514</v>
      </c>
      <c r="E107" t="s">
        <v>1513</v>
      </c>
      <c r="F107" t="s">
        <v>1515</v>
      </c>
      <c r="G107" t="s">
        <v>1515</v>
      </c>
      <c r="H107" t="s">
        <v>1640</v>
      </c>
      <c r="J107">
        <f>IF(
    OR(
        AND(MAX(0, MIN($D$1, DATE(Initialisatie!$C$5,12,31)) - MAX($D$2, DATE(Initialisatie!$C$5,1,1)) + 1) &gt; 0,IFERROR(VALUE($D107),0)=0),
        AND(MAX(0, MIN($E$1, DATE(Initialisatie!$C$5,12,31)) - MAX($E$2, DATE(Initialisatie!$C$5,1,1)) + 1) &gt; 0,IFERROR(VALUE($E107),0)=0),
        AND(MAX(0, MIN($F$1, DATE(Initialisatie!$C$5,12,31)) - MAX($F$2, DATE(Initialisatie!$C$5,1,1)) + 1) &gt; 0,IFERROR(VALUE($F107),0)=0),
        AND(MAX(0, MIN($G$1, DATE(Initialisatie!$C$5,12,31)) - MAX($G$2, DATE(Initialisatie!$C$5,1,1)) + 1) &gt; 0,IFERROR(VALUE($G107),0)=0),
        AND(MAX(0, MIN($H$1, DATE(Initialisatie!$C$5,12,31)) - MAX($H$2, DATE(Initialisatie!$C$5,1,1)) + 1) &gt; 0,IFERROR(VALUE($H107),0)=0)
    ),
    0,
    SUM(
        IFERROR(VALUE($D107),0) * MAX(0, MIN($D$1, DATE(Initialisatie!$C$5,12,31)) - MAX($D$2, DATE(Initialisatie!$C$5,1,1)) + 1),
        IFERROR(VALUE($E107),0) * MAX(0, MIN($E$1, DATE(Initialisatie!$C$5,12,31)) - MAX($E$2, DATE(Initialisatie!$C$5,1,1)) + 1),
        IFERROR(VALUE($F107),0) * MAX(0, MIN($F$1, DATE(Initialisatie!$C$5,12,31)) - MAX($F$2, DATE(Initialisatie!$C$5,1,1)) + 1),
        IFERROR(VALUE($G107),0) * MAX(0, MIN($G$1, DATE(Initialisatie!$C$5,12,31)) - MAX($G$2, DATE(Initialisatie!$C$5,1,1)) + 1),
        IFERROR(VALUE($H107),0) * MAX(0, MIN($H$1, DATE(Initialisatie!$C$5,12,31)) - MAX($H$2, DATE(Initialisatie!$C$5,1,1)) + 1)
    ) / (DATE(Initialisatie!$C$5,12,31) - DATE(Initialisatie!$C$5,1,1) + 1)
)</f>
        <v>4125.5013698630137</v>
      </c>
      <c r="K107">
        <f>IF(
    OR(
        AND(MAX(0, IF(MIN($D$1, DATE(Initialisatie!$C$5,12,31)) &lt; MAX($D$2, DATE(Initialisatie!$C$5,1,1)), 0, MONTH(MIN($D$1, DATE(Initialisatie!$C$5,12,31))) - MONTH(MAX($D$2, DATE(Initialisatie!$C$5,1,1))) + 1)) &lt;= 0, IFERROR(VALUE($D107),0)=0),
        AND(MAX(0, IF(MIN($E$1, DATE(Initialisatie!$C$5,12,31)) &lt; MAX($E$2, DATE(Initialisatie!$C$5,1,1)), 0, MONTH(MIN($E$1, DATE(Initialisatie!$C$5,12,31))) - MONTH(MAX($E$2, DATE(Initialisatie!$C$5,1,1))) + 1)) &lt;= 0, IFERROR(VALUE($E107),0)=0),
        AND(MAX(0, IF(MIN($F$1, DATE(Initialisatie!$C$5,12,31)) &lt; MAX($F$2, DATE(Initialisatie!$C$5,1,1)), 0, MONTH(MIN($F$1, DATE(Initialisatie!$C$5,12,31))) - MONTH(MAX($F$2, DATE(Initialisatie!$C$5,1,1))) + 1)) &lt;= 0, IFERROR(VALUE($F107),0)=0),
        AND(MAX(0, IF(MIN($G$1, DATE(Initialisatie!$C$5,12,31)) &lt; MAX($G$2, DATE(Initialisatie!$C$5,1,1)), 0, MONTH(MIN($G$1, DATE(Initialisatie!$C$5,12,31))) - MONTH(MAX($G$2, DATE(Initialisatie!$C$5,1,1))) + 1)) &lt;= 0, IFERROR(VALUE($G107),0)=0),
        AND(MAX(0, IF(MIN($H$1, DATE(Initialisatie!$C$5,12,31)) &lt; MAX($H$2, DATE(Initialisatie!$C$5,1,1)), 0, MONTH(MIN($H$1, DATE(Initialisatie!$C$5,12,31))) - MONTH(MAX($H$2, DATE(Initialisatie!$C$5,1,1))) + 1)) &lt;= 0, IFERROR(VALUE($H107),0)=0)
    ),
    0,
    SUM(
        IFERROR(VALUE($D107),0) * MAX(0, IF(MIN($D$1, DATE(Initialisatie!$C$5,12,31)) &lt; MAX($D$2, DATE(Initialisatie!$C$5,1,1)), 0, MONTH(MIN($D$1, DATE(Initialisatie!$C$5,12,31))) - MONTH(MAX($D$2, DATE(Initialisatie!$C$5,1,1))) + 1)),
        IFERROR(VALUE($E107),0) * MAX(0, IF(MIN($E$1, DATE(Initialisatie!$C$5,12,31)) &lt; MAX($E$2, DATE(Initialisatie!$C$5,1,1)), 0, MONTH(MIN($E$1, DATE(Initialisatie!$C$5,12,31))) - MONTH(MAX($E$2, DATE(Initialisatie!$C$5,1,1))) + 1)),
        IFERROR(VALUE($F107),0) * MAX(0, IF(MIN($F$1, DATE(Initialisatie!$C$5,12,31)) &lt; MAX($F$2, DATE(Initialisatie!$C$5,1,1)), 0, MONTH(MIN($F$1, DATE(Initialisatie!$C$5,12,31))) - MONTH(MAX($F$2, DATE(Initialisatie!$C$5,1,1))) + 1)),
        IFERROR(VALUE($G107),0) * MAX(0, IF(MIN($G$1, DATE(Initialisatie!$C$5,12,31)) &lt; MAX($G$2, DATE(Initialisatie!$C$5,1,1)), 0, MONTH(MIN($G$1, DATE(Initialisatie!$C$5,12,31))) - MONTH(MAX($G$2, DATE(Initialisatie!$C$5,1,1))) + 1)),
        IFERROR(VALUE($H107),0) * MAX(0, IF(MIN($H$1, DATE(Initialisatie!$C$5,12,31)) &lt; MAX($H$2, DATE(Initialisatie!$C$5,1,1)), 0, MONTH(MIN($H$1, DATE(Initialisatie!$C$5,12,31))) - MONTH(MAX($H$2, DATE(Initialisatie!$C$5,1,1))) + 1))
    ) / 12
)</f>
        <v>4125</v>
      </c>
    </row>
    <row r="108" spans="1:11" x14ac:dyDescent="0.45">
      <c r="A108" s="989"/>
      <c r="B108" s="371">
        <v>3</v>
      </c>
      <c r="C108" s="371" t="s">
        <v>1512</v>
      </c>
      <c r="D108" t="s">
        <v>1510</v>
      </c>
      <c r="E108" t="s">
        <v>1509</v>
      </c>
      <c r="F108" t="s">
        <v>1511</v>
      </c>
      <c r="G108" t="s">
        <v>1511</v>
      </c>
      <c r="H108" t="s">
        <v>1642</v>
      </c>
      <c r="J108">
        <f>IF(
    OR(
        AND(MAX(0, MIN($D$1, DATE(Initialisatie!$C$5,12,31)) - MAX($D$2, DATE(Initialisatie!$C$5,1,1)) + 1) &gt; 0,IFERROR(VALUE($D108),0)=0),
        AND(MAX(0, MIN($E$1, DATE(Initialisatie!$C$5,12,31)) - MAX($E$2, DATE(Initialisatie!$C$5,1,1)) + 1) &gt; 0,IFERROR(VALUE($E108),0)=0),
        AND(MAX(0, MIN($F$1, DATE(Initialisatie!$C$5,12,31)) - MAX($F$2, DATE(Initialisatie!$C$5,1,1)) + 1) &gt; 0,IFERROR(VALUE($F108),0)=0),
        AND(MAX(0, MIN($G$1, DATE(Initialisatie!$C$5,12,31)) - MAX($G$2, DATE(Initialisatie!$C$5,1,1)) + 1) &gt; 0,IFERROR(VALUE($G108),0)=0),
        AND(MAX(0, MIN($H$1, DATE(Initialisatie!$C$5,12,31)) - MAX($H$2, DATE(Initialisatie!$C$5,1,1)) + 1) &gt; 0,IFERROR(VALUE($H108),0)=0)
    ),
    0,
    SUM(
        IFERROR(VALUE($D108),0) * MAX(0, MIN($D$1, DATE(Initialisatie!$C$5,12,31)) - MAX($D$2, DATE(Initialisatie!$C$5,1,1)) + 1),
        IFERROR(VALUE($E108),0) * MAX(0, MIN($E$1, DATE(Initialisatie!$C$5,12,31)) - MAX($E$2, DATE(Initialisatie!$C$5,1,1)) + 1),
        IFERROR(VALUE($F108),0) * MAX(0, MIN($F$1, DATE(Initialisatie!$C$5,12,31)) - MAX($F$2, DATE(Initialisatie!$C$5,1,1)) + 1),
        IFERROR(VALUE($G108),0) * MAX(0, MIN($G$1, DATE(Initialisatie!$C$5,12,31)) - MAX($G$2, DATE(Initialisatie!$C$5,1,1)) + 1),
        IFERROR(VALUE($H108),0) * MAX(0, MIN($H$1, DATE(Initialisatie!$C$5,12,31)) - MAX($H$2, DATE(Initialisatie!$C$5,1,1)) + 1)
    ) / (DATE(Initialisatie!$C$5,12,31) - DATE(Initialisatie!$C$5,1,1) + 1)
)</f>
        <v>4298.0219178082189</v>
      </c>
      <c r="K108">
        <f>IF(
    OR(
        AND(MAX(0, IF(MIN($D$1, DATE(Initialisatie!$C$5,12,31)) &lt; MAX($D$2, DATE(Initialisatie!$C$5,1,1)), 0, MONTH(MIN($D$1, DATE(Initialisatie!$C$5,12,31))) - MONTH(MAX($D$2, DATE(Initialisatie!$C$5,1,1))) + 1)) &lt;= 0, IFERROR(VALUE($D108),0)=0),
        AND(MAX(0, IF(MIN($E$1, DATE(Initialisatie!$C$5,12,31)) &lt; MAX($E$2, DATE(Initialisatie!$C$5,1,1)), 0, MONTH(MIN($E$1, DATE(Initialisatie!$C$5,12,31))) - MONTH(MAX($E$2, DATE(Initialisatie!$C$5,1,1))) + 1)) &lt;= 0, IFERROR(VALUE($E108),0)=0),
        AND(MAX(0, IF(MIN($F$1, DATE(Initialisatie!$C$5,12,31)) &lt; MAX($F$2, DATE(Initialisatie!$C$5,1,1)), 0, MONTH(MIN($F$1, DATE(Initialisatie!$C$5,12,31))) - MONTH(MAX($F$2, DATE(Initialisatie!$C$5,1,1))) + 1)) &lt;= 0, IFERROR(VALUE($F108),0)=0),
        AND(MAX(0, IF(MIN($G$1, DATE(Initialisatie!$C$5,12,31)) &lt; MAX($G$2, DATE(Initialisatie!$C$5,1,1)), 0, MONTH(MIN($G$1, DATE(Initialisatie!$C$5,12,31))) - MONTH(MAX($G$2, DATE(Initialisatie!$C$5,1,1))) + 1)) &lt;= 0, IFERROR(VALUE($G108),0)=0),
        AND(MAX(0, IF(MIN($H$1, DATE(Initialisatie!$C$5,12,31)) &lt; MAX($H$2, DATE(Initialisatie!$C$5,1,1)), 0, MONTH(MIN($H$1, DATE(Initialisatie!$C$5,12,31))) - MONTH(MAX($H$2, DATE(Initialisatie!$C$5,1,1))) + 1)) &lt;= 0, IFERROR(VALUE($H108),0)=0)
    ),
    0,
    SUM(
        IFERROR(VALUE($D108),0) * MAX(0, IF(MIN($D$1, DATE(Initialisatie!$C$5,12,31)) &lt; MAX($D$2, DATE(Initialisatie!$C$5,1,1)), 0, MONTH(MIN($D$1, DATE(Initialisatie!$C$5,12,31))) - MONTH(MAX($D$2, DATE(Initialisatie!$C$5,1,1))) + 1)),
        IFERROR(VALUE($E108),0) * MAX(0, IF(MIN($E$1, DATE(Initialisatie!$C$5,12,31)) &lt; MAX($E$2, DATE(Initialisatie!$C$5,1,1)), 0, MONTH(MIN($E$1, DATE(Initialisatie!$C$5,12,31))) - MONTH(MAX($E$2, DATE(Initialisatie!$C$5,1,1))) + 1)),
        IFERROR(VALUE($F108),0) * MAX(0, IF(MIN($F$1, DATE(Initialisatie!$C$5,12,31)) &lt; MAX($F$2, DATE(Initialisatie!$C$5,1,1)), 0, MONTH(MIN($F$1, DATE(Initialisatie!$C$5,12,31))) - MONTH(MAX($F$2, DATE(Initialisatie!$C$5,1,1))) + 1)),
        IFERROR(VALUE($G108),0) * MAX(0, IF(MIN($G$1, DATE(Initialisatie!$C$5,12,31)) &lt; MAX($G$2, DATE(Initialisatie!$C$5,1,1)), 0, MONTH(MIN($G$1, DATE(Initialisatie!$C$5,12,31))) - MONTH(MAX($G$2, DATE(Initialisatie!$C$5,1,1))) + 1)),
        IFERROR(VALUE($H108),0) * MAX(0, IF(MIN($H$1, DATE(Initialisatie!$C$5,12,31)) &lt; MAX($H$2, DATE(Initialisatie!$C$5,1,1)), 0, MONTH(MIN($H$1, DATE(Initialisatie!$C$5,12,31))) - MONTH(MAX($H$2, DATE(Initialisatie!$C$5,1,1))) + 1))
    ) / 12
)</f>
        <v>4297.5</v>
      </c>
    </row>
    <row r="109" spans="1:11" x14ac:dyDescent="0.45">
      <c r="A109" s="989"/>
      <c r="B109" s="371">
        <v>4</v>
      </c>
      <c r="C109" s="371" t="s">
        <v>1492</v>
      </c>
      <c r="D109" t="s">
        <v>1490</v>
      </c>
      <c r="E109" t="s">
        <v>1489</v>
      </c>
      <c r="F109" t="s">
        <v>1491</v>
      </c>
      <c r="G109" t="s">
        <v>1491</v>
      </c>
      <c r="H109" t="s">
        <v>1644</v>
      </c>
      <c r="J109">
        <f>IF(
    OR(
        AND(MAX(0, MIN($D$1, DATE(Initialisatie!$C$5,12,31)) - MAX($D$2, DATE(Initialisatie!$C$5,1,1)) + 1) &gt; 0,IFERROR(VALUE($D109),0)=0),
        AND(MAX(0, MIN($E$1, DATE(Initialisatie!$C$5,12,31)) - MAX($E$2, DATE(Initialisatie!$C$5,1,1)) + 1) &gt; 0,IFERROR(VALUE($E109),0)=0),
        AND(MAX(0, MIN($F$1, DATE(Initialisatie!$C$5,12,31)) - MAX($F$2, DATE(Initialisatie!$C$5,1,1)) + 1) &gt; 0,IFERROR(VALUE($F109),0)=0),
        AND(MAX(0, MIN($G$1, DATE(Initialisatie!$C$5,12,31)) - MAX($G$2, DATE(Initialisatie!$C$5,1,1)) + 1) &gt; 0,IFERROR(VALUE($G109),0)=0),
        AND(MAX(0, MIN($H$1, DATE(Initialisatie!$C$5,12,31)) - MAX($H$2, DATE(Initialisatie!$C$5,1,1)) + 1) &gt; 0,IFERROR(VALUE($H109),0)=0)
    ),
    0,
    SUM(
        IFERROR(VALUE($D109),0) * MAX(0, MIN($D$1, DATE(Initialisatie!$C$5,12,31)) - MAX($D$2, DATE(Initialisatie!$C$5,1,1)) + 1),
        IFERROR(VALUE($E109),0) * MAX(0, MIN($E$1, DATE(Initialisatie!$C$5,12,31)) - MAX($E$2, DATE(Initialisatie!$C$5,1,1)) + 1),
        IFERROR(VALUE($F109),0) * MAX(0, MIN($F$1, DATE(Initialisatie!$C$5,12,31)) - MAX($F$2, DATE(Initialisatie!$C$5,1,1)) + 1),
        IFERROR(VALUE($G109),0) * MAX(0, MIN($G$1, DATE(Initialisatie!$C$5,12,31)) - MAX($G$2, DATE(Initialisatie!$C$5,1,1)) + 1),
        IFERROR(VALUE($H109),0) * MAX(0, MIN($H$1, DATE(Initialisatie!$C$5,12,31)) - MAX($H$2, DATE(Initialisatie!$C$5,1,1)) + 1)
    ) / (DATE(Initialisatie!$C$5,12,31) - DATE(Initialisatie!$C$5,1,1) + 1)
)</f>
        <v>4478.5424657534249</v>
      </c>
      <c r="K109">
        <f>IF(
    OR(
        AND(MAX(0, IF(MIN($D$1, DATE(Initialisatie!$C$5,12,31)) &lt; MAX($D$2, DATE(Initialisatie!$C$5,1,1)), 0, MONTH(MIN($D$1, DATE(Initialisatie!$C$5,12,31))) - MONTH(MAX($D$2, DATE(Initialisatie!$C$5,1,1))) + 1)) &lt;= 0, IFERROR(VALUE($D109),0)=0),
        AND(MAX(0, IF(MIN($E$1, DATE(Initialisatie!$C$5,12,31)) &lt; MAX($E$2, DATE(Initialisatie!$C$5,1,1)), 0, MONTH(MIN($E$1, DATE(Initialisatie!$C$5,12,31))) - MONTH(MAX($E$2, DATE(Initialisatie!$C$5,1,1))) + 1)) &lt;= 0, IFERROR(VALUE($E109),0)=0),
        AND(MAX(0, IF(MIN($F$1, DATE(Initialisatie!$C$5,12,31)) &lt; MAX($F$2, DATE(Initialisatie!$C$5,1,1)), 0, MONTH(MIN($F$1, DATE(Initialisatie!$C$5,12,31))) - MONTH(MAX($F$2, DATE(Initialisatie!$C$5,1,1))) + 1)) &lt;= 0, IFERROR(VALUE($F109),0)=0),
        AND(MAX(0, IF(MIN($G$1, DATE(Initialisatie!$C$5,12,31)) &lt; MAX($G$2, DATE(Initialisatie!$C$5,1,1)), 0, MONTH(MIN($G$1, DATE(Initialisatie!$C$5,12,31))) - MONTH(MAX($G$2, DATE(Initialisatie!$C$5,1,1))) + 1)) &lt;= 0, IFERROR(VALUE($G109),0)=0),
        AND(MAX(0, IF(MIN($H$1, DATE(Initialisatie!$C$5,12,31)) &lt; MAX($H$2, DATE(Initialisatie!$C$5,1,1)), 0, MONTH(MIN($H$1, DATE(Initialisatie!$C$5,12,31))) - MONTH(MAX($H$2, DATE(Initialisatie!$C$5,1,1))) + 1)) &lt;= 0, IFERROR(VALUE($H109),0)=0)
    ),
    0,
    SUM(
        IFERROR(VALUE($D109),0) * MAX(0, IF(MIN($D$1, DATE(Initialisatie!$C$5,12,31)) &lt; MAX($D$2, DATE(Initialisatie!$C$5,1,1)), 0, MONTH(MIN($D$1, DATE(Initialisatie!$C$5,12,31))) - MONTH(MAX($D$2, DATE(Initialisatie!$C$5,1,1))) + 1)),
        IFERROR(VALUE($E109),0) * MAX(0, IF(MIN($E$1, DATE(Initialisatie!$C$5,12,31)) &lt; MAX($E$2, DATE(Initialisatie!$C$5,1,1)), 0, MONTH(MIN($E$1, DATE(Initialisatie!$C$5,12,31))) - MONTH(MAX($E$2, DATE(Initialisatie!$C$5,1,1))) + 1)),
        IFERROR(VALUE($F109),0) * MAX(0, IF(MIN($F$1, DATE(Initialisatie!$C$5,12,31)) &lt; MAX($F$2, DATE(Initialisatie!$C$5,1,1)), 0, MONTH(MIN($F$1, DATE(Initialisatie!$C$5,12,31))) - MONTH(MAX($F$2, DATE(Initialisatie!$C$5,1,1))) + 1)),
        IFERROR(VALUE($G109),0) * MAX(0, IF(MIN($G$1, DATE(Initialisatie!$C$5,12,31)) &lt; MAX($G$2, DATE(Initialisatie!$C$5,1,1)), 0, MONTH(MIN($G$1, DATE(Initialisatie!$C$5,12,31))) - MONTH(MAX($G$2, DATE(Initialisatie!$C$5,1,1))) + 1)),
        IFERROR(VALUE($H109),0) * MAX(0, IF(MIN($H$1, DATE(Initialisatie!$C$5,12,31)) &lt; MAX($H$2, DATE(Initialisatie!$C$5,1,1)), 0, MONTH(MIN($H$1, DATE(Initialisatie!$C$5,12,31))) - MONTH(MAX($H$2, DATE(Initialisatie!$C$5,1,1))) + 1))
    ) / 12
)</f>
        <v>4478</v>
      </c>
    </row>
    <row r="110" spans="1:11" x14ac:dyDescent="0.45">
      <c r="A110" s="989"/>
      <c r="B110" s="371">
        <v>5</v>
      </c>
      <c r="C110" s="371" t="s">
        <v>1508</v>
      </c>
      <c r="D110" t="s">
        <v>1506</v>
      </c>
      <c r="E110" t="s">
        <v>1505</v>
      </c>
      <c r="F110" t="s">
        <v>1507</v>
      </c>
      <c r="G110" t="s">
        <v>1507</v>
      </c>
      <c r="H110" t="s">
        <v>1645</v>
      </c>
      <c r="J110">
        <f>IF(
    OR(
        AND(MAX(0, MIN($D$1, DATE(Initialisatie!$C$5,12,31)) - MAX($D$2, DATE(Initialisatie!$C$5,1,1)) + 1) &gt; 0,IFERROR(VALUE($D110),0)=0),
        AND(MAX(0, MIN($E$1, DATE(Initialisatie!$C$5,12,31)) - MAX($E$2, DATE(Initialisatie!$C$5,1,1)) + 1) &gt; 0,IFERROR(VALUE($E110),0)=0),
        AND(MAX(0, MIN($F$1, DATE(Initialisatie!$C$5,12,31)) - MAX($F$2, DATE(Initialisatie!$C$5,1,1)) + 1) &gt; 0,IFERROR(VALUE($F110),0)=0),
        AND(MAX(0, MIN($G$1, DATE(Initialisatie!$C$5,12,31)) - MAX($G$2, DATE(Initialisatie!$C$5,1,1)) + 1) &gt; 0,IFERROR(VALUE($G110),0)=0),
        AND(MAX(0, MIN($H$1, DATE(Initialisatie!$C$5,12,31)) - MAX($H$2, DATE(Initialisatie!$C$5,1,1)) + 1) &gt; 0,IFERROR(VALUE($H110),0)=0)
    ),
    0,
    SUM(
        IFERROR(VALUE($D110),0) * MAX(0, MIN($D$1, DATE(Initialisatie!$C$5,12,31)) - MAX($D$2, DATE(Initialisatie!$C$5,1,1)) + 1),
        IFERROR(VALUE($E110),0) * MAX(0, MIN($E$1, DATE(Initialisatie!$C$5,12,31)) - MAX($E$2, DATE(Initialisatie!$C$5,1,1)) + 1),
        IFERROR(VALUE($F110),0) * MAX(0, MIN($F$1, DATE(Initialisatie!$C$5,12,31)) - MAX($F$2, DATE(Initialisatie!$C$5,1,1)) + 1),
        IFERROR(VALUE($G110),0) * MAX(0, MIN($G$1, DATE(Initialisatie!$C$5,12,31)) - MAX($G$2, DATE(Initialisatie!$C$5,1,1)) + 1),
        IFERROR(VALUE($H110),0) * MAX(0, MIN($H$1, DATE(Initialisatie!$C$5,12,31)) - MAX($H$2, DATE(Initialisatie!$C$5,1,1)) + 1)
    ) / (DATE(Initialisatie!$C$5,12,31) - DATE(Initialisatie!$C$5,1,1) + 1)
)</f>
        <v>4562.0547945205481</v>
      </c>
      <c r="K110">
        <f>IF(
    OR(
        AND(MAX(0, IF(MIN($D$1, DATE(Initialisatie!$C$5,12,31)) &lt; MAX($D$2, DATE(Initialisatie!$C$5,1,1)), 0, MONTH(MIN($D$1, DATE(Initialisatie!$C$5,12,31))) - MONTH(MAX($D$2, DATE(Initialisatie!$C$5,1,1))) + 1)) &lt;= 0, IFERROR(VALUE($D110),0)=0),
        AND(MAX(0, IF(MIN($E$1, DATE(Initialisatie!$C$5,12,31)) &lt; MAX($E$2, DATE(Initialisatie!$C$5,1,1)), 0, MONTH(MIN($E$1, DATE(Initialisatie!$C$5,12,31))) - MONTH(MAX($E$2, DATE(Initialisatie!$C$5,1,1))) + 1)) &lt;= 0, IFERROR(VALUE($E110),0)=0),
        AND(MAX(0, IF(MIN($F$1, DATE(Initialisatie!$C$5,12,31)) &lt; MAX($F$2, DATE(Initialisatie!$C$5,1,1)), 0, MONTH(MIN($F$1, DATE(Initialisatie!$C$5,12,31))) - MONTH(MAX($F$2, DATE(Initialisatie!$C$5,1,1))) + 1)) &lt;= 0, IFERROR(VALUE($F110),0)=0),
        AND(MAX(0, IF(MIN($G$1, DATE(Initialisatie!$C$5,12,31)) &lt; MAX($G$2, DATE(Initialisatie!$C$5,1,1)), 0, MONTH(MIN($G$1, DATE(Initialisatie!$C$5,12,31))) - MONTH(MAX($G$2, DATE(Initialisatie!$C$5,1,1))) + 1)) &lt;= 0, IFERROR(VALUE($G110),0)=0),
        AND(MAX(0, IF(MIN($H$1, DATE(Initialisatie!$C$5,12,31)) &lt; MAX($H$2, DATE(Initialisatie!$C$5,1,1)), 0, MONTH(MIN($H$1, DATE(Initialisatie!$C$5,12,31))) - MONTH(MAX($H$2, DATE(Initialisatie!$C$5,1,1))) + 1)) &lt;= 0, IFERROR(VALUE($H110),0)=0)
    ),
    0,
    SUM(
        IFERROR(VALUE($D110),0) * MAX(0, IF(MIN($D$1, DATE(Initialisatie!$C$5,12,31)) &lt; MAX($D$2, DATE(Initialisatie!$C$5,1,1)), 0, MONTH(MIN($D$1, DATE(Initialisatie!$C$5,12,31))) - MONTH(MAX($D$2, DATE(Initialisatie!$C$5,1,1))) + 1)),
        IFERROR(VALUE($E110),0) * MAX(0, IF(MIN($E$1, DATE(Initialisatie!$C$5,12,31)) &lt; MAX($E$2, DATE(Initialisatie!$C$5,1,1)), 0, MONTH(MIN($E$1, DATE(Initialisatie!$C$5,12,31))) - MONTH(MAX($E$2, DATE(Initialisatie!$C$5,1,1))) + 1)),
        IFERROR(VALUE($F110),0) * MAX(0, IF(MIN($F$1, DATE(Initialisatie!$C$5,12,31)) &lt; MAX($F$2, DATE(Initialisatie!$C$5,1,1)), 0, MONTH(MIN($F$1, DATE(Initialisatie!$C$5,12,31))) - MONTH(MAX($F$2, DATE(Initialisatie!$C$5,1,1))) + 1)),
        IFERROR(VALUE($G110),0) * MAX(0, IF(MIN($G$1, DATE(Initialisatie!$C$5,12,31)) &lt; MAX($G$2, DATE(Initialisatie!$C$5,1,1)), 0, MONTH(MIN($G$1, DATE(Initialisatie!$C$5,12,31))) - MONTH(MAX($G$2, DATE(Initialisatie!$C$5,1,1))) + 1)),
        IFERROR(VALUE($H110),0) * MAX(0, IF(MIN($H$1, DATE(Initialisatie!$C$5,12,31)) &lt; MAX($H$2, DATE(Initialisatie!$C$5,1,1)), 0, MONTH(MIN($H$1, DATE(Initialisatie!$C$5,12,31))) - MONTH(MAX($H$2, DATE(Initialisatie!$C$5,1,1))) + 1))
    ) / 12
)</f>
        <v>4561.5</v>
      </c>
    </row>
    <row r="111" spans="1:11" x14ac:dyDescent="0.45">
      <c r="A111" s="989"/>
      <c r="B111" s="371">
        <v>6</v>
      </c>
      <c r="C111" s="371" t="s">
        <v>1488</v>
      </c>
      <c r="D111" t="s">
        <v>1486</v>
      </c>
      <c r="E111" t="s">
        <v>1485</v>
      </c>
      <c r="F111" t="s">
        <v>1487</v>
      </c>
      <c r="G111" t="s">
        <v>1487</v>
      </c>
      <c r="H111" t="s">
        <v>1646</v>
      </c>
      <c r="J111">
        <f>IF(
    OR(
        AND(MAX(0, MIN($D$1, DATE(Initialisatie!$C$5,12,31)) - MAX($D$2, DATE(Initialisatie!$C$5,1,1)) + 1) &gt; 0,IFERROR(VALUE($D111),0)=0),
        AND(MAX(0, MIN($E$1, DATE(Initialisatie!$C$5,12,31)) - MAX($E$2, DATE(Initialisatie!$C$5,1,1)) + 1) &gt; 0,IFERROR(VALUE($E111),0)=0),
        AND(MAX(0, MIN($F$1, DATE(Initialisatie!$C$5,12,31)) - MAX($F$2, DATE(Initialisatie!$C$5,1,1)) + 1) &gt; 0,IFERROR(VALUE($F111),0)=0),
        AND(MAX(0, MIN($G$1, DATE(Initialisatie!$C$5,12,31)) - MAX($G$2, DATE(Initialisatie!$C$5,1,1)) + 1) &gt; 0,IFERROR(VALUE($G111),0)=0),
        AND(MAX(0, MIN($H$1, DATE(Initialisatie!$C$5,12,31)) - MAX($H$2, DATE(Initialisatie!$C$5,1,1)) + 1) &gt; 0,IFERROR(VALUE($H111),0)=0)
    ),
    0,
    SUM(
        IFERROR(VALUE($D111),0) * MAX(0, MIN($D$1, DATE(Initialisatie!$C$5,12,31)) - MAX($D$2, DATE(Initialisatie!$C$5,1,1)) + 1),
        IFERROR(VALUE($E111),0) * MAX(0, MIN($E$1, DATE(Initialisatie!$C$5,12,31)) - MAX($E$2, DATE(Initialisatie!$C$5,1,1)) + 1),
        IFERROR(VALUE($F111),0) * MAX(0, MIN($F$1, DATE(Initialisatie!$C$5,12,31)) - MAX($F$2, DATE(Initialisatie!$C$5,1,1)) + 1),
        IFERROR(VALUE($G111),0) * MAX(0, MIN($G$1, DATE(Initialisatie!$C$5,12,31)) - MAX($G$2, DATE(Initialisatie!$C$5,1,1)) + 1),
        IFERROR(VALUE($H111),0) * MAX(0, MIN($H$1, DATE(Initialisatie!$C$5,12,31)) - MAX($H$2, DATE(Initialisatie!$C$5,1,1)) + 1)
    ) / (DATE(Initialisatie!$C$5,12,31) - DATE(Initialisatie!$C$5,1,1) + 1)
)</f>
        <v>4648.0630136986301</v>
      </c>
      <c r="K111">
        <f>IF(
    OR(
        AND(MAX(0, IF(MIN($D$1, DATE(Initialisatie!$C$5,12,31)) &lt; MAX($D$2, DATE(Initialisatie!$C$5,1,1)), 0, MONTH(MIN($D$1, DATE(Initialisatie!$C$5,12,31))) - MONTH(MAX($D$2, DATE(Initialisatie!$C$5,1,1))) + 1)) &lt;= 0, IFERROR(VALUE($D111),0)=0),
        AND(MAX(0, IF(MIN($E$1, DATE(Initialisatie!$C$5,12,31)) &lt; MAX($E$2, DATE(Initialisatie!$C$5,1,1)), 0, MONTH(MIN($E$1, DATE(Initialisatie!$C$5,12,31))) - MONTH(MAX($E$2, DATE(Initialisatie!$C$5,1,1))) + 1)) &lt;= 0, IFERROR(VALUE($E111),0)=0),
        AND(MAX(0, IF(MIN($F$1, DATE(Initialisatie!$C$5,12,31)) &lt; MAX($F$2, DATE(Initialisatie!$C$5,1,1)), 0, MONTH(MIN($F$1, DATE(Initialisatie!$C$5,12,31))) - MONTH(MAX($F$2, DATE(Initialisatie!$C$5,1,1))) + 1)) &lt;= 0, IFERROR(VALUE($F111),0)=0),
        AND(MAX(0, IF(MIN($G$1, DATE(Initialisatie!$C$5,12,31)) &lt; MAX($G$2, DATE(Initialisatie!$C$5,1,1)), 0, MONTH(MIN($G$1, DATE(Initialisatie!$C$5,12,31))) - MONTH(MAX($G$2, DATE(Initialisatie!$C$5,1,1))) + 1)) &lt;= 0, IFERROR(VALUE($G111),0)=0),
        AND(MAX(0, IF(MIN($H$1, DATE(Initialisatie!$C$5,12,31)) &lt; MAX($H$2, DATE(Initialisatie!$C$5,1,1)), 0, MONTH(MIN($H$1, DATE(Initialisatie!$C$5,12,31))) - MONTH(MAX($H$2, DATE(Initialisatie!$C$5,1,1))) + 1)) &lt;= 0, IFERROR(VALUE($H111),0)=0)
    ),
    0,
    SUM(
        IFERROR(VALUE($D111),0) * MAX(0, IF(MIN($D$1, DATE(Initialisatie!$C$5,12,31)) &lt; MAX($D$2, DATE(Initialisatie!$C$5,1,1)), 0, MONTH(MIN($D$1, DATE(Initialisatie!$C$5,12,31))) - MONTH(MAX($D$2, DATE(Initialisatie!$C$5,1,1))) + 1)),
        IFERROR(VALUE($E111),0) * MAX(0, IF(MIN($E$1, DATE(Initialisatie!$C$5,12,31)) &lt; MAX($E$2, DATE(Initialisatie!$C$5,1,1)), 0, MONTH(MIN($E$1, DATE(Initialisatie!$C$5,12,31))) - MONTH(MAX($E$2, DATE(Initialisatie!$C$5,1,1))) + 1)),
        IFERROR(VALUE($F111),0) * MAX(0, IF(MIN($F$1, DATE(Initialisatie!$C$5,12,31)) &lt; MAX($F$2, DATE(Initialisatie!$C$5,1,1)), 0, MONTH(MIN($F$1, DATE(Initialisatie!$C$5,12,31))) - MONTH(MAX($F$2, DATE(Initialisatie!$C$5,1,1))) + 1)),
        IFERROR(VALUE($G111),0) * MAX(0, IF(MIN($G$1, DATE(Initialisatie!$C$5,12,31)) &lt; MAX($G$2, DATE(Initialisatie!$C$5,1,1)), 0, MONTH(MIN($G$1, DATE(Initialisatie!$C$5,12,31))) - MONTH(MAX($G$2, DATE(Initialisatie!$C$5,1,1))) + 1)),
        IFERROR(VALUE($H111),0) * MAX(0, IF(MIN($H$1, DATE(Initialisatie!$C$5,12,31)) &lt; MAX($H$2, DATE(Initialisatie!$C$5,1,1)), 0, MONTH(MIN($H$1, DATE(Initialisatie!$C$5,12,31))) - MONTH(MAX($H$2, DATE(Initialisatie!$C$5,1,1))) + 1))
    ) / 12
)</f>
        <v>4647.5</v>
      </c>
    </row>
    <row r="112" spans="1:11" x14ac:dyDescent="0.45">
      <c r="A112" s="989"/>
      <c r="B112" s="371">
        <v>7</v>
      </c>
      <c r="C112" s="371" t="s">
        <v>1504</v>
      </c>
      <c r="D112" t="s">
        <v>1502</v>
      </c>
      <c r="E112" t="s">
        <v>1501</v>
      </c>
      <c r="F112" t="s">
        <v>1503</v>
      </c>
      <c r="G112" t="s">
        <v>1503</v>
      </c>
      <c r="H112" t="s">
        <v>1647</v>
      </c>
      <c r="J112">
        <f>IF(
    OR(
        AND(MAX(0, MIN($D$1, DATE(Initialisatie!$C$5,12,31)) - MAX($D$2, DATE(Initialisatie!$C$5,1,1)) + 1) &gt; 0,IFERROR(VALUE($D112),0)=0),
        AND(MAX(0, MIN($E$1, DATE(Initialisatie!$C$5,12,31)) - MAX($E$2, DATE(Initialisatie!$C$5,1,1)) + 1) &gt; 0,IFERROR(VALUE($E112),0)=0),
        AND(MAX(0, MIN($F$1, DATE(Initialisatie!$C$5,12,31)) - MAX($F$2, DATE(Initialisatie!$C$5,1,1)) + 1) &gt; 0,IFERROR(VALUE($F112),0)=0),
        AND(MAX(0, MIN($G$1, DATE(Initialisatie!$C$5,12,31)) - MAX($G$2, DATE(Initialisatie!$C$5,1,1)) + 1) &gt; 0,IFERROR(VALUE($G112),0)=0),
        AND(MAX(0, MIN($H$1, DATE(Initialisatie!$C$5,12,31)) - MAX($H$2, DATE(Initialisatie!$C$5,1,1)) + 1) &gt; 0,IFERROR(VALUE($H112),0)=0)
    ),
    0,
    SUM(
        IFERROR(VALUE($D112),0) * MAX(0, MIN($D$1, DATE(Initialisatie!$C$5,12,31)) - MAX($D$2, DATE(Initialisatie!$C$5,1,1)) + 1),
        IFERROR(VALUE($E112),0) * MAX(0, MIN($E$1, DATE(Initialisatie!$C$5,12,31)) - MAX($E$2, DATE(Initialisatie!$C$5,1,1)) + 1),
        IFERROR(VALUE($F112),0) * MAX(0, MIN($F$1, DATE(Initialisatie!$C$5,12,31)) - MAX($F$2, DATE(Initialisatie!$C$5,1,1)) + 1),
        IFERROR(VALUE($G112),0) * MAX(0, MIN($G$1, DATE(Initialisatie!$C$5,12,31)) - MAX($G$2, DATE(Initialisatie!$C$5,1,1)) + 1),
        IFERROR(VALUE($H112),0) * MAX(0, MIN($H$1, DATE(Initialisatie!$C$5,12,31)) - MAX($H$2, DATE(Initialisatie!$C$5,1,1)) + 1)
    ) / (DATE(Initialisatie!$C$5,12,31) - DATE(Initialisatie!$C$5,1,1) + 1)
)</f>
        <v>4743.5753424657532</v>
      </c>
      <c r="K112">
        <f>IF(
    OR(
        AND(MAX(0, IF(MIN($D$1, DATE(Initialisatie!$C$5,12,31)) &lt; MAX($D$2, DATE(Initialisatie!$C$5,1,1)), 0, MONTH(MIN($D$1, DATE(Initialisatie!$C$5,12,31))) - MONTH(MAX($D$2, DATE(Initialisatie!$C$5,1,1))) + 1)) &lt;= 0, IFERROR(VALUE($D112),0)=0),
        AND(MAX(0, IF(MIN($E$1, DATE(Initialisatie!$C$5,12,31)) &lt; MAX($E$2, DATE(Initialisatie!$C$5,1,1)), 0, MONTH(MIN($E$1, DATE(Initialisatie!$C$5,12,31))) - MONTH(MAX($E$2, DATE(Initialisatie!$C$5,1,1))) + 1)) &lt;= 0, IFERROR(VALUE($E112),0)=0),
        AND(MAX(0, IF(MIN($F$1, DATE(Initialisatie!$C$5,12,31)) &lt; MAX($F$2, DATE(Initialisatie!$C$5,1,1)), 0, MONTH(MIN($F$1, DATE(Initialisatie!$C$5,12,31))) - MONTH(MAX($F$2, DATE(Initialisatie!$C$5,1,1))) + 1)) &lt;= 0, IFERROR(VALUE($F112),0)=0),
        AND(MAX(0, IF(MIN($G$1, DATE(Initialisatie!$C$5,12,31)) &lt; MAX($G$2, DATE(Initialisatie!$C$5,1,1)), 0, MONTH(MIN($G$1, DATE(Initialisatie!$C$5,12,31))) - MONTH(MAX($G$2, DATE(Initialisatie!$C$5,1,1))) + 1)) &lt;= 0, IFERROR(VALUE($G112),0)=0),
        AND(MAX(0, IF(MIN($H$1, DATE(Initialisatie!$C$5,12,31)) &lt; MAX($H$2, DATE(Initialisatie!$C$5,1,1)), 0, MONTH(MIN($H$1, DATE(Initialisatie!$C$5,12,31))) - MONTH(MAX($H$2, DATE(Initialisatie!$C$5,1,1))) + 1)) &lt;= 0, IFERROR(VALUE($H112),0)=0)
    ),
    0,
    SUM(
        IFERROR(VALUE($D112),0) * MAX(0, IF(MIN($D$1, DATE(Initialisatie!$C$5,12,31)) &lt; MAX($D$2, DATE(Initialisatie!$C$5,1,1)), 0, MONTH(MIN($D$1, DATE(Initialisatie!$C$5,12,31))) - MONTH(MAX($D$2, DATE(Initialisatie!$C$5,1,1))) + 1)),
        IFERROR(VALUE($E112),0) * MAX(0, IF(MIN($E$1, DATE(Initialisatie!$C$5,12,31)) &lt; MAX($E$2, DATE(Initialisatie!$C$5,1,1)), 0, MONTH(MIN($E$1, DATE(Initialisatie!$C$5,12,31))) - MONTH(MAX($E$2, DATE(Initialisatie!$C$5,1,1))) + 1)),
        IFERROR(VALUE($F112),0) * MAX(0, IF(MIN($F$1, DATE(Initialisatie!$C$5,12,31)) &lt; MAX($F$2, DATE(Initialisatie!$C$5,1,1)), 0, MONTH(MIN($F$1, DATE(Initialisatie!$C$5,12,31))) - MONTH(MAX($F$2, DATE(Initialisatie!$C$5,1,1))) + 1)),
        IFERROR(VALUE($G112),0) * MAX(0, IF(MIN($G$1, DATE(Initialisatie!$C$5,12,31)) &lt; MAX($G$2, DATE(Initialisatie!$C$5,1,1)), 0, MONTH(MIN($G$1, DATE(Initialisatie!$C$5,12,31))) - MONTH(MAX($G$2, DATE(Initialisatie!$C$5,1,1))) + 1)),
        IFERROR(VALUE($H112),0) * MAX(0, IF(MIN($H$1, DATE(Initialisatie!$C$5,12,31)) &lt; MAX($H$2, DATE(Initialisatie!$C$5,1,1)), 0, MONTH(MIN($H$1, DATE(Initialisatie!$C$5,12,31))) - MONTH(MAX($H$2, DATE(Initialisatie!$C$5,1,1))) + 1))
    ) / 12
)</f>
        <v>4743</v>
      </c>
    </row>
    <row r="113" spans="1:11" x14ac:dyDescent="0.45">
      <c r="A113" s="989"/>
      <c r="B113" s="371">
        <v>8</v>
      </c>
      <c r="C113" s="371" t="s">
        <v>1484</v>
      </c>
      <c r="D113" t="s">
        <v>1482</v>
      </c>
      <c r="E113" t="s">
        <v>1481</v>
      </c>
      <c r="F113" t="s">
        <v>1483</v>
      </c>
      <c r="G113" t="s">
        <v>1483</v>
      </c>
      <c r="H113" t="s">
        <v>1648</v>
      </c>
      <c r="J113">
        <f>IF(
    OR(
        AND(MAX(0, MIN($D$1, DATE(Initialisatie!$C$5,12,31)) - MAX($D$2, DATE(Initialisatie!$C$5,1,1)) + 1) &gt; 0,IFERROR(VALUE($D113),0)=0),
        AND(MAX(0, MIN($E$1, DATE(Initialisatie!$C$5,12,31)) - MAX($E$2, DATE(Initialisatie!$C$5,1,1)) + 1) &gt; 0,IFERROR(VALUE($E113),0)=0),
        AND(MAX(0, MIN($F$1, DATE(Initialisatie!$C$5,12,31)) - MAX($F$2, DATE(Initialisatie!$C$5,1,1)) + 1) &gt; 0,IFERROR(VALUE($F113),0)=0),
        AND(MAX(0, MIN($G$1, DATE(Initialisatie!$C$5,12,31)) - MAX($G$2, DATE(Initialisatie!$C$5,1,1)) + 1) &gt; 0,IFERROR(VALUE($G113),0)=0),
        AND(MAX(0, MIN($H$1, DATE(Initialisatie!$C$5,12,31)) - MAX($H$2, DATE(Initialisatie!$C$5,1,1)) + 1) &gt; 0,IFERROR(VALUE($H113),0)=0)
    ),
    0,
    SUM(
        IFERROR(VALUE($D113),0) * MAX(0, MIN($D$1, DATE(Initialisatie!$C$5,12,31)) - MAX($D$2, DATE(Initialisatie!$C$5,1,1)) + 1),
        IFERROR(VALUE($E113),0) * MAX(0, MIN($E$1, DATE(Initialisatie!$C$5,12,31)) - MAX($E$2, DATE(Initialisatie!$C$5,1,1)) + 1),
        IFERROR(VALUE($F113),0) * MAX(0, MIN($F$1, DATE(Initialisatie!$C$5,12,31)) - MAX($F$2, DATE(Initialisatie!$C$5,1,1)) + 1),
        IFERROR(VALUE($G113),0) * MAX(0, MIN($G$1, DATE(Initialisatie!$C$5,12,31)) - MAX($G$2, DATE(Initialisatie!$C$5,1,1)) + 1),
        IFERROR(VALUE($H113),0) * MAX(0, MIN($H$1, DATE(Initialisatie!$C$5,12,31)) - MAX($H$2, DATE(Initialisatie!$C$5,1,1)) + 1)
    ) / (DATE(Initialisatie!$C$5,12,31) - DATE(Initialisatie!$C$5,1,1) + 1)
)</f>
        <v>4842.0876712328763</v>
      </c>
      <c r="K113">
        <f>IF(
    OR(
        AND(MAX(0, IF(MIN($D$1, DATE(Initialisatie!$C$5,12,31)) &lt; MAX($D$2, DATE(Initialisatie!$C$5,1,1)), 0, MONTH(MIN($D$1, DATE(Initialisatie!$C$5,12,31))) - MONTH(MAX($D$2, DATE(Initialisatie!$C$5,1,1))) + 1)) &lt;= 0, IFERROR(VALUE($D113),0)=0),
        AND(MAX(0, IF(MIN($E$1, DATE(Initialisatie!$C$5,12,31)) &lt; MAX($E$2, DATE(Initialisatie!$C$5,1,1)), 0, MONTH(MIN($E$1, DATE(Initialisatie!$C$5,12,31))) - MONTH(MAX($E$2, DATE(Initialisatie!$C$5,1,1))) + 1)) &lt;= 0, IFERROR(VALUE($E113),0)=0),
        AND(MAX(0, IF(MIN($F$1, DATE(Initialisatie!$C$5,12,31)) &lt; MAX($F$2, DATE(Initialisatie!$C$5,1,1)), 0, MONTH(MIN($F$1, DATE(Initialisatie!$C$5,12,31))) - MONTH(MAX($F$2, DATE(Initialisatie!$C$5,1,1))) + 1)) &lt;= 0, IFERROR(VALUE($F113),0)=0),
        AND(MAX(0, IF(MIN($G$1, DATE(Initialisatie!$C$5,12,31)) &lt; MAX($G$2, DATE(Initialisatie!$C$5,1,1)), 0, MONTH(MIN($G$1, DATE(Initialisatie!$C$5,12,31))) - MONTH(MAX($G$2, DATE(Initialisatie!$C$5,1,1))) + 1)) &lt;= 0, IFERROR(VALUE($G113),0)=0),
        AND(MAX(0, IF(MIN($H$1, DATE(Initialisatie!$C$5,12,31)) &lt; MAX($H$2, DATE(Initialisatie!$C$5,1,1)), 0, MONTH(MIN($H$1, DATE(Initialisatie!$C$5,12,31))) - MONTH(MAX($H$2, DATE(Initialisatie!$C$5,1,1))) + 1)) &lt;= 0, IFERROR(VALUE($H113),0)=0)
    ),
    0,
    SUM(
        IFERROR(VALUE($D113),0) * MAX(0, IF(MIN($D$1, DATE(Initialisatie!$C$5,12,31)) &lt; MAX($D$2, DATE(Initialisatie!$C$5,1,1)), 0, MONTH(MIN($D$1, DATE(Initialisatie!$C$5,12,31))) - MONTH(MAX($D$2, DATE(Initialisatie!$C$5,1,1))) + 1)),
        IFERROR(VALUE($E113),0) * MAX(0, IF(MIN($E$1, DATE(Initialisatie!$C$5,12,31)) &lt; MAX($E$2, DATE(Initialisatie!$C$5,1,1)), 0, MONTH(MIN($E$1, DATE(Initialisatie!$C$5,12,31))) - MONTH(MAX($E$2, DATE(Initialisatie!$C$5,1,1))) + 1)),
        IFERROR(VALUE($F113),0) * MAX(0, IF(MIN($F$1, DATE(Initialisatie!$C$5,12,31)) &lt; MAX($F$2, DATE(Initialisatie!$C$5,1,1)), 0, MONTH(MIN($F$1, DATE(Initialisatie!$C$5,12,31))) - MONTH(MAX($F$2, DATE(Initialisatie!$C$5,1,1))) + 1)),
        IFERROR(VALUE($G113),0) * MAX(0, IF(MIN($G$1, DATE(Initialisatie!$C$5,12,31)) &lt; MAX($G$2, DATE(Initialisatie!$C$5,1,1)), 0, MONTH(MIN($G$1, DATE(Initialisatie!$C$5,12,31))) - MONTH(MAX($G$2, DATE(Initialisatie!$C$5,1,1))) + 1)),
        IFERROR(VALUE($H113),0) * MAX(0, IF(MIN($H$1, DATE(Initialisatie!$C$5,12,31)) &lt; MAX($H$2, DATE(Initialisatie!$C$5,1,1)), 0, MONTH(MIN($H$1, DATE(Initialisatie!$C$5,12,31))) - MONTH(MAX($H$2, DATE(Initialisatie!$C$5,1,1))) + 1))
    ) / 12
)</f>
        <v>4841.5</v>
      </c>
    </row>
    <row r="114" spans="1:11" x14ac:dyDescent="0.45">
      <c r="A114" s="989"/>
      <c r="B114" s="371">
        <v>9</v>
      </c>
      <c r="C114" s="371" t="s">
        <v>1500</v>
      </c>
      <c r="D114" t="s">
        <v>1498</v>
      </c>
      <c r="E114" t="s">
        <v>1497</v>
      </c>
      <c r="F114" t="s">
        <v>1499</v>
      </c>
      <c r="G114" t="s">
        <v>1499</v>
      </c>
      <c r="H114" t="s">
        <v>1649</v>
      </c>
      <c r="J114">
        <f>IF(
    OR(
        AND(MAX(0, MIN($D$1, DATE(Initialisatie!$C$5,12,31)) - MAX($D$2, DATE(Initialisatie!$C$5,1,1)) + 1) &gt; 0,IFERROR(VALUE($D114),0)=0),
        AND(MAX(0, MIN($E$1, DATE(Initialisatie!$C$5,12,31)) - MAX($E$2, DATE(Initialisatie!$C$5,1,1)) + 1) &gt; 0,IFERROR(VALUE($E114),0)=0),
        AND(MAX(0, MIN($F$1, DATE(Initialisatie!$C$5,12,31)) - MAX($F$2, DATE(Initialisatie!$C$5,1,1)) + 1) &gt; 0,IFERROR(VALUE($F114),0)=0),
        AND(MAX(0, MIN($G$1, DATE(Initialisatie!$C$5,12,31)) - MAX($G$2, DATE(Initialisatie!$C$5,1,1)) + 1) &gt; 0,IFERROR(VALUE($G114),0)=0),
        AND(MAX(0, MIN($H$1, DATE(Initialisatie!$C$5,12,31)) - MAX($H$2, DATE(Initialisatie!$C$5,1,1)) + 1) &gt; 0,IFERROR(VALUE($H114),0)=0)
    ),
    0,
    SUM(
        IFERROR(VALUE($D114),0) * MAX(0, MIN($D$1, DATE(Initialisatie!$C$5,12,31)) - MAX($D$2, DATE(Initialisatie!$C$5,1,1)) + 1),
        IFERROR(VALUE($E114),0) * MAX(0, MIN($E$1, DATE(Initialisatie!$C$5,12,31)) - MAX($E$2, DATE(Initialisatie!$C$5,1,1)) + 1),
        IFERROR(VALUE($F114),0) * MAX(0, MIN($F$1, DATE(Initialisatie!$C$5,12,31)) - MAX($F$2, DATE(Initialisatie!$C$5,1,1)) + 1),
        IFERROR(VALUE($G114),0) * MAX(0, MIN($G$1, DATE(Initialisatie!$C$5,12,31)) - MAX($G$2, DATE(Initialisatie!$C$5,1,1)) + 1),
        IFERROR(VALUE($H114),0) * MAX(0, MIN($H$1, DATE(Initialisatie!$C$5,12,31)) - MAX($H$2, DATE(Initialisatie!$C$5,1,1)) + 1)
    ) / (DATE(Initialisatie!$C$5,12,31) - DATE(Initialisatie!$C$5,1,1) + 1)
)</f>
        <v>4940.6000000000004</v>
      </c>
      <c r="K114">
        <f>IF(
    OR(
        AND(MAX(0, IF(MIN($D$1, DATE(Initialisatie!$C$5,12,31)) &lt; MAX($D$2, DATE(Initialisatie!$C$5,1,1)), 0, MONTH(MIN($D$1, DATE(Initialisatie!$C$5,12,31))) - MONTH(MAX($D$2, DATE(Initialisatie!$C$5,1,1))) + 1)) &lt;= 0, IFERROR(VALUE($D114),0)=0),
        AND(MAX(0, IF(MIN($E$1, DATE(Initialisatie!$C$5,12,31)) &lt; MAX($E$2, DATE(Initialisatie!$C$5,1,1)), 0, MONTH(MIN($E$1, DATE(Initialisatie!$C$5,12,31))) - MONTH(MAX($E$2, DATE(Initialisatie!$C$5,1,1))) + 1)) &lt;= 0, IFERROR(VALUE($E114),0)=0),
        AND(MAX(0, IF(MIN($F$1, DATE(Initialisatie!$C$5,12,31)) &lt; MAX($F$2, DATE(Initialisatie!$C$5,1,1)), 0, MONTH(MIN($F$1, DATE(Initialisatie!$C$5,12,31))) - MONTH(MAX($F$2, DATE(Initialisatie!$C$5,1,1))) + 1)) &lt;= 0, IFERROR(VALUE($F114),0)=0),
        AND(MAX(0, IF(MIN($G$1, DATE(Initialisatie!$C$5,12,31)) &lt; MAX($G$2, DATE(Initialisatie!$C$5,1,1)), 0, MONTH(MIN($G$1, DATE(Initialisatie!$C$5,12,31))) - MONTH(MAX($G$2, DATE(Initialisatie!$C$5,1,1))) + 1)) &lt;= 0, IFERROR(VALUE($G114),0)=0),
        AND(MAX(0, IF(MIN($H$1, DATE(Initialisatie!$C$5,12,31)) &lt; MAX($H$2, DATE(Initialisatie!$C$5,1,1)), 0, MONTH(MIN($H$1, DATE(Initialisatie!$C$5,12,31))) - MONTH(MAX($H$2, DATE(Initialisatie!$C$5,1,1))) + 1)) &lt;= 0, IFERROR(VALUE($H114),0)=0)
    ),
    0,
    SUM(
        IFERROR(VALUE($D114),0) * MAX(0, IF(MIN($D$1, DATE(Initialisatie!$C$5,12,31)) &lt; MAX($D$2, DATE(Initialisatie!$C$5,1,1)), 0, MONTH(MIN($D$1, DATE(Initialisatie!$C$5,12,31))) - MONTH(MAX($D$2, DATE(Initialisatie!$C$5,1,1))) + 1)),
        IFERROR(VALUE($E114),0) * MAX(0, IF(MIN($E$1, DATE(Initialisatie!$C$5,12,31)) &lt; MAX($E$2, DATE(Initialisatie!$C$5,1,1)), 0, MONTH(MIN($E$1, DATE(Initialisatie!$C$5,12,31))) - MONTH(MAX($E$2, DATE(Initialisatie!$C$5,1,1))) + 1)),
        IFERROR(VALUE($F114),0) * MAX(0, IF(MIN($F$1, DATE(Initialisatie!$C$5,12,31)) &lt; MAX($F$2, DATE(Initialisatie!$C$5,1,1)), 0, MONTH(MIN($F$1, DATE(Initialisatie!$C$5,12,31))) - MONTH(MAX($F$2, DATE(Initialisatie!$C$5,1,1))) + 1)),
        IFERROR(VALUE($G114),0) * MAX(0, IF(MIN($G$1, DATE(Initialisatie!$C$5,12,31)) &lt; MAX($G$2, DATE(Initialisatie!$C$5,1,1)), 0, MONTH(MIN($G$1, DATE(Initialisatie!$C$5,12,31))) - MONTH(MAX($G$2, DATE(Initialisatie!$C$5,1,1))) + 1)),
        IFERROR(VALUE($H114),0) * MAX(0, IF(MIN($H$1, DATE(Initialisatie!$C$5,12,31)) &lt; MAX($H$2, DATE(Initialisatie!$C$5,1,1)), 0, MONTH(MIN($H$1, DATE(Initialisatie!$C$5,12,31))) - MONTH(MAX($H$2, DATE(Initialisatie!$C$5,1,1))) + 1))
    ) / 12
)</f>
        <v>4940</v>
      </c>
    </row>
    <row r="115" spans="1:11" x14ac:dyDescent="0.45">
      <c r="A115" s="989"/>
      <c r="B115" s="371">
        <v>10</v>
      </c>
      <c r="C115" s="371" t="s">
        <v>1480</v>
      </c>
      <c r="D115" t="s">
        <v>1478</v>
      </c>
      <c r="E115" t="s">
        <v>1477</v>
      </c>
      <c r="F115" t="s">
        <v>1479</v>
      </c>
      <c r="G115" t="s">
        <v>1479</v>
      </c>
      <c r="H115" t="s">
        <v>1650</v>
      </c>
      <c r="J115">
        <f>IF(
    OR(
        AND(MAX(0, MIN($D$1, DATE(Initialisatie!$C$5,12,31)) - MAX($D$2, DATE(Initialisatie!$C$5,1,1)) + 1) &gt; 0,IFERROR(VALUE($D115),0)=0),
        AND(MAX(0, MIN($E$1, DATE(Initialisatie!$C$5,12,31)) - MAX($E$2, DATE(Initialisatie!$C$5,1,1)) + 1) &gt; 0,IFERROR(VALUE($E115),0)=0),
        AND(MAX(0, MIN($F$1, DATE(Initialisatie!$C$5,12,31)) - MAX($F$2, DATE(Initialisatie!$C$5,1,1)) + 1) &gt; 0,IFERROR(VALUE($F115),0)=0),
        AND(MAX(0, MIN($G$1, DATE(Initialisatie!$C$5,12,31)) - MAX($G$2, DATE(Initialisatie!$C$5,1,1)) + 1) &gt; 0,IFERROR(VALUE($G115),0)=0),
        AND(MAX(0, MIN($H$1, DATE(Initialisatie!$C$5,12,31)) - MAX($H$2, DATE(Initialisatie!$C$5,1,1)) + 1) &gt; 0,IFERROR(VALUE($H115),0)=0)
    ),
    0,
    SUM(
        IFERROR(VALUE($D115),0) * MAX(0, MIN($D$1, DATE(Initialisatie!$C$5,12,31)) - MAX($D$2, DATE(Initialisatie!$C$5,1,1)) + 1),
        IFERROR(VALUE($E115),0) * MAX(0, MIN($E$1, DATE(Initialisatie!$C$5,12,31)) - MAX($E$2, DATE(Initialisatie!$C$5,1,1)) + 1),
        IFERROR(VALUE($F115),0) * MAX(0, MIN($F$1, DATE(Initialisatie!$C$5,12,31)) - MAX($F$2, DATE(Initialisatie!$C$5,1,1)) + 1),
        IFERROR(VALUE($G115),0) * MAX(0, MIN($G$1, DATE(Initialisatie!$C$5,12,31)) - MAX($G$2, DATE(Initialisatie!$C$5,1,1)) + 1),
        IFERROR(VALUE($H115),0) * MAX(0, MIN($H$1, DATE(Initialisatie!$C$5,12,31)) - MAX($H$2, DATE(Initialisatie!$C$5,1,1)) + 1)
    ) / (DATE(Initialisatie!$C$5,12,31) - DATE(Initialisatie!$C$5,1,1) + 1)
)</f>
        <v>5027.1123287671235</v>
      </c>
      <c r="K115">
        <f>IF(
    OR(
        AND(MAX(0, IF(MIN($D$1, DATE(Initialisatie!$C$5,12,31)) &lt; MAX($D$2, DATE(Initialisatie!$C$5,1,1)), 0, MONTH(MIN($D$1, DATE(Initialisatie!$C$5,12,31))) - MONTH(MAX($D$2, DATE(Initialisatie!$C$5,1,1))) + 1)) &lt;= 0, IFERROR(VALUE($D115),0)=0),
        AND(MAX(0, IF(MIN($E$1, DATE(Initialisatie!$C$5,12,31)) &lt; MAX($E$2, DATE(Initialisatie!$C$5,1,1)), 0, MONTH(MIN($E$1, DATE(Initialisatie!$C$5,12,31))) - MONTH(MAX($E$2, DATE(Initialisatie!$C$5,1,1))) + 1)) &lt;= 0, IFERROR(VALUE($E115),0)=0),
        AND(MAX(0, IF(MIN($F$1, DATE(Initialisatie!$C$5,12,31)) &lt; MAX($F$2, DATE(Initialisatie!$C$5,1,1)), 0, MONTH(MIN($F$1, DATE(Initialisatie!$C$5,12,31))) - MONTH(MAX($F$2, DATE(Initialisatie!$C$5,1,1))) + 1)) &lt;= 0, IFERROR(VALUE($F115),0)=0),
        AND(MAX(0, IF(MIN($G$1, DATE(Initialisatie!$C$5,12,31)) &lt; MAX($G$2, DATE(Initialisatie!$C$5,1,1)), 0, MONTH(MIN($G$1, DATE(Initialisatie!$C$5,12,31))) - MONTH(MAX($G$2, DATE(Initialisatie!$C$5,1,1))) + 1)) &lt;= 0, IFERROR(VALUE($G115),0)=0),
        AND(MAX(0, IF(MIN($H$1, DATE(Initialisatie!$C$5,12,31)) &lt; MAX($H$2, DATE(Initialisatie!$C$5,1,1)), 0, MONTH(MIN($H$1, DATE(Initialisatie!$C$5,12,31))) - MONTH(MAX($H$2, DATE(Initialisatie!$C$5,1,1))) + 1)) &lt;= 0, IFERROR(VALUE($H115),0)=0)
    ),
    0,
    SUM(
        IFERROR(VALUE($D115),0) * MAX(0, IF(MIN($D$1, DATE(Initialisatie!$C$5,12,31)) &lt; MAX($D$2, DATE(Initialisatie!$C$5,1,1)), 0, MONTH(MIN($D$1, DATE(Initialisatie!$C$5,12,31))) - MONTH(MAX($D$2, DATE(Initialisatie!$C$5,1,1))) + 1)),
        IFERROR(VALUE($E115),0) * MAX(0, IF(MIN($E$1, DATE(Initialisatie!$C$5,12,31)) &lt; MAX($E$2, DATE(Initialisatie!$C$5,1,1)), 0, MONTH(MIN($E$1, DATE(Initialisatie!$C$5,12,31))) - MONTH(MAX($E$2, DATE(Initialisatie!$C$5,1,1))) + 1)),
        IFERROR(VALUE($F115),0) * MAX(0, IF(MIN($F$1, DATE(Initialisatie!$C$5,12,31)) &lt; MAX($F$2, DATE(Initialisatie!$C$5,1,1)), 0, MONTH(MIN($F$1, DATE(Initialisatie!$C$5,12,31))) - MONTH(MAX($F$2, DATE(Initialisatie!$C$5,1,1))) + 1)),
        IFERROR(VALUE($G115),0) * MAX(0, IF(MIN($G$1, DATE(Initialisatie!$C$5,12,31)) &lt; MAX($G$2, DATE(Initialisatie!$C$5,1,1)), 0, MONTH(MIN($G$1, DATE(Initialisatie!$C$5,12,31))) - MONTH(MAX($G$2, DATE(Initialisatie!$C$5,1,1))) + 1)),
        IFERROR(VALUE($H115),0) * MAX(0, IF(MIN($H$1, DATE(Initialisatie!$C$5,12,31)) &lt; MAX($H$2, DATE(Initialisatie!$C$5,1,1)), 0, MONTH(MIN($H$1, DATE(Initialisatie!$C$5,12,31))) - MONTH(MAX($H$2, DATE(Initialisatie!$C$5,1,1))) + 1))
    ) / 12
)</f>
        <v>5026.5</v>
      </c>
    </row>
    <row r="116" spans="1:11" x14ac:dyDescent="0.45">
      <c r="A116" s="989"/>
      <c r="B116" s="371">
        <v>11</v>
      </c>
      <c r="C116" s="371" t="s">
        <v>1496</v>
      </c>
      <c r="D116" t="s">
        <v>1494</v>
      </c>
      <c r="E116" t="s">
        <v>1493</v>
      </c>
      <c r="F116" t="s">
        <v>1495</v>
      </c>
      <c r="G116" t="s">
        <v>1495</v>
      </c>
      <c r="H116" t="s">
        <v>1651</v>
      </c>
      <c r="J116">
        <f>IF(
    OR(
        AND(MAX(0, MIN($D$1, DATE(Initialisatie!$C$5,12,31)) - MAX($D$2, DATE(Initialisatie!$C$5,1,1)) + 1) &gt; 0,IFERROR(VALUE($D116),0)=0),
        AND(MAX(0, MIN($E$1, DATE(Initialisatie!$C$5,12,31)) - MAX($E$2, DATE(Initialisatie!$C$5,1,1)) + 1) &gt; 0,IFERROR(VALUE($E116),0)=0),
        AND(MAX(0, MIN($F$1, DATE(Initialisatie!$C$5,12,31)) - MAX($F$2, DATE(Initialisatie!$C$5,1,1)) + 1) &gt; 0,IFERROR(VALUE($F116),0)=0),
        AND(MAX(0, MIN($G$1, DATE(Initialisatie!$C$5,12,31)) - MAX($G$2, DATE(Initialisatie!$C$5,1,1)) + 1) &gt; 0,IFERROR(VALUE($G116),0)=0),
        AND(MAX(0, MIN($H$1, DATE(Initialisatie!$C$5,12,31)) - MAX($H$2, DATE(Initialisatie!$C$5,1,1)) + 1) &gt; 0,IFERROR(VALUE($H116),0)=0)
    ),
    0,
    SUM(
        IFERROR(VALUE($D116),0) * MAX(0, MIN($D$1, DATE(Initialisatie!$C$5,12,31)) - MAX($D$2, DATE(Initialisatie!$C$5,1,1)) + 1),
        IFERROR(VALUE($E116),0) * MAX(0, MIN($E$1, DATE(Initialisatie!$C$5,12,31)) - MAX($E$2, DATE(Initialisatie!$C$5,1,1)) + 1),
        IFERROR(VALUE($F116),0) * MAX(0, MIN($F$1, DATE(Initialisatie!$C$5,12,31)) - MAX($F$2, DATE(Initialisatie!$C$5,1,1)) + 1),
        IFERROR(VALUE($G116),0) * MAX(0, MIN($G$1, DATE(Initialisatie!$C$5,12,31)) - MAX($G$2, DATE(Initialisatie!$C$5,1,1)) + 1),
        IFERROR(VALUE($H116),0) * MAX(0, MIN($H$1, DATE(Initialisatie!$C$5,12,31)) - MAX($H$2, DATE(Initialisatie!$C$5,1,1)) + 1)
    ) / (DATE(Initialisatie!$C$5,12,31) - DATE(Initialisatie!$C$5,1,1) + 1)
)</f>
        <v>5123.6246575342466</v>
      </c>
      <c r="K116">
        <f>IF(
    OR(
        AND(MAX(0, IF(MIN($D$1, DATE(Initialisatie!$C$5,12,31)) &lt; MAX($D$2, DATE(Initialisatie!$C$5,1,1)), 0, MONTH(MIN($D$1, DATE(Initialisatie!$C$5,12,31))) - MONTH(MAX($D$2, DATE(Initialisatie!$C$5,1,1))) + 1)) &lt;= 0, IFERROR(VALUE($D116),0)=0),
        AND(MAX(0, IF(MIN($E$1, DATE(Initialisatie!$C$5,12,31)) &lt; MAX($E$2, DATE(Initialisatie!$C$5,1,1)), 0, MONTH(MIN($E$1, DATE(Initialisatie!$C$5,12,31))) - MONTH(MAX($E$2, DATE(Initialisatie!$C$5,1,1))) + 1)) &lt;= 0, IFERROR(VALUE($E116),0)=0),
        AND(MAX(0, IF(MIN($F$1, DATE(Initialisatie!$C$5,12,31)) &lt; MAX($F$2, DATE(Initialisatie!$C$5,1,1)), 0, MONTH(MIN($F$1, DATE(Initialisatie!$C$5,12,31))) - MONTH(MAX($F$2, DATE(Initialisatie!$C$5,1,1))) + 1)) &lt;= 0, IFERROR(VALUE($F116),0)=0),
        AND(MAX(0, IF(MIN($G$1, DATE(Initialisatie!$C$5,12,31)) &lt; MAX($G$2, DATE(Initialisatie!$C$5,1,1)), 0, MONTH(MIN($G$1, DATE(Initialisatie!$C$5,12,31))) - MONTH(MAX($G$2, DATE(Initialisatie!$C$5,1,1))) + 1)) &lt;= 0, IFERROR(VALUE($G116),0)=0),
        AND(MAX(0, IF(MIN($H$1, DATE(Initialisatie!$C$5,12,31)) &lt; MAX($H$2, DATE(Initialisatie!$C$5,1,1)), 0, MONTH(MIN($H$1, DATE(Initialisatie!$C$5,12,31))) - MONTH(MAX($H$2, DATE(Initialisatie!$C$5,1,1))) + 1)) &lt;= 0, IFERROR(VALUE($H116),0)=0)
    ),
    0,
    SUM(
        IFERROR(VALUE($D116),0) * MAX(0, IF(MIN($D$1, DATE(Initialisatie!$C$5,12,31)) &lt; MAX($D$2, DATE(Initialisatie!$C$5,1,1)), 0, MONTH(MIN($D$1, DATE(Initialisatie!$C$5,12,31))) - MONTH(MAX($D$2, DATE(Initialisatie!$C$5,1,1))) + 1)),
        IFERROR(VALUE($E116),0) * MAX(0, IF(MIN($E$1, DATE(Initialisatie!$C$5,12,31)) &lt; MAX($E$2, DATE(Initialisatie!$C$5,1,1)), 0, MONTH(MIN($E$1, DATE(Initialisatie!$C$5,12,31))) - MONTH(MAX($E$2, DATE(Initialisatie!$C$5,1,1))) + 1)),
        IFERROR(VALUE($F116),0) * MAX(0, IF(MIN($F$1, DATE(Initialisatie!$C$5,12,31)) &lt; MAX($F$2, DATE(Initialisatie!$C$5,1,1)), 0, MONTH(MIN($F$1, DATE(Initialisatie!$C$5,12,31))) - MONTH(MAX($F$2, DATE(Initialisatie!$C$5,1,1))) + 1)),
        IFERROR(VALUE($G116),0) * MAX(0, IF(MIN($G$1, DATE(Initialisatie!$C$5,12,31)) &lt; MAX($G$2, DATE(Initialisatie!$C$5,1,1)), 0, MONTH(MIN($G$1, DATE(Initialisatie!$C$5,12,31))) - MONTH(MAX($G$2, DATE(Initialisatie!$C$5,1,1))) + 1)),
        IFERROR(VALUE($H116),0) * MAX(0, IF(MIN($H$1, DATE(Initialisatie!$C$5,12,31)) &lt; MAX($H$2, DATE(Initialisatie!$C$5,1,1)), 0, MONTH(MIN($H$1, DATE(Initialisatie!$C$5,12,31))) - MONTH(MAX($H$2, DATE(Initialisatie!$C$5,1,1))) + 1))
    ) / 12
)</f>
        <v>5123</v>
      </c>
    </row>
    <row r="117" spans="1:11" x14ac:dyDescent="0.45">
      <c r="A117" s="990"/>
      <c r="B117" s="371">
        <v>12</v>
      </c>
      <c r="C117" s="371" t="s">
        <v>1464</v>
      </c>
      <c r="D117" t="s">
        <v>1462</v>
      </c>
      <c r="E117" t="s">
        <v>1461</v>
      </c>
      <c r="F117" t="s">
        <v>1463</v>
      </c>
      <c r="G117" t="s">
        <v>1463</v>
      </c>
      <c r="H117" t="s">
        <v>1652</v>
      </c>
      <c r="J117">
        <f>IF(
    OR(
        AND(MAX(0, MIN($D$1, DATE(Initialisatie!$C$5,12,31)) - MAX($D$2, DATE(Initialisatie!$C$5,1,1)) + 1) &gt; 0,IFERROR(VALUE($D117),0)=0),
        AND(MAX(0, MIN($E$1, DATE(Initialisatie!$C$5,12,31)) - MAX($E$2, DATE(Initialisatie!$C$5,1,1)) + 1) &gt; 0,IFERROR(VALUE($E117),0)=0),
        AND(MAX(0, MIN($F$1, DATE(Initialisatie!$C$5,12,31)) - MAX($F$2, DATE(Initialisatie!$C$5,1,1)) + 1) &gt; 0,IFERROR(VALUE($F117),0)=0),
        AND(MAX(0, MIN($G$1, DATE(Initialisatie!$C$5,12,31)) - MAX($G$2, DATE(Initialisatie!$C$5,1,1)) + 1) &gt; 0,IFERROR(VALUE($G117),0)=0),
        AND(MAX(0, MIN($H$1, DATE(Initialisatie!$C$5,12,31)) - MAX($H$2, DATE(Initialisatie!$C$5,1,1)) + 1) &gt; 0,IFERROR(VALUE($H117),0)=0)
    ),
    0,
    SUM(
        IFERROR(VALUE($D117),0) * MAX(0, MIN($D$1, DATE(Initialisatie!$C$5,12,31)) - MAX($D$2, DATE(Initialisatie!$C$5,1,1)) + 1),
        IFERROR(VALUE($E117),0) * MAX(0, MIN($E$1, DATE(Initialisatie!$C$5,12,31)) - MAX($E$2, DATE(Initialisatie!$C$5,1,1)) + 1),
        IFERROR(VALUE($F117),0) * MAX(0, MIN($F$1, DATE(Initialisatie!$C$5,12,31)) - MAX($F$2, DATE(Initialisatie!$C$5,1,1)) + 1),
        IFERROR(VALUE($G117),0) * MAX(0, MIN($G$1, DATE(Initialisatie!$C$5,12,31)) - MAX($G$2, DATE(Initialisatie!$C$5,1,1)) + 1),
        IFERROR(VALUE($H117),0) * MAX(0, MIN($H$1, DATE(Initialisatie!$C$5,12,31)) - MAX($H$2, DATE(Initialisatie!$C$5,1,1)) + 1)
    ) / (DATE(Initialisatie!$C$5,12,31) - DATE(Initialisatie!$C$5,1,1) + 1)
)</f>
        <v>5217.6328767123287</v>
      </c>
      <c r="K117">
        <f>IF(
    OR(
        AND(MAX(0, IF(MIN($D$1, DATE(Initialisatie!$C$5,12,31)) &lt; MAX($D$2, DATE(Initialisatie!$C$5,1,1)), 0, MONTH(MIN($D$1, DATE(Initialisatie!$C$5,12,31))) - MONTH(MAX($D$2, DATE(Initialisatie!$C$5,1,1))) + 1)) &lt;= 0, IFERROR(VALUE($D117),0)=0),
        AND(MAX(0, IF(MIN($E$1, DATE(Initialisatie!$C$5,12,31)) &lt; MAX($E$2, DATE(Initialisatie!$C$5,1,1)), 0, MONTH(MIN($E$1, DATE(Initialisatie!$C$5,12,31))) - MONTH(MAX($E$2, DATE(Initialisatie!$C$5,1,1))) + 1)) &lt;= 0, IFERROR(VALUE($E117),0)=0),
        AND(MAX(0, IF(MIN($F$1, DATE(Initialisatie!$C$5,12,31)) &lt; MAX($F$2, DATE(Initialisatie!$C$5,1,1)), 0, MONTH(MIN($F$1, DATE(Initialisatie!$C$5,12,31))) - MONTH(MAX($F$2, DATE(Initialisatie!$C$5,1,1))) + 1)) &lt;= 0, IFERROR(VALUE($F117),0)=0),
        AND(MAX(0, IF(MIN($G$1, DATE(Initialisatie!$C$5,12,31)) &lt; MAX($G$2, DATE(Initialisatie!$C$5,1,1)), 0, MONTH(MIN($G$1, DATE(Initialisatie!$C$5,12,31))) - MONTH(MAX($G$2, DATE(Initialisatie!$C$5,1,1))) + 1)) &lt;= 0, IFERROR(VALUE($G117),0)=0),
        AND(MAX(0, IF(MIN($H$1, DATE(Initialisatie!$C$5,12,31)) &lt; MAX($H$2, DATE(Initialisatie!$C$5,1,1)), 0, MONTH(MIN($H$1, DATE(Initialisatie!$C$5,12,31))) - MONTH(MAX($H$2, DATE(Initialisatie!$C$5,1,1))) + 1)) &lt;= 0, IFERROR(VALUE($H117),0)=0)
    ),
    0,
    SUM(
        IFERROR(VALUE($D117),0) * MAX(0, IF(MIN($D$1, DATE(Initialisatie!$C$5,12,31)) &lt; MAX($D$2, DATE(Initialisatie!$C$5,1,1)), 0, MONTH(MIN($D$1, DATE(Initialisatie!$C$5,12,31))) - MONTH(MAX($D$2, DATE(Initialisatie!$C$5,1,1))) + 1)),
        IFERROR(VALUE($E117),0) * MAX(0, IF(MIN($E$1, DATE(Initialisatie!$C$5,12,31)) &lt; MAX($E$2, DATE(Initialisatie!$C$5,1,1)), 0, MONTH(MIN($E$1, DATE(Initialisatie!$C$5,12,31))) - MONTH(MAX($E$2, DATE(Initialisatie!$C$5,1,1))) + 1)),
        IFERROR(VALUE($F117),0) * MAX(0, IF(MIN($F$1, DATE(Initialisatie!$C$5,12,31)) &lt; MAX($F$2, DATE(Initialisatie!$C$5,1,1)), 0, MONTH(MIN($F$1, DATE(Initialisatie!$C$5,12,31))) - MONTH(MAX($F$2, DATE(Initialisatie!$C$5,1,1))) + 1)),
        IFERROR(VALUE($G117),0) * MAX(0, IF(MIN($G$1, DATE(Initialisatie!$C$5,12,31)) &lt; MAX($G$2, DATE(Initialisatie!$C$5,1,1)), 0, MONTH(MIN($G$1, DATE(Initialisatie!$C$5,12,31))) - MONTH(MAX($G$2, DATE(Initialisatie!$C$5,1,1))) + 1)),
        IFERROR(VALUE($H117),0) * MAX(0, IF(MIN($H$1, DATE(Initialisatie!$C$5,12,31)) &lt; MAX($H$2, DATE(Initialisatie!$C$5,1,1)), 0, MONTH(MIN($H$1, DATE(Initialisatie!$C$5,12,31))) - MONTH(MAX($H$2, DATE(Initialisatie!$C$5,1,1))) + 1))
    ) / 12
)</f>
        <v>5217</v>
      </c>
    </row>
    <row r="118" spans="1:11" x14ac:dyDescent="0.45">
      <c r="A118" s="993">
        <v>60</v>
      </c>
      <c r="B118" s="371">
        <v>1</v>
      </c>
      <c r="C118" s="371" t="s">
        <v>1492</v>
      </c>
      <c r="D118" t="s">
        <v>1490</v>
      </c>
      <c r="E118" t="s">
        <v>1489</v>
      </c>
      <c r="F118" t="s">
        <v>1491</v>
      </c>
      <c r="G118" t="s">
        <v>1491</v>
      </c>
      <c r="H118" t="s">
        <v>1644</v>
      </c>
      <c r="J118">
        <f>IF(
    OR(
        AND(MAX(0, MIN($D$1, DATE(Initialisatie!$C$5,12,31)) - MAX($D$2, DATE(Initialisatie!$C$5,1,1)) + 1) &gt; 0,IFERROR(VALUE($D118),0)=0),
        AND(MAX(0, MIN($E$1, DATE(Initialisatie!$C$5,12,31)) - MAX($E$2, DATE(Initialisatie!$C$5,1,1)) + 1) &gt; 0,IFERROR(VALUE($E118),0)=0),
        AND(MAX(0, MIN($F$1, DATE(Initialisatie!$C$5,12,31)) - MAX($F$2, DATE(Initialisatie!$C$5,1,1)) + 1) &gt; 0,IFERROR(VALUE($F118),0)=0),
        AND(MAX(0, MIN($G$1, DATE(Initialisatie!$C$5,12,31)) - MAX($G$2, DATE(Initialisatie!$C$5,1,1)) + 1) &gt; 0,IFERROR(VALUE($G118),0)=0),
        AND(MAX(0, MIN($H$1, DATE(Initialisatie!$C$5,12,31)) - MAX($H$2, DATE(Initialisatie!$C$5,1,1)) + 1) &gt; 0,IFERROR(VALUE($H118),0)=0)
    ),
    0,
    SUM(
        IFERROR(VALUE($D118),0) * MAX(0, MIN($D$1, DATE(Initialisatie!$C$5,12,31)) - MAX($D$2, DATE(Initialisatie!$C$5,1,1)) + 1),
        IFERROR(VALUE($E118),0) * MAX(0, MIN($E$1, DATE(Initialisatie!$C$5,12,31)) - MAX($E$2, DATE(Initialisatie!$C$5,1,1)) + 1),
        IFERROR(VALUE($F118),0) * MAX(0, MIN($F$1, DATE(Initialisatie!$C$5,12,31)) - MAX($F$2, DATE(Initialisatie!$C$5,1,1)) + 1),
        IFERROR(VALUE($G118),0) * MAX(0, MIN($G$1, DATE(Initialisatie!$C$5,12,31)) - MAX($G$2, DATE(Initialisatie!$C$5,1,1)) + 1),
        IFERROR(VALUE($H118),0) * MAX(0, MIN($H$1, DATE(Initialisatie!$C$5,12,31)) - MAX($H$2, DATE(Initialisatie!$C$5,1,1)) + 1)
    ) / (DATE(Initialisatie!$C$5,12,31) - DATE(Initialisatie!$C$5,1,1) + 1)
)</f>
        <v>4478.5424657534249</v>
      </c>
      <c r="K118">
        <f>IF(
    OR(
        AND(MAX(0, IF(MIN($D$1, DATE(Initialisatie!$C$5,12,31)) &lt; MAX($D$2, DATE(Initialisatie!$C$5,1,1)), 0, MONTH(MIN($D$1, DATE(Initialisatie!$C$5,12,31))) - MONTH(MAX($D$2, DATE(Initialisatie!$C$5,1,1))) + 1)) &lt;= 0, IFERROR(VALUE($D118),0)=0),
        AND(MAX(0, IF(MIN($E$1, DATE(Initialisatie!$C$5,12,31)) &lt; MAX($E$2, DATE(Initialisatie!$C$5,1,1)), 0, MONTH(MIN($E$1, DATE(Initialisatie!$C$5,12,31))) - MONTH(MAX($E$2, DATE(Initialisatie!$C$5,1,1))) + 1)) &lt;= 0, IFERROR(VALUE($E118),0)=0),
        AND(MAX(0, IF(MIN($F$1, DATE(Initialisatie!$C$5,12,31)) &lt; MAX($F$2, DATE(Initialisatie!$C$5,1,1)), 0, MONTH(MIN($F$1, DATE(Initialisatie!$C$5,12,31))) - MONTH(MAX($F$2, DATE(Initialisatie!$C$5,1,1))) + 1)) &lt;= 0, IFERROR(VALUE($F118),0)=0),
        AND(MAX(0, IF(MIN($G$1, DATE(Initialisatie!$C$5,12,31)) &lt; MAX($G$2, DATE(Initialisatie!$C$5,1,1)), 0, MONTH(MIN($G$1, DATE(Initialisatie!$C$5,12,31))) - MONTH(MAX($G$2, DATE(Initialisatie!$C$5,1,1))) + 1)) &lt;= 0, IFERROR(VALUE($G118),0)=0),
        AND(MAX(0, IF(MIN($H$1, DATE(Initialisatie!$C$5,12,31)) &lt; MAX($H$2, DATE(Initialisatie!$C$5,1,1)), 0, MONTH(MIN($H$1, DATE(Initialisatie!$C$5,12,31))) - MONTH(MAX($H$2, DATE(Initialisatie!$C$5,1,1))) + 1)) &lt;= 0, IFERROR(VALUE($H118),0)=0)
    ),
    0,
    SUM(
        IFERROR(VALUE($D118),0) * MAX(0, IF(MIN($D$1, DATE(Initialisatie!$C$5,12,31)) &lt; MAX($D$2, DATE(Initialisatie!$C$5,1,1)), 0, MONTH(MIN($D$1, DATE(Initialisatie!$C$5,12,31))) - MONTH(MAX($D$2, DATE(Initialisatie!$C$5,1,1))) + 1)),
        IFERROR(VALUE($E118),0) * MAX(0, IF(MIN($E$1, DATE(Initialisatie!$C$5,12,31)) &lt; MAX($E$2, DATE(Initialisatie!$C$5,1,1)), 0, MONTH(MIN($E$1, DATE(Initialisatie!$C$5,12,31))) - MONTH(MAX($E$2, DATE(Initialisatie!$C$5,1,1))) + 1)),
        IFERROR(VALUE($F118),0) * MAX(0, IF(MIN($F$1, DATE(Initialisatie!$C$5,12,31)) &lt; MAX($F$2, DATE(Initialisatie!$C$5,1,1)), 0, MONTH(MIN($F$1, DATE(Initialisatie!$C$5,12,31))) - MONTH(MAX($F$2, DATE(Initialisatie!$C$5,1,1))) + 1)),
        IFERROR(VALUE($G118),0) * MAX(0, IF(MIN($G$1, DATE(Initialisatie!$C$5,12,31)) &lt; MAX($G$2, DATE(Initialisatie!$C$5,1,1)), 0, MONTH(MIN($G$1, DATE(Initialisatie!$C$5,12,31))) - MONTH(MAX($G$2, DATE(Initialisatie!$C$5,1,1))) + 1)),
        IFERROR(VALUE($H118),0) * MAX(0, IF(MIN($H$1, DATE(Initialisatie!$C$5,12,31)) &lt; MAX($H$2, DATE(Initialisatie!$C$5,1,1)), 0, MONTH(MIN($H$1, DATE(Initialisatie!$C$5,12,31))) - MONTH(MAX($H$2, DATE(Initialisatie!$C$5,1,1))) + 1))
    ) / 12
)</f>
        <v>4478</v>
      </c>
    </row>
    <row r="119" spans="1:11" x14ac:dyDescent="0.45">
      <c r="A119" s="989"/>
      <c r="B119" s="371">
        <v>2</v>
      </c>
      <c r="C119" s="371" t="s">
        <v>1488</v>
      </c>
      <c r="D119" t="s">
        <v>1486</v>
      </c>
      <c r="E119" t="s">
        <v>1485</v>
      </c>
      <c r="F119" t="s">
        <v>1487</v>
      </c>
      <c r="G119" t="s">
        <v>1487</v>
      </c>
      <c r="H119" t="s">
        <v>1646</v>
      </c>
      <c r="J119">
        <f>IF(
    OR(
        AND(MAX(0, MIN($D$1, DATE(Initialisatie!$C$5,12,31)) - MAX($D$2, DATE(Initialisatie!$C$5,1,1)) + 1) &gt; 0,IFERROR(VALUE($D119),0)=0),
        AND(MAX(0, MIN($E$1, DATE(Initialisatie!$C$5,12,31)) - MAX($E$2, DATE(Initialisatie!$C$5,1,1)) + 1) &gt; 0,IFERROR(VALUE($E119),0)=0),
        AND(MAX(0, MIN($F$1, DATE(Initialisatie!$C$5,12,31)) - MAX($F$2, DATE(Initialisatie!$C$5,1,1)) + 1) &gt; 0,IFERROR(VALUE($F119),0)=0),
        AND(MAX(0, MIN($G$1, DATE(Initialisatie!$C$5,12,31)) - MAX($G$2, DATE(Initialisatie!$C$5,1,1)) + 1) &gt; 0,IFERROR(VALUE($G119),0)=0),
        AND(MAX(0, MIN($H$1, DATE(Initialisatie!$C$5,12,31)) - MAX($H$2, DATE(Initialisatie!$C$5,1,1)) + 1) &gt; 0,IFERROR(VALUE($H119),0)=0)
    ),
    0,
    SUM(
        IFERROR(VALUE($D119),0) * MAX(0, MIN($D$1, DATE(Initialisatie!$C$5,12,31)) - MAX($D$2, DATE(Initialisatie!$C$5,1,1)) + 1),
        IFERROR(VALUE($E119),0) * MAX(0, MIN($E$1, DATE(Initialisatie!$C$5,12,31)) - MAX($E$2, DATE(Initialisatie!$C$5,1,1)) + 1),
        IFERROR(VALUE($F119),0) * MAX(0, MIN($F$1, DATE(Initialisatie!$C$5,12,31)) - MAX($F$2, DATE(Initialisatie!$C$5,1,1)) + 1),
        IFERROR(VALUE($G119),0) * MAX(0, MIN($G$1, DATE(Initialisatie!$C$5,12,31)) - MAX($G$2, DATE(Initialisatie!$C$5,1,1)) + 1),
        IFERROR(VALUE($H119),0) * MAX(0, MIN($H$1, DATE(Initialisatie!$C$5,12,31)) - MAX($H$2, DATE(Initialisatie!$C$5,1,1)) + 1)
    ) / (DATE(Initialisatie!$C$5,12,31) - DATE(Initialisatie!$C$5,1,1) + 1)
)</f>
        <v>4648.0630136986301</v>
      </c>
      <c r="K119">
        <f>IF(
    OR(
        AND(MAX(0, IF(MIN($D$1, DATE(Initialisatie!$C$5,12,31)) &lt; MAX($D$2, DATE(Initialisatie!$C$5,1,1)), 0, MONTH(MIN($D$1, DATE(Initialisatie!$C$5,12,31))) - MONTH(MAX($D$2, DATE(Initialisatie!$C$5,1,1))) + 1)) &lt;= 0, IFERROR(VALUE($D119),0)=0),
        AND(MAX(0, IF(MIN($E$1, DATE(Initialisatie!$C$5,12,31)) &lt; MAX($E$2, DATE(Initialisatie!$C$5,1,1)), 0, MONTH(MIN($E$1, DATE(Initialisatie!$C$5,12,31))) - MONTH(MAX($E$2, DATE(Initialisatie!$C$5,1,1))) + 1)) &lt;= 0, IFERROR(VALUE($E119),0)=0),
        AND(MAX(0, IF(MIN($F$1, DATE(Initialisatie!$C$5,12,31)) &lt; MAX($F$2, DATE(Initialisatie!$C$5,1,1)), 0, MONTH(MIN($F$1, DATE(Initialisatie!$C$5,12,31))) - MONTH(MAX($F$2, DATE(Initialisatie!$C$5,1,1))) + 1)) &lt;= 0, IFERROR(VALUE($F119),0)=0),
        AND(MAX(0, IF(MIN($G$1, DATE(Initialisatie!$C$5,12,31)) &lt; MAX($G$2, DATE(Initialisatie!$C$5,1,1)), 0, MONTH(MIN($G$1, DATE(Initialisatie!$C$5,12,31))) - MONTH(MAX($G$2, DATE(Initialisatie!$C$5,1,1))) + 1)) &lt;= 0, IFERROR(VALUE($G119),0)=0),
        AND(MAX(0, IF(MIN($H$1, DATE(Initialisatie!$C$5,12,31)) &lt; MAX($H$2, DATE(Initialisatie!$C$5,1,1)), 0, MONTH(MIN($H$1, DATE(Initialisatie!$C$5,12,31))) - MONTH(MAX($H$2, DATE(Initialisatie!$C$5,1,1))) + 1)) &lt;= 0, IFERROR(VALUE($H119),0)=0)
    ),
    0,
    SUM(
        IFERROR(VALUE($D119),0) * MAX(0, IF(MIN($D$1, DATE(Initialisatie!$C$5,12,31)) &lt; MAX($D$2, DATE(Initialisatie!$C$5,1,1)), 0, MONTH(MIN($D$1, DATE(Initialisatie!$C$5,12,31))) - MONTH(MAX($D$2, DATE(Initialisatie!$C$5,1,1))) + 1)),
        IFERROR(VALUE($E119),0) * MAX(0, IF(MIN($E$1, DATE(Initialisatie!$C$5,12,31)) &lt; MAX($E$2, DATE(Initialisatie!$C$5,1,1)), 0, MONTH(MIN($E$1, DATE(Initialisatie!$C$5,12,31))) - MONTH(MAX($E$2, DATE(Initialisatie!$C$5,1,1))) + 1)),
        IFERROR(VALUE($F119),0) * MAX(0, IF(MIN($F$1, DATE(Initialisatie!$C$5,12,31)) &lt; MAX($F$2, DATE(Initialisatie!$C$5,1,1)), 0, MONTH(MIN($F$1, DATE(Initialisatie!$C$5,12,31))) - MONTH(MAX($F$2, DATE(Initialisatie!$C$5,1,1))) + 1)),
        IFERROR(VALUE($G119),0) * MAX(0, IF(MIN($G$1, DATE(Initialisatie!$C$5,12,31)) &lt; MAX($G$2, DATE(Initialisatie!$C$5,1,1)), 0, MONTH(MIN($G$1, DATE(Initialisatie!$C$5,12,31))) - MONTH(MAX($G$2, DATE(Initialisatie!$C$5,1,1))) + 1)),
        IFERROR(VALUE($H119),0) * MAX(0, IF(MIN($H$1, DATE(Initialisatie!$C$5,12,31)) &lt; MAX($H$2, DATE(Initialisatie!$C$5,1,1)), 0, MONTH(MIN($H$1, DATE(Initialisatie!$C$5,12,31))) - MONTH(MAX($H$2, DATE(Initialisatie!$C$5,1,1))) + 1))
    ) / 12
)</f>
        <v>4647.5</v>
      </c>
    </row>
    <row r="120" spans="1:11" x14ac:dyDescent="0.45">
      <c r="A120" s="989"/>
      <c r="B120" s="371">
        <v>3</v>
      </c>
      <c r="C120" s="371" t="s">
        <v>1484</v>
      </c>
      <c r="D120" t="s">
        <v>1482</v>
      </c>
      <c r="E120" t="s">
        <v>1481</v>
      </c>
      <c r="F120" t="s">
        <v>1483</v>
      </c>
      <c r="G120" t="s">
        <v>1483</v>
      </c>
      <c r="H120" t="s">
        <v>1648</v>
      </c>
      <c r="J120">
        <f>IF(
    OR(
        AND(MAX(0, MIN($D$1, DATE(Initialisatie!$C$5,12,31)) - MAX($D$2, DATE(Initialisatie!$C$5,1,1)) + 1) &gt; 0,IFERROR(VALUE($D120),0)=0),
        AND(MAX(0, MIN($E$1, DATE(Initialisatie!$C$5,12,31)) - MAX($E$2, DATE(Initialisatie!$C$5,1,1)) + 1) &gt; 0,IFERROR(VALUE($E120),0)=0),
        AND(MAX(0, MIN($F$1, DATE(Initialisatie!$C$5,12,31)) - MAX($F$2, DATE(Initialisatie!$C$5,1,1)) + 1) &gt; 0,IFERROR(VALUE($F120),0)=0),
        AND(MAX(0, MIN($G$1, DATE(Initialisatie!$C$5,12,31)) - MAX($G$2, DATE(Initialisatie!$C$5,1,1)) + 1) &gt; 0,IFERROR(VALUE($G120),0)=0),
        AND(MAX(0, MIN($H$1, DATE(Initialisatie!$C$5,12,31)) - MAX($H$2, DATE(Initialisatie!$C$5,1,1)) + 1) &gt; 0,IFERROR(VALUE($H120),0)=0)
    ),
    0,
    SUM(
        IFERROR(VALUE($D120),0) * MAX(0, MIN($D$1, DATE(Initialisatie!$C$5,12,31)) - MAX($D$2, DATE(Initialisatie!$C$5,1,1)) + 1),
        IFERROR(VALUE($E120),0) * MAX(0, MIN($E$1, DATE(Initialisatie!$C$5,12,31)) - MAX($E$2, DATE(Initialisatie!$C$5,1,1)) + 1),
        IFERROR(VALUE($F120),0) * MAX(0, MIN($F$1, DATE(Initialisatie!$C$5,12,31)) - MAX($F$2, DATE(Initialisatie!$C$5,1,1)) + 1),
        IFERROR(VALUE($G120),0) * MAX(0, MIN($G$1, DATE(Initialisatie!$C$5,12,31)) - MAX($G$2, DATE(Initialisatie!$C$5,1,1)) + 1),
        IFERROR(VALUE($H120),0) * MAX(0, MIN($H$1, DATE(Initialisatie!$C$5,12,31)) - MAX($H$2, DATE(Initialisatie!$C$5,1,1)) + 1)
    ) / (DATE(Initialisatie!$C$5,12,31) - DATE(Initialisatie!$C$5,1,1) + 1)
)</f>
        <v>4842.0876712328763</v>
      </c>
      <c r="K120">
        <f>IF(
    OR(
        AND(MAX(0, IF(MIN($D$1, DATE(Initialisatie!$C$5,12,31)) &lt; MAX($D$2, DATE(Initialisatie!$C$5,1,1)), 0, MONTH(MIN($D$1, DATE(Initialisatie!$C$5,12,31))) - MONTH(MAX($D$2, DATE(Initialisatie!$C$5,1,1))) + 1)) &lt;= 0, IFERROR(VALUE($D120),0)=0),
        AND(MAX(0, IF(MIN($E$1, DATE(Initialisatie!$C$5,12,31)) &lt; MAX($E$2, DATE(Initialisatie!$C$5,1,1)), 0, MONTH(MIN($E$1, DATE(Initialisatie!$C$5,12,31))) - MONTH(MAX($E$2, DATE(Initialisatie!$C$5,1,1))) + 1)) &lt;= 0, IFERROR(VALUE($E120),0)=0),
        AND(MAX(0, IF(MIN($F$1, DATE(Initialisatie!$C$5,12,31)) &lt; MAX($F$2, DATE(Initialisatie!$C$5,1,1)), 0, MONTH(MIN($F$1, DATE(Initialisatie!$C$5,12,31))) - MONTH(MAX($F$2, DATE(Initialisatie!$C$5,1,1))) + 1)) &lt;= 0, IFERROR(VALUE($F120),0)=0),
        AND(MAX(0, IF(MIN($G$1, DATE(Initialisatie!$C$5,12,31)) &lt; MAX($G$2, DATE(Initialisatie!$C$5,1,1)), 0, MONTH(MIN($G$1, DATE(Initialisatie!$C$5,12,31))) - MONTH(MAX($G$2, DATE(Initialisatie!$C$5,1,1))) + 1)) &lt;= 0, IFERROR(VALUE($G120),0)=0),
        AND(MAX(0, IF(MIN($H$1, DATE(Initialisatie!$C$5,12,31)) &lt; MAX($H$2, DATE(Initialisatie!$C$5,1,1)), 0, MONTH(MIN($H$1, DATE(Initialisatie!$C$5,12,31))) - MONTH(MAX($H$2, DATE(Initialisatie!$C$5,1,1))) + 1)) &lt;= 0, IFERROR(VALUE($H120),0)=0)
    ),
    0,
    SUM(
        IFERROR(VALUE($D120),0) * MAX(0, IF(MIN($D$1, DATE(Initialisatie!$C$5,12,31)) &lt; MAX($D$2, DATE(Initialisatie!$C$5,1,1)), 0, MONTH(MIN($D$1, DATE(Initialisatie!$C$5,12,31))) - MONTH(MAX($D$2, DATE(Initialisatie!$C$5,1,1))) + 1)),
        IFERROR(VALUE($E120),0) * MAX(0, IF(MIN($E$1, DATE(Initialisatie!$C$5,12,31)) &lt; MAX($E$2, DATE(Initialisatie!$C$5,1,1)), 0, MONTH(MIN($E$1, DATE(Initialisatie!$C$5,12,31))) - MONTH(MAX($E$2, DATE(Initialisatie!$C$5,1,1))) + 1)),
        IFERROR(VALUE($F120),0) * MAX(0, IF(MIN($F$1, DATE(Initialisatie!$C$5,12,31)) &lt; MAX($F$2, DATE(Initialisatie!$C$5,1,1)), 0, MONTH(MIN($F$1, DATE(Initialisatie!$C$5,12,31))) - MONTH(MAX($F$2, DATE(Initialisatie!$C$5,1,1))) + 1)),
        IFERROR(VALUE($G120),0) * MAX(0, IF(MIN($G$1, DATE(Initialisatie!$C$5,12,31)) &lt; MAX($G$2, DATE(Initialisatie!$C$5,1,1)), 0, MONTH(MIN($G$1, DATE(Initialisatie!$C$5,12,31))) - MONTH(MAX($G$2, DATE(Initialisatie!$C$5,1,1))) + 1)),
        IFERROR(VALUE($H120),0) * MAX(0, IF(MIN($H$1, DATE(Initialisatie!$C$5,12,31)) &lt; MAX($H$2, DATE(Initialisatie!$C$5,1,1)), 0, MONTH(MIN($H$1, DATE(Initialisatie!$C$5,12,31))) - MONTH(MAX($H$2, DATE(Initialisatie!$C$5,1,1))) + 1))
    ) / 12
)</f>
        <v>4841.5</v>
      </c>
    </row>
    <row r="121" spans="1:11" x14ac:dyDescent="0.45">
      <c r="A121" s="989"/>
      <c r="B121" s="371">
        <v>4</v>
      </c>
      <c r="C121" s="371" t="s">
        <v>1480</v>
      </c>
      <c r="D121" t="s">
        <v>1478</v>
      </c>
      <c r="E121" t="s">
        <v>1477</v>
      </c>
      <c r="F121" t="s">
        <v>1479</v>
      </c>
      <c r="G121" t="s">
        <v>1479</v>
      </c>
      <c r="H121" t="s">
        <v>1650</v>
      </c>
      <c r="J121">
        <f>IF(
    OR(
        AND(MAX(0, MIN($D$1, DATE(Initialisatie!$C$5,12,31)) - MAX($D$2, DATE(Initialisatie!$C$5,1,1)) + 1) &gt; 0,IFERROR(VALUE($D121),0)=0),
        AND(MAX(0, MIN($E$1, DATE(Initialisatie!$C$5,12,31)) - MAX($E$2, DATE(Initialisatie!$C$5,1,1)) + 1) &gt; 0,IFERROR(VALUE($E121),0)=0),
        AND(MAX(0, MIN($F$1, DATE(Initialisatie!$C$5,12,31)) - MAX($F$2, DATE(Initialisatie!$C$5,1,1)) + 1) &gt; 0,IFERROR(VALUE($F121),0)=0),
        AND(MAX(0, MIN($G$1, DATE(Initialisatie!$C$5,12,31)) - MAX($G$2, DATE(Initialisatie!$C$5,1,1)) + 1) &gt; 0,IFERROR(VALUE($G121),0)=0),
        AND(MAX(0, MIN($H$1, DATE(Initialisatie!$C$5,12,31)) - MAX($H$2, DATE(Initialisatie!$C$5,1,1)) + 1) &gt; 0,IFERROR(VALUE($H121),0)=0)
    ),
    0,
    SUM(
        IFERROR(VALUE($D121),0) * MAX(0, MIN($D$1, DATE(Initialisatie!$C$5,12,31)) - MAX($D$2, DATE(Initialisatie!$C$5,1,1)) + 1),
        IFERROR(VALUE($E121),0) * MAX(0, MIN($E$1, DATE(Initialisatie!$C$5,12,31)) - MAX($E$2, DATE(Initialisatie!$C$5,1,1)) + 1),
        IFERROR(VALUE($F121),0) * MAX(0, MIN($F$1, DATE(Initialisatie!$C$5,12,31)) - MAX($F$2, DATE(Initialisatie!$C$5,1,1)) + 1),
        IFERROR(VALUE($G121),0) * MAX(0, MIN($G$1, DATE(Initialisatie!$C$5,12,31)) - MAX($G$2, DATE(Initialisatie!$C$5,1,1)) + 1),
        IFERROR(VALUE($H121),0) * MAX(0, MIN($H$1, DATE(Initialisatie!$C$5,12,31)) - MAX($H$2, DATE(Initialisatie!$C$5,1,1)) + 1)
    ) / (DATE(Initialisatie!$C$5,12,31) - DATE(Initialisatie!$C$5,1,1) + 1)
)</f>
        <v>5027.1123287671235</v>
      </c>
      <c r="K121">
        <f>IF(
    OR(
        AND(MAX(0, IF(MIN($D$1, DATE(Initialisatie!$C$5,12,31)) &lt; MAX($D$2, DATE(Initialisatie!$C$5,1,1)), 0, MONTH(MIN($D$1, DATE(Initialisatie!$C$5,12,31))) - MONTH(MAX($D$2, DATE(Initialisatie!$C$5,1,1))) + 1)) &lt;= 0, IFERROR(VALUE($D121),0)=0),
        AND(MAX(0, IF(MIN($E$1, DATE(Initialisatie!$C$5,12,31)) &lt; MAX($E$2, DATE(Initialisatie!$C$5,1,1)), 0, MONTH(MIN($E$1, DATE(Initialisatie!$C$5,12,31))) - MONTH(MAX($E$2, DATE(Initialisatie!$C$5,1,1))) + 1)) &lt;= 0, IFERROR(VALUE($E121),0)=0),
        AND(MAX(0, IF(MIN($F$1, DATE(Initialisatie!$C$5,12,31)) &lt; MAX($F$2, DATE(Initialisatie!$C$5,1,1)), 0, MONTH(MIN($F$1, DATE(Initialisatie!$C$5,12,31))) - MONTH(MAX($F$2, DATE(Initialisatie!$C$5,1,1))) + 1)) &lt;= 0, IFERROR(VALUE($F121),0)=0),
        AND(MAX(0, IF(MIN($G$1, DATE(Initialisatie!$C$5,12,31)) &lt; MAX($G$2, DATE(Initialisatie!$C$5,1,1)), 0, MONTH(MIN($G$1, DATE(Initialisatie!$C$5,12,31))) - MONTH(MAX($G$2, DATE(Initialisatie!$C$5,1,1))) + 1)) &lt;= 0, IFERROR(VALUE($G121),0)=0),
        AND(MAX(0, IF(MIN($H$1, DATE(Initialisatie!$C$5,12,31)) &lt; MAX($H$2, DATE(Initialisatie!$C$5,1,1)), 0, MONTH(MIN($H$1, DATE(Initialisatie!$C$5,12,31))) - MONTH(MAX($H$2, DATE(Initialisatie!$C$5,1,1))) + 1)) &lt;= 0, IFERROR(VALUE($H121),0)=0)
    ),
    0,
    SUM(
        IFERROR(VALUE($D121),0) * MAX(0, IF(MIN($D$1, DATE(Initialisatie!$C$5,12,31)) &lt; MAX($D$2, DATE(Initialisatie!$C$5,1,1)), 0, MONTH(MIN($D$1, DATE(Initialisatie!$C$5,12,31))) - MONTH(MAX($D$2, DATE(Initialisatie!$C$5,1,1))) + 1)),
        IFERROR(VALUE($E121),0) * MAX(0, IF(MIN($E$1, DATE(Initialisatie!$C$5,12,31)) &lt; MAX($E$2, DATE(Initialisatie!$C$5,1,1)), 0, MONTH(MIN($E$1, DATE(Initialisatie!$C$5,12,31))) - MONTH(MAX($E$2, DATE(Initialisatie!$C$5,1,1))) + 1)),
        IFERROR(VALUE($F121),0) * MAX(0, IF(MIN($F$1, DATE(Initialisatie!$C$5,12,31)) &lt; MAX($F$2, DATE(Initialisatie!$C$5,1,1)), 0, MONTH(MIN($F$1, DATE(Initialisatie!$C$5,12,31))) - MONTH(MAX($F$2, DATE(Initialisatie!$C$5,1,1))) + 1)),
        IFERROR(VALUE($G121),0) * MAX(0, IF(MIN($G$1, DATE(Initialisatie!$C$5,12,31)) &lt; MAX($G$2, DATE(Initialisatie!$C$5,1,1)), 0, MONTH(MIN($G$1, DATE(Initialisatie!$C$5,12,31))) - MONTH(MAX($G$2, DATE(Initialisatie!$C$5,1,1))) + 1)),
        IFERROR(VALUE($H121),0) * MAX(0, IF(MIN($H$1, DATE(Initialisatie!$C$5,12,31)) &lt; MAX($H$2, DATE(Initialisatie!$C$5,1,1)), 0, MONTH(MIN($H$1, DATE(Initialisatie!$C$5,12,31))) - MONTH(MAX($H$2, DATE(Initialisatie!$C$5,1,1))) + 1))
    ) / 12
)</f>
        <v>5026.5</v>
      </c>
    </row>
    <row r="122" spans="1:11" x14ac:dyDescent="0.45">
      <c r="A122" s="989"/>
      <c r="B122" s="371">
        <v>5</v>
      </c>
      <c r="C122" s="371" t="s">
        <v>1464</v>
      </c>
      <c r="D122" t="s">
        <v>1462</v>
      </c>
      <c r="E122" t="s">
        <v>1461</v>
      </c>
      <c r="F122" t="s">
        <v>1463</v>
      </c>
      <c r="G122" t="s">
        <v>1463</v>
      </c>
      <c r="H122" t="s">
        <v>1652</v>
      </c>
      <c r="J122">
        <f>IF(
    OR(
        AND(MAX(0, MIN($D$1, DATE(Initialisatie!$C$5,12,31)) - MAX($D$2, DATE(Initialisatie!$C$5,1,1)) + 1) &gt; 0,IFERROR(VALUE($D122),0)=0),
        AND(MAX(0, MIN($E$1, DATE(Initialisatie!$C$5,12,31)) - MAX($E$2, DATE(Initialisatie!$C$5,1,1)) + 1) &gt; 0,IFERROR(VALUE($E122),0)=0),
        AND(MAX(0, MIN($F$1, DATE(Initialisatie!$C$5,12,31)) - MAX($F$2, DATE(Initialisatie!$C$5,1,1)) + 1) &gt; 0,IFERROR(VALUE($F122),0)=0),
        AND(MAX(0, MIN($G$1, DATE(Initialisatie!$C$5,12,31)) - MAX($G$2, DATE(Initialisatie!$C$5,1,1)) + 1) &gt; 0,IFERROR(VALUE($G122),0)=0),
        AND(MAX(0, MIN($H$1, DATE(Initialisatie!$C$5,12,31)) - MAX($H$2, DATE(Initialisatie!$C$5,1,1)) + 1) &gt; 0,IFERROR(VALUE($H122),0)=0)
    ),
    0,
    SUM(
        IFERROR(VALUE($D122),0) * MAX(0, MIN($D$1, DATE(Initialisatie!$C$5,12,31)) - MAX($D$2, DATE(Initialisatie!$C$5,1,1)) + 1),
        IFERROR(VALUE($E122),0) * MAX(0, MIN($E$1, DATE(Initialisatie!$C$5,12,31)) - MAX($E$2, DATE(Initialisatie!$C$5,1,1)) + 1),
        IFERROR(VALUE($F122),0) * MAX(0, MIN($F$1, DATE(Initialisatie!$C$5,12,31)) - MAX($F$2, DATE(Initialisatie!$C$5,1,1)) + 1),
        IFERROR(VALUE($G122),0) * MAX(0, MIN($G$1, DATE(Initialisatie!$C$5,12,31)) - MAX($G$2, DATE(Initialisatie!$C$5,1,1)) + 1),
        IFERROR(VALUE($H122),0) * MAX(0, MIN($H$1, DATE(Initialisatie!$C$5,12,31)) - MAX($H$2, DATE(Initialisatie!$C$5,1,1)) + 1)
    ) / (DATE(Initialisatie!$C$5,12,31) - DATE(Initialisatie!$C$5,1,1) + 1)
)</f>
        <v>5217.6328767123287</v>
      </c>
      <c r="K122">
        <f>IF(
    OR(
        AND(MAX(0, IF(MIN($D$1, DATE(Initialisatie!$C$5,12,31)) &lt; MAX($D$2, DATE(Initialisatie!$C$5,1,1)), 0, MONTH(MIN($D$1, DATE(Initialisatie!$C$5,12,31))) - MONTH(MAX($D$2, DATE(Initialisatie!$C$5,1,1))) + 1)) &lt;= 0, IFERROR(VALUE($D122),0)=0),
        AND(MAX(0, IF(MIN($E$1, DATE(Initialisatie!$C$5,12,31)) &lt; MAX($E$2, DATE(Initialisatie!$C$5,1,1)), 0, MONTH(MIN($E$1, DATE(Initialisatie!$C$5,12,31))) - MONTH(MAX($E$2, DATE(Initialisatie!$C$5,1,1))) + 1)) &lt;= 0, IFERROR(VALUE($E122),0)=0),
        AND(MAX(0, IF(MIN($F$1, DATE(Initialisatie!$C$5,12,31)) &lt; MAX($F$2, DATE(Initialisatie!$C$5,1,1)), 0, MONTH(MIN($F$1, DATE(Initialisatie!$C$5,12,31))) - MONTH(MAX($F$2, DATE(Initialisatie!$C$5,1,1))) + 1)) &lt;= 0, IFERROR(VALUE($F122),0)=0),
        AND(MAX(0, IF(MIN($G$1, DATE(Initialisatie!$C$5,12,31)) &lt; MAX($G$2, DATE(Initialisatie!$C$5,1,1)), 0, MONTH(MIN($G$1, DATE(Initialisatie!$C$5,12,31))) - MONTH(MAX($G$2, DATE(Initialisatie!$C$5,1,1))) + 1)) &lt;= 0, IFERROR(VALUE($G122),0)=0),
        AND(MAX(0, IF(MIN($H$1, DATE(Initialisatie!$C$5,12,31)) &lt; MAX($H$2, DATE(Initialisatie!$C$5,1,1)), 0, MONTH(MIN($H$1, DATE(Initialisatie!$C$5,12,31))) - MONTH(MAX($H$2, DATE(Initialisatie!$C$5,1,1))) + 1)) &lt;= 0, IFERROR(VALUE($H122),0)=0)
    ),
    0,
    SUM(
        IFERROR(VALUE($D122),0) * MAX(0, IF(MIN($D$1, DATE(Initialisatie!$C$5,12,31)) &lt; MAX($D$2, DATE(Initialisatie!$C$5,1,1)), 0, MONTH(MIN($D$1, DATE(Initialisatie!$C$5,12,31))) - MONTH(MAX($D$2, DATE(Initialisatie!$C$5,1,1))) + 1)),
        IFERROR(VALUE($E122),0) * MAX(0, IF(MIN($E$1, DATE(Initialisatie!$C$5,12,31)) &lt; MAX($E$2, DATE(Initialisatie!$C$5,1,1)), 0, MONTH(MIN($E$1, DATE(Initialisatie!$C$5,12,31))) - MONTH(MAX($E$2, DATE(Initialisatie!$C$5,1,1))) + 1)),
        IFERROR(VALUE($F122),0) * MAX(0, IF(MIN($F$1, DATE(Initialisatie!$C$5,12,31)) &lt; MAX($F$2, DATE(Initialisatie!$C$5,1,1)), 0, MONTH(MIN($F$1, DATE(Initialisatie!$C$5,12,31))) - MONTH(MAX($F$2, DATE(Initialisatie!$C$5,1,1))) + 1)),
        IFERROR(VALUE($G122),0) * MAX(0, IF(MIN($G$1, DATE(Initialisatie!$C$5,12,31)) &lt; MAX($G$2, DATE(Initialisatie!$C$5,1,1)), 0, MONTH(MIN($G$1, DATE(Initialisatie!$C$5,12,31))) - MONTH(MAX($G$2, DATE(Initialisatie!$C$5,1,1))) + 1)),
        IFERROR(VALUE($H122),0) * MAX(0, IF(MIN($H$1, DATE(Initialisatie!$C$5,12,31)) &lt; MAX($H$2, DATE(Initialisatie!$C$5,1,1)), 0, MONTH(MIN($H$1, DATE(Initialisatie!$C$5,12,31))) - MONTH(MAX($H$2, DATE(Initialisatie!$C$5,1,1))) + 1))
    ) / 12
)</f>
        <v>5217</v>
      </c>
    </row>
    <row r="123" spans="1:11" x14ac:dyDescent="0.45">
      <c r="A123" s="989"/>
      <c r="B123" s="371">
        <v>6</v>
      </c>
      <c r="C123" s="371" t="s">
        <v>1460</v>
      </c>
      <c r="D123" t="s">
        <v>1458</v>
      </c>
      <c r="E123" t="s">
        <v>1457</v>
      </c>
      <c r="F123" t="s">
        <v>1459</v>
      </c>
      <c r="G123" t="s">
        <v>1459</v>
      </c>
      <c r="H123" t="s">
        <v>1653</v>
      </c>
      <c r="J123">
        <f>IF(
    OR(
        AND(MAX(0, MIN($D$1, DATE(Initialisatie!$C$5,12,31)) - MAX($D$2, DATE(Initialisatie!$C$5,1,1)) + 1) &gt; 0,IFERROR(VALUE($D123),0)=0),
        AND(MAX(0, MIN($E$1, DATE(Initialisatie!$C$5,12,31)) - MAX($E$2, DATE(Initialisatie!$C$5,1,1)) + 1) &gt; 0,IFERROR(VALUE($E123),0)=0),
        AND(MAX(0, MIN($F$1, DATE(Initialisatie!$C$5,12,31)) - MAX($F$2, DATE(Initialisatie!$C$5,1,1)) + 1) &gt; 0,IFERROR(VALUE($F123),0)=0),
        AND(MAX(0, MIN($G$1, DATE(Initialisatie!$C$5,12,31)) - MAX($G$2, DATE(Initialisatie!$C$5,1,1)) + 1) &gt; 0,IFERROR(VALUE($G123),0)=0),
        AND(MAX(0, MIN($H$1, DATE(Initialisatie!$C$5,12,31)) - MAX($H$2, DATE(Initialisatie!$C$5,1,1)) + 1) &gt; 0,IFERROR(VALUE($H123),0)=0)
    ),
    0,
    SUM(
        IFERROR(VALUE($D123),0) * MAX(0, MIN($D$1, DATE(Initialisatie!$C$5,12,31)) - MAX($D$2, DATE(Initialisatie!$C$5,1,1)) + 1),
        IFERROR(VALUE($E123),0) * MAX(0, MIN($E$1, DATE(Initialisatie!$C$5,12,31)) - MAX($E$2, DATE(Initialisatie!$C$5,1,1)) + 1),
        IFERROR(VALUE($F123),0) * MAX(0, MIN($F$1, DATE(Initialisatie!$C$5,12,31)) - MAX($F$2, DATE(Initialisatie!$C$5,1,1)) + 1),
        IFERROR(VALUE($G123),0) * MAX(0, MIN($G$1, DATE(Initialisatie!$C$5,12,31)) - MAX($G$2, DATE(Initialisatie!$C$5,1,1)) + 1),
        IFERROR(VALUE($H123),0) * MAX(0, MIN($H$1, DATE(Initialisatie!$C$5,12,31)) - MAX($H$2, DATE(Initialisatie!$C$5,1,1)) + 1)
    ) / (DATE(Initialisatie!$C$5,12,31) - DATE(Initialisatie!$C$5,1,1) + 1)
)</f>
        <v>5399.6575342465758</v>
      </c>
      <c r="K123">
        <f>IF(
    OR(
        AND(MAX(0, IF(MIN($D$1, DATE(Initialisatie!$C$5,12,31)) &lt; MAX($D$2, DATE(Initialisatie!$C$5,1,1)), 0, MONTH(MIN($D$1, DATE(Initialisatie!$C$5,12,31))) - MONTH(MAX($D$2, DATE(Initialisatie!$C$5,1,1))) + 1)) &lt;= 0, IFERROR(VALUE($D123),0)=0),
        AND(MAX(0, IF(MIN($E$1, DATE(Initialisatie!$C$5,12,31)) &lt; MAX($E$2, DATE(Initialisatie!$C$5,1,1)), 0, MONTH(MIN($E$1, DATE(Initialisatie!$C$5,12,31))) - MONTH(MAX($E$2, DATE(Initialisatie!$C$5,1,1))) + 1)) &lt;= 0, IFERROR(VALUE($E123),0)=0),
        AND(MAX(0, IF(MIN($F$1, DATE(Initialisatie!$C$5,12,31)) &lt; MAX($F$2, DATE(Initialisatie!$C$5,1,1)), 0, MONTH(MIN($F$1, DATE(Initialisatie!$C$5,12,31))) - MONTH(MAX($F$2, DATE(Initialisatie!$C$5,1,1))) + 1)) &lt;= 0, IFERROR(VALUE($F123),0)=0),
        AND(MAX(0, IF(MIN($G$1, DATE(Initialisatie!$C$5,12,31)) &lt; MAX($G$2, DATE(Initialisatie!$C$5,1,1)), 0, MONTH(MIN($G$1, DATE(Initialisatie!$C$5,12,31))) - MONTH(MAX($G$2, DATE(Initialisatie!$C$5,1,1))) + 1)) &lt;= 0, IFERROR(VALUE($G123),0)=0),
        AND(MAX(0, IF(MIN($H$1, DATE(Initialisatie!$C$5,12,31)) &lt; MAX($H$2, DATE(Initialisatie!$C$5,1,1)), 0, MONTH(MIN($H$1, DATE(Initialisatie!$C$5,12,31))) - MONTH(MAX($H$2, DATE(Initialisatie!$C$5,1,1))) + 1)) &lt;= 0, IFERROR(VALUE($H123),0)=0)
    ),
    0,
    SUM(
        IFERROR(VALUE($D123),0) * MAX(0, IF(MIN($D$1, DATE(Initialisatie!$C$5,12,31)) &lt; MAX($D$2, DATE(Initialisatie!$C$5,1,1)), 0, MONTH(MIN($D$1, DATE(Initialisatie!$C$5,12,31))) - MONTH(MAX($D$2, DATE(Initialisatie!$C$5,1,1))) + 1)),
        IFERROR(VALUE($E123),0) * MAX(0, IF(MIN($E$1, DATE(Initialisatie!$C$5,12,31)) &lt; MAX($E$2, DATE(Initialisatie!$C$5,1,1)), 0, MONTH(MIN($E$1, DATE(Initialisatie!$C$5,12,31))) - MONTH(MAX($E$2, DATE(Initialisatie!$C$5,1,1))) + 1)),
        IFERROR(VALUE($F123),0) * MAX(0, IF(MIN($F$1, DATE(Initialisatie!$C$5,12,31)) &lt; MAX($F$2, DATE(Initialisatie!$C$5,1,1)), 0, MONTH(MIN($F$1, DATE(Initialisatie!$C$5,12,31))) - MONTH(MAX($F$2, DATE(Initialisatie!$C$5,1,1))) + 1)),
        IFERROR(VALUE($G123),0) * MAX(0, IF(MIN($G$1, DATE(Initialisatie!$C$5,12,31)) &lt; MAX($G$2, DATE(Initialisatie!$C$5,1,1)), 0, MONTH(MIN($G$1, DATE(Initialisatie!$C$5,12,31))) - MONTH(MAX($G$2, DATE(Initialisatie!$C$5,1,1))) + 1)),
        IFERROR(VALUE($H123),0) * MAX(0, IF(MIN($H$1, DATE(Initialisatie!$C$5,12,31)) &lt; MAX($H$2, DATE(Initialisatie!$C$5,1,1)), 0, MONTH(MIN($H$1, DATE(Initialisatie!$C$5,12,31))) - MONTH(MAX($H$2, DATE(Initialisatie!$C$5,1,1))) + 1))
    ) / 12
)</f>
        <v>5399</v>
      </c>
    </row>
    <row r="124" spans="1:11" x14ac:dyDescent="0.45">
      <c r="A124" s="989"/>
      <c r="B124" s="371">
        <v>7</v>
      </c>
      <c r="C124" s="371" t="s">
        <v>1476</v>
      </c>
      <c r="D124" t="s">
        <v>1474</v>
      </c>
      <c r="E124" t="s">
        <v>1473</v>
      </c>
      <c r="F124" t="s">
        <v>1475</v>
      </c>
      <c r="G124" t="s">
        <v>1475</v>
      </c>
      <c r="H124" t="s">
        <v>1654</v>
      </c>
      <c r="J124">
        <f>IF(
    OR(
        AND(MAX(0, MIN($D$1, DATE(Initialisatie!$C$5,12,31)) - MAX($D$2, DATE(Initialisatie!$C$5,1,1)) + 1) &gt; 0,IFERROR(VALUE($D124),0)=0),
        AND(MAX(0, MIN($E$1, DATE(Initialisatie!$C$5,12,31)) - MAX($E$2, DATE(Initialisatie!$C$5,1,1)) + 1) &gt; 0,IFERROR(VALUE($E124),0)=0),
        AND(MAX(0, MIN($F$1, DATE(Initialisatie!$C$5,12,31)) - MAX($F$2, DATE(Initialisatie!$C$5,1,1)) + 1) &gt; 0,IFERROR(VALUE($F124),0)=0),
        AND(MAX(0, MIN($G$1, DATE(Initialisatie!$C$5,12,31)) - MAX($G$2, DATE(Initialisatie!$C$5,1,1)) + 1) &gt; 0,IFERROR(VALUE($G124),0)=0),
        AND(MAX(0, MIN($H$1, DATE(Initialisatie!$C$5,12,31)) - MAX($H$2, DATE(Initialisatie!$C$5,1,1)) + 1) &gt; 0,IFERROR(VALUE($H124),0)=0)
    ),
    0,
    SUM(
        IFERROR(VALUE($D124),0) * MAX(0, MIN($D$1, DATE(Initialisatie!$C$5,12,31)) - MAX($D$2, DATE(Initialisatie!$C$5,1,1)) + 1),
        IFERROR(VALUE($E124),0) * MAX(0, MIN($E$1, DATE(Initialisatie!$C$5,12,31)) - MAX($E$2, DATE(Initialisatie!$C$5,1,1)) + 1),
        IFERROR(VALUE($F124),0) * MAX(0, MIN($F$1, DATE(Initialisatie!$C$5,12,31)) - MAX($F$2, DATE(Initialisatie!$C$5,1,1)) + 1),
        IFERROR(VALUE($G124),0) * MAX(0, MIN($G$1, DATE(Initialisatie!$C$5,12,31)) - MAX($G$2, DATE(Initialisatie!$C$5,1,1)) + 1),
        IFERROR(VALUE($H124),0) * MAX(0, MIN($H$1, DATE(Initialisatie!$C$5,12,31)) - MAX($H$2, DATE(Initialisatie!$C$5,1,1)) + 1)
    ) / (DATE(Initialisatie!$C$5,12,31) - DATE(Initialisatie!$C$5,1,1) + 1)
)</f>
        <v>5480.6657534246579</v>
      </c>
      <c r="K124">
        <f>IF(
    OR(
        AND(MAX(0, IF(MIN($D$1, DATE(Initialisatie!$C$5,12,31)) &lt; MAX($D$2, DATE(Initialisatie!$C$5,1,1)), 0, MONTH(MIN($D$1, DATE(Initialisatie!$C$5,12,31))) - MONTH(MAX($D$2, DATE(Initialisatie!$C$5,1,1))) + 1)) &lt;= 0, IFERROR(VALUE($D124),0)=0),
        AND(MAX(0, IF(MIN($E$1, DATE(Initialisatie!$C$5,12,31)) &lt; MAX($E$2, DATE(Initialisatie!$C$5,1,1)), 0, MONTH(MIN($E$1, DATE(Initialisatie!$C$5,12,31))) - MONTH(MAX($E$2, DATE(Initialisatie!$C$5,1,1))) + 1)) &lt;= 0, IFERROR(VALUE($E124),0)=0),
        AND(MAX(0, IF(MIN($F$1, DATE(Initialisatie!$C$5,12,31)) &lt; MAX($F$2, DATE(Initialisatie!$C$5,1,1)), 0, MONTH(MIN($F$1, DATE(Initialisatie!$C$5,12,31))) - MONTH(MAX($F$2, DATE(Initialisatie!$C$5,1,1))) + 1)) &lt;= 0, IFERROR(VALUE($F124),0)=0),
        AND(MAX(0, IF(MIN($G$1, DATE(Initialisatie!$C$5,12,31)) &lt; MAX($G$2, DATE(Initialisatie!$C$5,1,1)), 0, MONTH(MIN($G$1, DATE(Initialisatie!$C$5,12,31))) - MONTH(MAX($G$2, DATE(Initialisatie!$C$5,1,1))) + 1)) &lt;= 0, IFERROR(VALUE($G124),0)=0),
        AND(MAX(0, IF(MIN($H$1, DATE(Initialisatie!$C$5,12,31)) &lt; MAX($H$2, DATE(Initialisatie!$C$5,1,1)), 0, MONTH(MIN($H$1, DATE(Initialisatie!$C$5,12,31))) - MONTH(MAX($H$2, DATE(Initialisatie!$C$5,1,1))) + 1)) &lt;= 0, IFERROR(VALUE($H124),0)=0)
    ),
    0,
    SUM(
        IFERROR(VALUE($D124),0) * MAX(0, IF(MIN($D$1, DATE(Initialisatie!$C$5,12,31)) &lt; MAX($D$2, DATE(Initialisatie!$C$5,1,1)), 0, MONTH(MIN($D$1, DATE(Initialisatie!$C$5,12,31))) - MONTH(MAX($D$2, DATE(Initialisatie!$C$5,1,1))) + 1)),
        IFERROR(VALUE($E124),0) * MAX(0, IF(MIN($E$1, DATE(Initialisatie!$C$5,12,31)) &lt; MAX($E$2, DATE(Initialisatie!$C$5,1,1)), 0, MONTH(MIN($E$1, DATE(Initialisatie!$C$5,12,31))) - MONTH(MAX($E$2, DATE(Initialisatie!$C$5,1,1))) + 1)),
        IFERROR(VALUE($F124),0) * MAX(0, IF(MIN($F$1, DATE(Initialisatie!$C$5,12,31)) &lt; MAX($F$2, DATE(Initialisatie!$C$5,1,1)), 0, MONTH(MIN($F$1, DATE(Initialisatie!$C$5,12,31))) - MONTH(MAX($F$2, DATE(Initialisatie!$C$5,1,1))) + 1)),
        IFERROR(VALUE($G124),0) * MAX(0, IF(MIN($G$1, DATE(Initialisatie!$C$5,12,31)) &lt; MAX($G$2, DATE(Initialisatie!$C$5,1,1)), 0, MONTH(MIN($G$1, DATE(Initialisatie!$C$5,12,31))) - MONTH(MAX($G$2, DATE(Initialisatie!$C$5,1,1))) + 1)),
        IFERROR(VALUE($H124),0) * MAX(0, IF(MIN($H$1, DATE(Initialisatie!$C$5,12,31)) &lt; MAX($H$2, DATE(Initialisatie!$C$5,1,1)), 0, MONTH(MIN($H$1, DATE(Initialisatie!$C$5,12,31))) - MONTH(MAX($H$2, DATE(Initialisatie!$C$5,1,1))) + 1))
    ) / 12
)</f>
        <v>5480</v>
      </c>
    </row>
    <row r="125" spans="1:11" x14ac:dyDescent="0.45">
      <c r="A125" s="989"/>
      <c r="B125" s="371">
        <v>8</v>
      </c>
      <c r="C125" s="371" t="s">
        <v>1456</v>
      </c>
      <c r="D125" t="s">
        <v>1454</v>
      </c>
      <c r="E125" t="s">
        <v>1453</v>
      </c>
      <c r="F125" t="s">
        <v>1455</v>
      </c>
      <c r="G125" t="s">
        <v>1455</v>
      </c>
      <c r="H125" t="s">
        <v>1655</v>
      </c>
      <c r="J125">
        <f>IF(
    OR(
        AND(MAX(0, MIN($D$1, DATE(Initialisatie!$C$5,12,31)) - MAX($D$2, DATE(Initialisatie!$C$5,1,1)) + 1) &gt; 0,IFERROR(VALUE($D125),0)=0),
        AND(MAX(0, MIN($E$1, DATE(Initialisatie!$C$5,12,31)) - MAX($E$2, DATE(Initialisatie!$C$5,1,1)) + 1) &gt; 0,IFERROR(VALUE($E125),0)=0),
        AND(MAX(0, MIN($F$1, DATE(Initialisatie!$C$5,12,31)) - MAX($F$2, DATE(Initialisatie!$C$5,1,1)) + 1) &gt; 0,IFERROR(VALUE($F125),0)=0),
        AND(MAX(0, MIN($G$1, DATE(Initialisatie!$C$5,12,31)) - MAX($G$2, DATE(Initialisatie!$C$5,1,1)) + 1) &gt; 0,IFERROR(VALUE($G125),0)=0),
        AND(MAX(0, MIN($H$1, DATE(Initialisatie!$C$5,12,31)) - MAX($H$2, DATE(Initialisatie!$C$5,1,1)) + 1) &gt; 0,IFERROR(VALUE($H125),0)=0)
    ),
    0,
    SUM(
        IFERROR(VALUE($D125),0) * MAX(0, MIN($D$1, DATE(Initialisatie!$C$5,12,31)) - MAX($D$2, DATE(Initialisatie!$C$5,1,1)) + 1),
        IFERROR(VALUE($E125),0) * MAX(0, MIN($E$1, DATE(Initialisatie!$C$5,12,31)) - MAX($E$2, DATE(Initialisatie!$C$5,1,1)) + 1),
        IFERROR(VALUE($F125),0) * MAX(0, MIN($F$1, DATE(Initialisatie!$C$5,12,31)) - MAX($F$2, DATE(Initialisatie!$C$5,1,1)) + 1),
        IFERROR(VALUE($G125),0) * MAX(0, MIN($G$1, DATE(Initialisatie!$C$5,12,31)) - MAX($G$2, DATE(Initialisatie!$C$5,1,1)) + 1),
        IFERROR(VALUE($H125),0) * MAX(0, MIN($H$1, DATE(Initialisatie!$C$5,12,31)) - MAX($H$2, DATE(Initialisatie!$C$5,1,1)) + 1)
    ) / (DATE(Initialisatie!$C$5,12,31) - DATE(Initialisatie!$C$5,1,1) + 1)
)</f>
        <v>5563.6739726027399</v>
      </c>
      <c r="K125">
        <f>IF(
    OR(
        AND(MAX(0, IF(MIN($D$1, DATE(Initialisatie!$C$5,12,31)) &lt; MAX($D$2, DATE(Initialisatie!$C$5,1,1)), 0, MONTH(MIN($D$1, DATE(Initialisatie!$C$5,12,31))) - MONTH(MAX($D$2, DATE(Initialisatie!$C$5,1,1))) + 1)) &lt;= 0, IFERROR(VALUE($D125),0)=0),
        AND(MAX(0, IF(MIN($E$1, DATE(Initialisatie!$C$5,12,31)) &lt; MAX($E$2, DATE(Initialisatie!$C$5,1,1)), 0, MONTH(MIN($E$1, DATE(Initialisatie!$C$5,12,31))) - MONTH(MAX($E$2, DATE(Initialisatie!$C$5,1,1))) + 1)) &lt;= 0, IFERROR(VALUE($E125),0)=0),
        AND(MAX(0, IF(MIN($F$1, DATE(Initialisatie!$C$5,12,31)) &lt; MAX($F$2, DATE(Initialisatie!$C$5,1,1)), 0, MONTH(MIN($F$1, DATE(Initialisatie!$C$5,12,31))) - MONTH(MAX($F$2, DATE(Initialisatie!$C$5,1,1))) + 1)) &lt;= 0, IFERROR(VALUE($F125),0)=0),
        AND(MAX(0, IF(MIN($G$1, DATE(Initialisatie!$C$5,12,31)) &lt; MAX($G$2, DATE(Initialisatie!$C$5,1,1)), 0, MONTH(MIN($G$1, DATE(Initialisatie!$C$5,12,31))) - MONTH(MAX($G$2, DATE(Initialisatie!$C$5,1,1))) + 1)) &lt;= 0, IFERROR(VALUE($G125),0)=0),
        AND(MAX(0, IF(MIN($H$1, DATE(Initialisatie!$C$5,12,31)) &lt; MAX($H$2, DATE(Initialisatie!$C$5,1,1)), 0, MONTH(MIN($H$1, DATE(Initialisatie!$C$5,12,31))) - MONTH(MAX($H$2, DATE(Initialisatie!$C$5,1,1))) + 1)) &lt;= 0, IFERROR(VALUE($H125),0)=0)
    ),
    0,
    SUM(
        IFERROR(VALUE($D125),0) * MAX(0, IF(MIN($D$1, DATE(Initialisatie!$C$5,12,31)) &lt; MAX($D$2, DATE(Initialisatie!$C$5,1,1)), 0, MONTH(MIN($D$1, DATE(Initialisatie!$C$5,12,31))) - MONTH(MAX($D$2, DATE(Initialisatie!$C$5,1,1))) + 1)),
        IFERROR(VALUE($E125),0) * MAX(0, IF(MIN($E$1, DATE(Initialisatie!$C$5,12,31)) &lt; MAX($E$2, DATE(Initialisatie!$C$5,1,1)), 0, MONTH(MIN($E$1, DATE(Initialisatie!$C$5,12,31))) - MONTH(MAX($E$2, DATE(Initialisatie!$C$5,1,1))) + 1)),
        IFERROR(VALUE($F125),0) * MAX(0, IF(MIN($F$1, DATE(Initialisatie!$C$5,12,31)) &lt; MAX($F$2, DATE(Initialisatie!$C$5,1,1)), 0, MONTH(MIN($F$1, DATE(Initialisatie!$C$5,12,31))) - MONTH(MAX($F$2, DATE(Initialisatie!$C$5,1,1))) + 1)),
        IFERROR(VALUE($G125),0) * MAX(0, IF(MIN($G$1, DATE(Initialisatie!$C$5,12,31)) &lt; MAX($G$2, DATE(Initialisatie!$C$5,1,1)), 0, MONTH(MIN($G$1, DATE(Initialisatie!$C$5,12,31))) - MONTH(MAX($G$2, DATE(Initialisatie!$C$5,1,1))) + 1)),
        IFERROR(VALUE($H125),0) * MAX(0, IF(MIN($H$1, DATE(Initialisatie!$C$5,12,31)) &lt; MAX($H$2, DATE(Initialisatie!$C$5,1,1)), 0, MONTH(MIN($H$1, DATE(Initialisatie!$C$5,12,31))) - MONTH(MAX($H$2, DATE(Initialisatie!$C$5,1,1))) + 1))
    ) / 12
)</f>
        <v>5563</v>
      </c>
    </row>
    <row r="126" spans="1:11" x14ac:dyDescent="0.45">
      <c r="A126" s="989"/>
      <c r="B126" s="371">
        <v>9</v>
      </c>
      <c r="C126" s="371" t="s">
        <v>1472</v>
      </c>
      <c r="D126" t="s">
        <v>1470</v>
      </c>
      <c r="E126" t="s">
        <v>1469</v>
      </c>
      <c r="F126" t="s">
        <v>1471</v>
      </c>
      <c r="G126" t="s">
        <v>1471</v>
      </c>
      <c r="H126" t="s">
        <v>1656</v>
      </c>
      <c r="J126">
        <f>IF(
    OR(
        AND(MAX(0, MIN($D$1, DATE(Initialisatie!$C$5,12,31)) - MAX($D$2, DATE(Initialisatie!$C$5,1,1)) + 1) &gt; 0,IFERROR(VALUE($D126),0)=0),
        AND(MAX(0, MIN($E$1, DATE(Initialisatie!$C$5,12,31)) - MAX($E$2, DATE(Initialisatie!$C$5,1,1)) + 1) &gt; 0,IFERROR(VALUE($E126),0)=0),
        AND(MAX(0, MIN($F$1, DATE(Initialisatie!$C$5,12,31)) - MAX($F$2, DATE(Initialisatie!$C$5,1,1)) + 1) &gt; 0,IFERROR(VALUE($F126),0)=0),
        AND(MAX(0, MIN($G$1, DATE(Initialisatie!$C$5,12,31)) - MAX($G$2, DATE(Initialisatie!$C$5,1,1)) + 1) &gt; 0,IFERROR(VALUE($G126),0)=0),
        AND(MAX(0, MIN($H$1, DATE(Initialisatie!$C$5,12,31)) - MAX($H$2, DATE(Initialisatie!$C$5,1,1)) + 1) &gt; 0,IFERROR(VALUE($H126),0)=0)
    ),
    0,
    SUM(
        IFERROR(VALUE($D126),0) * MAX(0, MIN($D$1, DATE(Initialisatie!$C$5,12,31)) - MAX($D$2, DATE(Initialisatie!$C$5,1,1)) + 1),
        IFERROR(VALUE($E126),0) * MAX(0, MIN($E$1, DATE(Initialisatie!$C$5,12,31)) - MAX($E$2, DATE(Initialisatie!$C$5,1,1)) + 1),
        IFERROR(VALUE($F126),0) * MAX(0, MIN($F$1, DATE(Initialisatie!$C$5,12,31)) - MAX($F$2, DATE(Initialisatie!$C$5,1,1)) + 1),
        IFERROR(VALUE($G126),0) * MAX(0, MIN($G$1, DATE(Initialisatie!$C$5,12,31)) - MAX($G$2, DATE(Initialisatie!$C$5,1,1)) + 1),
        IFERROR(VALUE($H126),0) * MAX(0, MIN($H$1, DATE(Initialisatie!$C$5,12,31)) - MAX($H$2, DATE(Initialisatie!$C$5,1,1)) + 1)
    ) / (DATE(Initialisatie!$C$5,12,31) - DATE(Initialisatie!$C$5,1,1) + 1)
)</f>
        <v>5649.186301369863</v>
      </c>
      <c r="K126">
        <f>IF(
    OR(
        AND(MAX(0, IF(MIN($D$1, DATE(Initialisatie!$C$5,12,31)) &lt; MAX($D$2, DATE(Initialisatie!$C$5,1,1)), 0, MONTH(MIN($D$1, DATE(Initialisatie!$C$5,12,31))) - MONTH(MAX($D$2, DATE(Initialisatie!$C$5,1,1))) + 1)) &lt;= 0, IFERROR(VALUE($D126),0)=0),
        AND(MAX(0, IF(MIN($E$1, DATE(Initialisatie!$C$5,12,31)) &lt; MAX($E$2, DATE(Initialisatie!$C$5,1,1)), 0, MONTH(MIN($E$1, DATE(Initialisatie!$C$5,12,31))) - MONTH(MAX($E$2, DATE(Initialisatie!$C$5,1,1))) + 1)) &lt;= 0, IFERROR(VALUE($E126),0)=0),
        AND(MAX(0, IF(MIN($F$1, DATE(Initialisatie!$C$5,12,31)) &lt; MAX($F$2, DATE(Initialisatie!$C$5,1,1)), 0, MONTH(MIN($F$1, DATE(Initialisatie!$C$5,12,31))) - MONTH(MAX($F$2, DATE(Initialisatie!$C$5,1,1))) + 1)) &lt;= 0, IFERROR(VALUE($F126),0)=0),
        AND(MAX(0, IF(MIN($G$1, DATE(Initialisatie!$C$5,12,31)) &lt; MAX($G$2, DATE(Initialisatie!$C$5,1,1)), 0, MONTH(MIN($G$1, DATE(Initialisatie!$C$5,12,31))) - MONTH(MAX($G$2, DATE(Initialisatie!$C$5,1,1))) + 1)) &lt;= 0, IFERROR(VALUE($G126),0)=0),
        AND(MAX(0, IF(MIN($H$1, DATE(Initialisatie!$C$5,12,31)) &lt; MAX($H$2, DATE(Initialisatie!$C$5,1,1)), 0, MONTH(MIN($H$1, DATE(Initialisatie!$C$5,12,31))) - MONTH(MAX($H$2, DATE(Initialisatie!$C$5,1,1))) + 1)) &lt;= 0, IFERROR(VALUE($H126),0)=0)
    ),
    0,
    SUM(
        IFERROR(VALUE($D126),0) * MAX(0, IF(MIN($D$1, DATE(Initialisatie!$C$5,12,31)) &lt; MAX($D$2, DATE(Initialisatie!$C$5,1,1)), 0, MONTH(MIN($D$1, DATE(Initialisatie!$C$5,12,31))) - MONTH(MAX($D$2, DATE(Initialisatie!$C$5,1,1))) + 1)),
        IFERROR(VALUE($E126),0) * MAX(0, IF(MIN($E$1, DATE(Initialisatie!$C$5,12,31)) &lt; MAX($E$2, DATE(Initialisatie!$C$5,1,1)), 0, MONTH(MIN($E$1, DATE(Initialisatie!$C$5,12,31))) - MONTH(MAX($E$2, DATE(Initialisatie!$C$5,1,1))) + 1)),
        IFERROR(VALUE($F126),0) * MAX(0, IF(MIN($F$1, DATE(Initialisatie!$C$5,12,31)) &lt; MAX($F$2, DATE(Initialisatie!$C$5,1,1)), 0, MONTH(MIN($F$1, DATE(Initialisatie!$C$5,12,31))) - MONTH(MAX($F$2, DATE(Initialisatie!$C$5,1,1))) + 1)),
        IFERROR(VALUE($G126),0) * MAX(0, IF(MIN($G$1, DATE(Initialisatie!$C$5,12,31)) &lt; MAX($G$2, DATE(Initialisatie!$C$5,1,1)), 0, MONTH(MIN($G$1, DATE(Initialisatie!$C$5,12,31))) - MONTH(MAX($G$2, DATE(Initialisatie!$C$5,1,1))) + 1)),
        IFERROR(VALUE($H126),0) * MAX(0, IF(MIN($H$1, DATE(Initialisatie!$C$5,12,31)) &lt; MAX($H$2, DATE(Initialisatie!$C$5,1,1)), 0, MONTH(MIN($H$1, DATE(Initialisatie!$C$5,12,31))) - MONTH(MAX($H$2, DATE(Initialisatie!$C$5,1,1))) + 1))
    ) / 12
)</f>
        <v>5648.5</v>
      </c>
    </row>
    <row r="127" spans="1:11" x14ac:dyDescent="0.45">
      <c r="A127" s="989"/>
      <c r="B127" s="371">
        <v>10</v>
      </c>
      <c r="C127" s="371" t="s">
        <v>1452</v>
      </c>
      <c r="D127" t="s">
        <v>1450</v>
      </c>
      <c r="E127" t="s">
        <v>1449</v>
      </c>
      <c r="F127" t="s">
        <v>1451</v>
      </c>
      <c r="G127" t="s">
        <v>1451</v>
      </c>
      <c r="H127" t="s">
        <v>1657</v>
      </c>
      <c r="J127">
        <f>IF(
    OR(
        AND(MAX(0, MIN($D$1, DATE(Initialisatie!$C$5,12,31)) - MAX($D$2, DATE(Initialisatie!$C$5,1,1)) + 1) &gt; 0,IFERROR(VALUE($D127),0)=0),
        AND(MAX(0, MIN($E$1, DATE(Initialisatie!$C$5,12,31)) - MAX($E$2, DATE(Initialisatie!$C$5,1,1)) + 1) &gt; 0,IFERROR(VALUE($E127),0)=0),
        AND(MAX(0, MIN($F$1, DATE(Initialisatie!$C$5,12,31)) - MAX($F$2, DATE(Initialisatie!$C$5,1,1)) + 1) &gt; 0,IFERROR(VALUE($F127),0)=0),
        AND(MAX(0, MIN($G$1, DATE(Initialisatie!$C$5,12,31)) - MAX($G$2, DATE(Initialisatie!$C$5,1,1)) + 1) &gt; 0,IFERROR(VALUE($G127),0)=0),
        AND(MAX(0, MIN($H$1, DATE(Initialisatie!$C$5,12,31)) - MAX($H$2, DATE(Initialisatie!$C$5,1,1)) + 1) &gt; 0,IFERROR(VALUE($H127),0)=0)
    ),
    0,
    SUM(
        IFERROR(VALUE($D127),0) * MAX(0, MIN($D$1, DATE(Initialisatie!$C$5,12,31)) - MAX($D$2, DATE(Initialisatie!$C$5,1,1)) + 1),
        IFERROR(VALUE($E127),0) * MAX(0, MIN($E$1, DATE(Initialisatie!$C$5,12,31)) - MAX($E$2, DATE(Initialisatie!$C$5,1,1)) + 1),
        IFERROR(VALUE($F127),0) * MAX(0, MIN($F$1, DATE(Initialisatie!$C$5,12,31)) - MAX($F$2, DATE(Initialisatie!$C$5,1,1)) + 1),
        IFERROR(VALUE($G127),0) * MAX(0, MIN($G$1, DATE(Initialisatie!$C$5,12,31)) - MAX($G$2, DATE(Initialisatie!$C$5,1,1)) + 1),
        IFERROR(VALUE($H127),0) * MAX(0, MIN($H$1, DATE(Initialisatie!$C$5,12,31)) - MAX($H$2, DATE(Initialisatie!$C$5,1,1)) + 1)
    ) / (DATE(Initialisatie!$C$5,12,31) - DATE(Initialisatie!$C$5,1,1) + 1)
)</f>
        <v>5731.1945205479451</v>
      </c>
      <c r="K127">
        <f>IF(
    OR(
        AND(MAX(0, IF(MIN($D$1, DATE(Initialisatie!$C$5,12,31)) &lt; MAX($D$2, DATE(Initialisatie!$C$5,1,1)), 0, MONTH(MIN($D$1, DATE(Initialisatie!$C$5,12,31))) - MONTH(MAX($D$2, DATE(Initialisatie!$C$5,1,1))) + 1)) &lt;= 0, IFERROR(VALUE($D127),0)=0),
        AND(MAX(0, IF(MIN($E$1, DATE(Initialisatie!$C$5,12,31)) &lt; MAX($E$2, DATE(Initialisatie!$C$5,1,1)), 0, MONTH(MIN($E$1, DATE(Initialisatie!$C$5,12,31))) - MONTH(MAX($E$2, DATE(Initialisatie!$C$5,1,1))) + 1)) &lt;= 0, IFERROR(VALUE($E127),0)=0),
        AND(MAX(0, IF(MIN($F$1, DATE(Initialisatie!$C$5,12,31)) &lt; MAX($F$2, DATE(Initialisatie!$C$5,1,1)), 0, MONTH(MIN($F$1, DATE(Initialisatie!$C$5,12,31))) - MONTH(MAX($F$2, DATE(Initialisatie!$C$5,1,1))) + 1)) &lt;= 0, IFERROR(VALUE($F127),0)=0),
        AND(MAX(0, IF(MIN($G$1, DATE(Initialisatie!$C$5,12,31)) &lt; MAX($G$2, DATE(Initialisatie!$C$5,1,1)), 0, MONTH(MIN($G$1, DATE(Initialisatie!$C$5,12,31))) - MONTH(MAX($G$2, DATE(Initialisatie!$C$5,1,1))) + 1)) &lt;= 0, IFERROR(VALUE($G127),0)=0),
        AND(MAX(0, IF(MIN($H$1, DATE(Initialisatie!$C$5,12,31)) &lt; MAX($H$2, DATE(Initialisatie!$C$5,1,1)), 0, MONTH(MIN($H$1, DATE(Initialisatie!$C$5,12,31))) - MONTH(MAX($H$2, DATE(Initialisatie!$C$5,1,1))) + 1)) &lt;= 0, IFERROR(VALUE($H127),0)=0)
    ),
    0,
    SUM(
        IFERROR(VALUE($D127),0) * MAX(0, IF(MIN($D$1, DATE(Initialisatie!$C$5,12,31)) &lt; MAX($D$2, DATE(Initialisatie!$C$5,1,1)), 0, MONTH(MIN($D$1, DATE(Initialisatie!$C$5,12,31))) - MONTH(MAX($D$2, DATE(Initialisatie!$C$5,1,1))) + 1)),
        IFERROR(VALUE($E127),0) * MAX(0, IF(MIN($E$1, DATE(Initialisatie!$C$5,12,31)) &lt; MAX($E$2, DATE(Initialisatie!$C$5,1,1)), 0, MONTH(MIN($E$1, DATE(Initialisatie!$C$5,12,31))) - MONTH(MAX($E$2, DATE(Initialisatie!$C$5,1,1))) + 1)),
        IFERROR(VALUE($F127),0) * MAX(0, IF(MIN($F$1, DATE(Initialisatie!$C$5,12,31)) &lt; MAX($F$2, DATE(Initialisatie!$C$5,1,1)), 0, MONTH(MIN($F$1, DATE(Initialisatie!$C$5,12,31))) - MONTH(MAX($F$2, DATE(Initialisatie!$C$5,1,1))) + 1)),
        IFERROR(VALUE($G127),0) * MAX(0, IF(MIN($G$1, DATE(Initialisatie!$C$5,12,31)) &lt; MAX($G$2, DATE(Initialisatie!$C$5,1,1)), 0, MONTH(MIN($G$1, DATE(Initialisatie!$C$5,12,31))) - MONTH(MAX($G$2, DATE(Initialisatie!$C$5,1,1))) + 1)),
        IFERROR(VALUE($H127),0) * MAX(0, IF(MIN($H$1, DATE(Initialisatie!$C$5,12,31)) &lt; MAX($H$2, DATE(Initialisatie!$C$5,1,1)), 0, MONTH(MIN($H$1, DATE(Initialisatie!$C$5,12,31))) - MONTH(MAX($H$2, DATE(Initialisatie!$C$5,1,1))) + 1))
    ) / 12
)</f>
        <v>5730.5</v>
      </c>
    </row>
    <row r="128" spans="1:11" x14ac:dyDescent="0.45">
      <c r="A128" s="990"/>
      <c r="B128" s="371">
        <v>11</v>
      </c>
      <c r="C128" s="371" t="s">
        <v>1468</v>
      </c>
      <c r="D128" t="s">
        <v>1466</v>
      </c>
      <c r="E128" t="s">
        <v>1465</v>
      </c>
      <c r="F128" t="s">
        <v>1467</v>
      </c>
      <c r="G128" t="s">
        <v>1467</v>
      </c>
      <c r="H128" t="s">
        <v>1658</v>
      </c>
      <c r="J128">
        <f>IF(
    OR(
        AND(MAX(0, MIN($D$1, DATE(Initialisatie!$C$5,12,31)) - MAX($D$2, DATE(Initialisatie!$C$5,1,1)) + 1) &gt; 0,IFERROR(VALUE($D128),0)=0),
        AND(MAX(0, MIN($E$1, DATE(Initialisatie!$C$5,12,31)) - MAX($E$2, DATE(Initialisatie!$C$5,1,1)) + 1) &gt; 0,IFERROR(VALUE($E128),0)=0),
        AND(MAX(0, MIN($F$1, DATE(Initialisatie!$C$5,12,31)) - MAX($F$2, DATE(Initialisatie!$C$5,1,1)) + 1) &gt; 0,IFERROR(VALUE($F128),0)=0),
        AND(MAX(0, MIN($G$1, DATE(Initialisatie!$C$5,12,31)) - MAX($G$2, DATE(Initialisatie!$C$5,1,1)) + 1) &gt; 0,IFERROR(VALUE($G128),0)=0),
        AND(MAX(0, MIN($H$1, DATE(Initialisatie!$C$5,12,31)) - MAX($H$2, DATE(Initialisatie!$C$5,1,1)) + 1) &gt; 0,IFERROR(VALUE($H128),0)=0)
    ),
    0,
    SUM(
        IFERROR(VALUE($D128),0) * MAX(0, MIN($D$1, DATE(Initialisatie!$C$5,12,31)) - MAX($D$2, DATE(Initialisatie!$C$5,1,1)) + 1),
        IFERROR(VALUE($E128),0) * MAX(0, MIN($E$1, DATE(Initialisatie!$C$5,12,31)) - MAX($E$2, DATE(Initialisatie!$C$5,1,1)) + 1),
        IFERROR(VALUE($F128),0) * MAX(0, MIN($F$1, DATE(Initialisatie!$C$5,12,31)) - MAX($F$2, DATE(Initialisatie!$C$5,1,1)) + 1),
        IFERROR(VALUE($G128),0) * MAX(0, MIN($G$1, DATE(Initialisatie!$C$5,12,31)) - MAX($G$2, DATE(Initialisatie!$C$5,1,1)) + 1),
        IFERROR(VALUE($H128),0) * MAX(0, MIN($H$1, DATE(Initialisatie!$C$5,12,31)) - MAX($H$2, DATE(Initialisatie!$C$5,1,1)) + 1)
    ) / (DATE(Initialisatie!$C$5,12,31) - DATE(Initialisatie!$C$5,1,1) + 1)
)</f>
        <v>5816.2027397260272</v>
      </c>
      <c r="K128">
        <f>IF(
    OR(
        AND(MAX(0, IF(MIN($D$1, DATE(Initialisatie!$C$5,12,31)) &lt; MAX($D$2, DATE(Initialisatie!$C$5,1,1)), 0, MONTH(MIN($D$1, DATE(Initialisatie!$C$5,12,31))) - MONTH(MAX($D$2, DATE(Initialisatie!$C$5,1,1))) + 1)) &lt;= 0, IFERROR(VALUE($D128),0)=0),
        AND(MAX(0, IF(MIN($E$1, DATE(Initialisatie!$C$5,12,31)) &lt; MAX($E$2, DATE(Initialisatie!$C$5,1,1)), 0, MONTH(MIN($E$1, DATE(Initialisatie!$C$5,12,31))) - MONTH(MAX($E$2, DATE(Initialisatie!$C$5,1,1))) + 1)) &lt;= 0, IFERROR(VALUE($E128),0)=0),
        AND(MAX(0, IF(MIN($F$1, DATE(Initialisatie!$C$5,12,31)) &lt; MAX($F$2, DATE(Initialisatie!$C$5,1,1)), 0, MONTH(MIN($F$1, DATE(Initialisatie!$C$5,12,31))) - MONTH(MAX($F$2, DATE(Initialisatie!$C$5,1,1))) + 1)) &lt;= 0, IFERROR(VALUE($F128),0)=0),
        AND(MAX(0, IF(MIN($G$1, DATE(Initialisatie!$C$5,12,31)) &lt; MAX($G$2, DATE(Initialisatie!$C$5,1,1)), 0, MONTH(MIN($G$1, DATE(Initialisatie!$C$5,12,31))) - MONTH(MAX($G$2, DATE(Initialisatie!$C$5,1,1))) + 1)) &lt;= 0, IFERROR(VALUE($G128),0)=0),
        AND(MAX(0, IF(MIN($H$1, DATE(Initialisatie!$C$5,12,31)) &lt; MAX($H$2, DATE(Initialisatie!$C$5,1,1)), 0, MONTH(MIN($H$1, DATE(Initialisatie!$C$5,12,31))) - MONTH(MAX($H$2, DATE(Initialisatie!$C$5,1,1))) + 1)) &lt;= 0, IFERROR(VALUE($H128),0)=0)
    ),
    0,
    SUM(
        IFERROR(VALUE($D128),0) * MAX(0, IF(MIN($D$1, DATE(Initialisatie!$C$5,12,31)) &lt; MAX($D$2, DATE(Initialisatie!$C$5,1,1)), 0, MONTH(MIN($D$1, DATE(Initialisatie!$C$5,12,31))) - MONTH(MAX($D$2, DATE(Initialisatie!$C$5,1,1))) + 1)),
        IFERROR(VALUE($E128),0) * MAX(0, IF(MIN($E$1, DATE(Initialisatie!$C$5,12,31)) &lt; MAX($E$2, DATE(Initialisatie!$C$5,1,1)), 0, MONTH(MIN($E$1, DATE(Initialisatie!$C$5,12,31))) - MONTH(MAX($E$2, DATE(Initialisatie!$C$5,1,1))) + 1)),
        IFERROR(VALUE($F128),0) * MAX(0, IF(MIN($F$1, DATE(Initialisatie!$C$5,12,31)) &lt; MAX($F$2, DATE(Initialisatie!$C$5,1,1)), 0, MONTH(MIN($F$1, DATE(Initialisatie!$C$5,12,31))) - MONTH(MAX($F$2, DATE(Initialisatie!$C$5,1,1))) + 1)),
        IFERROR(VALUE($G128),0) * MAX(0, IF(MIN($G$1, DATE(Initialisatie!$C$5,12,31)) &lt; MAX($G$2, DATE(Initialisatie!$C$5,1,1)), 0, MONTH(MIN($G$1, DATE(Initialisatie!$C$5,12,31))) - MONTH(MAX($G$2, DATE(Initialisatie!$C$5,1,1))) + 1)),
        IFERROR(VALUE($H128),0) * MAX(0, IF(MIN($H$1, DATE(Initialisatie!$C$5,12,31)) &lt; MAX($H$2, DATE(Initialisatie!$C$5,1,1)), 0, MONTH(MIN($H$1, DATE(Initialisatie!$C$5,12,31))) - MONTH(MAX($H$2, DATE(Initialisatie!$C$5,1,1))) + 1))
    ) / 12
)</f>
        <v>5815.5</v>
      </c>
    </row>
    <row r="129" spans="1:11" x14ac:dyDescent="0.45">
      <c r="A129" s="993">
        <v>65</v>
      </c>
      <c r="B129" s="371">
        <v>1</v>
      </c>
      <c r="C129" s="371" t="s">
        <v>1464</v>
      </c>
      <c r="D129" t="s">
        <v>1462</v>
      </c>
      <c r="E129" t="s">
        <v>1461</v>
      </c>
      <c r="F129" t="s">
        <v>1463</v>
      </c>
      <c r="G129" t="s">
        <v>1463</v>
      </c>
      <c r="H129" t="s">
        <v>1652</v>
      </c>
      <c r="J129">
        <f>IF(
    OR(
        AND(MAX(0, MIN($D$1, DATE(Initialisatie!$C$5,12,31)) - MAX($D$2, DATE(Initialisatie!$C$5,1,1)) + 1) &gt; 0,IFERROR(VALUE($D129),0)=0),
        AND(MAX(0, MIN($E$1, DATE(Initialisatie!$C$5,12,31)) - MAX($E$2, DATE(Initialisatie!$C$5,1,1)) + 1) &gt; 0,IFERROR(VALUE($E129),0)=0),
        AND(MAX(0, MIN($F$1, DATE(Initialisatie!$C$5,12,31)) - MAX($F$2, DATE(Initialisatie!$C$5,1,1)) + 1) &gt; 0,IFERROR(VALUE($F129),0)=0),
        AND(MAX(0, MIN($G$1, DATE(Initialisatie!$C$5,12,31)) - MAX($G$2, DATE(Initialisatie!$C$5,1,1)) + 1) &gt; 0,IFERROR(VALUE($G129),0)=0),
        AND(MAX(0, MIN($H$1, DATE(Initialisatie!$C$5,12,31)) - MAX($H$2, DATE(Initialisatie!$C$5,1,1)) + 1) &gt; 0,IFERROR(VALUE($H129),0)=0)
    ),
    0,
    SUM(
        IFERROR(VALUE($D129),0) * MAX(0, MIN($D$1, DATE(Initialisatie!$C$5,12,31)) - MAX($D$2, DATE(Initialisatie!$C$5,1,1)) + 1),
        IFERROR(VALUE($E129),0) * MAX(0, MIN($E$1, DATE(Initialisatie!$C$5,12,31)) - MAX($E$2, DATE(Initialisatie!$C$5,1,1)) + 1),
        IFERROR(VALUE($F129),0) * MAX(0, MIN($F$1, DATE(Initialisatie!$C$5,12,31)) - MAX($F$2, DATE(Initialisatie!$C$5,1,1)) + 1),
        IFERROR(VALUE($G129),0) * MAX(0, MIN($G$1, DATE(Initialisatie!$C$5,12,31)) - MAX($G$2, DATE(Initialisatie!$C$5,1,1)) + 1),
        IFERROR(VALUE($H129),0) * MAX(0, MIN($H$1, DATE(Initialisatie!$C$5,12,31)) - MAX($H$2, DATE(Initialisatie!$C$5,1,1)) + 1)
    ) / (DATE(Initialisatie!$C$5,12,31) - DATE(Initialisatie!$C$5,1,1) + 1)
)</f>
        <v>5217.6328767123287</v>
      </c>
      <c r="K129">
        <f>IF(
    OR(
        AND(MAX(0, IF(MIN($D$1, DATE(Initialisatie!$C$5,12,31)) &lt; MAX($D$2, DATE(Initialisatie!$C$5,1,1)), 0, MONTH(MIN($D$1, DATE(Initialisatie!$C$5,12,31))) - MONTH(MAX($D$2, DATE(Initialisatie!$C$5,1,1))) + 1)) &lt;= 0, IFERROR(VALUE($D129),0)=0),
        AND(MAX(0, IF(MIN($E$1, DATE(Initialisatie!$C$5,12,31)) &lt; MAX($E$2, DATE(Initialisatie!$C$5,1,1)), 0, MONTH(MIN($E$1, DATE(Initialisatie!$C$5,12,31))) - MONTH(MAX($E$2, DATE(Initialisatie!$C$5,1,1))) + 1)) &lt;= 0, IFERROR(VALUE($E129),0)=0),
        AND(MAX(0, IF(MIN($F$1, DATE(Initialisatie!$C$5,12,31)) &lt; MAX($F$2, DATE(Initialisatie!$C$5,1,1)), 0, MONTH(MIN($F$1, DATE(Initialisatie!$C$5,12,31))) - MONTH(MAX($F$2, DATE(Initialisatie!$C$5,1,1))) + 1)) &lt;= 0, IFERROR(VALUE($F129),0)=0),
        AND(MAX(0, IF(MIN($G$1, DATE(Initialisatie!$C$5,12,31)) &lt; MAX($G$2, DATE(Initialisatie!$C$5,1,1)), 0, MONTH(MIN($G$1, DATE(Initialisatie!$C$5,12,31))) - MONTH(MAX($G$2, DATE(Initialisatie!$C$5,1,1))) + 1)) &lt;= 0, IFERROR(VALUE($G129),0)=0),
        AND(MAX(0, IF(MIN($H$1, DATE(Initialisatie!$C$5,12,31)) &lt; MAX($H$2, DATE(Initialisatie!$C$5,1,1)), 0, MONTH(MIN($H$1, DATE(Initialisatie!$C$5,12,31))) - MONTH(MAX($H$2, DATE(Initialisatie!$C$5,1,1))) + 1)) &lt;= 0, IFERROR(VALUE($H129),0)=0)
    ),
    0,
    SUM(
        IFERROR(VALUE($D129),0) * MAX(0, IF(MIN($D$1, DATE(Initialisatie!$C$5,12,31)) &lt; MAX($D$2, DATE(Initialisatie!$C$5,1,1)), 0, MONTH(MIN($D$1, DATE(Initialisatie!$C$5,12,31))) - MONTH(MAX($D$2, DATE(Initialisatie!$C$5,1,1))) + 1)),
        IFERROR(VALUE($E129),0) * MAX(0, IF(MIN($E$1, DATE(Initialisatie!$C$5,12,31)) &lt; MAX($E$2, DATE(Initialisatie!$C$5,1,1)), 0, MONTH(MIN($E$1, DATE(Initialisatie!$C$5,12,31))) - MONTH(MAX($E$2, DATE(Initialisatie!$C$5,1,1))) + 1)),
        IFERROR(VALUE($F129),0) * MAX(0, IF(MIN($F$1, DATE(Initialisatie!$C$5,12,31)) &lt; MAX($F$2, DATE(Initialisatie!$C$5,1,1)), 0, MONTH(MIN($F$1, DATE(Initialisatie!$C$5,12,31))) - MONTH(MAX($F$2, DATE(Initialisatie!$C$5,1,1))) + 1)),
        IFERROR(VALUE($G129),0) * MAX(0, IF(MIN($G$1, DATE(Initialisatie!$C$5,12,31)) &lt; MAX($G$2, DATE(Initialisatie!$C$5,1,1)), 0, MONTH(MIN($G$1, DATE(Initialisatie!$C$5,12,31))) - MONTH(MAX($G$2, DATE(Initialisatie!$C$5,1,1))) + 1)),
        IFERROR(VALUE($H129),0) * MAX(0, IF(MIN($H$1, DATE(Initialisatie!$C$5,12,31)) &lt; MAX($H$2, DATE(Initialisatie!$C$5,1,1)), 0, MONTH(MIN($H$1, DATE(Initialisatie!$C$5,12,31))) - MONTH(MAX($H$2, DATE(Initialisatie!$C$5,1,1))) + 1))
    ) / 12
)</f>
        <v>5217</v>
      </c>
    </row>
    <row r="130" spans="1:11" x14ac:dyDescent="0.45">
      <c r="A130" s="989"/>
      <c r="B130" s="371">
        <v>2</v>
      </c>
      <c r="C130" s="371" t="s">
        <v>1460</v>
      </c>
      <c r="D130" t="s">
        <v>1458</v>
      </c>
      <c r="E130" t="s">
        <v>1457</v>
      </c>
      <c r="F130" t="s">
        <v>1459</v>
      </c>
      <c r="G130" t="s">
        <v>1459</v>
      </c>
      <c r="H130" t="s">
        <v>1653</v>
      </c>
      <c r="J130">
        <f>IF(
    OR(
        AND(MAX(0, MIN($D$1, DATE(Initialisatie!$C$5,12,31)) - MAX($D$2, DATE(Initialisatie!$C$5,1,1)) + 1) &gt; 0,IFERROR(VALUE($D130),0)=0),
        AND(MAX(0, MIN($E$1, DATE(Initialisatie!$C$5,12,31)) - MAX($E$2, DATE(Initialisatie!$C$5,1,1)) + 1) &gt; 0,IFERROR(VALUE($E130),0)=0),
        AND(MAX(0, MIN($F$1, DATE(Initialisatie!$C$5,12,31)) - MAX($F$2, DATE(Initialisatie!$C$5,1,1)) + 1) &gt; 0,IFERROR(VALUE($F130),0)=0),
        AND(MAX(0, MIN($G$1, DATE(Initialisatie!$C$5,12,31)) - MAX($G$2, DATE(Initialisatie!$C$5,1,1)) + 1) &gt; 0,IFERROR(VALUE($G130),0)=0),
        AND(MAX(0, MIN($H$1, DATE(Initialisatie!$C$5,12,31)) - MAX($H$2, DATE(Initialisatie!$C$5,1,1)) + 1) &gt; 0,IFERROR(VALUE($H130),0)=0)
    ),
    0,
    SUM(
        IFERROR(VALUE($D130),0) * MAX(0, MIN($D$1, DATE(Initialisatie!$C$5,12,31)) - MAX($D$2, DATE(Initialisatie!$C$5,1,1)) + 1),
        IFERROR(VALUE($E130),0) * MAX(0, MIN($E$1, DATE(Initialisatie!$C$5,12,31)) - MAX($E$2, DATE(Initialisatie!$C$5,1,1)) + 1),
        IFERROR(VALUE($F130),0) * MAX(0, MIN($F$1, DATE(Initialisatie!$C$5,12,31)) - MAX($F$2, DATE(Initialisatie!$C$5,1,1)) + 1),
        IFERROR(VALUE($G130),0) * MAX(0, MIN($G$1, DATE(Initialisatie!$C$5,12,31)) - MAX($G$2, DATE(Initialisatie!$C$5,1,1)) + 1),
        IFERROR(VALUE($H130),0) * MAX(0, MIN($H$1, DATE(Initialisatie!$C$5,12,31)) - MAX($H$2, DATE(Initialisatie!$C$5,1,1)) + 1)
    ) / (DATE(Initialisatie!$C$5,12,31) - DATE(Initialisatie!$C$5,1,1) + 1)
)</f>
        <v>5399.6575342465758</v>
      </c>
      <c r="K130">
        <f>IF(
    OR(
        AND(MAX(0, IF(MIN($D$1, DATE(Initialisatie!$C$5,12,31)) &lt; MAX($D$2, DATE(Initialisatie!$C$5,1,1)), 0, MONTH(MIN($D$1, DATE(Initialisatie!$C$5,12,31))) - MONTH(MAX($D$2, DATE(Initialisatie!$C$5,1,1))) + 1)) &lt;= 0, IFERROR(VALUE($D130),0)=0),
        AND(MAX(0, IF(MIN($E$1, DATE(Initialisatie!$C$5,12,31)) &lt; MAX($E$2, DATE(Initialisatie!$C$5,1,1)), 0, MONTH(MIN($E$1, DATE(Initialisatie!$C$5,12,31))) - MONTH(MAX($E$2, DATE(Initialisatie!$C$5,1,1))) + 1)) &lt;= 0, IFERROR(VALUE($E130),0)=0),
        AND(MAX(0, IF(MIN($F$1, DATE(Initialisatie!$C$5,12,31)) &lt; MAX($F$2, DATE(Initialisatie!$C$5,1,1)), 0, MONTH(MIN($F$1, DATE(Initialisatie!$C$5,12,31))) - MONTH(MAX($F$2, DATE(Initialisatie!$C$5,1,1))) + 1)) &lt;= 0, IFERROR(VALUE($F130),0)=0),
        AND(MAX(0, IF(MIN($G$1, DATE(Initialisatie!$C$5,12,31)) &lt; MAX($G$2, DATE(Initialisatie!$C$5,1,1)), 0, MONTH(MIN($G$1, DATE(Initialisatie!$C$5,12,31))) - MONTH(MAX($G$2, DATE(Initialisatie!$C$5,1,1))) + 1)) &lt;= 0, IFERROR(VALUE($G130),0)=0),
        AND(MAX(0, IF(MIN($H$1, DATE(Initialisatie!$C$5,12,31)) &lt; MAX($H$2, DATE(Initialisatie!$C$5,1,1)), 0, MONTH(MIN($H$1, DATE(Initialisatie!$C$5,12,31))) - MONTH(MAX($H$2, DATE(Initialisatie!$C$5,1,1))) + 1)) &lt;= 0, IFERROR(VALUE($H130),0)=0)
    ),
    0,
    SUM(
        IFERROR(VALUE($D130),0) * MAX(0, IF(MIN($D$1, DATE(Initialisatie!$C$5,12,31)) &lt; MAX($D$2, DATE(Initialisatie!$C$5,1,1)), 0, MONTH(MIN($D$1, DATE(Initialisatie!$C$5,12,31))) - MONTH(MAX($D$2, DATE(Initialisatie!$C$5,1,1))) + 1)),
        IFERROR(VALUE($E130),0) * MAX(0, IF(MIN($E$1, DATE(Initialisatie!$C$5,12,31)) &lt; MAX($E$2, DATE(Initialisatie!$C$5,1,1)), 0, MONTH(MIN($E$1, DATE(Initialisatie!$C$5,12,31))) - MONTH(MAX($E$2, DATE(Initialisatie!$C$5,1,1))) + 1)),
        IFERROR(VALUE($F130),0) * MAX(0, IF(MIN($F$1, DATE(Initialisatie!$C$5,12,31)) &lt; MAX($F$2, DATE(Initialisatie!$C$5,1,1)), 0, MONTH(MIN($F$1, DATE(Initialisatie!$C$5,12,31))) - MONTH(MAX($F$2, DATE(Initialisatie!$C$5,1,1))) + 1)),
        IFERROR(VALUE($G130),0) * MAX(0, IF(MIN($G$1, DATE(Initialisatie!$C$5,12,31)) &lt; MAX($G$2, DATE(Initialisatie!$C$5,1,1)), 0, MONTH(MIN($G$1, DATE(Initialisatie!$C$5,12,31))) - MONTH(MAX($G$2, DATE(Initialisatie!$C$5,1,1))) + 1)),
        IFERROR(VALUE($H130),0) * MAX(0, IF(MIN($H$1, DATE(Initialisatie!$C$5,12,31)) &lt; MAX($H$2, DATE(Initialisatie!$C$5,1,1)), 0, MONTH(MIN($H$1, DATE(Initialisatie!$C$5,12,31))) - MONTH(MAX($H$2, DATE(Initialisatie!$C$5,1,1))) + 1))
    ) / 12
)</f>
        <v>5399</v>
      </c>
    </row>
    <row r="131" spans="1:11" x14ac:dyDescent="0.45">
      <c r="A131" s="989"/>
      <c r="B131" s="371">
        <v>3</v>
      </c>
      <c r="C131" s="371" t="s">
        <v>1456</v>
      </c>
      <c r="D131" t="s">
        <v>1454</v>
      </c>
      <c r="E131" t="s">
        <v>1453</v>
      </c>
      <c r="F131" t="s">
        <v>1455</v>
      </c>
      <c r="G131" t="s">
        <v>1455</v>
      </c>
      <c r="H131" t="s">
        <v>1655</v>
      </c>
      <c r="J131">
        <f>IF(
    OR(
        AND(MAX(0, MIN($D$1, DATE(Initialisatie!$C$5,12,31)) - MAX($D$2, DATE(Initialisatie!$C$5,1,1)) + 1) &gt; 0,IFERROR(VALUE($D131),0)=0),
        AND(MAX(0, MIN($E$1, DATE(Initialisatie!$C$5,12,31)) - MAX($E$2, DATE(Initialisatie!$C$5,1,1)) + 1) &gt; 0,IFERROR(VALUE($E131),0)=0),
        AND(MAX(0, MIN($F$1, DATE(Initialisatie!$C$5,12,31)) - MAX($F$2, DATE(Initialisatie!$C$5,1,1)) + 1) &gt; 0,IFERROR(VALUE($F131),0)=0),
        AND(MAX(0, MIN($G$1, DATE(Initialisatie!$C$5,12,31)) - MAX($G$2, DATE(Initialisatie!$C$5,1,1)) + 1) &gt; 0,IFERROR(VALUE($G131),0)=0),
        AND(MAX(0, MIN($H$1, DATE(Initialisatie!$C$5,12,31)) - MAX($H$2, DATE(Initialisatie!$C$5,1,1)) + 1) &gt; 0,IFERROR(VALUE($H131),0)=0)
    ),
    0,
    SUM(
        IFERROR(VALUE($D131),0) * MAX(0, MIN($D$1, DATE(Initialisatie!$C$5,12,31)) - MAX($D$2, DATE(Initialisatie!$C$5,1,1)) + 1),
        IFERROR(VALUE($E131),0) * MAX(0, MIN($E$1, DATE(Initialisatie!$C$5,12,31)) - MAX($E$2, DATE(Initialisatie!$C$5,1,1)) + 1),
        IFERROR(VALUE($F131),0) * MAX(0, MIN($F$1, DATE(Initialisatie!$C$5,12,31)) - MAX($F$2, DATE(Initialisatie!$C$5,1,1)) + 1),
        IFERROR(VALUE($G131),0) * MAX(0, MIN($G$1, DATE(Initialisatie!$C$5,12,31)) - MAX($G$2, DATE(Initialisatie!$C$5,1,1)) + 1),
        IFERROR(VALUE($H131),0) * MAX(0, MIN($H$1, DATE(Initialisatie!$C$5,12,31)) - MAX($H$2, DATE(Initialisatie!$C$5,1,1)) + 1)
    ) / (DATE(Initialisatie!$C$5,12,31) - DATE(Initialisatie!$C$5,1,1) + 1)
)</f>
        <v>5563.6739726027399</v>
      </c>
      <c r="K131">
        <f>IF(
    OR(
        AND(MAX(0, IF(MIN($D$1, DATE(Initialisatie!$C$5,12,31)) &lt; MAX($D$2, DATE(Initialisatie!$C$5,1,1)), 0, MONTH(MIN($D$1, DATE(Initialisatie!$C$5,12,31))) - MONTH(MAX($D$2, DATE(Initialisatie!$C$5,1,1))) + 1)) &lt;= 0, IFERROR(VALUE($D131),0)=0),
        AND(MAX(0, IF(MIN($E$1, DATE(Initialisatie!$C$5,12,31)) &lt; MAX($E$2, DATE(Initialisatie!$C$5,1,1)), 0, MONTH(MIN($E$1, DATE(Initialisatie!$C$5,12,31))) - MONTH(MAX($E$2, DATE(Initialisatie!$C$5,1,1))) + 1)) &lt;= 0, IFERROR(VALUE($E131),0)=0),
        AND(MAX(0, IF(MIN($F$1, DATE(Initialisatie!$C$5,12,31)) &lt; MAX($F$2, DATE(Initialisatie!$C$5,1,1)), 0, MONTH(MIN($F$1, DATE(Initialisatie!$C$5,12,31))) - MONTH(MAX($F$2, DATE(Initialisatie!$C$5,1,1))) + 1)) &lt;= 0, IFERROR(VALUE($F131),0)=0),
        AND(MAX(0, IF(MIN($G$1, DATE(Initialisatie!$C$5,12,31)) &lt; MAX($G$2, DATE(Initialisatie!$C$5,1,1)), 0, MONTH(MIN($G$1, DATE(Initialisatie!$C$5,12,31))) - MONTH(MAX($G$2, DATE(Initialisatie!$C$5,1,1))) + 1)) &lt;= 0, IFERROR(VALUE($G131),0)=0),
        AND(MAX(0, IF(MIN($H$1, DATE(Initialisatie!$C$5,12,31)) &lt; MAX($H$2, DATE(Initialisatie!$C$5,1,1)), 0, MONTH(MIN($H$1, DATE(Initialisatie!$C$5,12,31))) - MONTH(MAX($H$2, DATE(Initialisatie!$C$5,1,1))) + 1)) &lt;= 0, IFERROR(VALUE($H131),0)=0)
    ),
    0,
    SUM(
        IFERROR(VALUE($D131),0) * MAX(0, IF(MIN($D$1, DATE(Initialisatie!$C$5,12,31)) &lt; MAX($D$2, DATE(Initialisatie!$C$5,1,1)), 0, MONTH(MIN($D$1, DATE(Initialisatie!$C$5,12,31))) - MONTH(MAX($D$2, DATE(Initialisatie!$C$5,1,1))) + 1)),
        IFERROR(VALUE($E131),0) * MAX(0, IF(MIN($E$1, DATE(Initialisatie!$C$5,12,31)) &lt; MAX($E$2, DATE(Initialisatie!$C$5,1,1)), 0, MONTH(MIN($E$1, DATE(Initialisatie!$C$5,12,31))) - MONTH(MAX($E$2, DATE(Initialisatie!$C$5,1,1))) + 1)),
        IFERROR(VALUE($F131),0) * MAX(0, IF(MIN($F$1, DATE(Initialisatie!$C$5,12,31)) &lt; MAX($F$2, DATE(Initialisatie!$C$5,1,1)), 0, MONTH(MIN($F$1, DATE(Initialisatie!$C$5,12,31))) - MONTH(MAX($F$2, DATE(Initialisatie!$C$5,1,1))) + 1)),
        IFERROR(VALUE($G131),0) * MAX(0, IF(MIN($G$1, DATE(Initialisatie!$C$5,12,31)) &lt; MAX($G$2, DATE(Initialisatie!$C$5,1,1)), 0, MONTH(MIN($G$1, DATE(Initialisatie!$C$5,12,31))) - MONTH(MAX($G$2, DATE(Initialisatie!$C$5,1,1))) + 1)),
        IFERROR(VALUE($H131),0) * MAX(0, IF(MIN($H$1, DATE(Initialisatie!$C$5,12,31)) &lt; MAX($H$2, DATE(Initialisatie!$C$5,1,1)), 0, MONTH(MIN($H$1, DATE(Initialisatie!$C$5,12,31))) - MONTH(MAX($H$2, DATE(Initialisatie!$C$5,1,1))) + 1))
    ) / 12
)</f>
        <v>5563</v>
      </c>
    </row>
    <row r="132" spans="1:11" x14ac:dyDescent="0.45">
      <c r="A132" s="989"/>
      <c r="B132" s="371">
        <v>4</v>
      </c>
      <c r="C132" s="371" t="s">
        <v>1452</v>
      </c>
      <c r="D132" t="s">
        <v>1450</v>
      </c>
      <c r="E132" t="s">
        <v>1449</v>
      </c>
      <c r="F132" t="s">
        <v>1451</v>
      </c>
      <c r="G132" t="s">
        <v>1451</v>
      </c>
      <c r="H132" t="s">
        <v>1657</v>
      </c>
      <c r="J132">
        <f>IF(
    OR(
        AND(MAX(0, MIN($D$1, DATE(Initialisatie!$C$5,12,31)) - MAX($D$2, DATE(Initialisatie!$C$5,1,1)) + 1) &gt; 0,IFERROR(VALUE($D132),0)=0),
        AND(MAX(0, MIN($E$1, DATE(Initialisatie!$C$5,12,31)) - MAX($E$2, DATE(Initialisatie!$C$5,1,1)) + 1) &gt; 0,IFERROR(VALUE($E132),0)=0),
        AND(MAX(0, MIN($F$1, DATE(Initialisatie!$C$5,12,31)) - MAX($F$2, DATE(Initialisatie!$C$5,1,1)) + 1) &gt; 0,IFERROR(VALUE($F132),0)=0),
        AND(MAX(0, MIN($G$1, DATE(Initialisatie!$C$5,12,31)) - MAX($G$2, DATE(Initialisatie!$C$5,1,1)) + 1) &gt; 0,IFERROR(VALUE($G132),0)=0),
        AND(MAX(0, MIN($H$1, DATE(Initialisatie!$C$5,12,31)) - MAX($H$2, DATE(Initialisatie!$C$5,1,1)) + 1) &gt; 0,IFERROR(VALUE($H132),0)=0)
    ),
    0,
    SUM(
        IFERROR(VALUE($D132),0) * MAX(0, MIN($D$1, DATE(Initialisatie!$C$5,12,31)) - MAX($D$2, DATE(Initialisatie!$C$5,1,1)) + 1),
        IFERROR(VALUE($E132),0) * MAX(0, MIN($E$1, DATE(Initialisatie!$C$5,12,31)) - MAX($E$2, DATE(Initialisatie!$C$5,1,1)) + 1),
        IFERROR(VALUE($F132),0) * MAX(0, MIN($F$1, DATE(Initialisatie!$C$5,12,31)) - MAX($F$2, DATE(Initialisatie!$C$5,1,1)) + 1),
        IFERROR(VALUE($G132),0) * MAX(0, MIN($G$1, DATE(Initialisatie!$C$5,12,31)) - MAX($G$2, DATE(Initialisatie!$C$5,1,1)) + 1),
        IFERROR(VALUE($H132),0) * MAX(0, MIN($H$1, DATE(Initialisatie!$C$5,12,31)) - MAX($H$2, DATE(Initialisatie!$C$5,1,1)) + 1)
    ) / (DATE(Initialisatie!$C$5,12,31) - DATE(Initialisatie!$C$5,1,1) + 1)
)</f>
        <v>5731.1945205479451</v>
      </c>
      <c r="K132">
        <f>IF(
    OR(
        AND(MAX(0, IF(MIN($D$1, DATE(Initialisatie!$C$5,12,31)) &lt; MAX($D$2, DATE(Initialisatie!$C$5,1,1)), 0, MONTH(MIN($D$1, DATE(Initialisatie!$C$5,12,31))) - MONTH(MAX($D$2, DATE(Initialisatie!$C$5,1,1))) + 1)) &lt;= 0, IFERROR(VALUE($D132),0)=0),
        AND(MAX(0, IF(MIN($E$1, DATE(Initialisatie!$C$5,12,31)) &lt; MAX($E$2, DATE(Initialisatie!$C$5,1,1)), 0, MONTH(MIN($E$1, DATE(Initialisatie!$C$5,12,31))) - MONTH(MAX($E$2, DATE(Initialisatie!$C$5,1,1))) + 1)) &lt;= 0, IFERROR(VALUE($E132),0)=0),
        AND(MAX(0, IF(MIN($F$1, DATE(Initialisatie!$C$5,12,31)) &lt; MAX($F$2, DATE(Initialisatie!$C$5,1,1)), 0, MONTH(MIN($F$1, DATE(Initialisatie!$C$5,12,31))) - MONTH(MAX($F$2, DATE(Initialisatie!$C$5,1,1))) + 1)) &lt;= 0, IFERROR(VALUE($F132),0)=0),
        AND(MAX(0, IF(MIN($G$1, DATE(Initialisatie!$C$5,12,31)) &lt; MAX($G$2, DATE(Initialisatie!$C$5,1,1)), 0, MONTH(MIN($G$1, DATE(Initialisatie!$C$5,12,31))) - MONTH(MAX($G$2, DATE(Initialisatie!$C$5,1,1))) + 1)) &lt;= 0, IFERROR(VALUE($G132),0)=0),
        AND(MAX(0, IF(MIN($H$1, DATE(Initialisatie!$C$5,12,31)) &lt; MAX($H$2, DATE(Initialisatie!$C$5,1,1)), 0, MONTH(MIN($H$1, DATE(Initialisatie!$C$5,12,31))) - MONTH(MAX($H$2, DATE(Initialisatie!$C$5,1,1))) + 1)) &lt;= 0, IFERROR(VALUE($H132),0)=0)
    ),
    0,
    SUM(
        IFERROR(VALUE($D132),0) * MAX(0, IF(MIN($D$1, DATE(Initialisatie!$C$5,12,31)) &lt; MAX($D$2, DATE(Initialisatie!$C$5,1,1)), 0, MONTH(MIN($D$1, DATE(Initialisatie!$C$5,12,31))) - MONTH(MAX($D$2, DATE(Initialisatie!$C$5,1,1))) + 1)),
        IFERROR(VALUE($E132),0) * MAX(0, IF(MIN($E$1, DATE(Initialisatie!$C$5,12,31)) &lt; MAX($E$2, DATE(Initialisatie!$C$5,1,1)), 0, MONTH(MIN($E$1, DATE(Initialisatie!$C$5,12,31))) - MONTH(MAX($E$2, DATE(Initialisatie!$C$5,1,1))) + 1)),
        IFERROR(VALUE($F132),0) * MAX(0, IF(MIN($F$1, DATE(Initialisatie!$C$5,12,31)) &lt; MAX($F$2, DATE(Initialisatie!$C$5,1,1)), 0, MONTH(MIN($F$1, DATE(Initialisatie!$C$5,12,31))) - MONTH(MAX($F$2, DATE(Initialisatie!$C$5,1,1))) + 1)),
        IFERROR(VALUE($G132),0) * MAX(0, IF(MIN($G$1, DATE(Initialisatie!$C$5,12,31)) &lt; MAX($G$2, DATE(Initialisatie!$C$5,1,1)), 0, MONTH(MIN($G$1, DATE(Initialisatie!$C$5,12,31))) - MONTH(MAX($G$2, DATE(Initialisatie!$C$5,1,1))) + 1)),
        IFERROR(VALUE($H132),0) * MAX(0, IF(MIN($H$1, DATE(Initialisatie!$C$5,12,31)) &lt; MAX($H$2, DATE(Initialisatie!$C$5,1,1)), 0, MONTH(MIN($H$1, DATE(Initialisatie!$C$5,12,31))) - MONTH(MAX($H$2, DATE(Initialisatie!$C$5,1,1))) + 1))
    ) / 12
)</f>
        <v>5730.5</v>
      </c>
    </row>
    <row r="133" spans="1:11" x14ac:dyDescent="0.45">
      <c r="A133" s="989"/>
      <c r="B133" s="371">
        <v>5</v>
      </c>
      <c r="C133" s="371" t="s">
        <v>1424</v>
      </c>
      <c r="D133" t="s">
        <v>1422</v>
      </c>
      <c r="E133" t="s">
        <v>1421</v>
      </c>
      <c r="F133" t="s">
        <v>1423</v>
      </c>
      <c r="G133" t="s">
        <v>1423</v>
      </c>
      <c r="H133" t="s">
        <v>1659</v>
      </c>
      <c r="J133">
        <f>IF(
    OR(
        AND(MAX(0, MIN($D$1, DATE(Initialisatie!$C$5,12,31)) - MAX($D$2, DATE(Initialisatie!$C$5,1,1)) + 1) &gt; 0,IFERROR(VALUE($D133),0)=0),
        AND(MAX(0, MIN($E$1, DATE(Initialisatie!$C$5,12,31)) - MAX($E$2, DATE(Initialisatie!$C$5,1,1)) + 1) &gt; 0,IFERROR(VALUE($E133),0)=0),
        AND(MAX(0, MIN($F$1, DATE(Initialisatie!$C$5,12,31)) - MAX($F$2, DATE(Initialisatie!$C$5,1,1)) + 1) &gt; 0,IFERROR(VALUE($F133),0)=0),
        AND(MAX(0, MIN($G$1, DATE(Initialisatie!$C$5,12,31)) - MAX($G$2, DATE(Initialisatie!$C$5,1,1)) + 1) &gt; 0,IFERROR(VALUE($G133),0)=0),
        AND(MAX(0, MIN($H$1, DATE(Initialisatie!$C$5,12,31)) - MAX($H$2, DATE(Initialisatie!$C$5,1,1)) + 1) &gt; 0,IFERROR(VALUE($H133),0)=0)
    ),
    0,
    SUM(
        IFERROR(VALUE($D133),0) * MAX(0, MIN($D$1, DATE(Initialisatie!$C$5,12,31)) - MAX($D$2, DATE(Initialisatie!$C$5,1,1)) + 1),
        IFERROR(VALUE($E133),0) * MAX(0, MIN($E$1, DATE(Initialisatie!$C$5,12,31)) - MAX($E$2, DATE(Initialisatie!$C$5,1,1)) + 1),
        IFERROR(VALUE($F133),0) * MAX(0, MIN($F$1, DATE(Initialisatie!$C$5,12,31)) - MAX($F$2, DATE(Initialisatie!$C$5,1,1)) + 1),
        IFERROR(VALUE($G133),0) * MAX(0, MIN($G$1, DATE(Initialisatie!$C$5,12,31)) - MAX($G$2, DATE(Initialisatie!$C$5,1,1)) + 1),
        IFERROR(VALUE($H133),0) * MAX(0, MIN($H$1, DATE(Initialisatie!$C$5,12,31)) - MAX($H$2, DATE(Initialisatie!$C$5,1,1)) + 1)
    ) / (DATE(Initialisatie!$C$5,12,31) - DATE(Initialisatie!$C$5,1,1) + 1)
)</f>
        <v>5901.2191780821922</v>
      </c>
      <c r="K133">
        <f>IF(
    OR(
        AND(MAX(0, IF(MIN($D$1, DATE(Initialisatie!$C$5,12,31)) &lt; MAX($D$2, DATE(Initialisatie!$C$5,1,1)), 0, MONTH(MIN($D$1, DATE(Initialisatie!$C$5,12,31))) - MONTH(MAX($D$2, DATE(Initialisatie!$C$5,1,1))) + 1)) &lt;= 0, IFERROR(VALUE($D133),0)=0),
        AND(MAX(0, IF(MIN($E$1, DATE(Initialisatie!$C$5,12,31)) &lt; MAX($E$2, DATE(Initialisatie!$C$5,1,1)), 0, MONTH(MIN($E$1, DATE(Initialisatie!$C$5,12,31))) - MONTH(MAX($E$2, DATE(Initialisatie!$C$5,1,1))) + 1)) &lt;= 0, IFERROR(VALUE($E133),0)=0),
        AND(MAX(0, IF(MIN($F$1, DATE(Initialisatie!$C$5,12,31)) &lt; MAX($F$2, DATE(Initialisatie!$C$5,1,1)), 0, MONTH(MIN($F$1, DATE(Initialisatie!$C$5,12,31))) - MONTH(MAX($F$2, DATE(Initialisatie!$C$5,1,1))) + 1)) &lt;= 0, IFERROR(VALUE($F133),0)=0),
        AND(MAX(0, IF(MIN($G$1, DATE(Initialisatie!$C$5,12,31)) &lt; MAX($G$2, DATE(Initialisatie!$C$5,1,1)), 0, MONTH(MIN($G$1, DATE(Initialisatie!$C$5,12,31))) - MONTH(MAX($G$2, DATE(Initialisatie!$C$5,1,1))) + 1)) &lt;= 0, IFERROR(VALUE($G133),0)=0),
        AND(MAX(0, IF(MIN($H$1, DATE(Initialisatie!$C$5,12,31)) &lt; MAX($H$2, DATE(Initialisatie!$C$5,1,1)), 0, MONTH(MIN($H$1, DATE(Initialisatie!$C$5,12,31))) - MONTH(MAX($H$2, DATE(Initialisatie!$C$5,1,1))) + 1)) &lt;= 0, IFERROR(VALUE($H133),0)=0)
    ),
    0,
    SUM(
        IFERROR(VALUE($D133),0) * MAX(0, IF(MIN($D$1, DATE(Initialisatie!$C$5,12,31)) &lt; MAX($D$2, DATE(Initialisatie!$C$5,1,1)), 0, MONTH(MIN($D$1, DATE(Initialisatie!$C$5,12,31))) - MONTH(MAX($D$2, DATE(Initialisatie!$C$5,1,1))) + 1)),
        IFERROR(VALUE($E133),0) * MAX(0, IF(MIN($E$1, DATE(Initialisatie!$C$5,12,31)) &lt; MAX($E$2, DATE(Initialisatie!$C$5,1,1)), 0, MONTH(MIN($E$1, DATE(Initialisatie!$C$5,12,31))) - MONTH(MAX($E$2, DATE(Initialisatie!$C$5,1,1))) + 1)),
        IFERROR(VALUE($F133),0) * MAX(0, IF(MIN($F$1, DATE(Initialisatie!$C$5,12,31)) &lt; MAX($F$2, DATE(Initialisatie!$C$5,1,1)), 0, MONTH(MIN($F$1, DATE(Initialisatie!$C$5,12,31))) - MONTH(MAX($F$2, DATE(Initialisatie!$C$5,1,1))) + 1)),
        IFERROR(VALUE($G133),0) * MAX(0, IF(MIN($G$1, DATE(Initialisatie!$C$5,12,31)) &lt; MAX($G$2, DATE(Initialisatie!$C$5,1,1)), 0, MONTH(MIN($G$1, DATE(Initialisatie!$C$5,12,31))) - MONTH(MAX($G$2, DATE(Initialisatie!$C$5,1,1))) + 1)),
        IFERROR(VALUE($H133),0) * MAX(0, IF(MIN($H$1, DATE(Initialisatie!$C$5,12,31)) &lt; MAX($H$2, DATE(Initialisatie!$C$5,1,1)), 0, MONTH(MIN($H$1, DATE(Initialisatie!$C$5,12,31))) - MONTH(MAX($H$2, DATE(Initialisatie!$C$5,1,1))) + 1))
    ) / 12
)</f>
        <v>5900.5</v>
      </c>
    </row>
    <row r="134" spans="1:11" x14ac:dyDescent="0.45">
      <c r="A134" s="989"/>
      <c r="B134" s="371">
        <v>6</v>
      </c>
      <c r="C134" s="371" t="s">
        <v>1448</v>
      </c>
      <c r="D134" t="s">
        <v>1446</v>
      </c>
      <c r="E134" t="s">
        <v>1445</v>
      </c>
      <c r="F134" t="s">
        <v>1447</v>
      </c>
      <c r="G134" t="s">
        <v>1447</v>
      </c>
      <c r="H134" t="s">
        <v>1660</v>
      </c>
      <c r="J134">
        <f>IF(
    OR(
        AND(MAX(0, MIN($D$1, DATE(Initialisatie!$C$5,12,31)) - MAX($D$2, DATE(Initialisatie!$C$5,1,1)) + 1) &gt; 0,IFERROR(VALUE($D134),0)=0),
        AND(MAX(0, MIN($E$1, DATE(Initialisatie!$C$5,12,31)) - MAX($E$2, DATE(Initialisatie!$C$5,1,1)) + 1) &gt; 0,IFERROR(VALUE($E134),0)=0),
        AND(MAX(0, MIN($F$1, DATE(Initialisatie!$C$5,12,31)) - MAX($F$2, DATE(Initialisatie!$C$5,1,1)) + 1) &gt; 0,IFERROR(VALUE($F134),0)=0),
        AND(MAX(0, MIN($G$1, DATE(Initialisatie!$C$5,12,31)) - MAX($G$2, DATE(Initialisatie!$C$5,1,1)) + 1) &gt; 0,IFERROR(VALUE($G134),0)=0),
        AND(MAX(0, MIN($H$1, DATE(Initialisatie!$C$5,12,31)) - MAX($H$2, DATE(Initialisatie!$C$5,1,1)) + 1) &gt; 0,IFERROR(VALUE($H134),0)=0)
    ),
    0,
    SUM(
        IFERROR(VALUE($D134),0) * MAX(0, MIN($D$1, DATE(Initialisatie!$C$5,12,31)) - MAX($D$2, DATE(Initialisatie!$C$5,1,1)) + 1),
        IFERROR(VALUE($E134),0) * MAX(0, MIN($E$1, DATE(Initialisatie!$C$5,12,31)) - MAX($E$2, DATE(Initialisatie!$C$5,1,1)) + 1),
        IFERROR(VALUE($F134),0) * MAX(0, MIN($F$1, DATE(Initialisatie!$C$5,12,31)) - MAX($F$2, DATE(Initialisatie!$C$5,1,1)) + 1),
        IFERROR(VALUE($G134),0) * MAX(0, MIN($G$1, DATE(Initialisatie!$C$5,12,31)) - MAX($G$2, DATE(Initialisatie!$C$5,1,1)) + 1),
        IFERROR(VALUE($H134),0) * MAX(0, MIN($H$1, DATE(Initialisatie!$C$5,12,31)) - MAX($H$2, DATE(Initialisatie!$C$5,1,1)) + 1)
    ) / (DATE(Initialisatie!$C$5,12,31) - DATE(Initialisatie!$C$5,1,1) + 1)
)</f>
        <v>6069.7397260273974</v>
      </c>
      <c r="K134">
        <f>IF(
    OR(
        AND(MAX(0, IF(MIN($D$1, DATE(Initialisatie!$C$5,12,31)) &lt; MAX($D$2, DATE(Initialisatie!$C$5,1,1)), 0, MONTH(MIN($D$1, DATE(Initialisatie!$C$5,12,31))) - MONTH(MAX($D$2, DATE(Initialisatie!$C$5,1,1))) + 1)) &lt;= 0, IFERROR(VALUE($D134),0)=0),
        AND(MAX(0, IF(MIN($E$1, DATE(Initialisatie!$C$5,12,31)) &lt; MAX($E$2, DATE(Initialisatie!$C$5,1,1)), 0, MONTH(MIN($E$1, DATE(Initialisatie!$C$5,12,31))) - MONTH(MAX($E$2, DATE(Initialisatie!$C$5,1,1))) + 1)) &lt;= 0, IFERROR(VALUE($E134),0)=0),
        AND(MAX(0, IF(MIN($F$1, DATE(Initialisatie!$C$5,12,31)) &lt; MAX($F$2, DATE(Initialisatie!$C$5,1,1)), 0, MONTH(MIN($F$1, DATE(Initialisatie!$C$5,12,31))) - MONTH(MAX($F$2, DATE(Initialisatie!$C$5,1,1))) + 1)) &lt;= 0, IFERROR(VALUE($F134),0)=0),
        AND(MAX(0, IF(MIN($G$1, DATE(Initialisatie!$C$5,12,31)) &lt; MAX($G$2, DATE(Initialisatie!$C$5,1,1)), 0, MONTH(MIN($G$1, DATE(Initialisatie!$C$5,12,31))) - MONTH(MAX($G$2, DATE(Initialisatie!$C$5,1,1))) + 1)) &lt;= 0, IFERROR(VALUE($G134),0)=0),
        AND(MAX(0, IF(MIN($H$1, DATE(Initialisatie!$C$5,12,31)) &lt; MAX($H$2, DATE(Initialisatie!$C$5,1,1)), 0, MONTH(MIN($H$1, DATE(Initialisatie!$C$5,12,31))) - MONTH(MAX($H$2, DATE(Initialisatie!$C$5,1,1))) + 1)) &lt;= 0, IFERROR(VALUE($H134),0)=0)
    ),
    0,
    SUM(
        IFERROR(VALUE($D134),0) * MAX(0, IF(MIN($D$1, DATE(Initialisatie!$C$5,12,31)) &lt; MAX($D$2, DATE(Initialisatie!$C$5,1,1)), 0, MONTH(MIN($D$1, DATE(Initialisatie!$C$5,12,31))) - MONTH(MAX($D$2, DATE(Initialisatie!$C$5,1,1))) + 1)),
        IFERROR(VALUE($E134),0) * MAX(0, IF(MIN($E$1, DATE(Initialisatie!$C$5,12,31)) &lt; MAX($E$2, DATE(Initialisatie!$C$5,1,1)), 0, MONTH(MIN($E$1, DATE(Initialisatie!$C$5,12,31))) - MONTH(MAX($E$2, DATE(Initialisatie!$C$5,1,1))) + 1)),
        IFERROR(VALUE($F134),0) * MAX(0, IF(MIN($F$1, DATE(Initialisatie!$C$5,12,31)) &lt; MAX($F$2, DATE(Initialisatie!$C$5,1,1)), 0, MONTH(MIN($F$1, DATE(Initialisatie!$C$5,12,31))) - MONTH(MAX($F$2, DATE(Initialisatie!$C$5,1,1))) + 1)),
        IFERROR(VALUE($G134),0) * MAX(0, IF(MIN($G$1, DATE(Initialisatie!$C$5,12,31)) &lt; MAX($G$2, DATE(Initialisatie!$C$5,1,1)), 0, MONTH(MIN($G$1, DATE(Initialisatie!$C$5,12,31))) - MONTH(MAX($G$2, DATE(Initialisatie!$C$5,1,1))) + 1)),
        IFERROR(VALUE($H134),0) * MAX(0, IF(MIN($H$1, DATE(Initialisatie!$C$5,12,31)) &lt; MAX($H$2, DATE(Initialisatie!$C$5,1,1)), 0, MONTH(MIN($H$1, DATE(Initialisatie!$C$5,12,31))) - MONTH(MAX($H$2, DATE(Initialisatie!$C$5,1,1))) + 1))
    ) / 12
)</f>
        <v>6069</v>
      </c>
    </row>
    <row r="135" spans="1:11" x14ac:dyDescent="0.45">
      <c r="A135" s="989"/>
      <c r="B135" s="371">
        <v>7</v>
      </c>
      <c r="C135" s="371" t="s">
        <v>1444</v>
      </c>
      <c r="D135" t="s">
        <v>1442</v>
      </c>
      <c r="E135" t="s">
        <v>1441</v>
      </c>
      <c r="F135" t="s">
        <v>1443</v>
      </c>
      <c r="G135" t="s">
        <v>1443</v>
      </c>
      <c r="H135" t="s">
        <v>1661</v>
      </c>
      <c r="J135">
        <f>IF(
    OR(
        AND(MAX(0, MIN($D$1, DATE(Initialisatie!$C$5,12,31)) - MAX($D$2, DATE(Initialisatie!$C$5,1,1)) + 1) &gt; 0,IFERROR(VALUE($D135),0)=0),
        AND(MAX(0, MIN($E$1, DATE(Initialisatie!$C$5,12,31)) - MAX($E$2, DATE(Initialisatie!$C$5,1,1)) + 1) &gt; 0,IFERROR(VALUE($E135),0)=0),
        AND(MAX(0, MIN($F$1, DATE(Initialisatie!$C$5,12,31)) - MAX($F$2, DATE(Initialisatie!$C$5,1,1)) + 1) &gt; 0,IFERROR(VALUE($F135),0)=0),
        AND(MAX(0, MIN($G$1, DATE(Initialisatie!$C$5,12,31)) - MAX($G$2, DATE(Initialisatie!$C$5,1,1)) + 1) &gt; 0,IFERROR(VALUE($G135),0)=0),
        AND(MAX(0, MIN($H$1, DATE(Initialisatie!$C$5,12,31)) - MAX($H$2, DATE(Initialisatie!$C$5,1,1)) + 1) &gt; 0,IFERROR(VALUE($H135),0)=0)
    ),
    0,
    SUM(
        IFERROR(VALUE($D135),0) * MAX(0, MIN($D$1, DATE(Initialisatie!$C$5,12,31)) - MAX($D$2, DATE(Initialisatie!$C$5,1,1)) + 1),
        IFERROR(VALUE($E135),0) * MAX(0, MIN($E$1, DATE(Initialisatie!$C$5,12,31)) - MAX($E$2, DATE(Initialisatie!$C$5,1,1)) + 1),
        IFERROR(VALUE($F135),0) * MAX(0, MIN($F$1, DATE(Initialisatie!$C$5,12,31)) - MAX($F$2, DATE(Initialisatie!$C$5,1,1)) + 1),
        IFERROR(VALUE($G135),0) * MAX(0, MIN($G$1, DATE(Initialisatie!$C$5,12,31)) - MAX($G$2, DATE(Initialisatie!$C$5,1,1)) + 1),
        IFERROR(VALUE($H135),0) * MAX(0, MIN($H$1, DATE(Initialisatie!$C$5,12,31)) - MAX($H$2, DATE(Initialisatie!$C$5,1,1)) + 1)
    ) / (DATE(Initialisatie!$C$5,12,31) - DATE(Initialisatie!$C$5,1,1) + 1)
)</f>
        <v>6238.7561643835616</v>
      </c>
      <c r="K135">
        <f>IF(
    OR(
        AND(MAX(0, IF(MIN($D$1, DATE(Initialisatie!$C$5,12,31)) &lt; MAX($D$2, DATE(Initialisatie!$C$5,1,1)), 0, MONTH(MIN($D$1, DATE(Initialisatie!$C$5,12,31))) - MONTH(MAX($D$2, DATE(Initialisatie!$C$5,1,1))) + 1)) &lt;= 0, IFERROR(VALUE($D135),0)=0),
        AND(MAX(0, IF(MIN($E$1, DATE(Initialisatie!$C$5,12,31)) &lt; MAX($E$2, DATE(Initialisatie!$C$5,1,1)), 0, MONTH(MIN($E$1, DATE(Initialisatie!$C$5,12,31))) - MONTH(MAX($E$2, DATE(Initialisatie!$C$5,1,1))) + 1)) &lt;= 0, IFERROR(VALUE($E135),0)=0),
        AND(MAX(0, IF(MIN($F$1, DATE(Initialisatie!$C$5,12,31)) &lt; MAX($F$2, DATE(Initialisatie!$C$5,1,1)), 0, MONTH(MIN($F$1, DATE(Initialisatie!$C$5,12,31))) - MONTH(MAX($F$2, DATE(Initialisatie!$C$5,1,1))) + 1)) &lt;= 0, IFERROR(VALUE($F135),0)=0),
        AND(MAX(0, IF(MIN($G$1, DATE(Initialisatie!$C$5,12,31)) &lt; MAX($G$2, DATE(Initialisatie!$C$5,1,1)), 0, MONTH(MIN($G$1, DATE(Initialisatie!$C$5,12,31))) - MONTH(MAX($G$2, DATE(Initialisatie!$C$5,1,1))) + 1)) &lt;= 0, IFERROR(VALUE($G135),0)=0),
        AND(MAX(0, IF(MIN($H$1, DATE(Initialisatie!$C$5,12,31)) &lt; MAX($H$2, DATE(Initialisatie!$C$5,1,1)), 0, MONTH(MIN($H$1, DATE(Initialisatie!$C$5,12,31))) - MONTH(MAX($H$2, DATE(Initialisatie!$C$5,1,1))) + 1)) &lt;= 0, IFERROR(VALUE($H135),0)=0)
    ),
    0,
    SUM(
        IFERROR(VALUE($D135),0) * MAX(0, IF(MIN($D$1, DATE(Initialisatie!$C$5,12,31)) &lt; MAX($D$2, DATE(Initialisatie!$C$5,1,1)), 0, MONTH(MIN($D$1, DATE(Initialisatie!$C$5,12,31))) - MONTH(MAX($D$2, DATE(Initialisatie!$C$5,1,1))) + 1)),
        IFERROR(VALUE($E135),0) * MAX(0, IF(MIN($E$1, DATE(Initialisatie!$C$5,12,31)) &lt; MAX($E$2, DATE(Initialisatie!$C$5,1,1)), 0, MONTH(MIN($E$1, DATE(Initialisatie!$C$5,12,31))) - MONTH(MAX($E$2, DATE(Initialisatie!$C$5,1,1))) + 1)),
        IFERROR(VALUE($F135),0) * MAX(0, IF(MIN($F$1, DATE(Initialisatie!$C$5,12,31)) &lt; MAX($F$2, DATE(Initialisatie!$C$5,1,1)), 0, MONTH(MIN($F$1, DATE(Initialisatie!$C$5,12,31))) - MONTH(MAX($F$2, DATE(Initialisatie!$C$5,1,1))) + 1)),
        IFERROR(VALUE($G135),0) * MAX(0, IF(MIN($G$1, DATE(Initialisatie!$C$5,12,31)) &lt; MAX($G$2, DATE(Initialisatie!$C$5,1,1)), 0, MONTH(MIN($G$1, DATE(Initialisatie!$C$5,12,31))) - MONTH(MAX($G$2, DATE(Initialisatie!$C$5,1,1))) + 1)),
        IFERROR(VALUE($H135),0) * MAX(0, IF(MIN($H$1, DATE(Initialisatie!$C$5,12,31)) &lt; MAX($H$2, DATE(Initialisatie!$C$5,1,1)), 0, MONTH(MIN($H$1, DATE(Initialisatie!$C$5,12,31))) - MONTH(MAX($H$2, DATE(Initialisatie!$C$5,1,1))) + 1))
    ) / 12
)</f>
        <v>6238</v>
      </c>
    </row>
    <row r="136" spans="1:11" x14ac:dyDescent="0.45">
      <c r="A136" s="989"/>
      <c r="B136" s="371">
        <v>8</v>
      </c>
      <c r="C136" s="371" t="s">
        <v>1416</v>
      </c>
      <c r="D136" t="s">
        <v>1414</v>
      </c>
      <c r="E136" t="s">
        <v>1413</v>
      </c>
      <c r="F136" t="s">
        <v>1415</v>
      </c>
      <c r="G136" t="s">
        <v>1415</v>
      </c>
      <c r="H136" t="s">
        <v>1662</v>
      </c>
      <c r="J136">
        <f>IF(
    OR(
        AND(MAX(0, MIN($D$1, DATE(Initialisatie!$C$5,12,31)) - MAX($D$2, DATE(Initialisatie!$C$5,1,1)) + 1) &gt; 0,IFERROR(VALUE($D136),0)=0),
        AND(MAX(0, MIN($E$1, DATE(Initialisatie!$C$5,12,31)) - MAX($E$2, DATE(Initialisatie!$C$5,1,1)) + 1) &gt; 0,IFERROR(VALUE($E136),0)=0),
        AND(MAX(0, MIN($F$1, DATE(Initialisatie!$C$5,12,31)) - MAX($F$2, DATE(Initialisatie!$C$5,1,1)) + 1) &gt; 0,IFERROR(VALUE($F136),0)=0),
        AND(MAX(0, MIN($G$1, DATE(Initialisatie!$C$5,12,31)) - MAX($G$2, DATE(Initialisatie!$C$5,1,1)) + 1) &gt; 0,IFERROR(VALUE($G136),0)=0),
        AND(MAX(0, MIN($H$1, DATE(Initialisatie!$C$5,12,31)) - MAX($H$2, DATE(Initialisatie!$C$5,1,1)) + 1) &gt; 0,IFERROR(VALUE($H136),0)=0)
    ),
    0,
    SUM(
        IFERROR(VALUE($D136),0) * MAX(0, MIN($D$1, DATE(Initialisatie!$C$5,12,31)) - MAX($D$2, DATE(Initialisatie!$C$5,1,1)) + 1),
        IFERROR(VALUE($E136),0) * MAX(0, MIN($E$1, DATE(Initialisatie!$C$5,12,31)) - MAX($E$2, DATE(Initialisatie!$C$5,1,1)) + 1),
        IFERROR(VALUE($F136),0) * MAX(0, MIN($F$1, DATE(Initialisatie!$C$5,12,31)) - MAX($F$2, DATE(Initialisatie!$C$5,1,1)) + 1),
        IFERROR(VALUE($G136),0) * MAX(0, MIN($G$1, DATE(Initialisatie!$C$5,12,31)) - MAX($G$2, DATE(Initialisatie!$C$5,1,1)) + 1),
        IFERROR(VALUE($H136),0) * MAX(0, MIN($H$1, DATE(Initialisatie!$C$5,12,31)) - MAX($H$2, DATE(Initialisatie!$C$5,1,1)) + 1)
    ) / (DATE(Initialisatie!$C$5,12,31) - DATE(Initialisatie!$C$5,1,1) + 1)
)</f>
        <v>6409.2767123287667</v>
      </c>
      <c r="K136">
        <f>IF(
    OR(
        AND(MAX(0, IF(MIN($D$1, DATE(Initialisatie!$C$5,12,31)) &lt; MAX($D$2, DATE(Initialisatie!$C$5,1,1)), 0, MONTH(MIN($D$1, DATE(Initialisatie!$C$5,12,31))) - MONTH(MAX($D$2, DATE(Initialisatie!$C$5,1,1))) + 1)) &lt;= 0, IFERROR(VALUE($D136),0)=0),
        AND(MAX(0, IF(MIN($E$1, DATE(Initialisatie!$C$5,12,31)) &lt; MAX($E$2, DATE(Initialisatie!$C$5,1,1)), 0, MONTH(MIN($E$1, DATE(Initialisatie!$C$5,12,31))) - MONTH(MAX($E$2, DATE(Initialisatie!$C$5,1,1))) + 1)) &lt;= 0, IFERROR(VALUE($E136),0)=0),
        AND(MAX(0, IF(MIN($F$1, DATE(Initialisatie!$C$5,12,31)) &lt; MAX($F$2, DATE(Initialisatie!$C$5,1,1)), 0, MONTH(MIN($F$1, DATE(Initialisatie!$C$5,12,31))) - MONTH(MAX($F$2, DATE(Initialisatie!$C$5,1,1))) + 1)) &lt;= 0, IFERROR(VALUE($F136),0)=0),
        AND(MAX(0, IF(MIN($G$1, DATE(Initialisatie!$C$5,12,31)) &lt; MAX($G$2, DATE(Initialisatie!$C$5,1,1)), 0, MONTH(MIN($G$1, DATE(Initialisatie!$C$5,12,31))) - MONTH(MAX($G$2, DATE(Initialisatie!$C$5,1,1))) + 1)) &lt;= 0, IFERROR(VALUE($G136),0)=0),
        AND(MAX(0, IF(MIN($H$1, DATE(Initialisatie!$C$5,12,31)) &lt; MAX($H$2, DATE(Initialisatie!$C$5,1,1)), 0, MONTH(MIN($H$1, DATE(Initialisatie!$C$5,12,31))) - MONTH(MAX($H$2, DATE(Initialisatie!$C$5,1,1))) + 1)) &lt;= 0, IFERROR(VALUE($H136),0)=0)
    ),
    0,
    SUM(
        IFERROR(VALUE($D136),0) * MAX(0, IF(MIN($D$1, DATE(Initialisatie!$C$5,12,31)) &lt; MAX($D$2, DATE(Initialisatie!$C$5,1,1)), 0, MONTH(MIN($D$1, DATE(Initialisatie!$C$5,12,31))) - MONTH(MAX($D$2, DATE(Initialisatie!$C$5,1,1))) + 1)),
        IFERROR(VALUE($E136),0) * MAX(0, IF(MIN($E$1, DATE(Initialisatie!$C$5,12,31)) &lt; MAX($E$2, DATE(Initialisatie!$C$5,1,1)), 0, MONTH(MIN($E$1, DATE(Initialisatie!$C$5,12,31))) - MONTH(MAX($E$2, DATE(Initialisatie!$C$5,1,1))) + 1)),
        IFERROR(VALUE($F136),0) * MAX(0, IF(MIN($F$1, DATE(Initialisatie!$C$5,12,31)) &lt; MAX($F$2, DATE(Initialisatie!$C$5,1,1)), 0, MONTH(MIN($F$1, DATE(Initialisatie!$C$5,12,31))) - MONTH(MAX($F$2, DATE(Initialisatie!$C$5,1,1))) + 1)),
        IFERROR(VALUE($G136),0) * MAX(0, IF(MIN($G$1, DATE(Initialisatie!$C$5,12,31)) &lt; MAX($G$2, DATE(Initialisatie!$C$5,1,1)), 0, MONTH(MIN($G$1, DATE(Initialisatie!$C$5,12,31))) - MONTH(MAX($G$2, DATE(Initialisatie!$C$5,1,1))) + 1)),
        IFERROR(VALUE($H136),0) * MAX(0, IF(MIN($H$1, DATE(Initialisatie!$C$5,12,31)) &lt; MAX($H$2, DATE(Initialisatie!$C$5,1,1)), 0, MONTH(MIN($H$1, DATE(Initialisatie!$C$5,12,31))) - MONTH(MAX($H$2, DATE(Initialisatie!$C$5,1,1))) + 1))
    ) / 12
)</f>
        <v>6408.5</v>
      </c>
    </row>
    <row r="137" spans="1:11" x14ac:dyDescent="0.45">
      <c r="A137" s="989"/>
      <c r="B137" s="371">
        <v>9</v>
      </c>
      <c r="C137" s="371" t="s">
        <v>1440</v>
      </c>
      <c r="D137" t="s">
        <v>1438</v>
      </c>
      <c r="E137" t="s">
        <v>1437</v>
      </c>
      <c r="F137" t="s">
        <v>1439</v>
      </c>
      <c r="G137" t="s">
        <v>1439</v>
      </c>
      <c r="H137" t="s">
        <v>1663</v>
      </c>
      <c r="J137">
        <f>IF(
    OR(
        AND(MAX(0, MIN($D$1, DATE(Initialisatie!$C$5,12,31)) - MAX($D$2, DATE(Initialisatie!$C$5,1,1)) + 1) &gt; 0,IFERROR(VALUE($D137),0)=0),
        AND(MAX(0, MIN($E$1, DATE(Initialisatie!$C$5,12,31)) - MAX($E$2, DATE(Initialisatie!$C$5,1,1)) + 1) &gt; 0,IFERROR(VALUE($E137),0)=0),
        AND(MAX(0, MIN($F$1, DATE(Initialisatie!$C$5,12,31)) - MAX($F$2, DATE(Initialisatie!$C$5,1,1)) + 1) &gt; 0,IFERROR(VALUE($F137),0)=0),
        AND(MAX(0, MIN($G$1, DATE(Initialisatie!$C$5,12,31)) - MAX($G$2, DATE(Initialisatie!$C$5,1,1)) + 1) &gt; 0,IFERROR(VALUE($G137),0)=0),
        AND(MAX(0, MIN($H$1, DATE(Initialisatie!$C$5,12,31)) - MAX($H$2, DATE(Initialisatie!$C$5,1,1)) + 1) &gt; 0,IFERROR(VALUE($H137),0)=0)
    ),
    0,
    SUM(
        IFERROR(VALUE($D137),0) * MAX(0, MIN($D$1, DATE(Initialisatie!$C$5,12,31)) - MAX($D$2, DATE(Initialisatie!$C$5,1,1)) + 1),
        IFERROR(VALUE($E137),0) * MAX(0, MIN($E$1, DATE(Initialisatie!$C$5,12,31)) - MAX($E$2, DATE(Initialisatie!$C$5,1,1)) + 1),
        IFERROR(VALUE($F137),0) * MAX(0, MIN($F$1, DATE(Initialisatie!$C$5,12,31)) - MAX($F$2, DATE(Initialisatie!$C$5,1,1)) + 1),
        IFERROR(VALUE($G137),0) * MAX(0, MIN($G$1, DATE(Initialisatie!$C$5,12,31)) - MAX($G$2, DATE(Initialisatie!$C$5,1,1)) + 1),
        IFERROR(VALUE($H137),0) * MAX(0, MIN($H$1, DATE(Initialisatie!$C$5,12,31)) - MAX($H$2, DATE(Initialisatie!$C$5,1,1)) + 1)
    ) / (DATE(Initialisatie!$C$5,12,31) - DATE(Initialisatie!$C$5,1,1) + 1)
)</f>
        <v>6491.7890410958908</v>
      </c>
      <c r="K137">
        <f>IF(
    OR(
        AND(MAX(0, IF(MIN($D$1, DATE(Initialisatie!$C$5,12,31)) &lt; MAX($D$2, DATE(Initialisatie!$C$5,1,1)), 0, MONTH(MIN($D$1, DATE(Initialisatie!$C$5,12,31))) - MONTH(MAX($D$2, DATE(Initialisatie!$C$5,1,1))) + 1)) &lt;= 0, IFERROR(VALUE($D137),0)=0),
        AND(MAX(0, IF(MIN($E$1, DATE(Initialisatie!$C$5,12,31)) &lt; MAX($E$2, DATE(Initialisatie!$C$5,1,1)), 0, MONTH(MIN($E$1, DATE(Initialisatie!$C$5,12,31))) - MONTH(MAX($E$2, DATE(Initialisatie!$C$5,1,1))) + 1)) &lt;= 0, IFERROR(VALUE($E137),0)=0),
        AND(MAX(0, IF(MIN($F$1, DATE(Initialisatie!$C$5,12,31)) &lt; MAX($F$2, DATE(Initialisatie!$C$5,1,1)), 0, MONTH(MIN($F$1, DATE(Initialisatie!$C$5,12,31))) - MONTH(MAX($F$2, DATE(Initialisatie!$C$5,1,1))) + 1)) &lt;= 0, IFERROR(VALUE($F137),0)=0),
        AND(MAX(0, IF(MIN($G$1, DATE(Initialisatie!$C$5,12,31)) &lt; MAX($G$2, DATE(Initialisatie!$C$5,1,1)), 0, MONTH(MIN($G$1, DATE(Initialisatie!$C$5,12,31))) - MONTH(MAX($G$2, DATE(Initialisatie!$C$5,1,1))) + 1)) &lt;= 0, IFERROR(VALUE($G137),0)=0),
        AND(MAX(0, IF(MIN($H$1, DATE(Initialisatie!$C$5,12,31)) &lt; MAX($H$2, DATE(Initialisatie!$C$5,1,1)), 0, MONTH(MIN($H$1, DATE(Initialisatie!$C$5,12,31))) - MONTH(MAX($H$2, DATE(Initialisatie!$C$5,1,1))) + 1)) &lt;= 0, IFERROR(VALUE($H137),0)=0)
    ),
    0,
    SUM(
        IFERROR(VALUE($D137),0) * MAX(0, IF(MIN($D$1, DATE(Initialisatie!$C$5,12,31)) &lt; MAX($D$2, DATE(Initialisatie!$C$5,1,1)), 0, MONTH(MIN($D$1, DATE(Initialisatie!$C$5,12,31))) - MONTH(MAX($D$2, DATE(Initialisatie!$C$5,1,1))) + 1)),
        IFERROR(VALUE($E137),0) * MAX(0, IF(MIN($E$1, DATE(Initialisatie!$C$5,12,31)) &lt; MAX($E$2, DATE(Initialisatie!$C$5,1,1)), 0, MONTH(MIN($E$1, DATE(Initialisatie!$C$5,12,31))) - MONTH(MAX($E$2, DATE(Initialisatie!$C$5,1,1))) + 1)),
        IFERROR(VALUE($F137),0) * MAX(0, IF(MIN($F$1, DATE(Initialisatie!$C$5,12,31)) &lt; MAX($F$2, DATE(Initialisatie!$C$5,1,1)), 0, MONTH(MIN($F$1, DATE(Initialisatie!$C$5,12,31))) - MONTH(MAX($F$2, DATE(Initialisatie!$C$5,1,1))) + 1)),
        IFERROR(VALUE($G137),0) * MAX(0, IF(MIN($G$1, DATE(Initialisatie!$C$5,12,31)) &lt; MAX($G$2, DATE(Initialisatie!$C$5,1,1)), 0, MONTH(MIN($G$1, DATE(Initialisatie!$C$5,12,31))) - MONTH(MAX($G$2, DATE(Initialisatie!$C$5,1,1))) + 1)),
        IFERROR(VALUE($H137),0) * MAX(0, IF(MIN($H$1, DATE(Initialisatie!$C$5,12,31)) &lt; MAX($H$2, DATE(Initialisatie!$C$5,1,1)), 0, MONTH(MIN($H$1, DATE(Initialisatie!$C$5,12,31))) - MONTH(MAX($H$2, DATE(Initialisatie!$C$5,1,1))) + 1))
    ) / 12
)</f>
        <v>6491</v>
      </c>
    </row>
    <row r="138" spans="1:11" x14ac:dyDescent="0.45">
      <c r="A138" s="989"/>
      <c r="B138" s="371">
        <v>10</v>
      </c>
      <c r="C138" s="371" t="s">
        <v>1436</v>
      </c>
      <c r="D138" t="s">
        <v>1434</v>
      </c>
      <c r="E138" t="s">
        <v>1433</v>
      </c>
      <c r="F138" t="s">
        <v>1435</v>
      </c>
      <c r="G138" t="s">
        <v>1435</v>
      </c>
      <c r="H138" t="s">
        <v>1664</v>
      </c>
      <c r="J138">
        <f>IF(
    OR(
        AND(MAX(0, MIN($D$1, DATE(Initialisatie!$C$5,12,31)) - MAX($D$2, DATE(Initialisatie!$C$5,1,1)) + 1) &gt; 0,IFERROR(VALUE($D138),0)=0),
        AND(MAX(0, MIN($E$1, DATE(Initialisatie!$C$5,12,31)) - MAX($E$2, DATE(Initialisatie!$C$5,1,1)) + 1) &gt; 0,IFERROR(VALUE($E138),0)=0),
        AND(MAX(0, MIN($F$1, DATE(Initialisatie!$C$5,12,31)) - MAX($F$2, DATE(Initialisatie!$C$5,1,1)) + 1) &gt; 0,IFERROR(VALUE($F138),0)=0),
        AND(MAX(0, MIN($G$1, DATE(Initialisatie!$C$5,12,31)) - MAX($G$2, DATE(Initialisatie!$C$5,1,1)) + 1) &gt; 0,IFERROR(VALUE($G138),0)=0),
        AND(MAX(0, MIN($H$1, DATE(Initialisatie!$C$5,12,31)) - MAX($H$2, DATE(Initialisatie!$C$5,1,1)) + 1) &gt; 0,IFERROR(VALUE($H138),0)=0)
    ),
    0,
    SUM(
        IFERROR(VALUE($D138),0) * MAX(0, MIN($D$1, DATE(Initialisatie!$C$5,12,31)) - MAX($D$2, DATE(Initialisatie!$C$5,1,1)) + 1),
        IFERROR(VALUE($E138),0) * MAX(0, MIN($E$1, DATE(Initialisatie!$C$5,12,31)) - MAX($E$2, DATE(Initialisatie!$C$5,1,1)) + 1),
        IFERROR(VALUE($F138),0) * MAX(0, MIN($F$1, DATE(Initialisatie!$C$5,12,31)) - MAX($F$2, DATE(Initialisatie!$C$5,1,1)) + 1),
        IFERROR(VALUE($G138),0) * MAX(0, MIN($G$1, DATE(Initialisatie!$C$5,12,31)) - MAX($G$2, DATE(Initialisatie!$C$5,1,1)) + 1),
        IFERROR(VALUE($H138),0) * MAX(0, MIN($H$1, DATE(Initialisatie!$C$5,12,31)) - MAX($H$2, DATE(Initialisatie!$C$5,1,1)) + 1)
    ) / (DATE(Initialisatie!$C$5,12,31) - DATE(Initialisatie!$C$5,1,1) + 1)
)</f>
        <v>6574.3013698630139</v>
      </c>
      <c r="K138">
        <f>IF(
    OR(
        AND(MAX(0, IF(MIN($D$1, DATE(Initialisatie!$C$5,12,31)) &lt; MAX($D$2, DATE(Initialisatie!$C$5,1,1)), 0, MONTH(MIN($D$1, DATE(Initialisatie!$C$5,12,31))) - MONTH(MAX($D$2, DATE(Initialisatie!$C$5,1,1))) + 1)) &lt;= 0, IFERROR(VALUE($D138),0)=0),
        AND(MAX(0, IF(MIN($E$1, DATE(Initialisatie!$C$5,12,31)) &lt; MAX($E$2, DATE(Initialisatie!$C$5,1,1)), 0, MONTH(MIN($E$1, DATE(Initialisatie!$C$5,12,31))) - MONTH(MAX($E$2, DATE(Initialisatie!$C$5,1,1))) + 1)) &lt;= 0, IFERROR(VALUE($E138),0)=0),
        AND(MAX(0, IF(MIN($F$1, DATE(Initialisatie!$C$5,12,31)) &lt; MAX($F$2, DATE(Initialisatie!$C$5,1,1)), 0, MONTH(MIN($F$1, DATE(Initialisatie!$C$5,12,31))) - MONTH(MAX($F$2, DATE(Initialisatie!$C$5,1,1))) + 1)) &lt;= 0, IFERROR(VALUE($F138),0)=0),
        AND(MAX(0, IF(MIN($G$1, DATE(Initialisatie!$C$5,12,31)) &lt; MAX($G$2, DATE(Initialisatie!$C$5,1,1)), 0, MONTH(MIN($G$1, DATE(Initialisatie!$C$5,12,31))) - MONTH(MAX($G$2, DATE(Initialisatie!$C$5,1,1))) + 1)) &lt;= 0, IFERROR(VALUE($G138),0)=0),
        AND(MAX(0, IF(MIN($H$1, DATE(Initialisatie!$C$5,12,31)) &lt; MAX($H$2, DATE(Initialisatie!$C$5,1,1)), 0, MONTH(MIN($H$1, DATE(Initialisatie!$C$5,12,31))) - MONTH(MAX($H$2, DATE(Initialisatie!$C$5,1,1))) + 1)) &lt;= 0, IFERROR(VALUE($H138),0)=0)
    ),
    0,
    SUM(
        IFERROR(VALUE($D138),0) * MAX(0, IF(MIN($D$1, DATE(Initialisatie!$C$5,12,31)) &lt; MAX($D$2, DATE(Initialisatie!$C$5,1,1)), 0, MONTH(MIN($D$1, DATE(Initialisatie!$C$5,12,31))) - MONTH(MAX($D$2, DATE(Initialisatie!$C$5,1,1))) + 1)),
        IFERROR(VALUE($E138),0) * MAX(0, IF(MIN($E$1, DATE(Initialisatie!$C$5,12,31)) &lt; MAX($E$2, DATE(Initialisatie!$C$5,1,1)), 0, MONTH(MIN($E$1, DATE(Initialisatie!$C$5,12,31))) - MONTH(MAX($E$2, DATE(Initialisatie!$C$5,1,1))) + 1)),
        IFERROR(VALUE($F138),0) * MAX(0, IF(MIN($F$1, DATE(Initialisatie!$C$5,12,31)) &lt; MAX($F$2, DATE(Initialisatie!$C$5,1,1)), 0, MONTH(MIN($F$1, DATE(Initialisatie!$C$5,12,31))) - MONTH(MAX($F$2, DATE(Initialisatie!$C$5,1,1))) + 1)),
        IFERROR(VALUE($G138),0) * MAX(0, IF(MIN($G$1, DATE(Initialisatie!$C$5,12,31)) &lt; MAX($G$2, DATE(Initialisatie!$C$5,1,1)), 0, MONTH(MIN($G$1, DATE(Initialisatie!$C$5,12,31))) - MONTH(MAX($G$2, DATE(Initialisatie!$C$5,1,1))) + 1)),
        IFERROR(VALUE($H138),0) * MAX(0, IF(MIN($H$1, DATE(Initialisatie!$C$5,12,31)) &lt; MAX($H$2, DATE(Initialisatie!$C$5,1,1)), 0, MONTH(MIN($H$1, DATE(Initialisatie!$C$5,12,31))) - MONTH(MAX($H$2, DATE(Initialisatie!$C$5,1,1))) + 1))
    ) / 12
)</f>
        <v>6573.5</v>
      </c>
    </row>
    <row r="139" spans="1:11" x14ac:dyDescent="0.45">
      <c r="A139" s="989"/>
      <c r="B139" s="371">
        <v>11</v>
      </c>
      <c r="C139" s="371" t="s">
        <v>1412</v>
      </c>
      <c r="D139" t="s">
        <v>1410</v>
      </c>
      <c r="E139" t="s">
        <v>1409</v>
      </c>
      <c r="F139" t="s">
        <v>1411</v>
      </c>
      <c r="G139" t="s">
        <v>1411</v>
      </c>
      <c r="H139" t="s">
        <v>1665</v>
      </c>
      <c r="J139">
        <f>IF(
    OR(
        AND(MAX(0, MIN($D$1, DATE(Initialisatie!$C$5,12,31)) - MAX($D$2, DATE(Initialisatie!$C$5,1,1)) + 1) &gt; 0,IFERROR(VALUE($D139),0)=0),
        AND(MAX(0, MIN($E$1, DATE(Initialisatie!$C$5,12,31)) - MAX($E$2, DATE(Initialisatie!$C$5,1,1)) + 1) &gt; 0,IFERROR(VALUE($E139),0)=0),
        AND(MAX(0, MIN($F$1, DATE(Initialisatie!$C$5,12,31)) - MAX($F$2, DATE(Initialisatie!$C$5,1,1)) + 1) &gt; 0,IFERROR(VALUE($F139),0)=0),
        AND(MAX(0, MIN($G$1, DATE(Initialisatie!$C$5,12,31)) - MAX($G$2, DATE(Initialisatie!$C$5,1,1)) + 1) &gt; 0,IFERROR(VALUE($G139),0)=0),
        AND(MAX(0, MIN($H$1, DATE(Initialisatie!$C$5,12,31)) - MAX($H$2, DATE(Initialisatie!$C$5,1,1)) + 1) &gt; 0,IFERROR(VALUE($H139),0)=0)
    ),
    0,
    SUM(
        IFERROR(VALUE($D139),0) * MAX(0, MIN($D$1, DATE(Initialisatie!$C$5,12,31)) - MAX($D$2, DATE(Initialisatie!$C$5,1,1)) + 1),
        IFERROR(VALUE($E139),0) * MAX(0, MIN($E$1, DATE(Initialisatie!$C$5,12,31)) - MAX($E$2, DATE(Initialisatie!$C$5,1,1)) + 1),
        IFERROR(VALUE($F139),0) * MAX(0, MIN($F$1, DATE(Initialisatie!$C$5,12,31)) - MAX($F$2, DATE(Initialisatie!$C$5,1,1)) + 1),
        IFERROR(VALUE($G139),0) * MAX(0, MIN($G$1, DATE(Initialisatie!$C$5,12,31)) - MAX($G$2, DATE(Initialisatie!$C$5,1,1)) + 1),
        IFERROR(VALUE($H139),0) * MAX(0, MIN($H$1, DATE(Initialisatie!$C$5,12,31)) - MAX($H$2, DATE(Initialisatie!$C$5,1,1)) + 1)
    ) / (DATE(Initialisatie!$C$5,12,31) - DATE(Initialisatie!$C$5,1,1) + 1)
)</f>
        <v>6658.3095890410959</v>
      </c>
      <c r="K139">
        <f>IF(
    OR(
        AND(MAX(0, IF(MIN($D$1, DATE(Initialisatie!$C$5,12,31)) &lt; MAX($D$2, DATE(Initialisatie!$C$5,1,1)), 0, MONTH(MIN($D$1, DATE(Initialisatie!$C$5,12,31))) - MONTH(MAX($D$2, DATE(Initialisatie!$C$5,1,1))) + 1)) &lt;= 0, IFERROR(VALUE($D139),0)=0),
        AND(MAX(0, IF(MIN($E$1, DATE(Initialisatie!$C$5,12,31)) &lt; MAX($E$2, DATE(Initialisatie!$C$5,1,1)), 0, MONTH(MIN($E$1, DATE(Initialisatie!$C$5,12,31))) - MONTH(MAX($E$2, DATE(Initialisatie!$C$5,1,1))) + 1)) &lt;= 0, IFERROR(VALUE($E139),0)=0),
        AND(MAX(0, IF(MIN($F$1, DATE(Initialisatie!$C$5,12,31)) &lt; MAX($F$2, DATE(Initialisatie!$C$5,1,1)), 0, MONTH(MIN($F$1, DATE(Initialisatie!$C$5,12,31))) - MONTH(MAX($F$2, DATE(Initialisatie!$C$5,1,1))) + 1)) &lt;= 0, IFERROR(VALUE($F139),0)=0),
        AND(MAX(0, IF(MIN($G$1, DATE(Initialisatie!$C$5,12,31)) &lt; MAX($G$2, DATE(Initialisatie!$C$5,1,1)), 0, MONTH(MIN($G$1, DATE(Initialisatie!$C$5,12,31))) - MONTH(MAX($G$2, DATE(Initialisatie!$C$5,1,1))) + 1)) &lt;= 0, IFERROR(VALUE($G139),0)=0),
        AND(MAX(0, IF(MIN($H$1, DATE(Initialisatie!$C$5,12,31)) &lt; MAX($H$2, DATE(Initialisatie!$C$5,1,1)), 0, MONTH(MIN($H$1, DATE(Initialisatie!$C$5,12,31))) - MONTH(MAX($H$2, DATE(Initialisatie!$C$5,1,1))) + 1)) &lt;= 0, IFERROR(VALUE($H139),0)=0)
    ),
    0,
    SUM(
        IFERROR(VALUE($D139),0) * MAX(0, IF(MIN($D$1, DATE(Initialisatie!$C$5,12,31)) &lt; MAX($D$2, DATE(Initialisatie!$C$5,1,1)), 0, MONTH(MIN($D$1, DATE(Initialisatie!$C$5,12,31))) - MONTH(MAX($D$2, DATE(Initialisatie!$C$5,1,1))) + 1)),
        IFERROR(VALUE($E139),0) * MAX(0, IF(MIN($E$1, DATE(Initialisatie!$C$5,12,31)) &lt; MAX($E$2, DATE(Initialisatie!$C$5,1,1)), 0, MONTH(MIN($E$1, DATE(Initialisatie!$C$5,12,31))) - MONTH(MAX($E$2, DATE(Initialisatie!$C$5,1,1))) + 1)),
        IFERROR(VALUE($F139),0) * MAX(0, IF(MIN($F$1, DATE(Initialisatie!$C$5,12,31)) &lt; MAX($F$2, DATE(Initialisatie!$C$5,1,1)), 0, MONTH(MIN($F$1, DATE(Initialisatie!$C$5,12,31))) - MONTH(MAX($F$2, DATE(Initialisatie!$C$5,1,1))) + 1)),
        IFERROR(VALUE($G139),0) * MAX(0, IF(MIN($G$1, DATE(Initialisatie!$C$5,12,31)) &lt; MAX($G$2, DATE(Initialisatie!$C$5,1,1)), 0, MONTH(MIN($G$1, DATE(Initialisatie!$C$5,12,31))) - MONTH(MAX($G$2, DATE(Initialisatie!$C$5,1,1))) + 1)),
        IFERROR(VALUE($H139),0) * MAX(0, IF(MIN($H$1, DATE(Initialisatie!$C$5,12,31)) &lt; MAX($H$2, DATE(Initialisatie!$C$5,1,1)), 0, MONTH(MIN($H$1, DATE(Initialisatie!$C$5,12,31))) - MONTH(MAX($H$2, DATE(Initialisatie!$C$5,1,1))) + 1))
    ) / 12
)</f>
        <v>6657.5</v>
      </c>
    </row>
    <row r="140" spans="1:11" x14ac:dyDescent="0.45">
      <c r="A140" s="989"/>
      <c r="B140" s="371">
        <v>12</v>
      </c>
      <c r="C140" s="371" t="s">
        <v>1432</v>
      </c>
      <c r="D140" t="s">
        <v>1430</v>
      </c>
      <c r="E140" t="s">
        <v>1429</v>
      </c>
      <c r="F140" t="s">
        <v>1431</v>
      </c>
      <c r="G140" t="s">
        <v>1431</v>
      </c>
      <c r="H140" t="s">
        <v>1666</v>
      </c>
      <c r="J140">
        <f>IF(
    OR(
        AND(MAX(0, MIN($D$1, DATE(Initialisatie!$C$5,12,31)) - MAX($D$2, DATE(Initialisatie!$C$5,1,1)) + 1) &gt; 0,IFERROR(VALUE($D140),0)=0),
        AND(MAX(0, MIN($E$1, DATE(Initialisatie!$C$5,12,31)) - MAX($E$2, DATE(Initialisatie!$C$5,1,1)) + 1) &gt; 0,IFERROR(VALUE($E140),0)=0),
        AND(MAX(0, MIN($F$1, DATE(Initialisatie!$C$5,12,31)) - MAX($F$2, DATE(Initialisatie!$C$5,1,1)) + 1) &gt; 0,IFERROR(VALUE($F140),0)=0),
        AND(MAX(0, MIN($G$1, DATE(Initialisatie!$C$5,12,31)) - MAX($G$2, DATE(Initialisatie!$C$5,1,1)) + 1) &gt; 0,IFERROR(VALUE($G140),0)=0),
        AND(MAX(0, MIN($H$1, DATE(Initialisatie!$C$5,12,31)) - MAX($H$2, DATE(Initialisatie!$C$5,1,1)) + 1) &gt; 0,IFERROR(VALUE($H140),0)=0)
    ),
    0,
    SUM(
        IFERROR(VALUE($D140),0) * MAX(0, MIN($D$1, DATE(Initialisatie!$C$5,12,31)) - MAX($D$2, DATE(Initialisatie!$C$5,1,1)) + 1),
        IFERROR(VALUE($E140),0) * MAX(0, MIN($E$1, DATE(Initialisatie!$C$5,12,31)) - MAX($E$2, DATE(Initialisatie!$C$5,1,1)) + 1),
        IFERROR(VALUE($F140),0) * MAX(0, MIN($F$1, DATE(Initialisatie!$C$5,12,31)) - MAX($F$2, DATE(Initialisatie!$C$5,1,1)) + 1),
        IFERROR(VALUE($G140),0) * MAX(0, MIN($G$1, DATE(Initialisatie!$C$5,12,31)) - MAX($G$2, DATE(Initialisatie!$C$5,1,1)) + 1),
        IFERROR(VALUE($H140),0) * MAX(0, MIN($H$1, DATE(Initialisatie!$C$5,12,31)) - MAX($H$2, DATE(Initialisatie!$C$5,1,1)) + 1)
    ) / (DATE(Initialisatie!$C$5,12,31) - DATE(Initialisatie!$C$5,1,1) + 1)
)</f>
        <v>6738.317808219178</v>
      </c>
      <c r="K140">
        <f>IF(
    OR(
        AND(MAX(0, IF(MIN($D$1, DATE(Initialisatie!$C$5,12,31)) &lt; MAX($D$2, DATE(Initialisatie!$C$5,1,1)), 0, MONTH(MIN($D$1, DATE(Initialisatie!$C$5,12,31))) - MONTH(MAX($D$2, DATE(Initialisatie!$C$5,1,1))) + 1)) &lt;= 0, IFERROR(VALUE($D140),0)=0),
        AND(MAX(0, IF(MIN($E$1, DATE(Initialisatie!$C$5,12,31)) &lt; MAX($E$2, DATE(Initialisatie!$C$5,1,1)), 0, MONTH(MIN($E$1, DATE(Initialisatie!$C$5,12,31))) - MONTH(MAX($E$2, DATE(Initialisatie!$C$5,1,1))) + 1)) &lt;= 0, IFERROR(VALUE($E140),0)=0),
        AND(MAX(0, IF(MIN($F$1, DATE(Initialisatie!$C$5,12,31)) &lt; MAX($F$2, DATE(Initialisatie!$C$5,1,1)), 0, MONTH(MIN($F$1, DATE(Initialisatie!$C$5,12,31))) - MONTH(MAX($F$2, DATE(Initialisatie!$C$5,1,1))) + 1)) &lt;= 0, IFERROR(VALUE($F140),0)=0),
        AND(MAX(0, IF(MIN($G$1, DATE(Initialisatie!$C$5,12,31)) &lt; MAX($G$2, DATE(Initialisatie!$C$5,1,1)), 0, MONTH(MIN($G$1, DATE(Initialisatie!$C$5,12,31))) - MONTH(MAX($G$2, DATE(Initialisatie!$C$5,1,1))) + 1)) &lt;= 0, IFERROR(VALUE($G140),0)=0),
        AND(MAX(0, IF(MIN($H$1, DATE(Initialisatie!$C$5,12,31)) &lt; MAX($H$2, DATE(Initialisatie!$C$5,1,1)), 0, MONTH(MIN($H$1, DATE(Initialisatie!$C$5,12,31))) - MONTH(MAX($H$2, DATE(Initialisatie!$C$5,1,1))) + 1)) &lt;= 0, IFERROR(VALUE($H140),0)=0)
    ),
    0,
    SUM(
        IFERROR(VALUE($D140),0) * MAX(0, IF(MIN($D$1, DATE(Initialisatie!$C$5,12,31)) &lt; MAX($D$2, DATE(Initialisatie!$C$5,1,1)), 0, MONTH(MIN($D$1, DATE(Initialisatie!$C$5,12,31))) - MONTH(MAX($D$2, DATE(Initialisatie!$C$5,1,1))) + 1)),
        IFERROR(VALUE($E140),0) * MAX(0, IF(MIN($E$1, DATE(Initialisatie!$C$5,12,31)) &lt; MAX($E$2, DATE(Initialisatie!$C$5,1,1)), 0, MONTH(MIN($E$1, DATE(Initialisatie!$C$5,12,31))) - MONTH(MAX($E$2, DATE(Initialisatie!$C$5,1,1))) + 1)),
        IFERROR(VALUE($F140),0) * MAX(0, IF(MIN($F$1, DATE(Initialisatie!$C$5,12,31)) &lt; MAX($F$2, DATE(Initialisatie!$C$5,1,1)), 0, MONTH(MIN($F$1, DATE(Initialisatie!$C$5,12,31))) - MONTH(MAX($F$2, DATE(Initialisatie!$C$5,1,1))) + 1)),
        IFERROR(VALUE($G140),0) * MAX(0, IF(MIN($G$1, DATE(Initialisatie!$C$5,12,31)) &lt; MAX($G$2, DATE(Initialisatie!$C$5,1,1)), 0, MONTH(MIN($G$1, DATE(Initialisatie!$C$5,12,31))) - MONTH(MAX($G$2, DATE(Initialisatie!$C$5,1,1))) + 1)),
        IFERROR(VALUE($H140),0) * MAX(0, IF(MIN($H$1, DATE(Initialisatie!$C$5,12,31)) &lt; MAX($H$2, DATE(Initialisatie!$C$5,1,1)), 0, MONTH(MIN($H$1, DATE(Initialisatie!$C$5,12,31))) - MONTH(MAX($H$2, DATE(Initialisatie!$C$5,1,1))) + 1))
    ) / 12
)</f>
        <v>6737.5</v>
      </c>
    </row>
    <row r="141" spans="1:11" x14ac:dyDescent="0.45">
      <c r="A141" s="990"/>
      <c r="B141" s="371">
        <v>13</v>
      </c>
      <c r="C141" s="371" t="s">
        <v>1428</v>
      </c>
      <c r="D141" t="s">
        <v>1426</v>
      </c>
      <c r="E141" t="s">
        <v>1425</v>
      </c>
      <c r="F141" t="s">
        <v>1427</v>
      </c>
      <c r="G141" t="s">
        <v>1427</v>
      </c>
      <c r="H141" t="s">
        <v>1667</v>
      </c>
      <c r="J141">
        <f>IF(
    OR(
        AND(MAX(0, MIN($D$1, DATE(Initialisatie!$C$5,12,31)) - MAX($D$2, DATE(Initialisatie!$C$5,1,1)) + 1) &gt; 0,IFERROR(VALUE($D141),0)=0),
        AND(MAX(0, MIN($E$1, DATE(Initialisatie!$C$5,12,31)) - MAX($E$2, DATE(Initialisatie!$C$5,1,1)) + 1) &gt; 0,IFERROR(VALUE($E141),0)=0),
        AND(MAX(0, MIN($F$1, DATE(Initialisatie!$C$5,12,31)) - MAX($F$2, DATE(Initialisatie!$C$5,1,1)) + 1) &gt; 0,IFERROR(VALUE($F141),0)=0),
        AND(MAX(0, MIN($G$1, DATE(Initialisatie!$C$5,12,31)) - MAX($G$2, DATE(Initialisatie!$C$5,1,1)) + 1) &gt; 0,IFERROR(VALUE($G141),0)=0),
        AND(MAX(0, MIN($H$1, DATE(Initialisatie!$C$5,12,31)) - MAX($H$2, DATE(Initialisatie!$C$5,1,1)) + 1) &gt; 0,IFERROR(VALUE($H141),0)=0)
    ),
    0,
    SUM(
        IFERROR(VALUE($D141),0) * MAX(0, MIN($D$1, DATE(Initialisatie!$C$5,12,31)) - MAX($D$2, DATE(Initialisatie!$C$5,1,1)) + 1),
        IFERROR(VALUE($E141),0) * MAX(0, MIN($E$1, DATE(Initialisatie!$C$5,12,31)) - MAX($E$2, DATE(Initialisatie!$C$5,1,1)) + 1),
        IFERROR(VALUE($F141),0) * MAX(0, MIN($F$1, DATE(Initialisatie!$C$5,12,31)) - MAX($F$2, DATE(Initialisatie!$C$5,1,1)) + 1),
        IFERROR(VALUE($G141),0) * MAX(0, MIN($G$1, DATE(Initialisatie!$C$5,12,31)) - MAX($G$2, DATE(Initialisatie!$C$5,1,1)) + 1),
        IFERROR(VALUE($H141),0) * MAX(0, MIN($H$1, DATE(Initialisatie!$C$5,12,31)) - MAX($H$2, DATE(Initialisatie!$C$5,1,1)) + 1)
    ) / (DATE(Initialisatie!$C$5,12,31) - DATE(Initialisatie!$C$5,1,1) + 1)
)</f>
        <v>6817.8301369863011</v>
      </c>
      <c r="K141">
        <f>IF(
    OR(
        AND(MAX(0, IF(MIN($D$1, DATE(Initialisatie!$C$5,12,31)) &lt; MAX($D$2, DATE(Initialisatie!$C$5,1,1)), 0, MONTH(MIN($D$1, DATE(Initialisatie!$C$5,12,31))) - MONTH(MAX($D$2, DATE(Initialisatie!$C$5,1,1))) + 1)) &lt;= 0, IFERROR(VALUE($D141),0)=0),
        AND(MAX(0, IF(MIN($E$1, DATE(Initialisatie!$C$5,12,31)) &lt; MAX($E$2, DATE(Initialisatie!$C$5,1,1)), 0, MONTH(MIN($E$1, DATE(Initialisatie!$C$5,12,31))) - MONTH(MAX($E$2, DATE(Initialisatie!$C$5,1,1))) + 1)) &lt;= 0, IFERROR(VALUE($E141),0)=0),
        AND(MAX(0, IF(MIN($F$1, DATE(Initialisatie!$C$5,12,31)) &lt; MAX($F$2, DATE(Initialisatie!$C$5,1,1)), 0, MONTH(MIN($F$1, DATE(Initialisatie!$C$5,12,31))) - MONTH(MAX($F$2, DATE(Initialisatie!$C$5,1,1))) + 1)) &lt;= 0, IFERROR(VALUE($F141),0)=0),
        AND(MAX(0, IF(MIN($G$1, DATE(Initialisatie!$C$5,12,31)) &lt; MAX($G$2, DATE(Initialisatie!$C$5,1,1)), 0, MONTH(MIN($G$1, DATE(Initialisatie!$C$5,12,31))) - MONTH(MAX($G$2, DATE(Initialisatie!$C$5,1,1))) + 1)) &lt;= 0, IFERROR(VALUE($G141),0)=0),
        AND(MAX(0, IF(MIN($H$1, DATE(Initialisatie!$C$5,12,31)) &lt; MAX($H$2, DATE(Initialisatie!$C$5,1,1)), 0, MONTH(MIN($H$1, DATE(Initialisatie!$C$5,12,31))) - MONTH(MAX($H$2, DATE(Initialisatie!$C$5,1,1))) + 1)) &lt;= 0, IFERROR(VALUE($H141),0)=0)
    ),
    0,
    SUM(
        IFERROR(VALUE($D141),0) * MAX(0, IF(MIN($D$1, DATE(Initialisatie!$C$5,12,31)) &lt; MAX($D$2, DATE(Initialisatie!$C$5,1,1)), 0, MONTH(MIN($D$1, DATE(Initialisatie!$C$5,12,31))) - MONTH(MAX($D$2, DATE(Initialisatie!$C$5,1,1))) + 1)),
        IFERROR(VALUE($E141),0) * MAX(0, IF(MIN($E$1, DATE(Initialisatie!$C$5,12,31)) &lt; MAX($E$2, DATE(Initialisatie!$C$5,1,1)), 0, MONTH(MIN($E$1, DATE(Initialisatie!$C$5,12,31))) - MONTH(MAX($E$2, DATE(Initialisatie!$C$5,1,1))) + 1)),
        IFERROR(VALUE($F141),0) * MAX(0, IF(MIN($F$1, DATE(Initialisatie!$C$5,12,31)) &lt; MAX($F$2, DATE(Initialisatie!$C$5,1,1)), 0, MONTH(MIN($F$1, DATE(Initialisatie!$C$5,12,31))) - MONTH(MAX($F$2, DATE(Initialisatie!$C$5,1,1))) + 1)),
        IFERROR(VALUE($G141),0) * MAX(0, IF(MIN($G$1, DATE(Initialisatie!$C$5,12,31)) &lt; MAX($G$2, DATE(Initialisatie!$C$5,1,1)), 0, MONTH(MIN($G$1, DATE(Initialisatie!$C$5,12,31))) - MONTH(MAX($G$2, DATE(Initialisatie!$C$5,1,1))) + 1)),
        IFERROR(VALUE($H141),0) * MAX(0, IF(MIN($H$1, DATE(Initialisatie!$C$5,12,31)) &lt; MAX($H$2, DATE(Initialisatie!$C$5,1,1)), 0, MONTH(MIN($H$1, DATE(Initialisatie!$C$5,12,31))) - MONTH(MAX($H$2, DATE(Initialisatie!$C$5,1,1))) + 1))
    ) / 12
)</f>
        <v>6817</v>
      </c>
    </row>
    <row r="142" spans="1:11" x14ac:dyDescent="0.45">
      <c r="A142" s="993">
        <v>70</v>
      </c>
      <c r="B142" s="371">
        <v>0</v>
      </c>
      <c r="C142" s="371" t="s">
        <v>1424</v>
      </c>
      <c r="D142" t="s">
        <v>1422</v>
      </c>
      <c r="E142" t="s">
        <v>1421</v>
      </c>
      <c r="F142" t="s">
        <v>1423</v>
      </c>
      <c r="G142" t="s">
        <v>1423</v>
      </c>
      <c r="H142" t="s">
        <v>1659</v>
      </c>
      <c r="J142">
        <f>IF(
    OR(
        AND(MAX(0, MIN($D$1, DATE(Initialisatie!$C$5,12,31)) - MAX($D$2, DATE(Initialisatie!$C$5,1,1)) + 1) &gt; 0,IFERROR(VALUE($D142),0)=0),
        AND(MAX(0, MIN($E$1, DATE(Initialisatie!$C$5,12,31)) - MAX($E$2, DATE(Initialisatie!$C$5,1,1)) + 1) &gt; 0,IFERROR(VALUE($E142),0)=0),
        AND(MAX(0, MIN($F$1, DATE(Initialisatie!$C$5,12,31)) - MAX($F$2, DATE(Initialisatie!$C$5,1,1)) + 1) &gt; 0,IFERROR(VALUE($F142),0)=0),
        AND(MAX(0, MIN($G$1, DATE(Initialisatie!$C$5,12,31)) - MAX($G$2, DATE(Initialisatie!$C$5,1,1)) + 1) &gt; 0,IFERROR(VALUE($G142),0)=0),
        AND(MAX(0, MIN($H$1, DATE(Initialisatie!$C$5,12,31)) - MAX($H$2, DATE(Initialisatie!$C$5,1,1)) + 1) &gt; 0,IFERROR(VALUE($H142),0)=0)
    ),
    0,
    SUM(
        IFERROR(VALUE($D142),0) * MAX(0, MIN($D$1, DATE(Initialisatie!$C$5,12,31)) - MAX($D$2, DATE(Initialisatie!$C$5,1,1)) + 1),
        IFERROR(VALUE($E142),0) * MAX(0, MIN($E$1, DATE(Initialisatie!$C$5,12,31)) - MAX($E$2, DATE(Initialisatie!$C$5,1,1)) + 1),
        IFERROR(VALUE($F142),0) * MAX(0, MIN($F$1, DATE(Initialisatie!$C$5,12,31)) - MAX($F$2, DATE(Initialisatie!$C$5,1,1)) + 1),
        IFERROR(VALUE($G142),0) * MAX(0, MIN($G$1, DATE(Initialisatie!$C$5,12,31)) - MAX($G$2, DATE(Initialisatie!$C$5,1,1)) + 1),
        IFERROR(VALUE($H142),0) * MAX(0, MIN($H$1, DATE(Initialisatie!$C$5,12,31)) - MAX($H$2, DATE(Initialisatie!$C$5,1,1)) + 1)
    ) / (DATE(Initialisatie!$C$5,12,31) - DATE(Initialisatie!$C$5,1,1) + 1)
)</f>
        <v>5901.2191780821922</v>
      </c>
      <c r="K142">
        <f>IF(
    OR(
        AND(MAX(0, IF(MIN($D$1, DATE(Initialisatie!$C$5,12,31)) &lt; MAX($D$2, DATE(Initialisatie!$C$5,1,1)), 0, MONTH(MIN($D$1, DATE(Initialisatie!$C$5,12,31))) - MONTH(MAX($D$2, DATE(Initialisatie!$C$5,1,1))) + 1)) &lt;= 0, IFERROR(VALUE($D142),0)=0),
        AND(MAX(0, IF(MIN($E$1, DATE(Initialisatie!$C$5,12,31)) &lt; MAX($E$2, DATE(Initialisatie!$C$5,1,1)), 0, MONTH(MIN($E$1, DATE(Initialisatie!$C$5,12,31))) - MONTH(MAX($E$2, DATE(Initialisatie!$C$5,1,1))) + 1)) &lt;= 0, IFERROR(VALUE($E142),0)=0),
        AND(MAX(0, IF(MIN($F$1, DATE(Initialisatie!$C$5,12,31)) &lt; MAX($F$2, DATE(Initialisatie!$C$5,1,1)), 0, MONTH(MIN($F$1, DATE(Initialisatie!$C$5,12,31))) - MONTH(MAX($F$2, DATE(Initialisatie!$C$5,1,1))) + 1)) &lt;= 0, IFERROR(VALUE($F142),0)=0),
        AND(MAX(0, IF(MIN($G$1, DATE(Initialisatie!$C$5,12,31)) &lt; MAX($G$2, DATE(Initialisatie!$C$5,1,1)), 0, MONTH(MIN($G$1, DATE(Initialisatie!$C$5,12,31))) - MONTH(MAX($G$2, DATE(Initialisatie!$C$5,1,1))) + 1)) &lt;= 0, IFERROR(VALUE($G142),0)=0),
        AND(MAX(0, IF(MIN($H$1, DATE(Initialisatie!$C$5,12,31)) &lt; MAX($H$2, DATE(Initialisatie!$C$5,1,1)), 0, MONTH(MIN($H$1, DATE(Initialisatie!$C$5,12,31))) - MONTH(MAX($H$2, DATE(Initialisatie!$C$5,1,1))) + 1)) &lt;= 0, IFERROR(VALUE($H142),0)=0)
    ),
    0,
    SUM(
        IFERROR(VALUE($D142),0) * MAX(0, IF(MIN($D$1, DATE(Initialisatie!$C$5,12,31)) &lt; MAX($D$2, DATE(Initialisatie!$C$5,1,1)), 0, MONTH(MIN($D$1, DATE(Initialisatie!$C$5,12,31))) - MONTH(MAX($D$2, DATE(Initialisatie!$C$5,1,1))) + 1)),
        IFERROR(VALUE($E142),0) * MAX(0, IF(MIN($E$1, DATE(Initialisatie!$C$5,12,31)) &lt; MAX($E$2, DATE(Initialisatie!$C$5,1,1)), 0, MONTH(MIN($E$1, DATE(Initialisatie!$C$5,12,31))) - MONTH(MAX($E$2, DATE(Initialisatie!$C$5,1,1))) + 1)),
        IFERROR(VALUE($F142),0) * MAX(0, IF(MIN($F$1, DATE(Initialisatie!$C$5,12,31)) &lt; MAX($F$2, DATE(Initialisatie!$C$5,1,1)), 0, MONTH(MIN($F$1, DATE(Initialisatie!$C$5,12,31))) - MONTH(MAX($F$2, DATE(Initialisatie!$C$5,1,1))) + 1)),
        IFERROR(VALUE($G142),0) * MAX(0, IF(MIN($G$1, DATE(Initialisatie!$C$5,12,31)) &lt; MAX($G$2, DATE(Initialisatie!$C$5,1,1)), 0, MONTH(MIN($G$1, DATE(Initialisatie!$C$5,12,31))) - MONTH(MAX($G$2, DATE(Initialisatie!$C$5,1,1))) + 1)),
        IFERROR(VALUE($H142),0) * MAX(0, IF(MIN($H$1, DATE(Initialisatie!$C$5,12,31)) &lt; MAX($H$2, DATE(Initialisatie!$C$5,1,1)), 0, MONTH(MIN($H$1, DATE(Initialisatie!$C$5,12,31))) - MONTH(MAX($H$2, DATE(Initialisatie!$C$5,1,1))) + 1))
    ) / 12
)</f>
        <v>5900.5</v>
      </c>
    </row>
    <row r="143" spans="1:11" x14ac:dyDescent="0.45">
      <c r="A143" s="989"/>
      <c r="B143" s="371">
        <v>1</v>
      </c>
      <c r="C143" s="371" t="s">
        <v>1420</v>
      </c>
      <c r="D143" t="s">
        <v>1418</v>
      </c>
      <c r="E143" t="s">
        <v>1417</v>
      </c>
      <c r="F143" t="s">
        <v>1419</v>
      </c>
      <c r="G143" t="s">
        <v>1419</v>
      </c>
      <c r="H143" t="s">
        <v>1668</v>
      </c>
      <c r="J143">
        <f>IF(
    OR(
        AND(MAX(0, MIN($D$1, DATE(Initialisatie!$C$5,12,31)) - MAX($D$2, DATE(Initialisatie!$C$5,1,1)) + 1) &gt; 0,IFERROR(VALUE($D143),0)=0),
        AND(MAX(0, MIN($E$1, DATE(Initialisatie!$C$5,12,31)) - MAX($E$2, DATE(Initialisatie!$C$5,1,1)) + 1) &gt; 0,IFERROR(VALUE($E143),0)=0),
        AND(MAX(0, MIN($F$1, DATE(Initialisatie!$C$5,12,31)) - MAX($F$2, DATE(Initialisatie!$C$5,1,1)) + 1) &gt; 0,IFERROR(VALUE($F143),0)=0),
        AND(MAX(0, MIN($G$1, DATE(Initialisatie!$C$5,12,31)) - MAX($G$2, DATE(Initialisatie!$C$5,1,1)) + 1) &gt; 0,IFERROR(VALUE($G143),0)=0),
        AND(MAX(0, MIN($H$1, DATE(Initialisatie!$C$5,12,31)) - MAX($H$2, DATE(Initialisatie!$C$5,1,1)) + 1) &gt; 0,IFERROR(VALUE($H143),0)=0)
    ),
    0,
    SUM(
        IFERROR(VALUE($D143),0) * MAX(0, MIN($D$1, DATE(Initialisatie!$C$5,12,31)) - MAX($D$2, DATE(Initialisatie!$C$5,1,1)) + 1),
        IFERROR(VALUE($E143),0) * MAX(0, MIN($E$1, DATE(Initialisatie!$C$5,12,31)) - MAX($E$2, DATE(Initialisatie!$C$5,1,1)) + 1),
        IFERROR(VALUE($F143),0) * MAX(0, MIN($F$1, DATE(Initialisatie!$C$5,12,31)) - MAX($F$2, DATE(Initialisatie!$C$5,1,1)) + 1),
        IFERROR(VALUE($G143),0) * MAX(0, MIN($G$1, DATE(Initialisatie!$C$5,12,31)) - MAX($G$2, DATE(Initialisatie!$C$5,1,1)) + 1),
        IFERROR(VALUE($H143),0) * MAX(0, MIN($H$1, DATE(Initialisatie!$C$5,12,31)) - MAX($H$2, DATE(Initialisatie!$C$5,1,1)) + 1)
    ) / (DATE(Initialisatie!$C$5,12,31) - DATE(Initialisatie!$C$5,1,1) + 1)
)</f>
        <v>6156.7479452054795</v>
      </c>
      <c r="K143">
        <f>IF(
    OR(
        AND(MAX(0, IF(MIN($D$1, DATE(Initialisatie!$C$5,12,31)) &lt; MAX($D$2, DATE(Initialisatie!$C$5,1,1)), 0, MONTH(MIN($D$1, DATE(Initialisatie!$C$5,12,31))) - MONTH(MAX($D$2, DATE(Initialisatie!$C$5,1,1))) + 1)) &lt;= 0, IFERROR(VALUE($D143),0)=0),
        AND(MAX(0, IF(MIN($E$1, DATE(Initialisatie!$C$5,12,31)) &lt; MAX($E$2, DATE(Initialisatie!$C$5,1,1)), 0, MONTH(MIN($E$1, DATE(Initialisatie!$C$5,12,31))) - MONTH(MAX($E$2, DATE(Initialisatie!$C$5,1,1))) + 1)) &lt;= 0, IFERROR(VALUE($E143),0)=0),
        AND(MAX(0, IF(MIN($F$1, DATE(Initialisatie!$C$5,12,31)) &lt; MAX($F$2, DATE(Initialisatie!$C$5,1,1)), 0, MONTH(MIN($F$1, DATE(Initialisatie!$C$5,12,31))) - MONTH(MAX($F$2, DATE(Initialisatie!$C$5,1,1))) + 1)) &lt;= 0, IFERROR(VALUE($F143),0)=0),
        AND(MAX(0, IF(MIN($G$1, DATE(Initialisatie!$C$5,12,31)) &lt; MAX($G$2, DATE(Initialisatie!$C$5,1,1)), 0, MONTH(MIN($G$1, DATE(Initialisatie!$C$5,12,31))) - MONTH(MAX($G$2, DATE(Initialisatie!$C$5,1,1))) + 1)) &lt;= 0, IFERROR(VALUE($G143),0)=0),
        AND(MAX(0, IF(MIN($H$1, DATE(Initialisatie!$C$5,12,31)) &lt; MAX($H$2, DATE(Initialisatie!$C$5,1,1)), 0, MONTH(MIN($H$1, DATE(Initialisatie!$C$5,12,31))) - MONTH(MAX($H$2, DATE(Initialisatie!$C$5,1,1))) + 1)) &lt;= 0, IFERROR(VALUE($H143),0)=0)
    ),
    0,
    SUM(
        IFERROR(VALUE($D143),0) * MAX(0, IF(MIN($D$1, DATE(Initialisatie!$C$5,12,31)) &lt; MAX($D$2, DATE(Initialisatie!$C$5,1,1)), 0, MONTH(MIN($D$1, DATE(Initialisatie!$C$5,12,31))) - MONTH(MAX($D$2, DATE(Initialisatie!$C$5,1,1))) + 1)),
        IFERROR(VALUE($E143),0) * MAX(0, IF(MIN($E$1, DATE(Initialisatie!$C$5,12,31)) &lt; MAX($E$2, DATE(Initialisatie!$C$5,1,1)), 0, MONTH(MIN($E$1, DATE(Initialisatie!$C$5,12,31))) - MONTH(MAX($E$2, DATE(Initialisatie!$C$5,1,1))) + 1)),
        IFERROR(VALUE($F143),0) * MAX(0, IF(MIN($F$1, DATE(Initialisatie!$C$5,12,31)) &lt; MAX($F$2, DATE(Initialisatie!$C$5,1,1)), 0, MONTH(MIN($F$1, DATE(Initialisatie!$C$5,12,31))) - MONTH(MAX($F$2, DATE(Initialisatie!$C$5,1,1))) + 1)),
        IFERROR(VALUE($G143),0) * MAX(0, IF(MIN($G$1, DATE(Initialisatie!$C$5,12,31)) &lt; MAX($G$2, DATE(Initialisatie!$C$5,1,1)), 0, MONTH(MIN($G$1, DATE(Initialisatie!$C$5,12,31))) - MONTH(MAX($G$2, DATE(Initialisatie!$C$5,1,1))) + 1)),
        IFERROR(VALUE($H143),0) * MAX(0, IF(MIN($H$1, DATE(Initialisatie!$C$5,12,31)) &lt; MAX($H$2, DATE(Initialisatie!$C$5,1,1)), 0, MONTH(MIN($H$1, DATE(Initialisatie!$C$5,12,31))) - MONTH(MAX($H$2, DATE(Initialisatie!$C$5,1,1))) + 1))
    ) / 12
)</f>
        <v>6156</v>
      </c>
    </row>
    <row r="144" spans="1:11" x14ac:dyDescent="0.45">
      <c r="A144" s="989"/>
      <c r="B144" s="371">
        <v>2</v>
      </c>
      <c r="C144" s="371" t="s">
        <v>1416</v>
      </c>
      <c r="D144" t="s">
        <v>1414</v>
      </c>
      <c r="E144" t="s">
        <v>1413</v>
      </c>
      <c r="F144" t="s">
        <v>1415</v>
      </c>
      <c r="G144" t="s">
        <v>1415</v>
      </c>
      <c r="H144" t="s">
        <v>1662</v>
      </c>
      <c r="J144">
        <f>IF(
    OR(
        AND(MAX(0, MIN($D$1, DATE(Initialisatie!$C$5,12,31)) - MAX($D$2, DATE(Initialisatie!$C$5,1,1)) + 1) &gt; 0,IFERROR(VALUE($D144),0)=0),
        AND(MAX(0, MIN($E$1, DATE(Initialisatie!$C$5,12,31)) - MAX($E$2, DATE(Initialisatie!$C$5,1,1)) + 1) &gt; 0,IFERROR(VALUE($E144),0)=0),
        AND(MAX(0, MIN($F$1, DATE(Initialisatie!$C$5,12,31)) - MAX($F$2, DATE(Initialisatie!$C$5,1,1)) + 1) &gt; 0,IFERROR(VALUE($F144),0)=0),
        AND(MAX(0, MIN($G$1, DATE(Initialisatie!$C$5,12,31)) - MAX($G$2, DATE(Initialisatie!$C$5,1,1)) + 1) &gt; 0,IFERROR(VALUE($G144),0)=0),
        AND(MAX(0, MIN($H$1, DATE(Initialisatie!$C$5,12,31)) - MAX($H$2, DATE(Initialisatie!$C$5,1,1)) + 1) &gt; 0,IFERROR(VALUE($H144),0)=0)
    ),
    0,
    SUM(
        IFERROR(VALUE($D144),0) * MAX(0, MIN($D$1, DATE(Initialisatie!$C$5,12,31)) - MAX($D$2, DATE(Initialisatie!$C$5,1,1)) + 1),
        IFERROR(VALUE($E144),0) * MAX(0, MIN($E$1, DATE(Initialisatie!$C$5,12,31)) - MAX($E$2, DATE(Initialisatie!$C$5,1,1)) + 1),
        IFERROR(VALUE($F144),0) * MAX(0, MIN($F$1, DATE(Initialisatie!$C$5,12,31)) - MAX($F$2, DATE(Initialisatie!$C$5,1,1)) + 1),
        IFERROR(VALUE($G144),0) * MAX(0, MIN($G$1, DATE(Initialisatie!$C$5,12,31)) - MAX($G$2, DATE(Initialisatie!$C$5,1,1)) + 1),
        IFERROR(VALUE($H144),0) * MAX(0, MIN($H$1, DATE(Initialisatie!$C$5,12,31)) - MAX($H$2, DATE(Initialisatie!$C$5,1,1)) + 1)
    ) / (DATE(Initialisatie!$C$5,12,31) - DATE(Initialisatie!$C$5,1,1) + 1)
)</f>
        <v>6409.2767123287667</v>
      </c>
      <c r="K144">
        <f>IF(
    OR(
        AND(MAX(0, IF(MIN($D$1, DATE(Initialisatie!$C$5,12,31)) &lt; MAX($D$2, DATE(Initialisatie!$C$5,1,1)), 0, MONTH(MIN($D$1, DATE(Initialisatie!$C$5,12,31))) - MONTH(MAX($D$2, DATE(Initialisatie!$C$5,1,1))) + 1)) &lt;= 0, IFERROR(VALUE($D144),0)=0),
        AND(MAX(0, IF(MIN($E$1, DATE(Initialisatie!$C$5,12,31)) &lt; MAX($E$2, DATE(Initialisatie!$C$5,1,1)), 0, MONTH(MIN($E$1, DATE(Initialisatie!$C$5,12,31))) - MONTH(MAX($E$2, DATE(Initialisatie!$C$5,1,1))) + 1)) &lt;= 0, IFERROR(VALUE($E144),0)=0),
        AND(MAX(0, IF(MIN($F$1, DATE(Initialisatie!$C$5,12,31)) &lt; MAX($F$2, DATE(Initialisatie!$C$5,1,1)), 0, MONTH(MIN($F$1, DATE(Initialisatie!$C$5,12,31))) - MONTH(MAX($F$2, DATE(Initialisatie!$C$5,1,1))) + 1)) &lt;= 0, IFERROR(VALUE($F144),0)=0),
        AND(MAX(0, IF(MIN($G$1, DATE(Initialisatie!$C$5,12,31)) &lt; MAX($G$2, DATE(Initialisatie!$C$5,1,1)), 0, MONTH(MIN($G$1, DATE(Initialisatie!$C$5,12,31))) - MONTH(MAX($G$2, DATE(Initialisatie!$C$5,1,1))) + 1)) &lt;= 0, IFERROR(VALUE($G144),0)=0),
        AND(MAX(0, IF(MIN($H$1, DATE(Initialisatie!$C$5,12,31)) &lt; MAX($H$2, DATE(Initialisatie!$C$5,1,1)), 0, MONTH(MIN($H$1, DATE(Initialisatie!$C$5,12,31))) - MONTH(MAX($H$2, DATE(Initialisatie!$C$5,1,1))) + 1)) &lt;= 0, IFERROR(VALUE($H144),0)=0)
    ),
    0,
    SUM(
        IFERROR(VALUE($D144),0) * MAX(0, IF(MIN($D$1, DATE(Initialisatie!$C$5,12,31)) &lt; MAX($D$2, DATE(Initialisatie!$C$5,1,1)), 0, MONTH(MIN($D$1, DATE(Initialisatie!$C$5,12,31))) - MONTH(MAX($D$2, DATE(Initialisatie!$C$5,1,1))) + 1)),
        IFERROR(VALUE($E144),0) * MAX(0, IF(MIN($E$1, DATE(Initialisatie!$C$5,12,31)) &lt; MAX($E$2, DATE(Initialisatie!$C$5,1,1)), 0, MONTH(MIN($E$1, DATE(Initialisatie!$C$5,12,31))) - MONTH(MAX($E$2, DATE(Initialisatie!$C$5,1,1))) + 1)),
        IFERROR(VALUE($F144),0) * MAX(0, IF(MIN($F$1, DATE(Initialisatie!$C$5,12,31)) &lt; MAX($F$2, DATE(Initialisatie!$C$5,1,1)), 0, MONTH(MIN($F$1, DATE(Initialisatie!$C$5,12,31))) - MONTH(MAX($F$2, DATE(Initialisatie!$C$5,1,1))) + 1)),
        IFERROR(VALUE($G144),0) * MAX(0, IF(MIN($G$1, DATE(Initialisatie!$C$5,12,31)) &lt; MAX($G$2, DATE(Initialisatie!$C$5,1,1)), 0, MONTH(MIN($G$1, DATE(Initialisatie!$C$5,12,31))) - MONTH(MAX($G$2, DATE(Initialisatie!$C$5,1,1))) + 1)),
        IFERROR(VALUE($H144),0) * MAX(0, IF(MIN($H$1, DATE(Initialisatie!$C$5,12,31)) &lt; MAX($H$2, DATE(Initialisatie!$C$5,1,1)), 0, MONTH(MIN($H$1, DATE(Initialisatie!$C$5,12,31))) - MONTH(MAX($H$2, DATE(Initialisatie!$C$5,1,1))) + 1))
    ) / 12
)</f>
        <v>6408.5</v>
      </c>
    </row>
    <row r="145" spans="1:11" x14ac:dyDescent="0.45">
      <c r="A145" s="989"/>
      <c r="B145" s="371">
        <v>3</v>
      </c>
      <c r="C145" s="371" t="s">
        <v>1412</v>
      </c>
      <c r="D145" t="s">
        <v>1410</v>
      </c>
      <c r="E145" t="s">
        <v>1409</v>
      </c>
      <c r="F145" t="s">
        <v>1411</v>
      </c>
      <c r="G145" t="s">
        <v>1411</v>
      </c>
      <c r="H145" t="s">
        <v>1665</v>
      </c>
      <c r="J145">
        <f>IF(
    OR(
        AND(MAX(0, MIN($D$1, DATE(Initialisatie!$C$5,12,31)) - MAX($D$2, DATE(Initialisatie!$C$5,1,1)) + 1) &gt; 0,IFERROR(VALUE($D145),0)=0),
        AND(MAX(0, MIN($E$1, DATE(Initialisatie!$C$5,12,31)) - MAX($E$2, DATE(Initialisatie!$C$5,1,1)) + 1) &gt; 0,IFERROR(VALUE($E145),0)=0),
        AND(MAX(0, MIN($F$1, DATE(Initialisatie!$C$5,12,31)) - MAX($F$2, DATE(Initialisatie!$C$5,1,1)) + 1) &gt; 0,IFERROR(VALUE($F145),0)=0),
        AND(MAX(0, MIN($G$1, DATE(Initialisatie!$C$5,12,31)) - MAX($G$2, DATE(Initialisatie!$C$5,1,1)) + 1) &gt; 0,IFERROR(VALUE($G145),0)=0),
        AND(MAX(0, MIN($H$1, DATE(Initialisatie!$C$5,12,31)) - MAX($H$2, DATE(Initialisatie!$C$5,1,1)) + 1) &gt; 0,IFERROR(VALUE($H145),0)=0)
    ),
    0,
    SUM(
        IFERROR(VALUE($D145),0) * MAX(0, MIN($D$1, DATE(Initialisatie!$C$5,12,31)) - MAX($D$2, DATE(Initialisatie!$C$5,1,1)) + 1),
        IFERROR(VALUE($E145),0) * MAX(0, MIN($E$1, DATE(Initialisatie!$C$5,12,31)) - MAX($E$2, DATE(Initialisatie!$C$5,1,1)) + 1),
        IFERROR(VALUE($F145),0) * MAX(0, MIN($F$1, DATE(Initialisatie!$C$5,12,31)) - MAX($F$2, DATE(Initialisatie!$C$5,1,1)) + 1),
        IFERROR(VALUE($G145),0) * MAX(0, MIN($G$1, DATE(Initialisatie!$C$5,12,31)) - MAX($G$2, DATE(Initialisatie!$C$5,1,1)) + 1),
        IFERROR(VALUE($H145),0) * MAX(0, MIN($H$1, DATE(Initialisatie!$C$5,12,31)) - MAX($H$2, DATE(Initialisatie!$C$5,1,1)) + 1)
    ) / (DATE(Initialisatie!$C$5,12,31) - DATE(Initialisatie!$C$5,1,1) + 1)
)</f>
        <v>6658.3095890410959</v>
      </c>
      <c r="K145">
        <f>IF(
    OR(
        AND(MAX(0, IF(MIN($D$1, DATE(Initialisatie!$C$5,12,31)) &lt; MAX($D$2, DATE(Initialisatie!$C$5,1,1)), 0, MONTH(MIN($D$1, DATE(Initialisatie!$C$5,12,31))) - MONTH(MAX($D$2, DATE(Initialisatie!$C$5,1,1))) + 1)) &lt;= 0, IFERROR(VALUE($D145),0)=0),
        AND(MAX(0, IF(MIN($E$1, DATE(Initialisatie!$C$5,12,31)) &lt; MAX($E$2, DATE(Initialisatie!$C$5,1,1)), 0, MONTH(MIN($E$1, DATE(Initialisatie!$C$5,12,31))) - MONTH(MAX($E$2, DATE(Initialisatie!$C$5,1,1))) + 1)) &lt;= 0, IFERROR(VALUE($E145),0)=0),
        AND(MAX(0, IF(MIN($F$1, DATE(Initialisatie!$C$5,12,31)) &lt; MAX($F$2, DATE(Initialisatie!$C$5,1,1)), 0, MONTH(MIN($F$1, DATE(Initialisatie!$C$5,12,31))) - MONTH(MAX($F$2, DATE(Initialisatie!$C$5,1,1))) + 1)) &lt;= 0, IFERROR(VALUE($F145),0)=0),
        AND(MAX(0, IF(MIN($G$1, DATE(Initialisatie!$C$5,12,31)) &lt; MAX($G$2, DATE(Initialisatie!$C$5,1,1)), 0, MONTH(MIN($G$1, DATE(Initialisatie!$C$5,12,31))) - MONTH(MAX($G$2, DATE(Initialisatie!$C$5,1,1))) + 1)) &lt;= 0, IFERROR(VALUE($G145),0)=0),
        AND(MAX(0, IF(MIN($H$1, DATE(Initialisatie!$C$5,12,31)) &lt; MAX($H$2, DATE(Initialisatie!$C$5,1,1)), 0, MONTH(MIN($H$1, DATE(Initialisatie!$C$5,12,31))) - MONTH(MAX($H$2, DATE(Initialisatie!$C$5,1,1))) + 1)) &lt;= 0, IFERROR(VALUE($H145),0)=0)
    ),
    0,
    SUM(
        IFERROR(VALUE($D145),0) * MAX(0, IF(MIN($D$1, DATE(Initialisatie!$C$5,12,31)) &lt; MAX($D$2, DATE(Initialisatie!$C$5,1,1)), 0, MONTH(MIN($D$1, DATE(Initialisatie!$C$5,12,31))) - MONTH(MAX($D$2, DATE(Initialisatie!$C$5,1,1))) + 1)),
        IFERROR(VALUE($E145),0) * MAX(0, IF(MIN($E$1, DATE(Initialisatie!$C$5,12,31)) &lt; MAX($E$2, DATE(Initialisatie!$C$5,1,1)), 0, MONTH(MIN($E$1, DATE(Initialisatie!$C$5,12,31))) - MONTH(MAX($E$2, DATE(Initialisatie!$C$5,1,1))) + 1)),
        IFERROR(VALUE($F145),0) * MAX(0, IF(MIN($F$1, DATE(Initialisatie!$C$5,12,31)) &lt; MAX($F$2, DATE(Initialisatie!$C$5,1,1)), 0, MONTH(MIN($F$1, DATE(Initialisatie!$C$5,12,31))) - MONTH(MAX($F$2, DATE(Initialisatie!$C$5,1,1))) + 1)),
        IFERROR(VALUE($G145),0) * MAX(0, IF(MIN($G$1, DATE(Initialisatie!$C$5,12,31)) &lt; MAX($G$2, DATE(Initialisatie!$C$5,1,1)), 0, MONTH(MIN($G$1, DATE(Initialisatie!$C$5,12,31))) - MONTH(MAX($G$2, DATE(Initialisatie!$C$5,1,1))) + 1)),
        IFERROR(VALUE($H145),0) * MAX(0, IF(MIN($H$1, DATE(Initialisatie!$C$5,12,31)) &lt; MAX($H$2, DATE(Initialisatie!$C$5,1,1)), 0, MONTH(MIN($H$1, DATE(Initialisatie!$C$5,12,31))) - MONTH(MAX($H$2, DATE(Initialisatie!$C$5,1,1))) + 1))
    ) / 12
)</f>
        <v>6657.5</v>
      </c>
    </row>
    <row r="146" spans="1:11" x14ac:dyDescent="0.45">
      <c r="A146" s="989"/>
      <c r="B146" s="371">
        <v>4</v>
      </c>
      <c r="C146" s="371" t="s">
        <v>1388</v>
      </c>
      <c r="D146" t="s">
        <v>1386</v>
      </c>
      <c r="E146" t="s">
        <v>1385</v>
      </c>
      <c r="F146" t="s">
        <v>1387</v>
      </c>
      <c r="G146" t="s">
        <v>1387</v>
      </c>
      <c r="H146" t="s">
        <v>1669</v>
      </c>
      <c r="J146">
        <f>IF(
    OR(
        AND(MAX(0, MIN($D$1, DATE(Initialisatie!$C$5,12,31)) - MAX($D$2, DATE(Initialisatie!$C$5,1,1)) + 1) &gt; 0,IFERROR(VALUE($D146),0)=0),
        AND(MAX(0, MIN($E$1, DATE(Initialisatie!$C$5,12,31)) - MAX($E$2, DATE(Initialisatie!$C$5,1,1)) + 1) &gt; 0,IFERROR(VALUE($E146),0)=0),
        AND(MAX(0, MIN($F$1, DATE(Initialisatie!$C$5,12,31)) - MAX($F$2, DATE(Initialisatie!$C$5,1,1)) + 1) &gt; 0,IFERROR(VALUE($F146),0)=0),
        AND(MAX(0, MIN($G$1, DATE(Initialisatie!$C$5,12,31)) - MAX($G$2, DATE(Initialisatie!$C$5,1,1)) + 1) &gt; 0,IFERROR(VALUE($G146),0)=0),
        AND(MAX(0, MIN($H$1, DATE(Initialisatie!$C$5,12,31)) - MAX($H$2, DATE(Initialisatie!$C$5,1,1)) + 1) &gt; 0,IFERROR(VALUE($H146),0)=0)
    ),
    0,
    SUM(
        IFERROR(VALUE($D146),0) * MAX(0, MIN($D$1, DATE(Initialisatie!$C$5,12,31)) - MAX($D$2, DATE(Initialisatie!$C$5,1,1)) + 1),
        IFERROR(VALUE($E146),0) * MAX(0, MIN($E$1, DATE(Initialisatie!$C$5,12,31)) - MAX($E$2, DATE(Initialisatie!$C$5,1,1)) + 1),
        IFERROR(VALUE($F146),0) * MAX(0, MIN($F$1, DATE(Initialisatie!$C$5,12,31)) - MAX($F$2, DATE(Initialisatie!$C$5,1,1)) + 1),
        IFERROR(VALUE($G146),0) * MAX(0, MIN($G$1, DATE(Initialisatie!$C$5,12,31)) - MAX($G$2, DATE(Initialisatie!$C$5,1,1)) + 1),
        IFERROR(VALUE($H146),0) * MAX(0, MIN($H$1, DATE(Initialisatie!$C$5,12,31)) - MAX($H$2, DATE(Initialisatie!$C$5,1,1)) + 1)
    ) / (DATE(Initialisatie!$C$5,12,31) - DATE(Initialisatie!$C$5,1,1) + 1)
)</f>
        <v>6900.8383561643832</v>
      </c>
      <c r="K146">
        <f>IF(
    OR(
        AND(MAX(0, IF(MIN($D$1, DATE(Initialisatie!$C$5,12,31)) &lt; MAX($D$2, DATE(Initialisatie!$C$5,1,1)), 0, MONTH(MIN($D$1, DATE(Initialisatie!$C$5,12,31))) - MONTH(MAX($D$2, DATE(Initialisatie!$C$5,1,1))) + 1)) &lt;= 0, IFERROR(VALUE($D146),0)=0),
        AND(MAX(0, IF(MIN($E$1, DATE(Initialisatie!$C$5,12,31)) &lt; MAX($E$2, DATE(Initialisatie!$C$5,1,1)), 0, MONTH(MIN($E$1, DATE(Initialisatie!$C$5,12,31))) - MONTH(MAX($E$2, DATE(Initialisatie!$C$5,1,1))) + 1)) &lt;= 0, IFERROR(VALUE($E146),0)=0),
        AND(MAX(0, IF(MIN($F$1, DATE(Initialisatie!$C$5,12,31)) &lt; MAX($F$2, DATE(Initialisatie!$C$5,1,1)), 0, MONTH(MIN($F$1, DATE(Initialisatie!$C$5,12,31))) - MONTH(MAX($F$2, DATE(Initialisatie!$C$5,1,1))) + 1)) &lt;= 0, IFERROR(VALUE($F146),0)=0),
        AND(MAX(0, IF(MIN($G$1, DATE(Initialisatie!$C$5,12,31)) &lt; MAX($G$2, DATE(Initialisatie!$C$5,1,1)), 0, MONTH(MIN($G$1, DATE(Initialisatie!$C$5,12,31))) - MONTH(MAX($G$2, DATE(Initialisatie!$C$5,1,1))) + 1)) &lt;= 0, IFERROR(VALUE($G146),0)=0),
        AND(MAX(0, IF(MIN($H$1, DATE(Initialisatie!$C$5,12,31)) &lt; MAX($H$2, DATE(Initialisatie!$C$5,1,1)), 0, MONTH(MIN($H$1, DATE(Initialisatie!$C$5,12,31))) - MONTH(MAX($H$2, DATE(Initialisatie!$C$5,1,1))) + 1)) &lt;= 0, IFERROR(VALUE($H146),0)=0)
    ),
    0,
    SUM(
        IFERROR(VALUE($D146),0) * MAX(0, IF(MIN($D$1, DATE(Initialisatie!$C$5,12,31)) &lt; MAX($D$2, DATE(Initialisatie!$C$5,1,1)), 0, MONTH(MIN($D$1, DATE(Initialisatie!$C$5,12,31))) - MONTH(MAX($D$2, DATE(Initialisatie!$C$5,1,1))) + 1)),
        IFERROR(VALUE($E146),0) * MAX(0, IF(MIN($E$1, DATE(Initialisatie!$C$5,12,31)) &lt; MAX($E$2, DATE(Initialisatie!$C$5,1,1)), 0, MONTH(MIN($E$1, DATE(Initialisatie!$C$5,12,31))) - MONTH(MAX($E$2, DATE(Initialisatie!$C$5,1,1))) + 1)),
        IFERROR(VALUE($F146),0) * MAX(0, IF(MIN($F$1, DATE(Initialisatie!$C$5,12,31)) &lt; MAX($F$2, DATE(Initialisatie!$C$5,1,1)), 0, MONTH(MIN($F$1, DATE(Initialisatie!$C$5,12,31))) - MONTH(MAX($F$2, DATE(Initialisatie!$C$5,1,1))) + 1)),
        IFERROR(VALUE($G146),0) * MAX(0, IF(MIN($G$1, DATE(Initialisatie!$C$5,12,31)) &lt; MAX($G$2, DATE(Initialisatie!$C$5,1,1)), 0, MONTH(MIN($G$1, DATE(Initialisatie!$C$5,12,31))) - MONTH(MAX($G$2, DATE(Initialisatie!$C$5,1,1))) + 1)),
        IFERROR(VALUE($H146),0) * MAX(0, IF(MIN($H$1, DATE(Initialisatie!$C$5,12,31)) &lt; MAX($H$2, DATE(Initialisatie!$C$5,1,1)), 0, MONTH(MIN($H$1, DATE(Initialisatie!$C$5,12,31))) - MONTH(MAX($H$2, DATE(Initialisatie!$C$5,1,1))) + 1))
    ) / 12
)</f>
        <v>6900</v>
      </c>
    </row>
    <row r="147" spans="1:11" x14ac:dyDescent="0.45">
      <c r="A147" s="989"/>
      <c r="B147" s="371">
        <v>5</v>
      </c>
      <c r="C147" s="371" t="s">
        <v>1408</v>
      </c>
      <c r="D147" t="s">
        <v>1406</v>
      </c>
      <c r="E147" t="s">
        <v>1405</v>
      </c>
      <c r="F147" t="s">
        <v>1407</v>
      </c>
      <c r="G147" t="s">
        <v>1407</v>
      </c>
      <c r="H147" t="s">
        <v>1670</v>
      </c>
      <c r="J147">
        <f>IF(
    OR(
        AND(MAX(0, MIN($D$1, DATE(Initialisatie!$C$5,12,31)) - MAX($D$2, DATE(Initialisatie!$C$5,1,1)) + 1) &gt; 0,IFERROR(VALUE($D147),0)=0),
        AND(MAX(0, MIN($E$1, DATE(Initialisatie!$C$5,12,31)) - MAX($E$2, DATE(Initialisatie!$C$5,1,1)) + 1) &gt; 0,IFERROR(VALUE($E147),0)=0),
        AND(MAX(0, MIN($F$1, DATE(Initialisatie!$C$5,12,31)) - MAX($F$2, DATE(Initialisatie!$C$5,1,1)) + 1) &gt; 0,IFERROR(VALUE($F147),0)=0),
        AND(MAX(0, MIN($G$1, DATE(Initialisatie!$C$5,12,31)) - MAX($G$2, DATE(Initialisatie!$C$5,1,1)) + 1) &gt; 0,IFERROR(VALUE($G147),0)=0),
        AND(MAX(0, MIN($H$1, DATE(Initialisatie!$C$5,12,31)) - MAX($H$2, DATE(Initialisatie!$C$5,1,1)) + 1) &gt; 0,IFERROR(VALUE($H147),0)=0)
    ),
    0,
    SUM(
        IFERROR(VALUE($D147),0) * MAX(0, MIN($D$1, DATE(Initialisatie!$C$5,12,31)) - MAX($D$2, DATE(Initialisatie!$C$5,1,1)) + 1),
        IFERROR(VALUE($E147),0) * MAX(0, MIN($E$1, DATE(Initialisatie!$C$5,12,31)) - MAX($E$2, DATE(Initialisatie!$C$5,1,1)) + 1),
        IFERROR(VALUE($F147),0) * MAX(0, MIN($F$1, DATE(Initialisatie!$C$5,12,31)) - MAX($F$2, DATE(Initialisatie!$C$5,1,1)) + 1),
        IFERROR(VALUE($G147),0) * MAX(0, MIN($G$1, DATE(Initialisatie!$C$5,12,31)) - MAX($G$2, DATE(Initialisatie!$C$5,1,1)) + 1),
        IFERROR(VALUE($H147),0) * MAX(0, MIN($H$1, DATE(Initialisatie!$C$5,12,31)) - MAX($H$2, DATE(Initialisatie!$C$5,1,1)) + 1)
    ) / (DATE(Initialisatie!$C$5,12,31) - DATE(Initialisatie!$C$5,1,1) + 1)
)</f>
        <v>7060.8547945205482</v>
      </c>
      <c r="K147">
        <f>IF(
    OR(
        AND(MAX(0, IF(MIN($D$1, DATE(Initialisatie!$C$5,12,31)) &lt; MAX($D$2, DATE(Initialisatie!$C$5,1,1)), 0, MONTH(MIN($D$1, DATE(Initialisatie!$C$5,12,31))) - MONTH(MAX($D$2, DATE(Initialisatie!$C$5,1,1))) + 1)) &lt;= 0, IFERROR(VALUE($D147),0)=0),
        AND(MAX(0, IF(MIN($E$1, DATE(Initialisatie!$C$5,12,31)) &lt; MAX($E$2, DATE(Initialisatie!$C$5,1,1)), 0, MONTH(MIN($E$1, DATE(Initialisatie!$C$5,12,31))) - MONTH(MAX($E$2, DATE(Initialisatie!$C$5,1,1))) + 1)) &lt;= 0, IFERROR(VALUE($E147),0)=0),
        AND(MAX(0, IF(MIN($F$1, DATE(Initialisatie!$C$5,12,31)) &lt; MAX($F$2, DATE(Initialisatie!$C$5,1,1)), 0, MONTH(MIN($F$1, DATE(Initialisatie!$C$5,12,31))) - MONTH(MAX($F$2, DATE(Initialisatie!$C$5,1,1))) + 1)) &lt;= 0, IFERROR(VALUE($F147),0)=0),
        AND(MAX(0, IF(MIN($G$1, DATE(Initialisatie!$C$5,12,31)) &lt; MAX($G$2, DATE(Initialisatie!$C$5,1,1)), 0, MONTH(MIN($G$1, DATE(Initialisatie!$C$5,12,31))) - MONTH(MAX($G$2, DATE(Initialisatie!$C$5,1,1))) + 1)) &lt;= 0, IFERROR(VALUE($G147),0)=0),
        AND(MAX(0, IF(MIN($H$1, DATE(Initialisatie!$C$5,12,31)) &lt; MAX($H$2, DATE(Initialisatie!$C$5,1,1)), 0, MONTH(MIN($H$1, DATE(Initialisatie!$C$5,12,31))) - MONTH(MAX($H$2, DATE(Initialisatie!$C$5,1,1))) + 1)) &lt;= 0, IFERROR(VALUE($H147),0)=0)
    ),
    0,
    SUM(
        IFERROR(VALUE($D147),0) * MAX(0, IF(MIN($D$1, DATE(Initialisatie!$C$5,12,31)) &lt; MAX($D$2, DATE(Initialisatie!$C$5,1,1)), 0, MONTH(MIN($D$1, DATE(Initialisatie!$C$5,12,31))) - MONTH(MAX($D$2, DATE(Initialisatie!$C$5,1,1))) + 1)),
        IFERROR(VALUE($E147),0) * MAX(0, IF(MIN($E$1, DATE(Initialisatie!$C$5,12,31)) &lt; MAX($E$2, DATE(Initialisatie!$C$5,1,1)), 0, MONTH(MIN($E$1, DATE(Initialisatie!$C$5,12,31))) - MONTH(MAX($E$2, DATE(Initialisatie!$C$5,1,1))) + 1)),
        IFERROR(VALUE($F147),0) * MAX(0, IF(MIN($F$1, DATE(Initialisatie!$C$5,12,31)) &lt; MAX($F$2, DATE(Initialisatie!$C$5,1,1)), 0, MONTH(MIN($F$1, DATE(Initialisatie!$C$5,12,31))) - MONTH(MAX($F$2, DATE(Initialisatie!$C$5,1,1))) + 1)),
        IFERROR(VALUE($G147),0) * MAX(0, IF(MIN($G$1, DATE(Initialisatie!$C$5,12,31)) &lt; MAX($G$2, DATE(Initialisatie!$C$5,1,1)), 0, MONTH(MIN($G$1, DATE(Initialisatie!$C$5,12,31))) - MONTH(MAX($G$2, DATE(Initialisatie!$C$5,1,1))) + 1)),
        IFERROR(VALUE($H147),0) * MAX(0, IF(MIN($H$1, DATE(Initialisatie!$C$5,12,31)) &lt; MAX($H$2, DATE(Initialisatie!$C$5,1,1)), 0, MONTH(MIN($H$1, DATE(Initialisatie!$C$5,12,31))) - MONTH(MAX($H$2, DATE(Initialisatie!$C$5,1,1))) + 1))
    ) / 12
)</f>
        <v>7060</v>
      </c>
    </row>
    <row r="148" spans="1:11" x14ac:dyDescent="0.45">
      <c r="A148" s="989"/>
      <c r="B148" s="371">
        <v>6</v>
      </c>
      <c r="C148" s="371" t="s">
        <v>1404</v>
      </c>
      <c r="D148" t="s">
        <v>1402</v>
      </c>
      <c r="E148" t="s">
        <v>1401</v>
      </c>
      <c r="F148" t="s">
        <v>1403</v>
      </c>
      <c r="G148" t="s">
        <v>1403</v>
      </c>
      <c r="H148" t="s">
        <v>1397</v>
      </c>
      <c r="J148">
        <f>IF(
    OR(
        AND(MAX(0, MIN($D$1, DATE(Initialisatie!$C$5,12,31)) - MAX($D$2, DATE(Initialisatie!$C$5,1,1)) + 1) &gt; 0,IFERROR(VALUE($D148),0)=0),
        AND(MAX(0, MIN($E$1, DATE(Initialisatie!$C$5,12,31)) - MAX($E$2, DATE(Initialisatie!$C$5,1,1)) + 1) &gt; 0,IFERROR(VALUE($E148),0)=0),
        AND(MAX(0, MIN($F$1, DATE(Initialisatie!$C$5,12,31)) - MAX($F$2, DATE(Initialisatie!$C$5,1,1)) + 1) &gt; 0,IFERROR(VALUE($F148),0)=0),
        AND(MAX(0, MIN($G$1, DATE(Initialisatie!$C$5,12,31)) - MAX($G$2, DATE(Initialisatie!$C$5,1,1)) + 1) &gt; 0,IFERROR(VALUE($G148),0)=0),
        AND(MAX(0, MIN($H$1, DATE(Initialisatie!$C$5,12,31)) - MAX($H$2, DATE(Initialisatie!$C$5,1,1)) + 1) &gt; 0,IFERROR(VALUE($H148),0)=0)
    ),
    0,
    SUM(
        IFERROR(VALUE($D148),0) * MAX(0, MIN($D$1, DATE(Initialisatie!$C$5,12,31)) - MAX($D$2, DATE(Initialisatie!$C$5,1,1)) + 1),
        IFERROR(VALUE($E148),0) * MAX(0, MIN($E$1, DATE(Initialisatie!$C$5,12,31)) - MAX($E$2, DATE(Initialisatie!$C$5,1,1)) + 1),
        IFERROR(VALUE($F148),0) * MAX(0, MIN($F$1, DATE(Initialisatie!$C$5,12,31)) - MAX($F$2, DATE(Initialisatie!$C$5,1,1)) + 1),
        IFERROR(VALUE($G148),0) * MAX(0, MIN($G$1, DATE(Initialisatie!$C$5,12,31)) - MAX($G$2, DATE(Initialisatie!$C$5,1,1)) + 1),
        IFERROR(VALUE($H148),0) * MAX(0, MIN($H$1, DATE(Initialisatie!$C$5,12,31)) - MAX($H$2, DATE(Initialisatie!$C$5,1,1)) + 1)
    ) / (DATE(Initialisatie!$C$5,12,31) - DATE(Initialisatie!$C$5,1,1) + 1)
)</f>
        <v>7253.8794520547945</v>
      </c>
      <c r="K148">
        <f>IF(
    OR(
        AND(MAX(0, IF(MIN($D$1, DATE(Initialisatie!$C$5,12,31)) &lt; MAX($D$2, DATE(Initialisatie!$C$5,1,1)), 0, MONTH(MIN($D$1, DATE(Initialisatie!$C$5,12,31))) - MONTH(MAX($D$2, DATE(Initialisatie!$C$5,1,1))) + 1)) &lt;= 0, IFERROR(VALUE($D148),0)=0),
        AND(MAX(0, IF(MIN($E$1, DATE(Initialisatie!$C$5,12,31)) &lt; MAX($E$2, DATE(Initialisatie!$C$5,1,1)), 0, MONTH(MIN($E$1, DATE(Initialisatie!$C$5,12,31))) - MONTH(MAX($E$2, DATE(Initialisatie!$C$5,1,1))) + 1)) &lt;= 0, IFERROR(VALUE($E148),0)=0),
        AND(MAX(0, IF(MIN($F$1, DATE(Initialisatie!$C$5,12,31)) &lt; MAX($F$2, DATE(Initialisatie!$C$5,1,1)), 0, MONTH(MIN($F$1, DATE(Initialisatie!$C$5,12,31))) - MONTH(MAX($F$2, DATE(Initialisatie!$C$5,1,1))) + 1)) &lt;= 0, IFERROR(VALUE($F148),0)=0),
        AND(MAX(0, IF(MIN($G$1, DATE(Initialisatie!$C$5,12,31)) &lt; MAX($G$2, DATE(Initialisatie!$C$5,1,1)), 0, MONTH(MIN($G$1, DATE(Initialisatie!$C$5,12,31))) - MONTH(MAX($G$2, DATE(Initialisatie!$C$5,1,1))) + 1)) &lt;= 0, IFERROR(VALUE($G148),0)=0),
        AND(MAX(0, IF(MIN($H$1, DATE(Initialisatie!$C$5,12,31)) &lt; MAX($H$2, DATE(Initialisatie!$C$5,1,1)), 0, MONTH(MIN($H$1, DATE(Initialisatie!$C$5,12,31))) - MONTH(MAX($H$2, DATE(Initialisatie!$C$5,1,1))) + 1)) &lt;= 0, IFERROR(VALUE($H148),0)=0)
    ),
    0,
    SUM(
        IFERROR(VALUE($D148),0) * MAX(0, IF(MIN($D$1, DATE(Initialisatie!$C$5,12,31)) &lt; MAX($D$2, DATE(Initialisatie!$C$5,1,1)), 0, MONTH(MIN($D$1, DATE(Initialisatie!$C$5,12,31))) - MONTH(MAX($D$2, DATE(Initialisatie!$C$5,1,1))) + 1)),
        IFERROR(VALUE($E148),0) * MAX(0, IF(MIN($E$1, DATE(Initialisatie!$C$5,12,31)) &lt; MAX($E$2, DATE(Initialisatie!$C$5,1,1)), 0, MONTH(MIN($E$1, DATE(Initialisatie!$C$5,12,31))) - MONTH(MAX($E$2, DATE(Initialisatie!$C$5,1,1))) + 1)),
        IFERROR(VALUE($F148),0) * MAX(0, IF(MIN($F$1, DATE(Initialisatie!$C$5,12,31)) &lt; MAX($F$2, DATE(Initialisatie!$C$5,1,1)), 0, MONTH(MIN($F$1, DATE(Initialisatie!$C$5,12,31))) - MONTH(MAX($F$2, DATE(Initialisatie!$C$5,1,1))) + 1)),
        IFERROR(VALUE($G148),0) * MAX(0, IF(MIN($G$1, DATE(Initialisatie!$C$5,12,31)) &lt; MAX($G$2, DATE(Initialisatie!$C$5,1,1)), 0, MONTH(MIN($G$1, DATE(Initialisatie!$C$5,12,31))) - MONTH(MAX($G$2, DATE(Initialisatie!$C$5,1,1))) + 1)),
        IFERROR(VALUE($H148),0) * MAX(0, IF(MIN($H$1, DATE(Initialisatie!$C$5,12,31)) &lt; MAX($H$2, DATE(Initialisatie!$C$5,1,1)), 0, MONTH(MIN($H$1, DATE(Initialisatie!$C$5,12,31))) - MONTH(MAX($H$2, DATE(Initialisatie!$C$5,1,1))) + 1))
    ) / 12
)</f>
        <v>7253</v>
      </c>
    </row>
    <row r="149" spans="1:11" x14ac:dyDescent="0.45">
      <c r="A149" s="989"/>
      <c r="B149" s="371">
        <v>7</v>
      </c>
      <c r="C149" s="371" t="s">
        <v>1380</v>
      </c>
      <c r="D149" t="s">
        <v>1378</v>
      </c>
      <c r="E149" t="s">
        <v>1377</v>
      </c>
      <c r="F149" t="s">
        <v>1379</v>
      </c>
      <c r="G149" t="s">
        <v>1379</v>
      </c>
      <c r="H149" t="s">
        <v>1671</v>
      </c>
      <c r="J149">
        <f>IF(
    OR(
        AND(MAX(0, MIN($D$1, DATE(Initialisatie!$C$5,12,31)) - MAX($D$2, DATE(Initialisatie!$C$5,1,1)) + 1) &gt; 0,IFERROR(VALUE($D149),0)=0),
        AND(MAX(0, MIN($E$1, DATE(Initialisatie!$C$5,12,31)) - MAX($E$2, DATE(Initialisatie!$C$5,1,1)) + 1) &gt; 0,IFERROR(VALUE($E149),0)=0),
        AND(MAX(0, MIN($F$1, DATE(Initialisatie!$C$5,12,31)) - MAX($F$2, DATE(Initialisatie!$C$5,1,1)) + 1) &gt; 0,IFERROR(VALUE($F149),0)=0),
        AND(MAX(0, MIN($G$1, DATE(Initialisatie!$C$5,12,31)) - MAX($G$2, DATE(Initialisatie!$C$5,1,1)) + 1) &gt; 0,IFERROR(VALUE($G149),0)=0),
        AND(MAX(0, MIN($H$1, DATE(Initialisatie!$C$5,12,31)) - MAX($H$2, DATE(Initialisatie!$C$5,1,1)) + 1) &gt; 0,IFERROR(VALUE($H149),0)=0)
    ),
    0,
    SUM(
        IFERROR(VALUE($D149),0) * MAX(0, MIN($D$1, DATE(Initialisatie!$C$5,12,31)) - MAX($D$2, DATE(Initialisatie!$C$5,1,1)) + 1),
        IFERROR(VALUE($E149),0) * MAX(0, MIN($E$1, DATE(Initialisatie!$C$5,12,31)) - MAX($E$2, DATE(Initialisatie!$C$5,1,1)) + 1),
        IFERROR(VALUE($F149),0) * MAX(0, MIN($F$1, DATE(Initialisatie!$C$5,12,31)) - MAX($F$2, DATE(Initialisatie!$C$5,1,1)) + 1),
        IFERROR(VALUE($G149),0) * MAX(0, MIN($G$1, DATE(Initialisatie!$C$5,12,31)) - MAX($G$2, DATE(Initialisatie!$C$5,1,1)) + 1),
        IFERROR(VALUE($H149),0) * MAX(0, MIN($H$1, DATE(Initialisatie!$C$5,12,31)) - MAX($H$2, DATE(Initialisatie!$C$5,1,1)) + 1)
    ) / (DATE(Initialisatie!$C$5,12,31) - DATE(Initialisatie!$C$5,1,1) + 1)
)</f>
        <v>7446.9041095890407</v>
      </c>
      <c r="K149">
        <f>IF(
    OR(
        AND(MAX(0, IF(MIN($D$1, DATE(Initialisatie!$C$5,12,31)) &lt; MAX($D$2, DATE(Initialisatie!$C$5,1,1)), 0, MONTH(MIN($D$1, DATE(Initialisatie!$C$5,12,31))) - MONTH(MAX($D$2, DATE(Initialisatie!$C$5,1,1))) + 1)) &lt;= 0, IFERROR(VALUE($D149),0)=0),
        AND(MAX(0, IF(MIN($E$1, DATE(Initialisatie!$C$5,12,31)) &lt; MAX($E$2, DATE(Initialisatie!$C$5,1,1)), 0, MONTH(MIN($E$1, DATE(Initialisatie!$C$5,12,31))) - MONTH(MAX($E$2, DATE(Initialisatie!$C$5,1,1))) + 1)) &lt;= 0, IFERROR(VALUE($E149),0)=0),
        AND(MAX(0, IF(MIN($F$1, DATE(Initialisatie!$C$5,12,31)) &lt; MAX($F$2, DATE(Initialisatie!$C$5,1,1)), 0, MONTH(MIN($F$1, DATE(Initialisatie!$C$5,12,31))) - MONTH(MAX($F$2, DATE(Initialisatie!$C$5,1,1))) + 1)) &lt;= 0, IFERROR(VALUE($F149),0)=0),
        AND(MAX(0, IF(MIN($G$1, DATE(Initialisatie!$C$5,12,31)) &lt; MAX($G$2, DATE(Initialisatie!$C$5,1,1)), 0, MONTH(MIN($G$1, DATE(Initialisatie!$C$5,12,31))) - MONTH(MAX($G$2, DATE(Initialisatie!$C$5,1,1))) + 1)) &lt;= 0, IFERROR(VALUE($G149),0)=0),
        AND(MAX(0, IF(MIN($H$1, DATE(Initialisatie!$C$5,12,31)) &lt; MAX($H$2, DATE(Initialisatie!$C$5,1,1)), 0, MONTH(MIN($H$1, DATE(Initialisatie!$C$5,12,31))) - MONTH(MAX($H$2, DATE(Initialisatie!$C$5,1,1))) + 1)) &lt;= 0, IFERROR(VALUE($H149),0)=0)
    ),
    0,
    SUM(
        IFERROR(VALUE($D149),0) * MAX(0, IF(MIN($D$1, DATE(Initialisatie!$C$5,12,31)) &lt; MAX($D$2, DATE(Initialisatie!$C$5,1,1)), 0, MONTH(MIN($D$1, DATE(Initialisatie!$C$5,12,31))) - MONTH(MAX($D$2, DATE(Initialisatie!$C$5,1,1))) + 1)),
        IFERROR(VALUE($E149),0) * MAX(0, IF(MIN($E$1, DATE(Initialisatie!$C$5,12,31)) &lt; MAX($E$2, DATE(Initialisatie!$C$5,1,1)), 0, MONTH(MIN($E$1, DATE(Initialisatie!$C$5,12,31))) - MONTH(MAX($E$2, DATE(Initialisatie!$C$5,1,1))) + 1)),
        IFERROR(VALUE($F149),0) * MAX(0, IF(MIN($F$1, DATE(Initialisatie!$C$5,12,31)) &lt; MAX($F$2, DATE(Initialisatie!$C$5,1,1)), 0, MONTH(MIN($F$1, DATE(Initialisatie!$C$5,12,31))) - MONTH(MAX($F$2, DATE(Initialisatie!$C$5,1,1))) + 1)),
        IFERROR(VALUE($G149),0) * MAX(0, IF(MIN($G$1, DATE(Initialisatie!$C$5,12,31)) &lt; MAX($G$2, DATE(Initialisatie!$C$5,1,1)), 0, MONTH(MIN($G$1, DATE(Initialisatie!$C$5,12,31))) - MONTH(MAX($G$2, DATE(Initialisatie!$C$5,1,1))) + 1)),
        IFERROR(VALUE($H149),0) * MAX(0, IF(MIN($H$1, DATE(Initialisatie!$C$5,12,31)) &lt; MAX($H$2, DATE(Initialisatie!$C$5,1,1)), 0, MONTH(MIN($H$1, DATE(Initialisatie!$C$5,12,31))) - MONTH(MAX($H$2, DATE(Initialisatie!$C$5,1,1))) + 1))
    ) / 12
)</f>
        <v>7446</v>
      </c>
    </row>
    <row r="150" spans="1:11" x14ac:dyDescent="0.45">
      <c r="A150" s="989"/>
      <c r="B150" s="371">
        <v>8</v>
      </c>
      <c r="C150" s="371" t="s">
        <v>1400</v>
      </c>
      <c r="D150" t="s">
        <v>1398</v>
      </c>
      <c r="E150" t="s">
        <v>1397</v>
      </c>
      <c r="F150" t="s">
        <v>1399</v>
      </c>
      <c r="G150" t="s">
        <v>1399</v>
      </c>
      <c r="H150" t="s">
        <v>1672</v>
      </c>
      <c r="J150">
        <f>IF(
    OR(
        AND(MAX(0, MIN($D$1, DATE(Initialisatie!$C$5,12,31)) - MAX($D$2, DATE(Initialisatie!$C$5,1,1)) + 1) &gt; 0,IFERROR(VALUE($D150),0)=0),
        AND(MAX(0, MIN($E$1, DATE(Initialisatie!$C$5,12,31)) - MAX($E$2, DATE(Initialisatie!$C$5,1,1)) + 1) &gt; 0,IFERROR(VALUE($E150),0)=0),
        AND(MAX(0, MIN($F$1, DATE(Initialisatie!$C$5,12,31)) - MAX($F$2, DATE(Initialisatie!$C$5,1,1)) + 1) &gt; 0,IFERROR(VALUE($F150),0)=0),
        AND(MAX(0, MIN($G$1, DATE(Initialisatie!$C$5,12,31)) - MAX($G$2, DATE(Initialisatie!$C$5,1,1)) + 1) &gt; 0,IFERROR(VALUE($G150),0)=0),
        AND(MAX(0, MIN($H$1, DATE(Initialisatie!$C$5,12,31)) - MAX($H$2, DATE(Initialisatie!$C$5,1,1)) + 1) &gt; 0,IFERROR(VALUE($H150),0)=0)
    ),
    0,
    SUM(
        IFERROR(VALUE($D150),0) * MAX(0, MIN($D$1, DATE(Initialisatie!$C$5,12,31)) - MAX($D$2, DATE(Initialisatie!$C$5,1,1)) + 1),
        IFERROR(VALUE($E150),0) * MAX(0, MIN($E$1, DATE(Initialisatie!$C$5,12,31)) - MAX($E$2, DATE(Initialisatie!$C$5,1,1)) + 1),
        IFERROR(VALUE($F150),0) * MAX(0, MIN($F$1, DATE(Initialisatie!$C$5,12,31)) - MAX($F$2, DATE(Initialisatie!$C$5,1,1)) + 1),
        IFERROR(VALUE($G150),0) * MAX(0, MIN($G$1, DATE(Initialisatie!$C$5,12,31)) - MAX($G$2, DATE(Initialisatie!$C$5,1,1)) + 1),
        IFERROR(VALUE($H150),0) * MAX(0, MIN($H$1, DATE(Initialisatie!$C$5,12,31)) - MAX($H$2, DATE(Initialisatie!$C$5,1,1)) + 1)
    ) / (DATE(Initialisatie!$C$5,12,31) - DATE(Initialisatie!$C$5,1,1) + 1)
)</f>
        <v>7639.9287671232878</v>
      </c>
      <c r="K150">
        <f>IF(
    OR(
        AND(MAX(0, IF(MIN($D$1, DATE(Initialisatie!$C$5,12,31)) &lt; MAX($D$2, DATE(Initialisatie!$C$5,1,1)), 0, MONTH(MIN($D$1, DATE(Initialisatie!$C$5,12,31))) - MONTH(MAX($D$2, DATE(Initialisatie!$C$5,1,1))) + 1)) &lt;= 0, IFERROR(VALUE($D150),0)=0),
        AND(MAX(0, IF(MIN($E$1, DATE(Initialisatie!$C$5,12,31)) &lt; MAX($E$2, DATE(Initialisatie!$C$5,1,1)), 0, MONTH(MIN($E$1, DATE(Initialisatie!$C$5,12,31))) - MONTH(MAX($E$2, DATE(Initialisatie!$C$5,1,1))) + 1)) &lt;= 0, IFERROR(VALUE($E150),0)=0),
        AND(MAX(0, IF(MIN($F$1, DATE(Initialisatie!$C$5,12,31)) &lt; MAX($F$2, DATE(Initialisatie!$C$5,1,1)), 0, MONTH(MIN($F$1, DATE(Initialisatie!$C$5,12,31))) - MONTH(MAX($F$2, DATE(Initialisatie!$C$5,1,1))) + 1)) &lt;= 0, IFERROR(VALUE($F150),0)=0),
        AND(MAX(0, IF(MIN($G$1, DATE(Initialisatie!$C$5,12,31)) &lt; MAX($G$2, DATE(Initialisatie!$C$5,1,1)), 0, MONTH(MIN($G$1, DATE(Initialisatie!$C$5,12,31))) - MONTH(MAX($G$2, DATE(Initialisatie!$C$5,1,1))) + 1)) &lt;= 0, IFERROR(VALUE($G150),0)=0),
        AND(MAX(0, IF(MIN($H$1, DATE(Initialisatie!$C$5,12,31)) &lt; MAX($H$2, DATE(Initialisatie!$C$5,1,1)), 0, MONTH(MIN($H$1, DATE(Initialisatie!$C$5,12,31))) - MONTH(MAX($H$2, DATE(Initialisatie!$C$5,1,1))) + 1)) &lt;= 0, IFERROR(VALUE($H150),0)=0)
    ),
    0,
    SUM(
        IFERROR(VALUE($D150),0) * MAX(0, IF(MIN($D$1, DATE(Initialisatie!$C$5,12,31)) &lt; MAX($D$2, DATE(Initialisatie!$C$5,1,1)), 0, MONTH(MIN($D$1, DATE(Initialisatie!$C$5,12,31))) - MONTH(MAX($D$2, DATE(Initialisatie!$C$5,1,1))) + 1)),
        IFERROR(VALUE($E150),0) * MAX(0, IF(MIN($E$1, DATE(Initialisatie!$C$5,12,31)) &lt; MAX($E$2, DATE(Initialisatie!$C$5,1,1)), 0, MONTH(MIN($E$1, DATE(Initialisatie!$C$5,12,31))) - MONTH(MAX($E$2, DATE(Initialisatie!$C$5,1,1))) + 1)),
        IFERROR(VALUE($F150),0) * MAX(0, IF(MIN($F$1, DATE(Initialisatie!$C$5,12,31)) &lt; MAX($F$2, DATE(Initialisatie!$C$5,1,1)), 0, MONTH(MIN($F$1, DATE(Initialisatie!$C$5,12,31))) - MONTH(MAX($F$2, DATE(Initialisatie!$C$5,1,1))) + 1)),
        IFERROR(VALUE($G150),0) * MAX(0, IF(MIN($G$1, DATE(Initialisatie!$C$5,12,31)) &lt; MAX($G$2, DATE(Initialisatie!$C$5,1,1)), 0, MONTH(MIN($G$1, DATE(Initialisatie!$C$5,12,31))) - MONTH(MAX($G$2, DATE(Initialisatie!$C$5,1,1))) + 1)),
        IFERROR(VALUE($H150),0) * MAX(0, IF(MIN($H$1, DATE(Initialisatie!$C$5,12,31)) &lt; MAX($H$2, DATE(Initialisatie!$C$5,1,1)), 0, MONTH(MIN($H$1, DATE(Initialisatie!$C$5,12,31))) - MONTH(MAX($H$2, DATE(Initialisatie!$C$5,1,1))) + 1))
    ) / 12
)</f>
        <v>7639</v>
      </c>
    </row>
    <row r="151" spans="1:11" x14ac:dyDescent="0.45">
      <c r="A151" s="989"/>
      <c r="B151" s="371">
        <v>9</v>
      </c>
      <c r="C151" s="371" t="s">
        <v>1376</v>
      </c>
      <c r="D151" t="s">
        <v>1374</v>
      </c>
      <c r="E151" t="s">
        <v>1373</v>
      </c>
      <c r="F151" t="s">
        <v>1375</v>
      </c>
      <c r="G151" t="s">
        <v>1375</v>
      </c>
      <c r="H151" t="s">
        <v>1673</v>
      </c>
      <c r="J151">
        <f>IF(
    OR(
        AND(MAX(0, MIN($D$1, DATE(Initialisatie!$C$5,12,31)) - MAX($D$2, DATE(Initialisatie!$C$5,1,1)) + 1) &gt; 0,IFERROR(VALUE($D151),0)=0),
        AND(MAX(0, MIN($E$1, DATE(Initialisatie!$C$5,12,31)) - MAX($E$2, DATE(Initialisatie!$C$5,1,1)) + 1) &gt; 0,IFERROR(VALUE($E151),0)=0),
        AND(MAX(0, MIN($F$1, DATE(Initialisatie!$C$5,12,31)) - MAX($F$2, DATE(Initialisatie!$C$5,1,1)) + 1) &gt; 0,IFERROR(VALUE($F151),0)=0),
        AND(MAX(0, MIN($G$1, DATE(Initialisatie!$C$5,12,31)) - MAX($G$2, DATE(Initialisatie!$C$5,1,1)) + 1) &gt; 0,IFERROR(VALUE($G151),0)=0),
        AND(MAX(0, MIN($H$1, DATE(Initialisatie!$C$5,12,31)) - MAX($H$2, DATE(Initialisatie!$C$5,1,1)) + 1) &gt; 0,IFERROR(VALUE($H151),0)=0)
    ),
    0,
    SUM(
        IFERROR(VALUE($D151),0) * MAX(0, MIN($D$1, DATE(Initialisatie!$C$5,12,31)) - MAX($D$2, DATE(Initialisatie!$C$5,1,1)) + 1),
        IFERROR(VALUE($E151),0) * MAX(0, MIN($E$1, DATE(Initialisatie!$C$5,12,31)) - MAX($E$2, DATE(Initialisatie!$C$5,1,1)) + 1),
        IFERROR(VALUE($F151),0) * MAX(0, MIN($F$1, DATE(Initialisatie!$C$5,12,31)) - MAX($F$2, DATE(Initialisatie!$C$5,1,1)) + 1),
        IFERROR(VALUE($G151),0) * MAX(0, MIN($G$1, DATE(Initialisatie!$C$5,12,31)) - MAX($G$2, DATE(Initialisatie!$C$5,1,1)) + 1),
        IFERROR(VALUE($H151),0) * MAX(0, MIN($H$1, DATE(Initialisatie!$C$5,12,31)) - MAX($H$2, DATE(Initialisatie!$C$5,1,1)) + 1)
    ) / (DATE(Initialisatie!$C$5,12,31) - DATE(Initialisatie!$C$5,1,1) + 1)
)</f>
        <v>7736.4410958904109</v>
      </c>
      <c r="K151">
        <f>IF(
    OR(
        AND(MAX(0, IF(MIN($D$1, DATE(Initialisatie!$C$5,12,31)) &lt; MAX($D$2, DATE(Initialisatie!$C$5,1,1)), 0, MONTH(MIN($D$1, DATE(Initialisatie!$C$5,12,31))) - MONTH(MAX($D$2, DATE(Initialisatie!$C$5,1,1))) + 1)) &lt;= 0, IFERROR(VALUE($D151),0)=0),
        AND(MAX(0, IF(MIN($E$1, DATE(Initialisatie!$C$5,12,31)) &lt; MAX($E$2, DATE(Initialisatie!$C$5,1,1)), 0, MONTH(MIN($E$1, DATE(Initialisatie!$C$5,12,31))) - MONTH(MAX($E$2, DATE(Initialisatie!$C$5,1,1))) + 1)) &lt;= 0, IFERROR(VALUE($E151),0)=0),
        AND(MAX(0, IF(MIN($F$1, DATE(Initialisatie!$C$5,12,31)) &lt; MAX($F$2, DATE(Initialisatie!$C$5,1,1)), 0, MONTH(MIN($F$1, DATE(Initialisatie!$C$5,12,31))) - MONTH(MAX($F$2, DATE(Initialisatie!$C$5,1,1))) + 1)) &lt;= 0, IFERROR(VALUE($F151),0)=0),
        AND(MAX(0, IF(MIN($G$1, DATE(Initialisatie!$C$5,12,31)) &lt; MAX($G$2, DATE(Initialisatie!$C$5,1,1)), 0, MONTH(MIN($G$1, DATE(Initialisatie!$C$5,12,31))) - MONTH(MAX($G$2, DATE(Initialisatie!$C$5,1,1))) + 1)) &lt;= 0, IFERROR(VALUE($G151),0)=0),
        AND(MAX(0, IF(MIN($H$1, DATE(Initialisatie!$C$5,12,31)) &lt; MAX($H$2, DATE(Initialisatie!$C$5,1,1)), 0, MONTH(MIN($H$1, DATE(Initialisatie!$C$5,12,31))) - MONTH(MAX($H$2, DATE(Initialisatie!$C$5,1,1))) + 1)) &lt;= 0, IFERROR(VALUE($H151),0)=0)
    ),
    0,
    SUM(
        IFERROR(VALUE($D151),0) * MAX(0, IF(MIN($D$1, DATE(Initialisatie!$C$5,12,31)) &lt; MAX($D$2, DATE(Initialisatie!$C$5,1,1)), 0, MONTH(MIN($D$1, DATE(Initialisatie!$C$5,12,31))) - MONTH(MAX($D$2, DATE(Initialisatie!$C$5,1,1))) + 1)),
        IFERROR(VALUE($E151),0) * MAX(0, IF(MIN($E$1, DATE(Initialisatie!$C$5,12,31)) &lt; MAX($E$2, DATE(Initialisatie!$C$5,1,1)), 0, MONTH(MIN($E$1, DATE(Initialisatie!$C$5,12,31))) - MONTH(MAX($E$2, DATE(Initialisatie!$C$5,1,1))) + 1)),
        IFERROR(VALUE($F151),0) * MAX(0, IF(MIN($F$1, DATE(Initialisatie!$C$5,12,31)) &lt; MAX($F$2, DATE(Initialisatie!$C$5,1,1)), 0, MONTH(MIN($F$1, DATE(Initialisatie!$C$5,12,31))) - MONTH(MAX($F$2, DATE(Initialisatie!$C$5,1,1))) + 1)),
        IFERROR(VALUE($G151),0) * MAX(0, IF(MIN($G$1, DATE(Initialisatie!$C$5,12,31)) &lt; MAX($G$2, DATE(Initialisatie!$C$5,1,1)), 0, MONTH(MIN($G$1, DATE(Initialisatie!$C$5,12,31))) - MONTH(MAX($G$2, DATE(Initialisatie!$C$5,1,1))) + 1)),
        IFERROR(VALUE($H151),0) * MAX(0, IF(MIN($H$1, DATE(Initialisatie!$C$5,12,31)) &lt; MAX($H$2, DATE(Initialisatie!$C$5,1,1)), 0, MONTH(MIN($H$1, DATE(Initialisatie!$C$5,12,31))) - MONTH(MAX($H$2, DATE(Initialisatie!$C$5,1,1))) + 1))
    ) / 12
)</f>
        <v>7735.5</v>
      </c>
    </row>
    <row r="152" spans="1:11" x14ac:dyDescent="0.45">
      <c r="A152" s="989"/>
      <c r="B152" s="371">
        <v>10</v>
      </c>
      <c r="C152" s="371" t="s">
        <v>1396</v>
      </c>
      <c r="D152" t="s">
        <v>1394</v>
      </c>
      <c r="E152" t="s">
        <v>1393</v>
      </c>
      <c r="F152" t="s">
        <v>1395</v>
      </c>
      <c r="G152" t="s">
        <v>1395</v>
      </c>
      <c r="H152" t="s">
        <v>1674</v>
      </c>
      <c r="J152">
        <f>IF(
    OR(
        AND(MAX(0, MIN($D$1, DATE(Initialisatie!$C$5,12,31)) - MAX($D$2, DATE(Initialisatie!$C$5,1,1)) + 1) &gt; 0,IFERROR(VALUE($D152),0)=0),
        AND(MAX(0, MIN($E$1, DATE(Initialisatie!$C$5,12,31)) - MAX($E$2, DATE(Initialisatie!$C$5,1,1)) + 1) &gt; 0,IFERROR(VALUE($E152),0)=0),
        AND(MAX(0, MIN($F$1, DATE(Initialisatie!$C$5,12,31)) - MAX($F$2, DATE(Initialisatie!$C$5,1,1)) + 1) &gt; 0,IFERROR(VALUE($F152),0)=0),
        AND(MAX(0, MIN($G$1, DATE(Initialisatie!$C$5,12,31)) - MAX($G$2, DATE(Initialisatie!$C$5,1,1)) + 1) &gt; 0,IFERROR(VALUE($G152),0)=0),
        AND(MAX(0, MIN($H$1, DATE(Initialisatie!$C$5,12,31)) - MAX($H$2, DATE(Initialisatie!$C$5,1,1)) + 1) &gt; 0,IFERROR(VALUE($H152),0)=0)
    ),
    0,
    SUM(
        IFERROR(VALUE($D152),0) * MAX(0, MIN($D$1, DATE(Initialisatie!$C$5,12,31)) - MAX($D$2, DATE(Initialisatie!$C$5,1,1)) + 1),
        IFERROR(VALUE($E152),0) * MAX(0, MIN($E$1, DATE(Initialisatie!$C$5,12,31)) - MAX($E$2, DATE(Initialisatie!$C$5,1,1)) + 1),
        IFERROR(VALUE($F152),0) * MAX(0, MIN($F$1, DATE(Initialisatie!$C$5,12,31)) - MAX($F$2, DATE(Initialisatie!$C$5,1,1)) + 1),
        IFERROR(VALUE($G152),0) * MAX(0, MIN($G$1, DATE(Initialisatie!$C$5,12,31)) - MAX($G$2, DATE(Initialisatie!$C$5,1,1)) + 1),
        IFERROR(VALUE($H152),0) * MAX(0, MIN($H$1, DATE(Initialisatie!$C$5,12,31)) - MAX($H$2, DATE(Initialisatie!$C$5,1,1)) + 1)
    ) / (DATE(Initialisatie!$C$5,12,31) - DATE(Initialisatie!$C$5,1,1) + 1)
)</f>
        <v>7835.449315068493</v>
      </c>
      <c r="K152">
        <f>IF(
    OR(
        AND(MAX(0, IF(MIN($D$1, DATE(Initialisatie!$C$5,12,31)) &lt; MAX($D$2, DATE(Initialisatie!$C$5,1,1)), 0, MONTH(MIN($D$1, DATE(Initialisatie!$C$5,12,31))) - MONTH(MAX($D$2, DATE(Initialisatie!$C$5,1,1))) + 1)) &lt;= 0, IFERROR(VALUE($D152),0)=0),
        AND(MAX(0, IF(MIN($E$1, DATE(Initialisatie!$C$5,12,31)) &lt; MAX($E$2, DATE(Initialisatie!$C$5,1,1)), 0, MONTH(MIN($E$1, DATE(Initialisatie!$C$5,12,31))) - MONTH(MAX($E$2, DATE(Initialisatie!$C$5,1,1))) + 1)) &lt;= 0, IFERROR(VALUE($E152),0)=0),
        AND(MAX(0, IF(MIN($F$1, DATE(Initialisatie!$C$5,12,31)) &lt; MAX($F$2, DATE(Initialisatie!$C$5,1,1)), 0, MONTH(MIN($F$1, DATE(Initialisatie!$C$5,12,31))) - MONTH(MAX($F$2, DATE(Initialisatie!$C$5,1,1))) + 1)) &lt;= 0, IFERROR(VALUE($F152),0)=0),
        AND(MAX(0, IF(MIN($G$1, DATE(Initialisatie!$C$5,12,31)) &lt; MAX($G$2, DATE(Initialisatie!$C$5,1,1)), 0, MONTH(MIN($G$1, DATE(Initialisatie!$C$5,12,31))) - MONTH(MAX($G$2, DATE(Initialisatie!$C$5,1,1))) + 1)) &lt;= 0, IFERROR(VALUE($G152),0)=0),
        AND(MAX(0, IF(MIN($H$1, DATE(Initialisatie!$C$5,12,31)) &lt; MAX($H$2, DATE(Initialisatie!$C$5,1,1)), 0, MONTH(MIN($H$1, DATE(Initialisatie!$C$5,12,31))) - MONTH(MAX($H$2, DATE(Initialisatie!$C$5,1,1))) + 1)) &lt;= 0, IFERROR(VALUE($H152),0)=0)
    ),
    0,
    SUM(
        IFERROR(VALUE($D152),0) * MAX(0, IF(MIN($D$1, DATE(Initialisatie!$C$5,12,31)) &lt; MAX($D$2, DATE(Initialisatie!$C$5,1,1)), 0, MONTH(MIN($D$1, DATE(Initialisatie!$C$5,12,31))) - MONTH(MAX($D$2, DATE(Initialisatie!$C$5,1,1))) + 1)),
        IFERROR(VALUE($E152),0) * MAX(0, IF(MIN($E$1, DATE(Initialisatie!$C$5,12,31)) &lt; MAX($E$2, DATE(Initialisatie!$C$5,1,1)), 0, MONTH(MIN($E$1, DATE(Initialisatie!$C$5,12,31))) - MONTH(MAX($E$2, DATE(Initialisatie!$C$5,1,1))) + 1)),
        IFERROR(VALUE($F152),0) * MAX(0, IF(MIN($F$1, DATE(Initialisatie!$C$5,12,31)) &lt; MAX($F$2, DATE(Initialisatie!$C$5,1,1)), 0, MONTH(MIN($F$1, DATE(Initialisatie!$C$5,12,31))) - MONTH(MAX($F$2, DATE(Initialisatie!$C$5,1,1))) + 1)),
        IFERROR(VALUE($G152),0) * MAX(0, IF(MIN($G$1, DATE(Initialisatie!$C$5,12,31)) &lt; MAX($G$2, DATE(Initialisatie!$C$5,1,1)), 0, MONTH(MIN($G$1, DATE(Initialisatie!$C$5,12,31))) - MONTH(MAX($G$2, DATE(Initialisatie!$C$5,1,1))) + 1)),
        IFERROR(VALUE($H152),0) * MAX(0, IF(MIN($H$1, DATE(Initialisatie!$C$5,12,31)) &lt; MAX($H$2, DATE(Initialisatie!$C$5,1,1)), 0, MONTH(MIN($H$1, DATE(Initialisatie!$C$5,12,31))) - MONTH(MAX($H$2, DATE(Initialisatie!$C$5,1,1))) + 1))
    ) / 12
)</f>
        <v>7834.5</v>
      </c>
    </row>
    <row r="153" spans="1:11" x14ac:dyDescent="0.45">
      <c r="A153" s="989"/>
      <c r="B153" s="371">
        <v>11</v>
      </c>
      <c r="C153" s="371" t="s">
        <v>1392</v>
      </c>
      <c r="D153" t="s">
        <v>1390</v>
      </c>
      <c r="E153" t="s">
        <v>1389</v>
      </c>
      <c r="F153" t="s">
        <v>1391</v>
      </c>
      <c r="G153" t="s">
        <v>1391</v>
      </c>
      <c r="H153" t="s">
        <v>1675</v>
      </c>
      <c r="J153">
        <f>IF(
    OR(
        AND(MAX(0, MIN($D$1, DATE(Initialisatie!$C$5,12,31)) - MAX($D$2, DATE(Initialisatie!$C$5,1,1)) + 1) &gt; 0,IFERROR(VALUE($D153),0)=0),
        AND(MAX(0, MIN($E$1, DATE(Initialisatie!$C$5,12,31)) - MAX($E$2, DATE(Initialisatie!$C$5,1,1)) + 1) &gt; 0,IFERROR(VALUE($E153),0)=0),
        AND(MAX(0, MIN($F$1, DATE(Initialisatie!$C$5,12,31)) - MAX($F$2, DATE(Initialisatie!$C$5,1,1)) + 1) &gt; 0,IFERROR(VALUE($F153),0)=0),
        AND(MAX(0, MIN($G$1, DATE(Initialisatie!$C$5,12,31)) - MAX($G$2, DATE(Initialisatie!$C$5,1,1)) + 1) &gt; 0,IFERROR(VALUE($G153),0)=0),
        AND(MAX(0, MIN($H$1, DATE(Initialisatie!$C$5,12,31)) - MAX($H$2, DATE(Initialisatie!$C$5,1,1)) + 1) &gt; 0,IFERROR(VALUE($H153),0)=0)
    ),
    0,
    SUM(
        IFERROR(VALUE($D153),0) * MAX(0, MIN($D$1, DATE(Initialisatie!$C$5,12,31)) - MAX($D$2, DATE(Initialisatie!$C$5,1,1)) + 1),
        IFERROR(VALUE($E153),0) * MAX(0, MIN($E$1, DATE(Initialisatie!$C$5,12,31)) - MAX($E$2, DATE(Initialisatie!$C$5,1,1)) + 1),
        IFERROR(VALUE($F153),0) * MAX(0, MIN($F$1, DATE(Initialisatie!$C$5,12,31)) - MAX($F$2, DATE(Initialisatie!$C$5,1,1)) + 1),
        IFERROR(VALUE($G153),0) * MAX(0, MIN($G$1, DATE(Initialisatie!$C$5,12,31)) - MAX($G$2, DATE(Initialisatie!$C$5,1,1)) + 1),
        IFERROR(VALUE($H153),0) * MAX(0, MIN($H$1, DATE(Initialisatie!$C$5,12,31)) - MAX($H$2, DATE(Initialisatie!$C$5,1,1)) + 1)
    ) / (DATE(Initialisatie!$C$5,12,31) - DATE(Initialisatie!$C$5,1,1) + 1)
)</f>
        <v>7931.9616438356161</v>
      </c>
      <c r="K153">
        <f>IF(
    OR(
        AND(MAX(0, IF(MIN($D$1, DATE(Initialisatie!$C$5,12,31)) &lt; MAX($D$2, DATE(Initialisatie!$C$5,1,1)), 0, MONTH(MIN($D$1, DATE(Initialisatie!$C$5,12,31))) - MONTH(MAX($D$2, DATE(Initialisatie!$C$5,1,1))) + 1)) &lt;= 0, IFERROR(VALUE($D153),0)=0),
        AND(MAX(0, IF(MIN($E$1, DATE(Initialisatie!$C$5,12,31)) &lt; MAX($E$2, DATE(Initialisatie!$C$5,1,1)), 0, MONTH(MIN($E$1, DATE(Initialisatie!$C$5,12,31))) - MONTH(MAX($E$2, DATE(Initialisatie!$C$5,1,1))) + 1)) &lt;= 0, IFERROR(VALUE($E153),0)=0),
        AND(MAX(0, IF(MIN($F$1, DATE(Initialisatie!$C$5,12,31)) &lt; MAX($F$2, DATE(Initialisatie!$C$5,1,1)), 0, MONTH(MIN($F$1, DATE(Initialisatie!$C$5,12,31))) - MONTH(MAX($F$2, DATE(Initialisatie!$C$5,1,1))) + 1)) &lt;= 0, IFERROR(VALUE($F153),0)=0),
        AND(MAX(0, IF(MIN($G$1, DATE(Initialisatie!$C$5,12,31)) &lt; MAX($G$2, DATE(Initialisatie!$C$5,1,1)), 0, MONTH(MIN($G$1, DATE(Initialisatie!$C$5,12,31))) - MONTH(MAX($G$2, DATE(Initialisatie!$C$5,1,1))) + 1)) &lt;= 0, IFERROR(VALUE($G153),0)=0),
        AND(MAX(0, IF(MIN($H$1, DATE(Initialisatie!$C$5,12,31)) &lt; MAX($H$2, DATE(Initialisatie!$C$5,1,1)), 0, MONTH(MIN($H$1, DATE(Initialisatie!$C$5,12,31))) - MONTH(MAX($H$2, DATE(Initialisatie!$C$5,1,1))) + 1)) &lt;= 0, IFERROR(VALUE($H153),0)=0)
    ),
    0,
    SUM(
        IFERROR(VALUE($D153),0) * MAX(0, IF(MIN($D$1, DATE(Initialisatie!$C$5,12,31)) &lt; MAX($D$2, DATE(Initialisatie!$C$5,1,1)), 0, MONTH(MIN($D$1, DATE(Initialisatie!$C$5,12,31))) - MONTH(MAX($D$2, DATE(Initialisatie!$C$5,1,1))) + 1)),
        IFERROR(VALUE($E153),0) * MAX(0, IF(MIN($E$1, DATE(Initialisatie!$C$5,12,31)) &lt; MAX($E$2, DATE(Initialisatie!$C$5,1,1)), 0, MONTH(MIN($E$1, DATE(Initialisatie!$C$5,12,31))) - MONTH(MAX($E$2, DATE(Initialisatie!$C$5,1,1))) + 1)),
        IFERROR(VALUE($F153),0) * MAX(0, IF(MIN($F$1, DATE(Initialisatie!$C$5,12,31)) &lt; MAX($F$2, DATE(Initialisatie!$C$5,1,1)), 0, MONTH(MIN($F$1, DATE(Initialisatie!$C$5,12,31))) - MONTH(MAX($F$2, DATE(Initialisatie!$C$5,1,1))) + 1)),
        IFERROR(VALUE($G153),0) * MAX(0, IF(MIN($G$1, DATE(Initialisatie!$C$5,12,31)) &lt; MAX($G$2, DATE(Initialisatie!$C$5,1,1)), 0, MONTH(MIN($G$1, DATE(Initialisatie!$C$5,12,31))) - MONTH(MAX($G$2, DATE(Initialisatie!$C$5,1,1))) + 1)),
        IFERROR(VALUE($H153),0) * MAX(0, IF(MIN($H$1, DATE(Initialisatie!$C$5,12,31)) &lt; MAX($H$2, DATE(Initialisatie!$C$5,1,1)), 0, MONTH(MIN($H$1, DATE(Initialisatie!$C$5,12,31))) - MONTH(MAX($H$2, DATE(Initialisatie!$C$5,1,1))) + 1))
    ) / 12
)</f>
        <v>7931</v>
      </c>
    </row>
    <row r="154" spans="1:11" x14ac:dyDescent="0.45">
      <c r="A154" s="990"/>
      <c r="B154" s="371">
        <v>12</v>
      </c>
      <c r="C154" s="371" t="s">
        <v>1348</v>
      </c>
      <c r="D154" t="s">
        <v>1346</v>
      </c>
      <c r="E154" t="s">
        <v>1345</v>
      </c>
      <c r="F154" t="s">
        <v>1347</v>
      </c>
      <c r="G154" t="s">
        <v>1347</v>
      </c>
      <c r="H154" t="s">
        <v>1676</v>
      </c>
      <c r="J154">
        <f>IF(
    OR(
        AND(MAX(0, MIN($D$1, DATE(Initialisatie!$C$5,12,31)) - MAX($D$2, DATE(Initialisatie!$C$5,1,1)) + 1) &gt; 0,IFERROR(VALUE($D154),0)=0),
        AND(MAX(0, MIN($E$1, DATE(Initialisatie!$C$5,12,31)) - MAX($E$2, DATE(Initialisatie!$C$5,1,1)) + 1) &gt; 0,IFERROR(VALUE($E154),0)=0),
        AND(MAX(0, MIN($F$1, DATE(Initialisatie!$C$5,12,31)) - MAX($F$2, DATE(Initialisatie!$C$5,1,1)) + 1) &gt; 0,IFERROR(VALUE($F154),0)=0),
        AND(MAX(0, MIN($G$1, DATE(Initialisatie!$C$5,12,31)) - MAX($G$2, DATE(Initialisatie!$C$5,1,1)) + 1) &gt; 0,IFERROR(VALUE($G154),0)=0),
        AND(MAX(0, MIN($H$1, DATE(Initialisatie!$C$5,12,31)) - MAX($H$2, DATE(Initialisatie!$C$5,1,1)) + 1) &gt; 0,IFERROR(VALUE($H154),0)=0)
    ),
    0,
    SUM(
        IFERROR(VALUE($D154),0) * MAX(0, MIN($D$1, DATE(Initialisatie!$C$5,12,31)) - MAX($D$2, DATE(Initialisatie!$C$5,1,1)) + 1),
        IFERROR(VALUE($E154),0) * MAX(0, MIN($E$1, DATE(Initialisatie!$C$5,12,31)) - MAX($E$2, DATE(Initialisatie!$C$5,1,1)) + 1),
        IFERROR(VALUE($F154),0) * MAX(0, MIN($F$1, DATE(Initialisatie!$C$5,12,31)) - MAX($F$2, DATE(Initialisatie!$C$5,1,1)) + 1),
        IFERROR(VALUE($G154),0) * MAX(0, MIN($G$1, DATE(Initialisatie!$C$5,12,31)) - MAX($G$2, DATE(Initialisatie!$C$5,1,1)) + 1),
        IFERROR(VALUE($H154),0) * MAX(0, MIN($H$1, DATE(Initialisatie!$C$5,12,31)) - MAX($H$2, DATE(Initialisatie!$C$5,1,1)) + 1)
    ) / (DATE(Initialisatie!$C$5,12,31) - DATE(Initialisatie!$C$5,1,1) + 1)
)</f>
        <v>8028.4739726027401</v>
      </c>
      <c r="K154">
        <f>IF(
    OR(
        AND(MAX(0, IF(MIN($D$1, DATE(Initialisatie!$C$5,12,31)) &lt; MAX($D$2, DATE(Initialisatie!$C$5,1,1)), 0, MONTH(MIN($D$1, DATE(Initialisatie!$C$5,12,31))) - MONTH(MAX($D$2, DATE(Initialisatie!$C$5,1,1))) + 1)) &lt;= 0, IFERROR(VALUE($D154),0)=0),
        AND(MAX(0, IF(MIN($E$1, DATE(Initialisatie!$C$5,12,31)) &lt; MAX($E$2, DATE(Initialisatie!$C$5,1,1)), 0, MONTH(MIN($E$1, DATE(Initialisatie!$C$5,12,31))) - MONTH(MAX($E$2, DATE(Initialisatie!$C$5,1,1))) + 1)) &lt;= 0, IFERROR(VALUE($E154),0)=0),
        AND(MAX(0, IF(MIN($F$1, DATE(Initialisatie!$C$5,12,31)) &lt; MAX($F$2, DATE(Initialisatie!$C$5,1,1)), 0, MONTH(MIN($F$1, DATE(Initialisatie!$C$5,12,31))) - MONTH(MAX($F$2, DATE(Initialisatie!$C$5,1,1))) + 1)) &lt;= 0, IFERROR(VALUE($F154),0)=0),
        AND(MAX(0, IF(MIN($G$1, DATE(Initialisatie!$C$5,12,31)) &lt; MAX($G$2, DATE(Initialisatie!$C$5,1,1)), 0, MONTH(MIN($G$1, DATE(Initialisatie!$C$5,12,31))) - MONTH(MAX($G$2, DATE(Initialisatie!$C$5,1,1))) + 1)) &lt;= 0, IFERROR(VALUE($G154),0)=0),
        AND(MAX(0, IF(MIN($H$1, DATE(Initialisatie!$C$5,12,31)) &lt; MAX($H$2, DATE(Initialisatie!$C$5,1,1)), 0, MONTH(MIN($H$1, DATE(Initialisatie!$C$5,12,31))) - MONTH(MAX($H$2, DATE(Initialisatie!$C$5,1,1))) + 1)) &lt;= 0, IFERROR(VALUE($H154),0)=0)
    ),
    0,
    SUM(
        IFERROR(VALUE($D154),0) * MAX(0, IF(MIN($D$1, DATE(Initialisatie!$C$5,12,31)) &lt; MAX($D$2, DATE(Initialisatie!$C$5,1,1)), 0, MONTH(MIN($D$1, DATE(Initialisatie!$C$5,12,31))) - MONTH(MAX($D$2, DATE(Initialisatie!$C$5,1,1))) + 1)),
        IFERROR(VALUE($E154),0) * MAX(0, IF(MIN($E$1, DATE(Initialisatie!$C$5,12,31)) &lt; MAX($E$2, DATE(Initialisatie!$C$5,1,1)), 0, MONTH(MIN($E$1, DATE(Initialisatie!$C$5,12,31))) - MONTH(MAX($E$2, DATE(Initialisatie!$C$5,1,1))) + 1)),
        IFERROR(VALUE($F154),0) * MAX(0, IF(MIN($F$1, DATE(Initialisatie!$C$5,12,31)) &lt; MAX($F$2, DATE(Initialisatie!$C$5,1,1)), 0, MONTH(MIN($F$1, DATE(Initialisatie!$C$5,12,31))) - MONTH(MAX($F$2, DATE(Initialisatie!$C$5,1,1))) + 1)),
        IFERROR(VALUE($G154),0) * MAX(0, IF(MIN($G$1, DATE(Initialisatie!$C$5,12,31)) &lt; MAX($G$2, DATE(Initialisatie!$C$5,1,1)), 0, MONTH(MIN($G$1, DATE(Initialisatie!$C$5,12,31))) - MONTH(MAX($G$2, DATE(Initialisatie!$C$5,1,1))) + 1)),
        IFERROR(VALUE($H154),0) * MAX(0, IF(MIN($H$1, DATE(Initialisatie!$C$5,12,31)) &lt; MAX($H$2, DATE(Initialisatie!$C$5,1,1)), 0, MONTH(MIN($H$1, DATE(Initialisatie!$C$5,12,31))) - MONTH(MAX($H$2, DATE(Initialisatie!$C$5,1,1))) + 1))
    ) / 12
)</f>
        <v>8027.5</v>
      </c>
    </row>
    <row r="155" spans="1:11" x14ac:dyDescent="0.45">
      <c r="A155" s="993">
        <v>75</v>
      </c>
      <c r="B155" s="371">
        <v>0</v>
      </c>
      <c r="C155" s="371" t="s">
        <v>1388</v>
      </c>
      <c r="D155" t="s">
        <v>1386</v>
      </c>
      <c r="E155" t="s">
        <v>1385</v>
      </c>
      <c r="F155" t="s">
        <v>1387</v>
      </c>
      <c r="G155" t="s">
        <v>1387</v>
      </c>
      <c r="H155" t="s">
        <v>1669</v>
      </c>
      <c r="J155">
        <f>IF(
    OR(
        AND(MAX(0, MIN($D$1, DATE(Initialisatie!$C$5,12,31)) - MAX($D$2, DATE(Initialisatie!$C$5,1,1)) + 1) &gt; 0,IFERROR(VALUE($D155),0)=0),
        AND(MAX(0, MIN($E$1, DATE(Initialisatie!$C$5,12,31)) - MAX($E$2, DATE(Initialisatie!$C$5,1,1)) + 1) &gt; 0,IFERROR(VALUE($E155),0)=0),
        AND(MAX(0, MIN($F$1, DATE(Initialisatie!$C$5,12,31)) - MAX($F$2, DATE(Initialisatie!$C$5,1,1)) + 1) &gt; 0,IFERROR(VALUE($F155),0)=0),
        AND(MAX(0, MIN($G$1, DATE(Initialisatie!$C$5,12,31)) - MAX($G$2, DATE(Initialisatie!$C$5,1,1)) + 1) &gt; 0,IFERROR(VALUE($G155),0)=0),
        AND(MAX(0, MIN($H$1, DATE(Initialisatie!$C$5,12,31)) - MAX($H$2, DATE(Initialisatie!$C$5,1,1)) + 1) &gt; 0,IFERROR(VALUE($H155),0)=0)
    ),
    0,
    SUM(
        IFERROR(VALUE($D155),0) * MAX(0, MIN($D$1, DATE(Initialisatie!$C$5,12,31)) - MAX($D$2, DATE(Initialisatie!$C$5,1,1)) + 1),
        IFERROR(VALUE($E155),0) * MAX(0, MIN($E$1, DATE(Initialisatie!$C$5,12,31)) - MAX($E$2, DATE(Initialisatie!$C$5,1,1)) + 1),
        IFERROR(VALUE($F155),0) * MAX(0, MIN($F$1, DATE(Initialisatie!$C$5,12,31)) - MAX($F$2, DATE(Initialisatie!$C$5,1,1)) + 1),
        IFERROR(VALUE($G155),0) * MAX(0, MIN($G$1, DATE(Initialisatie!$C$5,12,31)) - MAX($G$2, DATE(Initialisatie!$C$5,1,1)) + 1),
        IFERROR(VALUE($H155),0) * MAX(0, MIN($H$1, DATE(Initialisatie!$C$5,12,31)) - MAX($H$2, DATE(Initialisatie!$C$5,1,1)) + 1)
    ) / (DATE(Initialisatie!$C$5,12,31) - DATE(Initialisatie!$C$5,1,1) + 1)
)</f>
        <v>6900.8383561643832</v>
      </c>
      <c r="K155">
        <f>IF(
    OR(
        AND(MAX(0, IF(MIN($D$1, DATE(Initialisatie!$C$5,12,31)) &lt; MAX($D$2, DATE(Initialisatie!$C$5,1,1)), 0, MONTH(MIN($D$1, DATE(Initialisatie!$C$5,12,31))) - MONTH(MAX($D$2, DATE(Initialisatie!$C$5,1,1))) + 1)) &lt;= 0, IFERROR(VALUE($D155),0)=0),
        AND(MAX(0, IF(MIN($E$1, DATE(Initialisatie!$C$5,12,31)) &lt; MAX($E$2, DATE(Initialisatie!$C$5,1,1)), 0, MONTH(MIN($E$1, DATE(Initialisatie!$C$5,12,31))) - MONTH(MAX($E$2, DATE(Initialisatie!$C$5,1,1))) + 1)) &lt;= 0, IFERROR(VALUE($E155),0)=0),
        AND(MAX(0, IF(MIN($F$1, DATE(Initialisatie!$C$5,12,31)) &lt; MAX($F$2, DATE(Initialisatie!$C$5,1,1)), 0, MONTH(MIN($F$1, DATE(Initialisatie!$C$5,12,31))) - MONTH(MAX($F$2, DATE(Initialisatie!$C$5,1,1))) + 1)) &lt;= 0, IFERROR(VALUE($F155),0)=0),
        AND(MAX(0, IF(MIN($G$1, DATE(Initialisatie!$C$5,12,31)) &lt; MAX($G$2, DATE(Initialisatie!$C$5,1,1)), 0, MONTH(MIN($G$1, DATE(Initialisatie!$C$5,12,31))) - MONTH(MAX($G$2, DATE(Initialisatie!$C$5,1,1))) + 1)) &lt;= 0, IFERROR(VALUE($G155),0)=0),
        AND(MAX(0, IF(MIN($H$1, DATE(Initialisatie!$C$5,12,31)) &lt; MAX($H$2, DATE(Initialisatie!$C$5,1,1)), 0, MONTH(MIN($H$1, DATE(Initialisatie!$C$5,12,31))) - MONTH(MAX($H$2, DATE(Initialisatie!$C$5,1,1))) + 1)) &lt;= 0, IFERROR(VALUE($H155),0)=0)
    ),
    0,
    SUM(
        IFERROR(VALUE($D155),0) * MAX(0, IF(MIN($D$1, DATE(Initialisatie!$C$5,12,31)) &lt; MAX($D$2, DATE(Initialisatie!$C$5,1,1)), 0, MONTH(MIN($D$1, DATE(Initialisatie!$C$5,12,31))) - MONTH(MAX($D$2, DATE(Initialisatie!$C$5,1,1))) + 1)),
        IFERROR(VALUE($E155),0) * MAX(0, IF(MIN($E$1, DATE(Initialisatie!$C$5,12,31)) &lt; MAX($E$2, DATE(Initialisatie!$C$5,1,1)), 0, MONTH(MIN($E$1, DATE(Initialisatie!$C$5,12,31))) - MONTH(MAX($E$2, DATE(Initialisatie!$C$5,1,1))) + 1)),
        IFERROR(VALUE($F155),0) * MAX(0, IF(MIN($F$1, DATE(Initialisatie!$C$5,12,31)) &lt; MAX($F$2, DATE(Initialisatie!$C$5,1,1)), 0, MONTH(MIN($F$1, DATE(Initialisatie!$C$5,12,31))) - MONTH(MAX($F$2, DATE(Initialisatie!$C$5,1,1))) + 1)),
        IFERROR(VALUE($G155),0) * MAX(0, IF(MIN($G$1, DATE(Initialisatie!$C$5,12,31)) &lt; MAX($G$2, DATE(Initialisatie!$C$5,1,1)), 0, MONTH(MIN($G$1, DATE(Initialisatie!$C$5,12,31))) - MONTH(MAX($G$2, DATE(Initialisatie!$C$5,1,1))) + 1)),
        IFERROR(VALUE($H155),0) * MAX(0, IF(MIN($H$1, DATE(Initialisatie!$C$5,12,31)) &lt; MAX($H$2, DATE(Initialisatie!$C$5,1,1)), 0, MONTH(MIN($H$1, DATE(Initialisatie!$C$5,12,31))) - MONTH(MAX($H$2, DATE(Initialisatie!$C$5,1,1))) + 1))
    ) / 12
)</f>
        <v>6900</v>
      </c>
    </row>
    <row r="156" spans="1:11" x14ac:dyDescent="0.45">
      <c r="A156" s="989"/>
      <c r="B156" s="371">
        <v>1</v>
      </c>
      <c r="C156" s="371" t="s">
        <v>1384</v>
      </c>
      <c r="D156" t="s">
        <v>1382</v>
      </c>
      <c r="E156" t="s">
        <v>1381</v>
      </c>
      <c r="F156" t="s">
        <v>1383</v>
      </c>
      <c r="G156" t="s">
        <v>1383</v>
      </c>
      <c r="H156" t="s">
        <v>1677</v>
      </c>
      <c r="J156">
        <f>IF(
    OR(
        AND(MAX(0, MIN($D$1, DATE(Initialisatie!$C$5,12,31)) - MAX($D$2, DATE(Initialisatie!$C$5,1,1)) + 1) &gt; 0,IFERROR(VALUE($D156),0)=0),
        AND(MAX(0, MIN($E$1, DATE(Initialisatie!$C$5,12,31)) - MAX($E$2, DATE(Initialisatie!$C$5,1,1)) + 1) &gt; 0,IFERROR(VALUE($E156),0)=0),
        AND(MAX(0, MIN($F$1, DATE(Initialisatie!$C$5,12,31)) - MAX($F$2, DATE(Initialisatie!$C$5,1,1)) + 1) &gt; 0,IFERROR(VALUE($F156),0)=0),
        AND(MAX(0, MIN($G$1, DATE(Initialisatie!$C$5,12,31)) - MAX($G$2, DATE(Initialisatie!$C$5,1,1)) + 1) &gt; 0,IFERROR(VALUE($G156),0)=0),
        AND(MAX(0, MIN($H$1, DATE(Initialisatie!$C$5,12,31)) - MAX($H$2, DATE(Initialisatie!$C$5,1,1)) + 1) &gt; 0,IFERROR(VALUE($H156),0)=0)
    ),
    0,
    SUM(
        IFERROR(VALUE($D156),0) * MAX(0, MIN($D$1, DATE(Initialisatie!$C$5,12,31)) - MAX($D$2, DATE(Initialisatie!$C$5,1,1)) + 1),
        IFERROR(VALUE($E156),0) * MAX(0, MIN($E$1, DATE(Initialisatie!$C$5,12,31)) - MAX($E$2, DATE(Initialisatie!$C$5,1,1)) + 1),
        IFERROR(VALUE($F156),0) * MAX(0, MIN($F$1, DATE(Initialisatie!$C$5,12,31)) - MAX($F$2, DATE(Initialisatie!$C$5,1,1)) + 1),
        IFERROR(VALUE($G156),0) * MAX(0, MIN($G$1, DATE(Initialisatie!$C$5,12,31)) - MAX($G$2, DATE(Initialisatie!$C$5,1,1)) + 1),
        IFERROR(VALUE($H156),0) * MAX(0, MIN($H$1, DATE(Initialisatie!$C$5,12,31)) - MAX($H$2, DATE(Initialisatie!$C$5,1,1)) + 1)
    ) / (DATE(Initialisatie!$C$5,12,31) - DATE(Initialisatie!$C$5,1,1) + 1)
)</f>
        <v>7155.8712328767124</v>
      </c>
      <c r="K156">
        <f>IF(
    OR(
        AND(MAX(0, IF(MIN($D$1, DATE(Initialisatie!$C$5,12,31)) &lt; MAX($D$2, DATE(Initialisatie!$C$5,1,1)), 0, MONTH(MIN($D$1, DATE(Initialisatie!$C$5,12,31))) - MONTH(MAX($D$2, DATE(Initialisatie!$C$5,1,1))) + 1)) &lt;= 0, IFERROR(VALUE($D156),0)=0),
        AND(MAX(0, IF(MIN($E$1, DATE(Initialisatie!$C$5,12,31)) &lt; MAX($E$2, DATE(Initialisatie!$C$5,1,1)), 0, MONTH(MIN($E$1, DATE(Initialisatie!$C$5,12,31))) - MONTH(MAX($E$2, DATE(Initialisatie!$C$5,1,1))) + 1)) &lt;= 0, IFERROR(VALUE($E156),0)=0),
        AND(MAX(0, IF(MIN($F$1, DATE(Initialisatie!$C$5,12,31)) &lt; MAX($F$2, DATE(Initialisatie!$C$5,1,1)), 0, MONTH(MIN($F$1, DATE(Initialisatie!$C$5,12,31))) - MONTH(MAX($F$2, DATE(Initialisatie!$C$5,1,1))) + 1)) &lt;= 0, IFERROR(VALUE($F156),0)=0),
        AND(MAX(0, IF(MIN($G$1, DATE(Initialisatie!$C$5,12,31)) &lt; MAX($G$2, DATE(Initialisatie!$C$5,1,1)), 0, MONTH(MIN($G$1, DATE(Initialisatie!$C$5,12,31))) - MONTH(MAX($G$2, DATE(Initialisatie!$C$5,1,1))) + 1)) &lt;= 0, IFERROR(VALUE($G156),0)=0),
        AND(MAX(0, IF(MIN($H$1, DATE(Initialisatie!$C$5,12,31)) &lt; MAX($H$2, DATE(Initialisatie!$C$5,1,1)), 0, MONTH(MIN($H$1, DATE(Initialisatie!$C$5,12,31))) - MONTH(MAX($H$2, DATE(Initialisatie!$C$5,1,1))) + 1)) &lt;= 0, IFERROR(VALUE($H156),0)=0)
    ),
    0,
    SUM(
        IFERROR(VALUE($D156),0) * MAX(0, IF(MIN($D$1, DATE(Initialisatie!$C$5,12,31)) &lt; MAX($D$2, DATE(Initialisatie!$C$5,1,1)), 0, MONTH(MIN($D$1, DATE(Initialisatie!$C$5,12,31))) - MONTH(MAX($D$2, DATE(Initialisatie!$C$5,1,1))) + 1)),
        IFERROR(VALUE($E156),0) * MAX(0, IF(MIN($E$1, DATE(Initialisatie!$C$5,12,31)) &lt; MAX($E$2, DATE(Initialisatie!$C$5,1,1)), 0, MONTH(MIN($E$1, DATE(Initialisatie!$C$5,12,31))) - MONTH(MAX($E$2, DATE(Initialisatie!$C$5,1,1))) + 1)),
        IFERROR(VALUE($F156),0) * MAX(0, IF(MIN($F$1, DATE(Initialisatie!$C$5,12,31)) &lt; MAX($F$2, DATE(Initialisatie!$C$5,1,1)), 0, MONTH(MIN($F$1, DATE(Initialisatie!$C$5,12,31))) - MONTH(MAX($F$2, DATE(Initialisatie!$C$5,1,1))) + 1)),
        IFERROR(VALUE($G156),0) * MAX(0, IF(MIN($G$1, DATE(Initialisatie!$C$5,12,31)) &lt; MAX($G$2, DATE(Initialisatie!$C$5,1,1)), 0, MONTH(MIN($G$1, DATE(Initialisatie!$C$5,12,31))) - MONTH(MAX($G$2, DATE(Initialisatie!$C$5,1,1))) + 1)),
        IFERROR(VALUE($H156),0) * MAX(0, IF(MIN($H$1, DATE(Initialisatie!$C$5,12,31)) &lt; MAX($H$2, DATE(Initialisatie!$C$5,1,1)), 0, MONTH(MIN($H$1, DATE(Initialisatie!$C$5,12,31))) - MONTH(MAX($H$2, DATE(Initialisatie!$C$5,1,1))) + 1))
    ) / 12
)</f>
        <v>7155</v>
      </c>
    </row>
    <row r="157" spans="1:11" x14ac:dyDescent="0.45">
      <c r="A157" s="989"/>
      <c r="B157" s="371">
        <v>2</v>
      </c>
      <c r="C157" s="371" t="s">
        <v>1380</v>
      </c>
      <c r="D157" t="s">
        <v>1378</v>
      </c>
      <c r="E157" t="s">
        <v>1377</v>
      </c>
      <c r="F157" t="s">
        <v>1379</v>
      </c>
      <c r="G157" t="s">
        <v>1379</v>
      </c>
      <c r="H157" t="s">
        <v>1671</v>
      </c>
      <c r="J157">
        <f>IF(
    OR(
        AND(MAX(0, MIN($D$1, DATE(Initialisatie!$C$5,12,31)) - MAX($D$2, DATE(Initialisatie!$C$5,1,1)) + 1) &gt; 0,IFERROR(VALUE($D157),0)=0),
        AND(MAX(0, MIN($E$1, DATE(Initialisatie!$C$5,12,31)) - MAX($E$2, DATE(Initialisatie!$C$5,1,1)) + 1) &gt; 0,IFERROR(VALUE($E157),0)=0),
        AND(MAX(0, MIN($F$1, DATE(Initialisatie!$C$5,12,31)) - MAX($F$2, DATE(Initialisatie!$C$5,1,1)) + 1) &gt; 0,IFERROR(VALUE($F157),0)=0),
        AND(MAX(0, MIN($G$1, DATE(Initialisatie!$C$5,12,31)) - MAX($G$2, DATE(Initialisatie!$C$5,1,1)) + 1) &gt; 0,IFERROR(VALUE($G157),0)=0),
        AND(MAX(0, MIN($H$1, DATE(Initialisatie!$C$5,12,31)) - MAX($H$2, DATE(Initialisatie!$C$5,1,1)) + 1) &gt; 0,IFERROR(VALUE($H157),0)=0)
    ),
    0,
    SUM(
        IFERROR(VALUE($D157),0) * MAX(0, MIN($D$1, DATE(Initialisatie!$C$5,12,31)) - MAX($D$2, DATE(Initialisatie!$C$5,1,1)) + 1),
        IFERROR(VALUE($E157),0) * MAX(0, MIN($E$1, DATE(Initialisatie!$C$5,12,31)) - MAX($E$2, DATE(Initialisatie!$C$5,1,1)) + 1),
        IFERROR(VALUE($F157),0) * MAX(0, MIN($F$1, DATE(Initialisatie!$C$5,12,31)) - MAX($F$2, DATE(Initialisatie!$C$5,1,1)) + 1),
        IFERROR(VALUE($G157),0) * MAX(0, MIN($G$1, DATE(Initialisatie!$C$5,12,31)) - MAX($G$2, DATE(Initialisatie!$C$5,1,1)) + 1),
        IFERROR(VALUE($H157),0) * MAX(0, MIN($H$1, DATE(Initialisatie!$C$5,12,31)) - MAX($H$2, DATE(Initialisatie!$C$5,1,1)) + 1)
    ) / (DATE(Initialisatie!$C$5,12,31) - DATE(Initialisatie!$C$5,1,1) + 1)
)</f>
        <v>7446.9041095890407</v>
      </c>
      <c r="K157">
        <f>IF(
    OR(
        AND(MAX(0, IF(MIN($D$1, DATE(Initialisatie!$C$5,12,31)) &lt; MAX($D$2, DATE(Initialisatie!$C$5,1,1)), 0, MONTH(MIN($D$1, DATE(Initialisatie!$C$5,12,31))) - MONTH(MAX($D$2, DATE(Initialisatie!$C$5,1,1))) + 1)) &lt;= 0, IFERROR(VALUE($D157),0)=0),
        AND(MAX(0, IF(MIN($E$1, DATE(Initialisatie!$C$5,12,31)) &lt; MAX($E$2, DATE(Initialisatie!$C$5,1,1)), 0, MONTH(MIN($E$1, DATE(Initialisatie!$C$5,12,31))) - MONTH(MAX($E$2, DATE(Initialisatie!$C$5,1,1))) + 1)) &lt;= 0, IFERROR(VALUE($E157),0)=0),
        AND(MAX(0, IF(MIN($F$1, DATE(Initialisatie!$C$5,12,31)) &lt; MAX($F$2, DATE(Initialisatie!$C$5,1,1)), 0, MONTH(MIN($F$1, DATE(Initialisatie!$C$5,12,31))) - MONTH(MAX($F$2, DATE(Initialisatie!$C$5,1,1))) + 1)) &lt;= 0, IFERROR(VALUE($F157),0)=0),
        AND(MAX(0, IF(MIN($G$1, DATE(Initialisatie!$C$5,12,31)) &lt; MAX($G$2, DATE(Initialisatie!$C$5,1,1)), 0, MONTH(MIN($G$1, DATE(Initialisatie!$C$5,12,31))) - MONTH(MAX($G$2, DATE(Initialisatie!$C$5,1,1))) + 1)) &lt;= 0, IFERROR(VALUE($G157),0)=0),
        AND(MAX(0, IF(MIN($H$1, DATE(Initialisatie!$C$5,12,31)) &lt; MAX($H$2, DATE(Initialisatie!$C$5,1,1)), 0, MONTH(MIN($H$1, DATE(Initialisatie!$C$5,12,31))) - MONTH(MAX($H$2, DATE(Initialisatie!$C$5,1,1))) + 1)) &lt;= 0, IFERROR(VALUE($H157),0)=0)
    ),
    0,
    SUM(
        IFERROR(VALUE($D157),0) * MAX(0, IF(MIN($D$1, DATE(Initialisatie!$C$5,12,31)) &lt; MAX($D$2, DATE(Initialisatie!$C$5,1,1)), 0, MONTH(MIN($D$1, DATE(Initialisatie!$C$5,12,31))) - MONTH(MAX($D$2, DATE(Initialisatie!$C$5,1,1))) + 1)),
        IFERROR(VALUE($E157),0) * MAX(0, IF(MIN($E$1, DATE(Initialisatie!$C$5,12,31)) &lt; MAX($E$2, DATE(Initialisatie!$C$5,1,1)), 0, MONTH(MIN($E$1, DATE(Initialisatie!$C$5,12,31))) - MONTH(MAX($E$2, DATE(Initialisatie!$C$5,1,1))) + 1)),
        IFERROR(VALUE($F157),0) * MAX(0, IF(MIN($F$1, DATE(Initialisatie!$C$5,12,31)) &lt; MAX($F$2, DATE(Initialisatie!$C$5,1,1)), 0, MONTH(MIN($F$1, DATE(Initialisatie!$C$5,12,31))) - MONTH(MAX($F$2, DATE(Initialisatie!$C$5,1,1))) + 1)),
        IFERROR(VALUE($G157),0) * MAX(0, IF(MIN($G$1, DATE(Initialisatie!$C$5,12,31)) &lt; MAX($G$2, DATE(Initialisatie!$C$5,1,1)), 0, MONTH(MIN($G$1, DATE(Initialisatie!$C$5,12,31))) - MONTH(MAX($G$2, DATE(Initialisatie!$C$5,1,1))) + 1)),
        IFERROR(VALUE($H157),0) * MAX(0, IF(MIN($H$1, DATE(Initialisatie!$C$5,12,31)) &lt; MAX($H$2, DATE(Initialisatie!$C$5,1,1)), 0, MONTH(MIN($H$1, DATE(Initialisatie!$C$5,12,31))) - MONTH(MAX($H$2, DATE(Initialisatie!$C$5,1,1))) + 1))
    ) / 12
)</f>
        <v>7446</v>
      </c>
    </row>
    <row r="158" spans="1:11" x14ac:dyDescent="0.45">
      <c r="A158" s="989"/>
      <c r="B158" s="371">
        <v>3</v>
      </c>
      <c r="C158" s="371" t="s">
        <v>1376</v>
      </c>
      <c r="D158" t="s">
        <v>1374</v>
      </c>
      <c r="E158" t="s">
        <v>1373</v>
      </c>
      <c r="F158" t="s">
        <v>1375</v>
      </c>
      <c r="G158" t="s">
        <v>1375</v>
      </c>
      <c r="H158" t="s">
        <v>1673</v>
      </c>
      <c r="J158">
        <f>IF(
    OR(
        AND(MAX(0, MIN($D$1, DATE(Initialisatie!$C$5,12,31)) - MAX($D$2, DATE(Initialisatie!$C$5,1,1)) + 1) &gt; 0,IFERROR(VALUE($D158),0)=0),
        AND(MAX(0, MIN($E$1, DATE(Initialisatie!$C$5,12,31)) - MAX($E$2, DATE(Initialisatie!$C$5,1,1)) + 1) &gt; 0,IFERROR(VALUE($E158),0)=0),
        AND(MAX(0, MIN($F$1, DATE(Initialisatie!$C$5,12,31)) - MAX($F$2, DATE(Initialisatie!$C$5,1,1)) + 1) &gt; 0,IFERROR(VALUE($F158),0)=0),
        AND(MAX(0, MIN($G$1, DATE(Initialisatie!$C$5,12,31)) - MAX($G$2, DATE(Initialisatie!$C$5,1,1)) + 1) &gt; 0,IFERROR(VALUE($G158),0)=0),
        AND(MAX(0, MIN($H$1, DATE(Initialisatie!$C$5,12,31)) - MAX($H$2, DATE(Initialisatie!$C$5,1,1)) + 1) &gt; 0,IFERROR(VALUE($H158),0)=0)
    ),
    0,
    SUM(
        IFERROR(VALUE($D158),0) * MAX(0, MIN($D$1, DATE(Initialisatie!$C$5,12,31)) - MAX($D$2, DATE(Initialisatie!$C$5,1,1)) + 1),
        IFERROR(VALUE($E158),0) * MAX(0, MIN($E$1, DATE(Initialisatie!$C$5,12,31)) - MAX($E$2, DATE(Initialisatie!$C$5,1,1)) + 1),
        IFERROR(VALUE($F158),0) * MAX(0, MIN($F$1, DATE(Initialisatie!$C$5,12,31)) - MAX($F$2, DATE(Initialisatie!$C$5,1,1)) + 1),
        IFERROR(VALUE($G158),0) * MAX(0, MIN($G$1, DATE(Initialisatie!$C$5,12,31)) - MAX($G$2, DATE(Initialisatie!$C$5,1,1)) + 1),
        IFERROR(VALUE($H158),0) * MAX(0, MIN($H$1, DATE(Initialisatie!$C$5,12,31)) - MAX($H$2, DATE(Initialisatie!$C$5,1,1)) + 1)
    ) / (DATE(Initialisatie!$C$5,12,31) - DATE(Initialisatie!$C$5,1,1) + 1)
)</f>
        <v>7736.4410958904109</v>
      </c>
      <c r="K158">
        <f>IF(
    OR(
        AND(MAX(0, IF(MIN($D$1, DATE(Initialisatie!$C$5,12,31)) &lt; MAX($D$2, DATE(Initialisatie!$C$5,1,1)), 0, MONTH(MIN($D$1, DATE(Initialisatie!$C$5,12,31))) - MONTH(MAX($D$2, DATE(Initialisatie!$C$5,1,1))) + 1)) &lt;= 0, IFERROR(VALUE($D158),0)=0),
        AND(MAX(0, IF(MIN($E$1, DATE(Initialisatie!$C$5,12,31)) &lt; MAX($E$2, DATE(Initialisatie!$C$5,1,1)), 0, MONTH(MIN($E$1, DATE(Initialisatie!$C$5,12,31))) - MONTH(MAX($E$2, DATE(Initialisatie!$C$5,1,1))) + 1)) &lt;= 0, IFERROR(VALUE($E158),0)=0),
        AND(MAX(0, IF(MIN($F$1, DATE(Initialisatie!$C$5,12,31)) &lt; MAX($F$2, DATE(Initialisatie!$C$5,1,1)), 0, MONTH(MIN($F$1, DATE(Initialisatie!$C$5,12,31))) - MONTH(MAX($F$2, DATE(Initialisatie!$C$5,1,1))) + 1)) &lt;= 0, IFERROR(VALUE($F158),0)=0),
        AND(MAX(0, IF(MIN($G$1, DATE(Initialisatie!$C$5,12,31)) &lt; MAX($G$2, DATE(Initialisatie!$C$5,1,1)), 0, MONTH(MIN($G$1, DATE(Initialisatie!$C$5,12,31))) - MONTH(MAX($G$2, DATE(Initialisatie!$C$5,1,1))) + 1)) &lt;= 0, IFERROR(VALUE($G158),0)=0),
        AND(MAX(0, IF(MIN($H$1, DATE(Initialisatie!$C$5,12,31)) &lt; MAX($H$2, DATE(Initialisatie!$C$5,1,1)), 0, MONTH(MIN($H$1, DATE(Initialisatie!$C$5,12,31))) - MONTH(MAX($H$2, DATE(Initialisatie!$C$5,1,1))) + 1)) &lt;= 0, IFERROR(VALUE($H158),0)=0)
    ),
    0,
    SUM(
        IFERROR(VALUE($D158),0) * MAX(0, IF(MIN($D$1, DATE(Initialisatie!$C$5,12,31)) &lt; MAX($D$2, DATE(Initialisatie!$C$5,1,1)), 0, MONTH(MIN($D$1, DATE(Initialisatie!$C$5,12,31))) - MONTH(MAX($D$2, DATE(Initialisatie!$C$5,1,1))) + 1)),
        IFERROR(VALUE($E158),0) * MAX(0, IF(MIN($E$1, DATE(Initialisatie!$C$5,12,31)) &lt; MAX($E$2, DATE(Initialisatie!$C$5,1,1)), 0, MONTH(MIN($E$1, DATE(Initialisatie!$C$5,12,31))) - MONTH(MAX($E$2, DATE(Initialisatie!$C$5,1,1))) + 1)),
        IFERROR(VALUE($F158),0) * MAX(0, IF(MIN($F$1, DATE(Initialisatie!$C$5,12,31)) &lt; MAX($F$2, DATE(Initialisatie!$C$5,1,1)), 0, MONTH(MIN($F$1, DATE(Initialisatie!$C$5,12,31))) - MONTH(MAX($F$2, DATE(Initialisatie!$C$5,1,1))) + 1)),
        IFERROR(VALUE($G158),0) * MAX(0, IF(MIN($G$1, DATE(Initialisatie!$C$5,12,31)) &lt; MAX($G$2, DATE(Initialisatie!$C$5,1,1)), 0, MONTH(MIN($G$1, DATE(Initialisatie!$C$5,12,31))) - MONTH(MAX($G$2, DATE(Initialisatie!$C$5,1,1))) + 1)),
        IFERROR(VALUE($H158),0) * MAX(0, IF(MIN($H$1, DATE(Initialisatie!$C$5,12,31)) &lt; MAX($H$2, DATE(Initialisatie!$C$5,1,1)), 0, MONTH(MIN($H$1, DATE(Initialisatie!$C$5,12,31))) - MONTH(MAX($H$2, DATE(Initialisatie!$C$5,1,1))) + 1))
    ) / 12
)</f>
        <v>7735.5</v>
      </c>
    </row>
    <row r="159" spans="1:11" x14ac:dyDescent="0.45">
      <c r="A159" s="989"/>
      <c r="B159" s="371">
        <v>4</v>
      </c>
      <c r="C159" s="371" t="s">
        <v>1348</v>
      </c>
      <c r="D159" t="s">
        <v>1346</v>
      </c>
      <c r="E159" t="s">
        <v>1345</v>
      </c>
      <c r="F159" t="s">
        <v>1347</v>
      </c>
      <c r="G159" t="s">
        <v>1347</v>
      </c>
      <c r="H159" t="s">
        <v>1676</v>
      </c>
      <c r="J159">
        <f>IF(
    OR(
        AND(MAX(0, MIN($D$1, DATE(Initialisatie!$C$5,12,31)) - MAX($D$2, DATE(Initialisatie!$C$5,1,1)) + 1) &gt; 0,IFERROR(VALUE($D159),0)=0),
        AND(MAX(0, MIN($E$1, DATE(Initialisatie!$C$5,12,31)) - MAX($E$2, DATE(Initialisatie!$C$5,1,1)) + 1) &gt; 0,IFERROR(VALUE($E159),0)=0),
        AND(MAX(0, MIN($F$1, DATE(Initialisatie!$C$5,12,31)) - MAX($F$2, DATE(Initialisatie!$C$5,1,1)) + 1) &gt; 0,IFERROR(VALUE($F159),0)=0),
        AND(MAX(0, MIN($G$1, DATE(Initialisatie!$C$5,12,31)) - MAX($G$2, DATE(Initialisatie!$C$5,1,1)) + 1) &gt; 0,IFERROR(VALUE($G159),0)=0),
        AND(MAX(0, MIN($H$1, DATE(Initialisatie!$C$5,12,31)) - MAX($H$2, DATE(Initialisatie!$C$5,1,1)) + 1) &gt; 0,IFERROR(VALUE($H159),0)=0)
    ),
    0,
    SUM(
        IFERROR(VALUE($D159),0) * MAX(0, MIN($D$1, DATE(Initialisatie!$C$5,12,31)) - MAX($D$2, DATE(Initialisatie!$C$5,1,1)) + 1),
        IFERROR(VALUE($E159),0) * MAX(0, MIN($E$1, DATE(Initialisatie!$C$5,12,31)) - MAX($E$2, DATE(Initialisatie!$C$5,1,1)) + 1),
        IFERROR(VALUE($F159),0) * MAX(0, MIN($F$1, DATE(Initialisatie!$C$5,12,31)) - MAX($F$2, DATE(Initialisatie!$C$5,1,1)) + 1),
        IFERROR(VALUE($G159),0) * MAX(0, MIN($G$1, DATE(Initialisatie!$C$5,12,31)) - MAX($G$2, DATE(Initialisatie!$C$5,1,1)) + 1),
        IFERROR(VALUE($H159),0) * MAX(0, MIN($H$1, DATE(Initialisatie!$C$5,12,31)) - MAX($H$2, DATE(Initialisatie!$C$5,1,1)) + 1)
    ) / (DATE(Initialisatie!$C$5,12,31) - DATE(Initialisatie!$C$5,1,1) + 1)
)</f>
        <v>8028.4739726027401</v>
      </c>
      <c r="K159">
        <f>IF(
    OR(
        AND(MAX(0, IF(MIN($D$1, DATE(Initialisatie!$C$5,12,31)) &lt; MAX($D$2, DATE(Initialisatie!$C$5,1,1)), 0, MONTH(MIN($D$1, DATE(Initialisatie!$C$5,12,31))) - MONTH(MAX($D$2, DATE(Initialisatie!$C$5,1,1))) + 1)) &lt;= 0, IFERROR(VALUE($D159),0)=0),
        AND(MAX(0, IF(MIN($E$1, DATE(Initialisatie!$C$5,12,31)) &lt; MAX($E$2, DATE(Initialisatie!$C$5,1,1)), 0, MONTH(MIN($E$1, DATE(Initialisatie!$C$5,12,31))) - MONTH(MAX($E$2, DATE(Initialisatie!$C$5,1,1))) + 1)) &lt;= 0, IFERROR(VALUE($E159),0)=0),
        AND(MAX(0, IF(MIN($F$1, DATE(Initialisatie!$C$5,12,31)) &lt; MAX($F$2, DATE(Initialisatie!$C$5,1,1)), 0, MONTH(MIN($F$1, DATE(Initialisatie!$C$5,12,31))) - MONTH(MAX($F$2, DATE(Initialisatie!$C$5,1,1))) + 1)) &lt;= 0, IFERROR(VALUE($F159),0)=0),
        AND(MAX(0, IF(MIN($G$1, DATE(Initialisatie!$C$5,12,31)) &lt; MAX($G$2, DATE(Initialisatie!$C$5,1,1)), 0, MONTH(MIN($G$1, DATE(Initialisatie!$C$5,12,31))) - MONTH(MAX($G$2, DATE(Initialisatie!$C$5,1,1))) + 1)) &lt;= 0, IFERROR(VALUE($G159),0)=0),
        AND(MAX(0, IF(MIN($H$1, DATE(Initialisatie!$C$5,12,31)) &lt; MAX($H$2, DATE(Initialisatie!$C$5,1,1)), 0, MONTH(MIN($H$1, DATE(Initialisatie!$C$5,12,31))) - MONTH(MAX($H$2, DATE(Initialisatie!$C$5,1,1))) + 1)) &lt;= 0, IFERROR(VALUE($H159),0)=0)
    ),
    0,
    SUM(
        IFERROR(VALUE($D159),0) * MAX(0, IF(MIN($D$1, DATE(Initialisatie!$C$5,12,31)) &lt; MAX($D$2, DATE(Initialisatie!$C$5,1,1)), 0, MONTH(MIN($D$1, DATE(Initialisatie!$C$5,12,31))) - MONTH(MAX($D$2, DATE(Initialisatie!$C$5,1,1))) + 1)),
        IFERROR(VALUE($E159),0) * MAX(0, IF(MIN($E$1, DATE(Initialisatie!$C$5,12,31)) &lt; MAX($E$2, DATE(Initialisatie!$C$5,1,1)), 0, MONTH(MIN($E$1, DATE(Initialisatie!$C$5,12,31))) - MONTH(MAX($E$2, DATE(Initialisatie!$C$5,1,1))) + 1)),
        IFERROR(VALUE($F159),0) * MAX(0, IF(MIN($F$1, DATE(Initialisatie!$C$5,12,31)) &lt; MAX($F$2, DATE(Initialisatie!$C$5,1,1)), 0, MONTH(MIN($F$1, DATE(Initialisatie!$C$5,12,31))) - MONTH(MAX($F$2, DATE(Initialisatie!$C$5,1,1))) + 1)),
        IFERROR(VALUE($G159),0) * MAX(0, IF(MIN($G$1, DATE(Initialisatie!$C$5,12,31)) &lt; MAX($G$2, DATE(Initialisatie!$C$5,1,1)), 0, MONTH(MIN($G$1, DATE(Initialisatie!$C$5,12,31))) - MONTH(MAX($G$2, DATE(Initialisatie!$C$5,1,1))) + 1)),
        IFERROR(VALUE($H159),0) * MAX(0, IF(MIN($H$1, DATE(Initialisatie!$C$5,12,31)) &lt; MAX($H$2, DATE(Initialisatie!$C$5,1,1)), 0, MONTH(MIN($H$1, DATE(Initialisatie!$C$5,12,31))) - MONTH(MAX($H$2, DATE(Initialisatie!$C$5,1,1))) + 1))
    ) / 12
)</f>
        <v>8027.5</v>
      </c>
    </row>
    <row r="160" spans="1:11" x14ac:dyDescent="0.45">
      <c r="A160" s="989"/>
      <c r="B160" s="371">
        <v>5</v>
      </c>
      <c r="C160" s="371" t="s">
        <v>1372</v>
      </c>
      <c r="D160" t="s">
        <v>1370</v>
      </c>
      <c r="E160" t="s">
        <v>1369</v>
      </c>
      <c r="F160" t="s">
        <v>1371</v>
      </c>
      <c r="G160" t="s">
        <v>1371</v>
      </c>
      <c r="H160" t="s">
        <v>1678</v>
      </c>
      <c r="J160">
        <f>IF(
    OR(
        AND(MAX(0, MIN($D$1, DATE(Initialisatie!$C$5,12,31)) - MAX($D$2, DATE(Initialisatie!$C$5,1,1)) + 1) &gt; 0,IFERROR(VALUE($D160),0)=0),
        AND(MAX(0, MIN($E$1, DATE(Initialisatie!$C$5,12,31)) - MAX($E$2, DATE(Initialisatie!$C$5,1,1)) + 1) &gt; 0,IFERROR(VALUE($E160),0)=0),
        AND(MAX(0, MIN($F$1, DATE(Initialisatie!$C$5,12,31)) - MAX($F$2, DATE(Initialisatie!$C$5,1,1)) + 1) &gt; 0,IFERROR(VALUE($F160),0)=0),
        AND(MAX(0, MIN($G$1, DATE(Initialisatie!$C$5,12,31)) - MAX($G$2, DATE(Initialisatie!$C$5,1,1)) + 1) &gt; 0,IFERROR(VALUE($G160),0)=0),
        AND(MAX(0, MIN($H$1, DATE(Initialisatie!$C$5,12,31)) - MAX($H$2, DATE(Initialisatie!$C$5,1,1)) + 1) &gt; 0,IFERROR(VALUE($H160),0)=0)
    ),
    0,
    SUM(
        IFERROR(VALUE($D160),0) * MAX(0, MIN($D$1, DATE(Initialisatie!$C$5,12,31)) - MAX($D$2, DATE(Initialisatie!$C$5,1,1)) + 1),
        IFERROR(VALUE($E160),0) * MAX(0, MIN($E$1, DATE(Initialisatie!$C$5,12,31)) - MAX($E$2, DATE(Initialisatie!$C$5,1,1)) + 1),
        IFERROR(VALUE($F160),0) * MAX(0, MIN($F$1, DATE(Initialisatie!$C$5,12,31)) - MAX($F$2, DATE(Initialisatie!$C$5,1,1)) + 1),
        IFERROR(VALUE($G160),0) * MAX(0, MIN($G$1, DATE(Initialisatie!$C$5,12,31)) - MAX($G$2, DATE(Initialisatie!$C$5,1,1)) + 1),
        IFERROR(VALUE($H160),0) * MAX(0, MIN($H$1, DATE(Initialisatie!$C$5,12,31)) - MAX($H$2, DATE(Initialisatie!$C$5,1,1)) + 1)
    ) / (DATE(Initialisatie!$C$5,12,31) - DATE(Initialisatie!$C$5,1,1) + 1)
)</f>
        <v>8223.4986301369863</v>
      </c>
      <c r="K160">
        <f>IF(
    OR(
        AND(MAX(0, IF(MIN($D$1, DATE(Initialisatie!$C$5,12,31)) &lt; MAX($D$2, DATE(Initialisatie!$C$5,1,1)), 0, MONTH(MIN($D$1, DATE(Initialisatie!$C$5,12,31))) - MONTH(MAX($D$2, DATE(Initialisatie!$C$5,1,1))) + 1)) &lt;= 0, IFERROR(VALUE($D160),0)=0),
        AND(MAX(0, IF(MIN($E$1, DATE(Initialisatie!$C$5,12,31)) &lt; MAX($E$2, DATE(Initialisatie!$C$5,1,1)), 0, MONTH(MIN($E$1, DATE(Initialisatie!$C$5,12,31))) - MONTH(MAX($E$2, DATE(Initialisatie!$C$5,1,1))) + 1)) &lt;= 0, IFERROR(VALUE($E160),0)=0),
        AND(MAX(0, IF(MIN($F$1, DATE(Initialisatie!$C$5,12,31)) &lt; MAX($F$2, DATE(Initialisatie!$C$5,1,1)), 0, MONTH(MIN($F$1, DATE(Initialisatie!$C$5,12,31))) - MONTH(MAX($F$2, DATE(Initialisatie!$C$5,1,1))) + 1)) &lt;= 0, IFERROR(VALUE($F160),0)=0),
        AND(MAX(0, IF(MIN($G$1, DATE(Initialisatie!$C$5,12,31)) &lt; MAX($G$2, DATE(Initialisatie!$C$5,1,1)), 0, MONTH(MIN($G$1, DATE(Initialisatie!$C$5,12,31))) - MONTH(MAX($G$2, DATE(Initialisatie!$C$5,1,1))) + 1)) &lt;= 0, IFERROR(VALUE($G160),0)=0),
        AND(MAX(0, IF(MIN($H$1, DATE(Initialisatie!$C$5,12,31)) &lt; MAX($H$2, DATE(Initialisatie!$C$5,1,1)), 0, MONTH(MIN($H$1, DATE(Initialisatie!$C$5,12,31))) - MONTH(MAX($H$2, DATE(Initialisatie!$C$5,1,1))) + 1)) &lt;= 0, IFERROR(VALUE($H160),0)=0)
    ),
    0,
    SUM(
        IFERROR(VALUE($D160),0) * MAX(0, IF(MIN($D$1, DATE(Initialisatie!$C$5,12,31)) &lt; MAX($D$2, DATE(Initialisatie!$C$5,1,1)), 0, MONTH(MIN($D$1, DATE(Initialisatie!$C$5,12,31))) - MONTH(MAX($D$2, DATE(Initialisatie!$C$5,1,1))) + 1)),
        IFERROR(VALUE($E160),0) * MAX(0, IF(MIN($E$1, DATE(Initialisatie!$C$5,12,31)) &lt; MAX($E$2, DATE(Initialisatie!$C$5,1,1)), 0, MONTH(MIN($E$1, DATE(Initialisatie!$C$5,12,31))) - MONTH(MAX($E$2, DATE(Initialisatie!$C$5,1,1))) + 1)),
        IFERROR(VALUE($F160),0) * MAX(0, IF(MIN($F$1, DATE(Initialisatie!$C$5,12,31)) &lt; MAX($F$2, DATE(Initialisatie!$C$5,1,1)), 0, MONTH(MIN($F$1, DATE(Initialisatie!$C$5,12,31))) - MONTH(MAX($F$2, DATE(Initialisatie!$C$5,1,1))) + 1)),
        IFERROR(VALUE($G160),0) * MAX(0, IF(MIN($G$1, DATE(Initialisatie!$C$5,12,31)) &lt; MAX($G$2, DATE(Initialisatie!$C$5,1,1)), 0, MONTH(MIN($G$1, DATE(Initialisatie!$C$5,12,31))) - MONTH(MAX($G$2, DATE(Initialisatie!$C$5,1,1))) + 1)),
        IFERROR(VALUE($H160),0) * MAX(0, IF(MIN($H$1, DATE(Initialisatie!$C$5,12,31)) &lt; MAX($H$2, DATE(Initialisatie!$C$5,1,1)), 0, MONTH(MIN($H$1, DATE(Initialisatie!$C$5,12,31))) - MONTH(MAX($H$2, DATE(Initialisatie!$C$5,1,1))) + 1))
    ) / 12
)</f>
        <v>8222.5</v>
      </c>
    </row>
    <row r="161" spans="1:11" x14ac:dyDescent="0.45">
      <c r="A161" s="989"/>
      <c r="B161" s="371">
        <v>6</v>
      </c>
      <c r="C161" s="371" t="s">
        <v>1368</v>
      </c>
      <c r="D161" t="s">
        <v>1366</v>
      </c>
      <c r="E161" t="s">
        <v>1365</v>
      </c>
      <c r="F161" t="s">
        <v>1367</v>
      </c>
      <c r="G161" t="s">
        <v>1367</v>
      </c>
      <c r="H161" t="s">
        <v>1679</v>
      </c>
      <c r="J161">
        <f>IF(
    OR(
        AND(MAX(0, MIN($D$1, DATE(Initialisatie!$C$5,12,31)) - MAX($D$2, DATE(Initialisatie!$C$5,1,1)) + 1) &gt; 0,IFERROR(VALUE($D161),0)=0),
        AND(MAX(0, MIN($E$1, DATE(Initialisatie!$C$5,12,31)) - MAX($E$2, DATE(Initialisatie!$C$5,1,1)) + 1) &gt; 0,IFERROR(VALUE($E161),0)=0),
        AND(MAX(0, MIN($F$1, DATE(Initialisatie!$C$5,12,31)) - MAX($F$2, DATE(Initialisatie!$C$5,1,1)) + 1) &gt; 0,IFERROR(VALUE($F161),0)=0),
        AND(MAX(0, MIN($G$1, DATE(Initialisatie!$C$5,12,31)) - MAX($G$2, DATE(Initialisatie!$C$5,1,1)) + 1) &gt; 0,IFERROR(VALUE($G161),0)=0),
        AND(MAX(0, MIN($H$1, DATE(Initialisatie!$C$5,12,31)) - MAX($H$2, DATE(Initialisatie!$C$5,1,1)) + 1) &gt; 0,IFERROR(VALUE($H161),0)=0)
    ),
    0,
    SUM(
        IFERROR(VALUE($D161),0) * MAX(0, MIN($D$1, DATE(Initialisatie!$C$5,12,31)) - MAX($D$2, DATE(Initialisatie!$C$5,1,1)) + 1),
        IFERROR(VALUE($E161),0) * MAX(0, MIN($E$1, DATE(Initialisatie!$C$5,12,31)) - MAX($E$2, DATE(Initialisatie!$C$5,1,1)) + 1),
        IFERROR(VALUE($F161),0) * MAX(0, MIN($F$1, DATE(Initialisatie!$C$5,12,31)) - MAX($F$2, DATE(Initialisatie!$C$5,1,1)) + 1),
        IFERROR(VALUE($G161),0) * MAX(0, MIN($G$1, DATE(Initialisatie!$C$5,12,31)) - MAX($G$2, DATE(Initialisatie!$C$5,1,1)) + 1),
        IFERROR(VALUE($H161),0) * MAX(0, MIN($H$1, DATE(Initialisatie!$C$5,12,31)) - MAX($H$2, DATE(Initialisatie!$C$5,1,1)) + 1)
    ) / (DATE(Initialisatie!$C$5,12,31) - DATE(Initialisatie!$C$5,1,1) + 1)
)</f>
        <v>8426.5232876712325</v>
      </c>
      <c r="K161">
        <f>IF(
    OR(
        AND(MAX(0, IF(MIN($D$1, DATE(Initialisatie!$C$5,12,31)) &lt; MAX($D$2, DATE(Initialisatie!$C$5,1,1)), 0, MONTH(MIN($D$1, DATE(Initialisatie!$C$5,12,31))) - MONTH(MAX($D$2, DATE(Initialisatie!$C$5,1,1))) + 1)) &lt;= 0, IFERROR(VALUE($D161),0)=0),
        AND(MAX(0, IF(MIN($E$1, DATE(Initialisatie!$C$5,12,31)) &lt; MAX($E$2, DATE(Initialisatie!$C$5,1,1)), 0, MONTH(MIN($E$1, DATE(Initialisatie!$C$5,12,31))) - MONTH(MAX($E$2, DATE(Initialisatie!$C$5,1,1))) + 1)) &lt;= 0, IFERROR(VALUE($E161),0)=0),
        AND(MAX(0, IF(MIN($F$1, DATE(Initialisatie!$C$5,12,31)) &lt; MAX($F$2, DATE(Initialisatie!$C$5,1,1)), 0, MONTH(MIN($F$1, DATE(Initialisatie!$C$5,12,31))) - MONTH(MAX($F$2, DATE(Initialisatie!$C$5,1,1))) + 1)) &lt;= 0, IFERROR(VALUE($F161),0)=0),
        AND(MAX(0, IF(MIN($G$1, DATE(Initialisatie!$C$5,12,31)) &lt; MAX($G$2, DATE(Initialisatie!$C$5,1,1)), 0, MONTH(MIN($G$1, DATE(Initialisatie!$C$5,12,31))) - MONTH(MAX($G$2, DATE(Initialisatie!$C$5,1,1))) + 1)) &lt;= 0, IFERROR(VALUE($G161),0)=0),
        AND(MAX(0, IF(MIN($H$1, DATE(Initialisatie!$C$5,12,31)) &lt; MAX($H$2, DATE(Initialisatie!$C$5,1,1)), 0, MONTH(MIN($H$1, DATE(Initialisatie!$C$5,12,31))) - MONTH(MAX($H$2, DATE(Initialisatie!$C$5,1,1))) + 1)) &lt;= 0, IFERROR(VALUE($H161),0)=0)
    ),
    0,
    SUM(
        IFERROR(VALUE($D161),0) * MAX(0, IF(MIN($D$1, DATE(Initialisatie!$C$5,12,31)) &lt; MAX($D$2, DATE(Initialisatie!$C$5,1,1)), 0, MONTH(MIN($D$1, DATE(Initialisatie!$C$5,12,31))) - MONTH(MAX($D$2, DATE(Initialisatie!$C$5,1,1))) + 1)),
        IFERROR(VALUE($E161),0) * MAX(0, IF(MIN($E$1, DATE(Initialisatie!$C$5,12,31)) &lt; MAX($E$2, DATE(Initialisatie!$C$5,1,1)), 0, MONTH(MIN($E$1, DATE(Initialisatie!$C$5,12,31))) - MONTH(MAX($E$2, DATE(Initialisatie!$C$5,1,1))) + 1)),
        IFERROR(VALUE($F161),0) * MAX(0, IF(MIN($F$1, DATE(Initialisatie!$C$5,12,31)) &lt; MAX($F$2, DATE(Initialisatie!$C$5,1,1)), 0, MONTH(MIN($F$1, DATE(Initialisatie!$C$5,12,31))) - MONTH(MAX($F$2, DATE(Initialisatie!$C$5,1,1))) + 1)),
        IFERROR(VALUE($G161),0) * MAX(0, IF(MIN($G$1, DATE(Initialisatie!$C$5,12,31)) &lt; MAX($G$2, DATE(Initialisatie!$C$5,1,1)), 0, MONTH(MIN($G$1, DATE(Initialisatie!$C$5,12,31))) - MONTH(MAX($G$2, DATE(Initialisatie!$C$5,1,1))) + 1)),
        IFERROR(VALUE($H161),0) * MAX(0, IF(MIN($H$1, DATE(Initialisatie!$C$5,12,31)) &lt; MAX($H$2, DATE(Initialisatie!$C$5,1,1)), 0, MONTH(MIN($H$1, DATE(Initialisatie!$C$5,12,31))) - MONTH(MAX($H$2, DATE(Initialisatie!$C$5,1,1))) + 1))
    ) / 12
)</f>
        <v>8425.5</v>
      </c>
    </row>
    <row r="162" spans="1:11" x14ac:dyDescent="0.45">
      <c r="A162" s="989"/>
      <c r="B162" s="371">
        <v>7</v>
      </c>
      <c r="C162" s="371" t="s">
        <v>1340</v>
      </c>
      <c r="D162" t="s">
        <v>1338</v>
      </c>
      <c r="E162" t="s">
        <v>1337</v>
      </c>
      <c r="F162" t="s">
        <v>1339</v>
      </c>
      <c r="G162" t="s">
        <v>1339</v>
      </c>
      <c r="H162" t="s">
        <v>1680</v>
      </c>
      <c r="J162">
        <f>IF(
    OR(
        AND(MAX(0, MIN($D$1, DATE(Initialisatie!$C$5,12,31)) - MAX($D$2, DATE(Initialisatie!$C$5,1,1)) + 1) &gt; 0,IFERROR(VALUE($D162),0)=0),
        AND(MAX(0, MIN($E$1, DATE(Initialisatie!$C$5,12,31)) - MAX($E$2, DATE(Initialisatie!$C$5,1,1)) + 1) &gt; 0,IFERROR(VALUE($E162),0)=0),
        AND(MAX(0, MIN($F$1, DATE(Initialisatie!$C$5,12,31)) - MAX($F$2, DATE(Initialisatie!$C$5,1,1)) + 1) &gt; 0,IFERROR(VALUE($F162),0)=0),
        AND(MAX(0, MIN($G$1, DATE(Initialisatie!$C$5,12,31)) - MAX($G$2, DATE(Initialisatie!$C$5,1,1)) + 1) &gt; 0,IFERROR(VALUE($G162),0)=0),
        AND(MAX(0, MIN($H$1, DATE(Initialisatie!$C$5,12,31)) - MAX($H$2, DATE(Initialisatie!$C$5,1,1)) + 1) &gt; 0,IFERROR(VALUE($H162),0)=0)
    ),
    0,
    SUM(
        IFERROR(VALUE($D162),0) * MAX(0, MIN($D$1, DATE(Initialisatie!$C$5,12,31)) - MAX($D$2, DATE(Initialisatie!$C$5,1,1)) + 1),
        IFERROR(VALUE($E162),0) * MAX(0, MIN($E$1, DATE(Initialisatie!$C$5,12,31)) - MAX($E$2, DATE(Initialisatie!$C$5,1,1)) + 1),
        IFERROR(VALUE($F162),0) * MAX(0, MIN($F$1, DATE(Initialisatie!$C$5,12,31)) - MAX($F$2, DATE(Initialisatie!$C$5,1,1)) + 1),
        IFERROR(VALUE($G162),0) * MAX(0, MIN($G$1, DATE(Initialisatie!$C$5,12,31)) - MAX($G$2, DATE(Initialisatie!$C$5,1,1)) + 1),
        IFERROR(VALUE($H162),0) * MAX(0, MIN($H$1, DATE(Initialisatie!$C$5,12,31)) - MAX($H$2, DATE(Initialisatie!$C$5,1,1)) + 1)
    ) / (DATE(Initialisatie!$C$5,12,31) - DATE(Initialisatie!$C$5,1,1) + 1)
)</f>
        <v>8642.5479452054788</v>
      </c>
      <c r="K162">
        <f>IF(
    OR(
        AND(MAX(0, IF(MIN($D$1, DATE(Initialisatie!$C$5,12,31)) &lt; MAX($D$2, DATE(Initialisatie!$C$5,1,1)), 0, MONTH(MIN($D$1, DATE(Initialisatie!$C$5,12,31))) - MONTH(MAX($D$2, DATE(Initialisatie!$C$5,1,1))) + 1)) &lt;= 0, IFERROR(VALUE($D162),0)=0),
        AND(MAX(0, IF(MIN($E$1, DATE(Initialisatie!$C$5,12,31)) &lt; MAX($E$2, DATE(Initialisatie!$C$5,1,1)), 0, MONTH(MIN($E$1, DATE(Initialisatie!$C$5,12,31))) - MONTH(MAX($E$2, DATE(Initialisatie!$C$5,1,1))) + 1)) &lt;= 0, IFERROR(VALUE($E162),0)=0),
        AND(MAX(0, IF(MIN($F$1, DATE(Initialisatie!$C$5,12,31)) &lt; MAX($F$2, DATE(Initialisatie!$C$5,1,1)), 0, MONTH(MIN($F$1, DATE(Initialisatie!$C$5,12,31))) - MONTH(MAX($F$2, DATE(Initialisatie!$C$5,1,1))) + 1)) &lt;= 0, IFERROR(VALUE($F162),0)=0),
        AND(MAX(0, IF(MIN($G$1, DATE(Initialisatie!$C$5,12,31)) &lt; MAX($G$2, DATE(Initialisatie!$C$5,1,1)), 0, MONTH(MIN($G$1, DATE(Initialisatie!$C$5,12,31))) - MONTH(MAX($G$2, DATE(Initialisatie!$C$5,1,1))) + 1)) &lt;= 0, IFERROR(VALUE($G162),0)=0),
        AND(MAX(0, IF(MIN($H$1, DATE(Initialisatie!$C$5,12,31)) &lt; MAX($H$2, DATE(Initialisatie!$C$5,1,1)), 0, MONTH(MIN($H$1, DATE(Initialisatie!$C$5,12,31))) - MONTH(MAX($H$2, DATE(Initialisatie!$C$5,1,1))) + 1)) &lt;= 0, IFERROR(VALUE($H162),0)=0)
    ),
    0,
    SUM(
        IFERROR(VALUE($D162),0) * MAX(0, IF(MIN($D$1, DATE(Initialisatie!$C$5,12,31)) &lt; MAX($D$2, DATE(Initialisatie!$C$5,1,1)), 0, MONTH(MIN($D$1, DATE(Initialisatie!$C$5,12,31))) - MONTH(MAX($D$2, DATE(Initialisatie!$C$5,1,1))) + 1)),
        IFERROR(VALUE($E162),0) * MAX(0, IF(MIN($E$1, DATE(Initialisatie!$C$5,12,31)) &lt; MAX($E$2, DATE(Initialisatie!$C$5,1,1)), 0, MONTH(MIN($E$1, DATE(Initialisatie!$C$5,12,31))) - MONTH(MAX($E$2, DATE(Initialisatie!$C$5,1,1))) + 1)),
        IFERROR(VALUE($F162),0) * MAX(0, IF(MIN($F$1, DATE(Initialisatie!$C$5,12,31)) &lt; MAX($F$2, DATE(Initialisatie!$C$5,1,1)), 0, MONTH(MIN($F$1, DATE(Initialisatie!$C$5,12,31))) - MONTH(MAX($F$2, DATE(Initialisatie!$C$5,1,1))) + 1)),
        IFERROR(VALUE($G162),0) * MAX(0, IF(MIN($G$1, DATE(Initialisatie!$C$5,12,31)) &lt; MAX($G$2, DATE(Initialisatie!$C$5,1,1)), 0, MONTH(MIN($G$1, DATE(Initialisatie!$C$5,12,31))) - MONTH(MAX($G$2, DATE(Initialisatie!$C$5,1,1))) + 1)),
        IFERROR(VALUE($H162),0) * MAX(0, IF(MIN($H$1, DATE(Initialisatie!$C$5,12,31)) &lt; MAX($H$2, DATE(Initialisatie!$C$5,1,1)), 0, MONTH(MIN($H$1, DATE(Initialisatie!$C$5,12,31))) - MONTH(MAX($H$2, DATE(Initialisatie!$C$5,1,1))) + 1))
    ) / 12
)</f>
        <v>8641.5</v>
      </c>
    </row>
    <row r="163" spans="1:11" x14ac:dyDescent="0.45">
      <c r="A163" s="989"/>
      <c r="B163" s="371">
        <v>8</v>
      </c>
      <c r="C163" s="371" t="s">
        <v>1364</v>
      </c>
      <c r="D163" t="s">
        <v>1362</v>
      </c>
      <c r="E163" t="s">
        <v>1361</v>
      </c>
      <c r="F163" t="s">
        <v>1363</v>
      </c>
      <c r="G163" t="s">
        <v>1363</v>
      </c>
      <c r="H163" t="s">
        <v>1681</v>
      </c>
      <c r="J163">
        <f>IF(
    OR(
        AND(MAX(0, MIN($D$1, DATE(Initialisatie!$C$5,12,31)) - MAX($D$2, DATE(Initialisatie!$C$5,1,1)) + 1) &gt; 0,IFERROR(VALUE($D163),0)=0),
        AND(MAX(0, MIN($E$1, DATE(Initialisatie!$C$5,12,31)) - MAX($E$2, DATE(Initialisatie!$C$5,1,1)) + 1) &gt; 0,IFERROR(VALUE($E163),0)=0),
        AND(MAX(0, MIN($F$1, DATE(Initialisatie!$C$5,12,31)) - MAX($F$2, DATE(Initialisatie!$C$5,1,1)) + 1) &gt; 0,IFERROR(VALUE($F163),0)=0),
        AND(MAX(0, MIN($G$1, DATE(Initialisatie!$C$5,12,31)) - MAX($G$2, DATE(Initialisatie!$C$5,1,1)) + 1) &gt; 0,IFERROR(VALUE($G163),0)=0),
        AND(MAX(0, MIN($H$1, DATE(Initialisatie!$C$5,12,31)) - MAX($H$2, DATE(Initialisatie!$C$5,1,1)) + 1) &gt; 0,IFERROR(VALUE($H163),0)=0)
    ),
    0,
    SUM(
        IFERROR(VALUE($D163),0) * MAX(0, MIN($D$1, DATE(Initialisatie!$C$5,12,31)) - MAX($D$2, DATE(Initialisatie!$C$5,1,1)) + 1),
        IFERROR(VALUE($E163),0) * MAX(0, MIN($E$1, DATE(Initialisatie!$C$5,12,31)) - MAX($E$2, DATE(Initialisatie!$C$5,1,1)) + 1),
        IFERROR(VALUE($F163),0) * MAX(0, MIN($F$1, DATE(Initialisatie!$C$5,12,31)) - MAX($F$2, DATE(Initialisatie!$C$5,1,1)) + 1),
        IFERROR(VALUE($G163),0) * MAX(0, MIN($G$1, DATE(Initialisatie!$C$5,12,31)) - MAX($G$2, DATE(Initialisatie!$C$5,1,1)) + 1),
        IFERROR(VALUE($H163),0) * MAX(0, MIN($H$1, DATE(Initialisatie!$C$5,12,31)) - MAX($H$2, DATE(Initialisatie!$C$5,1,1)) + 1)
    ) / (DATE(Initialisatie!$C$5,12,31) - DATE(Initialisatie!$C$5,1,1) + 1)
)</f>
        <v>8860.0767123287678</v>
      </c>
      <c r="K163">
        <f>IF(
    OR(
        AND(MAX(0, IF(MIN($D$1, DATE(Initialisatie!$C$5,12,31)) &lt; MAX($D$2, DATE(Initialisatie!$C$5,1,1)), 0, MONTH(MIN($D$1, DATE(Initialisatie!$C$5,12,31))) - MONTH(MAX($D$2, DATE(Initialisatie!$C$5,1,1))) + 1)) &lt;= 0, IFERROR(VALUE($D163),0)=0),
        AND(MAX(0, IF(MIN($E$1, DATE(Initialisatie!$C$5,12,31)) &lt; MAX($E$2, DATE(Initialisatie!$C$5,1,1)), 0, MONTH(MIN($E$1, DATE(Initialisatie!$C$5,12,31))) - MONTH(MAX($E$2, DATE(Initialisatie!$C$5,1,1))) + 1)) &lt;= 0, IFERROR(VALUE($E163),0)=0),
        AND(MAX(0, IF(MIN($F$1, DATE(Initialisatie!$C$5,12,31)) &lt; MAX($F$2, DATE(Initialisatie!$C$5,1,1)), 0, MONTH(MIN($F$1, DATE(Initialisatie!$C$5,12,31))) - MONTH(MAX($F$2, DATE(Initialisatie!$C$5,1,1))) + 1)) &lt;= 0, IFERROR(VALUE($F163),0)=0),
        AND(MAX(0, IF(MIN($G$1, DATE(Initialisatie!$C$5,12,31)) &lt; MAX($G$2, DATE(Initialisatie!$C$5,1,1)), 0, MONTH(MIN($G$1, DATE(Initialisatie!$C$5,12,31))) - MONTH(MAX($G$2, DATE(Initialisatie!$C$5,1,1))) + 1)) &lt;= 0, IFERROR(VALUE($G163),0)=0),
        AND(MAX(0, IF(MIN($H$1, DATE(Initialisatie!$C$5,12,31)) &lt; MAX($H$2, DATE(Initialisatie!$C$5,1,1)), 0, MONTH(MIN($H$1, DATE(Initialisatie!$C$5,12,31))) - MONTH(MAX($H$2, DATE(Initialisatie!$C$5,1,1))) + 1)) &lt;= 0, IFERROR(VALUE($H163),0)=0)
    ),
    0,
    SUM(
        IFERROR(VALUE($D163),0) * MAX(0, IF(MIN($D$1, DATE(Initialisatie!$C$5,12,31)) &lt; MAX($D$2, DATE(Initialisatie!$C$5,1,1)), 0, MONTH(MIN($D$1, DATE(Initialisatie!$C$5,12,31))) - MONTH(MAX($D$2, DATE(Initialisatie!$C$5,1,1))) + 1)),
        IFERROR(VALUE($E163),0) * MAX(0, IF(MIN($E$1, DATE(Initialisatie!$C$5,12,31)) &lt; MAX($E$2, DATE(Initialisatie!$C$5,1,1)), 0, MONTH(MIN($E$1, DATE(Initialisatie!$C$5,12,31))) - MONTH(MAX($E$2, DATE(Initialisatie!$C$5,1,1))) + 1)),
        IFERROR(VALUE($F163),0) * MAX(0, IF(MIN($F$1, DATE(Initialisatie!$C$5,12,31)) &lt; MAX($F$2, DATE(Initialisatie!$C$5,1,1)), 0, MONTH(MIN($F$1, DATE(Initialisatie!$C$5,12,31))) - MONTH(MAX($F$2, DATE(Initialisatie!$C$5,1,1))) + 1)),
        IFERROR(VALUE($G163),0) * MAX(0, IF(MIN($G$1, DATE(Initialisatie!$C$5,12,31)) &lt; MAX($G$2, DATE(Initialisatie!$C$5,1,1)), 0, MONTH(MIN($G$1, DATE(Initialisatie!$C$5,12,31))) - MONTH(MAX($G$2, DATE(Initialisatie!$C$5,1,1))) + 1)),
        IFERROR(VALUE($H163),0) * MAX(0, IF(MIN($H$1, DATE(Initialisatie!$C$5,12,31)) &lt; MAX($H$2, DATE(Initialisatie!$C$5,1,1)), 0, MONTH(MIN($H$1, DATE(Initialisatie!$C$5,12,31))) - MONTH(MAX($H$2, DATE(Initialisatie!$C$5,1,1))) + 1))
    ) / 12
)</f>
        <v>8859</v>
      </c>
    </row>
    <row r="164" spans="1:11" x14ac:dyDescent="0.45">
      <c r="A164" s="989"/>
      <c r="B164" s="371">
        <v>9</v>
      </c>
      <c r="C164" s="371" t="s">
        <v>1336</v>
      </c>
      <c r="D164" t="s">
        <v>1334</v>
      </c>
      <c r="E164" t="s">
        <v>1333</v>
      </c>
      <c r="F164" t="s">
        <v>1335</v>
      </c>
      <c r="G164" t="s">
        <v>1335</v>
      </c>
      <c r="H164" t="s">
        <v>1682</v>
      </c>
      <c r="J164">
        <f>IF(
    OR(
        AND(MAX(0, MIN($D$1, DATE(Initialisatie!$C$5,12,31)) - MAX($D$2, DATE(Initialisatie!$C$5,1,1)) + 1) &gt; 0,IFERROR(VALUE($D164),0)=0),
        AND(MAX(0, MIN($E$1, DATE(Initialisatie!$C$5,12,31)) - MAX($E$2, DATE(Initialisatie!$C$5,1,1)) + 1) &gt; 0,IFERROR(VALUE($E164),0)=0),
        AND(MAX(0, MIN($F$1, DATE(Initialisatie!$C$5,12,31)) - MAX($F$2, DATE(Initialisatie!$C$5,1,1)) + 1) &gt; 0,IFERROR(VALUE($F164),0)=0),
        AND(MAX(0, MIN($G$1, DATE(Initialisatie!$C$5,12,31)) - MAX($G$2, DATE(Initialisatie!$C$5,1,1)) + 1) &gt; 0,IFERROR(VALUE($G164),0)=0),
        AND(MAX(0, MIN($H$1, DATE(Initialisatie!$C$5,12,31)) - MAX($H$2, DATE(Initialisatie!$C$5,1,1)) + 1) &gt; 0,IFERROR(VALUE($H164),0)=0)
    ),
    0,
    SUM(
        IFERROR(VALUE($D164),0) * MAX(0, MIN($D$1, DATE(Initialisatie!$C$5,12,31)) - MAX($D$2, DATE(Initialisatie!$C$5,1,1)) + 1),
        IFERROR(VALUE($E164),0) * MAX(0, MIN($E$1, DATE(Initialisatie!$C$5,12,31)) - MAX($E$2, DATE(Initialisatie!$C$5,1,1)) + 1),
        IFERROR(VALUE($F164),0) * MAX(0, MIN($F$1, DATE(Initialisatie!$C$5,12,31)) - MAX($F$2, DATE(Initialisatie!$C$5,1,1)) + 1),
        IFERROR(VALUE($G164),0) * MAX(0, MIN($G$1, DATE(Initialisatie!$C$5,12,31)) - MAX($G$2, DATE(Initialisatie!$C$5,1,1)) + 1),
        IFERROR(VALUE($H164),0) * MAX(0, MIN($H$1, DATE(Initialisatie!$C$5,12,31)) - MAX($H$2, DATE(Initialisatie!$C$5,1,1)) + 1)
    ) / (DATE(Initialisatie!$C$5,12,31) - DATE(Initialisatie!$C$5,1,1) + 1)
)</f>
        <v>8967.5890410958909</v>
      </c>
      <c r="K164">
        <f>IF(
    OR(
        AND(MAX(0, IF(MIN($D$1, DATE(Initialisatie!$C$5,12,31)) &lt; MAX($D$2, DATE(Initialisatie!$C$5,1,1)), 0, MONTH(MIN($D$1, DATE(Initialisatie!$C$5,12,31))) - MONTH(MAX($D$2, DATE(Initialisatie!$C$5,1,1))) + 1)) &lt;= 0, IFERROR(VALUE($D164),0)=0),
        AND(MAX(0, IF(MIN($E$1, DATE(Initialisatie!$C$5,12,31)) &lt; MAX($E$2, DATE(Initialisatie!$C$5,1,1)), 0, MONTH(MIN($E$1, DATE(Initialisatie!$C$5,12,31))) - MONTH(MAX($E$2, DATE(Initialisatie!$C$5,1,1))) + 1)) &lt;= 0, IFERROR(VALUE($E164),0)=0),
        AND(MAX(0, IF(MIN($F$1, DATE(Initialisatie!$C$5,12,31)) &lt; MAX($F$2, DATE(Initialisatie!$C$5,1,1)), 0, MONTH(MIN($F$1, DATE(Initialisatie!$C$5,12,31))) - MONTH(MAX($F$2, DATE(Initialisatie!$C$5,1,1))) + 1)) &lt;= 0, IFERROR(VALUE($F164),0)=0),
        AND(MAX(0, IF(MIN($G$1, DATE(Initialisatie!$C$5,12,31)) &lt; MAX($G$2, DATE(Initialisatie!$C$5,1,1)), 0, MONTH(MIN($G$1, DATE(Initialisatie!$C$5,12,31))) - MONTH(MAX($G$2, DATE(Initialisatie!$C$5,1,1))) + 1)) &lt;= 0, IFERROR(VALUE($G164),0)=0),
        AND(MAX(0, IF(MIN($H$1, DATE(Initialisatie!$C$5,12,31)) &lt; MAX($H$2, DATE(Initialisatie!$C$5,1,1)), 0, MONTH(MIN($H$1, DATE(Initialisatie!$C$5,12,31))) - MONTH(MAX($H$2, DATE(Initialisatie!$C$5,1,1))) + 1)) &lt;= 0, IFERROR(VALUE($H164),0)=0)
    ),
    0,
    SUM(
        IFERROR(VALUE($D164),0) * MAX(0, IF(MIN($D$1, DATE(Initialisatie!$C$5,12,31)) &lt; MAX($D$2, DATE(Initialisatie!$C$5,1,1)), 0, MONTH(MIN($D$1, DATE(Initialisatie!$C$5,12,31))) - MONTH(MAX($D$2, DATE(Initialisatie!$C$5,1,1))) + 1)),
        IFERROR(VALUE($E164),0) * MAX(0, IF(MIN($E$1, DATE(Initialisatie!$C$5,12,31)) &lt; MAX($E$2, DATE(Initialisatie!$C$5,1,1)), 0, MONTH(MIN($E$1, DATE(Initialisatie!$C$5,12,31))) - MONTH(MAX($E$2, DATE(Initialisatie!$C$5,1,1))) + 1)),
        IFERROR(VALUE($F164),0) * MAX(0, IF(MIN($F$1, DATE(Initialisatie!$C$5,12,31)) &lt; MAX($F$2, DATE(Initialisatie!$C$5,1,1)), 0, MONTH(MIN($F$1, DATE(Initialisatie!$C$5,12,31))) - MONTH(MAX($F$2, DATE(Initialisatie!$C$5,1,1))) + 1)),
        IFERROR(VALUE($G164),0) * MAX(0, IF(MIN($G$1, DATE(Initialisatie!$C$5,12,31)) &lt; MAX($G$2, DATE(Initialisatie!$C$5,1,1)), 0, MONTH(MIN($G$1, DATE(Initialisatie!$C$5,12,31))) - MONTH(MAX($G$2, DATE(Initialisatie!$C$5,1,1))) + 1)),
        IFERROR(VALUE($H164),0) * MAX(0, IF(MIN($H$1, DATE(Initialisatie!$C$5,12,31)) &lt; MAX($H$2, DATE(Initialisatie!$C$5,1,1)), 0, MONTH(MIN($H$1, DATE(Initialisatie!$C$5,12,31))) - MONTH(MAX($H$2, DATE(Initialisatie!$C$5,1,1))) + 1))
    ) / 12
)</f>
        <v>8966.5</v>
      </c>
    </row>
    <row r="165" spans="1:11" x14ac:dyDescent="0.45">
      <c r="A165" s="989"/>
      <c r="B165" s="371">
        <v>10</v>
      </c>
      <c r="C165" s="371" t="s">
        <v>1360</v>
      </c>
      <c r="D165" t="s">
        <v>1358</v>
      </c>
      <c r="E165" t="s">
        <v>1357</v>
      </c>
      <c r="F165" t="s">
        <v>1359</v>
      </c>
      <c r="G165" t="s">
        <v>1359</v>
      </c>
      <c r="H165" t="s">
        <v>1683</v>
      </c>
      <c r="J165">
        <f>IF(
    OR(
        AND(MAX(0, MIN($D$1, DATE(Initialisatie!$C$5,12,31)) - MAX($D$2, DATE(Initialisatie!$C$5,1,1)) + 1) &gt; 0,IFERROR(VALUE($D165),0)=0),
        AND(MAX(0, MIN($E$1, DATE(Initialisatie!$C$5,12,31)) - MAX($E$2, DATE(Initialisatie!$C$5,1,1)) + 1) &gt; 0,IFERROR(VALUE($E165),0)=0),
        AND(MAX(0, MIN($F$1, DATE(Initialisatie!$C$5,12,31)) - MAX($F$2, DATE(Initialisatie!$C$5,1,1)) + 1) &gt; 0,IFERROR(VALUE($F165),0)=0),
        AND(MAX(0, MIN($G$1, DATE(Initialisatie!$C$5,12,31)) - MAX($G$2, DATE(Initialisatie!$C$5,1,1)) + 1) &gt; 0,IFERROR(VALUE($G165),0)=0),
        AND(MAX(0, MIN($H$1, DATE(Initialisatie!$C$5,12,31)) - MAX($H$2, DATE(Initialisatie!$C$5,1,1)) + 1) &gt; 0,IFERROR(VALUE($H165),0)=0)
    ),
    0,
    SUM(
        IFERROR(VALUE($D165),0) * MAX(0, MIN($D$1, DATE(Initialisatie!$C$5,12,31)) - MAX($D$2, DATE(Initialisatie!$C$5,1,1)) + 1),
        IFERROR(VALUE($E165),0) * MAX(0, MIN($E$1, DATE(Initialisatie!$C$5,12,31)) - MAX($E$2, DATE(Initialisatie!$C$5,1,1)) + 1),
        IFERROR(VALUE($F165),0) * MAX(0, MIN($F$1, DATE(Initialisatie!$C$5,12,31)) - MAX($F$2, DATE(Initialisatie!$C$5,1,1)) + 1),
        IFERROR(VALUE($G165),0) * MAX(0, MIN($G$1, DATE(Initialisatie!$C$5,12,31)) - MAX($G$2, DATE(Initialisatie!$C$5,1,1)) + 1),
        IFERROR(VALUE($H165),0) * MAX(0, MIN($H$1, DATE(Initialisatie!$C$5,12,31)) - MAX($H$2, DATE(Initialisatie!$C$5,1,1)) + 1)
    ) / (DATE(Initialisatie!$C$5,12,31) - DATE(Initialisatie!$C$5,1,1) + 1)
)</f>
        <v>9076.101369863014</v>
      </c>
      <c r="K165">
        <f>IF(
    OR(
        AND(MAX(0, IF(MIN($D$1, DATE(Initialisatie!$C$5,12,31)) &lt; MAX($D$2, DATE(Initialisatie!$C$5,1,1)), 0, MONTH(MIN($D$1, DATE(Initialisatie!$C$5,12,31))) - MONTH(MAX($D$2, DATE(Initialisatie!$C$5,1,1))) + 1)) &lt;= 0, IFERROR(VALUE($D165),0)=0),
        AND(MAX(0, IF(MIN($E$1, DATE(Initialisatie!$C$5,12,31)) &lt; MAX($E$2, DATE(Initialisatie!$C$5,1,1)), 0, MONTH(MIN($E$1, DATE(Initialisatie!$C$5,12,31))) - MONTH(MAX($E$2, DATE(Initialisatie!$C$5,1,1))) + 1)) &lt;= 0, IFERROR(VALUE($E165),0)=0),
        AND(MAX(0, IF(MIN($F$1, DATE(Initialisatie!$C$5,12,31)) &lt; MAX($F$2, DATE(Initialisatie!$C$5,1,1)), 0, MONTH(MIN($F$1, DATE(Initialisatie!$C$5,12,31))) - MONTH(MAX($F$2, DATE(Initialisatie!$C$5,1,1))) + 1)) &lt;= 0, IFERROR(VALUE($F165),0)=0),
        AND(MAX(0, IF(MIN($G$1, DATE(Initialisatie!$C$5,12,31)) &lt; MAX($G$2, DATE(Initialisatie!$C$5,1,1)), 0, MONTH(MIN($G$1, DATE(Initialisatie!$C$5,12,31))) - MONTH(MAX($G$2, DATE(Initialisatie!$C$5,1,1))) + 1)) &lt;= 0, IFERROR(VALUE($G165),0)=0),
        AND(MAX(0, IF(MIN($H$1, DATE(Initialisatie!$C$5,12,31)) &lt; MAX($H$2, DATE(Initialisatie!$C$5,1,1)), 0, MONTH(MIN($H$1, DATE(Initialisatie!$C$5,12,31))) - MONTH(MAX($H$2, DATE(Initialisatie!$C$5,1,1))) + 1)) &lt;= 0, IFERROR(VALUE($H165),0)=0)
    ),
    0,
    SUM(
        IFERROR(VALUE($D165),0) * MAX(0, IF(MIN($D$1, DATE(Initialisatie!$C$5,12,31)) &lt; MAX($D$2, DATE(Initialisatie!$C$5,1,1)), 0, MONTH(MIN($D$1, DATE(Initialisatie!$C$5,12,31))) - MONTH(MAX($D$2, DATE(Initialisatie!$C$5,1,1))) + 1)),
        IFERROR(VALUE($E165),0) * MAX(0, IF(MIN($E$1, DATE(Initialisatie!$C$5,12,31)) &lt; MAX($E$2, DATE(Initialisatie!$C$5,1,1)), 0, MONTH(MIN($E$1, DATE(Initialisatie!$C$5,12,31))) - MONTH(MAX($E$2, DATE(Initialisatie!$C$5,1,1))) + 1)),
        IFERROR(VALUE($F165),0) * MAX(0, IF(MIN($F$1, DATE(Initialisatie!$C$5,12,31)) &lt; MAX($F$2, DATE(Initialisatie!$C$5,1,1)), 0, MONTH(MIN($F$1, DATE(Initialisatie!$C$5,12,31))) - MONTH(MAX($F$2, DATE(Initialisatie!$C$5,1,1))) + 1)),
        IFERROR(VALUE($G165),0) * MAX(0, IF(MIN($G$1, DATE(Initialisatie!$C$5,12,31)) &lt; MAX($G$2, DATE(Initialisatie!$C$5,1,1)), 0, MONTH(MIN($G$1, DATE(Initialisatie!$C$5,12,31))) - MONTH(MAX($G$2, DATE(Initialisatie!$C$5,1,1))) + 1)),
        IFERROR(VALUE($H165),0) * MAX(0, IF(MIN($H$1, DATE(Initialisatie!$C$5,12,31)) &lt; MAX($H$2, DATE(Initialisatie!$C$5,1,1)), 0, MONTH(MIN($H$1, DATE(Initialisatie!$C$5,12,31))) - MONTH(MAX($H$2, DATE(Initialisatie!$C$5,1,1))) + 1))
    ) / 12
)</f>
        <v>9075</v>
      </c>
    </row>
    <row r="166" spans="1:11" x14ac:dyDescent="0.45">
      <c r="A166" s="989"/>
      <c r="B166" s="371">
        <v>11</v>
      </c>
      <c r="C166" s="371" t="s">
        <v>1356</v>
      </c>
      <c r="D166" t="s">
        <v>1354</v>
      </c>
      <c r="E166" t="s">
        <v>1353</v>
      </c>
      <c r="F166" t="s">
        <v>1355</v>
      </c>
      <c r="G166" t="s">
        <v>1355</v>
      </c>
      <c r="H166" t="s">
        <v>1684</v>
      </c>
      <c r="J166">
        <f>IF(
    OR(
        AND(MAX(0, MIN($D$1, DATE(Initialisatie!$C$5,12,31)) - MAX($D$2, DATE(Initialisatie!$C$5,1,1)) + 1) &gt; 0,IFERROR(VALUE($D166),0)=0),
        AND(MAX(0, MIN($E$1, DATE(Initialisatie!$C$5,12,31)) - MAX($E$2, DATE(Initialisatie!$C$5,1,1)) + 1) &gt; 0,IFERROR(VALUE($E166),0)=0),
        AND(MAX(0, MIN($F$1, DATE(Initialisatie!$C$5,12,31)) - MAX($F$2, DATE(Initialisatie!$C$5,1,1)) + 1) &gt; 0,IFERROR(VALUE($F166),0)=0),
        AND(MAX(0, MIN($G$1, DATE(Initialisatie!$C$5,12,31)) - MAX($G$2, DATE(Initialisatie!$C$5,1,1)) + 1) &gt; 0,IFERROR(VALUE($G166),0)=0),
        AND(MAX(0, MIN($H$1, DATE(Initialisatie!$C$5,12,31)) - MAX($H$2, DATE(Initialisatie!$C$5,1,1)) + 1) &gt; 0,IFERROR(VALUE($H166),0)=0)
    ),
    0,
    SUM(
        IFERROR(VALUE($D166),0) * MAX(0, MIN($D$1, DATE(Initialisatie!$C$5,12,31)) - MAX($D$2, DATE(Initialisatie!$C$5,1,1)) + 1),
        IFERROR(VALUE($E166),0) * MAX(0, MIN($E$1, DATE(Initialisatie!$C$5,12,31)) - MAX($E$2, DATE(Initialisatie!$C$5,1,1)) + 1),
        IFERROR(VALUE($F166),0) * MAX(0, MIN($F$1, DATE(Initialisatie!$C$5,12,31)) - MAX($F$2, DATE(Initialisatie!$C$5,1,1)) + 1),
        IFERROR(VALUE($G166),0) * MAX(0, MIN($G$1, DATE(Initialisatie!$C$5,12,31)) - MAX($G$2, DATE(Initialisatie!$C$5,1,1)) + 1),
        IFERROR(VALUE($H166),0) * MAX(0, MIN($H$1, DATE(Initialisatie!$C$5,12,31)) - MAX($H$2, DATE(Initialisatie!$C$5,1,1)) + 1)
    ) / (DATE(Initialisatie!$C$5,12,31) - DATE(Initialisatie!$C$5,1,1) + 1)
)</f>
        <v>9203.1178082191782</v>
      </c>
      <c r="K166">
        <f>IF(
    OR(
        AND(MAX(0, IF(MIN($D$1, DATE(Initialisatie!$C$5,12,31)) &lt; MAX($D$2, DATE(Initialisatie!$C$5,1,1)), 0, MONTH(MIN($D$1, DATE(Initialisatie!$C$5,12,31))) - MONTH(MAX($D$2, DATE(Initialisatie!$C$5,1,1))) + 1)) &lt;= 0, IFERROR(VALUE($D166),0)=0),
        AND(MAX(0, IF(MIN($E$1, DATE(Initialisatie!$C$5,12,31)) &lt; MAX($E$2, DATE(Initialisatie!$C$5,1,1)), 0, MONTH(MIN($E$1, DATE(Initialisatie!$C$5,12,31))) - MONTH(MAX($E$2, DATE(Initialisatie!$C$5,1,1))) + 1)) &lt;= 0, IFERROR(VALUE($E166),0)=0),
        AND(MAX(0, IF(MIN($F$1, DATE(Initialisatie!$C$5,12,31)) &lt; MAX($F$2, DATE(Initialisatie!$C$5,1,1)), 0, MONTH(MIN($F$1, DATE(Initialisatie!$C$5,12,31))) - MONTH(MAX($F$2, DATE(Initialisatie!$C$5,1,1))) + 1)) &lt;= 0, IFERROR(VALUE($F166),0)=0),
        AND(MAX(0, IF(MIN($G$1, DATE(Initialisatie!$C$5,12,31)) &lt; MAX($G$2, DATE(Initialisatie!$C$5,1,1)), 0, MONTH(MIN($G$1, DATE(Initialisatie!$C$5,12,31))) - MONTH(MAX($G$2, DATE(Initialisatie!$C$5,1,1))) + 1)) &lt;= 0, IFERROR(VALUE($G166),0)=0),
        AND(MAX(0, IF(MIN($H$1, DATE(Initialisatie!$C$5,12,31)) &lt; MAX($H$2, DATE(Initialisatie!$C$5,1,1)), 0, MONTH(MIN($H$1, DATE(Initialisatie!$C$5,12,31))) - MONTH(MAX($H$2, DATE(Initialisatie!$C$5,1,1))) + 1)) &lt;= 0, IFERROR(VALUE($H166),0)=0)
    ),
    0,
    SUM(
        IFERROR(VALUE($D166),0) * MAX(0, IF(MIN($D$1, DATE(Initialisatie!$C$5,12,31)) &lt; MAX($D$2, DATE(Initialisatie!$C$5,1,1)), 0, MONTH(MIN($D$1, DATE(Initialisatie!$C$5,12,31))) - MONTH(MAX($D$2, DATE(Initialisatie!$C$5,1,1))) + 1)),
        IFERROR(VALUE($E166),0) * MAX(0, IF(MIN($E$1, DATE(Initialisatie!$C$5,12,31)) &lt; MAX($E$2, DATE(Initialisatie!$C$5,1,1)), 0, MONTH(MIN($E$1, DATE(Initialisatie!$C$5,12,31))) - MONTH(MAX($E$2, DATE(Initialisatie!$C$5,1,1))) + 1)),
        IFERROR(VALUE($F166),0) * MAX(0, IF(MIN($F$1, DATE(Initialisatie!$C$5,12,31)) &lt; MAX($F$2, DATE(Initialisatie!$C$5,1,1)), 0, MONTH(MIN($F$1, DATE(Initialisatie!$C$5,12,31))) - MONTH(MAX($F$2, DATE(Initialisatie!$C$5,1,1))) + 1)),
        IFERROR(VALUE($G166),0) * MAX(0, IF(MIN($G$1, DATE(Initialisatie!$C$5,12,31)) &lt; MAX($G$2, DATE(Initialisatie!$C$5,1,1)), 0, MONTH(MIN($G$1, DATE(Initialisatie!$C$5,12,31))) - MONTH(MAX($G$2, DATE(Initialisatie!$C$5,1,1))) + 1)),
        IFERROR(VALUE($H166),0) * MAX(0, IF(MIN($H$1, DATE(Initialisatie!$C$5,12,31)) &lt; MAX($H$2, DATE(Initialisatie!$C$5,1,1)), 0, MONTH(MIN($H$1, DATE(Initialisatie!$C$5,12,31))) - MONTH(MAX($H$2, DATE(Initialisatie!$C$5,1,1))) + 1))
    ) / 12
)</f>
        <v>9202</v>
      </c>
    </row>
    <row r="167" spans="1:11" x14ac:dyDescent="0.45">
      <c r="A167" s="989"/>
      <c r="B167" s="371">
        <v>12</v>
      </c>
      <c r="C167" s="371" t="s">
        <v>1332</v>
      </c>
      <c r="D167" t="s">
        <v>1330</v>
      </c>
      <c r="E167" t="s">
        <v>1329</v>
      </c>
      <c r="F167" t="s">
        <v>1331</v>
      </c>
      <c r="G167" t="s">
        <v>1331</v>
      </c>
      <c r="H167" t="s">
        <v>1685</v>
      </c>
      <c r="J167">
        <f>IF(
    OR(
        AND(MAX(0, MIN($D$1, DATE(Initialisatie!$C$5,12,31)) - MAX($D$2, DATE(Initialisatie!$C$5,1,1)) + 1) &gt; 0,IFERROR(VALUE($D167),0)=0),
        AND(MAX(0, MIN($E$1, DATE(Initialisatie!$C$5,12,31)) - MAX($E$2, DATE(Initialisatie!$C$5,1,1)) + 1) &gt; 0,IFERROR(VALUE($E167),0)=0),
        AND(MAX(0, MIN($F$1, DATE(Initialisatie!$C$5,12,31)) - MAX($F$2, DATE(Initialisatie!$C$5,1,1)) + 1) &gt; 0,IFERROR(VALUE($F167),0)=0),
        AND(MAX(0, MIN($G$1, DATE(Initialisatie!$C$5,12,31)) - MAX($G$2, DATE(Initialisatie!$C$5,1,1)) + 1) &gt; 0,IFERROR(VALUE($G167),0)=0),
        AND(MAX(0, MIN($H$1, DATE(Initialisatie!$C$5,12,31)) - MAX($H$2, DATE(Initialisatie!$C$5,1,1)) + 1) &gt; 0,IFERROR(VALUE($H167),0)=0)
    ),
    0,
    SUM(
        IFERROR(VALUE($D167),0) * MAX(0, MIN($D$1, DATE(Initialisatie!$C$5,12,31)) - MAX($D$2, DATE(Initialisatie!$C$5,1,1)) + 1),
        IFERROR(VALUE($E167),0) * MAX(0, MIN($E$1, DATE(Initialisatie!$C$5,12,31)) - MAX($E$2, DATE(Initialisatie!$C$5,1,1)) + 1),
        IFERROR(VALUE($F167),0) * MAX(0, MIN($F$1, DATE(Initialisatie!$C$5,12,31)) - MAX($F$2, DATE(Initialisatie!$C$5,1,1)) + 1),
        IFERROR(VALUE($G167),0) * MAX(0, MIN($G$1, DATE(Initialisatie!$C$5,12,31)) - MAX($G$2, DATE(Initialisatie!$C$5,1,1)) + 1),
        IFERROR(VALUE($H167),0) * MAX(0, MIN($H$1, DATE(Initialisatie!$C$5,12,31)) - MAX($H$2, DATE(Initialisatie!$C$5,1,1)) + 1)
    ) / (DATE(Initialisatie!$C$5,12,31) - DATE(Initialisatie!$C$5,1,1) + 1)
)</f>
        <v>9332.1342465753423</v>
      </c>
      <c r="K167">
        <f>IF(
    OR(
        AND(MAX(0, IF(MIN($D$1, DATE(Initialisatie!$C$5,12,31)) &lt; MAX($D$2, DATE(Initialisatie!$C$5,1,1)), 0, MONTH(MIN($D$1, DATE(Initialisatie!$C$5,12,31))) - MONTH(MAX($D$2, DATE(Initialisatie!$C$5,1,1))) + 1)) &lt;= 0, IFERROR(VALUE($D167),0)=0),
        AND(MAX(0, IF(MIN($E$1, DATE(Initialisatie!$C$5,12,31)) &lt; MAX($E$2, DATE(Initialisatie!$C$5,1,1)), 0, MONTH(MIN($E$1, DATE(Initialisatie!$C$5,12,31))) - MONTH(MAX($E$2, DATE(Initialisatie!$C$5,1,1))) + 1)) &lt;= 0, IFERROR(VALUE($E167),0)=0),
        AND(MAX(0, IF(MIN($F$1, DATE(Initialisatie!$C$5,12,31)) &lt; MAX($F$2, DATE(Initialisatie!$C$5,1,1)), 0, MONTH(MIN($F$1, DATE(Initialisatie!$C$5,12,31))) - MONTH(MAX($F$2, DATE(Initialisatie!$C$5,1,1))) + 1)) &lt;= 0, IFERROR(VALUE($F167),0)=0),
        AND(MAX(0, IF(MIN($G$1, DATE(Initialisatie!$C$5,12,31)) &lt; MAX($G$2, DATE(Initialisatie!$C$5,1,1)), 0, MONTH(MIN($G$1, DATE(Initialisatie!$C$5,12,31))) - MONTH(MAX($G$2, DATE(Initialisatie!$C$5,1,1))) + 1)) &lt;= 0, IFERROR(VALUE($G167),0)=0),
        AND(MAX(0, IF(MIN($H$1, DATE(Initialisatie!$C$5,12,31)) &lt; MAX($H$2, DATE(Initialisatie!$C$5,1,1)), 0, MONTH(MIN($H$1, DATE(Initialisatie!$C$5,12,31))) - MONTH(MAX($H$2, DATE(Initialisatie!$C$5,1,1))) + 1)) &lt;= 0, IFERROR(VALUE($H167),0)=0)
    ),
    0,
    SUM(
        IFERROR(VALUE($D167),0) * MAX(0, IF(MIN($D$1, DATE(Initialisatie!$C$5,12,31)) &lt; MAX($D$2, DATE(Initialisatie!$C$5,1,1)), 0, MONTH(MIN($D$1, DATE(Initialisatie!$C$5,12,31))) - MONTH(MAX($D$2, DATE(Initialisatie!$C$5,1,1))) + 1)),
        IFERROR(VALUE($E167),0) * MAX(0, IF(MIN($E$1, DATE(Initialisatie!$C$5,12,31)) &lt; MAX($E$2, DATE(Initialisatie!$C$5,1,1)), 0, MONTH(MIN($E$1, DATE(Initialisatie!$C$5,12,31))) - MONTH(MAX($E$2, DATE(Initialisatie!$C$5,1,1))) + 1)),
        IFERROR(VALUE($F167),0) * MAX(0, IF(MIN($F$1, DATE(Initialisatie!$C$5,12,31)) &lt; MAX($F$2, DATE(Initialisatie!$C$5,1,1)), 0, MONTH(MIN($F$1, DATE(Initialisatie!$C$5,12,31))) - MONTH(MAX($F$2, DATE(Initialisatie!$C$5,1,1))) + 1)),
        IFERROR(VALUE($G167),0) * MAX(0, IF(MIN($G$1, DATE(Initialisatie!$C$5,12,31)) &lt; MAX($G$2, DATE(Initialisatie!$C$5,1,1)), 0, MONTH(MIN($G$1, DATE(Initialisatie!$C$5,12,31))) - MONTH(MAX($G$2, DATE(Initialisatie!$C$5,1,1))) + 1)),
        IFERROR(VALUE($H167),0) * MAX(0, IF(MIN($H$1, DATE(Initialisatie!$C$5,12,31)) &lt; MAX($H$2, DATE(Initialisatie!$C$5,1,1)), 0, MONTH(MIN($H$1, DATE(Initialisatie!$C$5,12,31))) - MONTH(MAX($H$2, DATE(Initialisatie!$C$5,1,1))) + 1))
    ) / 12
)</f>
        <v>9331</v>
      </c>
    </row>
    <row r="168" spans="1:11" x14ac:dyDescent="0.45">
      <c r="A168" s="989"/>
      <c r="B168" s="371">
        <v>13</v>
      </c>
      <c r="C168" s="371" t="s">
        <v>1352</v>
      </c>
      <c r="D168" t="s">
        <v>1350</v>
      </c>
      <c r="E168" t="s">
        <v>1349</v>
      </c>
      <c r="F168" t="s">
        <v>1351</v>
      </c>
      <c r="G168" t="s">
        <v>1351</v>
      </c>
      <c r="H168" t="s">
        <v>1686</v>
      </c>
      <c r="J168">
        <f>IF(
    OR(
        AND(MAX(0, MIN($D$1, DATE(Initialisatie!$C$5,12,31)) - MAX($D$2, DATE(Initialisatie!$C$5,1,1)) + 1) &gt; 0,IFERROR(VALUE($D168),0)=0),
        AND(MAX(0, MIN($E$1, DATE(Initialisatie!$C$5,12,31)) - MAX($E$2, DATE(Initialisatie!$C$5,1,1)) + 1) &gt; 0,IFERROR(VALUE($E168),0)=0),
        AND(MAX(0, MIN($F$1, DATE(Initialisatie!$C$5,12,31)) - MAX($F$2, DATE(Initialisatie!$C$5,1,1)) + 1) &gt; 0,IFERROR(VALUE($F168),0)=0),
        AND(MAX(0, MIN($G$1, DATE(Initialisatie!$C$5,12,31)) - MAX($G$2, DATE(Initialisatie!$C$5,1,1)) + 1) &gt; 0,IFERROR(VALUE($G168),0)=0),
        AND(MAX(0, MIN($H$1, DATE(Initialisatie!$C$5,12,31)) - MAX($H$2, DATE(Initialisatie!$C$5,1,1)) + 1) &gt; 0,IFERROR(VALUE($H168),0)=0)
    ),
    0,
    SUM(
        IFERROR(VALUE($D168),0) * MAX(0, MIN($D$1, DATE(Initialisatie!$C$5,12,31)) - MAX($D$2, DATE(Initialisatie!$C$5,1,1)) + 1),
        IFERROR(VALUE($E168),0) * MAX(0, MIN($E$1, DATE(Initialisatie!$C$5,12,31)) - MAX($E$2, DATE(Initialisatie!$C$5,1,1)) + 1),
        IFERROR(VALUE($F168),0) * MAX(0, MIN($F$1, DATE(Initialisatie!$C$5,12,31)) - MAX($F$2, DATE(Initialisatie!$C$5,1,1)) + 1),
        IFERROR(VALUE($G168),0) * MAX(0, MIN($G$1, DATE(Initialisatie!$C$5,12,31)) - MAX($G$2, DATE(Initialisatie!$C$5,1,1)) + 1),
        IFERROR(VALUE($H168),0) * MAX(0, MIN($H$1, DATE(Initialisatie!$C$5,12,31)) - MAX($H$2, DATE(Initialisatie!$C$5,1,1)) + 1)
    ) / (DATE(Initialisatie!$C$5,12,31) - DATE(Initialisatie!$C$5,1,1) + 1)
)</f>
        <v>9456.6465753424654</v>
      </c>
      <c r="K168">
        <f>IF(
    OR(
        AND(MAX(0, IF(MIN($D$1, DATE(Initialisatie!$C$5,12,31)) &lt; MAX($D$2, DATE(Initialisatie!$C$5,1,1)), 0, MONTH(MIN($D$1, DATE(Initialisatie!$C$5,12,31))) - MONTH(MAX($D$2, DATE(Initialisatie!$C$5,1,1))) + 1)) &lt;= 0, IFERROR(VALUE($D168),0)=0),
        AND(MAX(0, IF(MIN($E$1, DATE(Initialisatie!$C$5,12,31)) &lt; MAX($E$2, DATE(Initialisatie!$C$5,1,1)), 0, MONTH(MIN($E$1, DATE(Initialisatie!$C$5,12,31))) - MONTH(MAX($E$2, DATE(Initialisatie!$C$5,1,1))) + 1)) &lt;= 0, IFERROR(VALUE($E168),0)=0),
        AND(MAX(0, IF(MIN($F$1, DATE(Initialisatie!$C$5,12,31)) &lt; MAX($F$2, DATE(Initialisatie!$C$5,1,1)), 0, MONTH(MIN($F$1, DATE(Initialisatie!$C$5,12,31))) - MONTH(MAX($F$2, DATE(Initialisatie!$C$5,1,1))) + 1)) &lt;= 0, IFERROR(VALUE($F168),0)=0),
        AND(MAX(0, IF(MIN($G$1, DATE(Initialisatie!$C$5,12,31)) &lt; MAX($G$2, DATE(Initialisatie!$C$5,1,1)), 0, MONTH(MIN($G$1, DATE(Initialisatie!$C$5,12,31))) - MONTH(MAX($G$2, DATE(Initialisatie!$C$5,1,1))) + 1)) &lt;= 0, IFERROR(VALUE($G168),0)=0),
        AND(MAX(0, IF(MIN($H$1, DATE(Initialisatie!$C$5,12,31)) &lt; MAX($H$2, DATE(Initialisatie!$C$5,1,1)), 0, MONTH(MIN($H$1, DATE(Initialisatie!$C$5,12,31))) - MONTH(MAX($H$2, DATE(Initialisatie!$C$5,1,1))) + 1)) &lt;= 0, IFERROR(VALUE($H168),0)=0)
    ),
    0,
    SUM(
        IFERROR(VALUE($D168),0) * MAX(0, IF(MIN($D$1, DATE(Initialisatie!$C$5,12,31)) &lt; MAX($D$2, DATE(Initialisatie!$C$5,1,1)), 0, MONTH(MIN($D$1, DATE(Initialisatie!$C$5,12,31))) - MONTH(MAX($D$2, DATE(Initialisatie!$C$5,1,1))) + 1)),
        IFERROR(VALUE($E168),0) * MAX(0, IF(MIN($E$1, DATE(Initialisatie!$C$5,12,31)) &lt; MAX($E$2, DATE(Initialisatie!$C$5,1,1)), 0, MONTH(MIN($E$1, DATE(Initialisatie!$C$5,12,31))) - MONTH(MAX($E$2, DATE(Initialisatie!$C$5,1,1))) + 1)),
        IFERROR(VALUE($F168),0) * MAX(0, IF(MIN($F$1, DATE(Initialisatie!$C$5,12,31)) &lt; MAX($F$2, DATE(Initialisatie!$C$5,1,1)), 0, MONTH(MIN($F$1, DATE(Initialisatie!$C$5,12,31))) - MONTH(MAX($F$2, DATE(Initialisatie!$C$5,1,1))) + 1)),
        IFERROR(VALUE($G168),0) * MAX(0, IF(MIN($G$1, DATE(Initialisatie!$C$5,12,31)) &lt; MAX($G$2, DATE(Initialisatie!$C$5,1,1)), 0, MONTH(MIN($G$1, DATE(Initialisatie!$C$5,12,31))) - MONTH(MAX($G$2, DATE(Initialisatie!$C$5,1,1))) + 1)),
        IFERROR(VALUE($H168),0) * MAX(0, IF(MIN($H$1, DATE(Initialisatie!$C$5,12,31)) &lt; MAX($H$2, DATE(Initialisatie!$C$5,1,1)), 0, MONTH(MIN($H$1, DATE(Initialisatie!$C$5,12,31))) - MONTH(MAX($H$2, DATE(Initialisatie!$C$5,1,1))) + 1))
    ) / 12
)</f>
        <v>9455.5</v>
      </c>
    </row>
    <row r="169" spans="1:11" x14ac:dyDescent="0.45">
      <c r="A169" s="990"/>
      <c r="B169" s="371">
        <v>14</v>
      </c>
      <c r="C169" s="371" t="s">
        <v>1328</v>
      </c>
      <c r="D169" t="s">
        <v>1326</v>
      </c>
      <c r="E169" t="s">
        <v>1325</v>
      </c>
      <c r="F169" t="s">
        <v>1327</v>
      </c>
      <c r="G169" t="s">
        <v>1327</v>
      </c>
      <c r="H169" t="s">
        <v>1687</v>
      </c>
      <c r="J169">
        <f>IF(
    OR(
        AND(MAX(0, MIN($D$1, DATE(Initialisatie!$C$5,12,31)) - MAX($D$2, DATE(Initialisatie!$C$5,1,1)) + 1) &gt; 0,IFERROR(VALUE($D169),0)=0),
        AND(MAX(0, MIN($E$1, DATE(Initialisatie!$C$5,12,31)) - MAX($E$2, DATE(Initialisatie!$C$5,1,1)) + 1) &gt; 0,IFERROR(VALUE($E169),0)=0),
        AND(MAX(0, MIN($F$1, DATE(Initialisatie!$C$5,12,31)) - MAX($F$2, DATE(Initialisatie!$C$5,1,1)) + 1) &gt; 0,IFERROR(VALUE($F169),0)=0),
        AND(MAX(0, MIN($G$1, DATE(Initialisatie!$C$5,12,31)) - MAX($G$2, DATE(Initialisatie!$C$5,1,1)) + 1) &gt; 0,IFERROR(VALUE($G169),0)=0),
        AND(MAX(0, MIN($H$1, DATE(Initialisatie!$C$5,12,31)) - MAX($H$2, DATE(Initialisatie!$C$5,1,1)) + 1) &gt; 0,IFERROR(VALUE($H169),0)=0)
    ),
    0,
    SUM(
        IFERROR(VALUE($D169),0) * MAX(0, MIN($D$1, DATE(Initialisatie!$C$5,12,31)) - MAX($D$2, DATE(Initialisatie!$C$5,1,1)) + 1),
        IFERROR(VALUE($E169),0) * MAX(0, MIN($E$1, DATE(Initialisatie!$C$5,12,31)) - MAX($E$2, DATE(Initialisatie!$C$5,1,1)) + 1),
        IFERROR(VALUE($F169),0) * MAX(0, MIN($F$1, DATE(Initialisatie!$C$5,12,31)) - MAX($F$2, DATE(Initialisatie!$C$5,1,1)) + 1),
        IFERROR(VALUE($G169),0) * MAX(0, MIN($G$1, DATE(Initialisatie!$C$5,12,31)) - MAX($G$2, DATE(Initialisatie!$C$5,1,1)) + 1),
        IFERROR(VALUE($H169),0) * MAX(0, MIN($H$1, DATE(Initialisatie!$C$5,12,31)) - MAX($H$2, DATE(Initialisatie!$C$5,1,1)) + 1)
    ) / (DATE(Initialisatie!$C$5,12,31) - DATE(Initialisatie!$C$5,1,1) + 1)
)</f>
        <v>9584.6630136986296</v>
      </c>
      <c r="K169">
        <f>IF(
    OR(
        AND(MAX(0, IF(MIN($D$1, DATE(Initialisatie!$C$5,12,31)) &lt; MAX($D$2, DATE(Initialisatie!$C$5,1,1)), 0, MONTH(MIN($D$1, DATE(Initialisatie!$C$5,12,31))) - MONTH(MAX($D$2, DATE(Initialisatie!$C$5,1,1))) + 1)) &lt;= 0, IFERROR(VALUE($D169),0)=0),
        AND(MAX(0, IF(MIN($E$1, DATE(Initialisatie!$C$5,12,31)) &lt; MAX($E$2, DATE(Initialisatie!$C$5,1,1)), 0, MONTH(MIN($E$1, DATE(Initialisatie!$C$5,12,31))) - MONTH(MAX($E$2, DATE(Initialisatie!$C$5,1,1))) + 1)) &lt;= 0, IFERROR(VALUE($E169),0)=0),
        AND(MAX(0, IF(MIN($F$1, DATE(Initialisatie!$C$5,12,31)) &lt; MAX($F$2, DATE(Initialisatie!$C$5,1,1)), 0, MONTH(MIN($F$1, DATE(Initialisatie!$C$5,12,31))) - MONTH(MAX($F$2, DATE(Initialisatie!$C$5,1,1))) + 1)) &lt;= 0, IFERROR(VALUE($F169),0)=0),
        AND(MAX(0, IF(MIN($G$1, DATE(Initialisatie!$C$5,12,31)) &lt; MAX($G$2, DATE(Initialisatie!$C$5,1,1)), 0, MONTH(MIN($G$1, DATE(Initialisatie!$C$5,12,31))) - MONTH(MAX($G$2, DATE(Initialisatie!$C$5,1,1))) + 1)) &lt;= 0, IFERROR(VALUE($G169),0)=0),
        AND(MAX(0, IF(MIN($H$1, DATE(Initialisatie!$C$5,12,31)) &lt; MAX($H$2, DATE(Initialisatie!$C$5,1,1)), 0, MONTH(MIN($H$1, DATE(Initialisatie!$C$5,12,31))) - MONTH(MAX($H$2, DATE(Initialisatie!$C$5,1,1))) + 1)) &lt;= 0, IFERROR(VALUE($H169),0)=0)
    ),
    0,
    SUM(
        IFERROR(VALUE($D169),0) * MAX(0, IF(MIN($D$1, DATE(Initialisatie!$C$5,12,31)) &lt; MAX($D$2, DATE(Initialisatie!$C$5,1,1)), 0, MONTH(MIN($D$1, DATE(Initialisatie!$C$5,12,31))) - MONTH(MAX($D$2, DATE(Initialisatie!$C$5,1,1))) + 1)),
        IFERROR(VALUE($E169),0) * MAX(0, IF(MIN($E$1, DATE(Initialisatie!$C$5,12,31)) &lt; MAX($E$2, DATE(Initialisatie!$C$5,1,1)), 0, MONTH(MIN($E$1, DATE(Initialisatie!$C$5,12,31))) - MONTH(MAX($E$2, DATE(Initialisatie!$C$5,1,1))) + 1)),
        IFERROR(VALUE($F169),0) * MAX(0, IF(MIN($F$1, DATE(Initialisatie!$C$5,12,31)) &lt; MAX($F$2, DATE(Initialisatie!$C$5,1,1)), 0, MONTH(MIN($F$1, DATE(Initialisatie!$C$5,12,31))) - MONTH(MAX($F$2, DATE(Initialisatie!$C$5,1,1))) + 1)),
        IFERROR(VALUE($G169),0) * MAX(0, IF(MIN($G$1, DATE(Initialisatie!$C$5,12,31)) &lt; MAX($G$2, DATE(Initialisatie!$C$5,1,1)), 0, MONTH(MIN($G$1, DATE(Initialisatie!$C$5,12,31))) - MONTH(MAX($G$2, DATE(Initialisatie!$C$5,1,1))) + 1)),
        IFERROR(VALUE($H169),0) * MAX(0, IF(MIN($H$1, DATE(Initialisatie!$C$5,12,31)) &lt; MAX($H$2, DATE(Initialisatie!$C$5,1,1)), 0, MONTH(MIN($H$1, DATE(Initialisatie!$C$5,12,31))) - MONTH(MAX($H$2, DATE(Initialisatie!$C$5,1,1))) + 1))
    ) / 12
)</f>
        <v>9583.5</v>
      </c>
    </row>
    <row r="170" spans="1:11" x14ac:dyDescent="0.45">
      <c r="A170" s="994">
        <v>80</v>
      </c>
      <c r="B170" s="371">
        <v>0</v>
      </c>
      <c r="C170" s="371" t="s">
        <v>1348</v>
      </c>
      <c r="D170" t="s">
        <v>1346</v>
      </c>
      <c r="E170" t="s">
        <v>1345</v>
      </c>
      <c r="F170" t="s">
        <v>1347</v>
      </c>
      <c r="G170" t="s">
        <v>1347</v>
      </c>
      <c r="H170" t="s">
        <v>1676</v>
      </c>
      <c r="J170">
        <f>IF(
    OR(
        AND(MAX(0, MIN($D$1, DATE(Initialisatie!$C$5,12,31)) - MAX($D$2, DATE(Initialisatie!$C$5,1,1)) + 1) &gt; 0,IFERROR(VALUE($D170),0)=0),
        AND(MAX(0, MIN($E$1, DATE(Initialisatie!$C$5,12,31)) - MAX($E$2, DATE(Initialisatie!$C$5,1,1)) + 1) &gt; 0,IFERROR(VALUE($E170),0)=0),
        AND(MAX(0, MIN($F$1, DATE(Initialisatie!$C$5,12,31)) - MAX($F$2, DATE(Initialisatie!$C$5,1,1)) + 1) &gt; 0,IFERROR(VALUE($F170),0)=0),
        AND(MAX(0, MIN($G$1, DATE(Initialisatie!$C$5,12,31)) - MAX($G$2, DATE(Initialisatie!$C$5,1,1)) + 1) &gt; 0,IFERROR(VALUE($G170),0)=0),
        AND(MAX(0, MIN($H$1, DATE(Initialisatie!$C$5,12,31)) - MAX($H$2, DATE(Initialisatie!$C$5,1,1)) + 1) &gt; 0,IFERROR(VALUE($H170),0)=0)
    ),
    0,
    SUM(
        IFERROR(VALUE($D170),0) * MAX(0, MIN($D$1, DATE(Initialisatie!$C$5,12,31)) - MAX($D$2, DATE(Initialisatie!$C$5,1,1)) + 1),
        IFERROR(VALUE($E170),0) * MAX(0, MIN($E$1, DATE(Initialisatie!$C$5,12,31)) - MAX($E$2, DATE(Initialisatie!$C$5,1,1)) + 1),
        IFERROR(VALUE($F170),0) * MAX(0, MIN($F$1, DATE(Initialisatie!$C$5,12,31)) - MAX($F$2, DATE(Initialisatie!$C$5,1,1)) + 1),
        IFERROR(VALUE($G170),0) * MAX(0, MIN($G$1, DATE(Initialisatie!$C$5,12,31)) - MAX($G$2, DATE(Initialisatie!$C$5,1,1)) + 1),
        IFERROR(VALUE($H170),0) * MAX(0, MIN($H$1, DATE(Initialisatie!$C$5,12,31)) - MAX($H$2, DATE(Initialisatie!$C$5,1,1)) + 1)
    ) / (DATE(Initialisatie!$C$5,12,31) - DATE(Initialisatie!$C$5,1,1) + 1)
)</f>
        <v>8028.4739726027401</v>
      </c>
      <c r="K170">
        <f>IF(
    OR(
        AND(MAX(0, IF(MIN($D$1, DATE(Initialisatie!$C$5,12,31)) &lt; MAX($D$2, DATE(Initialisatie!$C$5,1,1)), 0, MONTH(MIN($D$1, DATE(Initialisatie!$C$5,12,31))) - MONTH(MAX($D$2, DATE(Initialisatie!$C$5,1,1))) + 1)) &lt;= 0, IFERROR(VALUE($D170),0)=0),
        AND(MAX(0, IF(MIN($E$1, DATE(Initialisatie!$C$5,12,31)) &lt; MAX($E$2, DATE(Initialisatie!$C$5,1,1)), 0, MONTH(MIN($E$1, DATE(Initialisatie!$C$5,12,31))) - MONTH(MAX($E$2, DATE(Initialisatie!$C$5,1,1))) + 1)) &lt;= 0, IFERROR(VALUE($E170),0)=0),
        AND(MAX(0, IF(MIN($F$1, DATE(Initialisatie!$C$5,12,31)) &lt; MAX($F$2, DATE(Initialisatie!$C$5,1,1)), 0, MONTH(MIN($F$1, DATE(Initialisatie!$C$5,12,31))) - MONTH(MAX($F$2, DATE(Initialisatie!$C$5,1,1))) + 1)) &lt;= 0, IFERROR(VALUE($F170),0)=0),
        AND(MAX(0, IF(MIN($G$1, DATE(Initialisatie!$C$5,12,31)) &lt; MAX($G$2, DATE(Initialisatie!$C$5,1,1)), 0, MONTH(MIN($G$1, DATE(Initialisatie!$C$5,12,31))) - MONTH(MAX($G$2, DATE(Initialisatie!$C$5,1,1))) + 1)) &lt;= 0, IFERROR(VALUE($G170),0)=0),
        AND(MAX(0, IF(MIN($H$1, DATE(Initialisatie!$C$5,12,31)) &lt; MAX($H$2, DATE(Initialisatie!$C$5,1,1)), 0, MONTH(MIN($H$1, DATE(Initialisatie!$C$5,12,31))) - MONTH(MAX($H$2, DATE(Initialisatie!$C$5,1,1))) + 1)) &lt;= 0, IFERROR(VALUE($H170),0)=0)
    ),
    0,
    SUM(
        IFERROR(VALUE($D170),0) * MAX(0, IF(MIN($D$1, DATE(Initialisatie!$C$5,12,31)) &lt; MAX($D$2, DATE(Initialisatie!$C$5,1,1)), 0, MONTH(MIN($D$1, DATE(Initialisatie!$C$5,12,31))) - MONTH(MAX($D$2, DATE(Initialisatie!$C$5,1,1))) + 1)),
        IFERROR(VALUE($E170),0) * MAX(0, IF(MIN($E$1, DATE(Initialisatie!$C$5,12,31)) &lt; MAX($E$2, DATE(Initialisatie!$C$5,1,1)), 0, MONTH(MIN($E$1, DATE(Initialisatie!$C$5,12,31))) - MONTH(MAX($E$2, DATE(Initialisatie!$C$5,1,1))) + 1)),
        IFERROR(VALUE($F170),0) * MAX(0, IF(MIN($F$1, DATE(Initialisatie!$C$5,12,31)) &lt; MAX($F$2, DATE(Initialisatie!$C$5,1,1)), 0, MONTH(MIN($F$1, DATE(Initialisatie!$C$5,12,31))) - MONTH(MAX($F$2, DATE(Initialisatie!$C$5,1,1))) + 1)),
        IFERROR(VALUE($G170),0) * MAX(0, IF(MIN($G$1, DATE(Initialisatie!$C$5,12,31)) &lt; MAX($G$2, DATE(Initialisatie!$C$5,1,1)), 0, MONTH(MIN($G$1, DATE(Initialisatie!$C$5,12,31))) - MONTH(MAX($G$2, DATE(Initialisatie!$C$5,1,1))) + 1)),
        IFERROR(VALUE($H170),0) * MAX(0, IF(MIN($H$1, DATE(Initialisatie!$C$5,12,31)) &lt; MAX($H$2, DATE(Initialisatie!$C$5,1,1)), 0, MONTH(MIN($H$1, DATE(Initialisatie!$C$5,12,31))) - MONTH(MAX($H$2, DATE(Initialisatie!$C$5,1,1))) + 1))
    ) / 12
)</f>
        <v>8027.5</v>
      </c>
    </row>
    <row r="171" spans="1:11" x14ac:dyDescent="0.45">
      <c r="A171" s="995"/>
      <c r="B171" s="371">
        <v>1</v>
      </c>
      <c r="C171" s="371" t="s">
        <v>1344</v>
      </c>
      <c r="D171" t="s">
        <v>1342</v>
      </c>
      <c r="E171" t="s">
        <v>1341</v>
      </c>
      <c r="F171" t="s">
        <v>1343</v>
      </c>
      <c r="G171" t="s">
        <v>1343</v>
      </c>
      <c r="H171" t="s">
        <v>1688</v>
      </c>
      <c r="J171">
        <f>IF(
    OR(
        AND(MAX(0, MIN($D$1, DATE(Initialisatie!$C$5,12,31)) - MAX($D$2, DATE(Initialisatie!$C$5,1,1)) + 1) &gt; 0,IFERROR(VALUE($D171),0)=0),
        AND(MAX(0, MIN($E$1, DATE(Initialisatie!$C$5,12,31)) - MAX($E$2, DATE(Initialisatie!$C$5,1,1)) + 1) &gt; 0,IFERROR(VALUE($E171),0)=0),
        AND(MAX(0, MIN($F$1, DATE(Initialisatie!$C$5,12,31)) - MAX($F$2, DATE(Initialisatie!$C$5,1,1)) + 1) &gt; 0,IFERROR(VALUE($F171),0)=0),
        AND(MAX(0, MIN($G$1, DATE(Initialisatie!$C$5,12,31)) - MAX($G$2, DATE(Initialisatie!$C$5,1,1)) + 1) &gt; 0,IFERROR(VALUE($G171),0)=0),
        AND(MAX(0, MIN($H$1, DATE(Initialisatie!$C$5,12,31)) - MAX($H$2, DATE(Initialisatie!$C$5,1,1)) + 1) &gt; 0,IFERROR(VALUE($H171),0)=0)
    ),
    0,
    SUM(
        IFERROR(VALUE($D171),0) * MAX(0, MIN($D$1, DATE(Initialisatie!$C$5,12,31)) - MAX($D$2, DATE(Initialisatie!$C$5,1,1)) + 1),
        IFERROR(VALUE($E171),0) * MAX(0, MIN($E$1, DATE(Initialisatie!$C$5,12,31)) - MAX($E$2, DATE(Initialisatie!$C$5,1,1)) + 1),
        IFERROR(VALUE($F171),0) * MAX(0, MIN($F$1, DATE(Initialisatie!$C$5,12,31)) - MAX($F$2, DATE(Initialisatie!$C$5,1,1)) + 1),
        IFERROR(VALUE($G171),0) * MAX(0, MIN($G$1, DATE(Initialisatie!$C$5,12,31)) - MAX($G$2, DATE(Initialisatie!$C$5,1,1)) + 1),
        IFERROR(VALUE($H171),0) * MAX(0, MIN($H$1, DATE(Initialisatie!$C$5,12,31)) - MAX($H$2, DATE(Initialisatie!$C$5,1,1)) + 1)
    ) / (DATE(Initialisatie!$C$5,12,31) - DATE(Initialisatie!$C$5,1,1) + 1)
)</f>
        <v>8319.0109589041094</v>
      </c>
      <c r="K171">
        <f>IF(
    OR(
        AND(MAX(0, IF(MIN($D$1, DATE(Initialisatie!$C$5,12,31)) &lt; MAX($D$2, DATE(Initialisatie!$C$5,1,1)), 0, MONTH(MIN($D$1, DATE(Initialisatie!$C$5,12,31))) - MONTH(MAX($D$2, DATE(Initialisatie!$C$5,1,1))) + 1)) &lt;= 0, IFERROR(VALUE($D171),0)=0),
        AND(MAX(0, IF(MIN($E$1, DATE(Initialisatie!$C$5,12,31)) &lt; MAX($E$2, DATE(Initialisatie!$C$5,1,1)), 0, MONTH(MIN($E$1, DATE(Initialisatie!$C$5,12,31))) - MONTH(MAX($E$2, DATE(Initialisatie!$C$5,1,1))) + 1)) &lt;= 0, IFERROR(VALUE($E171),0)=0),
        AND(MAX(0, IF(MIN($F$1, DATE(Initialisatie!$C$5,12,31)) &lt; MAX($F$2, DATE(Initialisatie!$C$5,1,1)), 0, MONTH(MIN($F$1, DATE(Initialisatie!$C$5,12,31))) - MONTH(MAX($F$2, DATE(Initialisatie!$C$5,1,1))) + 1)) &lt;= 0, IFERROR(VALUE($F171),0)=0),
        AND(MAX(0, IF(MIN($G$1, DATE(Initialisatie!$C$5,12,31)) &lt; MAX($G$2, DATE(Initialisatie!$C$5,1,1)), 0, MONTH(MIN($G$1, DATE(Initialisatie!$C$5,12,31))) - MONTH(MAX($G$2, DATE(Initialisatie!$C$5,1,1))) + 1)) &lt;= 0, IFERROR(VALUE($G171),0)=0),
        AND(MAX(0, IF(MIN($H$1, DATE(Initialisatie!$C$5,12,31)) &lt; MAX($H$2, DATE(Initialisatie!$C$5,1,1)), 0, MONTH(MIN($H$1, DATE(Initialisatie!$C$5,12,31))) - MONTH(MAX($H$2, DATE(Initialisatie!$C$5,1,1))) + 1)) &lt;= 0, IFERROR(VALUE($H171),0)=0)
    ),
    0,
    SUM(
        IFERROR(VALUE($D171),0) * MAX(0, IF(MIN($D$1, DATE(Initialisatie!$C$5,12,31)) &lt; MAX($D$2, DATE(Initialisatie!$C$5,1,1)), 0, MONTH(MIN($D$1, DATE(Initialisatie!$C$5,12,31))) - MONTH(MAX($D$2, DATE(Initialisatie!$C$5,1,1))) + 1)),
        IFERROR(VALUE($E171),0) * MAX(0, IF(MIN($E$1, DATE(Initialisatie!$C$5,12,31)) &lt; MAX($E$2, DATE(Initialisatie!$C$5,1,1)), 0, MONTH(MIN($E$1, DATE(Initialisatie!$C$5,12,31))) - MONTH(MAX($E$2, DATE(Initialisatie!$C$5,1,1))) + 1)),
        IFERROR(VALUE($F171),0) * MAX(0, IF(MIN($F$1, DATE(Initialisatie!$C$5,12,31)) &lt; MAX($F$2, DATE(Initialisatie!$C$5,1,1)), 0, MONTH(MIN($F$1, DATE(Initialisatie!$C$5,12,31))) - MONTH(MAX($F$2, DATE(Initialisatie!$C$5,1,1))) + 1)),
        IFERROR(VALUE($G171),0) * MAX(0, IF(MIN($G$1, DATE(Initialisatie!$C$5,12,31)) &lt; MAX($G$2, DATE(Initialisatie!$C$5,1,1)), 0, MONTH(MIN($G$1, DATE(Initialisatie!$C$5,12,31))) - MONTH(MAX($G$2, DATE(Initialisatie!$C$5,1,1))) + 1)),
        IFERROR(VALUE($H171),0) * MAX(0, IF(MIN($H$1, DATE(Initialisatie!$C$5,12,31)) &lt; MAX($H$2, DATE(Initialisatie!$C$5,1,1)), 0, MONTH(MIN($H$1, DATE(Initialisatie!$C$5,12,31))) - MONTH(MAX($H$2, DATE(Initialisatie!$C$5,1,1))) + 1))
    ) / 12
)</f>
        <v>8318</v>
      </c>
    </row>
    <row r="172" spans="1:11" x14ac:dyDescent="0.45">
      <c r="A172" s="995"/>
      <c r="B172" s="371">
        <v>2</v>
      </c>
      <c r="C172" s="371" t="s">
        <v>1340</v>
      </c>
      <c r="D172" t="s">
        <v>1338</v>
      </c>
      <c r="E172" t="s">
        <v>1337</v>
      </c>
      <c r="F172" t="s">
        <v>1339</v>
      </c>
      <c r="G172" t="s">
        <v>1339</v>
      </c>
      <c r="H172" t="s">
        <v>1680</v>
      </c>
      <c r="J172">
        <f>IF(
    OR(
        AND(MAX(0, MIN($D$1, DATE(Initialisatie!$C$5,12,31)) - MAX($D$2, DATE(Initialisatie!$C$5,1,1)) + 1) &gt; 0,IFERROR(VALUE($D172),0)=0),
        AND(MAX(0, MIN($E$1, DATE(Initialisatie!$C$5,12,31)) - MAX($E$2, DATE(Initialisatie!$C$5,1,1)) + 1) &gt; 0,IFERROR(VALUE($E172),0)=0),
        AND(MAX(0, MIN($F$1, DATE(Initialisatie!$C$5,12,31)) - MAX($F$2, DATE(Initialisatie!$C$5,1,1)) + 1) &gt; 0,IFERROR(VALUE($F172),0)=0),
        AND(MAX(0, MIN($G$1, DATE(Initialisatie!$C$5,12,31)) - MAX($G$2, DATE(Initialisatie!$C$5,1,1)) + 1) &gt; 0,IFERROR(VALUE($G172),0)=0),
        AND(MAX(0, MIN($H$1, DATE(Initialisatie!$C$5,12,31)) - MAX($H$2, DATE(Initialisatie!$C$5,1,1)) + 1) &gt; 0,IFERROR(VALUE($H172),0)=0)
    ),
    0,
    SUM(
        IFERROR(VALUE($D172),0) * MAX(0, MIN($D$1, DATE(Initialisatie!$C$5,12,31)) - MAX($D$2, DATE(Initialisatie!$C$5,1,1)) + 1),
        IFERROR(VALUE($E172),0) * MAX(0, MIN($E$1, DATE(Initialisatie!$C$5,12,31)) - MAX($E$2, DATE(Initialisatie!$C$5,1,1)) + 1),
        IFERROR(VALUE($F172),0) * MAX(0, MIN($F$1, DATE(Initialisatie!$C$5,12,31)) - MAX($F$2, DATE(Initialisatie!$C$5,1,1)) + 1),
        IFERROR(VALUE($G172),0) * MAX(0, MIN($G$1, DATE(Initialisatie!$C$5,12,31)) - MAX($G$2, DATE(Initialisatie!$C$5,1,1)) + 1),
        IFERROR(VALUE($H172),0) * MAX(0, MIN($H$1, DATE(Initialisatie!$C$5,12,31)) - MAX($H$2, DATE(Initialisatie!$C$5,1,1)) + 1)
    ) / (DATE(Initialisatie!$C$5,12,31) - DATE(Initialisatie!$C$5,1,1) + 1)
)</f>
        <v>8642.5479452054788</v>
      </c>
      <c r="K172">
        <f>IF(
    OR(
        AND(MAX(0, IF(MIN($D$1, DATE(Initialisatie!$C$5,12,31)) &lt; MAX($D$2, DATE(Initialisatie!$C$5,1,1)), 0, MONTH(MIN($D$1, DATE(Initialisatie!$C$5,12,31))) - MONTH(MAX($D$2, DATE(Initialisatie!$C$5,1,1))) + 1)) &lt;= 0, IFERROR(VALUE($D172),0)=0),
        AND(MAX(0, IF(MIN($E$1, DATE(Initialisatie!$C$5,12,31)) &lt; MAX($E$2, DATE(Initialisatie!$C$5,1,1)), 0, MONTH(MIN($E$1, DATE(Initialisatie!$C$5,12,31))) - MONTH(MAX($E$2, DATE(Initialisatie!$C$5,1,1))) + 1)) &lt;= 0, IFERROR(VALUE($E172),0)=0),
        AND(MAX(0, IF(MIN($F$1, DATE(Initialisatie!$C$5,12,31)) &lt; MAX($F$2, DATE(Initialisatie!$C$5,1,1)), 0, MONTH(MIN($F$1, DATE(Initialisatie!$C$5,12,31))) - MONTH(MAX($F$2, DATE(Initialisatie!$C$5,1,1))) + 1)) &lt;= 0, IFERROR(VALUE($F172),0)=0),
        AND(MAX(0, IF(MIN($G$1, DATE(Initialisatie!$C$5,12,31)) &lt; MAX($G$2, DATE(Initialisatie!$C$5,1,1)), 0, MONTH(MIN($G$1, DATE(Initialisatie!$C$5,12,31))) - MONTH(MAX($G$2, DATE(Initialisatie!$C$5,1,1))) + 1)) &lt;= 0, IFERROR(VALUE($G172),0)=0),
        AND(MAX(0, IF(MIN($H$1, DATE(Initialisatie!$C$5,12,31)) &lt; MAX($H$2, DATE(Initialisatie!$C$5,1,1)), 0, MONTH(MIN($H$1, DATE(Initialisatie!$C$5,12,31))) - MONTH(MAX($H$2, DATE(Initialisatie!$C$5,1,1))) + 1)) &lt;= 0, IFERROR(VALUE($H172),0)=0)
    ),
    0,
    SUM(
        IFERROR(VALUE($D172),0) * MAX(0, IF(MIN($D$1, DATE(Initialisatie!$C$5,12,31)) &lt; MAX($D$2, DATE(Initialisatie!$C$5,1,1)), 0, MONTH(MIN($D$1, DATE(Initialisatie!$C$5,12,31))) - MONTH(MAX($D$2, DATE(Initialisatie!$C$5,1,1))) + 1)),
        IFERROR(VALUE($E172),0) * MAX(0, IF(MIN($E$1, DATE(Initialisatie!$C$5,12,31)) &lt; MAX($E$2, DATE(Initialisatie!$C$5,1,1)), 0, MONTH(MIN($E$1, DATE(Initialisatie!$C$5,12,31))) - MONTH(MAX($E$2, DATE(Initialisatie!$C$5,1,1))) + 1)),
        IFERROR(VALUE($F172),0) * MAX(0, IF(MIN($F$1, DATE(Initialisatie!$C$5,12,31)) &lt; MAX($F$2, DATE(Initialisatie!$C$5,1,1)), 0, MONTH(MIN($F$1, DATE(Initialisatie!$C$5,12,31))) - MONTH(MAX($F$2, DATE(Initialisatie!$C$5,1,1))) + 1)),
        IFERROR(VALUE($G172),0) * MAX(0, IF(MIN($G$1, DATE(Initialisatie!$C$5,12,31)) &lt; MAX($G$2, DATE(Initialisatie!$C$5,1,1)), 0, MONTH(MIN($G$1, DATE(Initialisatie!$C$5,12,31))) - MONTH(MAX($G$2, DATE(Initialisatie!$C$5,1,1))) + 1)),
        IFERROR(VALUE($H172),0) * MAX(0, IF(MIN($H$1, DATE(Initialisatie!$C$5,12,31)) &lt; MAX($H$2, DATE(Initialisatie!$C$5,1,1)), 0, MONTH(MIN($H$1, DATE(Initialisatie!$C$5,12,31))) - MONTH(MAX($H$2, DATE(Initialisatie!$C$5,1,1))) + 1))
    ) / 12
)</f>
        <v>8641.5</v>
      </c>
    </row>
    <row r="173" spans="1:11" x14ac:dyDescent="0.45">
      <c r="A173" s="995"/>
      <c r="B173" s="371">
        <v>3</v>
      </c>
      <c r="C173" s="371" t="s">
        <v>1336</v>
      </c>
      <c r="D173" t="s">
        <v>1334</v>
      </c>
      <c r="E173" t="s">
        <v>1333</v>
      </c>
      <c r="F173" t="s">
        <v>1335</v>
      </c>
      <c r="G173" t="s">
        <v>1335</v>
      </c>
      <c r="H173" t="s">
        <v>1682</v>
      </c>
      <c r="J173">
        <f>IF(
    OR(
        AND(MAX(0, MIN($D$1, DATE(Initialisatie!$C$5,12,31)) - MAX($D$2, DATE(Initialisatie!$C$5,1,1)) + 1) &gt; 0,IFERROR(VALUE($D173),0)=0),
        AND(MAX(0, MIN($E$1, DATE(Initialisatie!$C$5,12,31)) - MAX($E$2, DATE(Initialisatie!$C$5,1,1)) + 1) &gt; 0,IFERROR(VALUE($E173),0)=0),
        AND(MAX(0, MIN($F$1, DATE(Initialisatie!$C$5,12,31)) - MAX($F$2, DATE(Initialisatie!$C$5,1,1)) + 1) &gt; 0,IFERROR(VALUE($F173),0)=0),
        AND(MAX(0, MIN($G$1, DATE(Initialisatie!$C$5,12,31)) - MAX($G$2, DATE(Initialisatie!$C$5,1,1)) + 1) &gt; 0,IFERROR(VALUE($G173),0)=0),
        AND(MAX(0, MIN($H$1, DATE(Initialisatie!$C$5,12,31)) - MAX($H$2, DATE(Initialisatie!$C$5,1,1)) + 1) &gt; 0,IFERROR(VALUE($H173),0)=0)
    ),
    0,
    SUM(
        IFERROR(VALUE($D173),0) * MAX(0, MIN($D$1, DATE(Initialisatie!$C$5,12,31)) - MAX($D$2, DATE(Initialisatie!$C$5,1,1)) + 1),
        IFERROR(VALUE($E173),0) * MAX(0, MIN($E$1, DATE(Initialisatie!$C$5,12,31)) - MAX($E$2, DATE(Initialisatie!$C$5,1,1)) + 1),
        IFERROR(VALUE($F173),0) * MAX(0, MIN($F$1, DATE(Initialisatie!$C$5,12,31)) - MAX($F$2, DATE(Initialisatie!$C$5,1,1)) + 1),
        IFERROR(VALUE($G173),0) * MAX(0, MIN($G$1, DATE(Initialisatie!$C$5,12,31)) - MAX($G$2, DATE(Initialisatie!$C$5,1,1)) + 1),
        IFERROR(VALUE($H173),0) * MAX(0, MIN($H$1, DATE(Initialisatie!$C$5,12,31)) - MAX($H$2, DATE(Initialisatie!$C$5,1,1)) + 1)
    ) / (DATE(Initialisatie!$C$5,12,31) - DATE(Initialisatie!$C$5,1,1) + 1)
)</f>
        <v>8967.5890410958909</v>
      </c>
      <c r="K173">
        <f>IF(
    OR(
        AND(MAX(0, IF(MIN($D$1, DATE(Initialisatie!$C$5,12,31)) &lt; MAX($D$2, DATE(Initialisatie!$C$5,1,1)), 0, MONTH(MIN($D$1, DATE(Initialisatie!$C$5,12,31))) - MONTH(MAX($D$2, DATE(Initialisatie!$C$5,1,1))) + 1)) &lt;= 0, IFERROR(VALUE($D173),0)=0),
        AND(MAX(0, IF(MIN($E$1, DATE(Initialisatie!$C$5,12,31)) &lt; MAX($E$2, DATE(Initialisatie!$C$5,1,1)), 0, MONTH(MIN($E$1, DATE(Initialisatie!$C$5,12,31))) - MONTH(MAX($E$2, DATE(Initialisatie!$C$5,1,1))) + 1)) &lt;= 0, IFERROR(VALUE($E173),0)=0),
        AND(MAX(0, IF(MIN($F$1, DATE(Initialisatie!$C$5,12,31)) &lt; MAX($F$2, DATE(Initialisatie!$C$5,1,1)), 0, MONTH(MIN($F$1, DATE(Initialisatie!$C$5,12,31))) - MONTH(MAX($F$2, DATE(Initialisatie!$C$5,1,1))) + 1)) &lt;= 0, IFERROR(VALUE($F173),0)=0),
        AND(MAX(0, IF(MIN($G$1, DATE(Initialisatie!$C$5,12,31)) &lt; MAX($G$2, DATE(Initialisatie!$C$5,1,1)), 0, MONTH(MIN($G$1, DATE(Initialisatie!$C$5,12,31))) - MONTH(MAX($G$2, DATE(Initialisatie!$C$5,1,1))) + 1)) &lt;= 0, IFERROR(VALUE($G173),0)=0),
        AND(MAX(0, IF(MIN($H$1, DATE(Initialisatie!$C$5,12,31)) &lt; MAX($H$2, DATE(Initialisatie!$C$5,1,1)), 0, MONTH(MIN($H$1, DATE(Initialisatie!$C$5,12,31))) - MONTH(MAX($H$2, DATE(Initialisatie!$C$5,1,1))) + 1)) &lt;= 0, IFERROR(VALUE($H173),0)=0)
    ),
    0,
    SUM(
        IFERROR(VALUE($D173),0) * MAX(0, IF(MIN($D$1, DATE(Initialisatie!$C$5,12,31)) &lt; MAX($D$2, DATE(Initialisatie!$C$5,1,1)), 0, MONTH(MIN($D$1, DATE(Initialisatie!$C$5,12,31))) - MONTH(MAX($D$2, DATE(Initialisatie!$C$5,1,1))) + 1)),
        IFERROR(VALUE($E173),0) * MAX(0, IF(MIN($E$1, DATE(Initialisatie!$C$5,12,31)) &lt; MAX($E$2, DATE(Initialisatie!$C$5,1,1)), 0, MONTH(MIN($E$1, DATE(Initialisatie!$C$5,12,31))) - MONTH(MAX($E$2, DATE(Initialisatie!$C$5,1,1))) + 1)),
        IFERROR(VALUE($F173),0) * MAX(0, IF(MIN($F$1, DATE(Initialisatie!$C$5,12,31)) &lt; MAX($F$2, DATE(Initialisatie!$C$5,1,1)), 0, MONTH(MIN($F$1, DATE(Initialisatie!$C$5,12,31))) - MONTH(MAX($F$2, DATE(Initialisatie!$C$5,1,1))) + 1)),
        IFERROR(VALUE($G173),0) * MAX(0, IF(MIN($G$1, DATE(Initialisatie!$C$5,12,31)) &lt; MAX($G$2, DATE(Initialisatie!$C$5,1,1)), 0, MONTH(MIN($G$1, DATE(Initialisatie!$C$5,12,31))) - MONTH(MAX($G$2, DATE(Initialisatie!$C$5,1,1))) + 1)),
        IFERROR(VALUE($H173),0) * MAX(0, IF(MIN($H$1, DATE(Initialisatie!$C$5,12,31)) &lt; MAX($H$2, DATE(Initialisatie!$C$5,1,1)), 0, MONTH(MIN($H$1, DATE(Initialisatie!$C$5,12,31))) - MONTH(MAX($H$2, DATE(Initialisatie!$C$5,1,1))) + 1))
    ) / 12
)</f>
        <v>8966.5</v>
      </c>
    </row>
    <row r="174" spans="1:11" x14ac:dyDescent="0.45">
      <c r="A174" s="995"/>
      <c r="B174" s="371">
        <v>4</v>
      </c>
      <c r="C174" s="371" t="s">
        <v>1332</v>
      </c>
      <c r="D174" t="s">
        <v>1330</v>
      </c>
      <c r="E174" t="s">
        <v>1329</v>
      </c>
      <c r="F174" t="s">
        <v>1331</v>
      </c>
      <c r="G174" t="s">
        <v>1331</v>
      </c>
      <c r="H174" t="s">
        <v>1685</v>
      </c>
      <c r="J174">
        <f>IF(
    OR(
        AND(MAX(0, MIN($D$1, DATE(Initialisatie!$C$5,12,31)) - MAX($D$2, DATE(Initialisatie!$C$5,1,1)) + 1) &gt; 0,IFERROR(VALUE($D174),0)=0),
        AND(MAX(0, MIN($E$1, DATE(Initialisatie!$C$5,12,31)) - MAX($E$2, DATE(Initialisatie!$C$5,1,1)) + 1) &gt; 0,IFERROR(VALUE($E174),0)=0),
        AND(MAX(0, MIN($F$1, DATE(Initialisatie!$C$5,12,31)) - MAX($F$2, DATE(Initialisatie!$C$5,1,1)) + 1) &gt; 0,IFERROR(VALUE($F174),0)=0),
        AND(MAX(0, MIN($G$1, DATE(Initialisatie!$C$5,12,31)) - MAX($G$2, DATE(Initialisatie!$C$5,1,1)) + 1) &gt; 0,IFERROR(VALUE($G174),0)=0),
        AND(MAX(0, MIN($H$1, DATE(Initialisatie!$C$5,12,31)) - MAX($H$2, DATE(Initialisatie!$C$5,1,1)) + 1) &gt; 0,IFERROR(VALUE($H174),0)=0)
    ),
    0,
    SUM(
        IFERROR(VALUE($D174),0) * MAX(0, MIN($D$1, DATE(Initialisatie!$C$5,12,31)) - MAX($D$2, DATE(Initialisatie!$C$5,1,1)) + 1),
        IFERROR(VALUE($E174),0) * MAX(0, MIN($E$1, DATE(Initialisatie!$C$5,12,31)) - MAX($E$2, DATE(Initialisatie!$C$5,1,1)) + 1),
        IFERROR(VALUE($F174),0) * MAX(0, MIN($F$1, DATE(Initialisatie!$C$5,12,31)) - MAX($F$2, DATE(Initialisatie!$C$5,1,1)) + 1),
        IFERROR(VALUE($G174),0) * MAX(0, MIN($G$1, DATE(Initialisatie!$C$5,12,31)) - MAX($G$2, DATE(Initialisatie!$C$5,1,1)) + 1),
        IFERROR(VALUE($H174),0) * MAX(0, MIN($H$1, DATE(Initialisatie!$C$5,12,31)) - MAX($H$2, DATE(Initialisatie!$C$5,1,1)) + 1)
    ) / (DATE(Initialisatie!$C$5,12,31) - DATE(Initialisatie!$C$5,1,1) + 1)
)</f>
        <v>9332.1342465753423</v>
      </c>
      <c r="K174">
        <f>IF(
    OR(
        AND(MAX(0, IF(MIN($D$1, DATE(Initialisatie!$C$5,12,31)) &lt; MAX($D$2, DATE(Initialisatie!$C$5,1,1)), 0, MONTH(MIN($D$1, DATE(Initialisatie!$C$5,12,31))) - MONTH(MAX($D$2, DATE(Initialisatie!$C$5,1,1))) + 1)) &lt;= 0, IFERROR(VALUE($D174),0)=0),
        AND(MAX(0, IF(MIN($E$1, DATE(Initialisatie!$C$5,12,31)) &lt; MAX($E$2, DATE(Initialisatie!$C$5,1,1)), 0, MONTH(MIN($E$1, DATE(Initialisatie!$C$5,12,31))) - MONTH(MAX($E$2, DATE(Initialisatie!$C$5,1,1))) + 1)) &lt;= 0, IFERROR(VALUE($E174),0)=0),
        AND(MAX(0, IF(MIN($F$1, DATE(Initialisatie!$C$5,12,31)) &lt; MAX($F$2, DATE(Initialisatie!$C$5,1,1)), 0, MONTH(MIN($F$1, DATE(Initialisatie!$C$5,12,31))) - MONTH(MAX($F$2, DATE(Initialisatie!$C$5,1,1))) + 1)) &lt;= 0, IFERROR(VALUE($F174),0)=0),
        AND(MAX(0, IF(MIN($G$1, DATE(Initialisatie!$C$5,12,31)) &lt; MAX($G$2, DATE(Initialisatie!$C$5,1,1)), 0, MONTH(MIN($G$1, DATE(Initialisatie!$C$5,12,31))) - MONTH(MAX($G$2, DATE(Initialisatie!$C$5,1,1))) + 1)) &lt;= 0, IFERROR(VALUE($G174),0)=0),
        AND(MAX(0, IF(MIN($H$1, DATE(Initialisatie!$C$5,12,31)) &lt; MAX($H$2, DATE(Initialisatie!$C$5,1,1)), 0, MONTH(MIN($H$1, DATE(Initialisatie!$C$5,12,31))) - MONTH(MAX($H$2, DATE(Initialisatie!$C$5,1,1))) + 1)) &lt;= 0, IFERROR(VALUE($H174),0)=0)
    ),
    0,
    SUM(
        IFERROR(VALUE($D174),0) * MAX(0, IF(MIN($D$1, DATE(Initialisatie!$C$5,12,31)) &lt; MAX($D$2, DATE(Initialisatie!$C$5,1,1)), 0, MONTH(MIN($D$1, DATE(Initialisatie!$C$5,12,31))) - MONTH(MAX($D$2, DATE(Initialisatie!$C$5,1,1))) + 1)),
        IFERROR(VALUE($E174),0) * MAX(0, IF(MIN($E$1, DATE(Initialisatie!$C$5,12,31)) &lt; MAX($E$2, DATE(Initialisatie!$C$5,1,1)), 0, MONTH(MIN($E$1, DATE(Initialisatie!$C$5,12,31))) - MONTH(MAX($E$2, DATE(Initialisatie!$C$5,1,1))) + 1)),
        IFERROR(VALUE($F174),0) * MAX(0, IF(MIN($F$1, DATE(Initialisatie!$C$5,12,31)) &lt; MAX($F$2, DATE(Initialisatie!$C$5,1,1)), 0, MONTH(MIN($F$1, DATE(Initialisatie!$C$5,12,31))) - MONTH(MAX($F$2, DATE(Initialisatie!$C$5,1,1))) + 1)),
        IFERROR(VALUE($G174),0) * MAX(0, IF(MIN($G$1, DATE(Initialisatie!$C$5,12,31)) &lt; MAX($G$2, DATE(Initialisatie!$C$5,1,1)), 0, MONTH(MIN($G$1, DATE(Initialisatie!$C$5,12,31))) - MONTH(MAX($G$2, DATE(Initialisatie!$C$5,1,1))) + 1)),
        IFERROR(VALUE($H174),0) * MAX(0, IF(MIN($H$1, DATE(Initialisatie!$C$5,12,31)) &lt; MAX($H$2, DATE(Initialisatie!$C$5,1,1)), 0, MONTH(MIN($H$1, DATE(Initialisatie!$C$5,12,31))) - MONTH(MAX($H$2, DATE(Initialisatie!$C$5,1,1))) + 1))
    ) / 12
)</f>
        <v>9331</v>
      </c>
    </row>
    <row r="175" spans="1:11" x14ac:dyDescent="0.45">
      <c r="A175" s="995"/>
      <c r="B175" s="371">
        <v>5</v>
      </c>
      <c r="C175" s="371" t="s">
        <v>1328</v>
      </c>
      <c r="D175" t="s">
        <v>1326</v>
      </c>
      <c r="E175" t="s">
        <v>1325</v>
      </c>
      <c r="F175" t="s">
        <v>1327</v>
      </c>
      <c r="G175" t="s">
        <v>1327</v>
      </c>
      <c r="H175" t="s">
        <v>1687</v>
      </c>
      <c r="J175">
        <f>IF(
    OR(
        AND(MAX(0, MIN($D$1, DATE(Initialisatie!$C$5,12,31)) - MAX($D$2, DATE(Initialisatie!$C$5,1,1)) + 1) &gt; 0,IFERROR(VALUE($D175),0)=0),
        AND(MAX(0, MIN($E$1, DATE(Initialisatie!$C$5,12,31)) - MAX($E$2, DATE(Initialisatie!$C$5,1,1)) + 1) &gt; 0,IFERROR(VALUE($E175),0)=0),
        AND(MAX(0, MIN($F$1, DATE(Initialisatie!$C$5,12,31)) - MAX($F$2, DATE(Initialisatie!$C$5,1,1)) + 1) &gt; 0,IFERROR(VALUE($F175),0)=0),
        AND(MAX(0, MIN($G$1, DATE(Initialisatie!$C$5,12,31)) - MAX($G$2, DATE(Initialisatie!$C$5,1,1)) + 1) &gt; 0,IFERROR(VALUE($G175),0)=0),
        AND(MAX(0, MIN($H$1, DATE(Initialisatie!$C$5,12,31)) - MAX($H$2, DATE(Initialisatie!$C$5,1,1)) + 1) &gt; 0,IFERROR(VALUE($H175),0)=0)
    ),
    0,
    SUM(
        IFERROR(VALUE($D175),0) * MAX(0, MIN($D$1, DATE(Initialisatie!$C$5,12,31)) - MAX($D$2, DATE(Initialisatie!$C$5,1,1)) + 1),
        IFERROR(VALUE($E175),0) * MAX(0, MIN($E$1, DATE(Initialisatie!$C$5,12,31)) - MAX($E$2, DATE(Initialisatie!$C$5,1,1)) + 1),
        IFERROR(VALUE($F175),0) * MAX(0, MIN($F$1, DATE(Initialisatie!$C$5,12,31)) - MAX($F$2, DATE(Initialisatie!$C$5,1,1)) + 1),
        IFERROR(VALUE($G175),0) * MAX(0, MIN($G$1, DATE(Initialisatie!$C$5,12,31)) - MAX($G$2, DATE(Initialisatie!$C$5,1,1)) + 1),
        IFERROR(VALUE($H175),0) * MAX(0, MIN($H$1, DATE(Initialisatie!$C$5,12,31)) - MAX($H$2, DATE(Initialisatie!$C$5,1,1)) + 1)
    ) / (DATE(Initialisatie!$C$5,12,31) - DATE(Initialisatie!$C$5,1,1) + 1)
)</f>
        <v>9584.6630136986296</v>
      </c>
      <c r="K175">
        <f>IF(
    OR(
        AND(MAX(0, IF(MIN($D$1, DATE(Initialisatie!$C$5,12,31)) &lt; MAX($D$2, DATE(Initialisatie!$C$5,1,1)), 0, MONTH(MIN($D$1, DATE(Initialisatie!$C$5,12,31))) - MONTH(MAX($D$2, DATE(Initialisatie!$C$5,1,1))) + 1)) &lt;= 0, IFERROR(VALUE($D175),0)=0),
        AND(MAX(0, IF(MIN($E$1, DATE(Initialisatie!$C$5,12,31)) &lt; MAX($E$2, DATE(Initialisatie!$C$5,1,1)), 0, MONTH(MIN($E$1, DATE(Initialisatie!$C$5,12,31))) - MONTH(MAX($E$2, DATE(Initialisatie!$C$5,1,1))) + 1)) &lt;= 0, IFERROR(VALUE($E175),0)=0),
        AND(MAX(0, IF(MIN($F$1, DATE(Initialisatie!$C$5,12,31)) &lt; MAX($F$2, DATE(Initialisatie!$C$5,1,1)), 0, MONTH(MIN($F$1, DATE(Initialisatie!$C$5,12,31))) - MONTH(MAX($F$2, DATE(Initialisatie!$C$5,1,1))) + 1)) &lt;= 0, IFERROR(VALUE($F175),0)=0),
        AND(MAX(0, IF(MIN($G$1, DATE(Initialisatie!$C$5,12,31)) &lt; MAX($G$2, DATE(Initialisatie!$C$5,1,1)), 0, MONTH(MIN($G$1, DATE(Initialisatie!$C$5,12,31))) - MONTH(MAX($G$2, DATE(Initialisatie!$C$5,1,1))) + 1)) &lt;= 0, IFERROR(VALUE($G175),0)=0),
        AND(MAX(0, IF(MIN($H$1, DATE(Initialisatie!$C$5,12,31)) &lt; MAX($H$2, DATE(Initialisatie!$C$5,1,1)), 0, MONTH(MIN($H$1, DATE(Initialisatie!$C$5,12,31))) - MONTH(MAX($H$2, DATE(Initialisatie!$C$5,1,1))) + 1)) &lt;= 0, IFERROR(VALUE($H175),0)=0)
    ),
    0,
    SUM(
        IFERROR(VALUE($D175),0) * MAX(0, IF(MIN($D$1, DATE(Initialisatie!$C$5,12,31)) &lt; MAX($D$2, DATE(Initialisatie!$C$5,1,1)), 0, MONTH(MIN($D$1, DATE(Initialisatie!$C$5,12,31))) - MONTH(MAX($D$2, DATE(Initialisatie!$C$5,1,1))) + 1)),
        IFERROR(VALUE($E175),0) * MAX(0, IF(MIN($E$1, DATE(Initialisatie!$C$5,12,31)) &lt; MAX($E$2, DATE(Initialisatie!$C$5,1,1)), 0, MONTH(MIN($E$1, DATE(Initialisatie!$C$5,12,31))) - MONTH(MAX($E$2, DATE(Initialisatie!$C$5,1,1))) + 1)),
        IFERROR(VALUE($F175),0) * MAX(0, IF(MIN($F$1, DATE(Initialisatie!$C$5,12,31)) &lt; MAX($F$2, DATE(Initialisatie!$C$5,1,1)), 0, MONTH(MIN($F$1, DATE(Initialisatie!$C$5,12,31))) - MONTH(MAX($F$2, DATE(Initialisatie!$C$5,1,1))) + 1)),
        IFERROR(VALUE($G175),0) * MAX(0, IF(MIN($G$1, DATE(Initialisatie!$C$5,12,31)) &lt; MAX($G$2, DATE(Initialisatie!$C$5,1,1)), 0, MONTH(MIN($G$1, DATE(Initialisatie!$C$5,12,31))) - MONTH(MAX($G$2, DATE(Initialisatie!$C$5,1,1))) + 1)),
        IFERROR(VALUE($H175),0) * MAX(0, IF(MIN($H$1, DATE(Initialisatie!$C$5,12,31)) &lt; MAX($H$2, DATE(Initialisatie!$C$5,1,1)), 0, MONTH(MIN($H$1, DATE(Initialisatie!$C$5,12,31))) - MONTH(MAX($H$2, DATE(Initialisatie!$C$5,1,1))) + 1))
    ) / 12
)</f>
        <v>9583.5</v>
      </c>
    </row>
    <row r="176" spans="1:11" x14ac:dyDescent="0.45">
      <c r="A176" s="995"/>
      <c r="B176" s="371">
        <v>6</v>
      </c>
      <c r="C176" s="371" t="s">
        <v>1324</v>
      </c>
      <c r="D176" t="s">
        <v>1322</v>
      </c>
      <c r="E176" t="s">
        <v>1321</v>
      </c>
      <c r="F176" t="s">
        <v>1323</v>
      </c>
      <c r="G176" t="s">
        <v>1323</v>
      </c>
      <c r="H176" t="s">
        <v>1689</v>
      </c>
      <c r="J176">
        <f>IF(
    OR(
        AND(MAX(0, MIN($D$1, DATE(Initialisatie!$C$5,12,31)) - MAX($D$2, DATE(Initialisatie!$C$5,1,1)) + 1) &gt; 0,IFERROR(VALUE($D176),0)=0),
        AND(MAX(0, MIN($E$1, DATE(Initialisatie!$C$5,12,31)) - MAX($E$2, DATE(Initialisatie!$C$5,1,1)) + 1) &gt; 0,IFERROR(VALUE($E176),0)=0),
        AND(MAX(0, MIN($F$1, DATE(Initialisatie!$C$5,12,31)) - MAX($F$2, DATE(Initialisatie!$C$5,1,1)) + 1) &gt; 0,IFERROR(VALUE($F176),0)=0),
        AND(MAX(0, MIN($G$1, DATE(Initialisatie!$C$5,12,31)) - MAX($G$2, DATE(Initialisatie!$C$5,1,1)) + 1) &gt; 0,IFERROR(VALUE($G176),0)=0),
        AND(MAX(0, MIN($H$1, DATE(Initialisatie!$C$5,12,31)) - MAX($H$2, DATE(Initialisatie!$C$5,1,1)) + 1) &gt; 0,IFERROR(VALUE($H176),0)=0)
    ),
    0,
    SUM(
        IFERROR(VALUE($D176),0) * MAX(0, MIN($D$1, DATE(Initialisatie!$C$5,12,31)) - MAX($D$2, DATE(Initialisatie!$C$5,1,1)) + 1),
        IFERROR(VALUE($E176),0) * MAX(0, MIN($E$1, DATE(Initialisatie!$C$5,12,31)) - MAX($E$2, DATE(Initialisatie!$C$5,1,1)) + 1),
        IFERROR(VALUE($F176),0) * MAX(0, MIN($F$1, DATE(Initialisatie!$C$5,12,31)) - MAX($F$2, DATE(Initialisatie!$C$5,1,1)) + 1),
        IFERROR(VALUE($G176),0) * MAX(0, MIN($G$1, DATE(Initialisatie!$C$5,12,31)) - MAX($G$2, DATE(Initialisatie!$C$5,1,1)) + 1),
        IFERROR(VALUE($H176),0) * MAX(0, MIN($H$1, DATE(Initialisatie!$C$5,12,31)) - MAX($H$2, DATE(Initialisatie!$C$5,1,1)) + 1)
    ) / (DATE(Initialisatie!$C$5,12,31) - DATE(Initialisatie!$C$5,1,1) + 1)
)</f>
        <v>9836.6958904109597</v>
      </c>
      <c r="K176">
        <f>IF(
    OR(
        AND(MAX(0, IF(MIN($D$1, DATE(Initialisatie!$C$5,12,31)) &lt; MAX($D$2, DATE(Initialisatie!$C$5,1,1)), 0, MONTH(MIN($D$1, DATE(Initialisatie!$C$5,12,31))) - MONTH(MAX($D$2, DATE(Initialisatie!$C$5,1,1))) + 1)) &lt;= 0, IFERROR(VALUE($D176),0)=0),
        AND(MAX(0, IF(MIN($E$1, DATE(Initialisatie!$C$5,12,31)) &lt; MAX($E$2, DATE(Initialisatie!$C$5,1,1)), 0, MONTH(MIN($E$1, DATE(Initialisatie!$C$5,12,31))) - MONTH(MAX($E$2, DATE(Initialisatie!$C$5,1,1))) + 1)) &lt;= 0, IFERROR(VALUE($E176),0)=0),
        AND(MAX(0, IF(MIN($F$1, DATE(Initialisatie!$C$5,12,31)) &lt; MAX($F$2, DATE(Initialisatie!$C$5,1,1)), 0, MONTH(MIN($F$1, DATE(Initialisatie!$C$5,12,31))) - MONTH(MAX($F$2, DATE(Initialisatie!$C$5,1,1))) + 1)) &lt;= 0, IFERROR(VALUE($F176),0)=0),
        AND(MAX(0, IF(MIN($G$1, DATE(Initialisatie!$C$5,12,31)) &lt; MAX($G$2, DATE(Initialisatie!$C$5,1,1)), 0, MONTH(MIN($G$1, DATE(Initialisatie!$C$5,12,31))) - MONTH(MAX($G$2, DATE(Initialisatie!$C$5,1,1))) + 1)) &lt;= 0, IFERROR(VALUE($G176),0)=0),
        AND(MAX(0, IF(MIN($H$1, DATE(Initialisatie!$C$5,12,31)) &lt; MAX($H$2, DATE(Initialisatie!$C$5,1,1)), 0, MONTH(MIN($H$1, DATE(Initialisatie!$C$5,12,31))) - MONTH(MAX($H$2, DATE(Initialisatie!$C$5,1,1))) + 1)) &lt;= 0, IFERROR(VALUE($H176),0)=0)
    ),
    0,
    SUM(
        IFERROR(VALUE($D176),0) * MAX(0, IF(MIN($D$1, DATE(Initialisatie!$C$5,12,31)) &lt; MAX($D$2, DATE(Initialisatie!$C$5,1,1)), 0, MONTH(MIN($D$1, DATE(Initialisatie!$C$5,12,31))) - MONTH(MAX($D$2, DATE(Initialisatie!$C$5,1,1))) + 1)),
        IFERROR(VALUE($E176),0) * MAX(0, IF(MIN($E$1, DATE(Initialisatie!$C$5,12,31)) &lt; MAX($E$2, DATE(Initialisatie!$C$5,1,1)), 0, MONTH(MIN($E$1, DATE(Initialisatie!$C$5,12,31))) - MONTH(MAX($E$2, DATE(Initialisatie!$C$5,1,1))) + 1)),
        IFERROR(VALUE($F176),0) * MAX(0, IF(MIN($F$1, DATE(Initialisatie!$C$5,12,31)) &lt; MAX($F$2, DATE(Initialisatie!$C$5,1,1)), 0, MONTH(MIN($F$1, DATE(Initialisatie!$C$5,12,31))) - MONTH(MAX($F$2, DATE(Initialisatie!$C$5,1,1))) + 1)),
        IFERROR(VALUE($G176),0) * MAX(0, IF(MIN($G$1, DATE(Initialisatie!$C$5,12,31)) &lt; MAX($G$2, DATE(Initialisatie!$C$5,1,1)), 0, MONTH(MIN($G$1, DATE(Initialisatie!$C$5,12,31))) - MONTH(MAX($G$2, DATE(Initialisatie!$C$5,1,1))) + 1)),
        IFERROR(VALUE($H176),0) * MAX(0, IF(MIN($H$1, DATE(Initialisatie!$C$5,12,31)) &lt; MAX($H$2, DATE(Initialisatie!$C$5,1,1)), 0, MONTH(MIN($H$1, DATE(Initialisatie!$C$5,12,31))) - MONTH(MAX($H$2, DATE(Initialisatie!$C$5,1,1))) + 1))
    ) / 12
)</f>
        <v>9835.5</v>
      </c>
    </row>
    <row r="177" spans="1:11" x14ac:dyDescent="0.45">
      <c r="A177" s="995"/>
      <c r="B177" s="371">
        <v>7</v>
      </c>
      <c r="C177" s="371" t="s">
        <v>1320</v>
      </c>
      <c r="D177" t="s">
        <v>1318</v>
      </c>
      <c r="E177" t="s">
        <v>1317</v>
      </c>
      <c r="F177" t="s">
        <v>1319</v>
      </c>
      <c r="G177" t="s">
        <v>1319</v>
      </c>
      <c r="H177" t="s">
        <v>1690</v>
      </c>
      <c r="J177">
        <f>IF(
    OR(
        AND(MAX(0, MIN($D$1, DATE(Initialisatie!$C$5,12,31)) - MAX($D$2, DATE(Initialisatie!$C$5,1,1)) + 1) &gt; 0,IFERROR(VALUE($D177),0)=0),
        AND(MAX(0, MIN($E$1, DATE(Initialisatie!$C$5,12,31)) - MAX($E$2, DATE(Initialisatie!$C$5,1,1)) + 1) &gt; 0,IFERROR(VALUE($E177),0)=0),
        AND(MAX(0, MIN($F$1, DATE(Initialisatie!$C$5,12,31)) - MAX($F$2, DATE(Initialisatie!$C$5,1,1)) + 1) &gt; 0,IFERROR(VALUE($F177),0)=0),
        AND(MAX(0, MIN($G$1, DATE(Initialisatie!$C$5,12,31)) - MAX($G$2, DATE(Initialisatie!$C$5,1,1)) + 1) &gt; 0,IFERROR(VALUE($G177),0)=0),
        AND(MAX(0, MIN($H$1, DATE(Initialisatie!$C$5,12,31)) - MAX($H$2, DATE(Initialisatie!$C$5,1,1)) + 1) &gt; 0,IFERROR(VALUE($H177),0)=0)
    ),
    0,
    SUM(
        IFERROR(VALUE($D177),0) * MAX(0, MIN($D$1, DATE(Initialisatie!$C$5,12,31)) - MAX($D$2, DATE(Initialisatie!$C$5,1,1)) + 1),
        IFERROR(VALUE($E177),0) * MAX(0, MIN($E$1, DATE(Initialisatie!$C$5,12,31)) - MAX($E$2, DATE(Initialisatie!$C$5,1,1)) + 1),
        IFERROR(VALUE($F177),0) * MAX(0, MIN($F$1, DATE(Initialisatie!$C$5,12,31)) - MAX($F$2, DATE(Initialisatie!$C$5,1,1)) + 1),
        IFERROR(VALUE($G177),0) * MAX(0, MIN($G$1, DATE(Initialisatie!$C$5,12,31)) - MAX($G$2, DATE(Initialisatie!$C$5,1,1)) + 1),
        IFERROR(VALUE($H177),0) * MAX(0, MIN($H$1, DATE(Initialisatie!$C$5,12,31)) - MAX($H$2, DATE(Initialisatie!$C$5,1,1)) + 1)
    ) / (DATE(Initialisatie!$C$5,12,31) - DATE(Initialisatie!$C$5,1,1) + 1)
)</f>
        <v>10090.224657534247</v>
      </c>
      <c r="K177">
        <f>IF(
    OR(
        AND(MAX(0, IF(MIN($D$1, DATE(Initialisatie!$C$5,12,31)) &lt; MAX($D$2, DATE(Initialisatie!$C$5,1,1)), 0, MONTH(MIN($D$1, DATE(Initialisatie!$C$5,12,31))) - MONTH(MAX($D$2, DATE(Initialisatie!$C$5,1,1))) + 1)) &lt;= 0, IFERROR(VALUE($D177),0)=0),
        AND(MAX(0, IF(MIN($E$1, DATE(Initialisatie!$C$5,12,31)) &lt; MAX($E$2, DATE(Initialisatie!$C$5,1,1)), 0, MONTH(MIN($E$1, DATE(Initialisatie!$C$5,12,31))) - MONTH(MAX($E$2, DATE(Initialisatie!$C$5,1,1))) + 1)) &lt;= 0, IFERROR(VALUE($E177),0)=0),
        AND(MAX(0, IF(MIN($F$1, DATE(Initialisatie!$C$5,12,31)) &lt; MAX($F$2, DATE(Initialisatie!$C$5,1,1)), 0, MONTH(MIN($F$1, DATE(Initialisatie!$C$5,12,31))) - MONTH(MAX($F$2, DATE(Initialisatie!$C$5,1,1))) + 1)) &lt;= 0, IFERROR(VALUE($F177),0)=0),
        AND(MAX(0, IF(MIN($G$1, DATE(Initialisatie!$C$5,12,31)) &lt; MAX($G$2, DATE(Initialisatie!$C$5,1,1)), 0, MONTH(MIN($G$1, DATE(Initialisatie!$C$5,12,31))) - MONTH(MAX($G$2, DATE(Initialisatie!$C$5,1,1))) + 1)) &lt;= 0, IFERROR(VALUE($G177),0)=0),
        AND(MAX(0, IF(MIN($H$1, DATE(Initialisatie!$C$5,12,31)) &lt; MAX($H$2, DATE(Initialisatie!$C$5,1,1)), 0, MONTH(MIN($H$1, DATE(Initialisatie!$C$5,12,31))) - MONTH(MAX($H$2, DATE(Initialisatie!$C$5,1,1))) + 1)) &lt;= 0, IFERROR(VALUE($H177),0)=0)
    ),
    0,
    SUM(
        IFERROR(VALUE($D177),0) * MAX(0, IF(MIN($D$1, DATE(Initialisatie!$C$5,12,31)) &lt; MAX($D$2, DATE(Initialisatie!$C$5,1,1)), 0, MONTH(MIN($D$1, DATE(Initialisatie!$C$5,12,31))) - MONTH(MAX($D$2, DATE(Initialisatie!$C$5,1,1))) + 1)),
        IFERROR(VALUE($E177),0) * MAX(0, IF(MIN($E$1, DATE(Initialisatie!$C$5,12,31)) &lt; MAX($E$2, DATE(Initialisatie!$C$5,1,1)), 0, MONTH(MIN($E$1, DATE(Initialisatie!$C$5,12,31))) - MONTH(MAX($E$2, DATE(Initialisatie!$C$5,1,1))) + 1)),
        IFERROR(VALUE($F177),0) * MAX(0, IF(MIN($F$1, DATE(Initialisatie!$C$5,12,31)) &lt; MAX($F$2, DATE(Initialisatie!$C$5,1,1)), 0, MONTH(MIN($F$1, DATE(Initialisatie!$C$5,12,31))) - MONTH(MAX($F$2, DATE(Initialisatie!$C$5,1,1))) + 1)),
        IFERROR(VALUE($G177),0) * MAX(0, IF(MIN($G$1, DATE(Initialisatie!$C$5,12,31)) &lt; MAX($G$2, DATE(Initialisatie!$C$5,1,1)), 0, MONTH(MIN($G$1, DATE(Initialisatie!$C$5,12,31))) - MONTH(MAX($G$2, DATE(Initialisatie!$C$5,1,1))) + 1)),
        IFERROR(VALUE($H177),0) * MAX(0, IF(MIN($H$1, DATE(Initialisatie!$C$5,12,31)) &lt; MAX($H$2, DATE(Initialisatie!$C$5,1,1)), 0, MONTH(MIN($H$1, DATE(Initialisatie!$C$5,12,31))) - MONTH(MAX($H$2, DATE(Initialisatie!$C$5,1,1))) + 1))
    ) / 12
)</f>
        <v>10089</v>
      </c>
    </row>
    <row r="178" spans="1:11" x14ac:dyDescent="0.45">
      <c r="A178" s="995"/>
      <c r="B178" s="371">
        <v>8</v>
      </c>
      <c r="C178" s="371" t="s">
        <v>1316</v>
      </c>
      <c r="D178" t="s">
        <v>1314</v>
      </c>
      <c r="E178" t="s">
        <v>1313</v>
      </c>
      <c r="F178" t="s">
        <v>1315</v>
      </c>
      <c r="G178" t="s">
        <v>1315</v>
      </c>
      <c r="H178" t="s">
        <v>1691</v>
      </c>
      <c r="J178">
        <f>IF(
    OR(
        AND(MAX(0, MIN($D$1, DATE(Initialisatie!$C$5,12,31)) - MAX($D$2, DATE(Initialisatie!$C$5,1,1)) + 1) &gt; 0,IFERROR(VALUE($D178),0)=0),
        AND(MAX(0, MIN($E$1, DATE(Initialisatie!$C$5,12,31)) - MAX($E$2, DATE(Initialisatie!$C$5,1,1)) + 1) &gt; 0,IFERROR(VALUE($E178),0)=0),
        AND(MAX(0, MIN($F$1, DATE(Initialisatie!$C$5,12,31)) - MAX($F$2, DATE(Initialisatie!$C$5,1,1)) + 1) &gt; 0,IFERROR(VALUE($F178),0)=0),
        AND(MAX(0, MIN($G$1, DATE(Initialisatie!$C$5,12,31)) - MAX($G$2, DATE(Initialisatie!$C$5,1,1)) + 1) &gt; 0,IFERROR(VALUE($G178),0)=0),
        AND(MAX(0, MIN($H$1, DATE(Initialisatie!$C$5,12,31)) - MAX($H$2, DATE(Initialisatie!$C$5,1,1)) + 1) &gt; 0,IFERROR(VALUE($H178),0)=0)
    ),
    0,
    SUM(
        IFERROR(VALUE($D178),0) * MAX(0, MIN($D$1, DATE(Initialisatie!$C$5,12,31)) - MAX($D$2, DATE(Initialisatie!$C$5,1,1)) + 1),
        IFERROR(VALUE($E178),0) * MAX(0, MIN($E$1, DATE(Initialisatie!$C$5,12,31)) - MAX($E$2, DATE(Initialisatie!$C$5,1,1)) + 1),
        IFERROR(VALUE($F178),0) * MAX(0, MIN($F$1, DATE(Initialisatie!$C$5,12,31)) - MAX($F$2, DATE(Initialisatie!$C$5,1,1)) + 1),
        IFERROR(VALUE($G178),0) * MAX(0, MIN($G$1, DATE(Initialisatie!$C$5,12,31)) - MAX($G$2, DATE(Initialisatie!$C$5,1,1)) + 1),
        IFERROR(VALUE($H178),0) * MAX(0, MIN($H$1, DATE(Initialisatie!$C$5,12,31)) - MAX($H$2, DATE(Initialisatie!$C$5,1,1)) + 1)
    ) / (DATE(Initialisatie!$C$5,12,31) - DATE(Initialisatie!$C$5,1,1) + 1)
)</f>
        <v>10345.257534246575</v>
      </c>
      <c r="K178">
        <f>IF(
    OR(
        AND(MAX(0, IF(MIN($D$1, DATE(Initialisatie!$C$5,12,31)) &lt; MAX($D$2, DATE(Initialisatie!$C$5,1,1)), 0, MONTH(MIN($D$1, DATE(Initialisatie!$C$5,12,31))) - MONTH(MAX($D$2, DATE(Initialisatie!$C$5,1,1))) + 1)) &lt;= 0, IFERROR(VALUE($D178),0)=0),
        AND(MAX(0, IF(MIN($E$1, DATE(Initialisatie!$C$5,12,31)) &lt; MAX($E$2, DATE(Initialisatie!$C$5,1,1)), 0, MONTH(MIN($E$1, DATE(Initialisatie!$C$5,12,31))) - MONTH(MAX($E$2, DATE(Initialisatie!$C$5,1,1))) + 1)) &lt;= 0, IFERROR(VALUE($E178),0)=0),
        AND(MAX(0, IF(MIN($F$1, DATE(Initialisatie!$C$5,12,31)) &lt; MAX($F$2, DATE(Initialisatie!$C$5,1,1)), 0, MONTH(MIN($F$1, DATE(Initialisatie!$C$5,12,31))) - MONTH(MAX($F$2, DATE(Initialisatie!$C$5,1,1))) + 1)) &lt;= 0, IFERROR(VALUE($F178),0)=0),
        AND(MAX(0, IF(MIN($G$1, DATE(Initialisatie!$C$5,12,31)) &lt; MAX($G$2, DATE(Initialisatie!$C$5,1,1)), 0, MONTH(MIN($G$1, DATE(Initialisatie!$C$5,12,31))) - MONTH(MAX($G$2, DATE(Initialisatie!$C$5,1,1))) + 1)) &lt;= 0, IFERROR(VALUE($G178),0)=0),
        AND(MAX(0, IF(MIN($H$1, DATE(Initialisatie!$C$5,12,31)) &lt; MAX($H$2, DATE(Initialisatie!$C$5,1,1)), 0, MONTH(MIN($H$1, DATE(Initialisatie!$C$5,12,31))) - MONTH(MAX($H$2, DATE(Initialisatie!$C$5,1,1))) + 1)) &lt;= 0, IFERROR(VALUE($H178),0)=0)
    ),
    0,
    SUM(
        IFERROR(VALUE($D178),0) * MAX(0, IF(MIN($D$1, DATE(Initialisatie!$C$5,12,31)) &lt; MAX($D$2, DATE(Initialisatie!$C$5,1,1)), 0, MONTH(MIN($D$1, DATE(Initialisatie!$C$5,12,31))) - MONTH(MAX($D$2, DATE(Initialisatie!$C$5,1,1))) + 1)),
        IFERROR(VALUE($E178),0) * MAX(0, IF(MIN($E$1, DATE(Initialisatie!$C$5,12,31)) &lt; MAX($E$2, DATE(Initialisatie!$C$5,1,1)), 0, MONTH(MIN($E$1, DATE(Initialisatie!$C$5,12,31))) - MONTH(MAX($E$2, DATE(Initialisatie!$C$5,1,1))) + 1)),
        IFERROR(VALUE($F178),0) * MAX(0, IF(MIN($F$1, DATE(Initialisatie!$C$5,12,31)) &lt; MAX($F$2, DATE(Initialisatie!$C$5,1,1)), 0, MONTH(MIN($F$1, DATE(Initialisatie!$C$5,12,31))) - MONTH(MAX($F$2, DATE(Initialisatie!$C$5,1,1))) + 1)),
        IFERROR(VALUE($G178),0) * MAX(0, IF(MIN($G$1, DATE(Initialisatie!$C$5,12,31)) &lt; MAX($G$2, DATE(Initialisatie!$C$5,1,1)), 0, MONTH(MIN($G$1, DATE(Initialisatie!$C$5,12,31))) - MONTH(MAX($G$2, DATE(Initialisatie!$C$5,1,1))) + 1)),
        IFERROR(VALUE($H178),0) * MAX(0, IF(MIN($H$1, DATE(Initialisatie!$C$5,12,31)) &lt; MAX($H$2, DATE(Initialisatie!$C$5,1,1)), 0, MONTH(MIN($H$1, DATE(Initialisatie!$C$5,12,31))) - MONTH(MAX($H$2, DATE(Initialisatie!$C$5,1,1))) + 1))
    ) / 12
)</f>
        <v>10344</v>
      </c>
    </row>
    <row r="179" spans="1:11" x14ac:dyDescent="0.45">
      <c r="A179" s="995"/>
      <c r="B179" s="371">
        <v>9</v>
      </c>
      <c r="C179" s="371" t="s">
        <v>1312</v>
      </c>
      <c r="D179" t="s">
        <v>1310</v>
      </c>
      <c r="E179" t="s">
        <v>1309</v>
      </c>
      <c r="F179" t="s">
        <v>1311</v>
      </c>
      <c r="G179" t="s">
        <v>1311</v>
      </c>
      <c r="H179" t="s">
        <v>1692</v>
      </c>
      <c r="J179">
        <f>IF(
    OR(
        AND(MAX(0, MIN($D$1, DATE(Initialisatie!$C$5,12,31)) - MAX($D$2, DATE(Initialisatie!$C$5,1,1)) + 1) &gt; 0,IFERROR(VALUE($D179),0)=0),
        AND(MAX(0, MIN($E$1, DATE(Initialisatie!$C$5,12,31)) - MAX($E$2, DATE(Initialisatie!$C$5,1,1)) + 1) &gt; 0,IFERROR(VALUE($E179),0)=0),
        AND(MAX(0, MIN($F$1, DATE(Initialisatie!$C$5,12,31)) - MAX($F$2, DATE(Initialisatie!$C$5,1,1)) + 1) &gt; 0,IFERROR(VALUE($F179),0)=0),
        AND(MAX(0, MIN($G$1, DATE(Initialisatie!$C$5,12,31)) - MAX($G$2, DATE(Initialisatie!$C$5,1,1)) + 1) &gt; 0,IFERROR(VALUE($G179),0)=0),
        AND(MAX(0, MIN($H$1, DATE(Initialisatie!$C$5,12,31)) - MAX($H$2, DATE(Initialisatie!$C$5,1,1)) + 1) &gt; 0,IFERROR(VALUE($H179),0)=0)
    ),
    0,
    SUM(
        IFERROR(VALUE($D179),0) * MAX(0, MIN($D$1, DATE(Initialisatie!$C$5,12,31)) - MAX($D$2, DATE(Initialisatie!$C$5,1,1)) + 1),
        IFERROR(VALUE($E179),0) * MAX(0, MIN($E$1, DATE(Initialisatie!$C$5,12,31)) - MAX($E$2, DATE(Initialisatie!$C$5,1,1)) + 1),
        IFERROR(VALUE($F179),0) * MAX(0, MIN($F$1, DATE(Initialisatie!$C$5,12,31)) - MAX($F$2, DATE(Initialisatie!$C$5,1,1)) + 1),
        IFERROR(VALUE($G179),0) * MAX(0, MIN($G$1, DATE(Initialisatie!$C$5,12,31)) - MAX($G$2, DATE(Initialisatie!$C$5,1,1)) + 1),
        IFERROR(VALUE($H179),0) * MAX(0, MIN($H$1, DATE(Initialisatie!$C$5,12,31)) - MAX($H$2, DATE(Initialisatie!$C$5,1,1)) + 1)
    ) / (DATE(Initialisatie!$C$5,12,31) - DATE(Initialisatie!$C$5,1,1) + 1)
)</f>
        <v>10472.769863013698</v>
      </c>
      <c r="K179">
        <f>IF(
    OR(
        AND(MAX(0, IF(MIN($D$1, DATE(Initialisatie!$C$5,12,31)) &lt; MAX($D$2, DATE(Initialisatie!$C$5,1,1)), 0, MONTH(MIN($D$1, DATE(Initialisatie!$C$5,12,31))) - MONTH(MAX($D$2, DATE(Initialisatie!$C$5,1,1))) + 1)) &lt;= 0, IFERROR(VALUE($D179),0)=0),
        AND(MAX(0, IF(MIN($E$1, DATE(Initialisatie!$C$5,12,31)) &lt; MAX($E$2, DATE(Initialisatie!$C$5,1,1)), 0, MONTH(MIN($E$1, DATE(Initialisatie!$C$5,12,31))) - MONTH(MAX($E$2, DATE(Initialisatie!$C$5,1,1))) + 1)) &lt;= 0, IFERROR(VALUE($E179),0)=0),
        AND(MAX(0, IF(MIN($F$1, DATE(Initialisatie!$C$5,12,31)) &lt; MAX($F$2, DATE(Initialisatie!$C$5,1,1)), 0, MONTH(MIN($F$1, DATE(Initialisatie!$C$5,12,31))) - MONTH(MAX($F$2, DATE(Initialisatie!$C$5,1,1))) + 1)) &lt;= 0, IFERROR(VALUE($F179),0)=0),
        AND(MAX(0, IF(MIN($G$1, DATE(Initialisatie!$C$5,12,31)) &lt; MAX($G$2, DATE(Initialisatie!$C$5,1,1)), 0, MONTH(MIN($G$1, DATE(Initialisatie!$C$5,12,31))) - MONTH(MAX($G$2, DATE(Initialisatie!$C$5,1,1))) + 1)) &lt;= 0, IFERROR(VALUE($G179),0)=0),
        AND(MAX(0, IF(MIN($H$1, DATE(Initialisatie!$C$5,12,31)) &lt; MAX($H$2, DATE(Initialisatie!$C$5,1,1)), 0, MONTH(MIN($H$1, DATE(Initialisatie!$C$5,12,31))) - MONTH(MAX($H$2, DATE(Initialisatie!$C$5,1,1))) + 1)) &lt;= 0, IFERROR(VALUE($H179),0)=0)
    ),
    0,
    SUM(
        IFERROR(VALUE($D179),0) * MAX(0, IF(MIN($D$1, DATE(Initialisatie!$C$5,12,31)) &lt; MAX($D$2, DATE(Initialisatie!$C$5,1,1)), 0, MONTH(MIN($D$1, DATE(Initialisatie!$C$5,12,31))) - MONTH(MAX($D$2, DATE(Initialisatie!$C$5,1,1))) + 1)),
        IFERROR(VALUE($E179),0) * MAX(0, IF(MIN($E$1, DATE(Initialisatie!$C$5,12,31)) &lt; MAX($E$2, DATE(Initialisatie!$C$5,1,1)), 0, MONTH(MIN($E$1, DATE(Initialisatie!$C$5,12,31))) - MONTH(MAX($E$2, DATE(Initialisatie!$C$5,1,1))) + 1)),
        IFERROR(VALUE($F179),0) * MAX(0, IF(MIN($F$1, DATE(Initialisatie!$C$5,12,31)) &lt; MAX($F$2, DATE(Initialisatie!$C$5,1,1)), 0, MONTH(MIN($F$1, DATE(Initialisatie!$C$5,12,31))) - MONTH(MAX($F$2, DATE(Initialisatie!$C$5,1,1))) + 1)),
        IFERROR(VALUE($G179),0) * MAX(0, IF(MIN($G$1, DATE(Initialisatie!$C$5,12,31)) &lt; MAX($G$2, DATE(Initialisatie!$C$5,1,1)), 0, MONTH(MIN($G$1, DATE(Initialisatie!$C$5,12,31))) - MONTH(MAX($G$2, DATE(Initialisatie!$C$5,1,1))) + 1)),
        IFERROR(VALUE($H179),0) * MAX(0, IF(MIN($H$1, DATE(Initialisatie!$C$5,12,31)) &lt; MAX($H$2, DATE(Initialisatie!$C$5,1,1)), 0, MONTH(MIN($H$1, DATE(Initialisatie!$C$5,12,31))) - MONTH(MAX($H$2, DATE(Initialisatie!$C$5,1,1))) + 1))
    ) / 12
)</f>
        <v>10471.5</v>
      </c>
    </row>
    <row r="180" spans="1:11" x14ac:dyDescent="0.45">
      <c r="A180" s="995"/>
      <c r="B180" s="371">
        <v>10</v>
      </c>
      <c r="C180" s="371" t="s">
        <v>1308</v>
      </c>
      <c r="D180" t="s">
        <v>1306</v>
      </c>
      <c r="E180" t="s">
        <v>1305</v>
      </c>
      <c r="F180" t="s">
        <v>1307</v>
      </c>
      <c r="G180" t="s">
        <v>1307</v>
      </c>
      <c r="H180" t="s">
        <v>1693</v>
      </c>
      <c r="J180">
        <f>IF(
    OR(
        AND(MAX(0, MIN($D$1, DATE(Initialisatie!$C$5,12,31)) - MAX($D$2, DATE(Initialisatie!$C$5,1,1)) + 1) &gt; 0,IFERROR(VALUE($D180),0)=0),
        AND(MAX(0, MIN($E$1, DATE(Initialisatie!$C$5,12,31)) - MAX($E$2, DATE(Initialisatie!$C$5,1,1)) + 1) &gt; 0,IFERROR(VALUE($E180),0)=0),
        AND(MAX(0, MIN($F$1, DATE(Initialisatie!$C$5,12,31)) - MAX($F$2, DATE(Initialisatie!$C$5,1,1)) + 1) &gt; 0,IFERROR(VALUE($F180),0)=0),
        AND(MAX(0, MIN($G$1, DATE(Initialisatie!$C$5,12,31)) - MAX($G$2, DATE(Initialisatie!$C$5,1,1)) + 1) &gt; 0,IFERROR(VALUE($G180),0)=0),
        AND(MAX(0, MIN($H$1, DATE(Initialisatie!$C$5,12,31)) - MAX($H$2, DATE(Initialisatie!$C$5,1,1)) + 1) &gt; 0,IFERROR(VALUE($H180),0)=0)
    ),
    0,
    SUM(
        IFERROR(VALUE($D180),0) * MAX(0, MIN($D$1, DATE(Initialisatie!$C$5,12,31)) - MAX($D$2, DATE(Initialisatie!$C$5,1,1)) + 1),
        IFERROR(VALUE($E180),0) * MAX(0, MIN($E$1, DATE(Initialisatie!$C$5,12,31)) - MAX($E$2, DATE(Initialisatie!$C$5,1,1)) + 1),
        IFERROR(VALUE($F180),0) * MAX(0, MIN($F$1, DATE(Initialisatie!$C$5,12,31)) - MAX($F$2, DATE(Initialisatie!$C$5,1,1)) + 1),
        IFERROR(VALUE($G180),0) * MAX(0, MIN($G$1, DATE(Initialisatie!$C$5,12,31)) - MAX($G$2, DATE(Initialisatie!$C$5,1,1)) + 1),
        IFERROR(VALUE($H180),0) * MAX(0, MIN($H$1, DATE(Initialisatie!$C$5,12,31)) - MAX($H$2, DATE(Initialisatie!$C$5,1,1)) + 1)
    ) / (DATE(Initialisatie!$C$5,12,31) - DATE(Initialisatie!$C$5,1,1) + 1)
)</f>
        <v>10600.786301369862</v>
      </c>
      <c r="K180">
        <f>IF(
    OR(
        AND(MAX(0, IF(MIN($D$1, DATE(Initialisatie!$C$5,12,31)) &lt; MAX($D$2, DATE(Initialisatie!$C$5,1,1)), 0, MONTH(MIN($D$1, DATE(Initialisatie!$C$5,12,31))) - MONTH(MAX($D$2, DATE(Initialisatie!$C$5,1,1))) + 1)) &lt;= 0, IFERROR(VALUE($D180),0)=0),
        AND(MAX(0, IF(MIN($E$1, DATE(Initialisatie!$C$5,12,31)) &lt; MAX($E$2, DATE(Initialisatie!$C$5,1,1)), 0, MONTH(MIN($E$1, DATE(Initialisatie!$C$5,12,31))) - MONTH(MAX($E$2, DATE(Initialisatie!$C$5,1,1))) + 1)) &lt;= 0, IFERROR(VALUE($E180),0)=0),
        AND(MAX(0, IF(MIN($F$1, DATE(Initialisatie!$C$5,12,31)) &lt; MAX($F$2, DATE(Initialisatie!$C$5,1,1)), 0, MONTH(MIN($F$1, DATE(Initialisatie!$C$5,12,31))) - MONTH(MAX($F$2, DATE(Initialisatie!$C$5,1,1))) + 1)) &lt;= 0, IFERROR(VALUE($F180),0)=0),
        AND(MAX(0, IF(MIN($G$1, DATE(Initialisatie!$C$5,12,31)) &lt; MAX($G$2, DATE(Initialisatie!$C$5,1,1)), 0, MONTH(MIN($G$1, DATE(Initialisatie!$C$5,12,31))) - MONTH(MAX($G$2, DATE(Initialisatie!$C$5,1,1))) + 1)) &lt;= 0, IFERROR(VALUE($G180),0)=0),
        AND(MAX(0, IF(MIN($H$1, DATE(Initialisatie!$C$5,12,31)) &lt; MAX($H$2, DATE(Initialisatie!$C$5,1,1)), 0, MONTH(MIN($H$1, DATE(Initialisatie!$C$5,12,31))) - MONTH(MAX($H$2, DATE(Initialisatie!$C$5,1,1))) + 1)) &lt;= 0, IFERROR(VALUE($H180),0)=0)
    ),
    0,
    SUM(
        IFERROR(VALUE($D180),0) * MAX(0, IF(MIN($D$1, DATE(Initialisatie!$C$5,12,31)) &lt; MAX($D$2, DATE(Initialisatie!$C$5,1,1)), 0, MONTH(MIN($D$1, DATE(Initialisatie!$C$5,12,31))) - MONTH(MAX($D$2, DATE(Initialisatie!$C$5,1,1))) + 1)),
        IFERROR(VALUE($E180),0) * MAX(0, IF(MIN($E$1, DATE(Initialisatie!$C$5,12,31)) &lt; MAX($E$2, DATE(Initialisatie!$C$5,1,1)), 0, MONTH(MIN($E$1, DATE(Initialisatie!$C$5,12,31))) - MONTH(MAX($E$2, DATE(Initialisatie!$C$5,1,1))) + 1)),
        IFERROR(VALUE($F180),0) * MAX(0, IF(MIN($F$1, DATE(Initialisatie!$C$5,12,31)) &lt; MAX($F$2, DATE(Initialisatie!$C$5,1,1)), 0, MONTH(MIN($F$1, DATE(Initialisatie!$C$5,12,31))) - MONTH(MAX($F$2, DATE(Initialisatie!$C$5,1,1))) + 1)),
        IFERROR(VALUE($G180),0) * MAX(0, IF(MIN($G$1, DATE(Initialisatie!$C$5,12,31)) &lt; MAX($G$2, DATE(Initialisatie!$C$5,1,1)), 0, MONTH(MIN($G$1, DATE(Initialisatie!$C$5,12,31))) - MONTH(MAX($G$2, DATE(Initialisatie!$C$5,1,1))) + 1)),
        IFERROR(VALUE($H180),0) * MAX(0, IF(MIN($H$1, DATE(Initialisatie!$C$5,12,31)) &lt; MAX($H$2, DATE(Initialisatie!$C$5,1,1)), 0, MONTH(MIN($H$1, DATE(Initialisatie!$C$5,12,31))) - MONTH(MAX($H$2, DATE(Initialisatie!$C$5,1,1))) + 1))
    ) / 12
)</f>
        <v>10599.5</v>
      </c>
    </row>
    <row r="181" spans="1:11" x14ac:dyDescent="0.45">
      <c r="A181" s="995"/>
      <c r="B181" s="371">
        <v>11</v>
      </c>
      <c r="C181" s="371" t="s">
        <v>1304</v>
      </c>
      <c r="D181" t="s">
        <v>1302</v>
      </c>
      <c r="E181" t="s">
        <v>1301</v>
      </c>
      <c r="F181" t="s">
        <v>1303</v>
      </c>
      <c r="G181" t="s">
        <v>1303</v>
      </c>
      <c r="H181" t="s">
        <v>1694</v>
      </c>
      <c r="J181">
        <f>IF(
    OR(
        AND(MAX(0, MIN($D$1, DATE(Initialisatie!$C$5,12,31)) - MAX($D$2, DATE(Initialisatie!$C$5,1,1)) + 1) &gt; 0,IFERROR(VALUE($D181),0)=0),
        AND(MAX(0, MIN($E$1, DATE(Initialisatie!$C$5,12,31)) - MAX($E$2, DATE(Initialisatie!$C$5,1,1)) + 1) &gt; 0,IFERROR(VALUE($E181),0)=0),
        AND(MAX(0, MIN($F$1, DATE(Initialisatie!$C$5,12,31)) - MAX($F$2, DATE(Initialisatie!$C$5,1,1)) + 1) &gt; 0,IFERROR(VALUE($F181),0)=0),
        AND(MAX(0, MIN($G$1, DATE(Initialisatie!$C$5,12,31)) - MAX($G$2, DATE(Initialisatie!$C$5,1,1)) + 1) &gt; 0,IFERROR(VALUE($G181),0)=0),
        AND(MAX(0, MIN($H$1, DATE(Initialisatie!$C$5,12,31)) - MAX($H$2, DATE(Initialisatie!$C$5,1,1)) + 1) &gt; 0,IFERROR(VALUE($H181),0)=0)
    ),
    0,
    SUM(
        IFERROR(VALUE($D181),0) * MAX(0, MIN($D$1, DATE(Initialisatie!$C$5,12,31)) - MAX($D$2, DATE(Initialisatie!$C$5,1,1)) + 1),
        IFERROR(VALUE($E181),0) * MAX(0, MIN($E$1, DATE(Initialisatie!$C$5,12,31)) - MAX($E$2, DATE(Initialisatie!$C$5,1,1)) + 1),
        IFERROR(VALUE($F181),0) * MAX(0, MIN($F$1, DATE(Initialisatie!$C$5,12,31)) - MAX($F$2, DATE(Initialisatie!$C$5,1,1)) + 1),
        IFERROR(VALUE($G181),0) * MAX(0, MIN($G$1, DATE(Initialisatie!$C$5,12,31)) - MAX($G$2, DATE(Initialisatie!$C$5,1,1)) + 1),
        IFERROR(VALUE($H181),0) * MAX(0, MIN($H$1, DATE(Initialisatie!$C$5,12,31)) - MAX($H$2, DATE(Initialisatie!$C$5,1,1)) + 1)
    ) / (DATE(Initialisatie!$C$5,12,31) - DATE(Initialisatie!$C$5,1,1) + 1)
)</f>
        <v>10727.802739726027</v>
      </c>
      <c r="K181">
        <f>IF(
    OR(
        AND(MAX(0, IF(MIN($D$1, DATE(Initialisatie!$C$5,12,31)) &lt; MAX($D$2, DATE(Initialisatie!$C$5,1,1)), 0, MONTH(MIN($D$1, DATE(Initialisatie!$C$5,12,31))) - MONTH(MAX($D$2, DATE(Initialisatie!$C$5,1,1))) + 1)) &lt;= 0, IFERROR(VALUE($D181),0)=0),
        AND(MAX(0, IF(MIN($E$1, DATE(Initialisatie!$C$5,12,31)) &lt; MAX($E$2, DATE(Initialisatie!$C$5,1,1)), 0, MONTH(MIN($E$1, DATE(Initialisatie!$C$5,12,31))) - MONTH(MAX($E$2, DATE(Initialisatie!$C$5,1,1))) + 1)) &lt;= 0, IFERROR(VALUE($E181),0)=0),
        AND(MAX(0, IF(MIN($F$1, DATE(Initialisatie!$C$5,12,31)) &lt; MAX($F$2, DATE(Initialisatie!$C$5,1,1)), 0, MONTH(MIN($F$1, DATE(Initialisatie!$C$5,12,31))) - MONTH(MAX($F$2, DATE(Initialisatie!$C$5,1,1))) + 1)) &lt;= 0, IFERROR(VALUE($F181),0)=0),
        AND(MAX(0, IF(MIN($G$1, DATE(Initialisatie!$C$5,12,31)) &lt; MAX($G$2, DATE(Initialisatie!$C$5,1,1)), 0, MONTH(MIN($G$1, DATE(Initialisatie!$C$5,12,31))) - MONTH(MAX($G$2, DATE(Initialisatie!$C$5,1,1))) + 1)) &lt;= 0, IFERROR(VALUE($G181),0)=0),
        AND(MAX(0, IF(MIN($H$1, DATE(Initialisatie!$C$5,12,31)) &lt; MAX($H$2, DATE(Initialisatie!$C$5,1,1)), 0, MONTH(MIN($H$1, DATE(Initialisatie!$C$5,12,31))) - MONTH(MAX($H$2, DATE(Initialisatie!$C$5,1,1))) + 1)) &lt;= 0, IFERROR(VALUE($H181),0)=0)
    ),
    0,
    SUM(
        IFERROR(VALUE($D181),0) * MAX(0, IF(MIN($D$1, DATE(Initialisatie!$C$5,12,31)) &lt; MAX($D$2, DATE(Initialisatie!$C$5,1,1)), 0, MONTH(MIN($D$1, DATE(Initialisatie!$C$5,12,31))) - MONTH(MAX($D$2, DATE(Initialisatie!$C$5,1,1))) + 1)),
        IFERROR(VALUE($E181),0) * MAX(0, IF(MIN($E$1, DATE(Initialisatie!$C$5,12,31)) &lt; MAX($E$2, DATE(Initialisatie!$C$5,1,1)), 0, MONTH(MIN($E$1, DATE(Initialisatie!$C$5,12,31))) - MONTH(MAX($E$2, DATE(Initialisatie!$C$5,1,1))) + 1)),
        IFERROR(VALUE($F181),0) * MAX(0, IF(MIN($F$1, DATE(Initialisatie!$C$5,12,31)) &lt; MAX($F$2, DATE(Initialisatie!$C$5,1,1)), 0, MONTH(MIN($F$1, DATE(Initialisatie!$C$5,12,31))) - MONTH(MAX($F$2, DATE(Initialisatie!$C$5,1,1))) + 1)),
        IFERROR(VALUE($G181),0) * MAX(0, IF(MIN($G$1, DATE(Initialisatie!$C$5,12,31)) &lt; MAX($G$2, DATE(Initialisatie!$C$5,1,1)), 0, MONTH(MIN($G$1, DATE(Initialisatie!$C$5,12,31))) - MONTH(MAX($G$2, DATE(Initialisatie!$C$5,1,1))) + 1)),
        IFERROR(VALUE($H181),0) * MAX(0, IF(MIN($H$1, DATE(Initialisatie!$C$5,12,31)) &lt; MAX($H$2, DATE(Initialisatie!$C$5,1,1)), 0, MONTH(MIN($H$1, DATE(Initialisatie!$C$5,12,31))) - MONTH(MAX($H$2, DATE(Initialisatie!$C$5,1,1))) + 1))
    ) / 12
)</f>
        <v>10726.5</v>
      </c>
    </row>
    <row r="182" spans="1:11" x14ac:dyDescent="0.45">
      <c r="A182" s="995"/>
      <c r="B182" s="371">
        <v>12</v>
      </c>
      <c r="C182" s="371" t="s">
        <v>1300</v>
      </c>
      <c r="D182" t="s">
        <v>1298</v>
      </c>
      <c r="E182" t="s">
        <v>1297</v>
      </c>
      <c r="F182" t="s">
        <v>1299</v>
      </c>
      <c r="G182" t="s">
        <v>1299</v>
      </c>
      <c r="H182" t="s">
        <v>1695</v>
      </c>
      <c r="J182">
        <f>IF(
    OR(
        AND(MAX(0, MIN($D$1, DATE(Initialisatie!$C$5,12,31)) - MAX($D$2, DATE(Initialisatie!$C$5,1,1)) + 1) &gt; 0,IFERROR(VALUE($D182),0)=0),
        AND(MAX(0, MIN($E$1, DATE(Initialisatie!$C$5,12,31)) - MAX($E$2, DATE(Initialisatie!$C$5,1,1)) + 1) &gt; 0,IFERROR(VALUE($E182),0)=0),
        AND(MAX(0, MIN($F$1, DATE(Initialisatie!$C$5,12,31)) - MAX($F$2, DATE(Initialisatie!$C$5,1,1)) + 1) &gt; 0,IFERROR(VALUE($F182),0)=0),
        AND(MAX(0, MIN($G$1, DATE(Initialisatie!$C$5,12,31)) - MAX($G$2, DATE(Initialisatie!$C$5,1,1)) + 1) &gt; 0,IFERROR(VALUE($G182),0)=0),
        AND(MAX(0, MIN($H$1, DATE(Initialisatie!$C$5,12,31)) - MAX($H$2, DATE(Initialisatie!$C$5,1,1)) + 1) &gt; 0,IFERROR(VALUE($H182),0)=0)
    ),
    0,
    SUM(
        IFERROR(VALUE($D182),0) * MAX(0, MIN($D$1, DATE(Initialisatie!$C$5,12,31)) - MAX($D$2, DATE(Initialisatie!$C$5,1,1)) + 1),
        IFERROR(VALUE($E182),0) * MAX(0, MIN($E$1, DATE(Initialisatie!$C$5,12,31)) - MAX($E$2, DATE(Initialisatie!$C$5,1,1)) + 1),
        IFERROR(VALUE($F182),0) * MAX(0, MIN($F$1, DATE(Initialisatie!$C$5,12,31)) - MAX($F$2, DATE(Initialisatie!$C$5,1,1)) + 1),
        IFERROR(VALUE($G182),0) * MAX(0, MIN($G$1, DATE(Initialisatie!$C$5,12,31)) - MAX($G$2, DATE(Initialisatie!$C$5,1,1)) + 1),
        IFERROR(VALUE($H182),0) * MAX(0, MIN($H$1, DATE(Initialisatie!$C$5,12,31)) - MAX($H$2, DATE(Initialisatie!$C$5,1,1)) + 1)
    ) / (DATE(Initialisatie!$C$5,12,31) - DATE(Initialisatie!$C$5,1,1) + 1)
)</f>
        <v>10854.819178082193</v>
      </c>
      <c r="K182">
        <f>IF(
    OR(
        AND(MAX(0, IF(MIN($D$1, DATE(Initialisatie!$C$5,12,31)) &lt; MAX($D$2, DATE(Initialisatie!$C$5,1,1)), 0, MONTH(MIN($D$1, DATE(Initialisatie!$C$5,12,31))) - MONTH(MAX($D$2, DATE(Initialisatie!$C$5,1,1))) + 1)) &lt;= 0, IFERROR(VALUE($D182),0)=0),
        AND(MAX(0, IF(MIN($E$1, DATE(Initialisatie!$C$5,12,31)) &lt; MAX($E$2, DATE(Initialisatie!$C$5,1,1)), 0, MONTH(MIN($E$1, DATE(Initialisatie!$C$5,12,31))) - MONTH(MAX($E$2, DATE(Initialisatie!$C$5,1,1))) + 1)) &lt;= 0, IFERROR(VALUE($E182),0)=0),
        AND(MAX(0, IF(MIN($F$1, DATE(Initialisatie!$C$5,12,31)) &lt; MAX($F$2, DATE(Initialisatie!$C$5,1,1)), 0, MONTH(MIN($F$1, DATE(Initialisatie!$C$5,12,31))) - MONTH(MAX($F$2, DATE(Initialisatie!$C$5,1,1))) + 1)) &lt;= 0, IFERROR(VALUE($F182),0)=0),
        AND(MAX(0, IF(MIN($G$1, DATE(Initialisatie!$C$5,12,31)) &lt; MAX($G$2, DATE(Initialisatie!$C$5,1,1)), 0, MONTH(MIN($G$1, DATE(Initialisatie!$C$5,12,31))) - MONTH(MAX($G$2, DATE(Initialisatie!$C$5,1,1))) + 1)) &lt;= 0, IFERROR(VALUE($G182),0)=0),
        AND(MAX(0, IF(MIN($H$1, DATE(Initialisatie!$C$5,12,31)) &lt; MAX($H$2, DATE(Initialisatie!$C$5,1,1)), 0, MONTH(MIN($H$1, DATE(Initialisatie!$C$5,12,31))) - MONTH(MAX($H$2, DATE(Initialisatie!$C$5,1,1))) + 1)) &lt;= 0, IFERROR(VALUE($H182),0)=0)
    ),
    0,
    SUM(
        IFERROR(VALUE($D182),0) * MAX(0, IF(MIN($D$1, DATE(Initialisatie!$C$5,12,31)) &lt; MAX($D$2, DATE(Initialisatie!$C$5,1,1)), 0, MONTH(MIN($D$1, DATE(Initialisatie!$C$5,12,31))) - MONTH(MAX($D$2, DATE(Initialisatie!$C$5,1,1))) + 1)),
        IFERROR(VALUE($E182),0) * MAX(0, IF(MIN($E$1, DATE(Initialisatie!$C$5,12,31)) &lt; MAX($E$2, DATE(Initialisatie!$C$5,1,1)), 0, MONTH(MIN($E$1, DATE(Initialisatie!$C$5,12,31))) - MONTH(MAX($E$2, DATE(Initialisatie!$C$5,1,1))) + 1)),
        IFERROR(VALUE($F182),0) * MAX(0, IF(MIN($F$1, DATE(Initialisatie!$C$5,12,31)) &lt; MAX($F$2, DATE(Initialisatie!$C$5,1,1)), 0, MONTH(MIN($F$1, DATE(Initialisatie!$C$5,12,31))) - MONTH(MAX($F$2, DATE(Initialisatie!$C$5,1,1))) + 1)),
        IFERROR(VALUE($G182),0) * MAX(0, IF(MIN($G$1, DATE(Initialisatie!$C$5,12,31)) &lt; MAX($G$2, DATE(Initialisatie!$C$5,1,1)), 0, MONTH(MIN($G$1, DATE(Initialisatie!$C$5,12,31))) - MONTH(MAX($G$2, DATE(Initialisatie!$C$5,1,1))) + 1)),
        IFERROR(VALUE($H182),0) * MAX(0, IF(MIN($H$1, DATE(Initialisatie!$C$5,12,31)) &lt; MAX($H$2, DATE(Initialisatie!$C$5,1,1)), 0, MONTH(MIN($H$1, DATE(Initialisatie!$C$5,12,31))) - MONTH(MAX($H$2, DATE(Initialisatie!$C$5,1,1))) + 1))
    ) / 12
)</f>
        <v>10853.5</v>
      </c>
    </row>
    <row r="183" spans="1:11" x14ac:dyDescent="0.45">
      <c r="A183" s="995"/>
      <c r="B183" s="371">
        <v>13</v>
      </c>
      <c r="C183" s="371" t="s">
        <v>1296</v>
      </c>
      <c r="D183" t="s">
        <v>1294</v>
      </c>
      <c r="E183" t="s">
        <v>1293</v>
      </c>
      <c r="F183" t="s">
        <v>1295</v>
      </c>
      <c r="G183" t="s">
        <v>1295</v>
      </c>
      <c r="H183" t="s">
        <v>1696</v>
      </c>
      <c r="J183">
        <f>IF(
    OR(
        AND(MAX(0, MIN($D$1, DATE(Initialisatie!$C$5,12,31)) - MAX($D$2, DATE(Initialisatie!$C$5,1,1)) + 1) &gt; 0,IFERROR(VALUE($D183),0)=0),
        AND(MAX(0, MIN($E$1, DATE(Initialisatie!$C$5,12,31)) - MAX($E$2, DATE(Initialisatie!$C$5,1,1)) + 1) &gt; 0,IFERROR(VALUE($E183),0)=0),
        AND(MAX(0, MIN($F$1, DATE(Initialisatie!$C$5,12,31)) - MAX($F$2, DATE(Initialisatie!$C$5,1,1)) + 1) &gt; 0,IFERROR(VALUE($F183),0)=0),
        AND(MAX(0, MIN($G$1, DATE(Initialisatie!$C$5,12,31)) - MAX($G$2, DATE(Initialisatie!$C$5,1,1)) + 1) &gt; 0,IFERROR(VALUE($G183),0)=0),
        AND(MAX(0, MIN($H$1, DATE(Initialisatie!$C$5,12,31)) - MAX($H$2, DATE(Initialisatie!$C$5,1,1)) + 1) &gt; 0,IFERROR(VALUE($H183),0)=0)
    ),
    0,
    SUM(
        IFERROR(VALUE($D183),0) * MAX(0, MIN($D$1, DATE(Initialisatie!$C$5,12,31)) - MAX($D$2, DATE(Initialisatie!$C$5,1,1)) + 1),
        IFERROR(VALUE($E183),0) * MAX(0, MIN($E$1, DATE(Initialisatie!$C$5,12,31)) - MAX($E$2, DATE(Initialisatie!$C$5,1,1)) + 1),
        IFERROR(VALUE($F183),0) * MAX(0, MIN($F$1, DATE(Initialisatie!$C$5,12,31)) - MAX($F$2, DATE(Initialisatie!$C$5,1,1)) + 1),
        IFERROR(VALUE($G183),0) * MAX(0, MIN($G$1, DATE(Initialisatie!$C$5,12,31)) - MAX($G$2, DATE(Initialisatie!$C$5,1,1)) + 1),
        IFERROR(VALUE($H183),0) * MAX(0, MIN($H$1, DATE(Initialisatie!$C$5,12,31)) - MAX($H$2, DATE(Initialisatie!$C$5,1,1)) + 1)
    ) / (DATE(Initialisatie!$C$5,12,31) - DATE(Initialisatie!$C$5,1,1) + 1)
)</f>
        <v>10983.331506849316</v>
      </c>
      <c r="K183">
        <f>IF(
    OR(
        AND(MAX(0, IF(MIN($D$1, DATE(Initialisatie!$C$5,12,31)) &lt; MAX($D$2, DATE(Initialisatie!$C$5,1,1)), 0, MONTH(MIN($D$1, DATE(Initialisatie!$C$5,12,31))) - MONTH(MAX($D$2, DATE(Initialisatie!$C$5,1,1))) + 1)) &lt;= 0, IFERROR(VALUE($D183),0)=0),
        AND(MAX(0, IF(MIN($E$1, DATE(Initialisatie!$C$5,12,31)) &lt; MAX($E$2, DATE(Initialisatie!$C$5,1,1)), 0, MONTH(MIN($E$1, DATE(Initialisatie!$C$5,12,31))) - MONTH(MAX($E$2, DATE(Initialisatie!$C$5,1,1))) + 1)) &lt;= 0, IFERROR(VALUE($E183),0)=0),
        AND(MAX(0, IF(MIN($F$1, DATE(Initialisatie!$C$5,12,31)) &lt; MAX($F$2, DATE(Initialisatie!$C$5,1,1)), 0, MONTH(MIN($F$1, DATE(Initialisatie!$C$5,12,31))) - MONTH(MAX($F$2, DATE(Initialisatie!$C$5,1,1))) + 1)) &lt;= 0, IFERROR(VALUE($F183),0)=0),
        AND(MAX(0, IF(MIN($G$1, DATE(Initialisatie!$C$5,12,31)) &lt; MAX($G$2, DATE(Initialisatie!$C$5,1,1)), 0, MONTH(MIN($G$1, DATE(Initialisatie!$C$5,12,31))) - MONTH(MAX($G$2, DATE(Initialisatie!$C$5,1,1))) + 1)) &lt;= 0, IFERROR(VALUE($G183),0)=0),
        AND(MAX(0, IF(MIN($H$1, DATE(Initialisatie!$C$5,12,31)) &lt; MAX($H$2, DATE(Initialisatie!$C$5,1,1)), 0, MONTH(MIN($H$1, DATE(Initialisatie!$C$5,12,31))) - MONTH(MAX($H$2, DATE(Initialisatie!$C$5,1,1))) + 1)) &lt;= 0, IFERROR(VALUE($H183),0)=0)
    ),
    0,
    SUM(
        IFERROR(VALUE($D183),0) * MAX(0, IF(MIN($D$1, DATE(Initialisatie!$C$5,12,31)) &lt; MAX($D$2, DATE(Initialisatie!$C$5,1,1)), 0, MONTH(MIN($D$1, DATE(Initialisatie!$C$5,12,31))) - MONTH(MAX($D$2, DATE(Initialisatie!$C$5,1,1))) + 1)),
        IFERROR(VALUE($E183),0) * MAX(0, IF(MIN($E$1, DATE(Initialisatie!$C$5,12,31)) &lt; MAX($E$2, DATE(Initialisatie!$C$5,1,1)), 0, MONTH(MIN($E$1, DATE(Initialisatie!$C$5,12,31))) - MONTH(MAX($E$2, DATE(Initialisatie!$C$5,1,1))) + 1)),
        IFERROR(VALUE($F183),0) * MAX(0, IF(MIN($F$1, DATE(Initialisatie!$C$5,12,31)) &lt; MAX($F$2, DATE(Initialisatie!$C$5,1,1)), 0, MONTH(MIN($F$1, DATE(Initialisatie!$C$5,12,31))) - MONTH(MAX($F$2, DATE(Initialisatie!$C$5,1,1))) + 1)),
        IFERROR(VALUE($G183),0) * MAX(0, IF(MIN($G$1, DATE(Initialisatie!$C$5,12,31)) &lt; MAX($G$2, DATE(Initialisatie!$C$5,1,1)), 0, MONTH(MIN($G$1, DATE(Initialisatie!$C$5,12,31))) - MONTH(MAX($G$2, DATE(Initialisatie!$C$5,1,1))) + 1)),
        IFERROR(VALUE($H183),0) * MAX(0, IF(MIN($H$1, DATE(Initialisatie!$C$5,12,31)) &lt; MAX($H$2, DATE(Initialisatie!$C$5,1,1)), 0, MONTH(MIN($H$1, DATE(Initialisatie!$C$5,12,31))) - MONTH(MAX($H$2, DATE(Initialisatie!$C$5,1,1))) + 1))
    ) / 12
)</f>
        <v>10982</v>
      </c>
    </row>
    <row r="184" spans="1:11" x14ac:dyDescent="0.45">
      <c r="A184" s="995"/>
      <c r="B184" s="371">
        <v>14</v>
      </c>
      <c r="C184" s="371" t="s">
        <v>1292</v>
      </c>
      <c r="D184" t="s">
        <v>1290</v>
      </c>
      <c r="E184" t="s">
        <v>1289</v>
      </c>
      <c r="F184" t="s">
        <v>1291</v>
      </c>
      <c r="G184" t="s">
        <v>1291</v>
      </c>
      <c r="H184" t="s">
        <v>1697</v>
      </c>
      <c r="J184">
        <f>IF(
    OR(
        AND(MAX(0, MIN($D$1, DATE(Initialisatie!$C$5,12,31)) - MAX($D$2, DATE(Initialisatie!$C$5,1,1)) + 1) &gt; 0,IFERROR(VALUE($D184),0)=0),
        AND(MAX(0, MIN($E$1, DATE(Initialisatie!$C$5,12,31)) - MAX($E$2, DATE(Initialisatie!$C$5,1,1)) + 1) &gt; 0,IFERROR(VALUE($E184),0)=0),
        AND(MAX(0, MIN($F$1, DATE(Initialisatie!$C$5,12,31)) - MAX($F$2, DATE(Initialisatie!$C$5,1,1)) + 1) &gt; 0,IFERROR(VALUE($F184),0)=0),
        AND(MAX(0, MIN($G$1, DATE(Initialisatie!$C$5,12,31)) - MAX($G$2, DATE(Initialisatie!$C$5,1,1)) + 1) &gt; 0,IFERROR(VALUE($G184),0)=0),
        AND(MAX(0, MIN($H$1, DATE(Initialisatie!$C$5,12,31)) - MAX($H$2, DATE(Initialisatie!$C$5,1,1)) + 1) &gt; 0,IFERROR(VALUE($H184),0)=0)
    ),
    0,
    SUM(
        IFERROR(VALUE($D184),0) * MAX(0, MIN($D$1, DATE(Initialisatie!$C$5,12,31)) - MAX($D$2, DATE(Initialisatie!$C$5,1,1)) + 1),
        IFERROR(VALUE($E184),0) * MAX(0, MIN($E$1, DATE(Initialisatie!$C$5,12,31)) - MAX($E$2, DATE(Initialisatie!$C$5,1,1)) + 1),
        IFERROR(VALUE($F184),0) * MAX(0, MIN($F$1, DATE(Initialisatie!$C$5,12,31)) - MAX($F$2, DATE(Initialisatie!$C$5,1,1)) + 1),
        IFERROR(VALUE($G184),0) * MAX(0, MIN($G$1, DATE(Initialisatie!$C$5,12,31)) - MAX($G$2, DATE(Initialisatie!$C$5,1,1)) + 1),
        IFERROR(VALUE($H184),0) * MAX(0, MIN($H$1, DATE(Initialisatie!$C$5,12,31)) - MAX($H$2, DATE(Initialisatie!$C$5,1,1)) + 1)
    ) / (DATE(Initialisatie!$C$5,12,31) - DATE(Initialisatie!$C$5,1,1) + 1)
)</f>
        <v>11110.852054794521</v>
      </c>
      <c r="K184">
        <f>IF(
    OR(
        AND(MAX(0, IF(MIN($D$1, DATE(Initialisatie!$C$5,12,31)) &lt; MAX($D$2, DATE(Initialisatie!$C$5,1,1)), 0, MONTH(MIN($D$1, DATE(Initialisatie!$C$5,12,31))) - MONTH(MAX($D$2, DATE(Initialisatie!$C$5,1,1))) + 1)) &lt;= 0, IFERROR(VALUE($D184),0)=0),
        AND(MAX(0, IF(MIN($E$1, DATE(Initialisatie!$C$5,12,31)) &lt; MAX($E$2, DATE(Initialisatie!$C$5,1,1)), 0, MONTH(MIN($E$1, DATE(Initialisatie!$C$5,12,31))) - MONTH(MAX($E$2, DATE(Initialisatie!$C$5,1,1))) + 1)) &lt;= 0, IFERROR(VALUE($E184),0)=0),
        AND(MAX(0, IF(MIN($F$1, DATE(Initialisatie!$C$5,12,31)) &lt; MAX($F$2, DATE(Initialisatie!$C$5,1,1)), 0, MONTH(MIN($F$1, DATE(Initialisatie!$C$5,12,31))) - MONTH(MAX($F$2, DATE(Initialisatie!$C$5,1,1))) + 1)) &lt;= 0, IFERROR(VALUE($F184),0)=0),
        AND(MAX(0, IF(MIN($G$1, DATE(Initialisatie!$C$5,12,31)) &lt; MAX($G$2, DATE(Initialisatie!$C$5,1,1)), 0, MONTH(MIN($G$1, DATE(Initialisatie!$C$5,12,31))) - MONTH(MAX($G$2, DATE(Initialisatie!$C$5,1,1))) + 1)) &lt;= 0, IFERROR(VALUE($G184),0)=0),
        AND(MAX(0, IF(MIN($H$1, DATE(Initialisatie!$C$5,12,31)) &lt; MAX($H$2, DATE(Initialisatie!$C$5,1,1)), 0, MONTH(MIN($H$1, DATE(Initialisatie!$C$5,12,31))) - MONTH(MAX($H$2, DATE(Initialisatie!$C$5,1,1))) + 1)) &lt;= 0, IFERROR(VALUE($H184),0)=0)
    ),
    0,
    SUM(
        IFERROR(VALUE($D184),0) * MAX(0, IF(MIN($D$1, DATE(Initialisatie!$C$5,12,31)) &lt; MAX($D$2, DATE(Initialisatie!$C$5,1,1)), 0, MONTH(MIN($D$1, DATE(Initialisatie!$C$5,12,31))) - MONTH(MAX($D$2, DATE(Initialisatie!$C$5,1,1))) + 1)),
        IFERROR(VALUE($E184),0) * MAX(0, IF(MIN($E$1, DATE(Initialisatie!$C$5,12,31)) &lt; MAX($E$2, DATE(Initialisatie!$C$5,1,1)), 0, MONTH(MIN($E$1, DATE(Initialisatie!$C$5,12,31))) - MONTH(MAX($E$2, DATE(Initialisatie!$C$5,1,1))) + 1)),
        IFERROR(VALUE($F184),0) * MAX(0, IF(MIN($F$1, DATE(Initialisatie!$C$5,12,31)) &lt; MAX($F$2, DATE(Initialisatie!$C$5,1,1)), 0, MONTH(MIN($F$1, DATE(Initialisatie!$C$5,12,31))) - MONTH(MAX($F$2, DATE(Initialisatie!$C$5,1,1))) + 1)),
        IFERROR(VALUE($G184),0) * MAX(0, IF(MIN($G$1, DATE(Initialisatie!$C$5,12,31)) &lt; MAX($G$2, DATE(Initialisatie!$C$5,1,1)), 0, MONTH(MIN($G$1, DATE(Initialisatie!$C$5,12,31))) - MONTH(MAX($G$2, DATE(Initialisatie!$C$5,1,1))) + 1)),
        IFERROR(VALUE($H184),0) * MAX(0, IF(MIN($H$1, DATE(Initialisatie!$C$5,12,31)) &lt; MAX($H$2, DATE(Initialisatie!$C$5,1,1)), 0, MONTH(MIN($H$1, DATE(Initialisatie!$C$5,12,31))) - MONTH(MAX($H$2, DATE(Initialisatie!$C$5,1,1))) + 1))
    ) / 12
)</f>
        <v>11109.5</v>
      </c>
    </row>
    <row r="185" spans="1:11" x14ac:dyDescent="0.45">
      <c r="A185" s="991" t="s">
        <v>2182</v>
      </c>
      <c r="B185" s="35">
        <v>0</v>
      </c>
      <c r="C185" s="359"/>
      <c r="D185">
        <v>6290</v>
      </c>
      <c r="E185">
        <v>6353</v>
      </c>
      <c r="F185">
        <v>6496</v>
      </c>
      <c r="G185">
        <v>6496</v>
      </c>
      <c r="H185">
        <v>6691</v>
      </c>
      <c r="J185">
        <f>IF(
    OR(
        AND(MAX(0, MIN($D$1, DATE(Initialisatie!$C$5,12,31)) - MAX($D$2, DATE(Initialisatie!$C$5,1,1)) + 1) &gt; 0,IFERROR(VALUE($D185),0)=0),
        AND(MAX(0, MIN($E$1, DATE(Initialisatie!$C$5,12,31)) - MAX($E$2, DATE(Initialisatie!$C$5,1,1)) + 1) &gt; 0,IFERROR(VALUE($E185),0)=0),
        AND(MAX(0, MIN($F$1, DATE(Initialisatie!$C$5,12,31)) - MAX($F$2, DATE(Initialisatie!$C$5,1,1)) + 1) &gt; 0,IFERROR(VALUE($F185),0)=0),
        AND(MAX(0, MIN($G$1, DATE(Initialisatie!$C$5,12,31)) - MAX($G$2, DATE(Initialisatie!$C$5,1,1)) + 1) &gt; 0,IFERROR(VALUE($G185),0)=0),
        AND(MAX(0, MIN($H$1, DATE(Initialisatie!$C$5,12,31)) - MAX($H$2, DATE(Initialisatie!$C$5,1,1)) + 1) &gt; 0,IFERROR(VALUE($H185),0)=0)
    ),
    0,
    SUM(
        IFERROR(VALUE($D185),0) * MAX(0, MIN($D$1, DATE(Initialisatie!$C$5,12,31)) - MAX($D$2, DATE(Initialisatie!$C$5,1,1)) + 1),
        IFERROR(VALUE($E185),0) * MAX(0, MIN($E$1, DATE(Initialisatie!$C$5,12,31)) - MAX($E$2, DATE(Initialisatie!$C$5,1,1)) + 1),
        IFERROR(VALUE($F185),0) * MAX(0, MIN($F$1, DATE(Initialisatie!$C$5,12,31)) - MAX($F$2, DATE(Initialisatie!$C$5,1,1)) + 1),
        IFERROR(VALUE($G185),0) * MAX(0, MIN($G$1, DATE(Initialisatie!$C$5,12,31)) - MAX($G$2, DATE(Initialisatie!$C$5,1,1)) + 1),
        IFERROR(VALUE($H185),0) * MAX(0, MIN($H$1, DATE(Initialisatie!$C$5,12,31)) - MAX($H$2, DATE(Initialisatie!$C$5,1,1)) + 1)
    ) / (DATE(Initialisatie!$C$5,12,31) - DATE(Initialisatie!$C$5,1,1) + 1)
)</f>
        <v>6594.3013698630139</v>
      </c>
      <c r="K185">
        <f>IF(
    OR(
        AND(MAX(0, IF(MIN($D$1, DATE(Initialisatie!$C$5,12,31)) &lt; MAX($D$2, DATE(Initialisatie!$C$5,1,1)), 0, MONTH(MIN($D$1, DATE(Initialisatie!$C$5,12,31))) - MONTH(MAX($D$2, DATE(Initialisatie!$C$5,1,1))) + 1)) &lt;= 0, IFERROR(VALUE($D185),0)=0),
        AND(MAX(0, IF(MIN($E$1, DATE(Initialisatie!$C$5,12,31)) &lt; MAX($E$2, DATE(Initialisatie!$C$5,1,1)), 0, MONTH(MIN($E$1, DATE(Initialisatie!$C$5,12,31))) - MONTH(MAX($E$2, DATE(Initialisatie!$C$5,1,1))) + 1)) &lt;= 0, IFERROR(VALUE($E185),0)=0),
        AND(MAX(0, IF(MIN($F$1, DATE(Initialisatie!$C$5,12,31)) &lt; MAX($F$2, DATE(Initialisatie!$C$5,1,1)), 0, MONTH(MIN($F$1, DATE(Initialisatie!$C$5,12,31))) - MONTH(MAX($F$2, DATE(Initialisatie!$C$5,1,1))) + 1)) &lt;= 0, IFERROR(VALUE($F185),0)=0),
        AND(MAX(0, IF(MIN($G$1, DATE(Initialisatie!$C$5,12,31)) &lt; MAX($G$2, DATE(Initialisatie!$C$5,1,1)), 0, MONTH(MIN($G$1, DATE(Initialisatie!$C$5,12,31))) - MONTH(MAX($G$2, DATE(Initialisatie!$C$5,1,1))) + 1)) &lt;= 0, IFERROR(VALUE($G185),0)=0),
        AND(MAX(0, IF(MIN($H$1, DATE(Initialisatie!$C$5,12,31)) &lt; MAX($H$2, DATE(Initialisatie!$C$5,1,1)), 0, MONTH(MIN($H$1, DATE(Initialisatie!$C$5,12,31))) - MONTH(MAX($H$2, DATE(Initialisatie!$C$5,1,1))) + 1)) &lt;= 0, IFERROR(VALUE($H185),0)=0)
    ),
    0,
    SUM(
        IFERROR(VALUE($D185),0) * MAX(0, IF(MIN($D$1, DATE(Initialisatie!$C$5,12,31)) &lt; MAX($D$2, DATE(Initialisatie!$C$5,1,1)), 0, MONTH(MIN($D$1, DATE(Initialisatie!$C$5,12,31))) - MONTH(MAX($D$2, DATE(Initialisatie!$C$5,1,1))) + 1)),
        IFERROR(VALUE($E185),0) * MAX(0, IF(MIN($E$1, DATE(Initialisatie!$C$5,12,31)) &lt; MAX($E$2, DATE(Initialisatie!$C$5,1,1)), 0, MONTH(MIN($E$1, DATE(Initialisatie!$C$5,12,31))) - MONTH(MAX($E$2, DATE(Initialisatie!$C$5,1,1))) + 1)),
        IFERROR(VALUE($F185),0) * MAX(0, IF(MIN($F$1, DATE(Initialisatie!$C$5,12,31)) &lt; MAX($F$2, DATE(Initialisatie!$C$5,1,1)), 0, MONTH(MIN($F$1, DATE(Initialisatie!$C$5,12,31))) - MONTH(MAX($F$2, DATE(Initialisatie!$C$5,1,1))) + 1)),
        IFERROR(VALUE($G185),0) * MAX(0, IF(MIN($G$1, DATE(Initialisatie!$C$5,12,31)) &lt; MAX($G$2, DATE(Initialisatie!$C$5,1,1)), 0, MONTH(MIN($G$1, DATE(Initialisatie!$C$5,12,31))) - MONTH(MAX($G$2, DATE(Initialisatie!$C$5,1,1))) + 1)),
        IFERROR(VALUE($H185),0) * MAX(0, IF(MIN($H$1, DATE(Initialisatie!$C$5,12,31)) &lt; MAX($H$2, DATE(Initialisatie!$C$5,1,1)), 0, MONTH(MIN($H$1, DATE(Initialisatie!$C$5,12,31))) - MONTH(MAX($H$2, DATE(Initialisatie!$C$5,1,1))) + 1))
    ) / 12
)</f>
        <v>6593.5</v>
      </c>
    </row>
    <row r="186" spans="1:11" x14ac:dyDescent="0.45">
      <c r="A186" s="991"/>
      <c r="B186" s="35">
        <v>1</v>
      </c>
      <c r="C186" s="359"/>
      <c r="D186">
        <v>7027</v>
      </c>
      <c r="E186">
        <v>7097</v>
      </c>
      <c r="F186">
        <v>7257</v>
      </c>
      <c r="G186">
        <v>7257</v>
      </c>
      <c r="H186">
        <v>7475</v>
      </c>
      <c r="J186">
        <f>IF(
    OR(
        AND(MAX(0, MIN($D$1, DATE(Initialisatie!$C$5,12,31)) - MAX($D$2, DATE(Initialisatie!$C$5,1,1)) + 1) &gt; 0,IFERROR(VALUE($D186),0)=0),
        AND(MAX(0, MIN($E$1, DATE(Initialisatie!$C$5,12,31)) - MAX($E$2, DATE(Initialisatie!$C$5,1,1)) + 1) &gt; 0,IFERROR(VALUE($E186),0)=0),
        AND(MAX(0, MIN($F$1, DATE(Initialisatie!$C$5,12,31)) - MAX($F$2, DATE(Initialisatie!$C$5,1,1)) + 1) &gt; 0,IFERROR(VALUE($F186),0)=0),
        AND(MAX(0, MIN($G$1, DATE(Initialisatie!$C$5,12,31)) - MAX($G$2, DATE(Initialisatie!$C$5,1,1)) + 1) &gt; 0,IFERROR(VALUE($G186),0)=0),
        AND(MAX(0, MIN($H$1, DATE(Initialisatie!$C$5,12,31)) - MAX($H$2, DATE(Initialisatie!$C$5,1,1)) + 1) &gt; 0,IFERROR(VALUE($H186),0)=0)
    ),
    0,
    SUM(
        IFERROR(VALUE($D186),0) * MAX(0, MIN($D$1, DATE(Initialisatie!$C$5,12,31)) - MAX($D$2, DATE(Initialisatie!$C$5,1,1)) + 1),
        IFERROR(VALUE($E186),0) * MAX(0, MIN($E$1, DATE(Initialisatie!$C$5,12,31)) - MAX($E$2, DATE(Initialisatie!$C$5,1,1)) + 1),
        IFERROR(VALUE($F186),0) * MAX(0, MIN($F$1, DATE(Initialisatie!$C$5,12,31)) - MAX($F$2, DATE(Initialisatie!$C$5,1,1)) + 1),
        IFERROR(VALUE($G186),0) * MAX(0, MIN($G$1, DATE(Initialisatie!$C$5,12,31)) - MAX($G$2, DATE(Initialisatie!$C$5,1,1)) + 1),
        IFERROR(VALUE($H186),0) * MAX(0, MIN($H$1, DATE(Initialisatie!$C$5,12,31)) - MAX($H$2, DATE(Initialisatie!$C$5,1,1)) + 1)
    ) / (DATE(Initialisatie!$C$5,12,31) - DATE(Initialisatie!$C$5,1,1) + 1)
)</f>
        <v>7366.8958904109586</v>
      </c>
      <c r="K186">
        <f>IF(
    OR(
        AND(MAX(0, IF(MIN($D$1, DATE(Initialisatie!$C$5,12,31)) &lt; MAX($D$2, DATE(Initialisatie!$C$5,1,1)), 0, MONTH(MIN($D$1, DATE(Initialisatie!$C$5,12,31))) - MONTH(MAX($D$2, DATE(Initialisatie!$C$5,1,1))) + 1)) &lt;= 0, IFERROR(VALUE($D186),0)=0),
        AND(MAX(0, IF(MIN($E$1, DATE(Initialisatie!$C$5,12,31)) &lt; MAX($E$2, DATE(Initialisatie!$C$5,1,1)), 0, MONTH(MIN($E$1, DATE(Initialisatie!$C$5,12,31))) - MONTH(MAX($E$2, DATE(Initialisatie!$C$5,1,1))) + 1)) &lt;= 0, IFERROR(VALUE($E186),0)=0),
        AND(MAX(0, IF(MIN($F$1, DATE(Initialisatie!$C$5,12,31)) &lt; MAX($F$2, DATE(Initialisatie!$C$5,1,1)), 0, MONTH(MIN($F$1, DATE(Initialisatie!$C$5,12,31))) - MONTH(MAX($F$2, DATE(Initialisatie!$C$5,1,1))) + 1)) &lt;= 0, IFERROR(VALUE($F186),0)=0),
        AND(MAX(0, IF(MIN($G$1, DATE(Initialisatie!$C$5,12,31)) &lt; MAX($G$2, DATE(Initialisatie!$C$5,1,1)), 0, MONTH(MIN($G$1, DATE(Initialisatie!$C$5,12,31))) - MONTH(MAX($G$2, DATE(Initialisatie!$C$5,1,1))) + 1)) &lt;= 0, IFERROR(VALUE($G186),0)=0),
        AND(MAX(0, IF(MIN($H$1, DATE(Initialisatie!$C$5,12,31)) &lt; MAX($H$2, DATE(Initialisatie!$C$5,1,1)), 0, MONTH(MIN($H$1, DATE(Initialisatie!$C$5,12,31))) - MONTH(MAX($H$2, DATE(Initialisatie!$C$5,1,1))) + 1)) &lt;= 0, IFERROR(VALUE($H186),0)=0)
    ),
    0,
    SUM(
        IFERROR(VALUE($D186),0) * MAX(0, IF(MIN($D$1, DATE(Initialisatie!$C$5,12,31)) &lt; MAX($D$2, DATE(Initialisatie!$C$5,1,1)), 0, MONTH(MIN($D$1, DATE(Initialisatie!$C$5,12,31))) - MONTH(MAX($D$2, DATE(Initialisatie!$C$5,1,1))) + 1)),
        IFERROR(VALUE($E186),0) * MAX(0, IF(MIN($E$1, DATE(Initialisatie!$C$5,12,31)) &lt; MAX($E$2, DATE(Initialisatie!$C$5,1,1)), 0, MONTH(MIN($E$1, DATE(Initialisatie!$C$5,12,31))) - MONTH(MAX($E$2, DATE(Initialisatie!$C$5,1,1))) + 1)),
        IFERROR(VALUE($F186),0) * MAX(0, IF(MIN($F$1, DATE(Initialisatie!$C$5,12,31)) &lt; MAX($F$2, DATE(Initialisatie!$C$5,1,1)), 0, MONTH(MIN($F$1, DATE(Initialisatie!$C$5,12,31))) - MONTH(MAX($F$2, DATE(Initialisatie!$C$5,1,1))) + 1)),
        IFERROR(VALUE($G186),0) * MAX(0, IF(MIN($G$1, DATE(Initialisatie!$C$5,12,31)) &lt; MAX($G$2, DATE(Initialisatie!$C$5,1,1)), 0, MONTH(MIN($G$1, DATE(Initialisatie!$C$5,12,31))) - MONTH(MAX($G$2, DATE(Initialisatie!$C$5,1,1))) + 1)),
        IFERROR(VALUE($H186),0) * MAX(0, IF(MIN($H$1, DATE(Initialisatie!$C$5,12,31)) &lt; MAX($H$2, DATE(Initialisatie!$C$5,1,1)), 0, MONTH(MIN($H$1, DATE(Initialisatie!$C$5,12,31))) - MONTH(MAX($H$2, DATE(Initialisatie!$C$5,1,1))) + 1))
    ) / 12
)</f>
        <v>7366</v>
      </c>
    </row>
    <row r="187" spans="1:11" x14ac:dyDescent="0.45">
      <c r="A187" s="991"/>
      <c r="B187" s="35">
        <v>2</v>
      </c>
      <c r="C187" s="359"/>
      <c r="D187">
        <v>7744</v>
      </c>
      <c r="E187">
        <v>7822</v>
      </c>
      <c r="F187">
        <v>7998</v>
      </c>
      <c r="G187">
        <v>7998</v>
      </c>
      <c r="H187">
        <v>8238</v>
      </c>
      <c r="J187">
        <f>IF(
    OR(
        AND(MAX(0, MIN($D$1, DATE(Initialisatie!$C$5,12,31)) - MAX($D$2, DATE(Initialisatie!$C$5,1,1)) + 1) &gt; 0,IFERROR(VALUE($D187),0)=0),
        AND(MAX(0, MIN($E$1, DATE(Initialisatie!$C$5,12,31)) - MAX($E$2, DATE(Initialisatie!$C$5,1,1)) + 1) &gt; 0,IFERROR(VALUE($E187),0)=0),
        AND(MAX(0, MIN($F$1, DATE(Initialisatie!$C$5,12,31)) - MAX($F$2, DATE(Initialisatie!$C$5,1,1)) + 1) &gt; 0,IFERROR(VALUE($F187),0)=0),
        AND(MAX(0, MIN($G$1, DATE(Initialisatie!$C$5,12,31)) - MAX($G$2, DATE(Initialisatie!$C$5,1,1)) + 1) &gt; 0,IFERROR(VALUE($G187),0)=0),
        AND(MAX(0, MIN($H$1, DATE(Initialisatie!$C$5,12,31)) - MAX($H$2, DATE(Initialisatie!$C$5,1,1)) + 1) &gt; 0,IFERROR(VALUE($H187),0)=0)
    ),
    0,
    SUM(
        IFERROR(VALUE($D187),0) * MAX(0, MIN($D$1, DATE(Initialisatie!$C$5,12,31)) - MAX($D$2, DATE(Initialisatie!$C$5,1,1)) + 1),
        IFERROR(VALUE($E187),0) * MAX(0, MIN($E$1, DATE(Initialisatie!$C$5,12,31)) - MAX($E$2, DATE(Initialisatie!$C$5,1,1)) + 1),
        IFERROR(VALUE($F187),0) * MAX(0, MIN($F$1, DATE(Initialisatie!$C$5,12,31)) - MAX($F$2, DATE(Initialisatie!$C$5,1,1)) + 1),
        IFERROR(VALUE($G187),0) * MAX(0, MIN($G$1, DATE(Initialisatie!$C$5,12,31)) - MAX($G$2, DATE(Initialisatie!$C$5,1,1)) + 1),
        IFERROR(VALUE($H187),0) * MAX(0, MIN($H$1, DATE(Initialisatie!$C$5,12,31)) - MAX($H$2, DATE(Initialisatie!$C$5,1,1)) + 1)
    ) / (DATE(Initialisatie!$C$5,12,31) - DATE(Initialisatie!$C$5,1,1) + 1)
)</f>
        <v>8118.9863013698632</v>
      </c>
      <c r="K187">
        <f>IF(
    OR(
        AND(MAX(0, IF(MIN($D$1, DATE(Initialisatie!$C$5,12,31)) &lt; MAX($D$2, DATE(Initialisatie!$C$5,1,1)), 0, MONTH(MIN($D$1, DATE(Initialisatie!$C$5,12,31))) - MONTH(MAX($D$2, DATE(Initialisatie!$C$5,1,1))) + 1)) &lt;= 0, IFERROR(VALUE($D187),0)=0),
        AND(MAX(0, IF(MIN($E$1, DATE(Initialisatie!$C$5,12,31)) &lt; MAX($E$2, DATE(Initialisatie!$C$5,1,1)), 0, MONTH(MIN($E$1, DATE(Initialisatie!$C$5,12,31))) - MONTH(MAX($E$2, DATE(Initialisatie!$C$5,1,1))) + 1)) &lt;= 0, IFERROR(VALUE($E187),0)=0),
        AND(MAX(0, IF(MIN($F$1, DATE(Initialisatie!$C$5,12,31)) &lt; MAX($F$2, DATE(Initialisatie!$C$5,1,1)), 0, MONTH(MIN($F$1, DATE(Initialisatie!$C$5,12,31))) - MONTH(MAX($F$2, DATE(Initialisatie!$C$5,1,1))) + 1)) &lt;= 0, IFERROR(VALUE($F187),0)=0),
        AND(MAX(0, IF(MIN($G$1, DATE(Initialisatie!$C$5,12,31)) &lt; MAX($G$2, DATE(Initialisatie!$C$5,1,1)), 0, MONTH(MIN($G$1, DATE(Initialisatie!$C$5,12,31))) - MONTH(MAX($G$2, DATE(Initialisatie!$C$5,1,1))) + 1)) &lt;= 0, IFERROR(VALUE($G187),0)=0),
        AND(MAX(0, IF(MIN($H$1, DATE(Initialisatie!$C$5,12,31)) &lt; MAX($H$2, DATE(Initialisatie!$C$5,1,1)), 0, MONTH(MIN($H$1, DATE(Initialisatie!$C$5,12,31))) - MONTH(MAX($H$2, DATE(Initialisatie!$C$5,1,1))) + 1)) &lt;= 0, IFERROR(VALUE($H187),0)=0)
    ),
    0,
    SUM(
        IFERROR(VALUE($D187),0) * MAX(0, IF(MIN($D$1, DATE(Initialisatie!$C$5,12,31)) &lt; MAX($D$2, DATE(Initialisatie!$C$5,1,1)), 0, MONTH(MIN($D$1, DATE(Initialisatie!$C$5,12,31))) - MONTH(MAX($D$2, DATE(Initialisatie!$C$5,1,1))) + 1)),
        IFERROR(VALUE($E187),0) * MAX(0, IF(MIN($E$1, DATE(Initialisatie!$C$5,12,31)) &lt; MAX($E$2, DATE(Initialisatie!$C$5,1,1)), 0, MONTH(MIN($E$1, DATE(Initialisatie!$C$5,12,31))) - MONTH(MAX($E$2, DATE(Initialisatie!$C$5,1,1))) + 1)),
        IFERROR(VALUE($F187),0) * MAX(0, IF(MIN($F$1, DATE(Initialisatie!$C$5,12,31)) &lt; MAX($F$2, DATE(Initialisatie!$C$5,1,1)), 0, MONTH(MIN($F$1, DATE(Initialisatie!$C$5,12,31))) - MONTH(MAX($F$2, DATE(Initialisatie!$C$5,1,1))) + 1)),
        IFERROR(VALUE($G187),0) * MAX(0, IF(MIN($G$1, DATE(Initialisatie!$C$5,12,31)) &lt; MAX($G$2, DATE(Initialisatie!$C$5,1,1)), 0, MONTH(MIN($G$1, DATE(Initialisatie!$C$5,12,31))) - MONTH(MAX($G$2, DATE(Initialisatie!$C$5,1,1))) + 1)),
        IFERROR(VALUE($H187),0) * MAX(0, IF(MIN($H$1, DATE(Initialisatie!$C$5,12,31)) &lt; MAX($H$2, DATE(Initialisatie!$C$5,1,1)), 0, MONTH(MIN($H$1, DATE(Initialisatie!$C$5,12,31))) - MONTH(MAX($H$2, DATE(Initialisatie!$C$5,1,1))) + 1))
    ) / 12
)</f>
        <v>8118</v>
      </c>
    </row>
    <row r="188" spans="1:11" x14ac:dyDescent="0.45">
      <c r="A188" s="991"/>
      <c r="B188" s="35">
        <v>3</v>
      </c>
      <c r="C188" s="359"/>
      <c r="D188">
        <v>8461</v>
      </c>
      <c r="E188">
        <v>8545</v>
      </c>
      <c r="F188">
        <v>8738</v>
      </c>
      <c r="G188">
        <v>8738</v>
      </c>
      <c r="H188">
        <v>9000</v>
      </c>
      <c r="J188">
        <f>IF(
    OR(
        AND(MAX(0, MIN($D$1, DATE(Initialisatie!$C$5,12,31)) - MAX($D$2, DATE(Initialisatie!$C$5,1,1)) + 1) &gt; 0,IFERROR(VALUE($D188),0)=0),
        AND(MAX(0, MIN($E$1, DATE(Initialisatie!$C$5,12,31)) - MAX($E$2, DATE(Initialisatie!$C$5,1,1)) + 1) &gt; 0,IFERROR(VALUE($E188),0)=0),
        AND(MAX(0, MIN($F$1, DATE(Initialisatie!$C$5,12,31)) - MAX($F$2, DATE(Initialisatie!$C$5,1,1)) + 1) &gt; 0,IFERROR(VALUE($F188),0)=0),
        AND(MAX(0, MIN($G$1, DATE(Initialisatie!$C$5,12,31)) - MAX($G$2, DATE(Initialisatie!$C$5,1,1)) + 1) &gt; 0,IFERROR(VALUE($G188),0)=0),
        AND(MAX(0, MIN($H$1, DATE(Initialisatie!$C$5,12,31)) - MAX($H$2, DATE(Initialisatie!$C$5,1,1)) + 1) &gt; 0,IFERROR(VALUE($H188),0)=0)
    ),
    0,
    SUM(
        IFERROR(VALUE($D188),0) * MAX(0, MIN($D$1, DATE(Initialisatie!$C$5,12,31)) - MAX($D$2, DATE(Initialisatie!$C$5,1,1)) + 1),
        IFERROR(VALUE($E188),0) * MAX(0, MIN($E$1, DATE(Initialisatie!$C$5,12,31)) - MAX($E$2, DATE(Initialisatie!$C$5,1,1)) + 1),
        IFERROR(VALUE($F188),0) * MAX(0, MIN($F$1, DATE(Initialisatie!$C$5,12,31)) - MAX($F$2, DATE(Initialisatie!$C$5,1,1)) + 1),
        IFERROR(VALUE($G188),0) * MAX(0, MIN($G$1, DATE(Initialisatie!$C$5,12,31)) - MAX($G$2, DATE(Initialisatie!$C$5,1,1)) + 1),
        IFERROR(VALUE($H188),0) * MAX(0, MIN($H$1, DATE(Initialisatie!$C$5,12,31)) - MAX($H$2, DATE(Initialisatie!$C$5,1,1)) + 1)
    ) / (DATE(Initialisatie!$C$5,12,31) - DATE(Initialisatie!$C$5,1,1) + 1)
)</f>
        <v>8870.0767123287678</v>
      </c>
      <c r="K188">
        <f>IF(
    OR(
        AND(MAX(0, IF(MIN($D$1, DATE(Initialisatie!$C$5,12,31)) &lt; MAX($D$2, DATE(Initialisatie!$C$5,1,1)), 0, MONTH(MIN($D$1, DATE(Initialisatie!$C$5,12,31))) - MONTH(MAX($D$2, DATE(Initialisatie!$C$5,1,1))) + 1)) &lt;= 0, IFERROR(VALUE($D188),0)=0),
        AND(MAX(0, IF(MIN($E$1, DATE(Initialisatie!$C$5,12,31)) &lt; MAX($E$2, DATE(Initialisatie!$C$5,1,1)), 0, MONTH(MIN($E$1, DATE(Initialisatie!$C$5,12,31))) - MONTH(MAX($E$2, DATE(Initialisatie!$C$5,1,1))) + 1)) &lt;= 0, IFERROR(VALUE($E188),0)=0),
        AND(MAX(0, IF(MIN($F$1, DATE(Initialisatie!$C$5,12,31)) &lt; MAX($F$2, DATE(Initialisatie!$C$5,1,1)), 0, MONTH(MIN($F$1, DATE(Initialisatie!$C$5,12,31))) - MONTH(MAX($F$2, DATE(Initialisatie!$C$5,1,1))) + 1)) &lt;= 0, IFERROR(VALUE($F188),0)=0),
        AND(MAX(0, IF(MIN($G$1, DATE(Initialisatie!$C$5,12,31)) &lt; MAX($G$2, DATE(Initialisatie!$C$5,1,1)), 0, MONTH(MIN($G$1, DATE(Initialisatie!$C$5,12,31))) - MONTH(MAX($G$2, DATE(Initialisatie!$C$5,1,1))) + 1)) &lt;= 0, IFERROR(VALUE($G188),0)=0),
        AND(MAX(0, IF(MIN($H$1, DATE(Initialisatie!$C$5,12,31)) &lt; MAX($H$2, DATE(Initialisatie!$C$5,1,1)), 0, MONTH(MIN($H$1, DATE(Initialisatie!$C$5,12,31))) - MONTH(MAX($H$2, DATE(Initialisatie!$C$5,1,1))) + 1)) &lt;= 0, IFERROR(VALUE($H188),0)=0)
    ),
    0,
    SUM(
        IFERROR(VALUE($D188),0) * MAX(0, IF(MIN($D$1, DATE(Initialisatie!$C$5,12,31)) &lt; MAX($D$2, DATE(Initialisatie!$C$5,1,1)), 0, MONTH(MIN($D$1, DATE(Initialisatie!$C$5,12,31))) - MONTH(MAX($D$2, DATE(Initialisatie!$C$5,1,1))) + 1)),
        IFERROR(VALUE($E188),0) * MAX(0, IF(MIN($E$1, DATE(Initialisatie!$C$5,12,31)) &lt; MAX($E$2, DATE(Initialisatie!$C$5,1,1)), 0, MONTH(MIN($E$1, DATE(Initialisatie!$C$5,12,31))) - MONTH(MAX($E$2, DATE(Initialisatie!$C$5,1,1))) + 1)),
        IFERROR(VALUE($F188),0) * MAX(0, IF(MIN($F$1, DATE(Initialisatie!$C$5,12,31)) &lt; MAX($F$2, DATE(Initialisatie!$C$5,1,1)), 0, MONTH(MIN($F$1, DATE(Initialisatie!$C$5,12,31))) - MONTH(MAX($F$2, DATE(Initialisatie!$C$5,1,1))) + 1)),
        IFERROR(VALUE($G188),0) * MAX(0, IF(MIN($G$1, DATE(Initialisatie!$C$5,12,31)) &lt; MAX($G$2, DATE(Initialisatie!$C$5,1,1)), 0, MONTH(MIN($G$1, DATE(Initialisatie!$C$5,12,31))) - MONTH(MAX($G$2, DATE(Initialisatie!$C$5,1,1))) + 1)),
        IFERROR(VALUE($H188),0) * MAX(0, IF(MIN($H$1, DATE(Initialisatie!$C$5,12,31)) &lt; MAX($H$2, DATE(Initialisatie!$C$5,1,1)), 0, MONTH(MIN($H$1, DATE(Initialisatie!$C$5,12,31))) - MONTH(MAX($H$2, DATE(Initialisatie!$C$5,1,1))) + 1))
    ) / 12
)</f>
        <v>8869</v>
      </c>
    </row>
    <row r="189" spans="1:11" x14ac:dyDescent="0.45">
      <c r="A189" s="991"/>
      <c r="B189" s="35">
        <v>4</v>
      </c>
      <c r="C189" s="359"/>
      <c r="D189">
        <v>9181</v>
      </c>
      <c r="E189">
        <v>9273</v>
      </c>
      <c r="F189">
        <v>9481</v>
      </c>
      <c r="G189">
        <v>9481</v>
      </c>
      <c r="H189">
        <v>9766</v>
      </c>
      <c r="J189">
        <f>IF(
    OR(
        AND(MAX(0, MIN($D$1, DATE(Initialisatie!$C$5,12,31)) - MAX($D$2, DATE(Initialisatie!$C$5,1,1)) + 1) &gt; 0,IFERROR(VALUE($D189),0)=0),
        AND(MAX(0, MIN($E$1, DATE(Initialisatie!$C$5,12,31)) - MAX($E$2, DATE(Initialisatie!$C$5,1,1)) + 1) &gt; 0,IFERROR(VALUE($E189),0)=0),
        AND(MAX(0, MIN($F$1, DATE(Initialisatie!$C$5,12,31)) - MAX($F$2, DATE(Initialisatie!$C$5,1,1)) + 1) &gt; 0,IFERROR(VALUE($F189),0)=0),
        AND(MAX(0, MIN($G$1, DATE(Initialisatie!$C$5,12,31)) - MAX($G$2, DATE(Initialisatie!$C$5,1,1)) + 1) &gt; 0,IFERROR(VALUE($G189),0)=0),
        AND(MAX(0, MIN($H$1, DATE(Initialisatie!$C$5,12,31)) - MAX($H$2, DATE(Initialisatie!$C$5,1,1)) + 1) &gt; 0,IFERROR(VALUE($H189),0)=0)
    ),
    0,
    SUM(
        IFERROR(VALUE($D189),0) * MAX(0, MIN($D$1, DATE(Initialisatie!$C$5,12,31)) - MAX($D$2, DATE(Initialisatie!$C$5,1,1)) + 1),
        IFERROR(VALUE($E189),0) * MAX(0, MIN($E$1, DATE(Initialisatie!$C$5,12,31)) - MAX($E$2, DATE(Initialisatie!$C$5,1,1)) + 1),
        IFERROR(VALUE($F189),0) * MAX(0, MIN($F$1, DATE(Initialisatie!$C$5,12,31)) - MAX($F$2, DATE(Initialisatie!$C$5,1,1)) + 1),
        IFERROR(VALUE($G189),0) * MAX(0, MIN($G$1, DATE(Initialisatie!$C$5,12,31)) - MAX($G$2, DATE(Initialisatie!$C$5,1,1)) + 1),
        IFERROR(VALUE($H189),0) * MAX(0, MIN($H$1, DATE(Initialisatie!$C$5,12,31)) - MAX($H$2, DATE(Initialisatie!$C$5,1,1)) + 1)
    ) / (DATE(Initialisatie!$C$5,12,31) - DATE(Initialisatie!$C$5,1,1) + 1)
)</f>
        <v>9624.6712328767117</v>
      </c>
      <c r="K189">
        <f>IF(
    OR(
        AND(MAX(0, IF(MIN($D$1, DATE(Initialisatie!$C$5,12,31)) &lt; MAX($D$2, DATE(Initialisatie!$C$5,1,1)), 0, MONTH(MIN($D$1, DATE(Initialisatie!$C$5,12,31))) - MONTH(MAX($D$2, DATE(Initialisatie!$C$5,1,1))) + 1)) &lt;= 0, IFERROR(VALUE($D189),0)=0),
        AND(MAX(0, IF(MIN($E$1, DATE(Initialisatie!$C$5,12,31)) &lt; MAX($E$2, DATE(Initialisatie!$C$5,1,1)), 0, MONTH(MIN($E$1, DATE(Initialisatie!$C$5,12,31))) - MONTH(MAX($E$2, DATE(Initialisatie!$C$5,1,1))) + 1)) &lt;= 0, IFERROR(VALUE($E189),0)=0),
        AND(MAX(0, IF(MIN($F$1, DATE(Initialisatie!$C$5,12,31)) &lt; MAX($F$2, DATE(Initialisatie!$C$5,1,1)), 0, MONTH(MIN($F$1, DATE(Initialisatie!$C$5,12,31))) - MONTH(MAX($F$2, DATE(Initialisatie!$C$5,1,1))) + 1)) &lt;= 0, IFERROR(VALUE($F189),0)=0),
        AND(MAX(0, IF(MIN($G$1, DATE(Initialisatie!$C$5,12,31)) &lt; MAX($G$2, DATE(Initialisatie!$C$5,1,1)), 0, MONTH(MIN($G$1, DATE(Initialisatie!$C$5,12,31))) - MONTH(MAX($G$2, DATE(Initialisatie!$C$5,1,1))) + 1)) &lt;= 0, IFERROR(VALUE($G189),0)=0),
        AND(MAX(0, IF(MIN($H$1, DATE(Initialisatie!$C$5,12,31)) &lt; MAX($H$2, DATE(Initialisatie!$C$5,1,1)), 0, MONTH(MIN($H$1, DATE(Initialisatie!$C$5,12,31))) - MONTH(MAX($H$2, DATE(Initialisatie!$C$5,1,1))) + 1)) &lt;= 0, IFERROR(VALUE($H189),0)=0)
    ),
    0,
    SUM(
        IFERROR(VALUE($D189),0) * MAX(0, IF(MIN($D$1, DATE(Initialisatie!$C$5,12,31)) &lt; MAX($D$2, DATE(Initialisatie!$C$5,1,1)), 0, MONTH(MIN($D$1, DATE(Initialisatie!$C$5,12,31))) - MONTH(MAX($D$2, DATE(Initialisatie!$C$5,1,1))) + 1)),
        IFERROR(VALUE($E189),0) * MAX(0, IF(MIN($E$1, DATE(Initialisatie!$C$5,12,31)) &lt; MAX($E$2, DATE(Initialisatie!$C$5,1,1)), 0, MONTH(MIN($E$1, DATE(Initialisatie!$C$5,12,31))) - MONTH(MAX($E$2, DATE(Initialisatie!$C$5,1,1))) + 1)),
        IFERROR(VALUE($F189),0) * MAX(0, IF(MIN($F$1, DATE(Initialisatie!$C$5,12,31)) &lt; MAX($F$2, DATE(Initialisatie!$C$5,1,1)), 0, MONTH(MIN($F$1, DATE(Initialisatie!$C$5,12,31))) - MONTH(MAX($F$2, DATE(Initialisatie!$C$5,1,1))) + 1)),
        IFERROR(VALUE($G189),0) * MAX(0, IF(MIN($G$1, DATE(Initialisatie!$C$5,12,31)) &lt; MAX($G$2, DATE(Initialisatie!$C$5,1,1)), 0, MONTH(MIN($G$1, DATE(Initialisatie!$C$5,12,31))) - MONTH(MAX($G$2, DATE(Initialisatie!$C$5,1,1))) + 1)),
        IFERROR(VALUE($H189),0) * MAX(0, IF(MIN($H$1, DATE(Initialisatie!$C$5,12,31)) &lt; MAX($H$2, DATE(Initialisatie!$C$5,1,1)), 0, MONTH(MIN($H$1, DATE(Initialisatie!$C$5,12,31))) - MONTH(MAX($H$2, DATE(Initialisatie!$C$5,1,1))) + 1))
    ) / 12
)</f>
        <v>9623.5</v>
      </c>
    </row>
    <row r="190" spans="1:11" x14ac:dyDescent="0.45">
      <c r="A190" s="991"/>
      <c r="B190" s="35">
        <v>5</v>
      </c>
      <c r="C190" s="359"/>
      <c r="D190">
        <v>9898</v>
      </c>
      <c r="E190">
        <v>9997</v>
      </c>
      <c r="F190">
        <v>10222</v>
      </c>
      <c r="G190">
        <v>10222</v>
      </c>
      <c r="H190">
        <v>10529</v>
      </c>
      <c r="J190">
        <f>IF(
    OR(
        AND(MAX(0, MIN($D$1, DATE(Initialisatie!$C$5,12,31)) - MAX($D$2, DATE(Initialisatie!$C$5,1,1)) + 1) &gt; 0,IFERROR(VALUE($D190),0)=0),
        AND(MAX(0, MIN($E$1, DATE(Initialisatie!$C$5,12,31)) - MAX($E$2, DATE(Initialisatie!$C$5,1,1)) + 1) &gt; 0,IFERROR(VALUE($E190),0)=0),
        AND(MAX(0, MIN($F$1, DATE(Initialisatie!$C$5,12,31)) - MAX($F$2, DATE(Initialisatie!$C$5,1,1)) + 1) &gt; 0,IFERROR(VALUE($F190),0)=0),
        AND(MAX(0, MIN($G$1, DATE(Initialisatie!$C$5,12,31)) - MAX($G$2, DATE(Initialisatie!$C$5,1,1)) + 1) &gt; 0,IFERROR(VALUE($G190),0)=0),
        AND(MAX(0, MIN($H$1, DATE(Initialisatie!$C$5,12,31)) - MAX($H$2, DATE(Initialisatie!$C$5,1,1)) + 1) &gt; 0,IFERROR(VALUE($H190),0)=0)
    ),
    0,
    SUM(
        IFERROR(VALUE($D190),0) * MAX(0, MIN($D$1, DATE(Initialisatie!$C$5,12,31)) - MAX($D$2, DATE(Initialisatie!$C$5,1,1)) + 1),
        IFERROR(VALUE($E190),0) * MAX(0, MIN($E$1, DATE(Initialisatie!$C$5,12,31)) - MAX($E$2, DATE(Initialisatie!$C$5,1,1)) + 1),
        IFERROR(VALUE($F190),0) * MAX(0, MIN($F$1, DATE(Initialisatie!$C$5,12,31)) - MAX($F$2, DATE(Initialisatie!$C$5,1,1)) + 1),
        IFERROR(VALUE($G190),0) * MAX(0, MIN($G$1, DATE(Initialisatie!$C$5,12,31)) - MAX($G$2, DATE(Initialisatie!$C$5,1,1)) + 1),
        IFERROR(VALUE($H190),0) * MAX(0, MIN($H$1, DATE(Initialisatie!$C$5,12,31)) - MAX($H$2, DATE(Initialisatie!$C$5,1,1)) + 1)
    ) / (DATE(Initialisatie!$C$5,12,31) - DATE(Initialisatie!$C$5,1,1) + 1)
)</f>
        <v>10376.761643835616</v>
      </c>
      <c r="K190">
        <f>IF(
    OR(
        AND(MAX(0, IF(MIN($D$1, DATE(Initialisatie!$C$5,12,31)) &lt; MAX($D$2, DATE(Initialisatie!$C$5,1,1)), 0, MONTH(MIN($D$1, DATE(Initialisatie!$C$5,12,31))) - MONTH(MAX($D$2, DATE(Initialisatie!$C$5,1,1))) + 1)) &lt;= 0, IFERROR(VALUE($D190),0)=0),
        AND(MAX(0, IF(MIN($E$1, DATE(Initialisatie!$C$5,12,31)) &lt; MAX($E$2, DATE(Initialisatie!$C$5,1,1)), 0, MONTH(MIN($E$1, DATE(Initialisatie!$C$5,12,31))) - MONTH(MAX($E$2, DATE(Initialisatie!$C$5,1,1))) + 1)) &lt;= 0, IFERROR(VALUE($E190),0)=0),
        AND(MAX(0, IF(MIN($F$1, DATE(Initialisatie!$C$5,12,31)) &lt; MAX($F$2, DATE(Initialisatie!$C$5,1,1)), 0, MONTH(MIN($F$1, DATE(Initialisatie!$C$5,12,31))) - MONTH(MAX($F$2, DATE(Initialisatie!$C$5,1,1))) + 1)) &lt;= 0, IFERROR(VALUE($F190),0)=0),
        AND(MAX(0, IF(MIN($G$1, DATE(Initialisatie!$C$5,12,31)) &lt; MAX($G$2, DATE(Initialisatie!$C$5,1,1)), 0, MONTH(MIN($G$1, DATE(Initialisatie!$C$5,12,31))) - MONTH(MAX($G$2, DATE(Initialisatie!$C$5,1,1))) + 1)) &lt;= 0, IFERROR(VALUE($G190),0)=0),
        AND(MAX(0, IF(MIN($H$1, DATE(Initialisatie!$C$5,12,31)) &lt; MAX($H$2, DATE(Initialisatie!$C$5,1,1)), 0, MONTH(MIN($H$1, DATE(Initialisatie!$C$5,12,31))) - MONTH(MAX($H$2, DATE(Initialisatie!$C$5,1,1))) + 1)) &lt;= 0, IFERROR(VALUE($H190),0)=0)
    ),
    0,
    SUM(
        IFERROR(VALUE($D190),0) * MAX(0, IF(MIN($D$1, DATE(Initialisatie!$C$5,12,31)) &lt; MAX($D$2, DATE(Initialisatie!$C$5,1,1)), 0, MONTH(MIN($D$1, DATE(Initialisatie!$C$5,12,31))) - MONTH(MAX($D$2, DATE(Initialisatie!$C$5,1,1))) + 1)),
        IFERROR(VALUE($E190),0) * MAX(0, IF(MIN($E$1, DATE(Initialisatie!$C$5,12,31)) &lt; MAX($E$2, DATE(Initialisatie!$C$5,1,1)), 0, MONTH(MIN($E$1, DATE(Initialisatie!$C$5,12,31))) - MONTH(MAX($E$2, DATE(Initialisatie!$C$5,1,1))) + 1)),
        IFERROR(VALUE($F190),0) * MAX(0, IF(MIN($F$1, DATE(Initialisatie!$C$5,12,31)) &lt; MAX($F$2, DATE(Initialisatie!$C$5,1,1)), 0, MONTH(MIN($F$1, DATE(Initialisatie!$C$5,12,31))) - MONTH(MAX($F$2, DATE(Initialisatie!$C$5,1,1))) + 1)),
        IFERROR(VALUE($G190),0) * MAX(0, IF(MIN($G$1, DATE(Initialisatie!$C$5,12,31)) &lt; MAX($G$2, DATE(Initialisatie!$C$5,1,1)), 0, MONTH(MIN($G$1, DATE(Initialisatie!$C$5,12,31))) - MONTH(MAX($G$2, DATE(Initialisatie!$C$5,1,1))) + 1)),
        IFERROR(VALUE($H190),0) * MAX(0, IF(MIN($H$1, DATE(Initialisatie!$C$5,12,31)) &lt; MAX($H$2, DATE(Initialisatie!$C$5,1,1)), 0, MONTH(MIN($H$1, DATE(Initialisatie!$C$5,12,31))) - MONTH(MAX($H$2, DATE(Initialisatie!$C$5,1,1))) + 1))
    ) / 12
)</f>
        <v>10375.5</v>
      </c>
    </row>
    <row r="191" spans="1:11" x14ac:dyDescent="0.45">
      <c r="A191" s="992"/>
      <c r="B191" s="35">
        <v>6</v>
      </c>
      <c r="C191" s="359"/>
      <c r="D191">
        <v>10616</v>
      </c>
      <c r="E191">
        <v>10722</v>
      </c>
      <c r="F191">
        <v>10963</v>
      </c>
      <c r="G191">
        <v>10963</v>
      </c>
      <c r="H191">
        <v>11292</v>
      </c>
      <c r="J191">
        <f>IF(
    OR(
        AND(MAX(0, MIN($D$1, DATE(Initialisatie!$C$5,12,31)) - MAX($D$2, DATE(Initialisatie!$C$5,1,1)) + 1) &gt; 0,IFERROR(VALUE($D191),0)=0),
        AND(MAX(0, MIN($E$1, DATE(Initialisatie!$C$5,12,31)) - MAX($E$2, DATE(Initialisatie!$C$5,1,1)) + 1) &gt; 0,IFERROR(VALUE($E191),0)=0),
        AND(MAX(0, MIN($F$1, DATE(Initialisatie!$C$5,12,31)) - MAX($F$2, DATE(Initialisatie!$C$5,1,1)) + 1) &gt; 0,IFERROR(VALUE($F191),0)=0),
        AND(MAX(0, MIN($G$1, DATE(Initialisatie!$C$5,12,31)) - MAX($G$2, DATE(Initialisatie!$C$5,1,1)) + 1) &gt; 0,IFERROR(VALUE($G191),0)=0),
        AND(MAX(0, MIN($H$1, DATE(Initialisatie!$C$5,12,31)) - MAX($H$2, DATE(Initialisatie!$C$5,1,1)) + 1) &gt; 0,IFERROR(VALUE($H191),0)=0)
    ),
    0,
    SUM(
        IFERROR(VALUE($D191),0) * MAX(0, MIN($D$1, DATE(Initialisatie!$C$5,12,31)) - MAX($D$2, DATE(Initialisatie!$C$5,1,1)) + 1),
        IFERROR(VALUE($E191),0) * MAX(0, MIN($E$1, DATE(Initialisatie!$C$5,12,31)) - MAX($E$2, DATE(Initialisatie!$C$5,1,1)) + 1),
        IFERROR(VALUE($F191),0) * MAX(0, MIN($F$1, DATE(Initialisatie!$C$5,12,31)) - MAX($F$2, DATE(Initialisatie!$C$5,1,1)) + 1),
        IFERROR(VALUE($G191),0) * MAX(0, MIN($G$1, DATE(Initialisatie!$C$5,12,31)) - MAX($G$2, DATE(Initialisatie!$C$5,1,1)) + 1),
        IFERROR(VALUE($H191),0) * MAX(0, MIN($H$1, DATE(Initialisatie!$C$5,12,31)) - MAX($H$2, DATE(Initialisatie!$C$5,1,1)) + 1)
    ) / (DATE(Initialisatie!$C$5,12,31) - DATE(Initialisatie!$C$5,1,1) + 1)
)</f>
        <v>11128.852054794521</v>
      </c>
      <c r="K191">
        <f>IF(
    OR(
        AND(MAX(0, IF(MIN($D$1, DATE(Initialisatie!$C$5,12,31)) &lt; MAX($D$2, DATE(Initialisatie!$C$5,1,1)), 0, MONTH(MIN($D$1, DATE(Initialisatie!$C$5,12,31))) - MONTH(MAX($D$2, DATE(Initialisatie!$C$5,1,1))) + 1)) &lt;= 0, IFERROR(VALUE($D191),0)=0),
        AND(MAX(0, IF(MIN($E$1, DATE(Initialisatie!$C$5,12,31)) &lt; MAX($E$2, DATE(Initialisatie!$C$5,1,1)), 0, MONTH(MIN($E$1, DATE(Initialisatie!$C$5,12,31))) - MONTH(MAX($E$2, DATE(Initialisatie!$C$5,1,1))) + 1)) &lt;= 0, IFERROR(VALUE($E191),0)=0),
        AND(MAX(0, IF(MIN($F$1, DATE(Initialisatie!$C$5,12,31)) &lt; MAX($F$2, DATE(Initialisatie!$C$5,1,1)), 0, MONTH(MIN($F$1, DATE(Initialisatie!$C$5,12,31))) - MONTH(MAX($F$2, DATE(Initialisatie!$C$5,1,1))) + 1)) &lt;= 0, IFERROR(VALUE($F191),0)=0),
        AND(MAX(0, IF(MIN($G$1, DATE(Initialisatie!$C$5,12,31)) &lt; MAX($G$2, DATE(Initialisatie!$C$5,1,1)), 0, MONTH(MIN($G$1, DATE(Initialisatie!$C$5,12,31))) - MONTH(MAX($G$2, DATE(Initialisatie!$C$5,1,1))) + 1)) &lt;= 0, IFERROR(VALUE($G191),0)=0),
        AND(MAX(0, IF(MIN($H$1, DATE(Initialisatie!$C$5,12,31)) &lt; MAX($H$2, DATE(Initialisatie!$C$5,1,1)), 0, MONTH(MIN($H$1, DATE(Initialisatie!$C$5,12,31))) - MONTH(MAX($H$2, DATE(Initialisatie!$C$5,1,1))) + 1)) &lt;= 0, IFERROR(VALUE($H191),0)=0)
    ),
    0,
    SUM(
        IFERROR(VALUE($D191),0) * MAX(0, IF(MIN($D$1, DATE(Initialisatie!$C$5,12,31)) &lt; MAX($D$2, DATE(Initialisatie!$C$5,1,1)), 0, MONTH(MIN($D$1, DATE(Initialisatie!$C$5,12,31))) - MONTH(MAX($D$2, DATE(Initialisatie!$C$5,1,1))) + 1)),
        IFERROR(VALUE($E191),0) * MAX(0, IF(MIN($E$1, DATE(Initialisatie!$C$5,12,31)) &lt; MAX($E$2, DATE(Initialisatie!$C$5,1,1)), 0, MONTH(MIN($E$1, DATE(Initialisatie!$C$5,12,31))) - MONTH(MAX($E$2, DATE(Initialisatie!$C$5,1,1))) + 1)),
        IFERROR(VALUE($F191),0) * MAX(0, IF(MIN($F$1, DATE(Initialisatie!$C$5,12,31)) &lt; MAX($F$2, DATE(Initialisatie!$C$5,1,1)), 0, MONTH(MIN($F$1, DATE(Initialisatie!$C$5,12,31))) - MONTH(MAX($F$2, DATE(Initialisatie!$C$5,1,1))) + 1)),
        IFERROR(VALUE($G191),0) * MAX(0, IF(MIN($G$1, DATE(Initialisatie!$C$5,12,31)) &lt; MAX($G$2, DATE(Initialisatie!$C$5,1,1)), 0, MONTH(MIN($G$1, DATE(Initialisatie!$C$5,12,31))) - MONTH(MAX($G$2, DATE(Initialisatie!$C$5,1,1))) + 1)),
        IFERROR(VALUE($H191),0) * MAX(0, IF(MIN($H$1, DATE(Initialisatie!$C$5,12,31)) &lt; MAX($H$2, DATE(Initialisatie!$C$5,1,1)), 0, MONTH(MIN($H$1, DATE(Initialisatie!$C$5,12,31))) - MONTH(MAX($H$2, DATE(Initialisatie!$C$5,1,1))) + 1))
    ) / 12
)</f>
        <v>11127.5</v>
      </c>
    </row>
    <row r="192" spans="1:11" x14ac:dyDescent="0.45">
      <c r="A192" s="128"/>
    </row>
  </sheetData>
  <mergeCells count="16">
    <mergeCell ref="A185:A191"/>
    <mergeCell ref="A57:A67"/>
    <mergeCell ref="A5:A13"/>
    <mergeCell ref="A14:A23"/>
    <mergeCell ref="A24:A34"/>
    <mergeCell ref="A35:A45"/>
    <mergeCell ref="A46:A56"/>
    <mergeCell ref="A142:A154"/>
    <mergeCell ref="A155:A169"/>
    <mergeCell ref="A170:A184"/>
    <mergeCell ref="A68:A80"/>
    <mergeCell ref="A81:A93"/>
    <mergeCell ref="A94:A105"/>
    <mergeCell ref="A106:A117"/>
    <mergeCell ref="A118:A128"/>
    <mergeCell ref="A129:A141"/>
  </mergeCells>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sheetPr>
  <dimension ref="A1:E256"/>
  <sheetViews>
    <sheetView topLeftCell="A232" workbookViewId="0">
      <selection activeCell="A257" sqref="A257"/>
    </sheetView>
  </sheetViews>
  <sheetFormatPr defaultRowHeight="14.25" x14ac:dyDescent="0.45"/>
  <cols>
    <col min="1" max="1" width="14.06640625" style="382" customWidth="1"/>
    <col min="2" max="2" width="14.06640625" style="48" customWidth="1"/>
    <col min="3" max="3" width="17" bestFit="1" customWidth="1"/>
    <col min="4" max="5" width="13.59765625" bestFit="1" customWidth="1"/>
  </cols>
  <sheetData>
    <row r="1" spans="1:5" x14ac:dyDescent="0.45">
      <c r="A1" s="35" t="s">
        <v>28</v>
      </c>
      <c r="B1" s="380" t="s">
        <v>1702</v>
      </c>
      <c r="C1" s="381" t="s">
        <v>1613</v>
      </c>
      <c r="D1" s="35" t="s">
        <v>1278</v>
      </c>
      <c r="E1" s="35" t="s">
        <v>1279</v>
      </c>
    </row>
    <row r="2" spans="1:5" x14ac:dyDescent="0.45">
      <c r="A2" s="996">
        <v>1</v>
      </c>
      <c r="B2" s="380">
        <v>0</v>
      </c>
      <c r="C2" t="s">
        <v>1703</v>
      </c>
      <c r="D2" t="s">
        <v>1704</v>
      </c>
      <c r="E2" t="s">
        <v>1705</v>
      </c>
    </row>
    <row r="3" spans="1:5" x14ac:dyDescent="0.45">
      <c r="A3" s="997"/>
      <c r="B3" s="380">
        <v>1</v>
      </c>
      <c r="C3" t="s">
        <v>1706</v>
      </c>
      <c r="D3" t="s">
        <v>1707</v>
      </c>
      <c r="E3" t="s">
        <v>1708</v>
      </c>
    </row>
    <row r="4" spans="1:5" x14ac:dyDescent="0.45">
      <c r="A4" s="997"/>
      <c r="B4" s="380">
        <v>2</v>
      </c>
      <c r="C4" t="s">
        <v>1709</v>
      </c>
      <c r="D4" t="s">
        <v>1710</v>
      </c>
      <c r="E4" t="s">
        <v>1711</v>
      </c>
    </row>
    <row r="5" spans="1:5" x14ac:dyDescent="0.45">
      <c r="A5" s="997"/>
      <c r="B5" s="380">
        <v>3</v>
      </c>
      <c r="C5" t="s">
        <v>1712</v>
      </c>
      <c r="D5" t="s">
        <v>1713</v>
      </c>
      <c r="E5" t="s">
        <v>1714</v>
      </c>
    </row>
    <row r="6" spans="1:5" x14ac:dyDescent="0.45">
      <c r="A6" s="997"/>
      <c r="B6" s="380">
        <v>4</v>
      </c>
      <c r="C6" t="s">
        <v>1715</v>
      </c>
      <c r="D6" t="s">
        <v>1716</v>
      </c>
      <c r="E6" t="s">
        <v>1717</v>
      </c>
    </row>
    <row r="7" spans="1:5" x14ac:dyDescent="0.45">
      <c r="A7" s="997"/>
      <c r="B7" s="380">
        <v>5</v>
      </c>
      <c r="C7" t="s">
        <v>1718</v>
      </c>
      <c r="D7" t="s">
        <v>1719</v>
      </c>
      <c r="E7" t="s">
        <v>1720</v>
      </c>
    </row>
    <row r="8" spans="1:5" x14ac:dyDescent="0.45">
      <c r="A8" s="997"/>
      <c r="B8" s="380">
        <v>6</v>
      </c>
      <c r="C8" t="s">
        <v>1721</v>
      </c>
      <c r="D8" t="s">
        <v>1722</v>
      </c>
      <c r="E8" t="s">
        <v>1723</v>
      </c>
    </row>
    <row r="9" spans="1:5" x14ac:dyDescent="0.45">
      <c r="A9" s="997"/>
      <c r="B9" s="380">
        <v>7</v>
      </c>
      <c r="C9" t="s">
        <v>1724</v>
      </c>
      <c r="D9" t="s">
        <v>1725</v>
      </c>
      <c r="E9" t="s">
        <v>1726</v>
      </c>
    </row>
    <row r="10" spans="1:5" x14ac:dyDescent="0.45">
      <c r="A10" s="997"/>
      <c r="B10" s="380">
        <v>8</v>
      </c>
      <c r="C10" t="s">
        <v>1727</v>
      </c>
      <c r="D10" t="s">
        <v>1728</v>
      </c>
      <c r="E10" t="s">
        <v>1729</v>
      </c>
    </row>
    <row r="11" spans="1:5" x14ac:dyDescent="0.45">
      <c r="A11" s="997"/>
      <c r="B11" s="380">
        <v>9</v>
      </c>
      <c r="C11" t="s">
        <v>1730</v>
      </c>
      <c r="D11" t="s">
        <v>1731</v>
      </c>
      <c r="E11" t="s">
        <v>1732</v>
      </c>
    </row>
    <row r="12" spans="1:5" x14ac:dyDescent="0.45">
      <c r="A12" s="997"/>
      <c r="B12" s="380">
        <v>10</v>
      </c>
      <c r="C12" t="s">
        <v>1733</v>
      </c>
      <c r="D12" t="s">
        <v>1734</v>
      </c>
      <c r="E12" t="s">
        <v>1735</v>
      </c>
    </row>
    <row r="13" spans="1:5" x14ac:dyDescent="0.45">
      <c r="A13" s="997"/>
      <c r="B13" s="380">
        <v>11</v>
      </c>
      <c r="C13" t="s">
        <v>1736</v>
      </c>
      <c r="D13" t="s">
        <v>1737</v>
      </c>
      <c r="E13" t="s">
        <v>1738</v>
      </c>
    </row>
    <row r="14" spans="1:5" x14ac:dyDescent="0.45">
      <c r="A14" s="997"/>
      <c r="B14" s="380">
        <v>12</v>
      </c>
      <c r="C14" t="s">
        <v>891</v>
      </c>
      <c r="D14" t="s">
        <v>891</v>
      </c>
      <c r="E14" t="s">
        <v>891</v>
      </c>
    </row>
    <row r="15" spans="1:5" x14ac:dyDescent="0.45">
      <c r="A15" s="997"/>
      <c r="B15" s="380">
        <v>13</v>
      </c>
      <c r="C15" t="s">
        <v>891</v>
      </c>
      <c r="D15" t="s">
        <v>891</v>
      </c>
      <c r="E15" t="s">
        <v>891</v>
      </c>
    </row>
    <row r="16" spans="1:5" x14ac:dyDescent="0.45">
      <c r="A16" s="997"/>
      <c r="B16" s="380">
        <v>14</v>
      </c>
      <c r="C16" t="s">
        <v>891</v>
      </c>
      <c r="D16" t="s">
        <v>891</v>
      </c>
      <c r="E16" t="s">
        <v>891</v>
      </c>
    </row>
    <row r="17" spans="1:5" x14ac:dyDescent="0.45">
      <c r="A17" s="997"/>
      <c r="B17" s="380">
        <v>15</v>
      </c>
      <c r="C17" t="s">
        <v>891</v>
      </c>
      <c r="D17" t="s">
        <v>891</v>
      </c>
      <c r="E17" t="s">
        <v>891</v>
      </c>
    </row>
    <row r="18" spans="1:5" x14ac:dyDescent="0.45">
      <c r="A18" s="998"/>
      <c r="B18" s="380" t="s">
        <v>517</v>
      </c>
      <c r="C18" t="s">
        <v>1703</v>
      </c>
      <c r="D18" t="s">
        <v>1704</v>
      </c>
      <c r="E18" t="s">
        <v>1705</v>
      </c>
    </row>
    <row r="19" spans="1:5" x14ac:dyDescent="0.45">
      <c r="A19" s="996">
        <v>2</v>
      </c>
      <c r="B19" s="380">
        <v>0</v>
      </c>
      <c r="C19" t="s">
        <v>1706</v>
      </c>
      <c r="D19" t="s">
        <v>1707</v>
      </c>
      <c r="E19" t="s">
        <v>1708</v>
      </c>
    </row>
    <row r="20" spans="1:5" x14ac:dyDescent="0.45">
      <c r="A20" s="997"/>
      <c r="B20" s="380">
        <v>1</v>
      </c>
      <c r="C20" t="s">
        <v>1709</v>
      </c>
      <c r="D20" t="s">
        <v>1710</v>
      </c>
      <c r="E20" t="s">
        <v>1711</v>
      </c>
    </row>
    <row r="21" spans="1:5" x14ac:dyDescent="0.45">
      <c r="A21" s="997"/>
      <c r="B21" s="380">
        <v>2</v>
      </c>
      <c r="C21" t="s">
        <v>1712</v>
      </c>
      <c r="D21" t="s">
        <v>1713</v>
      </c>
      <c r="E21" t="s">
        <v>1714</v>
      </c>
    </row>
    <row r="22" spans="1:5" x14ac:dyDescent="0.45">
      <c r="A22" s="997"/>
      <c r="B22" s="380">
        <v>3</v>
      </c>
      <c r="C22" t="s">
        <v>1715</v>
      </c>
      <c r="D22" t="s">
        <v>1716</v>
      </c>
      <c r="E22" t="s">
        <v>1717</v>
      </c>
    </row>
    <row r="23" spans="1:5" x14ac:dyDescent="0.45">
      <c r="A23" s="997"/>
      <c r="B23" s="380">
        <v>4</v>
      </c>
      <c r="C23" t="s">
        <v>1718</v>
      </c>
      <c r="D23" t="s">
        <v>1719</v>
      </c>
      <c r="E23" t="s">
        <v>1720</v>
      </c>
    </row>
    <row r="24" spans="1:5" x14ac:dyDescent="0.45">
      <c r="A24" s="997"/>
      <c r="B24" s="380">
        <v>5</v>
      </c>
      <c r="C24" t="s">
        <v>1721</v>
      </c>
      <c r="D24" t="s">
        <v>1722</v>
      </c>
      <c r="E24" t="s">
        <v>1723</v>
      </c>
    </row>
    <row r="25" spans="1:5" x14ac:dyDescent="0.45">
      <c r="A25" s="997"/>
      <c r="B25" s="380">
        <v>6</v>
      </c>
      <c r="C25" t="s">
        <v>1724</v>
      </c>
      <c r="D25" t="s">
        <v>1725</v>
      </c>
      <c r="E25" t="s">
        <v>1726</v>
      </c>
    </row>
    <row r="26" spans="1:5" x14ac:dyDescent="0.45">
      <c r="A26" s="997"/>
      <c r="B26" s="380">
        <v>7</v>
      </c>
      <c r="C26" t="s">
        <v>1727</v>
      </c>
      <c r="D26" t="s">
        <v>1728</v>
      </c>
      <c r="E26" t="s">
        <v>1729</v>
      </c>
    </row>
    <row r="27" spans="1:5" x14ac:dyDescent="0.45">
      <c r="A27" s="997"/>
      <c r="B27" s="380">
        <v>8</v>
      </c>
      <c r="C27" t="s">
        <v>1730</v>
      </c>
      <c r="D27" t="s">
        <v>1731</v>
      </c>
      <c r="E27" t="s">
        <v>1732</v>
      </c>
    </row>
    <row r="28" spans="1:5" x14ac:dyDescent="0.45">
      <c r="A28" s="997"/>
      <c r="B28" s="380">
        <v>9</v>
      </c>
      <c r="C28" t="s">
        <v>1733</v>
      </c>
      <c r="D28" t="s">
        <v>1734</v>
      </c>
      <c r="E28" t="s">
        <v>1735</v>
      </c>
    </row>
    <row r="29" spans="1:5" x14ac:dyDescent="0.45">
      <c r="A29" s="997"/>
      <c r="B29" s="380">
        <v>10</v>
      </c>
      <c r="C29" t="s">
        <v>1736</v>
      </c>
      <c r="D29" t="s">
        <v>1737</v>
      </c>
      <c r="E29" t="s">
        <v>1738</v>
      </c>
    </row>
    <row r="30" spans="1:5" x14ac:dyDescent="0.45">
      <c r="A30" s="997"/>
      <c r="B30" s="380">
        <v>11</v>
      </c>
      <c r="C30" t="s">
        <v>1739</v>
      </c>
      <c r="D30" t="s">
        <v>1740</v>
      </c>
      <c r="E30" t="s">
        <v>1741</v>
      </c>
    </row>
    <row r="31" spans="1:5" x14ac:dyDescent="0.45">
      <c r="A31" s="997"/>
      <c r="B31" s="380">
        <v>12</v>
      </c>
      <c r="C31" t="s">
        <v>1742</v>
      </c>
      <c r="D31" t="s">
        <v>1743</v>
      </c>
      <c r="E31" t="s">
        <v>1744</v>
      </c>
    </row>
    <row r="32" spans="1:5" x14ac:dyDescent="0.45">
      <c r="A32" s="997"/>
      <c r="B32" s="380">
        <v>13</v>
      </c>
      <c r="C32" t="s">
        <v>891</v>
      </c>
      <c r="D32" t="s">
        <v>891</v>
      </c>
      <c r="E32" t="s">
        <v>891</v>
      </c>
    </row>
    <row r="33" spans="1:5" x14ac:dyDescent="0.45">
      <c r="A33" s="997"/>
      <c r="B33" s="380">
        <v>14</v>
      </c>
      <c r="C33" t="s">
        <v>891</v>
      </c>
      <c r="D33" t="s">
        <v>891</v>
      </c>
      <c r="E33" t="s">
        <v>891</v>
      </c>
    </row>
    <row r="34" spans="1:5" x14ac:dyDescent="0.45">
      <c r="A34" s="997"/>
      <c r="B34" s="380">
        <v>15</v>
      </c>
      <c r="C34" t="s">
        <v>891</v>
      </c>
      <c r="D34" t="s">
        <v>891</v>
      </c>
      <c r="E34" t="s">
        <v>891</v>
      </c>
    </row>
    <row r="35" spans="1:5" x14ac:dyDescent="0.45">
      <c r="A35" s="998"/>
      <c r="B35" s="380" t="s">
        <v>517</v>
      </c>
      <c r="C35" t="s">
        <v>1703</v>
      </c>
      <c r="D35" t="s">
        <v>1704</v>
      </c>
      <c r="E35" t="s">
        <v>1705</v>
      </c>
    </row>
    <row r="36" spans="1:5" x14ac:dyDescent="0.45">
      <c r="A36" s="996">
        <v>3</v>
      </c>
      <c r="B36" s="380">
        <v>0</v>
      </c>
      <c r="C36" t="s">
        <v>1709</v>
      </c>
      <c r="D36" t="s">
        <v>1710</v>
      </c>
      <c r="E36" t="s">
        <v>1711</v>
      </c>
    </row>
    <row r="37" spans="1:5" x14ac:dyDescent="0.45">
      <c r="A37" s="997"/>
      <c r="B37" s="380">
        <v>1</v>
      </c>
      <c r="C37" t="s">
        <v>1712</v>
      </c>
      <c r="D37" t="s">
        <v>1713</v>
      </c>
      <c r="E37" t="s">
        <v>1714</v>
      </c>
    </row>
    <row r="38" spans="1:5" x14ac:dyDescent="0.45">
      <c r="A38" s="997"/>
      <c r="B38" s="380">
        <v>2</v>
      </c>
      <c r="C38" t="s">
        <v>1715</v>
      </c>
      <c r="D38" t="s">
        <v>1716</v>
      </c>
      <c r="E38" t="s">
        <v>1717</v>
      </c>
    </row>
    <row r="39" spans="1:5" x14ac:dyDescent="0.45">
      <c r="A39" s="997"/>
      <c r="B39" s="380">
        <v>3</v>
      </c>
      <c r="C39" t="s">
        <v>1718</v>
      </c>
      <c r="D39" t="s">
        <v>1719</v>
      </c>
      <c r="E39" t="s">
        <v>1720</v>
      </c>
    </row>
    <row r="40" spans="1:5" x14ac:dyDescent="0.45">
      <c r="A40" s="997"/>
      <c r="B40" s="380">
        <v>4</v>
      </c>
      <c r="C40" t="s">
        <v>1721</v>
      </c>
      <c r="D40" t="s">
        <v>1722</v>
      </c>
      <c r="E40" t="s">
        <v>1723</v>
      </c>
    </row>
    <row r="41" spans="1:5" x14ac:dyDescent="0.45">
      <c r="A41" s="997"/>
      <c r="B41" s="380">
        <v>5</v>
      </c>
      <c r="C41" t="s">
        <v>1724</v>
      </c>
      <c r="D41" t="s">
        <v>1725</v>
      </c>
      <c r="E41" t="s">
        <v>1726</v>
      </c>
    </row>
    <row r="42" spans="1:5" x14ac:dyDescent="0.45">
      <c r="A42" s="997"/>
      <c r="B42" s="380">
        <v>6</v>
      </c>
      <c r="C42" t="s">
        <v>1727</v>
      </c>
      <c r="D42" t="s">
        <v>1728</v>
      </c>
      <c r="E42" t="s">
        <v>1729</v>
      </c>
    </row>
    <row r="43" spans="1:5" x14ac:dyDescent="0.45">
      <c r="A43" s="997"/>
      <c r="B43" s="380">
        <v>7</v>
      </c>
      <c r="C43" t="s">
        <v>1730</v>
      </c>
      <c r="D43" t="s">
        <v>1731</v>
      </c>
      <c r="E43" t="s">
        <v>1732</v>
      </c>
    </row>
    <row r="44" spans="1:5" x14ac:dyDescent="0.45">
      <c r="A44" s="997"/>
      <c r="B44" s="380">
        <v>8</v>
      </c>
      <c r="C44" t="s">
        <v>1733</v>
      </c>
      <c r="D44" t="s">
        <v>1734</v>
      </c>
      <c r="E44" t="s">
        <v>1735</v>
      </c>
    </row>
    <row r="45" spans="1:5" x14ac:dyDescent="0.45">
      <c r="A45" s="997"/>
      <c r="B45" s="380">
        <v>9</v>
      </c>
      <c r="C45" t="s">
        <v>1736</v>
      </c>
      <c r="D45" t="s">
        <v>1737</v>
      </c>
      <c r="E45" t="s">
        <v>1738</v>
      </c>
    </row>
    <row r="46" spans="1:5" x14ac:dyDescent="0.45">
      <c r="A46" s="997"/>
      <c r="B46" s="380">
        <v>10</v>
      </c>
      <c r="C46" t="s">
        <v>1739</v>
      </c>
      <c r="D46" t="s">
        <v>1740</v>
      </c>
      <c r="E46" t="s">
        <v>1741</v>
      </c>
    </row>
    <row r="47" spans="1:5" x14ac:dyDescent="0.45">
      <c r="A47" s="997"/>
      <c r="B47" s="380">
        <v>11</v>
      </c>
      <c r="C47" t="s">
        <v>1742</v>
      </c>
      <c r="D47" t="s">
        <v>1743</v>
      </c>
      <c r="E47" t="s">
        <v>1744</v>
      </c>
    </row>
    <row r="48" spans="1:5" x14ac:dyDescent="0.45">
      <c r="A48" s="997"/>
      <c r="B48" s="380">
        <v>12</v>
      </c>
      <c r="C48" t="s">
        <v>1745</v>
      </c>
      <c r="D48" t="s">
        <v>1746</v>
      </c>
      <c r="E48" t="s">
        <v>1747</v>
      </c>
    </row>
    <row r="49" spans="1:5" x14ac:dyDescent="0.45">
      <c r="A49" s="997"/>
      <c r="B49" s="380">
        <v>13</v>
      </c>
      <c r="C49" t="s">
        <v>1748</v>
      </c>
      <c r="D49" t="s">
        <v>1749</v>
      </c>
      <c r="E49" t="s">
        <v>1750</v>
      </c>
    </row>
    <row r="50" spans="1:5" x14ac:dyDescent="0.45">
      <c r="A50" s="997"/>
      <c r="B50" s="380">
        <v>14</v>
      </c>
      <c r="C50" t="s">
        <v>891</v>
      </c>
      <c r="D50" t="s">
        <v>891</v>
      </c>
      <c r="E50" t="s">
        <v>891</v>
      </c>
    </row>
    <row r="51" spans="1:5" x14ac:dyDescent="0.45">
      <c r="A51" s="997"/>
      <c r="B51" s="380">
        <v>15</v>
      </c>
      <c r="C51" t="s">
        <v>891</v>
      </c>
      <c r="D51" t="s">
        <v>891</v>
      </c>
      <c r="E51" t="s">
        <v>891</v>
      </c>
    </row>
    <row r="52" spans="1:5" x14ac:dyDescent="0.45">
      <c r="A52" s="998"/>
      <c r="B52" s="380" t="s">
        <v>517</v>
      </c>
      <c r="C52" t="s">
        <v>1751</v>
      </c>
      <c r="D52" t="s">
        <v>1752</v>
      </c>
      <c r="E52" t="s">
        <v>1753</v>
      </c>
    </row>
    <row r="53" spans="1:5" x14ac:dyDescent="0.45">
      <c r="A53" s="996">
        <v>4</v>
      </c>
      <c r="B53" s="380">
        <v>0</v>
      </c>
      <c r="C53" t="s">
        <v>1718</v>
      </c>
      <c r="D53" t="s">
        <v>1719</v>
      </c>
      <c r="E53" t="s">
        <v>1720</v>
      </c>
    </row>
    <row r="54" spans="1:5" x14ac:dyDescent="0.45">
      <c r="A54" s="997"/>
      <c r="B54" s="380">
        <v>1</v>
      </c>
      <c r="C54" t="s">
        <v>1721</v>
      </c>
      <c r="D54" t="s">
        <v>1722</v>
      </c>
      <c r="E54" t="s">
        <v>1723</v>
      </c>
    </row>
    <row r="55" spans="1:5" x14ac:dyDescent="0.45">
      <c r="A55" s="997"/>
      <c r="B55" s="380">
        <v>2</v>
      </c>
      <c r="C55" t="s">
        <v>1724</v>
      </c>
      <c r="D55" t="s">
        <v>1725</v>
      </c>
      <c r="E55" t="s">
        <v>1726</v>
      </c>
    </row>
    <row r="56" spans="1:5" x14ac:dyDescent="0.45">
      <c r="A56" s="997"/>
      <c r="B56" s="380">
        <v>3</v>
      </c>
      <c r="C56" t="s">
        <v>1727</v>
      </c>
      <c r="D56" t="s">
        <v>1728</v>
      </c>
      <c r="E56" t="s">
        <v>1729</v>
      </c>
    </row>
    <row r="57" spans="1:5" x14ac:dyDescent="0.45">
      <c r="A57" s="997"/>
      <c r="B57" s="380">
        <v>4</v>
      </c>
      <c r="C57" t="s">
        <v>1730</v>
      </c>
      <c r="D57" t="s">
        <v>1731</v>
      </c>
      <c r="E57" t="s">
        <v>1732</v>
      </c>
    </row>
    <row r="58" spans="1:5" x14ac:dyDescent="0.45">
      <c r="A58" s="997"/>
      <c r="B58" s="380">
        <v>5</v>
      </c>
      <c r="C58" t="s">
        <v>1733</v>
      </c>
      <c r="D58" t="s">
        <v>1734</v>
      </c>
      <c r="E58" t="s">
        <v>1735</v>
      </c>
    </row>
    <row r="59" spans="1:5" x14ac:dyDescent="0.45">
      <c r="A59" s="997"/>
      <c r="B59" s="380">
        <v>6</v>
      </c>
      <c r="C59" t="s">
        <v>1736</v>
      </c>
      <c r="D59" t="s">
        <v>1737</v>
      </c>
      <c r="E59" t="s">
        <v>1738</v>
      </c>
    </row>
    <row r="60" spans="1:5" x14ac:dyDescent="0.45">
      <c r="A60" s="997"/>
      <c r="B60" s="380">
        <v>7</v>
      </c>
      <c r="C60" t="s">
        <v>1739</v>
      </c>
      <c r="D60" t="s">
        <v>1740</v>
      </c>
      <c r="E60" t="s">
        <v>1741</v>
      </c>
    </row>
    <row r="61" spans="1:5" x14ac:dyDescent="0.45">
      <c r="A61" s="997"/>
      <c r="B61" s="380">
        <v>8</v>
      </c>
      <c r="C61" t="s">
        <v>1742</v>
      </c>
      <c r="D61" t="s">
        <v>1743</v>
      </c>
      <c r="E61" t="s">
        <v>1744</v>
      </c>
    </row>
    <row r="62" spans="1:5" x14ac:dyDescent="0.45">
      <c r="A62" s="997"/>
      <c r="B62" s="380">
        <v>9</v>
      </c>
      <c r="C62" t="s">
        <v>1745</v>
      </c>
      <c r="D62" t="s">
        <v>1746</v>
      </c>
      <c r="E62" t="s">
        <v>1747</v>
      </c>
    </row>
    <row r="63" spans="1:5" x14ac:dyDescent="0.45">
      <c r="A63" s="997"/>
      <c r="B63" s="380">
        <v>10</v>
      </c>
      <c r="C63" t="s">
        <v>1748</v>
      </c>
      <c r="D63" t="s">
        <v>1749</v>
      </c>
      <c r="E63" t="s">
        <v>1750</v>
      </c>
    </row>
    <row r="64" spans="1:5" x14ac:dyDescent="0.45">
      <c r="A64" s="997"/>
      <c r="B64" s="380">
        <v>11</v>
      </c>
      <c r="C64" t="s">
        <v>1754</v>
      </c>
      <c r="D64" t="s">
        <v>1755</v>
      </c>
      <c r="E64" t="s">
        <v>1756</v>
      </c>
    </row>
    <row r="65" spans="1:5" x14ac:dyDescent="0.45">
      <c r="A65" s="997"/>
      <c r="B65" s="380">
        <v>12</v>
      </c>
      <c r="C65" t="s">
        <v>1757</v>
      </c>
      <c r="D65" t="s">
        <v>1758</v>
      </c>
      <c r="E65" t="s">
        <v>1759</v>
      </c>
    </row>
    <row r="66" spans="1:5" x14ac:dyDescent="0.45">
      <c r="A66" s="997"/>
      <c r="B66" s="380">
        <v>13</v>
      </c>
      <c r="C66" t="s">
        <v>1760</v>
      </c>
      <c r="D66" t="s">
        <v>1761</v>
      </c>
      <c r="E66" t="s">
        <v>1762</v>
      </c>
    </row>
    <row r="67" spans="1:5" x14ac:dyDescent="0.45">
      <c r="A67" s="997"/>
      <c r="B67" s="380">
        <v>14</v>
      </c>
      <c r="C67" t="s">
        <v>891</v>
      </c>
      <c r="D67" t="s">
        <v>891</v>
      </c>
      <c r="E67" t="s">
        <v>891</v>
      </c>
    </row>
    <row r="68" spans="1:5" x14ac:dyDescent="0.45">
      <c r="A68" s="997"/>
      <c r="B68" s="380">
        <v>15</v>
      </c>
      <c r="C68" t="s">
        <v>891</v>
      </c>
      <c r="D68" t="s">
        <v>891</v>
      </c>
      <c r="E68" t="s">
        <v>891</v>
      </c>
    </row>
    <row r="69" spans="1:5" x14ac:dyDescent="0.45">
      <c r="A69" s="998"/>
      <c r="B69" s="380" t="s">
        <v>517</v>
      </c>
      <c r="C69" t="s">
        <v>1763</v>
      </c>
      <c r="D69" t="s">
        <v>1764</v>
      </c>
      <c r="E69" t="s">
        <v>1765</v>
      </c>
    </row>
    <row r="70" spans="1:5" x14ac:dyDescent="0.45">
      <c r="A70" s="996">
        <v>5</v>
      </c>
      <c r="B70" s="380">
        <v>0</v>
      </c>
      <c r="C70" t="s">
        <v>1721</v>
      </c>
      <c r="D70" t="s">
        <v>1722</v>
      </c>
      <c r="E70" t="s">
        <v>1723</v>
      </c>
    </row>
    <row r="71" spans="1:5" x14ac:dyDescent="0.45">
      <c r="A71" s="997"/>
      <c r="B71" s="380">
        <v>1</v>
      </c>
      <c r="C71" t="s">
        <v>1724</v>
      </c>
      <c r="D71" t="s">
        <v>1725</v>
      </c>
      <c r="E71" t="s">
        <v>1726</v>
      </c>
    </row>
    <row r="72" spans="1:5" x14ac:dyDescent="0.45">
      <c r="A72" s="997"/>
      <c r="B72" s="380">
        <v>2</v>
      </c>
      <c r="C72" t="s">
        <v>1727</v>
      </c>
      <c r="D72" t="s">
        <v>1728</v>
      </c>
      <c r="E72" t="s">
        <v>1729</v>
      </c>
    </row>
    <row r="73" spans="1:5" x14ac:dyDescent="0.45">
      <c r="A73" s="997"/>
      <c r="B73" s="380">
        <v>3</v>
      </c>
      <c r="C73" t="s">
        <v>1730</v>
      </c>
      <c r="D73" t="s">
        <v>1731</v>
      </c>
      <c r="E73" t="s">
        <v>1732</v>
      </c>
    </row>
    <row r="74" spans="1:5" x14ac:dyDescent="0.45">
      <c r="A74" s="997"/>
      <c r="B74" s="380">
        <v>4</v>
      </c>
      <c r="C74" t="s">
        <v>1733</v>
      </c>
      <c r="D74" t="s">
        <v>1734</v>
      </c>
      <c r="E74" t="s">
        <v>1735</v>
      </c>
    </row>
    <row r="75" spans="1:5" x14ac:dyDescent="0.45">
      <c r="A75" s="997"/>
      <c r="B75" s="380">
        <v>5</v>
      </c>
      <c r="C75" t="s">
        <v>1736</v>
      </c>
      <c r="D75" t="s">
        <v>1737</v>
      </c>
      <c r="E75" t="s">
        <v>1738</v>
      </c>
    </row>
    <row r="76" spans="1:5" x14ac:dyDescent="0.45">
      <c r="A76" s="997"/>
      <c r="B76" s="380">
        <v>6</v>
      </c>
      <c r="C76" t="s">
        <v>1739</v>
      </c>
      <c r="D76" t="s">
        <v>1740</v>
      </c>
      <c r="E76" t="s">
        <v>1741</v>
      </c>
    </row>
    <row r="77" spans="1:5" x14ac:dyDescent="0.45">
      <c r="A77" s="997"/>
      <c r="B77" s="380">
        <v>7</v>
      </c>
      <c r="C77" t="s">
        <v>1742</v>
      </c>
      <c r="D77" t="s">
        <v>1743</v>
      </c>
      <c r="E77" t="s">
        <v>1744</v>
      </c>
    </row>
    <row r="78" spans="1:5" x14ac:dyDescent="0.45">
      <c r="A78" s="997"/>
      <c r="B78" s="380">
        <v>8</v>
      </c>
      <c r="C78" t="s">
        <v>1745</v>
      </c>
      <c r="D78" t="s">
        <v>1746</v>
      </c>
      <c r="E78" t="s">
        <v>1747</v>
      </c>
    </row>
    <row r="79" spans="1:5" x14ac:dyDescent="0.45">
      <c r="A79" s="997"/>
      <c r="B79" s="380">
        <v>9</v>
      </c>
      <c r="C79" t="s">
        <v>1748</v>
      </c>
      <c r="D79" t="s">
        <v>1749</v>
      </c>
      <c r="E79" t="s">
        <v>1750</v>
      </c>
    </row>
    <row r="80" spans="1:5" x14ac:dyDescent="0.45">
      <c r="A80" s="997"/>
      <c r="B80" s="380">
        <v>10</v>
      </c>
      <c r="C80" t="s">
        <v>1754</v>
      </c>
      <c r="D80" t="s">
        <v>1755</v>
      </c>
      <c r="E80" t="s">
        <v>1756</v>
      </c>
    </row>
    <row r="81" spans="1:5" x14ac:dyDescent="0.45">
      <c r="A81" s="997"/>
      <c r="B81" s="380">
        <v>11</v>
      </c>
      <c r="C81" t="s">
        <v>1757</v>
      </c>
      <c r="D81" t="s">
        <v>1758</v>
      </c>
      <c r="E81" t="s">
        <v>1759</v>
      </c>
    </row>
    <row r="82" spans="1:5" x14ac:dyDescent="0.45">
      <c r="A82" s="997"/>
      <c r="B82" s="380">
        <v>12</v>
      </c>
      <c r="C82" t="s">
        <v>1760</v>
      </c>
      <c r="D82" t="s">
        <v>1761</v>
      </c>
      <c r="E82" t="s">
        <v>1762</v>
      </c>
    </row>
    <row r="83" spans="1:5" x14ac:dyDescent="0.45">
      <c r="A83" s="997"/>
      <c r="B83" s="380">
        <v>13</v>
      </c>
      <c r="C83" t="s">
        <v>1766</v>
      </c>
      <c r="D83" t="s">
        <v>1767</v>
      </c>
      <c r="E83" t="s">
        <v>1768</v>
      </c>
    </row>
    <row r="84" spans="1:5" x14ac:dyDescent="0.45">
      <c r="A84" s="997"/>
      <c r="B84" s="380">
        <v>14</v>
      </c>
      <c r="C84" t="s">
        <v>1769</v>
      </c>
      <c r="D84" t="s">
        <v>1770</v>
      </c>
      <c r="E84" t="s">
        <v>1288</v>
      </c>
    </row>
    <row r="85" spans="1:5" x14ac:dyDescent="0.45">
      <c r="A85" s="997"/>
      <c r="B85" s="380">
        <v>15</v>
      </c>
      <c r="C85" t="s">
        <v>1771</v>
      </c>
      <c r="D85" t="s">
        <v>1772</v>
      </c>
      <c r="E85" t="s">
        <v>1773</v>
      </c>
    </row>
    <row r="86" spans="1:5" x14ac:dyDescent="0.45">
      <c r="A86" s="998"/>
      <c r="B86" s="380" t="s">
        <v>517</v>
      </c>
      <c r="C86" t="s">
        <v>1774</v>
      </c>
      <c r="D86" t="s">
        <v>1775</v>
      </c>
      <c r="E86" t="s">
        <v>1722</v>
      </c>
    </row>
    <row r="87" spans="1:5" x14ac:dyDescent="0.45">
      <c r="A87" s="996">
        <v>6</v>
      </c>
      <c r="B87" s="380">
        <v>0</v>
      </c>
      <c r="C87" t="s">
        <v>1733</v>
      </c>
      <c r="D87" t="s">
        <v>1734</v>
      </c>
      <c r="E87" t="s">
        <v>1735</v>
      </c>
    </row>
    <row r="88" spans="1:5" x14ac:dyDescent="0.45">
      <c r="A88" s="997"/>
      <c r="B88" s="380">
        <v>1</v>
      </c>
      <c r="C88" t="s">
        <v>1736</v>
      </c>
      <c r="D88" t="s">
        <v>1737</v>
      </c>
      <c r="E88" t="s">
        <v>1738</v>
      </c>
    </row>
    <row r="89" spans="1:5" x14ac:dyDescent="0.45">
      <c r="A89" s="997"/>
      <c r="B89" s="380">
        <v>2</v>
      </c>
      <c r="C89" t="s">
        <v>1739</v>
      </c>
      <c r="D89" t="s">
        <v>1740</v>
      </c>
      <c r="E89" t="s">
        <v>1741</v>
      </c>
    </row>
    <row r="90" spans="1:5" x14ac:dyDescent="0.45">
      <c r="A90" s="997"/>
      <c r="B90" s="380">
        <v>3</v>
      </c>
      <c r="C90" t="s">
        <v>1742</v>
      </c>
      <c r="D90" t="s">
        <v>1743</v>
      </c>
      <c r="E90" t="s">
        <v>1744</v>
      </c>
    </row>
    <row r="91" spans="1:5" x14ac:dyDescent="0.45">
      <c r="A91" s="997"/>
      <c r="B91" s="380">
        <v>4</v>
      </c>
      <c r="C91" t="s">
        <v>1745</v>
      </c>
      <c r="D91" t="s">
        <v>1746</v>
      </c>
      <c r="E91" t="s">
        <v>1747</v>
      </c>
    </row>
    <row r="92" spans="1:5" x14ac:dyDescent="0.45">
      <c r="A92" s="997"/>
      <c r="B92" s="380">
        <v>5</v>
      </c>
      <c r="C92" t="s">
        <v>1748</v>
      </c>
      <c r="D92" t="s">
        <v>1749</v>
      </c>
      <c r="E92" t="s">
        <v>1750</v>
      </c>
    </row>
    <row r="93" spans="1:5" x14ac:dyDescent="0.45">
      <c r="A93" s="997"/>
      <c r="B93" s="380">
        <v>6</v>
      </c>
      <c r="C93" t="s">
        <v>1754</v>
      </c>
      <c r="D93" t="s">
        <v>1755</v>
      </c>
      <c r="E93" t="s">
        <v>1756</v>
      </c>
    </row>
    <row r="94" spans="1:5" x14ac:dyDescent="0.45">
      <c r="A94" s="997"/>
      <c r="B94" s="380">
        <v>7</v>
      </c>
      <c r="C94" t="s">
        <v>1757</v>
      </c>
      <c r="D94" t="s">
        <v>1758</v>
      </c>
      <c r="E94" t="s">
        <v>1759</v>
      </c>
    </row>
    <row r="95" spans="1:5" x14ac:dyDescent="0.45">
      <c r="A95" s="997"/>
      <c r="B95" s="380">
        <v>8</v>
      </c>
      <c r="C95" t="s">
        <v>1760</v>
      </c>
      <c r="D95" t="s">
        <v>1761</v>
      </c>
      <c r="E95" t="s">
        <v>1762</v>
      </c>
    </row>
    <row r="96" spans="1:5" x14ac:dyDescent="0.45">
      <c r="A96" s="997"/>
      <c r="B96" s="380">
        <v>9</v>
      </c>
      <c r="C96" t="s">
        <v>1766</v>
      </c>
      <c r="D96" t="s">
        <v>1767</v>
      </c>
      <c r="E96" t="s">
        <v>1768</v>
      </c>
    </row>
    <row r="97" spans="1:5" x14ac:dyDescent="0.45">
      <c r="A97" s="997"/>
      <c r="B97" s="380">
        <v>10</v>
      </c>
      <c r="C97" t="s">
        <v>1769</v>
      </c>
      <c r="D97" t="s">
        <v>1770</v>
      </c>
      <c r="E97" t="s">
        <v>1288</v>
      </c>
    </row>
    <row r="98" spans="1:5" x14ac:dyDescent="0.45">
      <c r="A98" s="997"/>
      <c r="B98" s="380">
        <v>11</v>
      </c>
      <c r="C98" t="s">
        <v>1771</v>
      </c>
      <c r="D98" t="s">
        <v>1772</v>
      </c>
      <c r="E98" t="s">
        <v>1773</v>
      </c>
    </row>
    <row r="99" spans="1:5" x14ac:dyDescent="0.45">
      <c r="A99" s="997"/>
      <c r="B99" s="380">
        <v>12</v>
      </c>
      <c r="C99" t="s">
        <v>1776</v>
      </c>
      <c r="D99" t="s">
        <v>1777</v>
      </c>
      <c r="E99" t="s">
        <v>1778</v>
      </c>
    </row>
    <row r="100" spans="1:5" x14ac:dyDescent="0.45">
      <c r="A100" s="997"/>
      <c r="B100" s="380">
        <v>13</v>
      </c>
      <c r="C100" t="s">
        <v>1779</v>
      </c>
      <c r="D100" t="s">
        <v>1780</v>
      </c>
      <c r="E100" t="s">
        <v>1781</v>
      </c>
    </row>
    <row r="101" spans="1:5" x14ac:dyDescent="0.45">
      <c r="A101" s="997"/>
      <c r="B101" s="380">
        <v>14</v>
      </c>
      <c r="C101" t="s">
        <v>1782</v>
      </c>
      <c r="D101" t="s">
        <v>1781</v>
      </c>
      <c r="E101" t="s">
        <v>1783</v>
      </c>
    </row>
    <row r="102" spans="1:5" x14ac:dyDescent="0.45">
      <c r="A102" s="997"/>
      <c r="B102" s="380">
        <v>15</v>
      </c>
      <c r="C102" t="s">
        <v>1784</v>
      </c>
      <c r="D102" t="s">
        <v>1785</v>
      </c>
      <c r="E102" t="s">
        <v>1786</v>
      </c>
    </row>
    <row r="103" spans="1:5" x14ac:dyDescent="0.45">
      <c r="A103" s="998"/>
      <c r="B103" s="380" t="s">
        <v>517</v>
      </c>
      <c r="C103" t="s">
        <v>1787</v>
      </c>
      <c r="D103" t="s">
        <v>1788</v>
      </c>
      <c r="E103" t="s">
        <v>1789</v>
      </c>
    </row>
    <row r="104" spans="1:5" x14ac:dyDescent="0.45">
      <c r="A104" s="996">
        <v>7</v>
      </c>
      <c r="B104" s="380">
        <v>0</v>
      </c>
      <c r="C104" t="s">
        <v>1742</v>
      </c>
      <c r="D104" t="s">
        <v>1743</v>
      </c>
      <c r="E104" t="s">
        <v>1744</v>
      </c>
    </row>
    <row r="105" spans="1:5" x14ac:dyDescent="0.45">
      <c r="A105" s="997"/>
      <c r="B105" s="380">
        <v>1</v>
      </c>
      <c r="C105" t="s">
        <v>1745</v>
      </c>
      <c r="D105" t="s">
        <v>1746</v>
      </c>
      <c r="E105" t="s">
        <v>1747</v>
      </c>
    </row>
    <row r="106" spans="1:5" x14ac:dyDescent="0.45">
      <c r="A106" s="997"/>
      <c r="B106" s="380">
        <v>2</v>
      </c>
      <c r="C106" t="s">
        <v>1748</v>
      </c>
      <c r="D106" t="s">
        <v>1749</v>
      </c>
      <c r="E106" t="s">
        <v>1750</v>
      </c>
    </row>
    <row r="107" spans="1:5" x14ac:dyDescent="0.45">
      <c r="A107" s="997"/>
      <c r="B107" s="380">
        <v>3</v>
      </c>
      <c r="C107" t="s">
        <v>1754</v>
      </c>
      <c r="D107" t="s">
        <v>1755</v>
      </c>
      <c r="E107" t="s">
        <v>1756</v>
      </c>
    </row>
    <row r="108" spans="1:5" x14ac:dyDescent="0.45">
      <c r="A108" s="997"/>
      <c r="B108" s="380">
        <v>4</v>
      </c>
      <c r="C108" t="s">
        <v>1757</v>
      </c>
      <c r="D108" t="s">
        <v>1758</v>
      </c>
      <c r="E108" t="s">
        <v>1759</v>
      </c>
    </row>
    <row r="109" spans="1:5" x14ac:dyDescent="0.45">
      <c r="A109" s="997"/>
      <c r="B109" s="380">
        <v>5</v>
      </c>
      <c r="C109" t="s">
        <v>1760</v>
      </c>
      <c r="D109" t="s">
        <v>1761</v>
      </c>
      <c r="E109" t="s">
        <v>1762</v>
      </c>
    </row>
    <row r="110" spans="1:5" x14ac:dyDescent="0.45">
      <c r="A110" s="997"/>
      <c r="B110" s="380">
        <v>6</v>
      </c>
      <c r="C110" t="s">
        <v>1766</v>
      </c>
      <c r="D110" t="s">
        <v>1767</v>
      </c>
      <c r="E110" t="s">
        <v>1768</v>
      </c>
    </row>
    <row r="111" spans="1:5" x14ac:dyDescent="0.45">
      <c r="A111" s="997"/>
      <c r="B111" s="380">
        <v>7</v>
      </c>
      <c r="C111" t="s">
        <v>1769</v>
      </c>
      <c r="D111" t="s">
        <v>1770</v>
      </c>
      <c r="E111" t="s">
        <v>1288</v>
      </c>
    </row>
    <row r="112" spans="1:5" x14ac:dyDescent="0.45">
      <c r="A112" s="997"/>
      <c r="B112" s="380">
        <v>8</v>
      </c>
      <c r="C112" t="s">
        <v>1771</v>
      </c>
      <c r="D112" t="s">
        <v>1772</v>
      </c>
      <c r="E112" t="s">
        <v>1773</v>
      </c>
    </row>
    <row r="113" spans="1:5" x14ac:dyDescent="0.45">
      <c r="A113" s="997"/>
      <c r="B113" s="380">
        <v>9</v>
      </c>
      <c r="C113" t="s">
        <v>1776</v>
      </c>
      <c r="D113" t="s">
        <v>1777</v>
      </c>
      <c r="E113" t="s">
        <v>1778</v>
      </c>
    </row>
    <row r="114" spans="1:5" x14ac:dyDescent="0.45">
      <c r="A114" s="997"/>
      <c r="B114" s="380">
        <v>10</v>
      </c>
      <c r="C114" t="s">
        <v>1779</v>
      </c>
      <c r="D114" t="s">
        <v>1780</v>
      </c>
      <c r="E114" t="s">
        <v>1781</v>
      </c>
    </row>
    <row r="115" spans="1:5" x14ac:dyDescent="0.45">
      <c r="A115" s="997"/>
      <c r="B115" s="380">
        <v>11</v>
      </c>
      <c r="C115" t="s">
        <v>1782</v>
      </c>
      <c r="D115" t="s">
        <v>1781</v>
      </c>
      <c r="E115" t="s">
        <v>1783</v>
      </c>
    </row>
    <row r="116" spans="1:5" x14ac:dyDescent="0.45">
      <c r="A116" s="997"/>
      <c r="B116" s="380">
        <v>12</v>
      </c>
      <c r="C116" t="s">
        <v>1784</v>
      </c>
      <c r="D116" t="s">
        <v>1785</v>
      </c>
      <c r="E116" t="s">
        <v>1786</v>
      </c>
    </row>
    <row r="117" spans="1:5" x14ac:dyDescent="0.45">
      <c r="A117" s="997"/>
      <c r="B117" s="380">
        <v>13</v>
      </c>
      <c r="C117" t="s">
        <v>1790</v>
      </c>
      <c r="D117" t="s">
        <v>1791</v>
      </c>
      <c r="E117" t="s">
        <v>1792</v>
      </c>
    </row>
    <row r="118" spans="1:5" x14ac:dyDescent="0.45">
      <c r="A118" s="997"/>
      <c r="B118" s="380">
        <v>14</v>
      </c>
      <c r="C118" t="s">
        <v>1793</v>
      </c>
      <c r="D118" t="s">
        <v>1794</v>
      </c>
      <c r="E118" t="s">
        <v>1482</v>
      </c>
    </row>
    <row r="119" spans="1:5" x14ac:dyDescent="0.45">
      <c r="A119" s="997"/>
      <c r="B119" s="380">
        <v>15</v>
      </c>
      <c r="C119" t="s">
        <v>1795</v>
      </c>
      <c r="D119" t="s">
        <v>1796</v>
      </c>
      <c r="E119" t="s">
        <v>1797</v>
      </c>
    </row>
    <row r="120" spans="1:5" x14ac:dyDescent="0.45">
      <c r="A120" s="998"/>
      <c r="B120" s="380" t="s">
        <v>517</v>
      </c>
      <c r="C120" t="s">
        <v>1798</v>
      </c>
      <c r="D120" t="s">
        <v>1799</v>
      </c>
      <c r="E120" t="s">
        <v>1800</v>
      </c>
    </row>
    <row r="121" spans="1:5" x14ac:dyDescent="0.45">
      <c r="A121" s="996">
        <v>8</v>
      </c>
      <c r="B121" s="380">
        <v>0</v>
      </c>
      <c r="C121" t="s">
        <v>1754</v>
      </c>
      <c r="D121" t="s">
        <v>1755</v>
      </c>
      <c r="E121" t="s">
        <v>1756</v>
      </c>
    </row>
    <row r="122" spans="1:5" x14ac:dyDescent="0.45">
      <c r="A122" s="997"/>
      <c r="B122" s="380">
        <v>1</v>
      </c>
      <c r="C122" t="s">
        <v>1757</v>
      </c>
      <c r="D122" t="s">
        <v>1758</v>
      </c>
      <c r="E122" t="s">
        <v>1759</v>
      </c>
    </row>
    <row r="123" spans="1:5" x14ac:dyDescent="0.45">
      <c r="A123" s="997"/>
      <c r="B123" s="380">
        <v>2</v>
      </c>
      <c r="C123" t="s">
        <v>1760</v>
      </c>
      <c r="D123" t="s">
        <v>1761</v>
      </c>
      <c r="E123" t="s">
        <v>1762</v>
      </c>
    </row>
    <row r="124" spans="1:5" x14ac:dyDescent="0.45">
      <c r="A124" s="997"/>
      <c r="B124" s="380">
        <v>3</v>
      </c>
      <c r="C124" t="s">
        <v>1766</v>
      </c>
      <c r="D124" t="s">
        <v>1767</v>
      </c>
      <c r="E124" t="s">
        <v>1768</v>
      </c>
    </row>
    <row r="125" spans="1:5" x14ac:dyDescent="0.45">
      <c r="A125" s="997"/>
      <c r="B125" s="380">
        <v>4</v>
      </c>
      <c r="C125" t="s">
        <v>1769</v>
      </c>
      <c r="D125" t="s">
        <v>1770</v>
      </c>
      <c r="E125" t="s">
        <v>1288</v>
      </c>
    </row>
    <row r="126" spans="1:5" x14ac:dyDescent="0.45">
      <c r="A126" s="997"/>
      <c r="B126" s="380">
        <v>5</v>
      </c>
      <c r="C126" t="s">
        <v>1771</v>
      </c>
      <c r="D126" t="s">
        <v>1772</v>
      </c>
      <c r="E126" t="s">
        <v>1773</v>
      </c>
    </row>
    <row r="127" spans="1:5" x14ac:dyDescent="0.45">
      <c r="A127" s="997"/>
      <c r="B127" s="380">
        <v>6</v>
      </c>
      <c r="C127" t="s">
        <v>1776</v>
      </c>
      <c r="D127" t="s">
        <v>1777</v>
      </c>
      <c r="E127" t="s">
        <v>1778</v>
      </c>
    </row>
    <row r="128" spans="1:5" x14ac:dyDescent="0.45">
      <c r="A128" s="997"/>
      <c r="B128" s="380">
        <v>7</v>
      </c>
      <c r="C128" t="s">
        <v>1779</v>
      </c>
      <c r="D128" t="s">
        <v>1780</v>
      </c>
      <c r="E128" t="s">
        <v>1781</v>
      </c>
    </row>
    <row r="129" spans="1:5" x14ac:dyDescent="0.45">
      <c r="A129" s="997"/>
      <c r="B129" s="380">
        <v>8</v>
      </c>
      <c r="C129" t="s">
        <v>1782</v>
      </c>
      <c r="D129" t="s">
        <v>1781</v>
      </c>
      <c r="E129" t="s">
        <v>1783</v>
      </c>
    </row>
    <row r="130" spans="1:5" x14ac:dyDescent="0.45">
      <c r="A130" s="997"/>
      <c r="B130" s="380">
        <v>9</v>
      </c>
      <c r="C130" t="s">
        <v>1784</v>
      </c>
      <c r="D130" t="s">
        <v>1785</v>
      </c>
      <c r="E130" t="s">
        <v>1786</v>
      </c>
    </row>
    <row r="131" spans="1:5" x14ac:dyDescent="0.45">
      <c r="A131" s="997"/>
      <c r="B131" s="380">
        <v>10</v>
      </c>
      <c r="C131" t="s">
        <v>1790</v>
      </c>
      <c r="D131" t="s">
        <v>1791</v>
      </c>
      <c r="E131" t="s">
        <v>1792</v>
      </c>
    </row>
    <row r="132" spans="1:5" x14ac:dyDescent="0.45">
      <c r="A132" s="997"/>
      <c r="B132" s="380">
        <v>11</v>
      </c>
      <c r="C132" t="s">
        <v>1793</v>
      </c>
      <c r="D132" t="s">
        <v>1794</v>
      </c>
      <c r="E132" t="s">
        <v>1482</v>
      </c>
    </row>
    <row r="133" spans="1:5" x14ac:dyDescent="0.45">
      <c r="A133" s="997"/>
      <c r="B133" s="380">
        <v>12</v>
      </c>
      <c r="C133" t="s">
        <v>1795</v>
      </c>
      <c r="D133" t="s">
        <v>1796</v>
      </c>
      <c r="E133" t="s">
        <v>1797</v>
      </c>
    </row>
    <row r="134" spans="1:5" x14ac:dyDescent="0.45">
      <c r="A134" s="997"/>
      <c r="B134" s="380">
        <v>13</v>
      </c>
      <c r="C134" t="s">
        <v>1801</v>
      </c>
      <c r="D134" t="s">
        <v>1802</v>
      </c>
      <c r="E134" t="s">
        <v>1803</v>
      </c>
    </row>
    <row r="135" spans="1:5" x14ac:dyDescent="0.45">
      <c r="A135" s="997"/>
      <c r="B135" s="380">
        <v>14</v>
      </c>
      <c r="C135" t="s">
        <v>1804</v>
      </c>
      <c r="D135" t="s">
        <v>1805</v>
      </c>
      <c r="E135" t="s">
        <v>1806</v>
      </c>
    </row>
    <row r="136" spans="1:5" x14ac:dyDescent="0.45">
      <c r="A136" s="997"/>
      <c r="B136" s="380">
        <v>15</v>
      </c>
      <c r="C136" t="s">
        <v>1807</v>
      </c>
      <c r="D136" t="s">
        <v>1808</v>
      </c>
      <c r="E136" t="s">
        <v>1809</v>
      </c>
    </row>
    <row r="137" spans="1:5" x14ac:dyDescent="0.45">
      <c r="A137" s="998"/>
      <c r="B137" s="380" t="s">
        <v>517</v>
      </c>
      <c r="C137" t="s">
        <v>1810</v>
      </c>
      <c r="D137" t="s">
        <v>1811</v>
      </c>
      <c r="E137" t="s">
        <v>1812</v>
      </c>
    </row>
    <row r="138" spans="1:5" x14ac:dyDescent="0.45">
      <c r="A138" s="996">
        <v>9</v>
      </c>
      <c r="B138" s="380">
        <v>0</v>
      </c>
      <c r="C138" t="s">
        <v>1766</v>
      </c>
      <c r="D138" t="s">
        <v>1767</v>
      </c>
      <c r="E138" t="s">
        <v>1768</v>
      </c>
    </row>
    <row r="139" spans="1:5" x14ac:dyDescent="0.45">
      <c r="A139" s="997"/>
      <c r="B139" s="380">
        <v>1</v>
      </c>
      <c r="C139" t="s">
        <v>1769</v>
      </c>
      <c r="D139" t="s">
        <v>1770</v>
      </c>
      <c r="E139" t="s">
        <v>1288</v>
      </c>
    </row>
    <row r="140" spans="1:5" x14ac:dyDescent="0.45">
      <c r="A140" s="997"/>
      <c r="B140" s="380">
        <v>2</v>
      </c>
      <c r="C140" t="s">
        <v>1771</v>
      </c>
      <c r="D140" t="s">
        <v>1772</v>
      </c>
      <c r="E140" t="s">
        <v>1773</v>
      </c>
    </row>
    <row r="141" spans="1:5" x14ac:dyDescent="0.45">
      <c r="A141" s="997"/>
      <c r="B141" s="380">
        <v>3</v>
      </c>
      <c r="C141" t="s">
        <v>1776</v>
      </c>
      <c r="D141" t="s">
        <v>1777</v>
      </c>
      <c r="E141" t="s">
        <v>1778</v>
      </c>
    </row>
    <row r="142" spans="1:5" x14ac:dyDescent="0.45">
      <c r="A142" s="997"/>
      <c r="B142" s="380">
        <v>4</v>
      </c>
      <c r="C142" t="s">
        <v>1779</v>
      </c>
      <c r="D142" t="s">
        <v>1780</v>
      </c>
      <c r="E142" t="s">
        <v>1781</v>
      </c>
    </row>
    <row r="143" spans="1:5" x14ac:dyDescent="0.45">
      <c r="A143" s="997"/>
      <c r="B143" s="380">
        <v>5</v>
      </c>
      <c r="C143" t="s">
        <v>1782</v>
      </c>
      <c r="D143" t="s">
        <v>1781</v>
      </c>
      <c r="E143" t="s">
        <v>1783</v>
      </c>
    </row>
    <row r="144" spans="1:5" x14ac:dyDescent="0.45">
      <c r="A144" s="997"/>
      <c r="B144" s="380">
        <v>6</v>
      </c>
      <c r="C144" t="s">
        <v>1784</v>
      </c>
      <c r="D144" t="s">
        <v>1785</v>
      </c>
      <c r="E144" t="s">
        <v>1786</v>
      </c>
    </row>
    <row r="145" spans="1:5" x14ac:dyDescent="0.45">
      <c r="A145" s="997"/>
      <c r="B145" s="380">
        <v>7</v>
      </c>
      <c r="C145" t="s">
        <v>1790</v>
      </c>
      <c r="D145" t="s">
        <v>1791</v>
      </c>
      <c r="E145" t="s">
        <v>1792</v>
      </c>
    </row>
    <row r="146" spans="1:5" x14ac:dyDescent="0.45">
      <c r="A146" s="997"/>
      <c r="B146" s="380">
        <v>8</v>
      </c>
      <c r="C146" t="s">
        <v>1793</v>
      </c>
      <c r="D146" t="s">
        <v>1794</v>
      </c>
      <c r="E146" t="s">
        <v>1482</v>
      </c>
    </row>
    <row r="147" spans="1:5" x14ac:dyDescent="0.45">
      <c r="A147" s="997"/>
      <c r="B147" s="380">
        <v>9</v>
      </c>
      <c r="C147" t="s">
        <v>1795</v>
      </c>
      <c r="D147" t="s">
        <v>1796</v>
      </c>
      <c r="E147" t="s">
        <v>1797</v>
      </c>
    </row>
    <row r="148" spans="1:5" x14ac:dyDescent="0.45">
      <c r="A148" s="997"/>
      <c r="B148" s="380">
        <v>10</v>
      </c>
      <c r="C148" t="s">
        <v>1801</v>
      </c>
      <c r="D148" t="s">
        <v>1802</v>
      </c>
      <c r="E148" t="s">
        <v>1803</v>
      </c>
    </row>
    <row r="149" spans="1:5" x14ac:dyDescent="0.45">
      <c r="A149" s="997"/>
      <c r="B149" s="380">
        <v>11</v>
      </c>
      <c r="C149" t="s">
        <v>1804</v>
      </c>
      <c r="D149" t="s">
        <v>1805</v>
      </c>
      <c r="E149" t="s">
        <v>1806</v>
      </c>
    </row>
    <row r="150" spans="1:5" x14ac:dyDescent="0.45">
      <c r="A150" s="997"/>
      <c r="B150" s="380">
        <v>12</v>
      </c>
      <c r="C150" t="s">
        <v>1807</v>
      </c>
      <c r="D150" t="s">
        <v>1808</v>
      </c>
      <c r="E150" t="s">
        <v>1809</v>
      </c>
    </row>
    <row r="151" spans="1:5" x14ac:dyDescent="0.45">
      <c r="A151" s="997"/>
      <c r="B151" s="380">
        <v>13</v>
      </c>
      <c r="C151" t="s">
        <v>1813</v>
      </c>
      <c r="D151" t="s">
        <v>1814</v>
      </c>
      <c r="E151" t="s">
        <v>1815</v>
      </c>
    </row>
    <row r="152" spans="1:5" x14ac:dyDescent="0.45">
      <c r="A152" s="997"/>
      <c r="B152" s="380">
        <v>14</v>
      </c>
      <c r="C152" t="s">
        <v>1816</v>
      </c>
      <c r="D152" t="s">
        <v>1817</v>
      </c>
      <c r="E152" t="s">
        <v>1818</v>
      </c>
    </row>
    <row r="153" spans="1:5" x14ac:dyDescent="0.45">
      <c r="A153" s="997"/>
      <c r="B153" s="380">
        <v>15</v>
      </c>
      <c r="C153" t="s">
        <v>1819</v>
      </c>
      <c r="D153" t="s">
        <v>1820</v>
      </c>
      <c r="E153" t="s">
        <v>1821</v>
      </c>
    </row>
    <row r="154" spans="1:5" x14ac:dyDescent="0.45">
      <c r="A154" s="998"/>
      <c r="B154" s="380" t="s">
        <v>517</v>
      </c>
      <c r="C154" t="s">
        <v>1822</v>
      </c>
      <c r="D154" t="s">
        <v>1823</v>
      </c>
      <c r="E154" t="s">
        <v>1824</v>
      </c>
    </row>
    <row r="155" spans="1:5" x14ac:dyDescent="0.45">
      <c r="A155" s="996">
        <v>10</v>
      </c>
      <c r="B155" s="380">
        <v>0</v>
      </c>
      <c r="C155" t="s">
        <v>1776</v>
      </c>
      <c r="D155" t="s">
        <v>1777</v>
      </c>
      <c r="E155" t="s">
        <v>1778</v>
      </c>
    </row>
    <row r="156" spans="1:5" x14ac:dyDescent="0.45">
      <c r="A156" s="997"/>
      <c r="B156" s="380">
        <v>1</v>
      </c>
      <c r="C156" t="s">
        <v>1779</v>
      </c>
      <c r="D156" t="s">
        <v>1780</v>
      </c>
      <c r="E156" t="s">
        <v>1781</v>
      </c>
    </row>
    <row r="157" spans="1:5" x14ac:dyDescent="0.45">
      <c r="A157" s="997"/>
      <c r="B157" s="380">
        <v>2</v>
      </c>
      <c r="C157" t="s">
        <v>1782</v>
      </c>
      <c r="D157" t="s">
        <v>1781</v>
      </c>
      <c r="E157" t="s">
        <v>1783</v>
      </c>
    </row>
    <row r="158" spans="1:5" x14ac:dyDescent="0.45">
      <c r="A158" s="997"/>
      <c r="B158" s="380">
        <v>3</v>
      </c>
      <c r="C158" t="s">
        <v>1784</v>
      </c>
      <c r="D158" t="s">
        <v>1785</v>
      </c>
      <c r="E158" t="s">
        <v>1786</v>
      </c>
    </row>
    <row r="159" spans="1:5" x14ac:dyDescent="0.45">
      <c r="A159" s="997"/>
      <c r="B159" s="380">
        <v>4</v>
      </c>
      <c r="C159" t="s">
        <v>1790</v>
      </c>
      <c r="D159" t="s">
        <v>1791</v>
      </c>
      <c r="E159" t="s">
        <v>1792</v>
      </c>
    </row>
    <row r="160" spans="1:5" x14ac:dyDescent="0.45">
      <c r="A160" s="997"/>
      <c r="B160" s="380">
        <v>5</v>
      </c>
      <c r="C160" t="s">
        <v>1793</v>
      </c>
      <c r="D160" t="s">
        <v>1794</v>
      </c>
      <c r="E160" t="s">
        <v>1482</v>
      </c>
    </row>
    <row r="161" spans="1:5" x14ac:dyDescent="0.45">
      <c r="A161" s="997"/>
      <c r="B161" s="380">
        <v>6</v>
      </c>
      <c r="C161" t="s">
        <v>1795</v>
      </c>
      <c r="D161" t="s">
        <v>1796</v>
      </c>
      <c r="E161" t="s">
        <v>1797</v>
      </c>
    </row>
    <row r="162" spans="1:5" x14ac:dyDescent="0.45">
      <c r="A162" s="997"/>
      <c r="B162" s="380">
        <v>7</v>
      </c>
      <c r="C162" t="s">
        <v>1801</v>
      </c>
      <c r="D162" t="s">
        <v>1802</v>
      </c>
      <c r="E162" t="s">
        <v>1803</v>
      </c>
    </row>
    <row r="163" spans="1:5" x14ac:dyDescent="0.45">
      <c r="A163" s="997"/>
      <c r="B163" s="380">
        <v>8</v>
      </c>
      <c r="C163" t="s">
        <v>1804</v>
      </c>
      <c r="D163" t="s">
        <v>1805</v>
      </c>
      <c r="E163" t="s">
        <v>1806</v>
      </c>
    </row>
    <row r="164" spans="1:5" x14ac:dyDescent="0.45">
      <c r="A164" s="997"/>
      <c r="B164" s="380">
        <v>9</v>
      </c>
      <c r="C164" t="s">
        <v>1807</v>
      </c>
      <c r="D164" t="s">
        <v>1808</v>
      </c>
      <c r="E164" t="s">
        <v>1809</v>
      </c>
    </row>
    <row r="165" spans="1:5" x14ac:dyDescent="0.45">
      <c r="A165" s="997"/>
      <c r="B165" s="380">
        <v>10</v>
      </c>
      <c r="C165" t="s">
        <v>1813</v>
      </c>
      <c r="D165" t="s">
        <v>1814</v>
      </c>
      <c r="E165" t="s">
        <v>1815</v>
      </c>
    </row>
    <row r="166" spans="1:5" x14ac:dyDescent="0.45">
      <c r="A166" s="997"/>
      <c r="B166" s="380">
        <v>11</v>
      </c>
      <c r="C166" t="s">
        <v>1816</v>
      </c>
      <c r="D166" t="s">
        <v>1817</v>
      </c>
      <c r="E166" t="s">
        <v>1818</v>
      </c>
    </row>
    <row r="167" spans="1:5" x14ac:dyDescent="0.45">
      <c r="A167" s="997"/>
      <c r="B167" s="380">
        <v>12</v>
      </c>
      <c r="C167" t="s">
        <v>1819</v>
      </c>
      <c r="D167" t="s">
        <v>1820</v>
      </c>
      <c r="E167" t="s">
        <v>1821</v>
      </c>
    </row>
    <row r="168" spans="1:5" x14ac:dyDescent="0.45">
      <c r="A168" s="997"/>
      <c r="B168" s="380">
        <v>13</v>
      </c>
      <c r="C168" t="s">
        <v>1825</v>
      </c>
      <c r="D168" t="s">
        <v>1826</v>
      </c>
      <c r="E168" t="s">
        <v>1827</v>
      </c>
    </row>
    <row r="169" spans="1:5" x14ac:dyDescent="0.45">
      <c r="A169" s="997"/>
      <c r="B169" s="380">
        <v>14</v>
      </c>
      <c r="C169" t="s">
        <v>1828</v>
      </c>
      <c r="D169" t="s">
        <v>1829</v>
      </c>
      <c r="E169" t="s">
        <v>1830</v>
      </c>
    </row>
    <row r="170" spans="1:5" x14ac:dyDescent="0.45">
      <c r="A170" s="997"/>
      <c r="B170" s="380">
        <v>15</v>
      </c>
      <c r="C170" t="s">
        <v>1831</v>
      </c>
      <c r="D170" t="s">
        <v>1832</v>
      </c>
      <c r="E170" t="s">
        <v>1833</v>
      </c>
    </row>
    <row r="171" spans="1:5" x14ac:dyDescent="0.45">
      <c r="A171" s="998"/>
      <c r="B171" s="380" t="s">
        <v>517</v>
      </c>
      <c r="C171" t="s">
        <v>1834</v>
      </c>
      <c r="D171" t="s">
        <v>1514</v>
      </c>
      <c r="E171" t="s">
        <v>1835</v>
      </c>
    </row>
    <row r="172" spans="1:5" x14ac:dyDescent="0.45">
      <c r="A172" s="996">
        <v>11</v>
      </c>
      <c r="B172" s="380">
        <v>0</v>
      </c>
      <c r="C172" t="s">
        <v>1784</v>
      </c>
      <c r="D172" t="s">
        <v>1785</v>
      </c>
      <c r="E172" t="s">
        <v>1786</v>
      </c>
    </row>
    <row r="173" spans="1:5" x14ac:dyDescent="0.45">
      <c r="A173" s="997"/>
      <c r="B173" s="380">
        <v>1</v>
      </c>
      <c r="C173" t="s">
        <v>1790</v>
      </c>
      <c r="D173" t="s">
        <v>1791</v>
      </c>
      <c r="E173" t="s">
        <v>1792</v>
      </c>
    </row>
    <row r="174" spans="1:5" x14ac:dyDescent="0.45">
      <c r="A174" s="997"/>
      <c r="B174" s="380">
        <v>2</v>
      </c>
      <c r="C174" t="s">
        <v>1793</v>
      </c>
      <c r="D174" t="s">
        <v>1794</v>
      </c>
      <c r="E174" t="s">
        <v>1482</v>
      </c>
    </row>
    <row r="175" spans="1:5" x14ac:dyDescent="0.45">
      <c r="A175" s="997"/>
      <c r="B175" s="380">
        <v>3</v>
      </c>
      <c r="C175" t="s">
        <v>1795</v>
      </c>
      <c r="D175" t="s">
        <v>1796</v>
      </c>
      <c r="E175" t="s">
        <v>1797</v>
      </c>
    </row>
    <row r="176" spans="1:5" x14ac:dyDescent="0.45">
      <c r="A176" s="997"/>
      <c r="B176" s="380">
        <v>4</v>
      </c>
      <c r="C176" t="s">
        <v>1801</v>
      </c>
      <c r="D176" t="s">
        <v>1802</v>
      </c>
      <c r="E176" t="s">
        <v>1803</v>
      </c>
    </row>
    <row r="177" spans="1:5" x14ac:dyDescent="0.45">
      <c r="A177" s="997"/>
      <c r="B177" s="380">
        <v>5</v>
      </c>
      <c r="C177" t="s">
        <v>1804</v>
      </c>
      <c r="D177" t="s">
        <v>1805</v>
      </c>
      <c r="E177" t="s">
        <v>1806</v>
      </c>
    </row>
    <row r="178" spans="1:5" x14ac:dyDescent="0.45">
      <c r="A178" s="997"/>
      <c r="B178" s="380">
        <v>6</v>
      </c>
      <c r="C178" t="s">
        <v>1807</v>
      </c>
      <c r="D178" t="s">
        <v>1808</v>
      </c>
      <c r="E178" t="s">
        <v>1809</v>
      </c>
    </row>
    <row r="179" spans="1:5" x14ac:dyDescent="0.45">
      <c r="A179" s="997"/>
      <c r="B179" s="380">
        <v>7</v>
      </c>
      <c r="C179" t="s">
        <v>1813</v>
      </c>
      <c r="D179" t="s">
        <v>1814</v>
      </c>
      <c r="E179" t="s">
        <v>1815</v>
      </c>
    </row>
    <row r="180" spans="1:5" x14ac:dyDescent="0.45">
      <c r="A180" s="997"/>
      <c r="B180" s="380">
        <v>8</v>
      </c>
      <c r="C180" t="s">
        <v>1816</v>
      </c>
      <c r="D180" t="s">
        <v>1817</v>
      </c>
      <c r="E180" t="s">
        <v>1818</v>
      </c>
    </row>
    <row r="181" spans="1:5" x14ac:dyDescent="0.45">
      <c r="A181" s="997"/>
      <c r="B181" s="380">
        <v>9</v>
      </c>
      <c r="C181" t="s">
        <v>1819</v>
      </c>
      <c r="D181" t="s">
        <v>1820</v>
      </c>
      <c r="E181" t="s">
        <v>1821</v>
      </c>
    </row>
    <row r="182" spans="1:5" x14ac:dyDescent="0.45">
      <c r="A182" s="997"/>
      <c r="B182" s="380">
        <v>10</v>
      </c>
      <c r="C182" t="s">
        <v>1825</v>
      </c>
      <c r="D182" t="s">
        <v>1826</v>
      </c>
      <c r="E182" t="s">
        <v>1827</v>
      </c>
    </row>
    <row r="183" spans="1:5" x14ac:dyDescent="0.45">
      <c r="A183" s="997"/>
      <c r="B183" s="380">
        <v>11</v>
      </c>
      <c r="C183" t="s">
        <v>1828</v>
      </c>
      <c r="D183" t="s">
        <v>1829</v>
      </c>
      <c r="E183" t="s">
        <v>1830</v>
      </c>
    </row>
    <row r="184" spans="1:5" x14ac:dyDescent="0.45">
      <c r="A184" s="997"/>
      <c r="B184" s="380">
        <v>12</v>
      </c>
      <c r="C184" t="s">
        <v>1831</v>
      </c>
      <c r="D184" t="s">
        <v>1832</v>
      </c>
      <c r="E184" t="s">
        <v>1833</v>
      </c>
    </row>
    <row r="185" spans="1:5" x14ac:dyDescent="0.45">
      <c r="A185" s="997"/>
      <c r="B185" s="380">
        <v>13</v>
      </c>
      <c r="C185" t="s">
        <v>1836</v>
      </c>
      <c r="D185" t="s">
        <v>1837</v>
      </c>
      <c r="E185" t="s">
        <v>1838</v>
      </c>
    </row>
    <row r="186" spans="1:5" x14ac:dyDescent="0.45">
      <c r="A186" s="997"/>
      <c r="B186" s="380">
        <v>14</v>
      </c>
      <c r="C186" t="s">
        <v>1839</v>
      </c>
      <c r="D186" t="s">
        <v>1840</v>
      </c>
      <c r="E186" t="s">
        <v>1841</v>
      </c>
    </row>
    <row r="187" spans="1:5" x14ac:dyDescent="0.45">
      <c r="A187" s="997"/>
      <c r="B187" s="380">
        <v>15</v>
      </c>
      <c r="C187" t="s">
        <v>1842</v>
      </c>
      <c r="D187" t="s">
        <v>1843</v>
      </c>
      <c r="E187" t="s">
        <v>1670</v>
      </c>
    </row>
    <row r="188" spans="1:5" x14ac:dyDescent="0.45">
      <c r="A188" s="998"/>
      <c r="B188" s="380" t="s">
        <v>517</v>
      </c>
      <c r="C188" t="s">
        <v>1844</v>
      </c>
      <c r="D188" t="s">
        <v>1845</v>
      </c>
      <c r="E188" t="s">
        <v>1846</v>
      </c>
    </row>
    <row r="189" spans="1:5" x14ac:dyDescent="0.45">
      <c r="A189" s="996">
        <v>12</v>
      </c>
      <c r="B189" s="380">
        <v>0</v>
      </c>
      <c r="C189" t="s">
        <v>1795</v>
      </c>
      <c r="D189" t="s">
        <v>1796</v>
      </c>
      <c r="E189" t="s">
        <v>1797</v>
      </c>
    </row>
    <row r="190" spans="1:5" x14ac:dyDescent="0.45">
      <c r="A190" s="997"/>
      <c r="B190" s="380">
        <v>1</v>
      </c>
      <c r="C190" t="s">
        <v>1801</v>
      </c>
      <c r="D190" t="s">
        <v>1802</v>
      </c>
      <c r="E190" t="s">
        <v>1803</v>
      </c>
    </row>
    <row r="191" spans="1:5" x14ac:dyDescent="0.45">
      <c r="A191" s="997"/>
      <c r="B191" s="380">
        <v>2</v>
      </c>
      <c r="C191" t="s">
        <v>1804</v>
      </c>
      <c r="D191" t="s">
        <v>1805</v>
      </c>
      <c r="E191" t="s">
        <v>1806</v>
      </c>
    </row>
    <row r="192" spans="1:5" x14ac:dyDescent="0.45">
      <c r="A192" s="997"/>
      <c r="B192" s="380">
        <v>3</v>
      </c>
      <c r="C192" t="s">
        <v>1807</v>
      </c>
      <c r="D192" t="s">
        <v>1808</v>
      </c>
      <c r="E192" t="s">
        <v>1809</v>
      </c>
    </row>
    <row r="193" spans="1:5" x14ac:dyDescent="0.45">
      <c r="A193" s="997"/>
      <c r="B193" s="380">
        <v>4</v>
      </c>
      <c r="C193" t="s">
        <v>1813</v>
      </c>
      <c r="D193" t="s">
        <v>1814</v>
      </c>
      <c r="E193" t="s">
        <v>1815</v>
      </c>
    </row>
    <row r="194" spans="1:5" x14ac:dyDescent="0.45">
      <c r="A194" s="997"/>
      <c r="B194" s="380">
        <v>5</v>
      </c>
      <c r="C194" t="s">
        <v>1816</v>
      </c>
      <c r="D194" t="s">
        <v>1817</v>
      </c>
      <c r="E194" t="s">
        <v>1818</v>
      </c>
    </row>
    <row r="195" spans="1:5" x14ac:dyDescent="0.45">
      <c r="A195" s="997"/>
      <c r="B195" s="380">
        <v>6</v>
      </c>
      <c r="C195" t="s">
        <v>1819</v>
      </c>
      <c r="D195" t="s">
        <v>1820</v>
      </c>
      <c r="E195" t="s">
        <v>1821</v>
      </c>
    </row>
    <row r="196" spans="1:5" x14ac:dyDescent="0.45">
      <c r="A196" s="997"/>
      <c r="B196" s="380">
        <v>7</v>
      </c>
      <c r="C196" t="s">
        <v>1825</v>
      </c>
      <c r="D196" t="s">
        <v>1826</v>
      </c>
      <c r="E196" t="s">
        <v>1827</v>
      </c>
    </row>
    <row r="197" spans="1:5" x14ac:dyDescent="0.45">
      <c r="A197" s="997"/>
      <c r="B197" s="380">
        <v>8</v>
      </c>
      <c r="C197" t="s">
        <v>1828</v>
      </c>
      <c r="D197" t="s">
        <v>1829</v>
      </c>
      <c r="E197" t="s">
        <v>1830</v>
      </c>
    </row>
    <row r="198" spans="1:5" x14ac:dyDescent="0.45">
      <c r="A198" s="997"/>
      <c r="B198" s="380">
        <v>9</v>
      </c>
      <c r="C198" t="s">
        <v>1831</v>
      </c>
      <c r="D198" t="s">
        <v>1832</v>
      </c>
      <c r="E198" t="s">
        <v>1833</v>
      </c>
    </row>
    <row r="199" spans="1:5" x14ac:dyDescent="0.45">
      <c r="A199" s="997"/>
      <c r="B199" s="380">
        <v>10</v>
      </c>
      <c r="C199" t="s">
        <v>1836</v>
      </c>
      <c r="D199" t="s">
        <v>1837</v>
      </c>
      <c r="E199" t="s">
        <v>1838</v>
      </c>
    </row>
    <row r="200" spans="1:5" x14ac:dyDescent="0.45">
      <c r="A200" s="997"/>
      <c r="B200" s="380">
        <v>11</v>
      </c>
      <c r="C200" t="s">
        <v>1839</v>
      </c>
      <c r="D200" t="s">
        <v>1840</v>
      </c>
      <c r="E200" t="s">
        <v>1841</v>
      </c>
    </row>
    <row r="201" spans="1:5" x14ac:dyDescent="0.45">
      <c r="A201" s="997"/>
      <c r="B201" s="380">
        <v>12</v>
      </c>
      <c r="C201" t="s">
        <v>1842</v>
      </c>
      <c r="D201" t="s">
        <v>1843</v>
      </c>
      <c r="E201" t="s">
        <v>1670</v>
      </c>
    </row>
    <row r="202" spans="1:5" x14ac:dyDescent="0.45">
      <c r="A202" s="997"/>
      <c r="B202" s="380">
        <v>13</v>
      </c>
      <c r="C202" t="s">
        <v>1847</v>
      </c>
      <c r="D202" t="s">
        <v>1848</v>
      </c>
      <c r="E202" t="s">
        <v>1849</v>
      </c>
    </row>
    <row r="203" spans="1:5" x14ac:dyDescent="0.45">
      <c r="A203" s="997"/>
      <c r="B203" s="380">
        <v>14</v>
      </c>
      <c r="C203" t="s">
        <v>1850</v>
      </c>
      <c r="D203" t="s">
        <v>1851</v>
      </c>
      <c r="E203" t="s">
        <v>1852</v>
      </c>
    </row>
    <row r="204" spans="1:5" x14ac:dyDescent="0.45">
      <c r="A204" s="997"/>
      <c r="B204" s="380">
        <v>15</v>
      </c>
      <c r="C204" t="s">
        <v>1853</v>
      </c>
      <c r="D204" t="s">
        <v>1854</v>
      </c>
      <c r="E204" t="s">
        <v>1855</v>
      </c>
    </row>
    <row r="205" spans="1:5" x14ac:dyDescent="0.45">
      <c r="A205" s="998"/>
      <c r="B205" s="380" t="s">
        <v>517</v>
      </c>
      <c r="C205" t="s">
        <v>1856</v>
      </c>
      <c r="D205" t="s">
        <v>1857</v>
      </c>
      <c r="E205" t="s">
        <v>1858</v>
      </c>
    </row>
    <row r="206" spans="1:5" x14ac:dyDescent="0.45">
      <c r="A206" s="996">
        <v>13</v>
      </c>
      <c r="B206" s="380">
        <v>0</v>
      </c>
      <c r="C206" t="s">
        <v>1807</v>
      </c>
      <c r="D206" t="s">
        <v>1808</v>
      </c>
      <c r="E206" t="s">
        <v>1809</v>
      </c>
    </row>
    <row r="207" spans="1:5" x14ac:dyDescent="0.45">
      <c r="A207" s="997"/>
      <c r="B207" s="380">
        <v>1</v>
      </c>
      <c r="C207" t="s">
        <v>1813</v>
      </c>
      <c r="D207" t="s">
        <v>1814</v>
      </c>
      <c r="E207" t="s">
        <v>1815</v>
      </c>
    </row>
    <row r="208" spans="1:5" x14ac:dyDescent="0.45">
      <c r="A208" s="997"/>
      <c r="B208" s="380">
        <v>2</v>
      </c>
      <c r="C208" t="s">
        <v>1816</v>
      </c>
      <c r="D208" t="s">
        <v>1817</v>
      </c>
      <c r="E208" t="s">
        <v>1818</v>
      </c>
    </row>
    <row r="209" spans="1:5" x14ac:dyDescent="0.45">
      <c r="A209" s="997"/>
      <c r="B209" s="380">
        <v>3</v>
      </c>
      <c r="C209" t="s">
        <v>1819</v>
      </c>
      <c r="D209" t="s">
        <v>1820</v>
      </c>
      <c r="E209" t="s">
        <v>1821</v>
      </c>
    </row>
    <row r="210" spans="1:5" x14ac:dyDescent="0.45">
      <c r="A210" s="997"/>
      <c r="B210" s="380">
        <v>4</v>
      </c>
      <c r="C210" t="s">
        <v>1825</v>
      </c>
      <c r="D210" t="s">
        <v>1826</v>
      </c>
      <c r="E210" t="s">
        <v>1827</v>
      </c>
    </row>
    <row r="211" spans="1:5" x14ac:dyDescent="0.45">
      <c r="A211" s="997"/>
      <c r="B211" s="380">
        <v>5</v>
      </c>
      <c r="C211" t="s">
        <v>1828</v>
      </c>
      <c r="D211" t="s">
        <v>1829</v>
      </c>
      <c r="E211" t="s">
        <v>1830</v>
      </c>
    </row>
    <row r="212" spans="1:5" x14ac:dyDescent="0.45">
      <c r="A212" s="997"/>
      <c r="B212" s="380">
        <v>6</v>
      </c>
      <c r="C212" t="s">
        <v>1831</v>
      </c>
      <c r="D212" t="s">
        <v>1832</v>
      </c>
      <c r="E212" t="s">
        <v>1833</v>
      </c>
    </row>
    <row r="213" spans="1:5" x14ac:dyDescent="0.45">
      <c r="A213" s="997"/>
      <c r="B213" s="380">
        <v>7</v>
      </c>
      <c r="C213" t="s">
        <v>1836</v>
      </c>
      <c r="D213" t="s">
        <v>1837</v>
      </c>
      <c r="E213" t="s">
        <v>1838</v>
      </c>
    </row>
    <row r="214" spans="1:5" x14ac:dyDescent="0.45">
      <c r="A214" s="997"/>
      <c r="B214" s="380">
        <v>8</v>
      </c>
      <c r="C214" t="s">
        <v>1839</v>
      </c>
      <c r="D214" t="s">
        <v>1840</v>
      </c>
      <c r="E214" t="s">
        <v>1841</v>
      </c>
    </row>
    <row r="215" spans="1:5" x14ac:dyDescent="0.45">
      <c r="A215" s="997"/>
      <c r="B215" s="380">
        <v>9</v>
      </c>
      <c r="C215" t="s">
        <v>1842</v>
      </c>
      <c r="D215" t="s">
        <v>1843</v>
      </c>
      <c r="E215" t="s">
        <v>1670</v>
      </c>
    </row>
    <row r="216" spans="1:5" x14ac:dyDescent="0.45">
      <c r="A216" s="997"/>
      <c r="B216" s="380">
        <v>10</v>
      </c>
      <c r="C216" t="s">
        <v>1847</v>
      </c>
      <c r="D216" t="s">
        <v>1848</v>
      </c>
      <c r="E216" t="s">
        <v>1849</v>
      </c>
    </row>
    <row r="217" spans="1:5" x14ac:dyDescent="0.45">
      <c r="A217" s="997"/>
      <c r="B217" s="380">
        <v>11</v>
      </c>
      <c r="C217" t="s">
        <v>1850</v>
      </c>
      <c r="D217" t="s">
        <v>1851</v>
      </c>
      <c r="E217" t="s">
        <v>1852</v>
      </c>
    </row>
    <row r="218" spans="1:5" x14ac:dyDescent="0.45">
      <c r="A218" s="997"/>
      <c r="B218" s="380">
        <v>12</v>
      </c>
      <c r="C218" t="s">
        <v>1853</v>
      </c>
      <c r="D218" t="s">
        <v>1854</v>
      </c>
      <c r="E218" t="s">
        <v>1855</v>
      </c>
    </row>
    <row r="219" spans="1:5" x14ac:dyDescent="0.45">
      <c r="A219" s="997"/>
      <c r="B219" s="380">
        <v>13</v>
      </c>
      <c r="C219" t="s">
        <v>1859</v>
      </c>
      <c r="D219" t="s">
        <v>1860</v>
      </c>
      <c r="E219" t="s">
        <v>1861</v>
      </c>
    </row>
    <row r="220" spans="1:5" x14ac:dyDescent="0.45">
      <c r="A220" s="997"/>
      <c r="B220" s="380">
        <v>14</v>
      </c>
      <c r="C220" t="s">
        <v>1862</v>
      </c>
      <c r="D220" t="s">
        <v>1863</v>
      </c>
      <c r="E220" t="s">
        <v>1864</v>
      </c>
    </row>
    <row r="221" spans="1:5" x14ac:dyDescent="0.45">
      <c r="A221" s="997"/>
      <c r="B221" s="380">
        <v>15</v>
      </c>
      <c r="C221" t="s">
        <v>1865</v>
      </c>
      <c r="D221" t="s">
        <v>1866</v>
      </c>
      <c r="E221" t="s">
        <v>1867</v>
      </c>
    </row>
    <row r="222" spans="1:5" x14ac:dyDescent="0.45">
      <c r="A222" s="998"/>
      <c r="B222" s="380" t="s">
        <v>517</v>
      </c>
      <c r="C222" t="s">
        <v>1868</v>
      </c>
      <c r="D222" t="s">
        <v>1869</v>
      </c>
      <c r="E222" t="s">
        <v>1870</v>
      </c>
    </row>
    <row r="223" spans="1:5" x14ac:dyDescent="0.45">
      <c r="A223" s="996">
        <v>14</v>
      </c>
      <c r="B223" s="380">
        <v>0</v>
      </c>
      <c r="C223" t="s">
        <v>1816</v>
      </c>
      <c r="D223" t="s">
        <v>1817</v>
      </c>
      <c r="E223" t="s">
        <v>1818</v>
      </c>
    </row>
    <row r="224" spans="1:5" x14ac:dyDescent="0.45">
      <c r="A224" s="997"/>
      <c r="B224" s="380">
        <v>1</v>
      </c>
      <c r="C224" t="s">
        <v>1819</v>
      </c>
      <c r="D224" t="s">
        <v>1820</v>
      </c>
      <c r="E224" t="s">
        <v>1821</v>
      </c>
    </row>
    <row r="225" spans="1:5" x14ac:dyDescent="0.45">
      <c r="A225" s="997"/>
      <c r="B225" s="380">
        <v>2</v>
      </c>
      <c r="C225" t="s">
        <v>1825</v>
      </c>
      <c r="D225" t="s">
        <v>1826</v>
      </c>
      <c r="E225" t="s">
        <v>1827</v>
      </c>
    </row>
    <row r="226" spans="1:5" x14ac:dyDescent="0.45">
      <c r="A226" s="997"/>
      <c r="B226" s="380">
        <v>3</v>
      </c>
      <c r="C226" t="s">
        <v>1828</v>
      </c>
      <c r="D226" t="s">
        <v>1829</v>
      </c>
      <c r="E226" t="s">
        <v>1830</v>
      </c>
    </row>
    <row r="227" spans="1:5" x14ac:dyDescent="0.45">
      <c r="A227" s="997"/>
      <c r="B227" s="380">
        <v>4</v>
      </c>
      <c r="C227" t="s">
        <v>1831</v>
      </c>
      <c r="D227" t="s">
        <v>1832</v>
      </c>
      <c r="E227" t="s">
        <v>1833</v>
      </c>
    </row>
    <row r="228" spans="1:5" x14ac:dyDescent="0.45">
      <c r="A228" s="997"/>
      <c r="B228" s="380">
        <v>5</v>
      </c>
      <c r="C228" t="s">
        <v>1836</v>
      </c>
      <c r="D228" t="s">
        <v>1837</v>
      </c>
      <c r="E228" t="s">
        <v>1838</v>
      </c>
    </row>
    <row r="229" spans="1:5" x14ac:dyDescent="0.45">
      <c r="A229" s="997"/>
      <c r="B229" s="380">
        <v>6</v>
      </c>
      <c r="C229" t="s">
        <v>1839</v>
      </c>
      <c r="D229" t="s">
        <v>1840</v>
      </c>
      <c r="E229" t="s">
        <v>1841</v>
      </c>
    </row>
    <row r="230" spans="1:5" x14ac:dyDescent="0.45">
      <c r="A230" s="997"/>
      <c r="B230" s="380">
        <v>7</v>
      </c>
      <c r="C230" t="s">
        <v>1842</v>
      </c>
      <c r="D230" t="s">
        <v>1843</v>
      </c>
      <c r="E230" t="s">
        <v>1670</v>
      </c>
    </row>
    <row r="231" spans="1:5" x14ac:dyDescent="0.45">
      <c r="A231" s="997"/>
      <c r="B231" s="380">
        <v>8</v>
      </c>
      <c r="C231" t="s">
        <v>1847</v>
      </c>
      <c r="D231" t="s">
        <v>1848</v>
      </c>
      <c r="E231" t="s">
        <v>1849</v>
      </c>
    </row>
    <row r="232" spans="1:5" x14ac:dyDescent="0.45">
      <c r="A232" s="997"/>
      <c r="B232" s="380">
        <v>9</v>
      </c>
      <c r="C232" t="s">
        <v>1850</v>
      </c>
      <c r="D232" t="s">
        <v>1851</v>
      </c>
      <c r="E232" t="s">
        <v>1852</v>
      </c>
    </row>
    <row r="233" spans="1:5" x14ac:dyDescent="0.45">
      <c r="A233" s="997"/>
      <c r="B233" s="380">
        <v>10</v>
      </c>
      <c r="C233" t="s">
        <v>1853</v>
      </c>
      <c r="D233" t="s">
        <v>1854</v>
      </c>
      <c r="E233" t="s">
        <v>1855</v>
      </c>
    </row>
    <row r="234" spans="1:5" x14ac:dyDescent="0.45">
      <c r="A234" s="997"/>
      <c r="B234" s="380">
        <v>11</v>
      </c>
      <c r="C234" t="s">
        <v>1859</v>
      </c>
      <c r="D234" t="s">
        <v>1860</v>
      </c>
      <c r="E234" t="s">
        <v>1861</v>
      </c>
    </row>
    <row r="235" spans="1:5" x14ac:dyDescent="0.45">
      <c r="A235" s="997"/>
      <c r="B235" s="380">
        <v>12</v>
      </c>
      <c r="C235" t="s">
        <v>1862</v>
      </c>
      <c r="D235" t="s">
        <v>1863</v>
      </c>
      <c r="E235" t="s">
        <v>1864</v>
      </c>
    </row>
    <row r="236" spans="1:5" x14ac:dyDescent="0.45">
      <c r="A236" s="997"/>
      <c r="B236" s="380">
        <v>13</v>
      </c>
      <c r="C236" t="s">
        <v>1865</v>
      </c>
      <c r="D236" t="s">
        <v>1866</v>
      </c>
      <c r="E236" t="s">
        <v>1867</v>
      </c>
    </row>
    <row r="237" spans="1:5" x14ac:dyDescent="0.45">
      <c r="A237" s="997"/>
      <c r="B237" s="380">
        <v>14</v>
      </c>
      <c r="C237" t="s">
        <v>1871</v>
      </c>
      <c r="D237" t="s">
        <v>1321</v>
      </c>
      <c r="E237" t="s">
        <v>1872</v>
      </c>
    </row>
    <row r="238" spans="1:5" x14ac:dyDescent="0.45">
      <c r="A238" s="997"/>
      <c r="B238" s="380">
        <v>15</v>
      </c>
      <c r="C238" t="s">
        <v>1873</v>
      </c>
      <c r="D238" t="s">
        <v>1874</v>
      </c>
      <c r="E238" t="s">
        <v>1875</v>
      </c>
    </row>
    <row r="239" spans="1:5" x14ac:dyDescent="0.45">
      <c r="A239" s="998"/>
      <c r="B239" s="380" t="s">
        <v>517</v>
      </c>
      <c r="C239" t="s">
        <v>1876</v>
      </c>
      <c r="D239" t="s">
        <v>1877</v>
      </c>
      <c r="E239" t="s">
        <v>1878</v>
      </c>
    </row>
    <row r="240" spans="1:5" x14ac:dyDescent="0.45">
      <c r="A240" s="996">
        <v>15</v>
      </c>
      <c r="B240" s="380">
        <v>0</v>
      </c>
      <c r="C240" t="s">
        <v>1825</v>
      </c>
      <c r="D240" t="s">
        <v>1826</v>
      </c>
      <c r="E240" t="s">
        <v>1827</v>
      </c>
    </row>
    <row r="241" spans="1:5" x14ac:dyDescent="0.45">
      <c r="A241" s="997"/>
      <c r="B241" s="380">
        <v>1</v>
      </c>
      <c r="C241" t="s">
        <v>1828</v>
      </c>
      <c r="D241" t="s">
        <v>1829</v>
      </c>
      <c r="E241" t="s">
        <v>1830</v>
      </c>
    </row>
    <row r="242" spans="1:5" x14ac:dyDescent="0.45">
      <c r="A242" s="997"/>
      <c r="B242" s="380">
        <v>2</v>
      </c>
      <c r="C242" t="s">
        <v>1831</v>
      </c>
      <c r="D242" t="s">
        <v>1832</v>
      </c>
      <c r="E242" t="s">
        <v>1833</v>
      </c>
    </row>
    <row r="243" spans="1:5" x14ac:dyDescent="0.45">
      <c r="A243" s="997"/>
      <c r="B243" s="380">
        <v>3</v>
      </c>
      <c r="C243" t="s">
        <v>1836</v>
      </c>
      <c r="D243" t="s">
        <v>1837</v>
      </c>
      <c r="E243" t="s">
        <v>1838</v>
      </c>
    </row>
    <row r="244" spans="1:5" x14ac:dyDescent="0.45">
      <c r="A244" s="997"/>
      <c r="B244" s="380">
        <v>4</v>
      </c>
      <c r="C244" t="s">
        <v>1839</v>
      </c>
      <c r="D244" t="s">
        <v>1840</v>
      </c>
      <c r="E244" t="s">
        <v>1841</v>
      </c>
    </row>
    <row r="245" spans="1:5" x14ac:dyDescent="0.45">
      <c r="A245" s="997"/>
      <c r="B245" s="380">
        <v>5</v>
      </c>
      <c r="C245" t="s">
        <v>1842</v>
      </c>
      <c r="D245" t="s">
        <v>1843</v>
      </c>
      <c r="E245" t="s">
        <v>1670</v>
      </c>
    </row>
    <row r="246" spans="1:5" x14ac:dyDescent="0.45">
      <c r="A246" s="997"/>
      <c r="B246" s="380">
        <v>6</v>
      </c>
      <c r="C246" t="s">
        <v>1847</v>
      </c>
      <c r="D246" t="s">
        <v>1848</v>
      </c>
      <c r="E246" t="s">
        <v>1849</v>
      </c>
    </row>
    <row r="247" spans="1:5" x14ac:dyDescent="0.45">
      <c r="A247" s="997"/>
      <c r="B247" s="380">
        <v>7</v>
      </c>
      <c r="C247" t="s">
        <v>1850</v>
      </c>
      <c r="D247" t="s">
        <v>1851</v>
      </c>
      <c r="E247" t="s">
        <v>1852</v>
      </c>
    </row>
    <row r="248" spans="1:5" x14ac:dyDescent="0.45">
      <c r="A248" s="997"/>
      <c r="B248" s="380">
        <v>8</v>
      </c>
      <c r="C248" t="s">
        <v>1853</v>
      </c>
      <c r="D248" t="s">
        <v>1854</v>
      </c>
      <c r="E248" t="s">
        <v>1855</v>
      </c>
    </row>
    <row r="249" spans="1:5" x14ac:dyDescent="0.45">
      <c r="A249" s="997"/>
      <c r="B249" s="380">
        <v>9</v>
      </c>
      <c r="C249" t="s">
        <v>1859</v>
      </c>
      <c r="D249" t="s">
        <v>1860</v>
      </c>
      <c r="E249" t="s">
        <v>1861</v>
      </c>
    </row>
    <row r="250" spans="1:5" x14ac:dyDescent="0.45">
      <c r="A250" s="997"/>
      <c r="B250" s="380">
        <v>10</v>
      </c>
      <c r="C250" t="s">
        <v>1862</v>
      </c>
      <c r="D250" t="s">
        <v>1863</v>
      </c>
      <c r="E250" t="s">
        <v>1864</v>
      </c>
    </row>
    <row r="251" spans="1:5" x14ac:dyDescent="0.45">
      <c r="A251" s="997"/>
      <c r="B251" s="380">
        <v>11</v>
      </c>
      <c r="C251" t="s">
        <v>1865</v>
      </c>
      <c r="D251" t="s">
        <v>1866</v>
      </c>
      <c r="E251" t="s">
        <v>1867</v>
      </c>
    </row>
    <row r="252" spans="1:5" x14ac:dyDescent="0.45">
      <c r="A252" s="997"/>
      <c r="B252" s="380">
        <v>12</v>
      </c>
      <c r="C252" t="s">
        <v>1871</v>
      </c>
      <c r="D252" t="s">
        <v>1321</v>
      </c>
      <c r="E252" t="s">
        <v>1872</v>
      </c>
    </row>
    <row r="253" spans="1:5" x14ac:dyDescent="0.45">
      <c r="A253" s="997"/>
      <c r="B253" s="380">
        <v>13</v>
      </c>
      <c r="C253" t="s">
        <v>1873</v>
      </c>
      <c r="D253" t="s">
        <v>1874</v>
      </c>
      <c r="E253" t="s">
        <v>1875</v>
      </c>
    </row>
    <row r="254" spans="1:5" x14ac:dyDescent="0.45">
      <c r="A254" s="997"/>
      <c r="B254" s="380">
        <v>14</v>
      </c>
      <c r="C254" t="s">
        <v>1879</v>
      </c>
      <c r="D254" t="s">
        <v>1880</v>
      </c>
      <c r="E254" t="s">
        <v>1881</v>
      </c>
    </row>
    <row r="255" spans="1:5" x14ac:dyDescent="0.45">
      <c r="A255" s="997"/>
      <c r="B255" s="380">
        <v>15</v>
      </c>
      <c r="C255" t="s">
        <v>1882</v>
      </c>
      <c r="D255" t="s">
        <v>1883</v>
      </c>
      <c r="E255" t="s">
        <v>1884</v>
      </c>
    </row>
    <row r="256" spans="1:5" x14ac:dyDescent="0.45">
      <c r="A256" s="998"/>
      <c r="B256" s="380" t="s">
        <v>517</v>
      </c>
      <c r="C256" t="s">
        <v>1885</v>
      </c>
      <c r="D256" t="s">
        <v>1886</v>
      </c>
      <c r="E256" t="s">
        <v>1887</v>
      </c>
    </row>
  </sheetData>
  <mergeCells count="15">
    <mergeCell ref="A2:A18"/>
    <mergeCell ref="A19:A35"/>
    <mergeCell ref="A36:A52"/>
    <mergeCell ref="A53:A69"/>
    <mergeCell ref="A240:A256"/>
    <mergeCell ref="A70:A86"/>
    <mergeCell ref="A87:A103"/>
    <mergeCell ref="A104:A120"/>
    <mergeCell ref="A121:A137"/>
    <mergeCell ref="A138:A154"/>
    <mergeCell ref="A155:A171"/>
    <mergeCell ref="A172:A188"/>
    <mergeCell ref="A189:A205"/>
    <mergeCell ref="A206:A222"/>
    <mergeCell ref="A223:A23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pageSetUpPr autoPageBreaks="0"/>
  </sheetPr>
  <dimension ref="A1:BW300"/>
  <sheetViews>
    <sheetView zoomScaleNormal="100" workbookViewId="0"/>
  </sheetViews>
  <sheetFormatPr defaultRowHeight="15.75" x14ac:dyDescent="0.45"/>
  <cols>
    <col min="1" max="1" width="15.59765625" customWidth="1"/>
    <col min="2" max="2" width="36.59765625" style="399" customWidth="1"/>
    <col min="3" max="3" width="5.59765625" style="60" customWidth="1"/>
    <col min="4" max="4" width="15.59765625" style="217" customWidth="1"/>
    <col min="5" max="5" width="30.59765625" style="396" customWidth="1"/>
    <col min="6" max="21" width="5.59765625" style="396" customWidth="1"/>
    <col min="22" max="22" width="14.59765625" style="217" customWidth="1"/>
    <col min="23" max="23" width="6.59765625" style="217" customWidth="1"/>
    <col min="24" max="24" width="14.59765625" style="623" customWidth="1"/>
    <col min="25" max="25" width="14.59765625" style="217" customWidth="1"/>
    <col min="26" max="26" width="8.59765625" style="60" customWidth="1"/>
    <col min="27" max="27" width="8.73046875" customWidth="1"/>
    <col min="28" max="28" width="20.59765625" customWidth="1"/>
    <col min="29" max="29" width="36.59765625" customWidth="1"/>
    <col min="49" max="49" width="11.46484375" bestFit="1" customWidth="1"/>
    <col min="51" max="51" width="11.46484375" bestFit="1" customWidth="1"/>
    <col min="53" max="57" width="8.73046875" hidden="1" customWidth="1"/>
    <col min="58" max="58" width="12.19921875" hidden="1" customWidth="1"/>
    <col min="59" max="59" width="20.265625" hidden="1" customWidth="1"/>
    <col min="60" max="60" width="11.46484375" bestFit="1" customWidth="1"/>
  </cols>
  <sheetData>
    <row r="1" spans="1:75" ht="16.05" customHeight="1" x14ac:dyDescent="0.45">
      <c r="A1" s="738"/>
      <c r="B1" s="435"/>
      <c r="C1" s="323"/>
      <c r="D1" s="343"/>
      <c r="E1" s="294"/>
      <c r="F1" s="294"/>
      <c r="G1" s="294"/>
      <c r="H1" s="294"/>
      <c r="I1" s="294"/>
      <c r="J1" s="294"/>
      <c r="K1" s="294"/>
      <c r="L1" s="294"/>
      <c r="M1" s="294"/>
      <c r="N1" s="294"/>
      <c r="O1" s="294"/>
      <c r="P1" s="294"/>
      <c r="Q1" s="294"/>
      <c r="R1" s="294"/>
      <c r="S1" s="294"/>
      <c r="T1" s="294"/>
      <c r="U1" s="294"/>
      <c r="V1" s="343"/>
      <c r="W1" s="343"/>
      <c r="X1" s="617"/>
      <c r="Y1" s="343"/>
      <c r="Z1" s="323"/>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75" s="47" customFormat="1" ht="16.05" customHeight="1" x14ac:dyDescent="0.55000000000000004">
      <c r="A2" s="319"/>
      <c r="B2" s="435" t="s">
        <v>1</v>
      </c>
      <c r="C2" s="323"/>
      <c r="D2" s="414"/>
      <c r="E2" s="415" t="s">
        <v>776</v>
      </c>
      <c r="F2" s="401"/>
      <c r="G2" s="401"/>
      <c r="H2" s="401"/>
      <c r="I2" s="401"/>
      <c r="J2" s="401"/>
      <c r="K2" s="401"/>
      <c r="L2" s="401"/>
      <c r="M2" s="401"/>
      <c r="N2" s="401"/>
      <c r="O2" s="401"/>
      <c r="P2" s="401"/>
      <c r="Q2" s="401"/>
      <c r="R2" s="401"/>
      <c r="S2" s="401"/>
      <c r="T2" s="401"/>
      <c r="U2" s="401"/>
      <c r="V2" s="414"/>
      <c r="W2" s="414"/>
      <c r="X2" s="618" t="s">
        <v>777</v>
      </c>
      <c r="Y2" s="387"/>
      <c r="Z2" s="323"/>
      <c r="AA2" s="319"/>
      <c r="AB2" s="289"/>
      <c r="AC2" s="388" t="s">
        <v>2047</v>
      </c>
      <c r="AD2" s="289"/>
      <c r="AE2" s="289"/>
      <c r="AF2" s="319"/>
      <c r="AG2" s="319"/>
      <c r="AH2" s="319"/>
      <c r="AI2" s="319"/>
      <c r="AJ2" s="319"/>
      <c r="AK2" s="319"/>
      <c r="AL2" s="319"/>
      <c r="AM2" s="319"/>
      <c r="AN2" s="319"/>
      <c r="AO2" s="319"/>
      <c r="AP2" s="319"/>
      <c r="AQ2" s="319"/>
      <c r="AR2" s="319"/>
      <c r="AS2" s="319"/>
      <c r="AT2" s="319"/>
      <c r="AU2" s="319"/>
      <c r="AV2" s="319"/>
      <c r="AW2" s="319"/>
      <c r="AX2" s="319"/>
      <c r="AY2" s="319"/>
      <c r="AZ2" s="319"/>
      <c r="BA2"/>
      <c r="BB2"/>
      <c r="BC2"/>
      <c r="BD2"/>
    </row>
    <row r="3" spans="1:75" ht="16.05" customHeight="1" thickBot="1" x14ac:dyDescent="0.5">
      <c r="A3" s="289"/>
      <c r="B3" s="435"/>
      <c r="C3" s="323"/>
      <c r="D3" s="343"/>
      <c r="E3" s="343"/>
      <c r="F3" s="294"/>
      <c r="G3" s="294"/>
      <c r="H3" s="294"/>
      <c r="I3" s="294"/>
      <c r="J3" s="294"/>
      <c r="K3" s="294"/>
      <c r="L3" s="294"/>
      <c r="M3" s="294"/>
      <c r="N3" s="294"/>
      <c r="O3" s="294"/>
      <c r="P3" s="294"/>
      <c r="Q3" s="294"/>
      <c r="R3" s="294"/>
      <c r="S3" s="294"/>
      <c r="T3" s="294"/>
      <c r="U3" s="294"/>
      <c r="V3" s="343"/>
      <c r="W3" s="343"/>
      <c r="X3" s="617"/>
      <c r="Y3" s="343"/>
      <c r="Z3" s="323"/>
      <c r="AA3" s="289"/>
      <c r="AB3" s="289"/>
      <c r="AC3" s="294"/>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75" ht="16.05" customHeight="1" thickBot="1" x14ac:dyDescent="0.5">
      <c r="A4" s="298"/>
      <c r="B4" s="585" t="str">
        <f ca="1">IF(B5="","",
IF(
   OR(
      INDIRECT("'1a. Input organisatieniveau'!AC" &amp; (7 + INT((ROW()-4)/7)))="",
      INDIRECT("'1a. Input organisatieniveau'!AC" &amp; (7 + INT((ROW()-4)/7)))=0
   ),
   "",
   INDIRECT("'1a. Input organisatieniveau'!AC" &amp; (7 + INT((ROW()-4)/7)))
))</f>
        <v/>
      </c>
      <c r="C4" s="324" t="s">
        <v>779</v>
      </c>
      <c r="D4" s="416"/>
      <c r="E4" s="428"/>
      <c r="F4" s="422" t="str">
        <f t="shared" ref="F4:U4" ca="1" si="0">IF($B5="","",
IF($D6="Gebruik % van maximum salaris",
 IF(OR(AND(AND(F5&lt;&gt;"",F6&lt;&gt;""),F8=""),AND(F8="",F9&lt;&gt;"")),"!",""),
 IF(OR(AND(AND(F5&lt;&gt;"",F7&lt;&gt;""),F8=""),AND(F8="",F9&lt;&gt;"")),"!","")))</f>
        <v/>
      </c>
      <c r="G4" s="422" t="str">
        <f t="shared" ca="1" si="0"/>
        <v/>
      </c>
      <c r="H4" s="422" t="str">
        <f t="shared" ca="1" si="0"/>
        <v/>
      </c>
      <c r="I4" s="422" t="str">
        <f t="shared" ca="1" si="0"/>
        <v/>
      </c>
      <c r="J4" s="422" t="str">
        <f t="shared" ca="1" si="0"/>
        <v/>
      </c>
      <c r="K4" s="422" t="str">
        <f t="shared" ca="1" si="0"/>
        <v/>
      </c>
      <c r="L4" s="422" t="str">
        <f t="shared" ca="1" si="0"/>
        <v/>
      </c>
      <c r="M4" s="422" t="str">
        <f t="shared" ca="1" si="0"/>
        <v/>
      </c>
      <c r="N4" s="422" t="str">
        <f t="shared" ca="1" si="0"/>
        <v/>
      </c>
      <c r="O4" s="422" t="str">
        <f t="shared" ca="1" si="0"/>
        <v/>
      </c>
      <c r="P4" s="422" t="str">
        <f t="shared" ca="1" si="0"/>
        <v/>
      </c>
      <c r="Q4" s="422" t="str">
        <f t="shared" ca="1" si="0"/>
        <v/>
      </c>
      <c r="R4" s="422" t="str">
        <f t="shared" ca="1" si="0"/>
        <v/>
      </c>
      <c r="S4" s="422" t="str">
        <f t="shared" ca="1" si="0"/>
        <v/>
      </c>
      <c r="T4" s="422" t="str">
        <f t="shared" ca="1" si="0"/>
        <v/>
      </c>
      <c r="U4" s="422" t="str">
        <f t="shared" ca="1" si="0"/>
        <v/>
      </c>
      <c r="V4" s="416"/>
      <c r="W4" s="416"/>
      <c r="X4" s="619"/>
      <c r="Y4" s="416"/>
      <c r="Z4" s="330"/>
      <c r="AA4" s="289"/>
      <c r="AB4" s="289"/>
      <c r="AC4" s="547" t="str">
        <f>HYPERLINK(
  "#'6. Definities'!" &amp;
  INDEX('Hulp (definities)'!E:E,
        MATCH("Schaal",'Hulp (definities)'!A:A,0)
  ),
  "Schaal"
)</f>
        <v>Schaal</v>
      </c>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75" ht="16.05" customHeight="1" thickBot="1" x14ac:dyDescent="0.5">
      <c r="A5" s="289"/>
      <c r="B5" s="586" t="str">
        <f ca="1">IF(
   OR(
      INDIRECT("'1a. Input organisatieniveau'!AA" &amp; (7 + INT((ROW()-4)/7)))="",
      INDIRECT("'1a. Input organisatieniveau'!AA" &amp; (7 + INT((ROW()-4)/7)))=0
   ),
   "",
   INDIRECT("'1a. Input organisatieniveau'!AA" &amp; (7 + INT((ROW()-4)/7)))
)</f>
        <v/>
      </c>
      <c r="C5" s="325" t="s">
        <v>779</v>
      </c>
      <c r="D5" s="434"/>
      <c r="E5" s="429" t="s">
        <v>28</v>
      </c>
      <c r="F5" s="423" t="str">
        <f ca="1">IF($B5="", "", IF($BF8, IF('Hulp (CAO''s)'!J$8&lt;&gt;"",'Hulp (CAO''s)'!J$8,""), INDEX('Hulp (CAO''s)'!J$3:J$7, MATCH(TRUE, 'Hulp (CAO''s)'!$D$3:$D$7, 0))))</f>
        <v/>
      </c>
      <c r="G5" s="423" t="str">
        <f ca="1">IF($B5="", "", IF($BF8, IF('Hulp (CAO''s)'!K$8&lt;&gt;"",'Hulp (CAO''s)'!K$8,""), INDEX('Hulp (CAO''s)'!K$3:K$7, MATCH(TRUE, 'Hulp (CAO''s)'!$D$3:$D$7, 0))))</f>
        <v/>
      </c>
      <c r="H5" s="423" t="str">
        <f ca="1">IF($B5="", "", IF($BF8, IF('Hulp (CAO''s)'!L$8&lt;&gt;"",'Hulp (CAO''s)'!L$8,""), INDEX('Hulp (CAO''s)'!L$3:L$7, MATCH(TRUE, 'Hulp (CAO''s)'!$D$3:$D$7, 0))))</f>
        <v/>
      </c>
      <c r="I5" s="423" t="str">
        <f ca="1">IF($B5="", "", IF($BF8, IF('Hulp (CAO''s)'!M$8&lt;&gt;"",'Hulp (CAO''s)'!M$8,""), INDEX('Hulp (CAO''s)'!M$3:M$7, MATCH(TRUE, 'Hulp (CAO''s)'!$D$3:$D$7, 0))))</f>
        <v/>
      </c>
      <c r="J5" s="423" t="str">
        <f ca="1">IF($B5="", "", IF($BF8, IF('Hulp (CAO''s)'!N$8&lt;&gt;"",'Hulp (CAO''s)'!N$8,""), INDEX('Hulp (CAO''s)'!N$3:N$7, MATCH(TRUE, 'Hulp (CAO''s)'!$D$3:$D$7, 0))))</f>
        <v/>
      </c>
      <c r="K5" s="423" t="str">
        <f ca="1">IF($B5="", "", IF($BF8, IF('Hulp (CAO''s)'!O$8&lt;&gt;"",'Hulp (CAO''s)'!O$8,""), INDEX('Hulp (CAO''s)'!O$3:O$7, MATCH(TRUE, 'Hulp (CAO''s)'!$D$3:$D$7, 0))))</f>
        <v/>
      </c>
      <c r="L5" s="423" t="str">
        <f ca="1">IF($B5="", "", IF($BF8, IF('Hulp (CAO''s)'!P$8&lt;&gt;"",'Hulp (CAO''s)'!P$8,""), INDEX('Hulp (CAO''s)'!P$3:P$7, MATCH(TRUE, 'Hulp (CAO''s)'!$D$3:$D$7, 0))))</f>
        <v/>
      </c>
      <c r="M5" s="423" t="str">
        <f ca="1">IF($B5="", "", IF($BF8, IF('Hulp (CAO''s)'!Q$8&lt;&gt;"",'Hulp (CAO''s)'!Q$8,""), INDEX('Hulp (CAO''s)'!Q$3:Q$7, MATCH(TRUE, 'Hulp (CAO''s)'!$D$3:$D$7, 0))))</f>
        <v/>
      </c>
      <c r="N5" s="423" t="str">
        <f ca="1">IF($B5="", "", IF($BF8, IF('Hulp (CAO''s)'!R$8&lt;&gt;"",'Hulp (CAO''s)'!R$8,""), INDEX('Hulp (CAO''s)'!R$3:R$7, MATCH(TRUE, 'Hulp (CAO''s)'!$D$3:$D$7, 0))))</f>
        <v/>
      </c>
      <c r="O5" s="423" t="str">
        <f ca="1">IF($B5="", "", IF($BF8, IF('Hulp (CAO''s)'!S$8&lt;&gt;"",'Hulp (CAO''s)'!S$8,""), INDEX('Hulp (CAO''s)'!S$3:S$7, MATCH(TRUE, 'Hulp (CAO''s)'!$D$3:$D$7, 0))))</f>
        <v/>
      </c>
      <c r="P5" s="423" t="str">
        <f ca="1">IF($B5="", "", IF($BF8, IF('Hulp (CAO''s)'!T$8&lt;&gt;"",'Hulp (CAO''s)'!T$8,""), INDEX('Hulp (CAO''s)'!T$3:T$7, MATCH(TRUE, 'Hulp (CAO''s)'!$D$3:$D$7, 0))))</f>
        <v/>
      </c>
      <c r="Q5" s="423" t="str">
        <f ca="1">IF($B5="", "", IF($BF8, IF('Hulp (CAO''s)'!U$8&lt;&gt;"",'Hulp (CAO''s)'!U$8,""), INDEX('Hulp (CAO''s)'!U$3:U$7, MATCH(TRUE, 'Hulp (CAO''s)'!$D$3:$D$7, 0))))</f>
        <v/>
      </c>
      <c r="R5" s="423" t="str">
        <f ca="1">IF($B5="", "", IF($BF8, IF('Hulp (CAO''s)'!V$8&lt;&gt;"",'Hulp (CAO''s)'!V$8,""), INDEX('Hulp (CAO''s)'!V$3:V$7, MATCH(TRUE, 'Hulp (CAO''s)'!$D$3:$D$7, 0))))</f>
        <v/>
      </c>
      <c r="S5" s="423" t="str">
        <f ca="1">IF($B5="", "", IF($BF8, IF('Hulp (CAO''s)'!W$8&lt;&gt;"",'Hulp (CAO''s)'!W$8,""), INDEX('Hulp (CAO''s)'!W$3:W$7, MATCH(TRUE, 'Hulp (CAO''s)'!$D$3:$D$7, 0))))</f>
        <v/>
      </c>
      <c r="T5" s="423" t="str">
        <f ca="1">IF($B5="", "", IF($BF8, IF('Hulp (CAO''s)'!X$8&lt;&gt;"",'Hulp (CAO''s)'!X$8,""), INDEX('Hulp (CAO''s)'!X$3:X$7, MATCH(TRUE, 'Hulp (CAO''s)'!$D$3:$D$7, 0))))</f>
        <v/>
      </c>
      <c r="U5" s="424" t="str">
        <f ca="1">IF($B5="", "", IF($BF8, IF('Hulp (CAO''s)'!Y$8&lt;&gt;"",'Hulp (CAO''s)'!Y$8,""), INDEX('Hulp (CAO''s)'!Y$3:Y$7, MATCH(TRUE, 'Hulp (CAO''s)'!$D$3:$D$7, 0))))</f>
        <v/>
      </c>
      <c r="V5" s="417"/>
      <c r="W5" s="343"/>
      <c r="X5" s="617"/>
      <c r="Y5" s="343"/>
      <c r="Z5" s="329"/>
      <c r="AA5" s="289"/>
      <c r="AB5" s="289"/>
      <c r="AC5" s="548" t="str">
        <f>HYPERLINK(
  "#'6. Definities'!" &amp;
  INDEX('Hulp (definities)'!E:E,
        MATCH("% t.o.v. max salaris in de schaal",'Hulp (definities)'!A:A,0)
  ),
  "% t.o.v. max salaris in de schaal"
)</f>
        <v>% t.o.v. max salaris in de schaal</v>
      </c>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75" ht="16.05" customHeight="1" x14ac:dyDescent="0.45">
      <c r="A6" s="289"/>
      <c r="B6" s="343"/>
      <c r="C6" s="325" t="s">
        <v>779</v>
      </c>
      <c r="D6" s="772" t="s">
        <v>772</v>
      </c>
      <c r="E6" s="430" t="str">
        <f ca="1">IF($BF8, "", "% t.o.v. max salaris in de schaal")</f>
        <v>% t.o.v. max salaris in de schaal</v>
      </c>
      <c r="F6" s="615"/>
      <c r="G6" s="706"/>
      <c r="H6" s="615"/>
      <c r="I6" s="615"/>
      <c r="J6" s="615"/>
      <c r="K6" s="615"/>
      <c r="L6" s="615"/>
      <c r="M6" s="615"/>
      <c r="N6" s="615"/>
      <c r="O6" s="615"/>
      <c r="P6" s="615"/>
      <c r="Q6" s="615"/>
      <c r="R6" s="615"/>
      <c r="S6" s="615"/>
      <c r="T6" s="615"/>
      <c r="U6" s="616"/>
      <c r="V6" s="774" t="s">
        <v>884</v>
      </c>
      <c r="W6" s="332"/>
      <c r="X6" s="776" t="s">
        <v>882</v>
      </c>
      <c r="Y6" s="778" t="s">
        <v>883</v>
      </c>
      <c r="Z6" s="329"/>
      <c r="AA6" s="771" t="s">
        <v>780</v>
      </c>
      <c r="AB6" s="770" t="s">
        <v>1079</v>
      </c>
      <c r="AC6" s="548" t="str">
        <f>HYPERLINK(
  "#'6. Definities'!" &amp;
  INDEX('Hulp (definities)'!E:E,
        MATCH("Trede (gemiddeld)",'Hulp (definities)'!A:A,0)
  ),
  "Trede (gemiddeld)"
)</f>
        <v>Trede (gemiddeld)</v>
      </c>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75" ht="16.05" customHeight="1" thickBot="1" x14ac:dyDescent="0.5">
      <c r="A7" s="289"/>
      <c r="B7" s="343"/>
      <c r="C7" s="325" t="s">
        <v>779</v>
      </c>
      <c r="D7" s="773"/>
      <c r="E7" s="431" t="str">
        <f ca="1">IF($BF8, "", "Trede (gemiddeld)")</f>
        <v>Trede (gemiddeld)</v>
      </c>
      <c r="F7" s="737"/>
      <c r="G7" s="739"/>
      <c r="H7" s="737"/>
      <c r="I7" s="737"/>
      <c r="J7" s="737"/>
      <c r="K7" s="737"/>
      <c r="L7" s="737"/>
      <c r="M7" s="737"/>
      <c r="N7" s="737"/>
      <c r="O7" s="737"/>
      <c r="P7" s="737"/>
      <c r="Q7" s="737"/>
      <c r="R7" s="737"/>
      <c r="S7" s="737"/>
      <c r="T7" s="737"/>
      <c r="U7" s="740"/>
      <c r="V7" s="775"/>
      <c r="W7" s="294"/>
      <c r="X7" s="777"/>
      <c r="Y7" s="779"/>
      <c r="Z7" s="329"/>
      <c r="AA7" s="771"/>
      <c r="AB7" s="770"/>
      <c r="AC7" s="548" t="str">
        <f>HYPERLINK(
  "#'6. Definities'!" &amp;
  INDEX('Hulp (definities)'!E:E,
        MATCH("Bruto maandsalaris",'Hulp (definities)'!A:A,0)
  ),
  "Bruto maandsalaris"
)</f>
        <v>Bruto maandsalaris</v>
      </c>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t="s">
        <v>943</v>
      </c>
      <c r="BB7" t="s">
        <v>2156</v>
      </c>
      <c r="BC7" t="s">
        <v>2157</v>
      </c>
      <c r="BD7" t="s">
        <v>2158</v>
      </c>
      <c r="BE7" t="s">
        <v>1084</v>
      </c>
      <c r="BF7" t="s">
        <v>2215</v>
      </c>
      <c r="BG7" t="s">
        <v>2245</v>
      </c>
    </row>
    <row r="8" spans="1:75" ht="16.05" customHeight="1" thickBot="1" x14ac:dyDescent="0.5">
      <c r="A8" s="289"/>
      <c r="B8" s="343"/>
      <c r="C8" s="325" t="s">
        <v>779</v>
      </c>
      <c r="E8" s="432" t="str">
        <f>IFERROR(
   INDEX('Hulp (CAO''s)'!$I$3:$I$7, MATCH(TRUE, 'Hulp (CAO''s)'!$D$3:$D$7, 0)),
"")</f>
        <v>Bruto maandsalaris</v>
      </c>
      <c r="F8" s="425" t="str" cm="1">
        <f t="array" aca="1" ref="F8" ca="1">IF($BF8, IF(F5="","",
   INDEX(
      INDIRECT("'" &amp; 'Hulp (CAO''s)'!$AE$8 &amp; "'!" &amp;
               'Hulp (overig)'!$C$17 &amp; "1:" &amp;
               'Hulp (overig)'!$C$17 &amp; "1000"),
      MATCH(
         F5,
         INDIRECT("'" &amp; 'Hulp (CAO''s)'!$AE$8 &amp; "'!A1:A1000"),
         0
      )
   )
), IF($D6="Gebruik % van maximum salaris",
IF(
    OR(F5="",F6=""),
    "",
    MAX(
        INDIRECT(
            "'" &amp; 'Hulp (overig)'!$C$16 &amp; "'!" &amp;
            'Hulp (overig)'!$C$17 &amp;
            MATCH(F5, INDIRECT("'" &amp; 'Hulp (overig)'!$C$16 &amp; "'!A1:A1000"), 0) &amp;
            ":" &amp;
            'Hulp (overig)'!$C$17 &amp;
LOOKUP(
    2,
    1 / (
        (ROW(INDIRECT("'" &amp; 'Hulp (overig)'!$C$16 &amp; "'!B1:B1000")) &lt;
            IF(G5&lt;&gt;"",
               MATCH(G5, INDIRECT("'" &amp; 'Hulp (overig)'!$C$16 &amp; "'!A1:A1000"),0),
               1000
            )
        ) *
        (LEFT(TRIM(INDIRECT("'" &amp; 'Hulp (overig)'!$C$16 &amp; "'!B1:B1000")),1) &lt;&gt; "u")
    ),
    ROW(INDIRECT("'" &amp; 'Hulp (overig)'!$C$16 &amp; "'!B1:B1000"))
)
        )
    ) * F6
),
IF(F7="","",
IF(
    IFERROR(MIN(
        IF(
            (TRIM(INDIRECT("'" &amp; 'Hulp (overig)'!$C$16 &amp; "'!B1:B1000")) = TEXT(F7,"0")) *
            (ROW(INDIRECT("'" &amp; 'Hulp (overig)'!$C$16 &amp; "'!B1:B1000")) &gt;= MATCH(
                F5,
                INDIRECT("'" &amp; 'Hulp (overig)'!$C$16 &amp; "'!A1:A1000"),
                0
            )) *
            IF(
                G5="",
                1,
                (ROW(INDIRECT("'" &amp; 'Hulp (overig)'!$C$16 &amp; "'!B1:B1000")) &lt; MATCH(
                    G5,
                    INDIRECT("'" &amp; 'Hulp (overig)'!$C$16 &amp; "'!A1:A1000"),
                    0
                ))
            ),
            ROW(INDIRECT("'" &amp; 'Hulp (overig)'!$C$16 &amp; "'!B1:B1000"))
        )
    ),0) &lt; 1,
    "",
    IF(INDEX(
        INDIRECT("'" &amp; 'Hulp (overig)'!$C$16 &amp; "'!" &amp;
        'Hulp (overig)'!$C$17 &amp; "1:" &amp; 'Hulp (overig)'!$C$17 &amp; 1000
        ),
        IFERROR(MIN(
            IF(
                (TRIM(INDIRECT("'" &amp; 'Hulp (overig)'!$C$16 &amp; "'!B1:B1000")) = TEXT(F7,"0")) *
                (ROW(INDIRECT("'" &amp; 'Hulp (overig)'!$C$16 &amp; "'!B1:B1000")) &gt;= MATCH(
                    F5,
                    INDIRECT("'" &amp; 'Hulp (overig)'!$C$16 &amp; "'!A1:A1000"),
                    0
                )) *
                IF(
                    G5="",
                    1,
                    (ROW(INDIRECT("'" &amp; 'Hulp (overig)'!$C$16 &amp; "'!B1:B1000")) &lt; MATCH(
                        G5,
                        INDIRECT("'" &amp; 'Hulp (overig)'!$C$16 &amp; "'!A1:A1000"),
                        0
                    ))
                ),
                ROW(INDIRECT("'" &amp; 'Hulp (overig)'!$C$16 &amp; "'!B1:B1000"))
            )
        ),0)
    )=0,"",
INDEX(
        INDIRECT("'" &amp; 'Hulp (overig)'!$C$16 &amp; "'!" &amp;
        'Hulp (overig)'!$C$17 &amp; "1:" &amp; 'Hulp (overig)'!$C$17 &amp; 1000
        ),
        IFERROR(MIN(
            IF(
                (TRIM(INDIRECT("'" &amp; 'Hulp (overig)'!$C$16 &amp; "'!B1:B1000")) = TEXT(F7,"0")) *
                (ROW(INDIRECT("'" &amp; 'Hulp (overig)'!$C$16 &amp; "'!B1:B1000")) &gt;= MATCH(
                    F5,
                    INDIRECT("'" &amp; 'Hulp (overig)'!$C$16 &amp; "'!A1:A1000"),
                    0
                )) *
                IF(
                    G5="",
                    1,
                    (ROW(INDIRECT("'" &amp; 'Hulp (overig)'!$C$16 &amp; "'!B1:B1000")) &lt; MATCH(
                        G5,
                        INDIRECT("'" &amp; 'Hulp (overig)'!$C$16 &amp; "'!A1:A1000"),
                        0
                    ))
                ),
                ROW(INDIRECT("'" &amp; 'Hulp (overig)'!$C$16 &amp; "'!B1:B1000"))
            )
        ),0)
    ))
))))</f>
        <v/>
      </c>
      <c r="G8" s="425" t="str" cm="1">
        <f t="array" aca="1" ref="G8" ca="1">IF($BF8, IF(G5="","",
   INDEX(
      INDIRECT("'" &amp; 'Hulp (CAO''s)'!$AE$8 &amp; "'!" &amp;
               'Hulp (overig)'!$C$17 &amp; "1:" &amp;
               'Hulp (overig)'!$C$17 &amp; "1000"),
      MATCH(
         G5,
         INDIRECT("'" &amp; 'Hulp (CAO''s)'!$AE$8 &amp; "'!A1:A1000"),
         0
      )
   )
), IF($D6="Gebruik % van maximum salaris",
IF(
    OR(G5="",G6=""),
    "",
    MAX(
        INDIRECT(
            "'" &amp; 'Hulp (overig)'!$C$16 &amp; "'!" &amp;
            'Hulp (overig)'!$C$17 &amp;
            MATCH(G5, INDIRECT("'" &amp; 'Hulp (overig)'!$C$16 &amp; "'!A1:A1000"), 0) &amp;
            ":" &amp;
            'Hulp (overig)'!$C$17 &amp;
LOOKUP(
    2,
    1 / (
        (ROW(INDIRECT("'" &amp; 'Hulp (overig)'!$C$16 &amp; "'!B1:B1000")) &lt;
            IF(H5&lt;&gt;"",
               MATCH(H5, INDIRECT("'" &amp; 'Hulp (overig)'!$C$16 &amp; "'!A1:A1000"),0),
               1000
            )
        ) *
        (LEFT(TRIM(INDIRECT("'" &amp; 'Hulp (overig)'!$C$16 &amp; "'!B1:B1000")),1) &lt;&gt; "u")
    ),
    ROW(INDIRECT("'" &amp; 'Hulp (overig)'!$C$16 &amp; "'!B1:B1000"))
)
        )
    ) * G6
),
IF(G7="","",
IF(
    IFERROR(MIN(
        IF(
            (TRIM(INDIRECT("'" &amp; 'Hulp (overig)'!$C$16 &amp; "'!B1:B1000")) = TEXT(G7,"0")) *
            (ROW(INDIRECT("'" &amp; 'Hulp (overig)'!$C$16 &amp; "'!B1:B1000")) &gt;= MATCH(
                G5,
                INDIRECT("'" &amp; 'Hulp (overig)'!$C$16 &amp; "'!A1:A1000"),
                0
            )) *
            IF(
                H5="",
                1,
                (ROW(INDIRECT("'" &amp; 'Hulp (overig)'!$C$16 &amp; "'!B1:B1000")) &lt; MATCH(
                    H5,
                    INDIRECT("'" &amp; 'Hulp (overig)'!$C$16 &amp; "'!A1:A1000"),
                    0
                ))
            ),
            ROW(INDIRECT("'" &amp; 'Hulp (overig)'!$C$16 &amp; "'!B1:B1000"))
        )
    ),0) &lt; 1,
    "",
    IF(INDEX(
        INDIRECT("'" &amp; 'Hulp (overig)'!$C$16 &amp; "'!" &amp;
        'Hulp (overig)'!$C$17 &amp; "1:" &amp; 'Hulp (overig)'!$C$17 &amp; 1000
        ),
        IFERROR(MIN(
            IF(
                (TRIM(INDIRECT("'" &amp; 'Hulp (overig)'!$C$16 &amp; "'!B1:B1000")) = TEXT(G7,"0")) *
                (ROW(INDIRECT("'" &amp; 'Hulp (overig)'!$C$16 &amp; "'!B1:B1000")) &gt;= MATCH(
                    G5,
                    INDIRECT("'" &amp; 'Hulp (overig)'!$C$16 &amp; "'!A1:A1000"),
                    0
                )) *
                IF(
                    H5="",
                    1,
                    (ROW(INDIRECT("'" &amp; 'Hulp (overig)'!$C$16 &amp; "'!B1:B1000")) &lt; MATCH(
                        H5,
                        INDIRECT("'" &amp; 'Hulp (overig)'!$C$16 &amp; "'!A1:A1000"),
                        0
                    ))
                ),
                ROW(INDIRECT("'" &amp; 'Hulp (overig)'!$C$16 &amp; "'!B1:B1000"))
            )
        ),0)
    )=0,"",
INDEX(
        INDIRECT("'" &amp; 'Hulp (overig)'!$C$16 &amp; "'!" &amp;
        'Hulp (overig)'!$C$17 &amp; "1:" &amp; 'Hulp (overig)'!$C$17 &amp; 1000
        ),
        IFERROR(MIN(
            IF(
                (TRIM(INDIRECT("'" &amp; 'Hulp (overig)'!$C$16 &amp; "'!B1:B1000")) = TEXT(G7,"0")) *
                (ROW(INDIRECT("'" &amp; 'Hulp (overig)'!$C$16 &amp; "'!B1:B1000")) &gt;= MATCH(
                    G5,
                    INDIRECT("'" &amp; 'Hulp (overig)'!$C$16 &amp; "'!A1:A1000"),
                    0
                )) *
                IF(
                    H5="",
                    1,
                    (ROW(INDIRECT("'" &amp; 'Hulp (overig)'!$C$16 &amp; "'!B1:B1000")) &lt; MATCH(
                        H5,
                        INDIRECT("'" &amp; 'Hulp (overig)'!$C$16 &amp; "'!A1:A1000"),
                        0
                    ))
                ),
                ROW(INDIRECT("'" &amp; 'Hulp (overig)'!$C$16 &amp; "'!B1:B1000"))
            )
        ),0)
    ))
))))</f>
        <v/>
      </c>
      <c r="H8" s="425" t="str" cm="1">
        <f t="array" aca="1" ref="H8" ca="1">IF($BF8, IF(H5="","",
   INDEX(
      INDIRECT("'" &amp; 'Hulp (CAO''s)'!$AE$8 &amp; "'!" &amp;
               'Hulp (overig)'!$C$17 &amp; "1:" &amp;
               'Hulp (overig)'!$C$17 &amp; "1000"),
      MATCH(
         H5,
         INDIRECT("'" &amp; 'Hulp (CAO''s)'!$AE$8 &amp; "'!A1:A1000"),
         0
      )
   )
), IF($D6="Gebruik % van maximum salaris",
IF(
    OR(H5="",H6=""),
    "",
    MAX(
        INDIRECT(
            "'" &amp; 'Hulp (overig)'!$C$16 &amp; "'!" &amp;
            'Hulp (overig)'!$C$17 &amp;
            MATCH(H5, INDIRECT("'" &amp; 'Hulp (overig)'!$C$16 &amp; "'!A1:A1000"), 0) &amp;
            ":" &amp;
            'Hulp (overig)'!$C$17 &amp;
LOOKUP(
    2,
    1 / (
        (ROW(INDIRECT("'" &amp; 'Hulp (overig)'!$C$16 &amp; "'!B1:B1000")) &lt;
            IF(I5&lt;&gt;"",
               MATCH(I5, INDIRECT("'" &amp; 'Hulp (overig)'!$C$16 &amp; "'!A1:A1000"),0),
               1000
            )
        ) *
        (LEFT(TRIM(INDIRECT("'" &amp; 'Hulp (overig)'!$C$16 &amp; "'!B1:B1000")),1) &lt;&gt; "u")
    ),
    ROW(INDIRECT("'" &amp; 'Hulp (overig)'!$C$16 &amp; "'!B1:B1000"))
)
        )
    ) * H6
),
IF(H7="","",
IF(
    IFERROR(MIN(
        IF(
            (TRIM(INDIRECT("'" &amp; 'Hulp (overig)'!$C$16 &amp; "'!B1:B1000")) = TEXT(H7,"0")) *
            (ROW(INDIRECT("'" &amp; 'Hulp (overig)'!$C$16 &amp; "'!B1:B1000")) &gt;= MATCH(
                H5,
                INDIRECT("'" &amp; 'Hulp (overig)'!$C$16 &amp; "'!A1:A1000"),
                0
            )) *
            IF(
                I5="",
                1,
                (ROW(INDIRECT("'" &amp; 'Hulp (overig)'!$C$16 &amp; "'!B1:B1000")) &lt; MATCH(
                    I5,
                    INDIRECT("'" &amp; 'Hulp (overig)'!$C$16 &amp; "'!A1:A1000"),
                    0
                ))
            ),
            ROW(INDIRECT("'" &amp; 'Hulp (overig)'!$C$16 &amp; "'!B1:B1000"))
        )
    ),0) &lt; 1,
    "",
    IF(INDEX(
        INDIRECT("'" &amp; 'Hulp (overig)'!$C$16 &amp; "'!" &amp;
        'Hulp (overig)'!$C$17 &amp; "1:" &amp; 'Hulp (overig)'!$C$17 &amp; 1000
        ),
        IFERROR(MIN(
            IF(
                (TRIM(INDIRECT("'" &amp; 'Hulp (overig)'!$C$16 &amp; "'!B1:B1000")) = TEXT(H7,"0")) *
                (ROW(INDIRECT("'" &amp; 'Hulp (overig)'!$C$16 &amp; "'!B1:B1000")) &gt;= MATCH(
                    H5,
                    INDIRECT("'" &amp; 'Hulp (overig)'!$C$16 &amp; "'!A1:A1000"),
                    0
                )) *
                IF(
                    I5="",
                    1,
                    (ROW(INDIRECT("'" &amp; 'Hulp (overig)'!$C$16 &amp; "'!B1:B1000")) &lt; MATCH(
                        I5,
                        INDIRECT("'" &amp; 'Hulp (overig)'!$C$16 &amp; "'!A1:A1000"),
                        0
                    ))
                ),
                ROW(INDIRECT("'" &amp; 'Hulp (overig)'!$C$16 &amp; "'!B1:B1000"))
            )
        ),0)
    )=0,"",
INDEX(
        INDIRECT("'" &amp; 'Hulp (overig)'!$C$16 &amp; "'!" &amp;
        'Hulp (overig)'!$C$17 &amp; "1:" &amp; 'Hulp (overig)'!$C$17 &amp; 1000
        ),
        IFERROR(MIN(
            IF(
                (TRIM(INDIRECT("'" &amp; 'Hulp (overig)'!$C$16 &amp; "'!B1:B1000")) = TEXT(H7,"0")) *
                (ROW(INDIRECT("'" &amp; 'Hulp (overig)'!$C$16 &amp; "'!B1:B1000")) &gt;= MATCH(
                    H5,
                    INDIRECT("'" &amp; 'Hulp (overig)'!$C$16 &amp; "'!A1:A1000"),
                    0
                )) *
                IF(
                    I5="",
                    1,
                    (ROW(INDIRECT("'" &amp; 'Hulp (overig)'!$C$16 &amp; "'!B1:B1000")) &lt; MATCH(
                        I5,
                        INDIRECT("'" &amp; 'Hulp (overig)'!$C$16 &amp; "'!A1:A1000"),
                        0
                    ))
                ),
                ROW(INDIRECT("'" &amp; 'Hulp (overig)'!$C$16 &amp; "'!B1:B1000"))
            )
        ),0)
    ))
))))</f>
        <v/>
      </c>
      <c r="I8" s="425" t="str" cm="1">
        <f t="array" aca="1" ref="I8" ca="1">IF($BF8, IF(I5="","",
   INDEX(
      INDIRECT("'" &amp; 'Hulp (CAO''s)'!$AE$8 &amp; "'!" &amp;
               'Hulp (overig)'!$C$17 &amp; "1:" &amp;
               'Hulp (overig)'!$C$17 &amp; "1000"),
      MATCH(
         I5,
         INDIRECT("'" &amp; 'Hulp (CAO''s)'!$AE$8 &amp; "'!A1:A1000"),
         0
      )
   )
), IF($D6="Gebruik % van maximum salaris",
IF(
    OR(I5="",I6=""),
    "",
    MAX(
        INDIRECT(
            "'" &amp; 'Hulp (overig)'!$C$16 &amp; "'!" &amp;
            'Hulp (overig)'!$C$17 &amp;
            MATCH(I5, INDIRECT("'" &amp; 'Hulp (overig)'!$C$16 &amp; "'!A1:A1000"), 0) &amp;
            ":" &amp;
            'Hulp (overig)'!$C$17 &amp;
LOOKUP(
    2,
    1 / (
        (ROW(INDIRECT("'" &amp; 'Hulp (overig)'!$C$16 &amp; "'!B1:B1000")) &lt;
            IF(J5&lt;&gt;"",
               MATCH(J5, INDIRECT("'" &amp; 'Hulp (overig)'!$C$16 &amp; "'!A1:A1000"),0),
               1000
            )
        ) *
        (LEFT(TRIM(INDIRECT("'" &amp; 'Hulp (overig)'!$C$16 &amp; "'!B1:B1000")),1) &lt;&gt; "u")
    ),
    ROW(INDIRECT("'" &amp; 'Hulp (overig)'!$C$16 &amp; "'!B1:B1000"))
)
        )
    ) * I6
),
IF(I7="","",
IF(
    IFERROR(MIN(
        IF(
            (TRIM(INDIRECT("'" &amp; 'Hulp (overig)'!$C$16 &amp; "'!B1:B1000")) = TEXT(I7,"0")) *
            (ROW(INDIRECT("'" &amp; 'Hulp (overig)'!$C$16 &amp; "'!B1:B1000")) &gt;= MATCH(
                I5,
                INDIRECT("'" &amp; 'Hulp (overig)'!$C$16 &amp; "'!A1:A1000"),
                0
            )) *
            IF(
                J5="",
                1,
                (ROW(INDIRECT("'" &amp; 'Hulp (overig)'!$C$16 &amp; "'!B1:B1000")) &lt; MATCH(
                    J5,
                    INDIRECT("'" &amp; 'Hulp (overig)'!$C$16 &amp; "'!A1:A1000"),
                    0
                ))
            ),
            ROW(INDIRECT("'" &amp; 'Hulp (overig)'!$C$16 &amp; "'!B1:B1000"))
        )
    ),0) &lt; 1,
    "",
    IF(INDEX(
        INDIRECT("'" &amp; 'Hulp (overig)'!$C$16 &amp; "'!" &amp;
        'Hulp (overig)'!$C$17 &amp; "1:" &amp; 'Hulp (overig)'!$C$17 &amp; 1000
        ),
        IFERROR(MIN(
            IF(
                (TRIM(INDIRECT("'" &amp; 'Hulp (overig)'!$C$16 &amp; "'!B1:B1000")) = TEXT(I7,"0")) *
                (ROW(INDIRECT("'" &amp; 'Hulp (overig)'!$C$16 &amp; "'!B1:B1000")) &gt;= MATCH(
                    I5,
                    INDIRECT("'" &amp; 'Hulp (overig)'!$C$16 &amp; "'!A1:A1000"),
                    0
                )) *
                IF(
                    J5="",
                    1,
                    (ROW(INDIRECT("'" &amp; 'Hulp (overig)'!$C$16 &amp; "'!B1:B1000")) &lt; MATCH(
                        J5,
                        INDIRECT("'" &amp; 'Hulp (overig)'!$C$16 &amp; "'!A1:A1000"),
                        0
                    ))
                ),
                ROW(INDIRECT("'" &amp; 'Hulp (overig)'!$C$16 &amp; "'!B1:B1000"))
            )
        ),0)
    )=0,"",
INDEX(
        INDIRECT("'" &amp; 'Hulp (overig)'!$C$16 &amp; "'!" &amp;
        'Hulp (overig)'!$C$17 &amp; "1:" &amp; 'Hulp (overig)'!$C$17 &amp; 1000
        ),
        IFERROR(MIN(
            IF(
                (TRIM(INDIRECT("'" &amp; 'Hulp (overig)'!$C$16 &amp; "'!B1:B1000")) = TEXT(I7,"0")) *
                (ROW(INDIRECT("'" &amp; 'Hulp (overig)'!$C$16 &amp; "'!B1:B1000")) &gt;= MATCH(
                    I5,
                    INDIRECT("'" &amp; 'Hulp (overig)'!$C$16 &amp; "'!A1:A1000"),
                    0
                )) *
                IF(
                    J5="",
                    1,
                    (ROW(INDIRECT("'" &amp; 'Hulp (overig)'!$C$16 &amp; "'!B1:B1000")) &lt; MATCH(
                        J5,
                        INDIRECT("'" &amp; 'Hulp (overig)'!$C$16 &amp; "'!A1:A1000"),
                        0
                    ))
                ),
                ROW(INDIRECT("'" &amp; 'Hulp (overig)'!$C$16 &amp; "'!B1:B1000"))
            )
        ),0)
    ))
))))</f>
        <v/>
      </c>
      <c r="J8" s="425" t="str" cm="1">
        <f t="array" aca="1" ref="J8" ca="1">IF($BF8, IF(J5="","",
   INDEX(
      INDIRECT("'" &amp; 'Hulp (CAO''s)'!$AE$8 &amp; "'!" &amp;
               'Hulp (overig)'!$C$17 &amp; "1:" &amp;
               'Hulp (overig)'!$C$17 &amp; "1000"),
      MATCH(
         J5,
         INDIRECT("'" &amp; 'Hulp (CAO''s)'!$AE$8 &amp; "'!A1:A1000"),
         0
      )
   )
), IF($D6="Gebruik % van maximum salaris",
IF(
    OR(J5="",J6=""),
    "",
    MAX(
        INDIRECT(
            "'" &amp; 'Hulp (overig)'!$C$16 &amp; "'!" &amp;
            'Hulp (overig)'!$C$17 &amp;
            MATCH(J5, INDIRECT("'" &amp; 'Hulp (overig)'!$C$16 &amp; "'!A1:A1000"), 0) &amp;
            ":" &amp;
            'Hulp (overig)'!$C$17 &amp;
LOOKUP(
    2,
    1 / (
        (ROW(INDIRECT("'" &amp; 'Hulp (overig)'!$C$16 &amp; "'!B1:B1000")) &lt;
            IF(K5&lt;&gt;"",
               MATCH(K5, INDIRECT("'" &amp; 'Hulp (overig)'!$C$16 &amp; "'!A1:A1000"),0),
               1000
            )
        ) *
        (LEFT(TRIM(INDIRECT("'" &amp; 'Hulp (overig)'!$C$16 &amp; "'!B1:B1000")),1) &lt;&gt; "u")
    ),
    ROW(INDIRECT("'" &amp; 'Hulp (overig)'!$C$16 &amp; "'!B1:B1000"))
)
        )
    ) * J6
),
IF(J7="","",
IF(
    IFERROR(MIN(
        IF(
            (TRIM(INDIRECT("'" &amp; 'Hulp (overig)'!$C$16 &amp; "'!B1:B1000")) = TEXT(J7,"0")) *
            (ROW(INDIRECT("'" &amp; 'Hulp (overig)'!$C$16 &amp; "'!B1:B1000")) &gt;= MATCH(
                J5,
                INDIRECT("'" &amp; 'Hulp (overig)'!$C$16 &amp; "'!A1:A1000"),
                0
            )) *
            IF(
                K5="",
                1,
                (ROW(INDIRECT("'" &amp; 'Hulp (overig)'!$C$16 &amp; "'!B1:B1000")) &lt; MATCH(
                    K5,
                    INDIRECT("'" &amp; 'Hulp (overig)'!$C$16 &amp; "'!A1:A1000"),
                    0
                ))
            ),
            ROW(INDIRECT("'" &amp; 'Hulp (overig)'!$C$16 &amp; "'!B1:B1000"))
        )
    ),0) &lt; 1,
    "",
    IF(INDEX(
        INDIRECT("'" &amp; 'Hulp (overig)'!$C$16 &amp; "'!" &amp;
        'Hulp (overig)'!$C$17 &amp; "1:" &amp; 'Hulp (overig)'!$C$17 &amp; 1000
        ),
        IFERROR(MIN(
            IF(
                (TRIM(INDIRECT("'" &amp; 'Hulp (overig)'!$C$16 &amp; "'!B1:B1000")) = TEXT(J7,"0")) *
                (ROW(INDIRECT("'" &amp; 'Hulp (overig)'!$C$16 &amp; "'!B1:B1000")) &gt;= MATCH(
                    J5,
                    INDIRECT("'" &amp; 'Hulp (overig)'!$C$16 &amp; "'!A1:A1000"),
                    0
                )) *
                IF(
                    K5="",
                    1,
                    (ROW(INDIRECT("'" &amp; 'Hulp (overig)'!$C$16 &amp; "'!B1:B1000")) &lt; MATCH(
                        K5,
                        INDIRECT("'" &amp; 'Hulp (overig)'!$C$16 &amp; "'!A1:A1000"),
                        0
                    ))
                ),
                ROW(INDIRECT("'" &amp; 'Hulp (overig)'!$C$16 &amp; "'!B1:B1000"))
            )
        ),0)
    )=0,"",
INDEX(
        INDIRECT("'" &amp; 'Hulp (overig)'!$C$16 &amp; "'!" &amp;
        'Hulp (overig)'!$C$17 &amp; "1:" &amp; 'Hulp (overig)'!$C$17 &amp; 1000
        ),
        IFERROR(MIN(
            IF(
                (TRIM(INDIRECT("'" &amp; 'Hulp (overig)'!$C$16 &amp; "'!B1:B1000")) = TEXT(J7,"0")) *
                (ROW(INDIRECT("'" &amp; 'Hulp (overig)'!$C$16 &amp; "'!B1:B1000")) &gt;= MATCH(
                    J5,
                    INDIRECT("'" &amp; 'Hulp (overig)'!$C$16 &amp; "'!A1:A1000"),
                    0
                )) *
                IF(
                    K5="",
                    1,
                    (ROW(INDIRECT("'" &amp; 'Hulp (overig)'!$C$16 &amp; "'!B1:B1000")) &lt; MATCH(
                        K5,
                        INDIRECT("'" &amp; 'Hulp (overig)'!$C$16 &amp; "'!A1:A1000"),
                        0
                    ))
                ),
                ROW(INDIRECT("'" &amp; 'Hulp (overig)'!$C$16 &amp; "'!B1:B1000"))
            )
        ),0)
    ))
))))</f>
        <v/>
      </c>
      <c r="K8" s="425" t="str" cm="1">
        <f t="array" aca="1" ref="K8" ca="1">IF($BF8, IF(K5="","",
   INDEX(
      INDIRECT("'" &amp; 'Hulp (CAO''s)'!$AE$8 &amp; "'!" &amp;
               'Hulp (overig)'!$C$17 &amp; "1:" &amp;
               'Hulp (overig)'!$C$17 &amp; "1000"),
      MATCH(
         K5,
         INDIRECT("'" &amp; 'Hulp (CAO''s)'!$AE$8 &amp; "'!A1:A1000"),
         0
      )
   )
), IF($D6="Gebruik % van maximum salaris",
IF(
    OR(K5="",K6=""),
    "",
    MAX(
        INDIRECT(
            "'" &amp; 'Hulp (overig)'!$C$16 &amp; "'!" &amp;
            'Hulp (overig)'!$C$17 &amp;
            MATCH(K5, INDIRECT("'" &amp; 'Hulp (overig)'!$C$16 &amp; "'!A1:A1000"), 0) &amp;
            ":" &amp;
            'Hulp (overig)'!$C$17 &amp;
LOOKUP(
    2,
    1 / (
        (ROW(INDIRECT("'" &amp; 'Hulp (overig)'!$C$16 &amp; "'!B1:B1000")) &lt;
            IF(L5&lt;&gt;"",
               MATCH(L5, INDIRECT("'" &amp; 'Hulp (overig)'!$C$16 &amp; "'!A1:A1000"),0),
               1000
            )
        ) *
        (LEFT(TRIM(INDIRECT("'" &amp; 'Hulp (overig)'!$C$16 &amp; "'!B1:B1000")),1) &lt;&gt; "u")
    ),
    ROW(INDIRECT("'" &amp; 'Hulp (overig)'!$C$16 &amp; "'!B1:B1000"))
)
        )
    ) * K6
),
IF(K7="","",
IF(
    IFERROR(MIN(
        IF(
            (TRIM(INDIRECT("'" &amp; 'Hulp (overig)'!$C$16 &amp; "'!B1:B1000")) = TEXT(K7,"0")) *
            (ROW(INDIRECT("'" &amp; 'Hulp (overig)'!$C$16 &amp; "'!B1:B1000")) &gt;= MATCH(
                K5,
                INDIRECT("'" &amp; 'Hulp (overig)'!$C$16 &amp; "'!A1:A1000"),
                0
            )) *
            IF(
                L5="",
                1,
                (ROW(INDIRECT("'" &amp; 'Hulp (overig)'!$C$16 &amp; "'!B1:B1000")) &lt; MATCH(
                    L5,
                    INDIRECT("'" &amp; 'Hulp (overig)'!$C$16 &amp; "'!A1:A1000"),
                    0
                ))
            ),
            ROW(INDIRECT("'" &amp; 'Hulp (overig)'!$C$16 &amp; "'!B1:B1000"))
        )
    ),0) &lt; 1,
    "",
    IF(INDEX(
        INDIRECT("'" &amp; 'Hulp (overig)'!$C$16 &amp; "'!" &amp;
        'Hulp (overig)'!$C$17 &amp; "1:" &amp; 'Hulp (overig)'!$C$17 &amp; 1000
        ),
        IFERROR(MIN(
            IF(
                (TRIM(INDIRECT("'" &amp; 'Hulp (overig)'!$C$16 &amp; "'!B1:B1000")) = TEXT(K7,"0")) *
                (ROW(INDIRECT("'" &amp; 'Hulp (overig)'!$C$16 &amp; "'!B1:B1000")) &gt;= MATCH(
                    K5,
                    INDIRECT("'" &amp; 'Hulp (overig)'!$C$16 &amp; "'!A1:A1000"),
                    0
                )) *
                IF(
                    L5="",
                    1,
                    (ROW(INDIRECT("'" &amp; 'Hulp (overig)'!$C$16 &amp; "'!B1:B1000")) &lt; MATCH(
                        L5,
                        INDIRECT("'" &amp; 'Hulp (overig)'!$C$16 &amp; "'!A1:A1000"),
                        0
                    ))
                ),
                ROW(INDIRECT("'" &amp; 'Hulp (overig)'!$C$16 &amp; "'!B1:B1000"))
            )
        ),0)
    )=0,"",
INDEX(
        INDIRECT("'" &amp; 'Hulp (overig)'!$C$16 &amp; "'!" &amp;
        'Hulp (overig)'!$C$17 &amp; "1:" &amp; 'Hulp (overig)'!$C$17 &amp; 1000
        ),
        IFERROR(MIN(
            IF(
                (TRIM(INDIRECT("'" &amp; 'Hulp (overig)'!$C$16 &amp; "'!B1:B1000")) = TEXT(K7,"0")) *
                (ROW(INDIRECT("'" &amp; 'Hulp (overig)'!$C$16 &amp; "'!B1:B1000")) &gt;= MATCH(
                    K5,
                    INDIRECT("'" &amp; 'Hulp (overig)'!$C$16 &amp; "'!A1:A1000"),
                    0
                )) *
                IF(
                    L5="",
                    1,
                    (ROW(INDIRECT("'" &amp; 'Hulp (overig)'!$C$16 &amp; "'!B1:B1000")) &lt; MATCH(
                        L5,
                        INDIRECT("'" &amp; 'Hulp (overig)'!$C$16 &amp; "'!A1:A1000"),
                        0
                    ))
                ),
                ROW(INDIRECT("'" &amp; 'Hulp (overig)'!$C$16 &amp; "'!B1:B1000"))
            )
        ),0)
    ))
))))</f>
        <v/>
      </c>
      <c r="L8" s="425" t="str" cm="1">
        <f t="array" aca="1" ref="L8" ca="1">IF($BF8, IF(L5="","",
   INDEX(
      INDIRECT("'" &amp; 'Hulp (CAO''s)'!$AE$8 &amp; "'!" &amp;
               'Hulp (overig)'!$C$17 &amp; "1:" &amp;
               'Hulp (overig)'!$C$17 &amp; "1000"),
      MATCH(
         L5,
         INDIRECT("'" &amp; 'Hulp (CAO''s)'!$AE$8 &amp; "'!A1:A1000"),
         0
      )
   )
), IF($D6="Gebruik % van maximum salaris",
IF(
    OR(L5="",L6=""),
    "",
    MAX(
        INDIRECT(
            "'" &amp; 'Hulp (overig)'!$C$16 &amp; "'!" &amp;
            'Hulp (overig)'!$C$17 &amp;
            MATCH(L5, INDIRECT("'" &amp; 'Hulp (overig)'!$C$16 &amp; "'!A1:A1000"), 0) &amp;
            ":" &amp;
            'Hulp (overig)'!$C$17 &amp;
LOOKUP(
    2,
    1 / (
        (ROW(INDIRECT("'" &amp; 'Hulp (overig)'!$C$16 &amp; "'!B1:B1000")) &lt;
            IF(M5&lt;&gt;"",
               MATCH(M5, INDIRECT("'" &amp; 'Hulp (overig)'!$C$16 &amp; "'!A1:A1000"),0),
               1000
            )
        ) *
        (LEFT(TRIM(INDIRECT("'" &amp; 'Hulp (overig)'!$C$16 &amp; "'!B1:B1000")),1) &lt;&gt; "u")
    ),
    ROW(INDIRECT("'" &amp; 'Hulp (overig)'!$C$16 &amp; "'!B1:B1000"))
)
        )
    ) * L6
),
IF(L7="","",
IF(
    IFERROR(MIN(
        IF(
            (TRIM(INDIRECT("'" &amp; 'Hulp (overig)'!$C$16 &amp; "'!B1:B1000")) = TEXT(L7,"0")) *
            (ROW(INDIRECT("'" &amp; 'Hulp (overig)'!$C$16 &amp; "'!B1:B1000")) &gt;= MATCH(
                L5,
                INDIRECT("'" &amp; 'Hulp (overig)'!$C$16 &amp; "'!A1:A1000"),
                0
            )) *
            IF(
                M5="",
                1,
                (ROW(INDIRECT("'" &amp; 'Hulp (overig)'!$C$16 &amp; "'!B1:B1000")) &lt; MATCH(
                    M5,
                    INDIRECT("'" &amp; 'Hulp (overig)'!$C$16 &amp; "'!A1:A1000"),
                    0
                ))
            ),
            ROW(INDIRECT("'" &amp; 'Hulp (overig)'!$C$16 &amp; "'!B1:B1000"))
        )
    ),0) &lt; 1,
    "",
    IF(INDEX(
        INDIRECT("'" &amp; 'Hulp (overig)'!$C$16 &amp; "'!" &amp;
        'Hulp (overig)'!$C$17 &amp; "1:" &amp; 'Hulp (overig)'!$C$17 &amp; 1000
        ),
        IFERROR(MIN(
            IF(
                (TRIM(INDIRECT("'" &amp; 'Hulp (overig)'!$C$16 &amp; "'!B1:B1000")) = TEXT(L7,"0")) *
                (ROW(INDIRECT("'" &amp; 'Hulp (overig)'!$C$16 &amp; "'!B1:B1000")) &gt;= MATCH(
                    L5,
                    INDIRECT("'" &amp; 'Hulp (overig)'!$C$16 &amp; "'!A1:A1000"),
                    0
                )) *
                IF(
                    M5="",
                    1,
                    (ROW(INDIRECT("'" &amp; 'Hulp (overig)'!$C$16 &amp; "'!B1:B1000")) &lt; MATCH(
                        M5,
                        INDIRECT("'" &amp; 'Hulp (overig)'!$C$16 &amp; "'!A1:A1000"),
                        0
                    ))
                ),
                ROW(INDIRECT("'" &amp; 'Hulp (overig)'!$C$16 &amp; "'!B1:B1000"))
            )
        ),0)
    )=0,"",
INDEX(
        INDIRECT("'" &amp; 'Hulp (overig)'!$C$16 &amp; "'!" &amp;
        'Hulp (overig)'!$C$17 &amp; "1:" &amp; 'Hulp (overig)'!$C$17 &amp; 1000
        ),
        IFERROR(MIN(
            IF(
                (TRIM(INDIRECT("'" &amp; 'Hulp (overig)'!$C$16 &amp; "'!B1:B1000")) = TEXT(L7,"0")) *
                (ROW(INDIRECT("'" &amp; 'Hulp (overig)'!$C$16 &amp; "'!B1:B1000")) &gt;= MATCH(
                    L5,
                    INDIRECT("'" &amp; 'Hulp (overig)'!$C$16 &amp; "'!A1:A1000"),
                    0
                )) *
                IF(
                    M5="",
                    1,
                    (ROW(INDIRECT("'" &amp; 'Hulp (overig)'!$C$16 &amp; "'!B1:B1000")) &lt; MATCH(
                        M5,
                        INDIRECT("'" &amp; 'Hulp (overig)'!$C$16 &amp; "'!A1:A1000"),
                        0
                    ))
                ),
                ROW(INDIRECT("'" &amp; 'Hulp (overig)'!$C$16 &amp; "'!B1:B1000"))
            )
        ),0)
    ))
))))</f>
        <v/>
      </c>
      <c r="M8" s="425" t="str" cm="1">
        <f t="array" aca="1" ref="M8" ca="1">IF($BF8, IF(M5="","",
   INDEX(
      INDIRECT("'" &amp; 'Hulp (CAO''s)'!$AE$8 &amp; "'!" &amp;
               'Hulp (overig)'!$C$17 &amp; "1:" &amp;
               'Hulp (overig)'!$C$17 &amp; "1000"),
      MATCH(
         M5,
         INDIRECT("'" &amp; 'Hulp (CAO''s)'!$AE$8 &amp; "'!A1:A1000"),
         0
      )
   )
), IF($D6="Gebruik % van maximum salaris",
IF(
    OR(M5="",M6=""),
    "",
    MAX(
        INDIRECT(
            "'" &amp; 'Hulp (overig)'!$C$16 &amp; "'!" &amp;
            'Hulp (overig)'!$C$17 &amp;
            MATCH(M5, INDIRECT("'" &amp; 'Hulp (overig)'!$C$16 &amp; "'!A1:A1000"), 0) &amp;
            ":" &amp;
            'Hulp (overig)'!$C$17 &amp;
LOOKUP(
    2,
    1 / (
        (ROW(INDIRECT("'" &amp; 'Hulp (overig)'!$C$16 &amp; "'!B1:B1000")) &lt;
            IF(N5&lt;&gt;"",
               MATCH(N5, INDIRECT("'" &amp; 'Hulp (overig)'!$C$16 &amp; "'!A1:A1000"),0),
               1000
            )
        ) *
        (LEFT(TRIM(INDIRECT("'" &amp; 'Hulp (overig)'!$C$16 &amp; "'!B1:B1000")),1) &lt;&gt; "u")
    ),
    ROW(INDIRECT("'" &amp; 'Hulp (overig)'!$C$16 &amp; "'!B1:B1000"))
)
        )
    ) * M6
),
IF(M7="","",
IF(
    IFERROR(MIN(
        IF(
            (TRIM(INDIRECT("'" &amp; 'Hulp (overig)'!$C$16 &amp; "'!B1:B1000")) = TEXT(M7,"0")) *
            (ROW(INDIRECT("'" &amp; 'Hulp (overig)'!$C$16 &amp; "'!B1:B1000")) &gt;= MATCH(
                M5,
                INDIRECT("'" &amp; 'Hulp (overig)'!$C$16 &amp; "'!A1:A1000"),
                0
            )) *
            IF(
                N5="",
                1,
                (ROW(INDIRECT("'" &amp; 'Hulp (overig)'!$C$16 &amp; "'!B1:B1000")) &lt; MATCH(
                    N5,
                    INDIRECT("'" &amp; 'Hulp (overig)'!$C$16 &amp; "'!A1:A1000"),
                    0
                ))
            ),
            ROW(INDIRECT("'" &amp; 'Hulp (overig)'!$C$16 &amp; "'!B1:B1000"))
        )
    ),0) &lt; 1,
    "",
    IF(INDEX(
        INDIRECT("'" &amp; 'Hulp (overig)'!$C$16 &amp; "'!" &amp;
        'Hulp (overig)'!$C$17 &amp; "1:" &amp; 'Hulp (overig)'!$C$17 &amp; 1000
        ),
        IFERROR(MIN(
            IF(
                (TRIM(INDIRECT("'" &amp; 'Hulp (overig)'!$C$16 &amp; "'!B1:B1000")) = TEXT(M7,"0")) *
                (ROW(INDIRECT("'" &amp; 'Hulp (overig)'!$C$16 &amp; "'!B1:B1000")) &gt;= MATCH(
                    M5,
                    INDIRECT("'" &amp; 'Hulp (overig)'!$C$16 &amp; "'!A1:A1000"),
                    0
                )) *
                IF(
                    N5="",
                    1,
                    (ROW(INDIRECT("'" &amp; 'Hulp (overig)'!$C$16 &amp; "'!B1:B1000")) &lt; MATCH(
                        N5,
                        INDIRECT("'" &amp; 'Hulp (overig)'!$C$16 &amp; "'!A1:A1000"),
                        0
                    ))
                ),
                ROW(INDIRECT("'" &amp; 'Hulp (overig)'!$C$16 &amp; "'!B1:B1000"))
            )
        ),0)
    )=0,"",
INDEX(
        INDIRECT("'" &amp; 'Hulp (overig)'!$C$16 &amp; "'!" &amp;
        'Hulp (overig)'!$C$17 &amp; "1:" &amp; 'Hulp (overig)'!$C$17 &amp; 1000
        ),
        IFERROR(MIN(
            IF(
                (TRIM(INDIRECT("'" &amp; 'Hulp (overig)'!$C$16 &amp; "'!B1:B1000")) = TEXT(M7,"0")) *
                (ROW(INDIRECT("'" &amp; 'Hulp (overig)'!$C$16 &amp; "'!B1:B1000")) &gt;= MATCH(
                    M5,
                    INDIRECT("'" &amp; 'Hulp (overig)'!$C$16 &amp; "'!A1:A1000"),
                    0
                )) *
                IF(
                    N5="",
                    1,
                    (ROW(INDIRECT("'" &amp; 'Hulp (overig)'!$C$16 &amp; "'!B1:B1000")) &lt; MATCH(
                        N5,
                        INDIRECT("'" &amp; 'Hulp (overig)'!$C$16 &amp; "'!A1:A1000"),
                        0
                    ))
                ),
                ROW(INDIRECT("'" &amp; 'Hulp (overig)'!$C$16 &amp; "'!B1:B1000"))
            )
        ),0)
    ))
))))</f>
        <v/>
      </c>
      <c r="N8" s="425" t="str" cm="1">
        <f t="array" aca="1" ref="N8" ca="1">IF($BF8, IF(N5="","",
   INDEX(
      INDIRECT("'" &amp; 'Hulp (CAO''s)'!$AE$8 &amp; "'!" &amp;
               'Hulp (overig)'!$C$17 &amp; "1:" &amp;
               'Hulp (overig)'!$C$17 &amp; "1000"),
      MATCH(
         N5,
         INDIRECT("'" &amp; 'Hulp (CAO''s)'!$AE$8 &amp; "'!A1:A1000"),
         0
      )
   )
), IF($D6="Gebruik % van maximum salaris",
IF(
    OR(N5="",N6=""),
    "",
    MAX(
        INDIRECT(
            "'" &amp; 'Hulp (overig)'!$C$16 &amp; "'!" &amp;
            'Hulp (overig)'!$C$17 &amp;
            MATCH(N5, INDIRECT("'" &amp; 'Hulp (overig)'!$C$16 &amp; "'!A1:A1000"), 0) &amp;
            ":" &amp;
            'Hulp (overig)'!$C$17 &amp;
LOOKUP(
    2,
    1 / (
        (ROW(INDIRECT("'" &amp; 'Hulp (overig)'!$C$16 &amp; "'!B1:B1000")) &lt;
            IF(O5&lt;&gt;"",
               MATCH(O5, INDIRECT("'" &amp; 'Hulp (overig)'!$C$16 &amp; "'!A1:A1000"),0),
               1000
            )
        ) *
        (LEFT(TRIM(INDIRECT("'" &amp; 'Hulp (overig)'!$C$16 &amp; "'!B1:B1000")),1) &lt;&gt; "u")
    ),
    ROW(INDIRECT("'" &amp; 'Hulp (overig)'!$C$16 &amp; "'!B1:B1000"))
)
        )
    ) * N6
),
IF(N7="","",
IF(
    IFERROR(MIN(
        IF(
            (TRIM(INDIRECT("'" &amp; 'Hulp (overig)'!$C$16 &amp; "'!B1:B1000")) = TEXT(N7,"0")) *
            (ROW(INDIRECT("'" &amp; 'Hulp (overig)'!$C$16 &amp; "'!B1:B1000")) &gt;= MATCH(
                N5,
                INDIRECT("'" &amp; 'Hulp (overig)'!$C$16 &amp; "'!A1:A1000"),
                0
            )) *
            IF(
                O5="",
                1,
                (ROW(INDIRECT("'" &amp; 'Hulp (overig)'!$C$16 &amp; "'!B1:B1000")) &lt; MATCH(
                    O5,
                    INDIRECT("'" &amp; 'Hulp (overig)'!$C$16 &amp; "'!A1:A1000"),
                    0
                ))
            ),
            ROW(INDIRECT("'" &amp; 'Hulp (overig)'!$C$16 &amp; "'!B1:B1000"))
        )
    ),0) &lt; 1,
    "",
    IF(INDEX(
        INDIRECT("'" &amp; 'Hulp (overig)'!$C$16 &amp; "'!" &amp;
        'Hulp (overig)'!$C$17 &amp; "1:" &amp; 'Hulp (overig)'!$C$17 &amp; 1000
        ),
        IFERROR(MIN(
            IF(
                (TRIM(INDIRECT("'" &amp; 'Hulp (overig)'!$C$16 &amp; "'!B1:B1000")) = TEXT(N7,"0")) *
                (ROW(INDIRECT("'" &amp; 'Hulp (overig)'!$C$16 &amp; "'!B1:B1000")) &gt;= MATCH(
                    N5,
                    INDIRECT("'" &amp; 'Hulp (overig)'!$C$16 &amp; "'!A1:A1000"),
                    0
                )) *
                IF(
                    O5="",
                    1,
                    (ROW(INDIRECT("'" &amp; 'Hulp (overig)'!$C$16 &amp; "'!B1:B1000")) &lt; MATCH(
                        O5,
                        INDIRECT("'" &amp; 'Hulp (overig)'!$C$16 &amp; "'!A1:A1000"),
                        0
                    ))
                ),
                ROW(INDIRECT("'" &amp; 'Hulp (overig)'!$C$16 &amp; "'!B1:B1000"))
            )
        ),0)
    )=0,"",
INDEX(
        INDIRECT("'" &amp; 'Hulp (overig)'!$C$16 &amp; "'!" &amp;
        'Hulp (overig)'!$C$17 &amp; "1:" &amp; 'Hulp (overig)'!$C$17 &amp; 1000
        ),
        IFERROR(MIN(
            IF(
                (TRIM(INDIRECT("'" &amp; 'Hulp (overig)'!$C$16 &amp; "'!B1:B1000")) = TEXT(N7,"0")) *
                (ROW(INDIRECT("'" &amp; 'Hulp (overig)'!$C$16 &amp; "'!B1:B1000")) &gt;= MATCH(
                    N5,
                    INDIRECT("'" &amp; 'Hulp (overig)'!$C$16 &amp; "'!A1:A1000"),
                    0
                )) *
                IF(
                    O5="",
                    1,
                    (ROW(INDIRECT("'" &amp; 'Hulp (overig)'!$C$16 &amp; "'!B1:B1000")) &lt; MATCH(
                        O5,
                        INDIRECT("'" &amp; 'Hulp (overig)'!$C$16 &amp; "'!A1:A1000"),
                        0
                    ))
                ),
                ROW(INDIRECT("'" &amp; 'Hulp (overig)'!$C$16 &amp; "'!B1:B1000"))
            )
        ),0)
    ))
))))</f>
        <v/>
      </c>
      <c r="O8" s="425" t="str" cm="1">
        <f t="array" aca="1" ref="O8" ca="1">IF($BF8, IF(O5="","",
   INDEX(
      INDIRECT("'" &amp; 'Hulp (CAO''s)'!$AE$8 &amp; "'!" &amp;
               'Hulp (overig)'!$C$17 &amp; "1:" &amp;
               'Hulp (overig)'!$C$17 &amp; "1000"),
      MATCH(
         O5,
         INDIRECT("'" &amp; 'Hulp (CAO''s)'!$AE$8 &amp; "'!A1:A1000"),
         0
      )
   )
), IF($D6="Gebruik % van maximum salaris",
IF(
    OR(O5="",O6=""),
    "",
    MAX(
        INDIRECT(
            "'" &amp; 'Hulp (overig)'!$C$16 &amp; "'!" &amp;
            'Hulp (overig)'!$C$17 &amp;
            MATCH(O5, INDIRECT("'" &amp; 'Hulp (overig)'!$C$16 &amp; "'!A1:A1000"), 0) &amp;
            ":" &amp;
            'Hulp (overig)'!$C$17 &amp;
LOOKUP(
    2,
    1 / (
        (ROW(INDIRECT("'" &amp; 'Hulp (overig)'!$C$16 &amp; "'!B1:B1000")) &lt;
            IF(P5&lt;&gt;"",
               MATCH(P5, INDIRECT("'" &amp; 'Hulp (overig)'!$C$16 &amp; "'!A1:A1000"),0),
               1000
            )
        ) *
        (LEFT(TRIM(INDIRECT("'" &amp; 'Hulp (overig)'!$C$16 &amp; "'!B1:B1000")),1) &lt;&gt; "u")
    ),
    ROW(INDIRECT("'" &amp; 'Hulp (overig)'!$C$16 &amp; "'!B1:B1000"))
)
        )
    ) * O6
),
IF(O7="","",
IF(
    IFERROR(MIN(
        IF(
            (TRIM(INDIRECT("'" &amp; 'Hulp (overig)'!$C$16 &amp; "'!B1:B1000")) = TEXT(O7,"0")) *
            (ROW(INDIRECT("'" &amp; 'Hulp (overig)'!$C$16 &amp; "'!B1:B1000")) &gt;= MATCH(
                O5,
                INDIRECT("'" &amp; 'Hulp (overig)'!$C$16 &amp; "'!A1:A1000"),
                0
            )) *
            IF(
                P5="",
                1,
                (ROW(INDIRECT("'" &amp; 'Hulp (overig)'!$C$16 &amp; "'!B1:B1000")) &lt; MATCH(
                    P5,
                    INDIRECT("'" &amp; 'Hulp (overig)'!$C$16 &amp; "'!A1:A1000"),
                    0
                ))
            ),
            ROW(INDIRECT("'" &amp; 'Hulp (overig)'!$C$16 &amp; "'!B1:B1000"))
        )
    ),0) &lt; 1,
    "",
    IF(INDEX(
        INDIRECT("'" &amp; 'Hulp (overig)'!$C$16 &amp; "'!" &amp;
        'Hulp (overig)'!$C$17 &amp; "1:" &amp; 'Hulp (overig)'!$C$17 &amp; 1000
        ),
        IFERROR(MIN(
            IF(
                (TRIM(INDIRECT("'" &amp; 'Hulp (overig)'!$C$16 &amp; "'!B1:B1000")) = TEXT(O7,"0")) *
                (ROW(INDIRECT("'" &amp; 'Hulp (overig)'!$C$16 &amp; "'!B1:B1000")) &gt;= MATCH(
                    O5,
                    INDIRECT("'" &amp; 'Hulp (overig)'!$C$16 &amp; "'!A1:A1000"),
                    0
                )) *
                IF(
                    P5="",
                    1,
                    (ROW(INDIRECT("'" &amp; 'Hulp (overig)'!$C$16 &amp; "'!B1:B1000")) &lt; MATCH(
                        P5,
                        INDIRECT("'" &amp; 'Hulp (overig)'!$C$16 &amp; "'!A1:A1000"),
                        0
                    ))
                ),
                ROW(INDIRECT("'" &amp; 'Hulp (overig)'!$C$16 &amp; "'!B1:B1000"))
            )
        ),0)
    )=0,"",
INDEX(
        INDIRECT("'" &amp; 'Hulp (overig)'!$C$16 &amp; "'!" &amp;
        'Hulp (overig)'!$C$17 &amp; "1:" &amp; 'Hulp (overig)'!$C$17 &amp; 1000
        ),
        IFERROR(MIN(
            IF(
                (TRIM(INDIRECT("'" &amp; 'Hulp (overig)'!$C$16 &amp; "'!B1:B1000")) = TEXT(O7,"0")) *
                (ROW(INDIRECT("'" &amp; 'Hulp (overig)'!$C$16 &amp; "'!B1:B1000")) &gt;= MATCH(
                    O5,
                    INDIRECT("'" &amp; 'Hulp (overig)'!$C$16 &amp; "'!A1:A1000"),
                    0
                )) *
                IF(
                    P5="",
                    1,
                    (ROW(INDIRECT("'" &amp; 'Hulp (overig)'!$C$16 &amp; "'!B1:B1000")) &lt; MATCH(
                        P5,
                        INDIRECT("'" &amp; 'Hulp (overig)'!$C$16 &amp; "'!A1:A1000"),
                        0
                    ))
                ),
                ROW(INDIRECT("'" &amp; 'Hulp (overig)'!$C$16 &amp; "'!B1:B1000"))
            )
        ),0)
    ))
))))</f>
        <v/>
      </c>
      <c r="P8" s="425" t="str" cm="1">
        <f t="array" aca="1" ref="P8" ca="1">IF($BF8, IF(P5="","",
   INDEX(
      INDIRECT("'" &amp; 'Hulp (CAO''s)'!$AE$8 &amp; "'!" &amp;
               'Hulp (overig)'!$C$17 &amp; "1:" &amp;
               'Hulp (overig)'!$C$17 &amp; "1000"),
      MATCH(
         P5,
         INDIRECT("'" &amp; 'Hulp (CAO''s)'!$AE$8 &amp; "'!A1:A1000"),
         0
      )
   )
), IF($D6="Gebruik % van maximum salaris",
IF(
    OR(P5="",P6=""),
    "",
    MAX(
        INDIRECT(
            "'" &amp; 'Hulp (overig)'!$C$16 &amp; "'!" &amp;
            'Hulp (overig)'!$C$17 &amp;
            MATCH(P5, INDIRECT("'" &amp; 'Hulp (overig)'!$C$16 &amp; "'!A1:A1000"), 0) &amp;
            ":" &amp;
            'Hulp (overig)'!$C$17 &amp;
LOOKUP(
    2,
    1 / (
        (ROW(INDIRECT("'" &amp; 'Hulp (overig)'!$C$16 &amp; "'!B1:B1000")) &lt;
            IF(Q5&lt;&gt;"",
               MATCH(Q5, INDIRECT("'" &amp; 'Hulp (overig)'!$C$16 &amp; "'!A1:A1000"),0),
               1000
            )
        ) *
        (LEFT(TRIM(INDIRECT("'" &amp; 'Hulp (overig)'!$C$16 &amp; "'!B1:B1000")),1) &lt;&gt; "u")
    ),
    ROW(INDIRECT("'" &amp; 'Hulp (overig)'!$C$16 &amp; "'!B1:B1000"))
)
        )
    ) * P6
),
IF(P7="","",
IF(
    IFERROR(MIN(
        IF(
            (TRIM(INDIRECT("'" &amp; 'Hulp (overig)'!$C$16 &amp; "'!B1:B1000")) = TEXT(P7,"0")) *
            (ROW(INDIRECT("'" &amp; 'Hulp (overig)'!$C$16 &amp; "'!B1:B1000")) &gt;= MATCH(
                P5,
                INDIRECT("'" &amp; 'Hulp (overig)'!$C$16 &amp; "'!A1:A1000"),
                0
            )) *
            IF(
                Q5="",
                1,
                (ROW(INDIRECT("'" &amp; 'Hulp (overig)'!$C$16 &amp; "'!B1:B1000")) &lt; MATCH(
                    Q5,
                    INDIRECT("'" &amp; 'Hulp (overig)'!$C$16 &amp; "'!A1:A1000"),
                    0
                ))
            ),
            ROW(INDIRECT("'" &amp; 'Hulp (overig)'!$C$16 &amp; "'!B1:B1000"))
        )
    ),0) &lt; 1,
    "",
    IF(INDEX(
        INDIRECT("'" &amp; 'Hulp (overig)'!$C$16 &amp; "'!" &amp;
        'Hulp (overig)'!$C$17 &amp; "1:" &amp; 'Hulp (overig)'!$C$17 &amp; 1000
        ),
        IFERROR(MIN(
            IF(
                (TRIM(INDIRECT("'" &amp; 'Hulp (overig)'!$C$16 &amp; "'!B1:B1000")) = TEXT(P7,"0")) *
                (ROW(INDIRECT("'" &amp; 'Hulp (overig)'!$C$16 &amp; "'!B1:B1000")) &gt;= MATCH(
                    P5,
                    INDIRECT("'" &amp; 'Hulp (overig)'!$C$16 &amp; "'!A1:A1000"),
                    0
                )) *
                IF(
                    Q5="",
                    1,
                    (ROW(INDIRECT("'" &amp; 'Hulp (overig)'!$C$16 &amp; "'!B1:B1000")) &lt; MATCH(
                        Q5,
                        INDIRECT("'" &amp; 'Hulp (overig)'!$C$16 &amp; "'!A1:A1000"),
                        0
                    ))
                ),
                ROW(INDIRECT("'" &amp; 'Hulp (overig)'!$C$16 &amp; "'!B1:B1000"))
            )
        ),0)
    )=0,"",
INDEX(
        INDIRECT("'" &amp; 'Hulp (overig)'!$C$16 &amp; "'!" &amp;
        'Hulp (overig)'!$C$17 &amp; "1:" &amp; 'Hulp (overig)'!$C$17 &amp; 1000
        ),
        IFERROR(MIN(
            IF(
                (TRIM(INDIRECT("'" &amp; 'Hulp (overig)'!$C$16 &amp; "'!B1:B1000")) = TEXT(P7,"0")) *
                (ROW(INDIRECT("'" &amp; 'Hulp (overig)'!$C$16 &amp; "'!B1:B1000")) &gt;= MATCH(
                    P5,
                    INDIRECT("'" &amp; 'Hulp (overig)'!$C$16 &amp; "'!A1:A1000"),
                    0
                )) *
                IF(
                    Q5="",
                    1,
                    (ROW(INDIRECT("'" &amp; 'Hulp (overig)'!$C$16 &amp; "'!B1:B1000")) &lt; MATCH(
                        Q5,
                        INDIRECT("'" &amp; 'Hulp (overig)'!$C$16 &amp; "'!A1:A1000"),
                        0
                    ))
                ),
                ROW(INDIRECT("'" &amp; 'Hulp (overig)'!$C$16 &amp; "'!B1:B1000"))
            )
        ),0)
    ))
))))</f>
        <v/>
      </c>
      <c r="Q8" s="425" t="str" cm="1">
        <f t="array" aca="1" ref="Q8" ca="1">IF($BF8, IF(Q5="","",
   INDEX(
      INDIRECT("'" &amp; 'Hulp (CAO''s)'!$AE$8 &amp; "'!" &amp;
               'Hulp (overig)'!$C$17 &amp; "1:" &amp;
               'Hulp (overig)'!$C$17 &amp; "1000"),
      MATCH(
         Q5,
         INDIRECT("'" &amp; 'Hulp (CAO''s)'!$AE$8 &amp; "'!A1:A1000"),
         0
      )
   )
), IF($D6="Gebruik % van maximum salaris",
IF(
    OR(Q5="",Q6=""),
    "",
    MAX(
        INDIRECT(
            "'" &amp; 'Hulp (overig)'!$C$16 &amp; "'!" &amp;
            'Hulp (overig)'!$C$17 &amp;
            MATCH(Q5, INDIRECT("'" &amp; 'Hulp (overig)'!$C$16 &amp; "'!A1:A1000"), 0) &amp;
            ":" &amp;
            'Hulp (overig)'!$C$17 &amp;
LOOKUP(
    2,
    1 / (
        (ROW(INDIRECT("'" &amp; 'Hulp (overig)'!$C$16 &amp; "'!B1:B1000")) &lt;
            IF(R5&lt;&gt;"",
               MATCH(R5, INDIRECT("'" &amp; 'Hulp (overig)'!$C$16 &amp; "'!A1:A1000"),0),
               1000
            )
        ) *
        (LEFT(TRIM(INDIRECT("'" &amp; 'Hulp (overig)'!$C$16 &amp; "'!B1:B1000")),1) &lt;&gt; "u")
    ),
    ROW(INDIRECT("'" &amp; 'Hulp (overig)'!$C$16 &amp; "'!B1:B1000"))
)
        )
    ) * Q6
),
IF(Q7="","",
IF(
    IFERROR(MIN(
        IF(
            (TRIM(INDIRECT("'" &amp; 'Hulp (overig)'!$C$16 &amp; "'!B1:B1000")) = TEXT(Q7,"0")) *
            (ROW(INDIRECT("'" &amp; 'Hulp (overig)'!$C$16 &amp; "'!B1:B1000")) &gt;= MATCH(
                Q5,
                INDIRECT("'" &amp; 'Hulp (overig)'!$C$16 &amp; "'!A1:A1000"),
                0
            )) *
            IF(
                R5="",
                1,
                (ROW(INDIRECT("'" &amp; 'Hulp (overig)'!$C$16 &amp; "'!B1:B1000")) &lt; MATCH(
                    R5,
                    INDIRECT("'" &amp; 'Hulp (overig)'!$C$16 &amp; "'!A1:A1000"),
                    0
                ))
            ),
            ROW(INDIRECT("'" &amp; 'Hulp (overig)'!$C$16 &amp; "'!B1:B1000"))
        )
    ),0) &lt; 1,
    "",
    IF(INDEX(
        INDIRECT("'" &amp; 'Hulp (overig)'!$C$16 &amp; "'!" &amp;
        'Hulp (overig)'!$C$17 &amp; "1:" &amp; 'Hulp (overig)'!$C$17 &amp; 1000
        ),
        IFERROR(MIN(
            IF(
                (TRIM(INDIRECT("'" &amp; 'Hulp (overig)'!$C$16 &amp; "'!B1:B1000")) = TEXT(Q7,"0")) *
                (ROW(INDIRECT("'" &amp; 'Hulp (overig)'!$C$16 &amp; "'!B1:B1000")) &gt;= MATCH(
                    Q5,
                    INDIRECT("'" &amp; 'Hulp (overig)'!$C$16 &amp; "'!A1:A1000"),
                    0
                )) *
                IF(
                    R5="",
                    1,
                    (ROW(INDIRECT("'" &amp; 'Hulp (overig)'!$C$16 &amp; "'!B1:B1000")) &lt; MATCH(
                        R5,
                        INDIRECT("'" &amp; 'Hulp (overig)'!$C$16 &amp; "'!A1:A1000"),
                        0
                    ))
                ),
                ROW(INDIRECT("'" &amp; 'Hulp (overig)'!$C$16 &amp; "'!B1:B1000"))
            )
        ),0)
    )=0,"",
INDEX(
        INDIRECT("'" &amp; 'Hulp (overig)'!$C$16 &amp; "'!" &amp;
        'Hulp (overig)'!$C$17 &amp; "1:" &amp; 'Hulp (overig)'!$C$17 &amp; 1000
        ),
        IFERROR(MIN(
            IF(
                (TRIM(INDIRECT("'" &amp; 'Hulp (overig)'!$C$16 &amp; "'!B1:B1000")) = TEXT(Q7,"0")) *
                (ROW(INDIRECT("'" &amp; 'Hulp (overig)'!$C$16 &amp; "'!B1:B1000")) &gt;= MATCH(
                    Q5,
                    INDIRECT("'" &amp; 'Hulp (overig)'!$C$16 &amp; "'!A1:A1000"),
                    0
                )) *
                IF(
                    R5="",
                    1,
                    (ROW(INDIRECT("'" &amp; 'Hulp (overig)'!$C$16 &amp; "'!B1:B1000")) &lt; MATCH(
                        R5,
                        INDIRECT("'" &amp; 'Hulp (overig)'!$C$16 &amp; "'!A1:A1000"),
                        0
                    ))
                ),
                ROW(INDIRECT("'" &amp; 'Hulp (overig)'!$C$16 &amp; "'!B1:B1000"))
            )
        ),0)
    ))
))))</f>
        <v/>
      </c>
      <c r="R8" s="425" t="str" cm="1">
        <f t="array" aca="1" ref="R8" ca="1">IF($BF8, IF(R5="","",
   INDEX(
      INDIRECT("'" &amp; 'Hulp (CAO''s)'!$AE$8 &amp; "'!" &amp;
               'Hulp (overig)'!$C$17 &amp; "1:" &amp;
               'Hulp (overig)'!$C$17 &amp; "1000"),
      MATCH(
         R5,
         INDIRECT("'" &amp; 'Hulp (CAO''s)'!$AE$8 &amp; "'!A1:A1000"),
         0
      )
   )
), IF($D6="Gebruik % van maximum salaris",
IF(
    OR(R5="",R6=""),
    "",
    MAX(
        INDIRECT(
            "'" &amp; 'Hulp (overig)'!$C$16 &amp; "'!" &amp;
            'Hulp (overig)'!$C$17 &amp;
            MATCH(R5, INDIRECT("'" &amp; 'Hulp (overig)'!$C$16 &amp; "'!A1:A1000"), 0) &amp;
            ":" &amp;
            'Hulp (overig)'!$C$17 &amp;
LOOKUP(
    2,
    1 / (
        (ROW(INDIRECT("'" &amp; 'Hulp (overig)'!$C$16 &amp; "'!B1:B1000")) &lt;
            IF(S5&lt;&gt;"",
               MATCH(S5, INDIRECT("'" &amp; 'Hulp (overig)'!$C$16 &amp; "'!A1:A1000"),0),
               1000
            )
        ) *
        (LEFT(TRIM(INDIRECT("'" &amp; 'Hulp (overig)'!$C$16 &amp; "'!B1:B1000")),1) &lt;&gt; "u")
    ),
    ROW(INDIRECT("'" &amp; 'Hulp (overig)'!$C$16 &amp; "'!B1:B1000"))
)
        )
    ) * R6
),
IF(R7="","",
IF(
    IFERROR(MIN(
        IF(
            (TRIM(INDIRECT("'" &amp; 'Hulp (overig)'!$C$16 &amp; "'!B1:B1000")) = TEXT(R7,"0")) *
            (ROW(INDIRECT("'" &amp; 'Hulp (overig)'!$C$16 &amp; "'!B1:B1000")) &gt;= MATCH(
                R5,
                INDIRECT("'" &amp; 'Hulp (overig)'!$C$16 &amp; "'!A1:A1000"),
                0
            )) *
            IF(
                S5="",
                1,
                (ROW(INDIRECT("'" &amp; 'Hulp (overig)'!$C$16 &amp; "'!B1:B1000")) &lt; MATCH(
                    S5,
                    INDIRECT("'" &amp; 'Hulp (overig)'!$C$16 &amp; "'!A1:A1000"),
                    0
                ))
            ),
            ROW(INDIRECT("'" &amp; 'Hulp (overig)'!$C$16 &amp; "'!B1:B1000"))
        )
    ),0) &lt; 1,
    "",
    IF(INDEX(
        INDIRECT("'" &amp; 'Hulp (overig)'!$C$16 &amp; "'!" &amp;
        'Hulp (overig)'!$C$17 &amp; "1:" &amp; 'Hulp (overig)'!$C$17 &amp; 1000
        ),
        IFERROR(MIN(
            IF(
                (TRIM(INDIRECT("'" &amp; 'Hulp (overig)'!$C$16 &amp; "'!B1:B1000")) = TEXT(R7,"0")) *
                (ROW(INDIRECT("'" &amp; 'Hulp (overig)'!$C$16 &amp; "'!B1:B1000")) &gt;= MATCH(
                    R5,
                    INDIRECT("'" &amp; 'Hulp (overig)'!$C$16 &amp; "'!A1:A1000"),
                    0
                )) *
                IF(
                    S5="",
                    1,
                    (ROW(INDIRECT("'" &amp; 'Hulp (overig)'!$C$16 &amp; "'!B1:B1000")) &lt; MATCH(
                        S5,
                        INDIRECT("'" &amp; 'Hulp (overig)'!$C$16 &amp; "'!A1:A1000"),
                        0
                    ))
                ),
                ROW(INDIRECT("'" &amp; 'Hulp (overig)'!$C$16 &amp; "'!B1:B1000"))
            )
        ),0)
    )=0,"",
INDEX(
        INDIRECT("'" &amp; 'Hulp (overig)'!$C$16 &amp; "'!" &amp;
        'Hulp (overig)'!$C$17 &amp; "1:" &amp; 'Hulp (overig)'!$C$17 &amp; 1000
        ),
        IFERROR(MIN(
            IF(
                (TRIM(INDIRECT("'" &amp; 'Hulp (overig)'!$C$16 &amp; "'!B1:B1000")) = TEXT(R7,"0")) *
                (ROW(INDIRECT("'" &amp; 'Hulp (overig)'!$C$16 &amp; "'!B1:B1000")) &gt;= MATCH(
                    R5,
                    INDIRECT("'" &amp; 'Hulp (overig)'!$C$16 &amp; "'!A1:A1000"),
                    0
                )) *
                IF(
                    S5="",
                    1,
                    (ROW(INDIRECT("'" &amp; 'Hulp (overig)'!$C$16 &amp; "'!B1:B1000")) &lt; MATCH(
                        S5,
                        INDIRECT("'" &amp; 'Hulp (overig)'!$C$16 &amp; "'!A1:A1000"),
                        0
                    ))
                ),
                ROW(INDIRECT("'" &amp; 'Hulp (overig)'!$C$16 &amp; "'!B1:B1000"))
            )
        ),0)
    ))
))))</f>
        <v/>
      </c>
      <c r="S8" s="425" t="str" cm="1">
        <f t="array" aca="1" ref="S8" ca="1">IF($BF8, IF(S5="","",
   INDEX(
      INDIRECT("'" &amp; 'Hulp (CAO''s)'!$AE$8 &amp; "'!" &amp;
               'Hulp (overig)'!$C$17 &amp; "1:" &amp;
               'Hulp (overig)'!$C$17 &amp; "1000"),
      MATCH(
         S5,
         INDIRECT("'" &amp; 'Hulp (CAO''s)'!$AE$8 &amp; "'!A1:A1000"),
         0
      )
   )
), IF($D6="Gebruik % van maximum salaris",
IF(
    OR(S5="",S6=""),
    "",
    MAX(
        INDIRECT(
            "'" &amp; 'Hulp (overig)'!$C$16 &amp; "'!" &amp;
            'Hulp (overig)'!$C$17 &amp;
            MATCH(S5, INDIRECT("'" &amp; 'Hulp (overig)'!$C$16 &amp; "'!A1:A1000"), 0) &amp;
            ":" &amp;
            'Hulp (overig)'!$C$17 &amp;
LOOKUP(
    2,
    1 / (
        (ROW(INDIRECT("'" &amp; 'Hulp (overig)'!$C$16 &amp; "'!B1:B1000")) &lt;
            IF(T5&lt;&gt;"",
               MATCH(T5, INDIRECT("'" &amp; 'Hulp (overig)'!$C$16 &amp; "'!A1:A1000"),0),
               1000
            )
        ) *
        (LEFT(TRIM(INDIRECT("'" &amp; 'Hulp (overig)'!$C$16 &amp; "'!B1:B1000")),1) &lt;&gt; "u")
    ),
    ROW(INDIRECT("'" &amp; 'Hulp (overig)'!$C$16 &amp; "'!B1:B1000"))
)
        )
    ) * S6
),
IF(S7="","",
IF(
    IFERROR(MIN(
        IF(
            (TRIM(INDIRECT("'" &amp; 'Hulp (overig)'!$C$16 &amp; "'!B1:B1000")) = TEXT(S7,"0")) *
            (ROW(INDIRECT("'" &amp; 'Hulp (overig)'!$C$16 &amp; "'!B1:B1000")) &gt;= MATCH(
                S5,
                INDIRECT("'" &amp; 'Hulp (overig)'!$C$16 &amp; "'!A1:A1000"),
                0
            )) *
            IF(
                T5="",
                1,
                (ROW(INDIRECT("'" &amp; 'Hulp (overig)'!$C$16 &amp; "'!B1:B1000")) &lt; MATCH(
                    T5,
                    INDIRECT("'" &amp; 'Hulp (overig)'!$C$16 &amp; "'!A1:A1000"),
                    0
                ))
            ),
            ROW(INDIRECT("'" &amp; 'Hulp (overig)'!$C$16 &amp; "'!B1:B1000"))
        )
    ),0) &lt; 1,
    "",
    IF(INDEX(
        INDIRECT("'" &amp; 'Hulp (overig)'!$C$16 &amp; "'!" &amp;
        'Hulp (overig)'!$C$17 &amp; "1:" &amp; 'Hulp (overig)'!$C$17 &amp; 1000
        ),
        IFERROR(MIN(
            IF(
                (TRIM(INDIRECT("'" &amp; 'Hulp (overig)'!$C$16 &amp; "'!B1:B1000")) = TEXT(S7,"0")) *
                (ROW(INDIRECT("'" &amp; 'Hulp (overig)'!$C$16 &amp; "'!B1:B1000")) &gt;= MATCH(
                    S5,
                    INDIRECT("'" &amp; 'Hulp (overig)'!$C$16 &amp; "'!A1:A1000"),
                    0
                )) *
                IF(
                    T5="",
                    1,
                    (ROW(INDIRECT("'" &amp; 'Hulp (overig)'!$C$16 &amp; "'!B1:B1000")) &lt; MATCH(
                        T5,
                        INDIRECT("'" &amp; 'Hulp (overig)'!$C$16 &amp; "'!A1:A1000"),
                        0
                    ))
                ),
                ROW(INDIRECT("'" &amp; 'Hulp (overig)'!$C$16 &amp; "'!B1:B1000"))
            )
        ),0)
    )=0,"",
INDEX(
        INDIRECT("'" &amp; 'Hulp (overig)'!$C$16 &amp; "'!" &amp;
        'Hulp (overig)'!$C$17 &amp; "1:" &amp; 'Hulp (overig)'!$C$17 &amp; 1000
        ),
        IFERROR(MIN(
            IF(
                (TRIM(INDIRECT("'" &amp; 'Hulp (overig)'!$C$16 &amp; "'!B1:B1000")) = TEXT(S7,"0")) *
                (ROW(INDIRECT("'" &amp; 'Hulp (overig)'!$C$16 &amp; "'!B1:B1000")) &gt;= MATCH(
                    S5,
                    INDIRECT("'" &amp; 'Hulp (overig)'!$C$16 &amp; "'!A1:A1000"),
                    0
                )) *
                IF(
                    T5="",
                    1,
                    (ROW(INDIRECT("'" &amp; 'Hulp (overig)'!$C$16 &amp; "'!B1:B1000")) &lt; MATCH(
                        T5,
                        INDIRECT("'" &amp; 'Hulp (overig)'!$C$16 &amp; "'!A1:A1000"),
                        0
                    ))
                ),
                ROW(INDIRECT("'" &amp; 'Hulp (overig)'!$C$16 &amp; "'!B1:B1000"))
            )
        ),0)
    ))
))))</f>
        <v/>
      </c>
      <c r="T8" s="425" t="str" cm="1">
        <f t="array" aca="1" ref="T8" ca="1">IF($BF8, IF(T5="","",
   INDEX(
      INDIRECT("'" &amp; 'Hulp (CAO''s)'!$AE$8 &amp; "'!" &amp;
               'Hulp (overig)'!$C$17 &amp; "1:" &amp;
               'Hulp (overig)'!$C$17 &amp; "1000"),
      MATCH(
         T5,
         INDIRECT("'" &amp; 'Hulp (CAO''s)'!$AE$8 &amp; "'!A1:A1000"),
         0
      )
   )
), IF($D6="Gebruik % van maximum salaris",
IF(
    OR(T5="",T6=""),
    "",
    MAX(
        INDIRECT(
            "'" &amp; 'Hulp (overig)'!$C$16 &amp; "'!" &amp;
            'Hulp (overig)'!$C$17 &amp;
            MATCH(T5, INDIRECT("'" &amp; 'Hulp (overig)'!$C$16 &amp; "'!A1:A1000"), 0) &amp;
            ":" &amp;
            'Hulp (overig)'!$C$17 &amp;
LOOKUP(
    2,
    1 / (
        (ROW(INDIRECT("'" &amp; 'Hulp (overig)'!$C$16 &amp; "'!B1:B1000")) &lt;
            IF(U5&lt;&gt;"",
               MATCH(U5, INDIRECT("'" &amp; 'Hulp (overig)'!$C$16 &amp; "'!A1:A1000"),0),
               1000
            )
        ) *
        (LEFT(TRIM(INDIRECT("'" &amp; 'Hulp (overig)'!$C$16 &amp; "'!B1:B1000")),1) &lt;&gt; "u")
    ),
    ROW(INDIRECT("'" &amp; 'Hulp (overig)'!$C$16 &amp; "'!B1:B1000"))
)
        )
    ) * T6
),
IF(T7="","",
IF(
    IFERROR(MIN(
        IF(
            (TRIM(INDIRECT("'" &amp; 'Hulp (overig)'!$C$16 &amp; "'!B1:B1000")) = TEXT(T7,"0")) *
            (ROW(INDIRECT("'" &amp; 'Hulp (overig)'!$C$16 &amp; "'!B1:B1000")) &gt;= MATCH(
                T5,
                INDIRECT("'" &amp; 'Hulp (overig)'!$C$16 &amp; "'!A1:A1000"),
                0
            )) *
            IF(
                U5="",
                1,
                (ROW(INDIRECT("'" &amp; 'Hulp (overig)'!$C$16 &amp; "'!B1:B1000")) &lt; MATCH(
                    U5,
                    INDIRECT("'" &amp; 'Hulp (overig)'!$C$16 &amp; "'!A1:A1000"),
                    0
                ))
            ),
            ROW(INDIRECT("'" &amp; 'Hulp (overig)'!$C$16 &amp; "'!B1:B1000"))
        )
    ),0) &lt; 1,
    "",
    IF(INDEX(
        INDIRECT("'" &amp; 'Hulp (overig)'!$C$16 &amp; "'!" &amp;
        'Hulp (overig)'!$C$17 &amp; "1:" &amp; 'Hulp (overig)'!$C$17 &amp; 1000
        ),
        IFERROR(MIN(
            IF(
                (TRIM(INDIRECT("'" &amp; 'Hulp (overig)'!$C$16 &amp; "'!B1:B1000")) = TEXT(T7,"0")) *
                (ROW(INDIRECT("'" &amp; 'Hulp (overig)'!$C$16 &amp; "'!B1:B1000")) &gt;= MATCH(
                    T5,
                    INDIRECT("'" &amp; 'Hulp (overig)'!$C$16 &amp; "'!A1:A1000"),
                    0
                )) *
                IF(
                    U5="",
                    1,
                    (ROW(INDIRECT("'" &amp; 'Hulp (overig)'!$C$16 &amp; "'!B1:B1000")) &lt; MATCH(
                        U5,
                        INDIRECT("'" &amp; 'Hulp (overig)'!$C$16 &amp; "'!A1:A1000"),
                        0
                    ))
                ),
                ROW(INDIRECT("'" &amp; 'Hulp (overig)'!$C$16 &amp; "'!B1:B1000"))
            )
        ),0)
    )=0,"",
INDEX(
        INDIRECT("'" &amp; 'Hulp (overig)'!$C$16 &amp; "'!" &amp;
        'Hulp (overig)'!$C$17 &amp; "1:" &amp; 'Hulp (overig)'!$C$17 &amp; 1000
        ),
        IFERROR(MIN(
            IF(
                (TRIM(INDIRECT("'" &amp; 'Hulp (overig)'!$C$16 &amp; "'!B1:B1000")) = TEXT(T7,"0")) *
                (ROW(INDIRECT("'" &amp; 'Hulp (overig)'!$C$16 &amp; "'!B1:B1000")) &gt;= MATCH(
                    T5,
                    INDIRECT("'" &amp; 'Hulp (overig)'!$C$16 &amp; "'!A1:A1000"),
                    0
                )) *
                IF(
                    U5="",
                    1,
                    (ROW(INDIRECT("'" &amp; 'Hulp (overig)'!$C$16 &amp; "'!B1:B1000")) &lt; MATCH(
                        U5,
                        INDIRECT("'" &amp; 'Hulp (overig)'!$C$16 &amp; "'!A1:A1000"),
                        0
                    ))
                ),
                ROW(INDIRECT("'" &amp; 'Hulp (overig)'!$C$16 &amp; "'!B1:B1000"))
            )
        ),0)
    ))
))))</f>
        <v/>
      </c>
      <c r="U8" s="723" t="str" cm="1">
        <f t="array" aca="1" ref="U8" ca="1">IF($BF8, IF(U5="","",
   INDEX(
      INDIRECT("'" &amp; 'Hulp (CAO''s)'!$AE$8 &amp; "'!" &amp;
               'Hulp (overig)'!$C$17 &amp; "1:" &amp;
               'Hulp (overig)'!$C$17 &amp; "1000"),
      MATCH(
         U5,
         INDIRECT("'" &amp; 'Hulp (CAO''s)'!$AE$8 &amp; "'!A1:A1000"),
         0
      )
   )
), IF($D6="Gebruik % van maximum salaris",
IF(
    OR(U5="",U6=""),
    "",
    MAX(
        INDIRECT(
            "'" &amp; 'Hulp (overig)'!$C$16 &amp; "'!" &amp;
            'Hulp (overig)'!$C$17 &amp;
            MATCH(U5, INDIRECT("'" &amp; 'Hulp (overig)'!$C$16 &amp; "'!A1:A1000"), 0) &amp;
            ":" &amp;
            'Hulp (overig)'!$C$17 &amp;
LOOKUP(
    2,
    1 / (
        (ROW(INDIRECT("'" &amp; 'Hulp (overig)'!$C$16 &amp; "'!B1:B1000")) &lt;
            IF(V5&lt;&gt;"",
               MATCH(V5, INDIRECT("'" &amp; 'Hulp (overig)'!$C$16 &amp; "'!A1:A1000"),0),
               1000
            )
        ) *
        (LEFT(TRIM(INDIRECT("'" &amp; 'Hulp (overig)'!$C$16 &amp; "'!B1:B1000")),1) &lt;&gt; "u")
    ),
    ROW(INDIRECT("'" &amp; 'Hulp (overig)'!$C$16 &amp; "'!B1:B1000"))
)
        )
    ) * U6
),
IF(U7="","",
IF(
    IFERROR(MIN(
        IF(
            (TRIM(INDIRECT("'" &amp; 'Hulp (overig)'!$C$16 &amp; "'!B1:B1000")) = TEXT(U7,"0")) *
            (ROW(INDIRECT("'" &amp; 'Hulp (overig)'!$C$16 &amp; "'!B1:B1000")) &gt;= MATCH(
                U5,
                INDIRECT("'" &amp; 'Hulp (overig)'!$C$16 &amp; "'!A1:A1000"),
                0
            )) *
            IF(
                V5="",
                1,
                (ROW(INDIRECT("'" &amp; 'Hulp (overig)'!$C$16 &amp; "'!B1:B1000")) &lt; MATCH(
                    V5,
                    INDIRECT("'" &amp; 'Hulp (overig)'!$C$16 &amp; "'!A1:A1000"),
                    0
                ))
            ),
            ROW(INDIRECT("'" &amp; 'Hulp (overig)'!$C$16 &amp; "'!B1:B1000"))
        )
    ),0) &lt; 1,
    "",
    IF(INDEX(
        INDIRECT("'" &amp; 'Hulp (overig)'!$C$16 &amp; "'!" &amp;
        'Hulp (overig)'!$C$17 &amp; "1:" &amp; 'Hulp (overig)'!$C$17 &amp; 1000
        ),
        IFERROR(MIN(
            IF(
                (TRIM(INDIRECT("'" &amp; 'Hulp (overig)'!$C$16 &amp; "'!B1:B1000")) = TEXT(U7,"0")) *
                (ROW(INDIRECT("'" &amp; 'Hulp (overig)'!$C$16 &amp; "'!B1:B1000")) &gt;= MATCH(
                    U5,
                    INDIRECT("'" &amp; 'Hulp (overig)'!$C$16 &amp; "'!A1:A1000"),
                    0
                )) *
                IF(
                    V5="",
                    1,
                    (ROW(INDIRECT("'" &amp; 'Hulp (overig)'!$C$16 &amp; "'!B1:B1000")) &lt; MATCH(
                        V5,
                        INDIRECT("'" &amp; 'Hulp (overig)'!$C$16 &amp; "'!A1:A1000"),
                        0
                    ))
                ),
                ROW(INDIRECT("'" &amp; 'Hulp (overig)'!$C$16 &amp; "'!B1:B1000"))
            )
        ),0)
    )=0,"",
INDEX(
        INDIRECT("'" &amp; 'Hulp (overig)'!$C$16 &amp; "'!" &amp;
        'Hulp (overig)'!$C$17 &amp; "1:" &amp; 'Hulp (overig)'!$C$17 &amp; 1000
        ),
        IFERROR(MIN(
            IF(
                (TRIM(INDIRECT("'" &amp; 'Hulp (overig)'!$C$16 &amp; "'!B1:B1000")) = TEXT(U7,"0")) *
                (ROW(INDIRECT("'" &amp; 'Hulp (overig)'!$C$16 &amp; "'!B1:B1000")) &gt;= MATCH(
                    U5,
                    INDIRECT("'" &amp; 'Hulp (overig)'!$C$16 &amp; "'!A1:A1000"),
                    0
                )) *
                IF(
                    V5="",
                    1,
                    (ROW(INDIRECT("'" &amp; 'Hulp (overig)'!$C$16 &amp; "'!B1:B1000")) &lt; MATCH(
                        V5,
                        INDIRECT("'" &amp; 'Hulp (overig)'!$C$16 &amp; "'!A1:A1000"),
                        0
                    ))
                ),
                ROW(INDIRECT("'" &amp; 'Hulp (overig)'!$C$16 &amp; "'!B1:B1000"))
            )
        ),0)
    ))
))))</f>
        <v/>
      </c>
      <c r="V8" s="413" t="str" cm="1">
        <f t="array" ref="V8">IF(SUM(F9:U9)=0,"",
IF(SUM(F8:U8)=0,"",
IF(SUMPRODUCT((F9:U9&lt;&gt;0)*(F8:U8=""))&gt;0,"",
(
   SUMPRODUCT(
      IF(F8:U8="",0,F8:U8),
      IF(F9:U9="",0,F9:U9) / SUM(F9:U9)
   )
))))</f>
        <v/>
      </c>
      <c r="W8" s="418"/>
      <c r="X8" s="620"/>
      <c r="Y8" s="419" t="str">
        <f ca="1">IF(B5="","",
        IF(INDIRECT("'Hulp (control forms)'!C" &amp; (13 + INT((ROW()-ROW($B$5))/7))),
            IF(X8="","",X8),
            IF(V8="","",V8)
    )
)</f>
        <v/>
      </c>
      <c r="Z8" s="333"/>
      <c r="AA8" s="771"/>
      <c r="AB8" s="770"/>
      <c r="AC8" s="548" t="str">
        <f>HYPERLINK(
  "#'6. Definities'!" &amp;
  INDEX('Hulp (definities)'!E:E,
        MATCH("Aandeel in product",'Hulp (definities)'!A:A,0)
  ),
  "Aandeel in product"
)</f>
        <v>Aandeel in product</v>
      </c>
      <c r="AD8" s="289"/>
      <c r="AE8" s="289"/>
      <c r="AF8" s="289"/>
      <c r="AG8" s="289"/>
      <c r="AH8" s="289"/>
      <c r="AI8" s="289"/>
      <c r="AJ8" s="289"/>
      <c r="AK8" s="289"/>
      <c r="AL8" s="289"/>
      <c r="AM8" s="289"/>
      <c r="AN8" s="289"/>
      <c r="AO8" s="289"/>
      <c r="AP8" s="289"/>
      <c r="AQ8" s="289"/>
      <c r="AR8" s="289"/>
      <c r="AS8" s="289"/>
      <c r="AT8" s="289"/>
      <c r="AU8" s="289"/>
      <c r="AV8" s="289"/>
      <c r="AW8" s="334"/>
      <c r="AX8" s="289"/>
      <c r="AY8" s="334"/>
      <c r="AZ8" s="289"/>
      <c r="BA8" cm="1">
        <f t="array" aca="1" ref="BA8" ca="1">IF(
   SUM(Y8)=0,
   1,
   IF(
      N(INDIRECT("'Hulp (control forms)'!C"&amp;(13+INT((ROW()-ROW($B$5))/7))))&lt;&gt;0,
      MIN(1,
      ('Hulp (overig)'!$C$6/12) /
      (Y8 * BC8 + BD8)),
      MIN(1,
         IF(
            SUM(F8:U8)=0,
            "",
            SUMPRODUCT(
               IF(
                  (IF(F8:U8="",0,F8:U8) * BC8) + BD8
                  &gt; 'Hulp (overig)'!$C$6/12,
                  'Hulp (overig)'!$C$6/12,
                  (IF(F8:U8="",0,F8:U8) * BC8) + BD8
               ),
               IF(F9:U9="",0,F9:U9) / SUM(F9:U9)
            )
         ) /
         ((Y8 * BC8) + BD8)
      )
   )
)</f>
        <v>1</v>
      </c>
      <c r="BB8" cm="1">
        <f t="array" aca="1" ref="BB8" ca="1">IF(
   SUM(Y8)=0,
   1,
   IF(
      N(INDIRECT("'Hulp (control forms)'!C"&amp;(13+INT((ROW()-ROW($B$5))/7))))&lt;&gt;0,
      MIN('Hulp (overig)'!$C$5/12,
      (Y8 * BC8) + BD8) * 12,
         IF(
            SUM(F8:U8)=0,
            "",
            SUMPRODUCT(
               IF(
                  (IF(F8:U8="",0,F8:U8) * BC8) + BD8
                  &gt; 'Hulp (overig)'!$C$5/12,
                  'Hulp (overig)'!$C$5/12,
                  (IF(F8:U8="",0,F8:U8) * BC8) + BD8
               ),
               IF(F9:U9="",0,F9:U9) / SUM(F9:U9)
            )
         ) * 12
   )
)</f>
        <v>1</v>
      </c>
      <c r="BC8" s="287" cm="1">
        <f t="array" aca="1" ref="BC8" ca="1">IFERROR(
   (INDEX('2. Output kostprijs'!$24:$24, 5 + 2*INT((ROW()-8)/7))
    - SUM(INDEX('2. Output kostprijs'!$23:$23, 5 + 2*INT((ROW()-8)/7))))
   / INDEX('2. Output kostprijs'!$19:$19, 5 + 2*INT((ROW()-8)/7)),
   1
)</f>
        <v>1</v>
      </c>
      <c r="BD8" s="287" cm="1">
        <f t="array" aca="1" ref="BD8" ca="1">IFERROR(
   (INDEX('2. Output kostprijs'!$23:$23, 5 + 2*INT((ROW()-8)/7))
    * INDEX('2. Output kostprijs'!$18:$18, 5 + 2*INT((ROW()-8)/7))
   ) / 12,
   0
)</f>
        <v>0</v>
      </c>
      <c r="BE8" t="b">
        <f ca="1">NOT(AND(B5&lt;&gt;"",Y8=""))</f>
        <v>1</v>
      </c>
      <c r="BF8" t="b" cm="1">
        <f t="array" aca="1" ref="BF8" ca="1">IF(INDIRECT("'1a. Input organisatieniveau'!$AD" &amp; 7 + INT((ROW()-ROW($F$8))/7))="",FALSE,
INDIRECT("'1a. Input organisatieniveau'!$AD" &amp; 7 + INT((ROW()-ROW($F$8))/7)))</f>
        <v>0</v>
      </c>
      <c r="BG8" t="b" cm="1">
        <f t="array" ref="BG8">IFERROR(INDEX('Hulp (control forms)'!C:C, 13 + INT((ROW(A1)-1)/7)),FALSE)</f>
        <v>0</v>
      </c>
    </row>
    <row r="9" spans="1:75" ht="16.05" customHeight="1" thickBot="1" x14ac:dyDescent="0.5">
      <c r="A9" s="289"/>
      <c r="B9" s="343"/>
      <c r="C9" s="325" t="s">
        <v>779</v>
      </c>
      <c r="D9" s="688" t="s">
        <v>60</v>
      </c>
      <c r="E9" s="433" t="s">
        <v>59</v>
      </c>
      <c r="F9" s="624"/>
      <c r="G9" s="624"/>
      <c r="H9" s="624"/>
      <c r="I9" s="624"/>
      <c r="J9" s="624"/>
      <c r="K9" s="624"/>
      <c r="L9" s="624"/>
      <c r="M9" s="624"/>
      <c r="N9" s="624"/>
      <c r="O9" s="624"/>
      <c r="P9" s="624"/>
      <c r="Q9" s="624"/>
      <c r="R9" s="624"/>
      <c r="S9" s="624"/>
      <c r="T9" s="624"/>
      <c r="U9" s="625"/>
      <c r="V9" s="420" t="str">
        <f ca="1">IF($B5="","",IF($D9="Aandeel in %",
   "Totaal: "&amp;SUM(F9:U9)*100&amp;"%",
   "Totaal: "&amp;SUM(F9:U9)&amp;" uur"
))</f>
        <v/>
      </c>
      <c r="W9" s="294"/>
      <c r="X9" s="621"/>
      <c r="Y9" s="328"/>
      <c r="Z9" s="329"/>
      <c r="AA9" s="289"/>
      <c r="AB9" s="289"/>
      <c r="AC9" s="549" t="str">
        <f>HYPERLINK(
  "#'6. Definities'!" &amp;
  INDEX('Hulp (definities)'!E:E,
        MATCH("Gewogen salaris vanuit functiemix",'Hulp (definities)'!A:A,0)
  ),
  "Gewogen salaris vanuit functiemix"
)</f>
        <v>Gewogen salaris vanuit functiemix</v>
      </c>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75" ht="16.05" customHeight="1" thickBot="1" x14ac:dyDescent="0.5">
      <c r="A10" s="289"/>
      <c r="B10" s="343"/>
      <c r="C10" s="326" t="s">
        <v>779</v>
      </c>
      <c r="D10" s="421"/>
      <c r="E10" s="426"/>
      <c r="F10" s="426"/>
      <c r="G10" s="426"/>
      <c r="H10" s="426"/>
      <c r="I10" s="426"/>
      <c r="J10" s="426"/>
      <c r="K10" s="426"/>
      <c r="L10" s="426"/>
      <c r="M10" s="426"/>
      <c r="N10" s="426"/>
      <c r="O10" s="426"/>
      <c r="P10" s="426"/>
      <c r="Q10" s="426"/>
      <c r="R10" s="426"/>
      <c r="S10" s="426"/>
      <c r="T10" s="427"/>
      <c r="U10" s="427"/>
      <c r="V10" s="421"/>
      <c r="W10" s="421"/>
      <c r="X10" s="622"/>
      <c r="Y10" s="421"/>
      <c r="Z10" s="327"/>
      <c r="AA10" s="320"/>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75" ht="16.05" customHeight="1" thickBot="1" x14ac:dyDescent="0.55000000000000004">
      <c r="A11" s="289"/>
      <c r="B11" s="585" t="str">
        <f ca="1">IF(B12="","",
IF(
   OR(
      INDIRECT("'1a. Input organisatieniveau'!AC" &amp; (7 + INT((ROW()-4)/7)))="",
      INDIRECT("'1a. Input organisatieniveau'!AC" &amp; (7 + INT((ROW()-4)/7)))=0
   ),
   "",
   INDIRECT("'1a. Input organisatieniveau'!AC" &amp; (7 + INT((ROW()-4)/7)))
))</f>
        <v/>
      </c>
      <c r="C11" s="324" t="s">
        <v>779</v>
      </c>
      <c r="D11" s="416"/>
      <c r="E11" s="428"/>
      <c r="F11" s="422" t="str">
        <f t="shared" ref="F11:U11" ca="1" si="1">IF($B12="","",
IF($D13="Gebruik % van maximum salaris",
 IF(OR(AND(AND(F12&lt;&gt;"",F13&lt;&gt;""),F15=""),AND(F15="",F16&lt;&gt;"")),"!",""),
 IF(OR(AND(AND(F12&lt;&gt;"",F14&lt;&gt;""),F15=""),AND(F15="",F16&lt;&gt;"")),"!","")))</f>
        <v/>
      </c>
      <c r="G11" s="422" t="str">
        <f t="shared" ca="1" si="1"/>
        <v/>
      </c>
      <c r="H11" s="422" t="str">
        <f t="shared" ca="1" si="1"/>
        <v/>
      </c>
      <c r="I11" s="422" t="str">
        <f t="shared" ca="1" si="1"/>
        <v/>
      </c>
      <c r="J11" s="422" t="str">
        <f t="shared" ca="1" si="1"/>
        <v/>
      </c>
      <c r="K11" s="422" t="str">
        <f t="shared" ca="1" si="1"/>
        <v/>
      </c>
      <c r="L11" s="422" t="str">
        <f t="shared" ca="1" si="1"/>
        <v/>
      </c>
      <c r="M11" s="422" t="str">
        <f t="shared" ca="1" si="1"/>
        <v/>
      </c>
      <c r="N11" s="422" t="str">
        <f t="shared" ca="1" si="1"/>
        <v/>
      </c>
      <c r="O11" s="422" t="str">
        <f t="shared" ca="1" si="1"/>
        <v/>
      </c>
      <c r="P11" s="422" t="str">
        <f t="shared" ca="1" si="1"/>
        <v/>
      </c>
      <c r="Q11" s="422" t="str">
        <f t="shared" ca="1" si="1"/>
        <v/>
      </c>
      <c r="R11" s="422" t="str">
        <f t="shared" ca="1" si="1"/>
        <v/>
      </c>
      <c r="S11" s="422" t="str">
        <f t="shared" ca="1" si="1"/>
        <v/>
      </c>
      <c r="T11" s="422" t="str">
        <f t="shared" ca="1" si="1"/>
        <v/>
      </c>
      <c r="U11" s="422" t="str">
        <f t="shared" ca="1" si="1"/>
        <v/>
      </c>
      <c r="V11" s="416"/>
      <c r="W11" s="416"/>
      <c r="X11" s="619"/>
      <c r="Y11" s="416"/>
      <c r="Z11" s="330"/>
      <c r="AA11" s="354"/>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75" ht="16.05" customHeight="1" thickBot="1" x14ac:dyDescent="0.5">
      <c r="A12" s="289"/>
      <c r="B12" s="586" t="str">
        <f ca="1">IF(
   OR(
      INDIRECT("'1a. Input organisatieniveau'!AA" &amp; (7 + INT((ROW()-4)/7)))="",
      INDIRECT("'1a. Input organisatieniveau'!AA" &amp; (7 + INT((ROW()-4)/7)))=0
   ),
   "",
   INDIRECT("'1a. Input organisatieniveau'!AA" &amp; (7 + INT((ROW()-4)/7)))
)</f>
        <v/>
      </c>
      <c r="C12" s="325" t="s">
        <v>779</v>
      </c>
      <c r="D12" s="434"/>
      <c r="E12" s="429" t="s">
        <v>28</v>
      </c>
      <c r="F12" s="423" t="str">
        <f ca="1">IF($B12="", "", IF($BF15, IF('Hulp (CAO''s)'!J$8&lt;&gt;"",'Hulp (CAO''s)'!J$8,""), INDEX('Hulp (CAO''s)'!J$3:J$7, MATCH(TRUE, 'Hulp (CAO''s)'!$D$3:$D$7, 0))))</f>
        <v/>
      </c>
      <c r="G12" s="423" t="str">
        <f ca="1">IF($B12="", "", IF($BF15, IF('Hulp (CAO''s)'!K$8&lt;&gt;"",'Hulp (CAO''s)'!K$8,""), INDEX('Hulp (CAO''s)'!K$3:K$7, MATCH(TRUE, 'Hulp (CAO''s)'!$D$3:$D$7, 0))))</f>
        <v/>
      </c>
      <c r="H12" s="423" t="str">
        <f ca="1">IF($B12="", "", IF($BF15, IF('Hulp (CAO''s)'!L$8&lt;&gt;"",'Hulp (CAO''s)'!L$8,""), INDEX('Hulp (CAO''s)'!L$3:L$7, MATCH(TRUE, 'Hulp (CAO''s)'!$D$3:$D$7, 0))))</f>
        <v/>
      </c>
      <c r="I12" s="423" t="str">
        <f ca="1">IF($B12="", "", IF($BF15, IF('Hulp (CAO''s)'!M$8&lt;&gt;"",'Hulp (CAO''s)'!M$8,""), INDEX('Hulp (CAO''s)'!M$3:M$7, MATCH(TRUE, 'Hulp (CAO''s)'!$D$3:$D$7, 0))))</f>
        <v/>
      </c>
      <c r="J12" s="423" t="str">
        <f ca="1">IF($B12="", "", IF($BF15, IF('Hulp (CAO''s)'!N$8&lt;&gt;"",'Hulp (CAO''s)'!N$8,""), INDEX('Hulp (CAO''s)'!N$3:N$7, MATCH(TRUE, 'Hulp (CAO''s)'!$D$3:$D$7, 0))))</f>
        <v/>
      </c>
      <c r="K12" s="423" t="str">
        <f ca="1">IF($B12="", "", IF($BF15, IF('Hulp (CAO''s)'!O$8&lt;&gt;"",'Hulp (CAO''s)'!O$8,""), INDEX('Hulp (CAO''s)'!O$3:O$7, MATCH(TRUE, 'Hulp (CAO''s)'!$D$3:$D$7, 0))))</f>
        <v/>
      </c>
      <c r="L12" s="423" t="str">
        <f ca="1">IF($B12="", "", IF($BF15, IF('Hulp (CAO''s)'!P$8&lt;&gt;"",'Hulp (CAO''s)'!P$8,""), INDEX('Hulp (CAO''s)'!P$3:P$7, MATCH(TRUE, 'Hulp (CAO''s)'!$D$3:$D$7, 0))))</f>
        <v/>
      </c>
      <c r="M12" s="423" t="str">
        <f ca="1">IF($B12="", "", IF($BF15, IF('Hulp (CAO''s)'!Q$8&lt;&gt;"",'Hulp (CAO''s)'!Q$8,""), INDEX('Hulp (CAO''s)'!Q$3:Q$7, MATCH(TRUE, 'Hulp (CAO''s)'!$D$3:$D$7, 0))))</f>
        <v/>
      </c>
      <c r="N12" s="423" t="str">
        <f ca="1">IF($B12="", "", IF($BF15, IF('Hulp (CAO''s)'!R$8&lt;&gt;"",'Hulp (CAO''s)'!R$8,""), INDEX('Hulp (CAO''s)'!R$3:R$7, MATCH(TRUE, 'Hulp (CAO''s)'!$D$3:$D$7, 0))))</f>
        <v/>
      </c>
      <c r="O12" s="423" t="str">
        <f ca="1">IF($B12="", "", IF($BF15, IF('Hulp (CAO''s)'!S$8&lt;&gt;"",'Hulp (CAO''s)'!S$8,""), INDEX('Hulp (CAO''s)'!S$3:S$7, MATCH(TRUE, 'Hulp (CAO''s)'!$D$3:$D$7, 0))))</f>
        <v/>
      </c>
      <c r="P12" s="423" t="str">
        <f ca="1">IF($B12="", "", IF($BF15, IF('Hulp (CAO''s)'!T$8&lt;&gt;"",'Hulp (CAO''s)'!T$8,""), INDEX('Hulp (CAO''s)'!T$3:T$7, MATCH(TRUE, 'Hulp (CAO''s)'!$D$3:$D$7, 0))))</f>
        <v/>
      </c>
      <c r="Q12" s="423" t="str">
        <f ca="1">IF($B12="", "", IF($BF15, IF('Hulp (CAO''s)'!U$8&lt;&gt;"",'Hulp (CAO''s)'!U$8,""), INDEX('Hulp (CAO''s)'!U$3:U$7, MATCH(TRUE, 'Hulp (CAO''s)'!$D$3:$D$7, 0))))</f>
        <v/>
      </c>
      <c r="R12" s="423" t="str">
        <f ca="1">IF($B12="", "", IF($BF15, IF('Hulp (CAO''s)'!V$8&lt;&gt;"",'Hulp (CAO''s)'!V$8,""), INDEX('Hulp (CAO''s)'!V$3:V$7, MATCH(TRUE, 'Hulp (CAO''s)'!$D$3:$D$7, 0))))</f>
        <v/>
      </c>
      <c r="S12" s="423" t="str">
        <f ca="1">IF($B12="", "", IF($BF15, IF('Hulp (CAO''s)'!W$8&lt;&gt;"",'Hulp (CAO''s)'!W$8,""), INDEX('Hulp (CAO''s)'!W$3:W$7, MATCH(TRUE, 'Hulp (CAO''s)'!$D$3:$D$7, 0))))</f>
        <v/>
      </c>
      <c r="T12" s="423" t="str">
        <f ca="1">IF($B12="", "", IF($BF15, IF('Hulp (CAO''s)'!X$8&lt;&gt;"",'Hulp (CAO''s)'!X$8,""), INDEX('Hulp (CAO''s)'!X$3:X$7, MATCH(TRUE, 'Hulp (CAO''s)'!$D$3:$D$7, 0))))</f>
        <v/>
      </c>
      <c r="U12" s="424" t="str">
        <f ca="1">IF($B12="", "", IF($BF15, IF('Hulp (CAO''s)'!Y$8&lt;&gt;"",'Hulp (CAO''s)'!Y$8,""), INDEX('Hulp (CAO''s)'!Y$3:Y$7, MATCH(TRUE, 'Hulp (CAO''s)'!$D$3:$D$7, 0))))</f>
        <v/>
      </c>
      <c r="V12" s="417"/>
      <c r="W12" s="343"/>
      <c r="X12" s="617"/>
      <c r="Y12" s="343"/>
      <c r="Z12" s="329"/>
      <c r="AA12" s="320"/>
      <c r="AB12" s="289"/>
      <c r="AC12" s="289"/>
      <c r="AD12" s="289"/>
      <c r="AE12" s="289"/>
      <c r="AF12" s="289"/>
      <c r="AG12" s="289"/>
      <c r="AH12" s="289"/>
      <c r="AI12" s="289"/>
      <c r="AJ12" s="289"/>
      <c r="AK12" s="289"/>
      <c r="AL12" s="289"/>
      <c r="AM12" s="289"/>
      <c r="AN12" s="289"/>
      <c r="AO12" s="289"/>
      <c r="AP12" s="289" t="s">
        <v>891</v>
      </c>
      <c r="AQ12" s="289" t="s">
        <v>891</v>
      </c>
      <c r="AR12" s="289"/>
      <c r="AS12" s="289"/>
      <c r="AT12" s="289"/>
      <c r="AU12" s="289"/>
      <c r="AV12" s="289"/>
      <c r="AW12" s="289"/>
      <c r="AX12" s="289"/>
      <c r="AY12" s="289"/>
      <c r="AZ12" s="289"/>
    </row>
    <row r="13" spans="1:75" ht="16.05" customHeight="1" x14ac:dyDescent="0.45">
      <c r="A13" s="289"/>
      <c r="B13" s="343"/>
      <c r="C13" s="325" t="s">
        <v>779</v>
      </c>
      <c r="D13" s="772" t="s">
        <v>772</v>
      </c>
      <c r="E13" s="430" t="e">
        <f ca="1">IF($BF15, "", "% t.o.v. max salaris in de schaal")</f>
        <v>#VALUE!</v>
      </c>
      <c r="F13" s="615"/>
      <c r="G13" s="615"/>
      <c r="H13" s="615"/>
      <c r="I13" s="615"/>
      <c r="J13" s="615"/>
      <c r="K13" s="615"/>
      <c r="L13" s="615"/>
      <c r="M13" s="615"/>
      <c r="N13" s="615"/>
      <c r="O13" s="615"/>
      <c r="P13" s="615"/>
      <c r="Q13" s="615"/>
      <c r="R13" s="615"/>
      <c r="S13" s="615"/>
      <c r="T13" s="615"/>
      <c r="U13" s="616"/>
      <c r="V13" s="774" t="s">
        <v>884</v>
      </c>
      <c r="W13" s="332"/>
      <c r="X13" s="776" t="s">
        <v>882</v>
      </c>
      <c r="Y13" s="778" t="s">
        <v>883</v>
      </c>
      <c r="Z13" s="329"/>
      <c r="AA13" s="771" t="s">
        <v>780</v>
      </c>
      <c r="AB13" s="770" t="s">
        <v>1079</v>
      </c>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75" ht="16.05" customHeight="1" thickBot="1" x14ac:dyDescent="0.5">
      <c r="A14" s="289"/>
      <c r="B14" s="343"/>
      <c r="C14" s="325" t="s">
        <v>779</v>
      </c>
      <c r="D14" s="773"/>
      <c r="E14" s="431" t="e">
        <f ca="1">IF($BF15, "", "Trede (gemiddeld)")</f>
        <v>#VALUE!</v>
      </c>
      <c r="F14" s="737"/>
      <c r="G14" s="737"/>
      <c r="H14" s="737"/>
      <c r="I14" s="737"/>
      <c r="J14" s="737"/>
      <c r="K14" s="737"/>
      <c r="L14" s="737"/>
      <c r="M14" s="737"/>
      <c r="N14" s="737"/>
      <c r="O14" s="737"/>
      <c r="P14" s="737"/>
      <c r="Q14" s="737"/>
      <c r="R14" s="737"/>
      <c r="S14" s="737"/>
      <c r="T14" s="737"/>
      <c r="U14" s="740"/>
      <c r="V14" s="775"/>
      <c r="W14" s="294"/>
      <c r="X14" s="777"/>
      <c r="Y14" s="779"/>
      <c r="Z14" s="329"/>
      <c r="AA14" s="771"/>
      <c r="AB14" s="770"/>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75" ht="16.05" customHeight="1" thickBot="1" x14ac:dyDescent="0.5">
      <c r="A15" s="289"/>
      <c r="B15" s="343"/>
      <c r="C15" s="325" t="s">
        <v>779</v>
      </c>
      <c r="E15" s="432" t="str">
        <f>IFERROR(
   INDEX('Hulp (CAO''s)'!$I$3:$I$7, MATCH(TRUE, 'Hulp (CAO''s)'!$D$3:$D$7, 0)),
"")</f>
        <v>Bruto maandsalaris</v>
      </c>
      <c r="F15" s="425" t="e" cm="1">
        <f t="array" aca="1" ref="F15" ca="1">IF($BF15, IF(F12="","",
   INDEX(
      INDIRECT("'" &amp; 'Hulp (CAO''s)'!$AE$8 &amp; "'!" &amp;
               'Hulp (overig)'!$C$17 &amp; "1:" &amp;
               'Hulp (overig)'!$C$17 &amp; "1000"),
      MATCH(
         F12,
         INDIRECT("'" &amp; 'Hulp (CAO''s)'!$AE$8 &amp; "'!A1:A1000"),
         0
      )
   )
), IF($D13="Gebruik % van maximum salaris",
IF(
    OR(F12="",F13=""),
    "",
    MAX(
        INDIRECT(
            "'" &amp; 'Hulp (overig)'!$C$16 &amp; "'!" &amp;
            'Hulp (overig)'!$C$17 &amp;
            MATCH(F12, INDIRECT("'" &amp; 'Hulp (overig)'!$C$16 &amp; "'!A1:A1000"), 0) &amp;
            ":" &amp;
            'Hulp (overig)'!$C$17 &amp;
LOOKUP(
    2,
    1 / (
        (ROW(INDIRECT("'" &amp; 'Hulp (overig)'!$C$16 &amp; "'!B1:B1000")) &lt;
            IF(G12&lt;&gt;"",
               MATCH(G12, INDIRECT("'" &amp; 'Hulp (overig)'!$C$16 &amp; "'!A1:A1000"),0),
               1000
            )
        ) *
        (LEFT(TRIM(INDIRECT("'" &amp; 'Hulp (overig)'!$C$16 &amp; "'!B1:B1000")),1) &lt;&gt; "u")
    ),
    ROW(INDIRECT("'" &amp; 'Hulp (overig)'!$C$16 &amp; "'!B1:B1000"))
)
        )
    ) * F13
),
IF(F14="","",
IF(
    IFERROR(MIN(
        IF(
            (TRIM(INDIRECT("'" &amp; 'Hulp (overig)'!$C$16 &amp; "'!B1:B1000")) = TEXT(F14,"0")) *
            (ROW(INDIRECT("'" &amp; 'Hulp (overig)'!$C$16 &amp; "'!B1:B1000")) &gt;= MATCH(
                F12,
                INDIRECT("'" &amp; 'Hulp (overig)'!$C$16 &amp; "'!A1:A1000"),
                0
            )) *
            IF(
                G12="",
                1,
                (ROW(INDIRECT("'" &amp; 'Hulp (overig)'!$C$16 &amp; "'!B1:B1000")) &lt; MATCH(
                    G12,
                    INDIRECT("'" &amp; 'Hulp (overig)'!$C$16 &amp; "'!A1:A1000"),
                    0
                ))
            ),
            ROW(INDIRECT("'" &amp; 'Hulp (overig)'!$C$16 &amp; "'!B1:B1000"))
        )
    ),0) &lt; 1,
    "",
    IF(INDEX(
        INDIRECT("'" &amp; 'Hulp (overig)'!$C$16 &amp; "'!" &amp;
        'Hulp (overig)'!$C$17 &amp; "1:" &amp; 'Hulp (overig)'!$C$17 &amp; 1000
        ),
        IFERROR(MIN(
            IF(
                (TRIM(INDIRECT("'" &amp; 'Hulp (overig)'!$C$16 &amp; "'!B1:B1000")) = TEXT(F14,"0")) *
                (ROW(INDIRECT("'" &amp; 'Hulp (overig)'!$C$16 &amp; "'!B1:B1000")) &gt;= MATCH(
                    F12,
                    INDIRECT("'" &amp; 'Hulp (overig)'!$C$16 &amp; "'!A1:A1000"),
                    0
                )) *
                IF(
                    G12="",
                    1,
                    (ROW(INDIRECT("'" &amp; 'Hulp (overig)'!$C$16 &amp; "'!B1:B1000")) &lt; MATCH(
                        G12,
                        INDIRECT("'" &amp; 'Hulp (overig)'!$C$16 &amp; "'!A1:A1000"),
                        0
                    ))
                ),
                ROW(INDIRECT("'" &amp; 'Hulp (overig)'!$C$16 &amp; "'!B1:B1000"))
            )
        ),0)
    )=0,"",
INDEX(
        INDIRECT("'" &amp; 'Hulp (overig)'!$C$16 &amp; "'!" &amp;
        'Hulp (overig)'!$C$17 &amp; "1:" &amp; 'Hulp (overig)'!$C$17 &amp; 1000
        ),
        IFERROR(MIN(
            IF(
                (TRIM(INDIRECT("'" &amp; 'Hulp (overig)'!$C$16 &amp; "'!B1:B1000")) = TEXT(F14,"0")) *
                (ROW(INDIRECT("'" &amp; 'Hulp (overig)'!$C$16 &amp; "'!B1:B1000")) &gt;= MATCH(
                    F12,
                    INDIRECT("'" &amp; 'Hulp (overig)'!$C$16 &amp; "'!A1:A1000"),
                    0
                )) *
                IF(
                    G12="",
                    1,
                    (ROW(INDIRECT("'" &amp; 'Hulp (overig)'!$C$16 &amp; "'!B1:B1000")) &lt; MATCH(
                        G12,
                        INDIRECT("'" &amp; 'Hulp (overig)'!$C$16 &amp; "'!A1:A1000"),
                        0
                    ))
                ),
                ROW(INDIRECT("'" &amp; 'Hulp (overig)'!$C$16 &amp; "'!B1:B1000"))
            )
        ),0)
    ))
))))</f>
        <v>#VALUE!</v>
      </c>
      <c r="G15" s="425" t="e" cm="1">
        <f t="array" aca="1" ref="G15" ca="1">IF($BF15, IF(G12="","",
   INDEX(
      INDIRECT("'" &amp; 'Hulp (CAO''s)'!$AE$8 &amp; "'!" &amp;
               'Hulp (overig)'!$C$17 &amp; "1:" &amp;
               'Hulp (overig)'!$C$17 &amp; "1000"),
      MATCH(
         G12,
         INDIRECT("'" &amp; 'Hulp (CAO''s)'!$AE$8 &amp; "'!A1:A1000"),
         0
      )
   )
), IF($D13="Gebruik % van maximum salaris",
IF(
    OR(G12="",G13=""),
    "",
    MAX(
        INDIRECT(
            "'" &amp; 'Hulp (overig)'!$C$16 &amp; "'!" &amp;
            'Hulp (overig)'!$C$17 &amp;
            MATCH(G12, INDIRECT("'" &amp; 'Hulp (overig)'!$C$16 &amp; "'!A1:A1000"), 0) &amp;
            ":" &amp;
            'Hulp (overig)'!$C$17 &amp;
LOOKUP(
    2,
    1 / (
        (ROW(INDIRECT("'" &amp; 'Hulp (overig)'!$C$16 &amp; "'!B1:B1000")) &lt;
            IF(H12&lt;&gt;"",
               MATCH(H12, INDIRECT("'" &amp; 'Hulp (overig)'!$C$16 &amp; "'!A1:A1000"),0),
               1000
            )
        ) *
        (LEFT(TRIM(INDIRECT("'" &amp; 'Hulp (overig)'!$C$16 &amp; "'!B1:B1000")),1) &lt;&gt; "u")
    ),
    ROW(INDIRECT("'" &amp; 'Hulp (overig)'!$C$16 &amp; "'!B1:B1000"))
)
        )
    ) * G13
),
IF(G14="","",
IF(
    IFERROR(MIN(
        IF(
            (TRIM(INDIRECT("'" &amp; 'Hulp (overig)'!$C$16 &amp; "'!B1:B1000")) = TEXT(G14,"0")) *
            (ROW(INDIRECT("'" &amp; 'Hulp (overig)'!$C$16 &amp; "'!B1:B1000")) &gt;= MATCH(
                G12,
                INDIRECT("'" &amp; 'Hulp (overig)'!$C$16 &amp; "'!A1:A1000"),
                0
            )) *
            IF(
                H12="",
                1,
                (ROW(INDIRECT("'" &amp; 'Hulp (overig)'!$C$16 &amp; "'!B1:B1000")) &lt; MATCH(
                    H12,
                    INDIRECT("'" &amp; 'Hulp (overig)'!$C$16 &amp; "'!A1:A1000"),
                    0
                ))
            ),
            ROW(INDIRECT("'" &amp; 'Hulp (overig)'!$C$16 &amp; "'!B1:B1000"))
        )
    ),0) &lt; 1,
    "",
    IF(INDEX(
        INDIRECT("'" &amp; 'Hulp (overig)'!$C$16 &amp; "'!" &amp;
        'Hulp (overig)'!$C$17 &amp; "1:" &amp; 'Hulp (overig)'!$C$17 &amp; 1000
        ),
        IFERROR(MIN(
            IF(
                (TRIM(INDIRECT("'" &amp; 'Hulp (overig)'!$C$16 &amp; "'!B1:B1000")) = TEXT(G14,"0")) *
                (ROW(INDIRECT("'" &amp; 'Hulp (overig)'!$C$16 &amp; "'!B1:B1000")) &gt;= MATCH(
                    G12,
                    INDIRECT("'" &amp; 'Hulp (overig)'!$C$16 &amp; "'!A1:A1000"),
                    0
                )) *
                IF(
                    H12="",
                    1,
                    (ROW(INDIRECT("'" &amp; 'Hulp (overig)'!$C$16 &amp; "'!B1:B1000")) &lt; MATCH(
                        H12,
                        INDIRECT("'" &amp; 'Hulp (overig)'!$C$16 &amp; "'!A1:A1000"),
                        0
                    ))
                ),
                ROW(INDIRECT("'" &amp; 'Hulp (overig)'!$C$16 &amp; "'!B1:B1000"))
            )
        ),0)
    )=0,"",
INDEX(
        INDIRECT("'" &amp; 'Hulp (overig)'!$C$16 &amp; "'!" &amp;
        'Hulp (overig)'!$C$17 &amp; "1:" &amp; 'Hulp (overig)'!$C$17 &amp; 1000
        ),
        IFERROR(MIN(
            IF(
                (TRIM(INDIRECT("'" &amp; 'Hulp (overig)'!$C$16 &amp; "'!B1:B1000")) = TEXT(G14,"0")) *
                (ROW(INDIRECT("'" &amp; 'Hulp (overig)'!$C$16 &amp; "'!B1:B1000")) &gt;= MATCH(
                    G12,
                    INDIRECT("'" &amp; 'Hulp (overig)'!$C$16 &amp; "'!A1:A1000"),
                    0
                )) *
                IF(
                    H12="",
                    1,
                    (ROW(INDIRECT("'" &amp; 'Hulp (overig)'!$C$16 &amp; "'!B1:B1000")) &lt; MATCH(
                        H12,
                        INDIRECT("'" &amp; 'Hulp (overig)'!$C$16 &amp; "'!A1:A1000"),
                        0
                    ))
                ),
                ROW(INDIRECT("'" &amp; 'Hulp (overig)'!$C$16 &amp; "'!B1:B1000"))
            )
        ),0)
    ))
))))</f>
        <v>#VALUE!</v>
      </c>
      <c r="H15" s="425" t="e" cm="1">
        <f t="array" aca="1" ref="H15" ca="1">IF($BF15, IF(H12="","",
   INDEX(
      INDIRECT("'" &amp; 'Hulp (CAO''s)'!$AE$8 &amp; "'!" &amp;
               'Hulp (overig)'!$C$17 &amp; "1:" &amp;
               'Hulp (overig)'!$C$17 &amp; "1000"),
      MATCH(
         H12,
         INDIRECT("'" &amp; 'Hulp (CAO''s)'!$AE$8 &amp; "'!A1:A1000"),
         0
      )
   )
), IF($D13="Gebruik % van maximum salaris",
IF(
    OR(H12="",H13=""),
    "",
    MAX(
        INDIRECT(
            "'" &amp; 'Hulp (overig)'!$C$16 &amp; "'!" &amp;
            'Hulp (overig)'!$C$17 &amp;
            MATCH(H12, INDIRECT("'" &amp; 'Hulp (overig)'!$C$16 &amp; "'!A1:A1000"), 0) &amp;
            ":" &amp;
            'Hulp (overig)'!$C$17 &amp;
LOOKUP(
    2,
    1 / (
        (ROW(INDIRECT("'" &amp; 'Hulp (overig)'!$C$16 &amp; "'!B1:B1000")) &lt;
            IF(I12&lt;&gt;"",
               MATCH(I12, INDIRECT("'" &amp; 'Hulp (overig)'!$C$16 &amp; "'!A1:A1000"),0),
               1000
            )
        ) *
        (LEFT(TRIM(INDIRECT("'" &amp; 'Hulp (overig)'!$C$16 &amp; "'!B1:B1000")),1) &lt;&gt; "u")
    ),
    ROW(INDIRECT("'" &amp; 'Hulp (overig)'!$C$16 &amp; "'!B1:B1000"))
)
        )
    ) * H13
),
IF(H14="","",
IF(
    IFERROR(MIN(
        IF(
            (TRIM(INDIRECT("'" &amp; 'Hulp (overig)'!$C$16 &amp; "'!B1:B1000")) = TEXT(H14,"0")) *
            (ROW(INDIRECT("'" &amp; 'Hulp (overig)'!$C$16 &amp; "'!B1:B1000")) &gt;= MATCH(
                H12,
                INDIRECT("'" &amp; 'Hulp (overig)'!$C$16 &amp; "'!A1:A1000"),
                0
            )) *
            IF(
                I12="",
                1,
                (ROW(INDIRECT("'" &amp; 'Hulp (overig)'!$C$16 &amp; "'!B1:B1000")) &lt; MATCH(
                    I12,
                    INDIRECT("'" &amp; 'Hulp (overig)'!$C$16 &amp; "'!A1:A1000"),
                    0
                ))
            ),
            ROW(INDIRECT("'" &amp; 'Hulp (overig)'!$C$16 &amp; "'!B1:B1000"))
        )
    ),0) &lt; 1,
    "",
    IF(INDEX(
        INDIRECT("'" &amp; 'Hulp (overig)'!$C$16 &amp; "'!" &amp;
        'Hulp (overig)'!$C$17 &amp; "1:" &amp; 'Hulp (overig)'!$C$17 &amp; 1000
        ),
        IFERROR(MIN(
            IF(
                (TRIM(INDIRECT("'" &amp; 'Hulp (overig)'!$C$16 &amp; "'!B1:B1000")) = TEXT(H14,"0")) *
                (ROW(INDIRECT("'" &amp; 'Hulp (overig)'!$C$16 &amp; "'!B1:B1000")) &gt;= MATCH(
                    H12,
                    INDIRECT("'" &amp; 'Hulp (overig)'!$C$16 &amp; "'!A1:A1000"),
                    0
                )) *
                IF(
                    I12="",
                    1,
                    (ROW(INDIRECT("'" &amp; 'Hulp (overig)'!$C$16 &amp; "'!B1:B1000")) &lt; MATCH(
                        I12,
                        INDIRECT("'" &amp; 'Hulp (overig)'!$C$16 &amp; "'!A1:A1000"),
                        0
                    ))
                ),
                ROW(INDIRECT("'" &amp; 'Hulp (overig)'!$C$16 &amp; "'!B1:B1000"))
            )
        ),0)
    )=0,"",
INDEX(
        INDIRECT("'" &amp; 'Hulp (overig)'!$C$16 &amp; "'!" &amp;
        'Hulp (overig)'!$C$17 &amp; "1:" &amp; 'Hulp (overig)'!$C$17 &amp; 1000
        ),
        IFERROR(MIN(
            IF(
                (TRIM(INDIRECT("'" &amp; 'Hulp (overig)'!$C$16 &amp; "'!B1:B1000")) = TEXT(H14,"0")) *
                (ROW(INDIRECT("'" &amp; 'Hulp (overig)'!$C$16 &amp; "'!B1:B1000")) &gt;= MATCH(
                    H12,
                    INDIRECT("'" &amp; 'Hulp (overig)'!$C$16 &amp; "'!A1:A1000"),
                    0
                )) *
                IF(
                    I12="",
                    1,
                    (ROW(INDIRECT("'" &amp; 'Hulp (overig)'!$C$16 &amp; "'!B1:B1000")) &lt; MATCH(
                        I12,
                        INDIRECT("'" &amp; 'Hulp (overig)'!$C$16 &amp; "'!A1:A1000"),
                        0
                    ))
                ),
                ROW(INDIRECT("'" &amp; 'Hulp (overig)'!$C$16 &amp; "'!B1:B1000"))
            )
        ),0)
    ))
))))</f>
        <v>#VALUE!</v>
      </c>
      <c r="I15" s="425" t="e" cm="1">
        <f t="array" aca="1" ref="I15" ca="1">IF($BF15, IF(I12="","",
   INDEX(
      INDIRECT("'" &amp; 'Hulp (CAO''s)'!$AE$8 &amp; "'!" &amp;
               'Hulp (overig)'!$C$17 &amp; "1:" &amp;
               'Hulp (overig)'!$C$17 &amp; "1000"),
      MATCH(
         I12,
         INDIRECT("'" &amp; 'Hulp (CAO''s)'!$AE$8 &amp; "'!A1:A1000"),
         0
      )
   )
), IF($D13="Gebruik % van maximum salaris",
IF(
    OR(I12="",I13=""),
    "",
    MAX(
        INDIRECT(
            "'" &amp; 'Hulp (overig)'!$C$16 &amp; "'!" &amp;
            'Hulp (overig)'!$C$17 &amp;
            MATCH(I12, INDIRECT("'" &amp; 'Hulp (overig)'!$C$16 &amp; "'!A1:A1000"), 0) &amp;
            ":" &amp;
            'Hulp (overig)'!$C$17 &amp;
LOOKUP(
    2,
    1 / (
        (ROW(INDIRECT("'" &amp; 'Hulp (overig)'!$C$16 &amp; "'!B1:B1000")) &lt;
            IF(J12&lt;&gt;"",
               MATCH(J12, INDIRECT("'" &amp; 'Hulp (overig)'!$C$16 &amp; "'!A1:A1000"),0),
               1000
            )
        ) *
        (LEFT(TRIM(INDIRECT("'" &amp; 'Hulp (overig)'!$C$16 &amp; "'!B1:B1000")),1) &lt;&gt; "u")
    ),
    ROW(INDIRECT("'" &amp; 'Hulp (overig)'!$C$16 &amp; "'!B1:B1000"))
)
        )
    ) * I13
),
IF(I14="","",
IF(
    IFERROR(MIN(
        IF(
            (TRIM(INDIRECT("'" &amp; 'Hulp (overig)'!$C$16 &amp; "'!B1:B1000")) = TEXT(I14,"0")) *
            (ROW(INDIRECT("'" &amp; 'Hulp (overig)'!$C$16 &amp; "'!B1:B1000")) &gt;= MATCH(
                I12,
                INDIRECT("'" &amp; 'Hulp (overig)'!$C$16 &amp; "'!A1:A1000"),
                0
            )) *
            IF(
                J12="",
                1,
                (ROW(INDIRECT("'" &amp; 'Hulp (overig)'!$C$16 &amp; "'!B1:B1000")) &lt; MATCH(
                    J12,
                    INDIRECT("'" &amp; 'Hulp (overig)'!$C$16 &amp; "'!A1:A1000"),
                    0
                ))
            ),
            ROW(INDIRECT("'" &amp; 'Hulp (overig)'!$C$16 &amp; "'!B1:B1000"))
        )
    ),0) &lt; 1,
    "",
    IF(INDEX(
        INDIRECT("'" &amp; 'Hulp (overig)'!$C$16 &amp; "'!" &amp;
        'Hulp (overig)'!$C$17 &amp; "1:" &amp; 'Hulp (overig)'!$C$17 &amp; 1000
        ),
        IFERROR(MIN(
            IF(
                (TRIM(INDIRECT("'" &amp; 'Hulp (overig)'!$C$16 &amp; "'!B1:B1000")) = TEXT(I14,"0")) *
                (ROW(INDIRECT("'" &amp; 'Hulp (overig)'!$C$16 &amp; "'!B1:B1000")) &gt;= MATCH(
                    I12,
                    INDIRECT("'" &amp; 'Hulp (overig)'!$C$16 &amp; "'!A1:A1000"),
                    0
                )) *
                IF(
                    J12="",
                    1,
                    (ROW(INDIRECT("'" &amp; 'Hulp (overig)'!$C$16 &amp; "'!B1:B1000")) &lt; MATCH(
                        J12,
                        INDIRECT("'" &amp; 'Hulp (overig)'!$C$16 &amp; "'!A1:A1000"),
                        0
                    ))
                ),
                ROW(INDIRECT("'" &amp; 'Hulp (overig)'!$C$16 &amp; "'!B1:B1000"))
            )
        ),0)
    )=0,"",
INDEX(
        INDIRECT("'" &amp; 'Hulp (overig)'!$C$16 &amp; "'!" &amp;
        'Hulp (overig)'!$C$17 &amp; "1:" &amp; 'Hulp (overig)'!$C$17 &amp; 1000
        ),
        IFERROR(MIN(
            IF(
                (TRIM(INDIRECT("'" &amp; 'Hulp (overig)'!$C$16 &amp; "'!B1:B1000")) = TEXT(I14,"0")) *
                (ROW(INDIRECT("'" &amp; 'Hulp (overig)'!$C$16 &amp; "'!B1:B1000")) &gt;= MATCH(
                    I12,
                    INDIRECT("'" &amp; 'Hulp (overig)'!$C$16 &amp; "'!A1:A1000"),
                    0
                )) *
                IF(
                    J12="",
                    1,
                    (ROW(INDIRECT("'" &amp; 'Hulp (overig)'!$C$16 &amp; "'!B1:B1000")) &lt; MATCH(
                        J12,
                        INDIRECT("'" &amp; 'Hulp (overig)'!$C$16 &amp; "'!A1:A1000"),
                        0
                    ))
                ),
                ROW(INDIRECT("'" &amp; 'Hulp (overig)'!$C$16 &amp; "'!B1:B1000"))
            )
        ),0)
    ))
))))</f>
        <v>#VALUE!</v>
      </c>
      <c r="J15" s="425" t="e" cm="1">
        <f t="array" aca="1" ref="J15" ca="1">IF($BF15, IF(J12="","",
   INDEX(
      INDIRECT("'" &amp; 'Hulp (CAO''s)'!$AE$8 &amp; "'!" &amp;
               'Hulp (overig)'!$C$17 &amp; "1:" &amp;
               'Hulp (overig)'!$C$17 &amp; "1000"),
      MATCH(
         J12,
         INDIRECT("'" &amp; 'Hulp (CAO''s)'!$AE$8 &amp; "'!A1:A1000"),
         0
      )
   )
), IF($D13="Gebruik % van maximum salaris",
IF(
    OR(J12="",J13=""),
    "",
    MAX(
        INDIRECT(
            "'" &amp; 'Hulp (overig)'!$C$16 &amp; "'!" &amp;
            'Hulp (overig)'!$C$17 &amp;
            MATCH(J12, INDIRECT("'" &amp; 'Hulp (overig)'!$C$16 &amp; "'!A1:A1000"), 0) &amp;
            ":" &amp;
            'Hulp (overig)'!$C$17 &amp;
LOOKUP(
    2,
    1 / (
        (ROW(INDIRECT("'" &amp; 'Hulp (overig)'!$C$16 &amp; "'!B1:B1000")) &lt;
            IF(K12&lt;&gt;"",
               MATCH(K12, INDIRECT("'" &amp; 'Hulp (overig)'!$C$16 &amp; "'!A1:A1000"),0),
               1000
            )
        ) *
        (LEFT(TRIM(INDIRECT("'" &amp; 'Hulp (overig)'!$C$16 &amp; "'!B1:B1000")),1) &lt;&gt; "u")
    ),
    ROW(INDIRECT("'" &amp; 'Hulp (overig)'!$C$16 &amp; "'!B1:B1000"))
)
        )
    ) * J13
),
IF(J14="","",
IF(
    IFERROR(MIN(
        IF(
            (TRIM(INDIRECT("'" &amp; 'Hulp (overig)'!$C$16 &amp; "'!B1:B1000")) = TEXT(J14,"0")) *
            (ROW(INDIRECT("'" &amp; 'Hulp (overig)'!$C$16 &amp; "'!B1:B1000")) &gt;= MATCH(
                J12,
                INDIRECT("'" &amp; 'Hulp (overig)'!$C$16 &amp; "'!A1:A1000"),
                0
            )) *
            IF(
                K12="",
                1,
                (ROW(INDIRECT("'" &amp; 'Hulp (overig)'!$C$16 &amp; "'!B1:B1000")) &lt; MATCH(
                    K12,
                    INDIRECT("'" &amp; 'Hulp (overig)'!$C$16 &amp; "'!A1:A1000"),
                    0
                ))
            ),
            ROW(INDIRECT("'" &amp; 'Hulp (overig)'!$C$16 &amp; "'!B1:B1000"))
        )
    ),0) &lt; 1,
    "",
    IF(INDEX(
        INDIRECT("'" &amp; 'Hulp (overig)'!$C$16 &amp; "'!" &amp;
        'Hulp (overig)'!$C$17 &amp; "1:" &amp; 'Hulp (overig)'!$C$17 &amp; 1000
        ),
        IFERROR(MIN(
            IF(
                (TRIM(INDIRECT("'" &amp; 'Hulp (overig)'!$C$16 &amp; "'!B1:B1000")) = TEXT(J14,"0")) *
                (ROW(INDIRECT("'" &amp; 'Hulp (overig)'!$C$16 &amp; "'!B1:B1000")) &gt;= MATCH(
                    J12,
                    INDIRECT("'" &amp; 'Hulp (overig)'!$C$16 &amp; "'!A1:A1000"),
                    0
                )) *
                IF(
                    K12="",
                    1,
                    (ROW(INDIRECT("'" &amp; 'Hulp (overig)'!$C$16 &amp; "'!B1:B1000")) &lt; MATCH(
                        K12,
                        INDIRECT("'" &amp; 'Hulp (overig)'!$C$16 &amp; "'!A1:A1000"),
                        0
                    ))
                ),
                ROW(INDIRECT("'" &amp; 'Hulp (overig)'!$C$16 &amp; "'!B1:B1000"))
            )
        ),0)
    )=0,"",
INDEX(
        INDIRECT("'" &amp; 'Hulp (overig)'!$C$16 &amp; "'!" &amp;
        'Hulp (overig)'!$C$17 &amp; "1:" &amp; 'Hulp (overig)'!$C$17 &amp; 1000
        ),
        IFERROR(MIN(
            IF(
                (TRIM(INDIRECT("'" &amp; 'Hulp (overig)'!$C$16 &amp; "'!B1:B1000")) = TEXT(J14,"0")) *
                (ROW(INDIRECT("'" &amp; 'Hulp (overig)'!$C$16 &amp; "'!B1:B1000")) &gt;= MATCH(
                    J12,
                    INDIRECT("'" &amp; 'Hulp (overig)'!$C$16 &amp; "'!A1:A1000"),
                    0
                )) *
                IF(
                    K12="",
                    1,
                    (ROW(INDIRECT("'" &amp; 'Hulp (overig)'!$C$16 &amp; "'!B1:B1000")) &lt; MATCH(
                        K12,
                        INDIRECT("'" &amp; 'Hulp (overig)'!$C$16 &amp; "'!A1:A1000"),
                        0
                    ))
                ),
                ROW(INDIRECT("'" &amp; 'Hulp (overig)'!$C$16 &amp; "'!B1:B1000"))
            )
        ),0)
    ))
))))</f>
        <v>#VALUE!</v>
      </c>
      <c r="K15" s="425" t="e" cm="1">
        <f t="array" aca="1" ref="K15" ca="1">IF($BF15, IF(K12="","",
   INDEX(
      INDIRECT("'" &amp; 'Hulp (CAO''s)'!$AE$8 &amp; "'!" &amp;
               'Hulp (overig)'!$C$17 &amp; "1:" &amp;
               'Hulp (overig)'!$C$17 &amp; "1000"),
      MATCH(
         K12,
         INDIRECT("'" &amp; 'Hulp (CAO''s)'!$AE$8 &amp; "'!A1:A1000"),
         0
      )
   )
), IF($D13="Gebruik % van maximum salaris",
IF(
    OR(K12="",K13=""),
    "",
    MAX(
        INDIRECT(
            "'" &amp; 'Hulp (overig)'!$C$16 &amp; "'!" &amp;
            'Hulp (overig)'!$C$17 &amp;
            MATCH(K12, INDIRECT("'" &amp; 'Hulp (overig)'!$C$16 &amp; "'!A1:A1000"), 0) &amp;
            ":" &amp;
            'Hulp (overig)'!$C$17 &amp;
LOOKUP(
    2,
    1 / (
        (ROW(INDIRECT("'" &amp; 'Hulp (overig)'!$C$16 &amp; "'!B1:B1000")) &lt;
            IF(L12&lt;&gt;"",
               MATCH(L12, INDIRECT("'" &amp; 'Hulp (overig)'!$C$16 &amp; "'!A1:A1000"),0),
               1000
            )
        ) *
        (LEFT(TRIM(INDIRECT("'" &amp; 'Hulp (overig)'!$C$16 &amp; "'!B1:B1000")),1) &lt;&gt; "u")
    ),
    ROW(INDIRECT("'" &amp; 'Hulp (overig)'!$C$16 &amp; "'!B1:B1000"))
)
        )
    ) * K13
),
IF(K14="","",
IF(
    IFERROR(MIN(
        IF(
            (TRIM(INDIRECT("'" &amp; 'Hulp (overig)'!$C$16 &amp; "'!B1:B1000")) = TEXT(K14,"0")) *
            (ROW(INDIRECT("'" &amp; 'Hulp (overig)'!$C$16 &amp; "'!B1:B1000")) &gt;= MATCH(
                K12,
                INDIRECT("'" &amp; 'Hulp (overig)'!$C$16 &amp; "'!A1:A1000"),
                0
            )) *
            IF(
                L12="",
                1,
                (ROW(INDIRECT("'" &amp; 'Hulp (overig)'!$C$16 &amp; "'!B1:B1000")) &lt; MATCH(
                    L12,
                    INDIRECT("'" &amp; 'Hulp (overig)'!$C$16 &amp; "'!A1:A1000"),
                    0
                ))
            ),
            ROW(INDIRECT("'" &amp; 'Hulp (overig)'!$C$16 &amp; "'!B1:B1000"))
        )
    ),0) &lt; 1,
    "",
    IF(INDEX(
        INDIRECT("'" &amp; 'Hulp (overig)'!$C$16 &amp; "'!" &amp;
        'Hulp (overig)'!$C$17 &amp; "1:" &amp; 'Hulp (overig)'!$C$17 &amp; 1000
        ),
        IFERROR(MIN(
            IF(
                (TRIM(INDIRECT("'" &amp; 'Hulp (overig)'!$C$16 &amp; "'!B1:B1000")) = TEXT(K14,"0")) *
                (ROW(INDIRECT("'" &amp; 'Hulp (overig)'!$C$16 &amp; "'!B1:B1000")) &gt;= MATCH(
                    K12,
                    INDIRECT("'" &amp; 'Hulp (overig)'!$C$16 &amp; "'!A1:A1000"),
                    0
                )) *
                IF(
                    L12="",
                    1,
                    (ROW(INDIRECT("'" &amp; 'Hulp (overig)'!$C$16 &amp; "'!B1:B1000")) &lt; MATCH(
                        L12,
                        INDIRECT("'" &amp; 'Hulp (overig)'!$C$16 &amp; "'!A1:A1000"),
                        0
                    ))
                ),
                ROW(INDIRECT("'" &amp; 'Hulp (overig)'!$C$16 &amp; "'!B1:B1000"))
            )
        ),0)
    )=0,"",
INDEX(
        INDIRECT("'" &amp; 'Hulp (overig)'!$C$16 &amp; "'!" &amp;
        'Hulp (overig)'!$C$17 &amp; "1:" &amp; 'Hulp (overig)'!$C$17 &amp; 1000
        ),
        IFERROR(MIN(
            IF(
                (TRIM(INDIRECT("'" &amp; 'Hulp (overig)'!$C$16 &amp; "'!B1:B1000")) = TEXT(K14,"0")) *
                (ROW(INDIRECT("'" &amp; 'Hulp (overig)'!$C$16 &amp; "'!B1:B1000")) &gt;= MATCH(
                    K12,
                    INDIRECT("'" &amp; 'Hulp (overig)'!$C$16 &amp; "'!A1:A1000"),
                    0
                )) *
                IF(
                    L12="",
                    1,
                    (ROW(INDIRECT("'" &amp; 'Hulp (overig)'!$C$16 &amp; "'!B1:B1000")) &lt; MATCH(
                        L12,
                        INDIRECT("'" &amp; 'Hulp (overig)'!$C$16 &amp; "'!A1:A1000"),
                        0
                    ))
                ),
                ROW(INDIRECT("'" &amp; 'Hulp (overig)'!$C$16 &amp; "'!B1:B1000"))
            )
        ),0)
    ))
))))</f>
        <v>#VALUE!</v>
      </c>
      <c r="L15" s="425" t="e" cm="1">
        <f t="array" aca="1" ref="L15" ca="1">IF($BF15, IF(L12="","",
   INDEX(
      INDIRECT("'" &amp; 'Hulp (CAO''s)'!$AE$8 &amp; "'!" &amp;
               'Hulp (overig)'!$C$17 &amp; "1:" &amp;
               'Hulp (overig)'!$C$17 &amp; "1000"),
      MATCH(
         L12,
         INDIRECT("'" &amp; 'Hulp (CAO''s)'!$AE$8 &amp; "'!A1:A1000"),
         0
      )
   )
), IF($D13="Gebruik % van maximum salaris",
IF(
    OR(L12="",L13=""),
    "",
    MAX(
        INDIRECT(
            "'" &amp; 'Hulp (overig)'!$C$16 &amp; "'!" &amp;
            'Hulp (overig)'!$C$17 &amp;
            MATCH(L12, INDIRECT("'" &amp; 'Hulp (overig)'!$C$16 &amp; "'!A1:A1000"), 0) &amp;
            ":" &amp;
            'Hulp (overig)'!$C$17 &amp;
LOOKUP(
    2,
    1 / (
        (ROW(INDIRECT("'" &amp; 'Hulp (overig)'!$C$16 &amp; "'!B1:B1000")) &lt;
            IF(M12&lt;&gt;"",
               MATCH(M12, INDIRECT("'" &amp; 'Hulp (overig)'!$C$16 &amp; "'!A1:A1000"),0),
               1000
            )
        ) *
        (LEFT(TRIM(INDIRECT("'" &amp; 'Hulp (overig)'!$C$16 &amp; "'!B1:B1000")),1) &lt;&gt; "u")
    ),
    ROW(INDIRECT("'" &amp; 'Hulp (overig)'!$C$16 &amp; "'!B1:B1000"))
)
        )
    ) * L13
),
IF(L14="","",
IF(
    IFERROR(MIN(
        IF(
            (TRIM(INDIRECT("'" &amp; 'Hulp (overig)'!$C$16 &amp; "'!B1:B1000")) = TEXT(L14,"0")) *
            (ROW(INDIRECT("'" &amp; 'Hulp (overig)'!$C$16 &amp; "'!B1:B1000")) &gt;= MATCH(
                L12,
                INDIRECT("'" &amp; 'Hulp (overig)'!$C$16 &amp; "'!A1:A1000"),
                0
            )) *
            IF(
                M12="",
                1,
                (ROW(INDIRECT("'" &amp; 'Hulp (overig)'!$C$16 &amp; "'!B1:B1000")) &lt; MATCH(
                    M12,
                    INDIRECT("'" &amp; 'Hulp (overig)'!$C$16 &amp; "'!A1:A1000"),
                    0
                ))
            ),
            ROW(INDIRECT("'" &amp; 'Hulp (overig)'!$C$16 &amp; "'!B1:B1000"))
        )
    ),0) &lt; 1,
    "",
    IF(INDEX(
        INDIRECT("'" &amp; 'Hulp (overig)'!$C$16 &amp; "'!" &amp;
        'Hulp (overig)'!$C$17 &amp; "1:" &amp; 'Hulp (overig)'!$C$17 &amp; 1000
        ),
        IFERROR(MIN(
            IF(
                (TRIM(INDIRECT("'" &amp; 'Hulp (overig)'!$C$16 &amp; "'!B1:B1000")) = TEXT(L14,"0")) *
                (ROW(INDIRECT("'" &amp; 'Hulp (overig)'!$C$16 &amp; "'!B1:B1000")) &gt;= MATCH(
                    L12,
                    INDIRECT("'" &amp; 'Hulp (overig)'!$C$16 &amp; "'!A1:A1000"),
                    0
                )) *
                IF(
                    M12="",
                    1,
                    (ROW(INDIRECT("'" &amp; 'Hulp (overig)'!$C$16 &amp; "'!B1:B1000")) &lt; MATCH(
                        M12,
                        INDIRECT("'" &amp; 'Hulp (overig)'!$C$16 &amp; "'!A1:A1000"),
                        0
                    ))
                ),
                ROW(INDIRECT("'" &amp; 'Hulp (overig)'!$C$16 &amp; "'!B1:B1000"))
            )
        ),0)
    )=0,"",
INDEX(
        INDIRECT("'" &amp; 'Hulp (overig)'!$C$16 &amp; "'!" &amp;
        'Hulp (overig)'!$C$17 &amp; "1:" &amp; 'Hulp (overig)'!$C$17 &amp; 1000
        ),
        IFERROR(MIN(
            IF(
                (TRIM(INDIRECT("'" &amp; 'Hulp (overig)'!$C$16 &amp; "'!B1:B1000")) = TEXT(L14,"0")) *
                (ROW(INDIRECT("'" &amp; 'Hulp (overig)'!$C$16 &amp; "'!B1:B1000")) &gt;= MATCH(
                    L12,
                    INDIRECT("'" &amp; 'Hulp (overig)'!$C$16 &amp; "'!A1:A1000"),
                    0
                )) *
                IF(
                    M12="",
                    1,
                    (ROW(INDIRECT("'" &amp; 'Hulp (overig)'!$C$16 &amp; "'!B1:B1000")) &lt; MATCH(
                        M12,
                        INDIRECT("'" &amp; 'Hulp (overig)'!$C$16 &amp; "'!A1:A1000"),
                        0
                    ))
                ),
                ROW(INDIRECT("'" &amp; 'Hulp (overig)'!$C$16 &amp; "'!B1:B1000"))
            )
        ),0)
    ))
))))</f>
        <v>#VALUE!</v>
      </c>
      <c r="M15" s="425" t="e" cm="1">
        <f t="array" aca="1" ref="M15" ca="1">IF($BF15, IF(M12="","",
   INDEX(
      INDIRECT("'" &amp; 'Hulp (CAO''s)'!$AE$8 &amp; "'!" &amp;
               'Hulp (overig)'!$C$17 &amp; "1:" &amp;
               'Hulp (overig)'!$C$17 &amp; "1000"),
      MATCH(
         M12,
         INDIRECT("'" &amp; 'Hulp (CAO''s)'!$AE$8 &amp; "'!A1:A1000"),
         0
      )
   )
), IF($D13="Gebruik % van maximum salaris",
IF(
    OR(M12="",M13=""),
    "",
    MAX(
        INDIRECT(
            "'" &amp; 'Hulp (overig)'!$C$16 &amp; "'!" &amp;
            'Hulp (overig)'!$C$17 &amp;
            MATCH(M12, INDIRECT("'" &amp; 'Hulp (overig)'!$C$16 &amp; "'!A1:A1000"), 0) &amp;
            ":" &amp;
            'Hulp (overig)'!$C$17 &amp;
LOOKUP(
    2,
    1 / (
        (ROW(INDIRECT("'" &amp; 'Hulp (overig)'!$C$16 &amp; "'!B1:B1000")) &lt;
            IF(N12&lt;&gt;"",
               MATCH(N12, INDIRECT("'" &amp; 'Hulp (overig)'!$C$16 &amp; "'!A1:A1000"),0),
               1000
            )
        ) *
        (LEFT(TRIM(INDIRECT("'" &amp; 'Hulp (overig)'!$C$16 &amp; "'!B1:B1000")),1) &lt;&gt; "u")
    ),
    ROW(INDIRECT("'" &amp; 'Hulp (overig)'!$C$16 &amp; "'!B1:B1000"))
)
        )
    ) * M13
),
IF(M14="","",
IF(
    IFERROR(MIN(
        IF(
            (TRIM(INDIRECT("'" &amp; 'Hulp (overig)'!$C$16 &amp; "'!B1:B1000")) = TEXT(M14,"0")) *
            (ROW(INDIRECT("'" &amp; 'Hulp (overig)'!$C$16 &amp; "'!B1:B1000")) &gt;= MATCH(
                M12,
                INDIRECT("'" &amp; 'Hulp (overig)'!$C$16 &amp; "'!A1:A1000"),
                0
            )) *
            IF(
                N12="",
                1,
                (ROW(INDIRECT("'" &amp; 'Hulp (overig)'!$C$16 &amp; "'!B1:B1000")) &lt; MATCH(
                    N12,
                    INDIRECT("'" &amp; 'Hulp (overig)'!$C$16 &amp; "'!A1:A1000"),
                    0
                ))
            ),
            ROW(INDIRECT("'" &amp; 'Hulp (overig)'!$C$16 &amp; "'!B1:B1000"))
        )
    ),0) &lt; 1,
    "",
    IF(INDEX(
        INDIRECT("'" &amp; 'Hulp (overig)'!$C$16 &amp; "'!" &amp;
        'Hulp (overig)'!$C$17 &amp; "1:" &amp; 'Hulp (overig)'!$C$17 &amp; 1000
        ),
        IFERROR(MIN(
            IF(
                (TRIM(INDIRECT("'" &amp; 'Hulp (overig)'!$C$16 &amp; "'!B1:B1000")) = TEXT(M14,"0")) *
                (ROW(INDIRECT("'" &amp; 'Hulp (overig)'!$C$16 &amp; "'!B1:B1000")) &gt;= MATCH(
                    M12,
                    INDIRECT("'" &amp; 'Hulp (overig)'!$C$16 &amp; "'!A1:A1000"),
                    0
                )) *
                IF(
                    N12="",
                    1,
                    (ROW(INDIRECT("'" &amp; 'Hulp (overig)'!$C$16 &amp; "'!B1:B1000")) &lt; MATCH(
                        N12,
                        INDIRECT("'" &amp; 'Hulp (overig)'!$C$16 &amp; "'!A1:A1000"),
                        0
                    ))
                ),
                ROW(INDIRECT("'" &amp; 'Hulp (overig)'!$C$16 &amp; "'!B1:B1000"))
            )
        ),0)
    )=0,"",
INDEX(
        INDIRECT("'" &amp; 'Hulp (overig)'!$C$16 &amp; "'!" &amp;
        'Hulp (overig)'!$C$17 &amp; "1:" &amp; 'Hulp (overig)'!$C$17 &amp; 1000
        ),
        IFERROR(MIN(
            IF(
                (TRIM(INDIRECT("'" &amp; 'Hulp (overig)'!$C$16 &amp; "'!B1:B1000")) = TEXT(M14,"0")) *
                (ROW(INDIRECT("'" &amp; 'Hulp (overig)'!$C$16 &amp; "'!B1:B1000")) &gt;= MATCH(
                    M12,
                    INDIRECT("'" &amp; 'Hulp (overig)'!$C$16 &amp; "'!A1:A1000"),
                    0
                )) *
                IF(
                    N12="",
                    1,
                    (ROW(INDIRECT("'" &amp; 'Hulp (overig)'!$C$16 &amp; "'!B1:B1000")) &lt; MATCH(
                        N12,
                        INDIRECT("'" &amp; 'Hulp (overig)'!$C$16 &amp; "'!A1:A1000"),
                        0
                    ))
                ),
                ROW(INDIRECT("'" &amp; 'Hulp (overig)'!$C$16 &amp; "'!B1:B1000"))
            )
        ),0)
    ))
))))</f>
        <v>#VALUE!</v>
      </c>
      <c r="N15" s="425" t="e" cm="1">
        <f t="array" aca="1" ref="N15" ca="1">IF($BF15, IF(N12="","",
   INDEX(
      INDIRECT("'" &amp; 'Hulp (CAO''s)'!$AE$8 &amp; "'!" &amp;
               'Hulp (overig)'!$C$17 &amp; "1:" &amp;
               'Hulp (overig)'!$C$17 &amp; "1000"),
      MATCH(
         N12,
         INDIRECT("'" &amp; 'Hulp (CAO''s)'!$AE$8 &amp; "'!A1:A1000"),
         0
      )
   )
), IF($D13="Gebruik % van maximum salaris",
IF(
    OR(N12="",N13=""),
    "",
    MAX(
        INDIRECT(
            "'" &amp; 'Hulp (overig)'!$C$16 &amp; "'!" &amp;
            'Hulp (overig)'!$C$17 &amp;
            MATCH(N12, INDIRECT("'" &amp; 'Hulp (overig)'!$C$16 &amp; "'!A1:A1000"), 0) &amp;
            ":" &amp;
            'Hulp (overig)'!$C$17 &amp;
LOOKUP(
    2,
    1 / (
        (ROW(INDIRECT("'" &amp; 'Hulp (overig)'!$C$16 &amp; "'!B1:B1000")) &lt;
            IF(O12&lt;&gt;"",
               MATCH(O12, INDIRECT("'" &amp; 'Hulp (overig)'!$C$16 &amp; "'!A1:A1000"),0),
               1000
            )
        ) *
        (LEFT(TRIM(INDIRECT("'" &amp; 'Hulp (overig)'!$C$16 &amp; "'!B1:B1000")),1) &lt;&gt; "u")
    ),
    ROW(INDIRECT("'" &amp; 'Hulp (overig)'!$C$16 &amp; "'!B1:B1000"))
)
        )
    ) * N13
),
IF(N14="","",
IF(
    IFERROR(MIN(
        IF(
            (TRIM(INDIRECT("'" &amp; 'Hulp (overig)'!$C$16 &amp; "'!B1:B1000")) = TEXT(N14,"0")) *
            (ROW(INDIRECT("'" &amp; 'Hulp (overig)'!$C$16 &amp; "'!B1:B1000")) &gt;= MATCH(
                N12,
                INDIRECT("'" &amp; 'Hulp (overig)'!$C$16 &amp; "'!A1:A1000"),
                0
            )) *
            IF(
                O12="",
                1,
                (ROW(INDIRECT("'" &amp; 'Hulp (overig)'!$C$16 &amp; "'!B1:B1000")) &lt; MATCH(
                    O12,
                    INDIRECT("'" &amp; 'Hulp (overig)'!$C$16 &amp; "'!A1:A1000"),
                    0
                ))
            ),
            ROW(INDIRECT("'" &amp; 'Hulp (overig)'!$C$16 &amp; "'!B1:B1000"))
        )
    ),0) &lt; 1,
    "",
    IF(INDEX(
        INDIRECT("'" &amp; 'Hulp (overig)'!$C$16 &amp; "'!" &amp;
        'Hulp (overig)'!$C$17 &amp; "1:" &amp; 'Hulp (overig)'!$C$17 &amp; 1000
        ),
        IFERROR(MIN(
            IF(
                (TRIM(INDIRECT("'" &amp; 'Hulp (overig)'!$C$16 &amp; "'!B1:B1000")) = TEXT(N14,"0")) *
                (ROW(INDIRECT("'" &amp; 'Hulp (overig)'!$C$16 &amp; "'!B1:B1000")) &gt;= MATCH(
                    N12,
                    INDIRECT("'" &amp; 'Hulp (overig)'!$C$16 &amp; "'!A1:A1000"),
                    0
                )) *
                IF(
                    O12="",
                    1,
                    (ROW(INDIRECT("'" &amp; 'Hulp (overig)'!$C$16 &amp; "'!B1:B1000")) &lt; MATCH(
                        O12,
                        INDIRECT("'" &amp; 'Hulp (overig)'!$C$16 &amp; "'!A1:A1000"),
                        0
                    ))
                ),
                ROW(INDIRECT("'" &amp; 'Hulp (overig)'!$C$16 &amp; "'!B1:B1000"))
            )
        ),0)
    )=0,"",
INDEX(
        INDIRECT("'" &amp; 'Hulp (overig)'!$C$16 &amp; "'!" &amp;
        'Hulp (overig)'!$C$17 &amp; "1:" &amp; 'Hulp (overig)'!$C$17 &amp; 1000
        ),
        IFERROR(MIN(
            IF(
                (TRIM(INDIRECT("'" &amp; 'Hulp (overig)'!$C$16 &amp; "'!B1:B1000")) = TEXT(N14,"0")) *
                (ROW(INDIRECT("'" &amp; 'Hulp (overig)'!$C$16 &amp; "'!B1:B1000")) &gt;= MATCH(
                    N12,
                    INDIRECT("'" &amp; 'Hulp (overig)'!$C$16 &amp; "'!A1:A1000"),
                    0
                )) *
                IF(
                    O12="",
                    1,
                    (ROW(INDIRECT("'" &amp; 'Hulp (overig)'!$C$16 &amp; "'!B1:B1000")) &lt; MATCH(
                        O12,
                        INDIRECT("'" &amp; 'Hulp (overig)'!$C$16 &amp; "'!A1:A1000"),
                        0
                    ))
                ),
                ROW(INDIRECT("'" &amp; 'Hulp (overig)'!$C$16 &amp; "'!B1:B1000"))
            )
        ),0)
    ))
))))</f>
        <v>#VALUE!</v>
      </c>
      <c r="O15" s="425" t="e" cm="1">
        <f t="array" aca="1" ref="O15" ca="1">IF($BF15, IF(O12="","",
   INDEX(
      INDIRECT("'" &amp; 'Hulp (CAO''s)'!$AE$8 &amp; "'!" &amp;
               'Hulp (overig)'!$C$17 &amp; "1:" &amp;
               'Hulp (overig)'!$C$17 &amp; "1000"),
      MATCH(
         O12,
         INDIRECT("'" &amp; 'Hulp (CAO''s)'!$AE$8 &amp; "'!A1:A1000"),
         0
      )
   )
), IF($D13="Gebruik % van maximum salaris",
IF(
    OR(O12="",O13=""),
    "",
    MAX(
        INDIRECT(
            "'" &amp; 'Hulp (overig)'!$C$16 &amp; "'!" &amp;
            'Hulp (overig)'!$C$17 &amp;
            MATCH(O12, INDIRECT("'" &amp; 'Hulp (overig)'!$C$16 &amp; "'!A1:A1000"), 0) &amp;
            ":" &amp;
            'Hulp (overig)'!$C$17 &amp;
LOOKUP(
    2,
    1 / (
        (ROW(INDIRECT("'" &amp; 'Hulp (overig)'!$C$16 &amp; "'!B1:B1000")) &lt;
            IF(P12&lt;&gt;"",
               MATCH(P12, INDIRECT("'" &amp; 'Hulp (overig)'!$C$16 &amp; "'!A1:A1000"),0),
               1000
            )
        ) *
        (LEFT(TRIM(INDIRECT("'" &amp; 'Hulp (overig)'!$C$16 &amp; "'!B1:B1000")),1) &lt;&gt; "u")
    ),
    ROW(INDIRECT("'" &amp; 'Hulp (overig)'!$C$16 &amp; "'!B1:B1000"))
)
        )
    ) * O13
),
IF(O14="","",
IF(
    IFERROR(MIN(
        IF(
            (TRIM(INDIRECT("'" &amp; 'Hulp (overig)'!$C$16 &amp; "'!B1:B1000")) = TEXT(O14,"0")) *
            (ROW(INDIRECT("'" &amp; 'Hulp (overig)'!$C$16 &amp; "'!B1:B1000")) &gt;= MATCH(
                O12,
                INDIRECT("'" &amp; 'Hulp (overig)'!$C$16 &amp; "'!A1:A1000"),
                0
            )) *
            IF(
                P12="",
                1,
                (ROW(INDIRECT("'" &amp; 'Hulp (overig)'!$C$16 &amp; "'!B1:B1000")) &lt; MATCH(
                    P12,
                    INDIRECT("'" &amp; 'Hulp (overig)'!$C$16 &amp; "'!A1:A1000"),
                    0
                ))
            ),
            ROW(INDIRECT("'" &amp; 'Hulp (overig)'!$C$16 &amp; "'!B1:B1000"))
        )
    ),0) &lt; 1,
    "",
    IF(INDEX(
        INDIRECT("'" &amp; 'Hulp (overig)'!$C$16 &amp; "'!" &amp;
        'Hulp (overig)'!$C$17 &amp; "1:" &amp; 'Hulp (overig)'!$C$17 &amp; 1000
        ),
        IFERROR(MIN(
            IF(
                (TRIM(INDIRECT("'" &amp; 'Hulp (overig)'!$C$16 &amp; "'!B1:B1000")) = TEXT(O14,"0")) *
                (ROW(INDIRECT("'" &amp; 'Hulp (overig)'!$C$16 &amp; "'!B1:B1000")) &gt;= MATCH(
                    O12,
                    INDIRECT("'" &amp; 'Hulp (overig)'!$C$16 &amp; "'!A1:A1000"),
                    0
                )) *
                IF(
                    P12="",
                    1,
                    (ROW(INDIRECT("'" &amp; 'Hulp (overig)'!$C$16 &amp; "'!B1:B1000")) &lt; MATCH(
                        P12,
                        INDIRECT("'" &amp; 'Hulp (overig)'!$C$16 &amp; "'!A1:A1000"),
                        0
                    ))
                ),
                ROW(INDIRECT("'" &amp; 'Hulp (overig)'!$C$16 &amp; "'!B1:B1000"))
            )
        ),0)
    )=0,"",
INDEX(
        INDIRECT("'" &amp; 'Hulp (overig)'!$C$16 &amp; "'!" &amp;
        'Hulp (overig)'!$C$17 &amp; "1:" &amp; 'Hulp (overig)'!$C$17 &amp; 1000
        ),
        IFERROR(MIN(
            IF(
                (TRIM(INDIRECT("'" &amp; 'Hulp (overig)'!$C$16 &amp; "'!B1:B1000")) = TEXT(O14,"0")) *
                (ROW(INDIRECT("'" &amp; 'Hulp (overig)'!$C$16 &amp; "'!B1:B1000")) &gt;= MATCH(
                    O12,
                    INDIRECT("'" &amp; 'Hulp (overig)'!$C$16 &amp; "'!A1:A1000"),
                    0
                )) *
                IF(
                    P12="",
                    1,
                    (ROW(INDIRECT("'" &amp; 'Hulp (overig)'!$C$16 &amp; "'!B1:B1000")) &lt; MATCH(
                        P12,
                        INDIRECT("'" &amp; 'Hulp (overig)'!$C$16 &amp; "'!A1:A1000"),
                        0
                    ))
                ),
                ROW(INDIRECT("'" &amp; 'Hulp (overig)'!$C$16 &amp; "'!B1:B1000"))
            )
        ),0)
    ))
))))</f>
        <v>#VALUE!</v>
      </c>
      <c r="P15" s="425" t="e" cm="1">
        <f t="array" aca="1" ref="P15" ca="1">IF($BF15, IF(P12="","",
   INDEX(
      INDIRECT("'" &amp; 'Hulp (CAO''s)'!$AE$8 &amp; "'!" &amp;
               'Hulp (overig)'!$C$17 &amp; "1:" &amp;
               'Hulp (overig)'!$C$17 &amp; "1000"),
      MATCH(
         P12,
         INDIRECT("'" &amp; 'Hulp (CAO''s)'!$AE$8 &amp; "'!A1:A1000"),
         0
      )
   )
), IF($D13="Gebruik % van maximum salaris",
IF(
    OR(P12="",P13=""),
    "",
    MAX(
        INDIRECT(
            "'" &amp; 'Hulp (overig)'!$C$16 &amp; "'!" &amp;
            'Hulp (overig)'!$C$17 &amp;
            MATCH(P12, INDIRECT("'" &amp; 'Hulp (overig)'!$C$16 &amp; "'!A1:A1000"), 0) &amp;
            ":" &amp;
            'Hulp (overig)'!$C$17 &amp;
LOOKUP(
    2,
    1 / (
        (ROW(INDIRECT("'" &amp; 'Hulp (overig)'!$C$16 &amp; "'!B1:B1000")) &lt;
            IF(Q12&lt;&gt;"",
               MATCH(Q12, INDIRECT("'" &amp; 'Hulp (overig)'!$C$16 &amp; "'!A1:A1000"),0),
               1000
            )
        ) *
        (LEFT(TRIM(INDIRECT("'" &amp; 'Hulp (overig)'!$C$16 &amp; "'!B1:B1000")),1) &lt;&gt; "u")
    ),
    ROW(INDIRECT("'" &amp; 'Hulp (overig)'!$C$16 &amp; "'!B1:B1000"))
)
        )
    ) * P13
),
IF(P14="","",
IF(
    IFERROR(MIN(
        IF(
            (TRIM(INDIRECT("'" &amp; 'Hulp (overig)'!$C$16 &amp; "'!B1:B1000")) = TEXT(P14,"0")) *
            (ROW(INDIRECT("'" &amp; 'Hulp (overig)'!$C$16 &amp; "'!B1:B1000")) &gt;= MATCH(
                P12,
                INDIRECT("'" &amp; 'Hulp (overig)'!$C$16 &amp; "'!A1:A1000"),
                0
            )) *
            IF(
                Q12="",
                1,
                (ROW(INDIRECT("'" &amp; 'Hulp (overig)'!$C$16 &amp; "'!B1:B1000")) &lt; MATCH(
                    Q12,
                    INDIRECT("'" &amp; 'Hulp (overig)'!$C$16 &amp; "'!A1:A1000"),
                    0
                ))
            ),
            ROW(INDIRECT("'" &amp; 'Hulp (overig)'!$C$16 &amp; "'!B1:B1000"))
        )
    ),0) &lt; 1,
    "",
    IF(INDEX(
        INDIRECT("'" &amp; 'Hulp (overig)'!$C$16 &amp; "'!" &amp;
        'Hulp (overig)'!$C$17 &amp; "1:" &amp; 'Hulp (overig)'!$C$17 &amp; 1000
        ),
        IFERROR(MIN(
            IF(
                (TRIM(INDIRECT("'" &amp; 'Hulp (overig)'!$C$16 &amp; "'!B1:B1000")) = TEXT(P14,"0")) *
                (ROW(INDIRECT("'" &amp; 'Hulp (overig)'!$C$16 &amp; "'!B1:B1000")) &gt;= MATCH(
                    P12,
                    INDIRECT("'" &amp; 'Hulp (overig)'!$C$16 &amp; "'!A1:A1000"),
                    0
                )) *
                IF(
                    Q12="",
                    1,
                    (ROW(INDIRECT("'" &amp; 'Hulp (overig)'!$C$16 &amp; "'!B1:B1000")) &lt; MATCH(
                        Q12,
                        INDIRECT("'" &amp; 'Hulp (overig)'!$C$16 &amp; "'!A1:A1000"),
                        0
                    ))
                ),
                ROW(INDIRECT("'" &amp; 'Hulp (overig)'!$C$16 &amp; "'!B1:B1000"))
            )
        ),0)
    )=0,"",
INDEX(
        INDIRECT("'" &amp; 'Hulp (overig)'!$C$16 &amp; "'!" &amp;
        'Hulp (overig)'!$C$17 &amp; "1:" &amp; 'Hulp (overig)'!$C$17 &amp; 1000
        ),
        IFERROR(MIN(
            IF(
                (TRIM(INDIRECT("'" &amp; 'Hulp (overig)'!$C$16 &amp; "'!B1:B1000")) = TEXT(P14,"0")) *
                (ROW(INDIRECT("'" &amp; 'Hulp (overig)'!$C$16 &amp; "'!B1:B1000")) &gt;= MATCH(
                    P12,
                    INDIRECT("'" &amp; 'Hulp (overig)'!$C$16 &amp; "'!A1:A1000"),
                    0
                )) *
                IF(
                    Q12="",
                    1,
                    (ROW(INDIRECT("'" &amp; 'Hulp (overig)'!$C$16 &amp; "'!B1:B1000")) &lt; MATCH(
                        Q12,
                        INDIRECT("'" &amp; 'Hulp (overig)'!$C$16 &amp; "'!A1:A1000"),
                        0
                    ))
                ),
                ROW(INDIRECT("'" &amp; 'Hulp (overig)'!$C$16 &amp; "'!B1:B1000"))
            )
        ),0)
    ))
))))</f>
        <v>#VALUE!</v>
      </c>
      <c r="Q15" s="425" t="e" cm="1">
        <f t="array" aca="1" ref="Q15" ca="1">IF($BF15, IF(Q12="","",
   INDEX(
      INDIRECT("'" &amp; 'Hulp (CAO''s)'!$AE$8 &amp; "'!" &amp;
               'Hulp (overig)'!$C$17 &amp; "1:" &amp;
               'Hulp (overig)'!$C$17 &amp; "1000"),
      MATCH(
         Q12,
         INDIRECT("'" &amp; 'Hulp (CAO''s)'!$AE$8 &amp; "'!A1:A1000"),
         0
      )
   )
), IF($D13="Gebruik % van maximum salaris",
IF(
    OR(Q12="",Q13=""),
    "",
    MAX(
        INDIRECT(
            "'" &amp; 'Hulp (overig)'!$C$16 &amp; "'!" &amp;
            'Hulp (overig)'!$C$17 &amp;
            MATCH(Q12, INDIRECT("'" &amp; 'Hulp (overig)'!$C$16 &amp; "'!A1:A1000"), 0) &amp;
            ":" &amp;
            'Hulp (overig)'!$C$17 &amp;
LOOKUP(
    2,
    1 / (
        (ROW(INDIRECT("'" &amp; 'Hulp (overig)'!$C$16 &amp; "'!B1:B1000")) &lt;
            IF(R12&lt;&gt;"",
               MATCH(R12, INDIRECT("'" &amp; 'Hulp (overig)'!$C$16 &amp; "'!A1:A1000"),0),
               1000
            )
        ) *
        (LEFT(TRIM(INDIRECT("'" &amp; 'Hulp (overig)'!$C$16 &amp; "'!B1:B1000")),1) &lt;&gt; "u")
    ),
    ROW(INDIRECT("'" &amp; 'Hulp (overig)'!$C$16 &amp; "'!B1:B1000"))
)
        )
    ) * Q13
),
IF(Q14="","",
IF(
    IFERROR(MIN(
        IF(
            (TRIM(INDIRECT("'" &amp; 'Hulp (overig)'!$C$16 &amp; "'!B1:B1000")) = TEXT(Q14,"0")) *
            (ROW(INDIRECT("'" &amp; 'Hulp (overig)'!$C$16 &amp; "'!B1:B1000")) &gt;= MATCH(
                Q12,
                INDIRECT("'" &amp; 'Hulp (overig)'!$C$16 &amp; "'!A1:A1000"),
                0
            )) *
            IF(
                R12="",
                1,
                (ROW(INDIRECT("'" &amp; 'Hulp (overig)'!$C$16 &amp; "'!B1:B1000")) &lt; MATCH(
                    R12,
                    INDIRECT("'" &amp; 'Hulp (overig)'!$C$16 &amp; "'!A1:A1000"),
                    0
                ))
            ),
            ROW(INDIRECT("'" &amp; 'Hulp (overig)'!$C$16 &amp; "'!B1:B1000"))
        )
    ),0) &lt; 1,
    "",
    IF(INDEX(
        INDIRECT("'" &amp; 'Hulp (overig)'!$C$16 &amp; "'!" &amp;
        'Hulp (overig)'!$C$17 &amp; "1:" &amp; 'Hulp (overig)'!$C$17 &amp; 1000
        ),
        IFERROR(MIN(
            IF(
                (TRIM(INDIRECT("'" &amp; 'Hulp (overig)'!$C$16 &amp; "'!B1:B1000")) = TEXT(Q14,"0")) *
                (ROW(INDIRECT("'" &amp; 'Hulp (overig)'!$C$16 &amp; "'!B1:B1000")) &gt;= MATCH(
                    Q12,
                    INDIRECT("'" &amp; 'Hulp (overig)'!$C$16 &amp; "'!A1:A1000"),
                    0
                )) *
                IF(
                    R12="",
                    1,
                    (ROW(INDIRECT("'" &amp; 'Hulp (overig)'!$C$16 &amp; "'!B1:B1000")) &lt; MATCH(
                        R12,
                        INDIRECT("'" &amp; 'Hulp (overig)'!$C$16 &amp; "'!A1:A1000"),
                        0
                    ))
                ),
                ROW(INDIRECT("'" &amp; 'Hulp (overig)'!$C$16 &amp; "'!B1:B1000"))
            )
        ),0)
    )=0,"",
INDEX(
        INDIRECT("'" &amp; 'Hulp (overig)'!$C$16 &amp; "'!" &amp;
        'Hulp (overig)'!$C$17 &amp; "1:" &amp; 'Hulp (overig)'!$C$17 &amp; 1000
        ),
        IFERROR(MIN(
            IF(
                (TRIM(INDIRECT("'" &amp; 'Hulp (overig)'!$C$16 &amp; "'!B1:B1000")) = TEXT(Q14,"0")) *
                (ROW(INDIRECT("'" &amp; 'Hulp (overig)'!$C$16 &amp; "'!B1:B1000")) &gt;= MATCH(
                    Q12,
                    INDIRECT("'" &amp; 'Hulp (overig)'!$C$16 &amp; "'!A1:A1000"),
                    0
                )) *
                IF(
                    R12="",
                    1,
                    (ROW(INDIRECT("'" &amp; 'Hulp (overig)'!$C$16 &amp; "'!B1:B1000")) &lt; MATCH(
                        R12,
                        INDIRECT("'" &amp; 'Hulp (overig)'!$C$16 &amp; "'!A1:A1000"),
                        0
                    ))
                ),
                ROW(INDIRECT("'" &amp; 'Hulp (overig)'!$C$16 &amp; "'!B1:B1000"))
            )
        ),0)
    ))
))))</f>
        <v>#VALUE!</v>
      </c>
      <c r="R15" s="425" t="e" cm="1">
        <f t="array" aca="1" ref="R15" ca="1">IF($BF15, IF(R12="","",
   INDEX(
      INDIRECT("'" &amp; 'Hulp (CAO''s)'!$AE$8 &amp; "'!" &amp;
               'Hulp (overig)'!$C$17 &amp; "1:" &amp;
               'Hulp (overig)'!$C$17 &amp; "1000"),
      MATCH(
         R12,
         INDIRECT("'" &amp; 'Hulp (CAO''s)'!$AE$8 &amp; "'!A1:A1000"),
         0
      )
   )
), IF($D13="Gebruik % van maximum salaris",
IF(
    OR(R12="",R13=""),
    "",
    MAX(
        INDIRECT(
            "'" &amp; 'Hulp (overig)'!$C$16 &amp; "'!" &amp;
            'Hulp (overig)'!$C$17 &amp;
            MATCH(R12, INDIRECT("'" &amp; 'Hulp (overig)'!$C$16 &amp; "'!A1:A1000"), 0) &amp;
            ":" &amp;
            'Hulp (overig)'!$C$17 &amp;
LOOKUP(
    2,
    1 / (
        (ROW(INDIRECT("'" &amp; 'Hulp (overig)'!$C$16 &amp; "'!B1:B1000")) &lt;
            IF(S12&lt;&gt;"",
               MATCH(S12, INDIRECT("'" &amp; 'Hulp (overig)'!$C$16 &amp; "'!A1:A1000"),0),
               1000
            )
        ) *
        (LEFT(TRIM(INDIRECT("'" &amp; 'Hulp (overig)'!$C$16 &amp; "'!B1:B1000")),1) &lt;&gt; "u")
    ),
    ROW(INDIRECT("'" &amp; 'Hulp (overig)'!$C$16 &amp; "'!B1:B1000"))
)
        )
    ) * R13
),
IF(R14="","",
IF(
    IFERROR(MIN(
        IF(
            (TRIM(INDIRECT("'" &amp; 'Hulp (overig)'!$C$16 &amp; "'!B1:B1000")) = TEXT(R14,"0")) *
            (ROW(INDIRECT("'" &amp; 'Hulp (overig)'!$C$16 &amp; "'!B1:B1000")) &gt;= MATCH(
                R12,
                INDIRECT("'" &amp; 'Hulp (overig)'!$C$16 &amp; "'!A1:A1000"),
                0
            )) *
            IF(
                S12="",
                1,
                (ROW(INDIRECT("'" &amp; 'Hulp (overig)'!$C$16 &amp; "'!B1:B1000")) &lt; MATCH(
                    S12,
                    INDIRECT("'" &amp; 'Hulp (overig)'!$C$16 &amp; "'!A1:A1000"),
                    0
                ))
            ),
            ROW(INDIRECT("'" &amp; 'Hulp (overig)'!$C$16 &amp; "'!B1:B1000"))
        )
    ),0) &lt; 1,
    "",
    IF(INDEX(
        INDIRECT("'" &amp; 'Hulp (overig)'!$C$16 &amp; "'!" &amp;
        'Hulp (overig)'!$C$17 &amp; "1:" &amp; 'Hulp (overig)'!$C$17 &amp; 1000
        ),
        IFERROR(MIN(
            IF(
                (TRIM(INDIRECT("'" &amp; 'Hulp (overig)'!$C$16 &amp; "'!B1:B1000")) = TEXT(R14,"0")) *
                (ROW(INDIRECT("'" &amp; 'Hulp (overig)'!$C$16 &amp; "'!B1:B1000")) &gt;= MATCH(
                    R12,
                    INDIRECT("'" &amp; 'Hulp (overig)'!$C$16 &amp; "'!A1:A1000"),
                    0
                )) *
                IF(
                    S12="",
                    1,
                    (ROW(INDIRECT("'" &amp; 'Hulp (overig)'!$C$16 &amp; "'!B1:B1000")) &lt; MATCH(
                        S12,
                        INDIRECT("'" &amp; 'Hulp (overig)'!$C$16 &amp; "'!A1:A1000"),
                        0
                    ))
                ),
                ROW(INDIRECT("'" &amp; 'Hulp (overig)'!$C$16 &amp; "'!B1:B1000"))
            )
        ),0)
    )=0,"",
INDEX(
        INDIRECT("'" &amp; 'Hulp (overig)'!$C$16 &amp; "'!" &amp;
        'Hulp (overig)'!$C$17 &amp; "1:" &amp; 'Hulp (overig)'!$C$17 &amp; 1000
        ),
        IFERROR(MIN(
            IF(
                (TRIM(INDIRECT("'" &amp; 'Hulp (overig)'!$C$16 &amp; "'!B1:B1000")) = TEXT(R14,"0")) *
                (ROW(INDIRECT("'" &amp; 'Hulp (overig)'!$C$16 &amp; "'!B1:B1000")) &gt;= MATCH(
                    R12,
                    INDIRECT("'" &amp; 'Hulp (overig)'!$C$16 &amp; "'!A1:A1000"),
                    0
                )) *
                IF(
                    S12="",
                    1,
                    (ROW(INDIRECT("'" &amp; 'Hulp (overig)'!$C$16 &amp; "'!B1:B1000")) &lt; MATCH(
                        S12,
                        INDIRECT("'" &amp; 'Hulp (overig)'!$C$16 &amp; "'!A1:A1000"),
                        0
                    ))
                ),
                ROW(INDIRECT("'" &amp; 'Hulp (overig)'!$C$16 &amp; "'!B1:B1000"))
            )
        ),0)
    ))
))))</f>
        <v>#VALUE!</v>
      </c>
      <c r="S15" s="425" t="e" cm="1">
        <f t="array" aca="1" ref="S15" ca="1">IF($BF15, IF(S12="","",
   INDEX(
      INDIRECT("'" &amp; 'Hulp (CAO''s)'!$AE$8 &amp; "'!" &amp;
               'Hulp (overig)'!$C$17 &amp; "1:" &amp;
               'Hulp (overig)'!$C$17 &amp; "1000"),
      MATCH(
         S12,
         INDIRECT("'" &amp; 'Hulp (CAO''s)'!$AE$8 &amp; "'!A1:A1000"),
         0
      )
   )
), IF($D13="Gebruik % van maximum salaris",
IF(
    OR(S12="",S13=""),
    "",
    MAX(
        INDIRECT(
            "'" &amp; 'Hulp (overig)'!$C$16 &amp; "'!" &amp;
            'Hulp (overig)'!$C$17 &amp;
            MATCH(S12, INDIRECT("'" &amp; 'Hulp (overig)'!$C$16 &amp; "'!A1:A1000"), 0) &amp;
            ":" &amp;
            'Hulp (overig)'!$C$17 &amp;
LOOKUP(
    2,
    1 / (
        (ROW(INDIRECT("'" &amp; 'Hulp (overig)'!$C$16 &amp; "'!B1:B1000")) &lt;
            IF(T12&lt;&gt;"",
               MATCH(T12, INDIRECT("'" &amp; 'Hulp (overig)'!$C$16 &amp; "'!A1:A1000"),0),
               1000
            )
        ) *
        (LEFT(TRIM(INDIRECT("'" &amp; 'Hulp (overig)'!$C$16 &amp; "'!B1:B1000")),1) &lt;&gt; "u")
    ),
    ROW(INDIRECT("'" &amp; 'Hulp (overig)'!$C$16 &amp; "'!B1:B1000"))
)
        )
    ) * S13
),
IF(S14="","",
IF(
    IFERROR(MIN(
        IF(
            (TRIM(INDIRECT("'" &amp; 'Hulp (overig)'!$C$16 &amp; "'!B1:B1000")) = TEXT(S14,"0")) *
            (ROW(INDIRECT("'" &amp; 'Hulp (overig)'!$C$16 &amp; "'!B1:B1000")) &gt;= MATCH(
                S12,
                INDIRECT("'" &amp; 'Hulp (overig)'!$C$16 &amp; "'!A1:A1000"),
                0
            )) *
            IF(
                T12="",
                1,
                (ROW(INDIRECT("'" &amp; 'Hulp (overig)'!$C$16 &amp; "'!B1:B1000")) &lt; MATCH(
                    T12,
                    INDIRECT("'" &amp; 'Hulp (overig)'!$C$16 &amp; "'!A1:A1000"),
                    0
                ))
            ),
            ROW(INDIRECT("'" &amp; 'Hulp (overig)'!$C$16 &amp; "'!B1:B1000"))
        )
    ),0) &lt; 1,
    "",
    IF(INDEX(
        INDIRECT("'" &amp; 'Hulp (overig)'!$C$16 &amp; "'!" &amp;
        'Hulp (overig)'!$C$17 &amp; "1:" &amp; 'Hulp (overig)'!$C$17 &amp; 1000
        ),
        IFERROR(MIN(
            IF(
                (TRIM(INDIRECT("'" &amp; 'Hulp (overig)'!$C$16 &amp; "'!B1:B1000")) = TEXT(S14,"0")) *
                (ROW(INDIRECT("'" &amp; 'Hulp (overig)'!$C$16 &amp; "'!B1:B1000")) &gt;= MATCH(
                    S12,
                    INDIRECT("'" &amp; 'Hulp (overig)'!$C$16 &amp; "'!A1:A1000"),
                    0
                )) *
                IF(
                    T12="",
                    1,
                    (ROW(INDIRECT("'" &amp; 'Hulp (overig)'!$C$16 &amp; "'!B1:B1000")) &lt; MATCH(
                        T12,
                        INDIRECT("'" &amp; 'Hulp (overig)'!$C$16 &amp; "'!A1:A1000"),
                        0
                    ))
                ),
                ROW(INDIRECT("'" &amp; 'Hulp (overig)'!$C$16 &amp; "'!B1:B1000"))
            )
        ),0)
    )=0,"",
INDEX(
        INDIRECT("'" &amp; 'Hulp (overig)'!$C$16 &amp; "'!" &amp;
        'Hulp (overig)'!$C$17 &amp; "1:" &amp; 'Hulp (overig)'!$C$17 &amp; 1000
        ),
        IFERROR(MIN(
            IF(
                (TRIM(INDIRECT("'" &amp; 'Hulp (overig)'!$C$16 &amp; "'!B1:B1000")) = TEXT(S14,"0")) *
                (ROW(INDIRECT("'" &amp; 'Hulp (overig)'!$C$16 &amp; "'!B1:B1000")) &gt;= MATCH(
                    S12,
                    INDIRECT("'" &amp; 'Hulp (overig)'!$C$16 &amp; "'!A1:A1000"),
                    0
                )) *
                IF(
                    T12="",
                    1,
                    (ROW(INDIRECT("'" &amp; 'Hulp (overig)'!$C$16 &amp; "'!B1:B1000")) &lt; MATCH(
                        T12,
                        INDIRECT("'" &amp; 'Hulp (overig)'!$C$16 &amp; "'!A1:A1000"),
                        0
                    ))
                ),
                ROW(INDIRECT("'" &amp; 'Hulp (overig)'!$C$16 &amp; "'!B1:B1000"))
            )
        ),0)
    ))
))))</f>
        <v>#VALUE!</v>
      </c>
      <c r="T15" s="425" t="e" cm="1">
        <f t="array" aca="1" ref="T15" ca="1">IF($BF15, IF(T12="","",
   INDEX(
      INDIRECT("'" &amp; 'Hulp (CAO''s)'!$AE$8 &amp; "'!" &amp;
               'Hulp (overig)'!$C$17 &amp; "1:" &amp;
               'Hulp (overig)'!$C$17 &amp; "1000"),
      MATCH(
         T12,
         INDIRECT("'" &amp; 'Hulp (CAO''s)'!$AE$8 &amp; "'!A1:A1000"),
         0
      )
   )
), IF($D13="Gebruik % van maximum salaris",
IF(
    OR(T12="",T13=""),
    "",
    MAX(
        INDIRECT(
            "'" &amp; 'Hulp (overig)'!$C$16 &amp; "'!" &amp;
            'Hulp (overig)'!$C$17 &amp;
            MATCH(T12, INDIRECT("'" &amp; 'Hulp (overig)'!$C$16 &amp; "'!A1:A1000"), 0) &amp;
            ":" &amp;
            'Hulp (overig)'!$C$17 &amp;
LOOKUP(
    2,
    1 / (
        (ROW(INDIRECT("'" &amp; 'Hulp (overig)'!$C$16 &amp; "'!B1:B1000")) &lt;
            IF(U12&lt;&gt;"",
               MATCH(U12, INDIRECT("'" &amp; 'Hulp (overig)'!$C$16 &amp; "'!A1:A1000"),0),
               1000
            )
        ) *
        (LEFT(TRIM(INDIRECT("'" &amp; 'Hulp (overig)'!$C$16 &amp; "'!B1:B1000")),1) &lt;&gt; "u")
    ),
    ROW(INDIRECT("'" &amp; 'Hulp (overig)'!$C$16 &amp; "'!B1:B1000"))
)
        )
    ) * T13
),
IF(T14="","",
IF(
    IFERROR(MIN(
        IF(
            (TRIM(INDIRECT("'" &amp; 'Hulp (overig)'!$C$16 &amp; "'!B1:B1000")) = TEXT(T14,"0")) *
            (ROW(INDIRECT("'" &amp; 'Hulp (overig)'!$C$16 &amp; "'!B1:B1000")) &gt;= MATCH(
                T12,
                INDIRECT("'" &amp; 'Hulp (overig)'!$C$16 &amp; "'!A1:A1000"),
                0
            )) *
            IF(
                U12="",
                1,
                (ROW(INDIRECT("'" &amp; 'Hulp (overig)'!$C$16 &amp; "'!B1:B1000")) &lt; MATCH(
                    U12,
                    INDIRECT("'" &amp; 'Hulp (overig)'!$C$16 &amp; "'!A1:A1000"),
                    0
                ))
            ),
            ROW(INDIRECT("'" &amp; 'Hulp (overig)'!$C$16 &amp; "'!B1:B1000"))
        )
    ),0) &lt; 1,
    "",
    IF(INDEX(
        INDIRECT("'" &amp; 'Hulp (overig)'!$C$16 &amp; "'!" &amp;
        'Hulp (overig)'!$C$17 &amp; "1:" &amp; 'Hulp (overig)'!$C$17 &amp; 1000
        ),
        IFERROR(MIN(
            IF(
                (TRIM(INDIRECT("'" &amp; 'Hulp (overig)'!$C$16 &amp; "'!B1:B1000")) = TEXT(T14,"0")) *
                (ROW(INDIRECT("'" &amp; 'Hulp (overig)'!$C$16 &amp; "'!B1:B1000")) &gt;= MATCH(
                    T12,
                    INDIRECT("'" &amp; 'Hulp (overig)'!$C$16 &amp; "'!A1:A1000"),
                    0
                )) *
                IF(
                    U12="",
                    1,
                    (ROW(INDIRECT("'" &amp; 'Hulp (overig)'!$C$16 &amp; "'!B1:B1000")) &lt; MATCH(
                        U12,
                        INDIRECT("'" &amp; 'Hulp (overig)'!$C$16 &amp; "'!A1:A1000"),
                        0
                    ))
                ),
                ROW(INDIRECT("'" &amp; 'Hulp (overig)'!$C$16 &amp; "'!B1:B1000"))
            )
        ),0)
    )=0,"",
INDEX(
        INDIRECT("'" &amp; 'Hulp (overig)'!$C$16 &amp; "'!" &amp;
        'Hulp (overig)'!$C$17 &amp; "1:" &amp; 'Hulp (overig)'!$C$17 &amp; 1000
        ),
        IFERROR(MIN(
            IF(
                (TRIM(INDIRECT("'" &amp; 'Hulp (overig)'!$C$16 &amp; "'!B1:B1000")) = TEXT(T14,"0")) *
                (ROW(INDIRECT("'" &amp; 'Hulp (overig)'!$C$16 &amp; "'!B1:B1000")) &gt;= MATCH(
                    T12,
                    INDIRECT("'" &amp; 'Hulp (overig)'!$C$16 &amp; "'!A1:A1000"),
                    0
                )) *
                IF(
                    U12="",
                    1,
                    (ROW(INDIRECT("'" &amp; 'Hulp (overig)'!$C$16 &amp; "'!B1:B1000")) &lt; MATCH(
                        U12,
                        INDIRECT("'" &amp; 'Hulp (overig)'!$C$16 &amp; "'!A1:A1000"),
                        0
                    ))
                ),
                ROW(INDIRECT("'" &amp; 'Hulp (overig)'!$C$16 &amp; "'!B1:B1000"))
            )
        ),0)
    ))
))))</f>
        <v>#VALUE!</v>
      </c>
      <c r="U15" s="723" t="e" cm="1">
        <f t="array" aca="1" ref="U15" ca="1">IF($BF15, IF(U12="","",
   INDEX(
      INDIRECT("'" &amp; 'Hulp (CAO''s)'!$AE$8 &amp; "'!" &amp;
               'Hulp (overig)'!$C$17 &amp; "1:" &amp;
               'Hulp (overig)'!$C$17 &amp; "1000"),
      MATCH(
         U12,
         INDIRECT("'" &amp; 'Hulp (CAO''s)'!$AE$8 &amp; "'!A1:A1000"),
         0
      )
   )
), IF($D13="Gebruik % van maximum salaris",
IF(
    OR(U12="",U13=""),
    "",
    MAX(
        INDIRECT(
            "'" &amp; 'Hulp (overig)'!$C$16 &amp; "'!" &amp;
            'Hulp (overig)'!$C$17 &amp;
            MATCH(U12, INDIRECT("'" &amp; 'Hulp (overig)'!$C$16 &amp; "'!A1:A1000"), 0) &amp;
            ":" &amp;
            'Hulp (overig)'!$C$17 &amp;
LOOKUP(
    2,
    1 / (
        (ROW(INDIRECT("'" &amp; 'Hulp (overig)'!$C$16 &amp; "'!B1:B1000")) &lt;
            IF(V12&lt;&gt;"",
               MATCH(V12, INDIRECT("'" &amp; 'Hulp (overig)'!$C$16 &amp; "'!A1:A1000"),0),
               1000
            )
        ) *
        (LEFT(TRIM(INDIRECT("'" &amp; 'Hulp (overig)'!$C$16 &amp; "'!B1:B1000")),1) &lt;&gt; "u")
    ),
    ROW(INDIRECT("'" &amp; 'Hulp (overig)'!$C$16 &amp; "'!B1:B1000"))
)
        )
    ) * U13
),
IF(U14="","",
IF(
    IFERROR(MIN(
        IF(
            (TRIM(INDIRECT("'" &amp; 'Hulp (overig)'!$C$16 &amp; "'!B1:B1000")) = TEXT(U14,"0")) *
            (ROW(INDIRECT("'" &amp; 'Hulp (overig)'!$C$16 &amp; "'!B1:B1000")) &gt;= MATCH(
                U12,
                INDIRECT("'" &amp; 'Hulp (overig)'!$C$16 &amp; "'!A1:A1000"),
                0
            )) *
            IF(
                V12="",
                1,
                (ROW(INDIRECT("'" &amp; 'Hulp (overig)'!$C$16 &amp; "'!B1:B1000")) &lt; MATCH(
                    V12,
                    INDIRECT("'" &amp; 'Hulp (overig)'!$C$16 &amp; "'!A1:A1000"),
                    0
                ))
            ),
            ROW(INDIRECT("'" &amp; 'Hulp (overig)'!$C$16 &amp; "'!B1:B1000"))
        )
    ),0) &lt; 1,
    "",
    IF(INDEX(
        INDIRECT("'" &amp; 'Hulp (overig)'!$C$16 &amp; "'!" &amp;
        'Hulp (overig)'!$C$17 &amp; "1:" &amp; 'Hulp (overig)'!$C$17 &amp; 1000
        ),
        IFERROR(MIN(
            IF(
                (TRIM(INDIRECT("'" &amp; 'Hulp (overig)'!$C$16 &amp; "'!B1:B1000")) = TEXT(U14,"0")) *
                (ROW(INDIRECT("'" &amp; 'Hulp (overig)'!$C$16 &amp; "'!B1:B1000")) &gt;= MATCH(
                    U12,
                    INDIRECT("'" &amp; 'Hulp (overig)'!$C$16 &amp; "'!A1:A1000"),
                    0
                )) *
                IF(
                    V12="",
                    1,
                    (ROW(INDIRECT("'" &amp; 'Hulp (overig)'!$C$16 &amp; "'!B1:B1000")) &lt; MATCH(
                        V12,
                        INDIRECT("'" &amp; 'Hulp (overig)'!$C$16 &amp; "'!A1:A1000"),
                        0
                    ))
                ),
                ROW(INDIRECT("'" &amp; 'Hulp (overig)'!$C$16 &amp; "'!B1:B1000"))
            )
        ),0)
    )=0,"",
INDEX(
        INDIRECT("'" &amp; 'Hulp (overig)'!$C$16 &amp; "'!" &amp;
        'Hulp (overig)'!$C$17 &amp; "1:" &amp; 'Hulp (overig)'!$C$17 &amp; 1000
        ),
        IFERROR(MIN(
            IF(
                (TRIM(INDIRECT("'" &amp; 'Hulp (overig)'!$C$16 &amp; "'!B1:B1000")) = TEXT(U14,"0")) *
                (ROW(INDIRECT("'" &amp; 'Hulp (overig)'!$C$16 &amp; "'!B1:B1000")) &gt;= MATCH(
                    U12,
                    INDIRECT("'" &amp; 'Hulp (overig)'!$C$16 &amp; "'!A1:A1000"),
                    0
                )) *
                IF(
                    V12="",
                    1,
                    (ROW(INDIRECT("'" &amp; 'Hulp (overig)'!$C$16 &amp; "'!B1:B1000")) &lt; MATCH(
                        V12,
                        INDIRECT("'" &amp; 'Hulp (overig)'!$C$16 &amp; "'!A1:A1000"),
                        0
                    ))
                ),
                ROW(INDIRECT("'" &amp; 'Hulp (overig)'!$C$16 &amp; "'!B1:B1000"))
            )
        ),0)
    ))
))))</f>
        <v>#VALUE!</v>
      </c>
      <c r="V15" s="413" t="str" cm="1">
        <f t="array" ref="V15">IF(SUM(F16:U16)=0,"",
IF(SUM(F15:U15)=0,"",
IF(SUMPRODUCT((F16:U16&lt;&gt;0)*(F15:U15=""))&gt;0,"",
(
   SUMPRODUCT(
      IF(F15:U15="",0,F15:U15),
      IF(F16:U16="",0,F16:U16) / SUM(F16:U16)
   )
))))</f>
        <v/>
      </c>
      <c r="W15" s="418"/>
      <c r="X15" s="620"/>
      <c r="Y15" s="419" t="str">
        <f ca="1">IF(B12="","",
        IF(INDIRECT("'Hulp (control forms)'!C" &amp; (13 + INT((ROW()-ROW($B$5))/7))),
            IF(X15="","",X15),
            IF(V15="","",V15)
    )
)</f>
        <v/>
      </c>
      <c r="Z15" s="333"/>
      <c r="AA15" s="771"/>
      <c r="AB15" s="770"/>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cm="1">
        <f t="array" aca="1" ref="BA15" ca="1">IF(
   SUM(Y15)=0,
   1,
   IF(
      N(INDIRECT("'Hulp (control forms)'!C"&amp;(13+INT((ROW()-ROW($B$5))/7))))&lt;&gt;0,
      MIN(1,
      ('Hulp (overig)'!$C$6/12) /
      (Y15 * BC15 + BD15)),
      MIN(1,
         IF(
            SUM(F15:U15)=0,
            "",
            SUMPRODUCT(
               IF(
                  (IF(F15:U15="",0,F15:U15) * BC15) + BD15
                  &gt; 'Hulp (overig)'!$C$6/12,
                  'Hulp (overig)'!$C$6/12,
                  (IF(F15:U15="",0,F15:U15) * BC15) + BD15
               ),
               IF(F16:U16="",0,F16:U16) / SUM(F16:U16)
            )
         ) /
         ((Y15 * BC15) + BD15)
      )
   )
)</f>
        <v>1</v>
      </c>
      <c r="BB15" cm="1">
        <f t="array" aca="1" ref="BB15" ca="1">IF(
   SUM(Y15)=0,
   1,
   IF(
      N(INDIRECT("'Hulp (control forms)'!C"&amp;(13+INT((ROW()-ROW($B$5))/7))))&lt;&gt;0,
      MIN('Hulp (overig)'!$C$5/12,
      (Y15 * BC15) + BD15) * 12,
         IF(
            SUM(F15:U15)=0,
            "",
            SUMPRODUCT(
               IF(
                  (IF(F15:U15="",0,F15:U15) * BC15) + BD15
                  &gt; 'Hulp (overig)'!$C$5/12,
                  'Hulp (overig)'!$C$5/12,
                  (IF(F15:U15="",0,F15:U15) * BC15) + BD15
               ),
               IF(F16:U16="",0,F16:U16) / SUM(F16:U16)
            )
         ) * 12
   )
)</f>
        <v>1</v>
      </c>
      <c r="BC15" s="287" cm="1">
        <f t="array" aca="1" ref="BC15" ca="1">IFERROR(
   (INDEX('2. Output kostprijs'!$24:$24, 5 + 2*INT((ROW()-8)/7))
    - SUM(INDEX('2. Output kostprijs'!$23:$23, 5 + 2*INT((ROW()-8)/7))))
   / INDEX('2. Output kostprijs'!$19:$19, 5 + 2*INT((ROW()-8)/7)),
   1
)</f>
        <v>1</v>
      </c>
      <c r="BD15" s="287" cm="1">
        <f t="array" aca="1" ref="BD15" ca="1">IFERROR(
   (INDEX('2. Output kostprijs'!$23:$23, 5 + 2*INT((ROW()-8)/7))
    * INDEX('2. Output kostprijs'!$18:$18, 5 + 2*INT((ROW()-8)/7))
   ) / 12,
   0
)</f>
        <v>0</v>
      </c>
      <c r="BE15" t="b">
        <f ca="1">NOT(AND(B12&lt;&gt;"",Y15=""))</f>
        <v>1</v>
      </c>
      <c r="BF15" t="str" cm="1">
        <f t="array" aca="1" ref="BF15" ca="1">INDIRECT("'1a. Input organisatieniveau'!$AD" &amp; 7 + INT((ROW()-ROW($F$8))/7))</f>
        <v/>
      </c>
      <c r="BG15" t="b" cm="1">
        <f t="array" ref="BG15">IFERROR(INDEX('Hulp (control forms)'!C:C, 13 + INT((ROW(A8)-1)/7)),FALSE)</f>
        <v>0</v>
      </c>
      <c r="BH15" s="287"/>
      <c r="BI15" s="287"/>
      <c r="BJ15" s="287"/>
      <c r="BK15" s="287"/>
      <c r="BL15" s="287"/>
      <c r="BM15" s="287"/>
      <c r="BN15" s="287"/>
      <c r="BO15" s="287"/>
      <c r="BP15" s="287"/>
      <c r="BQ15" s="287"/>
      <c r="BR15" s="287"/>
      <c r="BS15" s="287"/>
      <c r="BT15" s="287"/>
      <c r="BU15" s="287"/>
      <c r="BV15" s="287"/>
      <c r="BW15" s="287"/>
    </row>
    <row r="16" spans="1:75" ht="16.05" customHeight="1" thickBot="1" x14ac:dyDescent="0.5">
      <c r="A16" s="289"/>
      <c r="B16" s="343"/>
      <c r="C16" s="325" t="s">
        <v>779</v>
      </c>
      <c r="D16" s="688" t="s">
        <v>60</v>
      </c>
      <c r="E16" s="433" t="s">
        <v>59</v>
      </c>
      <c r="F16" s="624"/>
      <c r="G16" s="624"/>
      <c r="H16" s="624"/>
      <c r="I16" s="624"/>
      <c r="J16" s="624"/>
      <c r="K16" s="624"/>
      <c r="L16" s="624"/>
      <c r="M16" s="624"/>
      <c r="N16" s="624"/>
      <c r="O16" s="624"/>
      <c r="P16" s="624"/>
      <c r="Q16" s="624"/>
      <c r="R16" s="624"/>
      <c r="S16" s="624"/>
      <c r="T16" s="624"/>
      <c r="U16" s="625"/>
      <c r="V16" s="420" t="str">
        <f ca="1">IF($B12="","",IF($D16="Aandeel in %",
   "Totaal: "&amp;SUM(F16:U16)*100&amp;"%",
   "Totaal: "&amp;SUM(F16:U16)&amp;" uur"
))</f>
        <v/>
      </c>
      <c r="W16" s="294"/>
      <c r="X16" s="621"/>
      <c r="Y16" s="328"/>
      <c r="Z16" s="32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9" ht="16.05" customHeight="1" thickBot="1" x14ac:dyDescent="0.5">
      <c r="A17" s="289"/>
      <c r="B17" s="343"/>
      <c r="C17" s="326" t="s">
        <v>779</v>
      </c>
      <c r="D17" s="421"/>
      <c r="E17" s="426"/>
      <c r="F17" s="426"/>
      <c r="G17" s="426"/>
      <c r="H17" s="426"/>
      <c r="I17" s="426"/>
      <c r="J17" s="426"/>
      <c r="K17" s="426"/>
      <c r="L17" s="426"/>
      <c r="M17" s="426"/>
      <c r="N17" s="426"/>
      <c r="O17" s="426"/>
      <c r="P17" s="426"/>
      <c r="Q17" s="426"/>
      <c r="R17" s="426"/>
      <c r="S17" s="426"/>
      <c r="T17" s="427"/>
      <c r="U17" s="427"/>
      <c r="V17" s="421"/>
      <c r="W17" s="421"/>
      <c r="X17" s="622"/>
      <c r="Y17" s="421"/>
      <c r="Z17" s="327"/>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9" ht="16.05" customHeight="1" thickBot="1" x14ac:dyDescent="0.55000000000000004">
      <c r="A18" s="289"/>
      <c r="B18" s="585" t="str">
        <f ca="1">IF(B19="","",
IF(
   OR(
      INDIRECT("'1a. Input organisatieniveau'!AC" &amp; (7 + INT((ROW()-4)/7)))="",
      INDIRECT("'1a. Input organisatieniveau'!AC" &amp; (7 + INT((ROW()-4)/7)))=0
   ),
   "",
   INDIRECT("'1a. Input organisatieniveau'!AC" &amp; (7 + INT((ROW()-4)/7)))
))</f>
        <v/>
      </c>
      <c r="C18" s="324" t="s">
        <v>779</v>
      </c>
      <c r="D18" s="416"/>
      <c r="E18" s="428"/>
      <c r="F18" s="422" t="str">
        <f t="shared" ref="F18:U18" ca="1" si="2">IF($B19="","",
IF($D20="Gebruik % van maximum salaris",
 IF(OR(AND(AND(F19&lt;&gt;"",F20&lt;&gt;""),F22=""),AND(F22="",F23&lt;&gt;"")),"!",""),
 IF(OR(AND(AND(F19&lt;&gt;"",F21&lt;&gt;""),F22=""),AND(F22="",F23&lt;&gt;"")),"!","")))</f>
        <v/>
      </c>
      <c r="G18" s="422" t="str">
        <f t="shared" ca="1" si="2"/>
        <v/>
      </c>
      <c r="H18" s="422" t="str">
        <f t="shared" ca="1" si="2"/>
        <v/>
      </c>
      <c r="I18" s="422" t="str">
        <f t="shared" ca="1" si="2"/>
        <v/>
      </c>
      <c r="J18" s="422" t="str">
        <f t="shared" ca="1" si="2"/>
        <v/>
      </c>
      <c r="K18" s="422" t="str">
        <f t="shared" ca="1" si="2"/>
        <v/>
      </c>
      <c r="L18" s="422" t="str">
        <f t="shared" ca="1" si="2"/>
        <v/>
      </c>
      <c r="M18" s="422" t="str">
        <f t="shared" ca="1" si="2"/>
        <v/>
      </c>
      <c r="N18" s="422" t="str">
        <f t="shared" ca="1" si="2"/>
        <v/>
      </c>
      <c r="O18" s="422" t="str">
        <f t="shared" ca="1" si="2"/>
        <v/>
      </c>
      <c r="P18" s="422" t="str">
        <f t="shared" ca="1" si="2"/>
        <v/>
      </c>
      <c r="Q18" s="422" t="str">
        <f t="shared" ca="1" si="2"/>
        <v/>
      </c>
      <c r="R18" s="422" t="str">
        <f t="shared" ca="1" si="2"/>
        <v/>
      </c>
      <c r="S18" s="422" t="str">
        <f t="shared" ca="1" si="2"/>
        <v/>
      </c>
      <c r="T18" s="422" t="str">
        <f t="shared" ca="1" si="2"/>
        <v/>
      </c>
      <c r="U18" s="422" t="str">
        <f t="shared" ca="1" si="2"/>
        <v/>
      </c>
      <c r="V18" s="416"/>
      <c r="W18" s="416"/>
      <c r="X18" s="619"/>
      <c r="Y18" s="416"/>
      <c r="Z18" s="330"/>
      <c r="AA18" s="354"/>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9" ht="16.05" customHeight="1" thickBot="1" x14ac:dyDescent="0.5">
      <c r="A19" s="289"/>
      <c r="B19" s="586" t="str">
        <f ca="1">IF(
   OR(
      INDIRECT("'1a. Input organisatieniveau'!AA" &amp; (7 + INT((ROW()-4)/7)))="",
      INDIRECT("'1a. Input organisatieniveau'!AA" &amp; (7 + INT((ROW()-4)/7)))=0
   ),
   "",
   INDIRECT("'1a. Input organisatieniveau'!AA" &amp; (7 + INT((ROW()-4)/7)))
)</f>
        <v/>
      </c>
      <c r="C19" s="325" t="s">
        <v>779</v>
      </c>
      <c r="D19" s="434"/>
      <c r="E19" s="429" t="s">
        <v>28</v>
      </c>
      <c r="F19" s="423" t="str">
        <f ca="1">IF($B19="", "", IF($BF22, IF('Hulp (CAO''s)'!J$8&lt;&gt;"",'Hulp (CAO''s)'!J$8,""), INDEX('Hulp (CAO''s)'!J$3:J$7, MATCH(TRUE, 'Hulp (CAO''s)'!$D$3:$D$7, 0))))</f>
        <v/>
      </c>
      <c r="G19" s="423" t="str">
        <f ca="1">IF($B19="", "", IF($BF22, IF('Hulp (CAO''s)'!K$8&lt;&gt;"",'Hulp (CAO''s)'!K$8,""), INDEX('Hulp (CAO''s)'!K$3:K$7, MATCH(TRUE, 'Hulp (CAO''s)'!$D$3:$D$7, 0))))</f>
        <v/>
      </c>
      <c r="H19" s="423" t="str">
        <f ca="1">IF($B19="", "", IF($BF22, IF('Hulp (CAO''s)'!L$8&lt;&gt;"",'Hulp (CAO''s)'!L$8,""), INDEX('Hulp (CAO''s)'!L$3:L$7, MATCH(TRUE, 'Hulp (CAO''s)'!$D$3:$D$7, 0))))</f>
        <v/>
      </c>
      <c r="I19" s="423" t="str">
        <f ca="1">IF($B19="", "", IF($BF22, IF('Hulp (CAO''s)'!M$8&lt;&gt;"",'Hulp (CAO''s)'!M$8,""), INDEX('Hulp (CAO''s)'!M$3:M$7, MATCH(TRUE, 'Hulp (CAO''s)'!$D$3:$D$7, 0))))</f>
        <v/>
      </c>
      <c r="J19" s="423" t="str">
        <f ca="1">IF($B19="", "", IF($BF22, IF('Hulp (CAO''s)'!N$8&lt;&gt;"",'Hulp (CAO''s)'!N$8,""), INDEX('Hulp (CAO''s)'!N$3:N$7, MATCH(TRUE, 'Hulp (CAO''s)'!$D$3:$D$7, 0))))</f>
        <v/>
      </c>
      <c r="K19" s="423" t="str">
        <f ca="1">IF($B19="", "", IF($BF22, IF('Hulp (CAO''s)'!O$8&lt;&gt;"",'Hulp (CAO''s)'!O$8,""), INDEX('Hulp (CAO''s)'!O$3:O$7, MATCH(TRUE, 'Hulp (CAO''s)'!$D$3:$D$7, 0))))</f>
        <v/>
      </c>
      <c r="L19" s="423" t="str">
        <f ca="1">IF($B19="", "", IF($BF22, IF('Hulp (CAO''s)'!P$8&lt;&gt;"",'Hulp (CAO''s)'!P$8,""), INDEX('Hulp (CAO''s)'!P$3:P$7, MATCH(TRUE, 'Hulp (CAO''s)'!$D$3:$D$7, 0))))</f>
        <v/>
      </c>
      <c r="M19" s="423" t="str">
        <f ca="1">IF($B19="", "", IF($BF22, IF('Hulp (CAO''s)'!Q$8&lt;&gt;"",'Hulp (CAO''s)'!Q$8,""), INDEX('Hulp (CAO''s)'!Q$3:Q$7, MATCH(TRUE, 'Hulp (CAO''s)'!$D$3:$D$7, 0))))</f>
        <v/>
      </c>
      <c r="N19" s="423" t="str">
        <f ca="1">IF($B19="", "", IF($BF22, IF('Hulp (CAO''s)'!R$8&lt;&gt;"",'Hulp (CAO''s)'!R$8,""), INDEX('Hulp (CAO''s)'!R$3:R$7, MATCH(TRUE, 'Hulp (CAO''s)'!$D$3:$D$7, 0))))</f>
        <v/>
      </c>
      <c r="O19" s="423" t="str">
        <f ca="1">IF($B19="", "", IF($BF22, IF('Hulp (CAO''s)'!S$8&lt;&gt;"",'Hulp (CAO''s)'!S$8,""), INDEX('Hulp (CAO''s)'!S$3:S$7, MATCH(TRUE, 'Hulp (CAO''s)'!$D$3:$D$7, 0))))</f>
        <v/>
      </c>
      <c r="P19" s="423" t="str">
        <f ca="1">IF($B19="", "", IF($BF22, IF('Hulp (CAO''s)'!T$8&lt;&gt;"",'Hulp (CAO''s)'!T$8,""), INDEX('Hulp (CAO''s)'!T$3:T$7, MATCH(TRUE, 'Hulp (CAO''s)'!$D$3:$D$7, 0))))</f>
        <v/>
      </c>
      <c r="Q19" s="423" t="str">
        <f ca="1">IF($B19="", "", IF($BF22, IF('Hulp (CAO''s)'!U$8&lt;&gt;"",'Hulp (CAO''s)'!U$8,""), INDEX('Hulp (CAO''s)'!U$3:U$7, MATCH(TRUE, 'Hulp (CAO''s)'!$D$3:$D$7, 0))))</f>
        <v/>
      </c>
      <c r="R19" s="423" t="str">
        <f ca="1">IF($B19="", "", IF($BF22, IF('Hulp (CAO''s)'!V$8&lt;&gt;"",'Hulp (CAO''s)'!V$8,""), INDEX('Hulp (CAO''s)'!V$3:V$7, MATCH(TRUE, 'Hulp (CAO''s)'!$D$3:$D$7, 0))))</f>
        <v/>
      </c>
      <c r="S19" s="423" t="str">
        <f ca="1">IF($B19="", "", IF($BF22, IF('Hulp (CAO''s)'!W$8&lt;&gt;"",'Hulp (CAO''s)'!W$8,""), INDEX('Hulp (CAO''s)'!W$3:W$7, MATCH(TRUE, 'Hulp (CAO''s)'!$D$3:$D$7, 0))))</f>
        <v/>
      </c>
      <c r="T19" s="423" t="str">
        <f ca="1">IF($B19="", "", IF($BF22, IF('Hulp (CAO''s)'!X$8&lt;&gt;"",'Hulp (CAO''s)'!X$8,""), INDEX('Hulp (CAO''s)'!X$3:X$7, MATCH(TRUE, 'Hulp (CAO''s)'!$D$3:$D$7, 0))))</f>
        <v/>
      </c>
      <c r="U19" s="424" t="str">
        <f ca="1">IF($B19="", "", IF($BF22, IF('Hulp (CAO''s)'!Y$8&lt;&gt;"",'Hulp (CAO''s)'!Y$8,""), INDEX('Hulp (CAO''s)'!Y$3:Y$7, MATCH(TRUE, 'Hulp (CAO''s)'!$D$3:$D$7, 0))))</f>
        <v/>
      </c>
      <c r="V19" s="417"/>
      <c r="W19" s="343"/>
      <c r="X19" s="617"/>
      <c r="Y19" s="343"/>
      <c r="Z19" s="329"/>
      <c r="AA19" s="320"/>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9" ht="16.05" customHeight="1" x14ac:dyDescent="0.45">
      <c r="A20" s="289"/>
      <c r="B20" s="343"/>
      <c r="C20" s="325" t="s">
        <v>779</v>
      </c>
      <c r="D20" s="772" t="s">
        <v>772</v>
      </c>
      <c r="E20" s="430" t="e">
        <f ca="1">IF($BF22, "", "% t.o.v. max salaris in de schaal")</f>
        <v>#VALUE!</v>
      </c>
      <c r="F20" s="615"/>
      <c r="G20" s="615"/>
      <c r="H20" s="615"/>
      <c r="I20" s="615"/>
      <c r="J20" s="615"/>
      <c r="K20" s="615"/>
      <c r="L20" s="615"/>
      <c r="M20" s="615"/>
      <c r="N20" s="615"/>
      <c r="O20" s="615"/>
      <c r="P20" s="615"/>
      <c r="Q20" s="615"/>
      <c r="R20" s="615"/>
      <c r="S20" s="615"/>
      <c r="T20" s="615"/>
      <c r="U20" s="616"/>
      <c r="V20" s="774" t="s">
        <v>884</v>
      </c>
      <c r="W20" s="332"/>
      <c r="X20" s="776" t="s">
        <v>882</v>
      </c>
      <c r="Y20" s="778" t="s">
        <v>883</v>
      </c>
      <c r="Z20" s="329"/>
      <c r="AA20" s="771" t="s">
        <v>780</v>
      </c>
      <c r="AB20" s="770" t="s">
        <v>1079</v>
      </c>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9" ht="16.05" customHeight="1" thickBot="1" x14ac:dyDescent="0.5">
      <c r="A21" s="289"/>
      <c r="B21" s="343"/>
      <c r="C21" s="325" t="s">
        <v>779</v>
      </c>
      <c r="D21" s="773"/>
      <c r="E21" s="431" t="e">
        <f ca="1">IF($BF22, "", "Trede (gemiddeld)")</f>
        <v>#VALUE!</v>
      </c>
      <c r="F21" s="737"/>
      <c r="G21" s="737"/>
      <c r="H21" s="737"/>
      <c r="I21" s="737"/>
      <c r="J21" s="737"/>
      <c r="K21" s="737"/>
      <c r="L21" s="737"/>
      <c r="M21" s="737"/>
      <c r="N21" s="737"/>
      <c r="O21" s="737"/>
      <c r="P21" s="737"/>
      <c r="Q21" s="737"/>
      <c r="R21" s="737"/>
      <c r="S21" s="737"/>
      <c r="T21" s="737"/>
      <c r="U21" s="740"/>
      <c r="V21" s="775"/>
      <c r="W21" s="294"/>
      <c r="X21" s="777"/>
      <c r="Y21" s="779"/>
      <c r="Z21" s="329"/>
      <c r="AA21" s="771"/>
      <c r="AB21" s="770"/>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9" ht="16.05" customHeight="1" thickBot="1" x14ac:dyDescent="0.5">
      <c r="A22" s="289"/>
      <c r="B22" s="343"/>
      <c r="C22" s="325" t="s">
        <v>779</v>
      </c>
      <c r="E22" s="432" t="str">
        <f>IFERROR(
   INDEX('Hulp (CAO''s)'!$I$3:$I$7, MATCH(TRUE, 'Hulp (CAO''s)'!$D$3:$D$7, 0)),
"")</f>
        <v>Bruto maandsalaris</v>
      </c>
      <c r="F22" s="425" t="e" cm="1">
        <f t="array" aca="1" ref="F22" ca="1">IF($BF22, IF(F19="","",
   INDEX(
      INDIRECT("'" &amp; 'Hulp (CAO''s)'!$AE$8 &amp; "'!" &amp;
               'Hulp (overig)'!$C$17 &amp; "1:" &amp;
               'Hulp (overig)'!$C$17 &amp; "1000"),
      MATCH(
         F19,
         INDIRECT("'" &amp; 'Hulp (CAO''s)'!$AE$8 &amp; "'!A1:A1000"),
         0
      )
   )
), IF($D20="Gebruik % van maximum salaris",
IF(
    OR(F19="",F20=""),
    "",
    MAX(
        INDIRECT(
            "'" &amp; 'Hulp (overig)'!$C$16 &amp; "'!" &amp;
            'Hulp (overig)'!$C$17 &amp;
            MATCH(F19, INDIRECT("'" &amp; 'Hulp (overig)'!$C$16 &amp; "'!A1:A1000"), 0) &amp;
            ":" &amp;
            'Hulp (overig)'!$C$17 &amp;
LOOKUP(
    2,
    1 / (
        (ROW(INDIRECT("'" &amp; 'Hulp (overig)'!$C$16 &amp; "'!B1:B1000")) &lt;
            IF(G19&lt;&gt;"",
               MATCH(G19, INDIRECT("'" &amp; 'Hulp (overig)'!$C$16 &amp; "'!A1:A1000"),0),
               1000
            )
        ) *
        (LEFT(TRIM(INDIRECT("'" &amp; 'Hulp (overig)'!$C$16 &amp; "'!B1:B1000")),1) &lt;&gt; "u")
    ),
    ROW(INDIRECT("'" &amp; 'Hulp (overig)'!$C$16 &amp; "'!B1:B1000"))
)
        )
    ) * F20
),
IF(F21="","",
IF(
    IFERROR(MIN(
        IF(
            (TRIM(INDIRECT("'" &amp; 'Hulp (overig)'!$C$16 &amp; "'!B1:B1000")) = TEXT(F21,"0")) *
            (ROW(INDIRECT("'" &amp; 'Hulp (overig)'!$C$16 &amp; "'!B1:B1000")) &gt;= MATCH(
                F19,
                INDIRECT("'" &amp; 'Hulp (overig)'!$C$16 &amp; "'!A1:A1000"),
                0
            )) *
            IF(
                G19="",
                1,
                (ROW(INDIRECT("'" &amp; 'Hulp (overig)'!$C$16 &amp; "'!B1:B1000")) &lt; MATCH(
                    G19,
                    INDIRECT("'" &amp; 'Hulp (overig)'!$C$16 &amp; "'!A1:A1000"),
                    0
                ))
            ),
            ROW(INDIRECT("'" &amp; 'Hulp (overig)'!$C$16 &amp; "'!B1:B1000"))
        )
    ),0) &lt; 1,
    "",
    IF(INDEX(
        INDIRECT("'" &amp; 'Hulp (overig)'!$C$16 &amp; "'!" &amp;
        'Hulp (overig)'!$C$17 &amp; "1:" &amp; 'Hulp (overig)'!$C$17 &amp; 1000
        ),
        IFERROR(MIN(
            IF(
                (TRIM(INDIRECT("'" &amp; 'Hulp (overig)'!$C$16 &amp; "'!B1:B1000")) = TEXT(F21,"0")) *
                (ROW(INDIRECT("'" &amp; 'Hulp (overig)'!$C$16 &amp; "'!B1:B1000")) &gt;= MATCH(
                    F19,
                    INDIRECT("'" &amp; 'Hulp (overig)'!$C$16 &amp; "'!A1:A1000"),
                    0
                )) *
                IF(
                    G19="",
                    1,
                    (ROW(INDIRECT("'" &amp; 'Hulp (overig)'!$C$16 &amp; "'!B1:B1000")) &lt; MATCH(
                        G19,
                        INDIRECT("'" &amp; 'Hulp (overig)'!$C$16 &amp; "'!A1:A1000"),
                        0
                    ))
                ),
                ROW(INDIRECT("'" &amp; 'Hulp (overig)'!$C$16 &amp; "'!B1:B1000"))
            )
        ),0)
    )=0,"",
INDEX(
        INDIRECT("'" &amp; 'Hulp (overig)'!$C$16 &amp; "'!" &amp;
        'Hulp (overig)'!$C$17 &amp; "1:" &amp; 'Hulp (overig)'!$C$17 &amp; 1000
        ),
        IFERROR(MIN(
            IF(
                (TRIM(INDIRECT("'" &amp; 'Hulp (overig)'!$C$16 &amp; "'!B1:B1000")) = TEXT(F21,"0")) *
                (ROW(INDIRECT("'" &amp; 'Hulp (overig)'!$C$16 &amp; "'!B1:B1000")) &gt;= MATCH(
                    F19,
                    INDIRECT("'" &amp; 'Hulp (overig)'!$C$16 &amp; "'!A1:A1000"),
                    0
                )) *
                IF(
                    G19="",
                    1,
                    (ROW(INDIRECT("'" &amp; 'Hulp (overig)'!$C$16 &amp; "'!B1:B1000")) &lt; MATCH(
                        G19,
                        INDIRECT("'" &amp; 'Hulp (overig)'!$C$16 &amp; "'!A1:A1000"),
                        0
                    ))
                ),
                ROW(INDIRECT("'" &amp; 'Hulp (overig)'!$C$16 &amp; "'!B1:B1000"))
            )
        ),0)
    ))
))))</f>
        <v>#VALUE!</v>
      </c>
      <c r="G22" s="425" t="e" cm="1">
        <f t="array" aca="1" ref="G22" ca="1">IF($BF22, IF(G19="","",
   INDEX(
      INDIRECT("'" &amp; 'Hulp (CAO''s)'!$AE$8 &amp; "'!" &amp;
               'Hulp (overig)'!$C$17 &amp; "1:" &amp;
               'Hulp (overig)'!$C$17 &amp; "1000"),
      MATCH(
         G19,
         INDIRECT("'" &amp; 'Hulp (CAO''s)'!$AE$8 &amp; "'!A1:A1000"),
         0
      )
   )
), IF($D20="Gebruik % van maximum salaris",
IF(
    OR(G19="",G20=""),
    "",
    MAX(
        INDIRECT(
            "'" &amp; 'Hulp (overig)'!$C$16 &amp; "'!" &amp;
            'Hulp (overig)'!$C$17 &amp;
            MATCH(G19, INDIRECT("'" &amp; 'Hulp (overig)'!$C$16 &amp; "'!A1:A1000"), 0) &amp;
            ":" &amp;
            'Hulp (overig)'!$C$17 &amp;
LOOKUP(
    2,
    1 / (
        (ROW(INDIRECT("'" &amp; 'Hulp (overig)'!$C$16 &amp; "'!B1:B1000")) &lt;
            IF(H19&lt;&gt;"",
               MATCH(H19, INDIRECT("'" &amp; 'Hulp (overig)'!$C$16 &amp; "'!A1:A1000"),0),
               1000
            )
        ) *
        (LEFT(TRIM(INDIRECT("'" &amp; 'Hulp (overig)'!$C$16 &amp; "'!B1:B1000")),1) &lt;&gt; "u")
    ),
    ROW(INDIRECT("'" &amp; 'Hulp (overig)'!$C$16 &amp; "'!B1:B1000"))
)
        )
    ) * G20
),
IF(G21="","",
IF(
    IFERROR(MIN(
        IF(
            (TRIM(INDIRECT("'" &amp; 'Hulp (overig)'!$C$16 &amp; "'!B1:B1000")) = TEXT(G21,"0")) *
            (ROW(INDIRECT("'" &amp; 'Hulp (overig)'!$C$16 &amp; "'!B1:B1000")) &gt;= MATCH(
                G19,
                INDIRECT("'" &amp; 'Hulp (overig)'!$C$16 &amp; "'!A1:A1000"),
                0
            )) *
            IF(
                H19="",
                1,
                (ROW(INDIRECT("'" &amp; 'Hulp (overig)'!$C$16 &amp; "'!B1:B1000")) &lt; MATCH(
                    H19,
                    INDIRECT("'" &amp; 'Hulp (overig)'!$C$16 &amp; "'!A1:A1000"),
                    0
                ))
            ),
            ROW(INDIRECT("'" &amp; 'Hulp (overig)'!$C$16 &amp; "'!B1:B1000"))
        )
    ),0) &lt; 1,
    "",
    IF(INDEX(
        INDIRECT("'" &amp; 'Hulp (overig)'!$C$16 &amp; "'!" &amp;
        'Hulp (overig)'!$C$17 &amp; "1:" &amp; 'Hulp (overig)'!$C$17 &amp; 1000
        ),
        IFERROR(MIN(
            IF(
                (TRIM(INDIRECT("'" &amp; 'Hulp (overig)'!$C$16 &amp; "'!B1:B1000")) = TEXT(G21,"0")) *
                (ROW(INDIRECT("'" &amp; 'Hulp (overig)'!$C$16 &amp; "'!B1:B1000")) &gt;= MATCH(
                    G19,
                    INDIRECT("'" &amp; 'Hulp (overig)'!$C$16 &amp; "'!A1:A1000"),
                    0
                )) *
                IF(
                    H19="",
                    1,
                    (ROW(INDIRECT("'" &amp; 'Hulp (overig)'!$C$16 &amp; "'!B1:B1000")) &lt; MATCH(
                        H19,
                        INDIRECT("'" &amp; 'Hulp (overig)'!$C$16 &amp; "'!A1:A1000"),
                        0
                    ))
                ),
                ROW(INDIRECT("'" &amp; 'Hulp (overig)'!$C$16 &amp; "'!B1:B1000"))
            )
        ),0)
    )=0,"",
INDEX(
        INDIRECT("'" &amp; 'Hulp (overig)'!$C$16 &amp; "'!" &amp;
        'Hulp (overig)'!$C$17 &amp; "1:" &amp; 'Hulp (overig)'!$C$17 &amp; 1000
        ),
        IFERROR(MIN(
            IF(
                (TRIM(INDIRECT("'" &amp; 'Hulp (overig)'!$C$16 &amp; "'!B1:B1000")) = TEXT(G21,"0")) *
                (ROW(INDIRECT("'" &amp; 'Hulp (overig)'!$C$16 &amp; "'!B1:B1000")) &gt;= MATCH(
                    G19,
                    INDIRECT("'" &amp; 'Hulp (overig)'!$C$16 &amp; "'!A1:A1000"),
                    0
                )) *
                IF(
                    H19="",
                    1,
                    (ROW(INDIRECT("'" &amp; 'Hulp (overig)'!$C$16 &amp; "'!B1:B1000")) &lt; MATCH(
                        H19,
                        INDIRECT("'" &amp; 'Hulp (overig)'!$C$16 &amp; "'!A1:A1000"),
                        0
                    ))
                ),
                ROW(INDIRECT("'" &amp; 'Hulp (overig)'!$C$16 &amp; "'!B1:B1000"))
            )
        ),0)
    ))
))))</f>
        <v>#VALUE!</v>
      </c>
      <c r="H22" s="425" t="e" cm="1">
        <f t="array" aca="1" ref="H22" ca="1">IF($BF22, IF(H19="","",
   INDEX(
      INDIRECT("'" &amp; 'Hulp (CAO''s)'!$AE$8 &amp; "'!" &amp;
               'Hulp (overig)'!$C$17 &amp; "1:" &amp;
               'Hulp (overig)'!$C$17 &amp; "1000"),
      MATCH(
         H19,
         INDIRECT("'" &amp; 'Hulp (CAO''s)'!$AE$8 &amp; "'!A1:A1000"),
         0
      )
   )
), IF($D20="Gebruik % van maximum salaris",
IF(
    OR(H19="",H20=""),
    "",
    MAX(
        INDIRECT(
            "'" &amp; 'Hulp (overig)'!$C$16 &amp; "'!" &amp;
            'Hulp (overig)'!$C$17 &amp;
            MATCH(H19, INDIRECT("'" &amp; 'Hulp (overig)'!$C$16 &amp; "'!A1:A1000"), 0) &amp;
            ":" &amp;
            'Hulp (overig)'!$C$17 &amp;
LOOKUP(
    2,
    1 / (
        (ROW(INDIRECT("'" &amp; 'Hulp (overig)'!$C$16 &amp; "'!B1:B1000")) &lt;
            IF(I19&lt;&gt;"",
               MATCH(I19, INDIRECT("'" &amp; 'Hulp (overig)'!$C$16 &amp; "'!A1:A1000"),0),
               1000
            )
        ) *
        (LEFT(TRIM(INDIRECT("'" &amp; 'Hulp (overig)'!$C$16 &amp; "'!B1:B1000")),1) &lt;&gt; "u")
    ),
    ROW(INDIRECT("'" &amp; 'Hulp (overig)'!$C$16 &amp; "'!B1:B1000"))
)
        )
    ) * H20
),
IF(H21="","",
IF(
    IFERROR(MIN(
        IF(
            (TRIM(INDIRECT("'" &amp; 'Hulp (overig)'!$C$16 &amp; "'!B1:B1000")) = TEXT(H21,"0")) *
            (ROW(INDIRECT("'" &amp; 'Hulp (overig)'!$C$16 &amp; "'!B1:B1000")) &gt;= MATCH(
                H19,
                INDIRECT("'" &amp; 'Hulp (overig)'!$C$16 &amp; "'!A1:A1000"),
                0
            )) *
            IF(
                I19="",
                1,
                (ROW(INDIRECT("'" &amp; 'Hulp (overig)'!$C$16 &amp; "'!B1:B1000")) &lt; MATCH(
                    I19,
                    INDIRECT("'" &amp; 'Hulp (overig)'!$C$16 &amp; "'!A1:A1000"),
                    0
                ))
            ),
            ROW(INDIRECT("'" &amp; 'Hulp (overig)'!$C$16 &amp; "'!B1:B1000"))
        )
    ),0) &lt; 1,
    "",
    IF(INDEX(
        INDIRECT("'" &amp; 'Hulp (overig)'!$C$16 &amp; "'!" &amp;
        'Hulp (overig)'!$C$17 &amp; "1:" &amp; 'Hulp (overig)'!$C$17 &amp; 1000
        ),
        IFERROR(MIN(
            IF(
                (TRIM(INDIRECT("'" &amp; 'Hulp (overig)'!$C$16 &amp; "'!B1:B1000")) = TEXT(H21,"0")) *
                (ROW(INDIRECT("'" &amp; 'Hulp (overig)'!$C$16 &amp; "'!B1:B1000")) &gt;= MATCH(
                    H19,
                    INDIRECT("'" &amp; 'Hulp (overig)'!$C$16 &amp; "'!A1:A1000"),
                    0
                )) *
                IF(
                    I19="",
                    1,
                    (ROW(INDIRECT("'" &amp; 'Hulp (overig)'!$C$16 &amp; "'!B1:B1000")) &lt; MATCH(
                        I19,
                        INDIRECT("'" &amp; 'Hulp (overig)'!$C$16 &amp; "'!A1:A1000"),
                        0
                    ))
                ),
                ROW(INDIRECT("'" &amp; 'Hulp (overig)'!$C$16 &amp; "'!B1:B1000"))
            )
        ),0)
    )=0,"",
INDEX(
        INDIRECT("'" &amp; 'Hulp (overig)'!$C$16 &amp; "'!" &amp;
        'Hulp (overig)'!$C$17 &amp; "1:" &amp; 'Hulp (overig)'!$C$17 &amp; 1000
        ),
        IFERROR(MIN(
            IF(
                (TRIM(INDIRECT("'" &amp; 'Hulp (overig)'!$C$16 &amp; "'!B1:B1000")) = TEXT(H21,"0")) *
                (ROW(INDIRECT("'" &amp; 'Hulp (overig)'!$C$16 &amp; "'!B1:B1000")) &gt;= MATCH(
                    H19,
                    INDIRECT("'" &amp; 'Hulp (overig)'!$C$16 &amp; "'!A1:A1000"),
                    0
                )) *
                IF(
                    I19="",
                    1,
                    (ROW(INDIRECT("'" &amp; 'Hulp (overig)'!$C$16 &amp; "'!B1:B1000")) &lt; MATCH(
                        I19,
                        INDIRECT("'" &amp; 'Hulp (overig)'!$C$16 &amp; "'!A1:A1000"),
                        0
                    ))
                ),
                ROW(INDIRECT("'" &amp; 'Hulp (overig)'!$C$16 &amp; "'!B1:B1000"))
            )
        ),0)
    ))
))))</f>
        <v>#VALUE!</v>
      </c>
      <c r="I22" s="425" t="e" cm="1">
        <f t="array" aca="1" ref="I22" ca="1">IF($BF22, IF(I19="","",
   INDEX(
      INDIRECT("'" &amp; 'Hulp (CAO''s)'!$AE$8 &amp; "'!" &amp;
               'Hulp (overig)'!$C$17 &amp; "1:" &amp;
               'Hulp (overig)'!$C$17 &amp; "1000"),
      MATCH(
         I19,
         INDIRECT("'" &amp; 'Hulp (CAO''s)'!$AE$8 &amp; "'!A1:A1000"),
         0
      )
   )
), IF($D20="Gebruik % van maximum salaris",
IF(
    OR(I19="",I20=""),
    "",
    MAX(
        INDIRECT(
            "'" &amp; 'Hulp (overig)'!$C$16 &amp; "'!" &amp;
            'Hulp (overig)'!$C$17 &amp;
            MATCH(I19, INDIRECT("'" &amp; 'Hulp (overig)'!$C$16 &amp; "'!A1:A1000"), 0) &amp;
            ":" &amp;
            'Hulp (overig)'!$C$17 &amp;
LOOKUP(
    2,
    1 / (
        (ROW(INDIRECT("'" &amp; 'Hulp (overig)'!$C$16 &amp; "'!B1:B1000")) &lt;
            IF(J19&lt;&gt;"",
               MATCH(J19, INDIRECT("'" &amp; 'Hulp (overig)'!$C$16 &amp; "'!A1:A1000"),0),
               1000
            )
        ) *
        (LEFT(TRIM(INDIRECT("'" &amp; 'Hulp (overig)'!$C$16 &amp; "'!B1:B1000")),1) &lt;&gt; "u")
    ),
    ROW(INDIRECT("'" &amp; 'Hulp (overig)'!$C$16 &amp; "'!B1:B1000"))
)
        )
    ) * I20
),
IF(I21="","",
IF(
    IFERROR(MIN(
        IF(
            (TRIM(INDIRECT("'" &amp; 'Hulp (overig)'!$C$16 &amp; "'!B1:B1000")) = TEXT(I21,"0")) *
            (ROW(INDIRECT("'" &amp; 'Hulp (overig)'!$C$16 &amp; "'!B1:B1000")) &gt;= MATCH(
                I19,
                INDIRECT("'" &amp; 'Hulp (overig)'!$C$16 &amp; "'!A1:A1000"),
                0
            )) *
            IF(
                J19="",
                1,
                (ROW(INDIRECT("'" &amp; 'Hulp (overig)'!$C$16 &amp; "'!B1:B1000")) &lt; MATCH(
                    J19,
                    INDIRECT("'" &amp; 'Hulp (overig)'!$C$16 &amp; "'!A1:A1000"),
                    0
                ))
            ),
            ROW(INDIRECT("'" &amp; 'Hulp (overig)'!$C$16 &amp; "'!B1:B1000"))
        )
    ),0) &lt; 1,
    "",
    IF(INDEX(
        INDIRECT("'" &amp; 'Hulp (overig)'!$C$16 &amp; "'!" &amp;
        'Hulp (overig)'!$C$17 &amp; "1:" &amp; 'Hulp (overig)'!$C$17 &amp; 1000
        ),
        IFERROR(MIN(
            IF(
                (TRIM(INDIRECT("'" &amp; 'Hulp (overig)'!$C$16 &amp; "'!B1:B1000")) = TEXT(I21,"0")) *
                (ROW(INDIRECT("'" &amp; 'Hulp (overig)'!$C$16 &amp; "'!B1:B1000")) &gt;= MATCH(
                    I19,
                    INDIRECT("'" &amp; 'Hulp (overig)'!$C$16 &amp; "'!A1:A1000"),
                    0
                )) *
                IF(
                    J19="",
                    1,
                    (ROW(INDIRECT("'" &amp; 'Hulp (overig)'!$C$16 &amp; "'!B1:B1000")) &lt; MATCH(
                        J19,
                        INDIRECT("'" &amp; 'Hulp (overig)'!$C$16 &amp; "'!A1:A1000"),
                        0
                    ))
                ),
                ROW(INDIRECT("'" &amp; 'Hulp (overig)'!$C$16 &amp; "'!B1:B1000"))
            )
        ),0)
    )=0,"",
INDEX(
        INDIRECT("'" &amp; 'Hulp (overig)'!$C$16 &amp; "'!" &amp;
        'Hulp (overig)'!$C$17 &amp; "1:" &amp; 'Hulp (overig)'!$C$17 &amp; 1000
        ),
        IFERROR(MIN(
            IF(
                (TRIM(INDIRECT("'" &amp; 'Hulp (overig)'!$C$16 &amp; "'!B1:B1000")) = TEXT(I21,"0")) *
                (ROW(INDIRECT("'" &amp; 'Hulp (overig)'!$C$16 &amp; "'!B1:B1000")) &gt;= MATCH(
                    I19,
                    INDIRECT("'" &amp; 'Hulp (overig)'!$C$16 &amp; "'!A1:A1000"),
                    0
                )) *
                IF(
                    J19="",
                    1,
                    (ROW(INDIRECT("'" &amp; 'Hulp (overig)'!$C$16 &amp; "'!B1:B1000")) &lt; MATCH(
                        J19,
                        INDIRECT("'" &amp; 'Hulp (overig)'!$C$16 &amp; "'!A1:A1000"),
                        0
                    ))
                ),
                ROW(INDIRECT("'" &amp; 'Hulp (overig)'!$C$16 &amp; "'!B1:B1000"))
            )
        ),0)
    ))
))))</f>
        <v>#VALUE!</v>
      </c>
      <c r="J22" s="425" t="e" cm="1">
        <f t="array" aca="1" ref="J22" ca="1">IF($BF22, IF(J19="","",
   INDEX(
      INDIRECT("'" &amp; 'Hulp (CAO''s)'!$AE$8 &amp; "'!" &amp;
               'Hulp (overig)'!$C$17 &amp; "1:" &amp;
               'Hulp (overig)'!$C$17 &amp; "1000"),
      MATCH(
         J19,
         INDIRECT("'" &amp; 'Hulp (CAO''s)'!$AE$8 &amp; "'!A1:A1000"),
         0
      )
   )
), IF($D20="Gebruik % van maximum salaris",
IF(
    OR(J19="",J20=""),
    "",
    MAX(
        INDIRECT(
            "'" &amp; 'Hulp (overig)'!$C$16 &amp; "'!" &amp;
            'Hulp (overig)'!$C$17 &amp;
            MATCH(J19, INDIRECT("'" &amp; 'Hulp (overig)'!$C$16 &amp; "'!A1:A1000"), 0) &amp;
            ":" &amp;
            'Hulp (overig)'!$C$17 &amp;
LOOKUP(
    2,
    1 / (
        (ROW(INDIRECT("'" &amp; 'Hulp (overig)'!$C$16 &amp; "'!B1:B1000")) &lt;
            IF(K19&lt;&gt;"",
               MATCH(K19, INDIRECT("'" &amp; 'Hulp (overig)'!$C$16 &amp; "'!A1:A1000"),0),
               1000
            )
        ) *
        (LEFT(TRIM(INDIRECT("'" &amp; 'Hulp (overig)'!$C$16 &amp; "'!B1:B1000")),1) &lt;&gt; "u")
    ),
    ROW(INDIRECT("'" &amp; 'Hulp (overig)'!$C$16 &amp; "'!B1:B1000"))
)
        )
    ) * J20
),
IF(J21="","",
IF(
    IFERROR(MIN(
        IF(
            (TRIM(INDIRECT("'" &amp; 'Hulp (overig)'!$C$16 &amp; "'!B1:B1000")) = TEXT(J21,"0")) *
            (ROW(INDIRECT("'" &amp; 'Hulp (overig)'!$C$16 &amp; "'!B1:B1000")) &gt;= MATCH(
                J19,
                INDIRECT("'" &amp; 'Hulp (overig)'!$C$16 &amp; "'!A1:A1000"),
                0
            )) *
            IF(
                K19="",
                1,
                (ROW(INDIRECT("'" &amp; 'Hulp (overig)'!$C$16 &amp; "'!B1:B1000")) &lt; MATCH(
                    K19,
                    INDIRECT("'" &amp; 'Hulp (overig)'!$C$16 &amp; "'!A1:A1000"),
                    0
                ))
            ),
            ROW(INDIRECT("'" &amp; 'Hulp (overig)'!$C$16 &amp; "'!B1:B1000"))
        )
    ),0) &lt; 1,
    "",
    IF(INDEX(
        INDIRECT("'" &amp; 'Hulp (overig)'!$C$16 &amp; "'!" &amp;
        'Hulp (overig)'!$C$17 &amp; "1:" &amp; 'Hulp (overig)'!$C$17 &amp; 1000
        ),
        IFERROR(MIN(
            IF(
                (TRIM(INDIRECT("'" &amp; 'Hulp (overig)'!$C$16 &amp; "'!B1:B1000")) = TEXT(J21,"0")) *
                (ROW(INDIRECT("'" &amp; 'Hulp (overig)'!$C$16 &amp; "'!B1:B1000")) &gt;= MATCH(
                    J19,
                    INDIRECT("'" &amp; 'Hulp (overig)'!$C$16 &amp; "'!A1:A1000"),
                    0
                )) *
                IF(
                    K19="",
                    1,
                    (ROW(INDIRECT("'" &amp; 'Hulp (overig)'!$C$16 &amp; "'!B1:B1000")) &lt; MATCH(
                        K19,
                        INDIRECT("'" &amp; 'Hulp (overig)'!$C$16 &amp; "'!A1:A1000"),
                        0
                    ))
                ),
                ROW(INDIRECT("'" &amp; 'Hulp (overig)'!$C$16 &amp; "'!B1:B1000"))
            )
        ),0)
    )=0,"",
INDEX(
        INDIRECT("'" &amp; 'Hulp (overig)'!$C$16 &amp; "'!" &amp;
        'Hulp (overig)'!$C$17 &amp; "1:" &amp; 'Hulp (overig)'!$C$17 &amp; 1000
        ),
        IFERROR(MIN(
            IF(
                (TRIM(INDIRECT("'" &amp; 'Hulp (overig)'!$C$16 &amp; "'!B1:B1000")) = TEXT(J21,"0")) *
                (ROW(INDIRECT("'" &amp; 'Hulp (overig)'!$C$16 &amp; "'!B1:B1000")) &gt;= MATCH(
                    J19,
                    INDIRECT("'" &amp; 'Hulp (overig)'!$C$16 &amp; "'!A1:A1000"),
                    0
                )) *
                IF(
                    K19="",
                    1,
                    (ROW(INDIRECT("'" &amp; 'Hulp (overig)'!$C$16 &amp; "'!B1:B1000")) &lt; MATCH(
                        K19,
                        INDIRECT("'" &amp; 'Hulp (overig)'!$C$16 &amp; "'!A1:A1000"),
                        0
                    ))
                ),
                ROW(INDIRECT("'" &amp; 'Hulp (overig)'!$C$16 &amp; "'!B1:B1000"))
            )
        ),0)
    ))
))))</f>
        <v>#VALUE!</v>
      </c>
      <c r="K22" s="425" t="e" cm="1">
        <f t="array" aca="1" ref="K22" ca="1">IF($BF22, IF(K19="","",
   INDEX(
      INDIRECT("'" &amp; 'Hulp (CAO''s)'!$AE$8 &amp; "'!" &amp;
               'Hulp (overig)'!$C$17 &amp; "1:" &amp;
               'Hulp (overig)'!$C$17 &amp; "1000"),
      MATCH(
         K19,
         INDIRECT("'" &amp; 'Hulp (CAO''s)'!$AE$8 &amp; "'!A1:A1000"),
         0
      )
   )
), IF($D20="Gebruik % van maximum salaris",
IF(
    OR(K19="",K20=""),
    "",
    MAX(
        INDIRECT(
            "'" &amp; 'Hulp (overig)'!$C$16 &amp; "'!" &amp;
            'Hulp (overig)'!$C$17 &amp;
            MATCH(K19, INDIRECT("'" &amp; 'Hulp (overig)'!$C$16 &amp; "'!A1:A1000"), 0) &amp;
            ":" &amp;
            'Hulp (overig)'!$C$17 &amp;
LOOKUP(
    2,
    1 / (
        (ROW(INDIRECT("'" &amp; 'Hulp (overig)'!$C$16 &amp; "'!B1:B1000")) &lt;
            IF(L19&lt;&gt;"",
               MATCH(L19, INDIRECT("'" &amp; 'Hulp (overig)'!$C$16 &amp; "'!A1:A1000"),0),
               1000
            )
        ) *
        (LEFT(TRIM(INDIRECT("'" &amp; 'Hulp (overig)'!$C$16 &amp; "'!B1:B1000")),1) &lt;&gt; "u")
    ),
    ROW(INDIRECT("'" &amp; 'Hulp (overig)'!$C$16 &amp; "'!B1:B1000"))
)
        )
    ) * K20
),
IF(K21="","",
IF(
    IFERROR(MIN(
        IF(
            (TRIM(INDIRECT("'" &amp; 'Hulp (overig)'!$C$16 &amp; "'!B1:B1000")) = TEXT(K21,"0")) *
            (ROW(INDIRECT("'" &amp; 'Hulp (overig)'!$C$16 &amp; "'!B1:B1000")) &gt;= MATCH(
                K19,
                INDIRECT("'" &amp; 'Hulp (overig)'!$C$16 &amp; "'!A1:A1000"),
                0
            )) *
            IF(
                L19="",
                1,
                (ROW(INDIRECT("'" &amp; 'Hulp (overig)'!$C$16 &amp; "'!B1:B1000")) &lt; MATCH(
                    L19,
                    INDIRECT("'" &amp; 'Hulp (overig)'!$C$16 &amp; "'!A1:A1000"),
                    0
                ))
            ),
            ROW(INDIRECT("'" &amp; 'Hulp (overig)'!$C$16 &amp; "'!B1:B1000"))
        )
    ),0) &lt; 1,
    "",
    IF(INDEX(
        INDIRECT("'" &amp; 'Hulp (overig)'!$C$16 &amp; "'!" &amp;
        'Hulp (overig)'!$C$17 &amp; "1:" &amp; 'Hulp (overig)'!$C$17 &amp; 1000
        ),
        IFERROR(MIN(
            IF(
                (TRIM(INDIRECT("'" &amp; 'Hulp (overig)'!$C$16 &amp; "'!B1:B1000")) = TEXT(K21,"0")) *
                (ROW(INDIRECT("'" &amp; 'Hulp (overig)'!$C$16 &amp; "'!B1:B1000")) &gt;= MATCH(
                    K19,
                    INDIRECT("'" &amp; 'Hulp (overig)'!$C$16 &amp; "'!A1:A1000"),
                    0
                )) *
                IF(
                    L19="",
                    1,
                    (ROW(INDIRECT("'" &amp; 'Hulp (overig)'!$C$16 &amp; "'!B1:B1000")) &lt; MATCH(
                        L19,
                        INDIRECT("'" &amp; 'Hulp (overig)'!$C$16 &amp; "'!A1:A1000"),
                        0
                    ))
                ),
                ROW(INDIRECT("'" &amp; 'Hulp (overig)'!$C$16 &amp; "'!B1:B1000"))
            )
        ),0)
    )=0,"",
INDEX(
        INDIRECT("'" &amp; 'Hulp (overig)'!$C$16 &amp; "'!" &amp;
        'Hulp (overig)'!$C$17 &amp; "1:" &amp; 'Hulp (overig)'!$C$17 &amp; 1000
        ),
        IFERROR(MIN(
            IF(
                (TRIM(INDIRECT("'" &amp; 'Hulp (overig)'!$C$16 &amp; "'!B1:B1000")) = TEXT(K21,"0")) *
                (ROW(INDIRECT("'" &amp; 'Hulp (overig)'!$C$16 &amp; "'!B1:B1000")) &gt;= MATCH(
                    K19,
                    INDIRECT("'" &amp; 'Hulp (overig)'!$C$16 &amp; "'!A1:A1000"),
                    0
                )) *
                IF(
                    L19="",
                    1,
                    (ROW(INDIRECT("'" &amp; 'Hulp (overig)'!$C$16 &amp; "'!B1:B1000")) &lt; MATCH(
                        L19,
                        INDIRECT("'" &amp; 'Hulp (overig)'!$C$16 &amp; "'!A1:A1000"),
                        0
                    ))
                ),
                ROW(INDIRECT("'" &amp; 'Hulp (overig)'!$C$16 &amp; "'!B1:B1000"))
            )
        ),0)
    ))
))))</f>
        <v>#VALUE!</v>
      </c>
      <c r="L22" s="425" t="e" cm="1">
        <f t="array" aca="1" ref="L22" ca="1">IF($BF22, IF(L19="","",
   INDEX(
      INDIRECT("'" &amp; 'Hulp (CAO''s)'!$AE$8 &amp; "'!" &amp;
               'Hulp (overig)'!$C$17 &amp; "1:" &amp;
               'Hulp (overig)'!$C$17 &amp; "1000"),
      MATCH(
         L19,
         INDIRECT("'" &amp; 'Hulp (CAO''s)'!$AE$8 &amp; "'!A1:A1000"),
         0
      )
   )
), IF($D20="Gebruik % van maximum salaris",
IF(
    OR(L19="",L20=""),
    "",
    MAX(
        INDIRECT(
            "'" &amp; 'Hulp (overig)'!$C$16 &amp; "'!" &amp;
            'Hulp (overig)'!$C$17 &amp;
            MATCH(L19, INDIRECT("'" &amp; 'Hulp (overig)'!$C$16 &amp; "'!A1:A1000"), 0) &amp;
            ":" &amp;
            'Hulp (overig)'!$C$17 &amp;
LOOKUP(
    2,
    1 / (
        (ROW(INDIRECT("'" &amp; 'Hulp (overig)'!$C$16 &amp; "'!B1:B1000")) &lt;
            IF(M19&lt;&gt;"",
               MATCH(M19, INDIRECT("'" &amp; 'Hulp (overig)'!$C$16 &amp; "'!A1:A1000"),0),
               1000
            )
        ) *
        (LEFT(TRIM(INDIRECT("'" &amp; 'Hulp (overig)'!$C$16 &amp; "'!B1:B1000")),1) &lt;&gt; "u")
    ),
    ROW(INDIRECT("'" &amp; 'Hulp (overig)'!$C$16 &amp; "'!B1:B1000"))
)
        )
    ) * L20
),
IF(L21="","",
IF(
    IFERROR(MIN(
        IF(
            (TRIM(INDIRECT("'" &amp; 'Hulp (overig)'!$C$16 &amp; "'!B1:B1000")) = TEXT(L21,"0")) *
            (ROW(INDIRECT("'" &amp; 'Hulp (overig)'!$C$16 &amp; "'!B1:B1000")) &gt;= MATCH(
                L19,
                INDIRECT("'" &amp; 'Hulp (overig)'!$C$16 &amp; "'!A1:A1000"),
                0
            )) *
            IF(
                M19="",
                1,
                (ROW(INDIRECT("'" &amp; 'Hulp (overig)'!$C$16 &amp; "'!B1:B1000")) &lt; MATCH(
                    M19,
                    INDIRECT("'" &amp; 'Hulp (overig)'!$C$16 &amp; "'!A1:A1000"),
                    0
                ))
            ),
            ROW(INDIRECT("'" &amp; 'Hulp (overig)'!$C$16 &amp; "'!B1:B1000"))
        )
    ),0) &lt; 1,
    "",
    IF(INDEX(
        INDIRECT("'" &amp; 'Hulp (overig)'!$C$16 &amp; "'!" &amp;
        'Hulp (overig)'!$C$17 &amp; "1:" &amp; 'Hulp (overig)'!$C$17 &amp; 1000
        ),
        IFERROR(MIN(
            IF(
                (TRIM(INDIRECT("'" &amp; 'Hulp (overig)'!$C$16 &amp; "'!B1:B1000")) = TEXT(L21,"0")) *
                (ROW(INDIRECT("'" &amp; 'Hulp (overig)'!$C$16 &amp; "'!B1:B1000")) &gt;= MATCH(
                    L19,
                    INDIRECT("'" &amp; 'Hulp (overig)'!$C$16 &amp; "'!A1:A1000"),
                    0
                )) *
                IF(
                    M19="",
                    1,
                    (ROW(INDIRECT("'" &amp; 'Hulp (overig)'!$C$16 &amp; "'!B1:B1000")) &lt; MATCH(
                        M19,
                        INDIRECT("'" &amp; 'Hulp (overig)'!$C$16 &amp; "'!A1:A1000"),
                        0
                    ))
                ),
                ROW(INDIRECT("'" &amp; 'Hulp (overig)'!$C$16 &amp; "'!B1:B1000"))
            )
        ),0)
    )=0,"",
INDEX(
        INDIRECT("'" &amp; 'Hulp (overig)'!$C$16 &amp; "'!" &amp;
        'Hulp (overig)'!$C$17 &amp; "1:" &amp; 'Hulp (overig)'!$C$17 &amp; 1000
        ),
        IFERROR(MIN(
            IF(
                (TRIM(INDIRECT("'" &amp; 'Hulp (overig)'!$C$16 &amp; "'!B1:B1000")) = TEXT(L21,"0")) *
                (ROW(INDIRECT("'" &amp; 'Hulp (overig)'!$C$16 &amp; "'!B1:B1000")) &gt;= MATCH(
                    L19,
                    INDIRECT("'" &amp; 'Hulp (overig)'!$C$16 &amp; "'!A1:A1000"),
                    0
                )) *
                IF(
                    M19="",
                    1,
                    (ROW(INDIRECT("'" &amp; 'Hulp (overig)'!$C$16 &amp; "'!B1:B1000")) &lt; MATCH(
                        M19,
                        INDIRECT("'" &amp; 'Hulp (overig)'!$C$16 &amp; "'!A1:A1000"),
                        0
                    ))
                ),
                ROW(INDIRECT("'" &amp; 'Hulp (overig)'!$C$16 &amp; "'!B1:B1000"))
            )
        ),0)
    ))
))))</f>
        <v>#VALUE!</v>
      </c>
      <c r="M22" s="425" t="e" cm="1">
        <f t="array" aca="1" ref="M22" ca="1">IF($BF22, IF(M19="","",
   INDEX(
      INDIRECT("'" &amp; 'Hulp (CAO''s)'!$AE$8 &amp; "'!" &amp;
               'Hulp (overig)'!$C$17 &amp; "1:" &amp;
               'Hulp (overig)'!$C$17 &amp; "1000"),
      MATCH(
         M19,
         INDIRECT("'" &amp; 'Hulp (CAO''s)'!$AE$8 &amp; "'!A1:A1000"),
         0
      )
   )
), IF($D20="Gebruik % van maximum salaris",
IF(
    OR(M19="",M20=""),
    "",
    MAX(
        INDIRECT(
            "'" &amp; 'Hulp (overig)'!$C$16 &amp; "'!" &amp;
            'Hulp (overig)'!$C$17 &amp;
            MATCH(M19, INDIRECT("'" &amp; 'Hulp (overig)'!$C$16 &amp; "'!A1:A1000"), 0) &amp;
            ":" &amp;
            'Hulp (overig)'!$C$17 &amp;
LOOKUP(
    2,
    1 / (
        (ROW(INDIRECT("'" &amp; 'Hulp (overig)'!$C$16 &amp; "'!B1:B1000")) &lt;
            IF(N19&lt;&gt;"",
               MATCH(N19, INDIRECT("'" &amp; 'Hulp (overig)'!$C$16 &amp; "'!A1:A1000"),0),
               1000
            )
        ) *
        (LEFT(TRIM(INDIRECT("'" &amp; 'Hulp (overig)'!$C$16 &amp; "'!B1:B1000")),1) &lt;&gt; "u")
    ),
    ROW(INDIRECT("'" &amp; 'Hulp (overig)'!$C$16 &amp; "'!B1:B1000"))
)
        )
    ) * M20
),
IF(M21="","",
IF(
    IFERROR(MIN(
        IF(
            (TRIM(INDIRECT("'" &amp; 'Hulp (overig)'!$C$16 &amp; "'!B1:B1000")) = TEXT(M21,"0")) *
            (ROW(INDIRECT("'" &amp; 'Hulp (overig)'!$C$16 &amp; "'!B1:B1000")) &gt;= MATCH(
                M19,
                INDIRECT("'" &amp; 'Hulp (overig)'!$C$16 &amp; "'!A1:A1000"),
                0
            )) *
            IF(
                N19="",
                1,
                (ROW(INDIRECT("'" &amp; 'Hulp (overig)'!$C$16 &amp; "'!B1:B1000")) &lt; MATCH(
                    N19,
                    INDIRECT("'" &amp; 'Hulp (overig)'!$C$16 &amp; "'!A1:A1000"),
                    0
                ))
            ),
            ROW(INDIRECT("'" &amp; 'Hulp (overig)'!$C$16 &amp; "'!B1:B1000"))
        )
    ),0) &lt; 1,
    "",
    IF(INDEX(
        INDIRECT("'" &amp; 'Hulp (overig)'!$C$16 &amp; "'!" &amp;
        'Hulp (overig)'!$C$17 &amp; "1:" &amp; 'Hulp (overig)'!$C$17 &amp; 1000
        ),
        IFERROR(MIN(
            IF(
                (TRIM(INDIRECT("'" &amp; 'Hulp (overig)'!$C$16 &amp; "'!B1:B1000")) = TEXT(M21,"0")) *
                (ROW(INDIRECT("'" &amp; 'Hulp (overig)'!$C$16 &amp; "'!B1:B1000")) &gt;= MATCH(
                    M19,
                    INDIRECT("'" &amp; 'Hulp (overig)'!$C$16 &amp; "'!A1:A1000"),
                    0
                )) *
                IF(
                    N19="",
                    1,
                    (ROW(INDIRECT("'" &amp; 'Hulp (overig)'!$C$16 &amp; "'!B1:B1000")) &lt; MATCH(
                        N19,
                        INDIRECT("'" &amp; 'Hulp (overig)'!$C$16 &amp; "'!A1:A1000"),
                        0
                    ))
                ),
                ROW(INDIRECT("'" &amp; 'Hulp (overig)'!$C$16 &amp; "'!B1:B1000"))
            )
        ),0)
    )=0,"",
INDEX(
        INDIRECT("'" &amp; 'Hulp (overig)'!$C$16 &amp; "'!" &amp;
        'Hulp (overig)'!$C$17 &amp; "1:" &amp; 'Hulp (overig)'!$C$17 &amp; 1000
        ),
        IFERROR(MIN(
            IF(
                (TRIM(INDIRECT("'" &amp; 'Hulp (overig)'!$C$16 &amp; "'!B1:B1000")) = TEXT(M21,"0")) *
                (ROW(INDIRECT("'" &amp; 'Hulp (overig)'!$C$16 &amp; "'!B1:B1000")) &gt;= MATCH(
                    M19,
                    INDIRECT("'" &amp; 'Hulp (overig)'!$C$16 &amp; "'!A1:A1000"),
                    0
                )) *
                IF(
                    N19="",
                    1,
                    (ROW(INDIRECT("'" &amp; 'Hulp (overig)'!$C$16 &amp; "'!B1:B1000")) &lt; MATCH(
                        N19,
                        INDIRECT("'" &amp; 'Hulp (overig)'!$C$16 &amp; "'!A1:A1000"),
                        0
                    ))
                ),
                ROW(INDIRECT("'" &amp; 'Hulp (overig)'!$C$16 &amp; "'!B1:B1000"))
            )
        ),0)
    ))
))))</f>
        <v>#VALUE!</v>
      </c>
      <c r="N22" s="425" t="e" cm="1">
        <f t="array" aca="1" ref="N22" ca="1">IF($BF22, IF(N19="","",
   INDEX(
      INDIRECT("'" &amp; 'Hulp (CAO''s)'!$AE$8 &amp; "'!" &amp;
               'Hulp (overig)'!$C$17 &amp; "1:" &amp;
               'Hulp (overig)'!$C$17 &amp; "1000"),
      MATCH(
         N19,
         INDIRECT("'" &amp; 'Hulp (CAO''s)'!$AE$8 &amp; "'!A1:A1000"),
         0
      )
   )
), IF($D20="Gebruik % van maximum salaris",
IF(
    OR(N19="",N20=""),
    "",
    MAX(
        INDIRECT(
            "'" &amp; 'Hulp (overig)'!$C$16 &amp; "'!" &amp;
            'Hulp (overig)'!$C$17 &amp;
            MATCH(N19, INDIRECT("'" &amp; 'Hulp (overig)'!$C$16 &amp; "'!A1:A1000"), 0) &amp;
            ":" &amp;
            'Hulp (overig)'!$C$17 &amp;
LOOKUP(
    2,
    1 / (
        (ROW(INDIRECT("'" &amp; 'Hulp (overig)'!$C$16 &amp; "'!B1:B1000")) &lt;
            IF(O19&lt;&gt;"",
               MATCH(O19, INDIRECT("'" &amp; 'Hulp (overig)'!$C$16 &amp; "'!A1:A1000"),0),
               1000
            )
        ) *
        (LEFT(TRIM(INDIRECT("'" &amp; 'Hulp (overig)'!$C$16 &amp; "'!B1:B1000")),1) &lt;&gt; "u")
    ),
    ROW(INDIRECT("'" &amp; 'Hulp (overig)'!$C$16 &amp; "'!B1:B1000"))
)
        )
    ) * N20
),
IF(N21="","",
IF(
    IFERROR(MIN(
        IF(
            (TRIM(INDIRECT("'" &amp; 'Hulp (overig)'!$C$16 &amp; "'!B1:B1000")) = TEXT(N21,"0")) *
            (ROW(INDIRECT("'" &amp; 'Hulp (overig)'!$C$16 &amp; "'!B1:B1000")) &gt;= MATCH(
                N19,
                INDIRECT("'" &amp; 'Hulp (overig)'!$C$16 &amp; "'!A1:A1000"),
                0
            )) *
            IF(
                O19="",
                1,
                (ROW(INDIRECT("'" &amp; 'Hulp (overig)'!$C$16 &amp; "'!B1:B1000")) &lt; MATCH(
                    O19,
                    INDIRECT("'" &amp; 'Hulp (overig)'!$C$16 &amp; "'!A1:A1000"),
                    0
                ))
            ),
            ROW(INDIRECT("'" &amp; 'Hulp (overig)'!$C$16 &amp; "'!B1:B1000"))
        )
    ),0) &lt; 1,
    "",
    IF(INDEX(
        INDIRECT("'" &amp; 'Hulp (overig)'!$C$16 &amp; "'!" &amp;
        'Hulp (overig)'!$C$17 &amp; "1:" &amp; 'Hulp (overig)'!$C$17 &amp; 1000
        ),
        IFERROR(MIN(
            IF(
                (TRIM(INDIRECT("'" &amp; 'Hulp (overig)'!$C$16 &amp; "'!B1:B1000")) = TEXT(N21,"0")) *
                (ROW(INDIRECT("'" &amp; 'Hulp (overig)'!$C$16 &amp; "'!B1:B1000")) &gt;= MATCH(
                    N19,
                    INDIRECT("'" &amp; 'Hulp (overig)'!$C$16 &amp; "'!A1:A1000"),
                    0
                )) *
                IF(
                    O19="",
                    1,
                    (ROW(INDIRECT("'" &amp; 'Hulp (overig)'!$C$16 &amp; "'!B1:B1000")) &lt; MATCH(
                        O19,
                        INDIRECT("'" &amp; 'Hulp (overig)'!$C$16 &amp; "'!A1:A1000"),
                        0
                    ))
                ),
                ROW(INDIRECT("'" &amp; 'Hulp (overig)'!$C$16 &amp; "'!B1:B1000"))
            )
        ),0)
    )=0,"",
INDEX(
        INDIRECT("'" &amp; 'Hulp (overig)'!$C$16 &amp; "'!" &amp;
        'Hulp (overig)'!$C$17 &amp; "1:" &amp; 'Hulp (overig)'!$C$17 &amp; 1000
        ),
        IFERROR(MIN(
            IF(
                (TRIM(INDIRECT("'" &amp; 'Hulp (overig)'!$C$16 &amp; "'!B1:B1000")) = TEXT(N21,"0")) *
                (ROW(INDIRECT("'" &amp; 'Hulp (overig)'!$C$16 &amp; "'!B1:B1000")) &gt;= MATCH(
                    N19,
                    INDIRECT("'" &amp; 'Hulp (overig)'!$C$16 &amp; "'!A1:A1000"),
                    0
                )) *
                IF(
                    O19="",
                    1,
                    (ROW(INDIRECT("'" &amp; 'Hulp (overig)'!$C$16 &amp; "'!B1:B1000")) &lt; MATCH(
                        O19,
                        INDIRECT("'" &amp; 'Hulp (overig)'!$C$16 &amp; "'!A1:A1000"),
                        0
                    ))
                ),
                ROW(INDIRECT("'" &amp; 'Hulp (overig)'!$C$16 &amp; "'!B1:B1000"))
            )
        ),0)
    ))
))))</f>
        <v>#VALUE!</v>
      </c>
      <c r="O22" s="425" t="e" cm="1">
        <f t="array" aca="1" ref="O22" ca="1">IF($BF22, IF(O19="","",
   INDEX(
      INDIRECT("'" &amp; 'Hulp (CAO''s)'!$AE$8 &amp; "'!" &amp;
               'Hulp (overig)'!$C$17 &amp; "1:" &amp;
               'Hulp (overig)'!$C$17 &amp; "1000"),
      MATCH(
         O19,
         INDIRECT("'" &amp; 'Hulp (CAO''s)'!$AE$8 &amp; "'!A1:A1000"),
         0
      )
   )
), IF($D20="Gebruik % van maximum salaris",
IF(
    OR(O19="",O20=""),
    "",
    MAX(
        INDIRECT(
            "'" &amp; 'Hulp (overig)'!$C$16 &amp; "'!" &amp;
            'Hulp (overig)'!$C$17 &amp;
            MATCH(O19, INDIRECT("'" &amp; 'Hulp (overig)'!$C$16 &amp; "'!A1:A1000"), 0) &amp;
            ":" &amp;
            'Hulp (overig)'!$C$17 &amp;
LOOKUP(
    2,
    1 / (
        (ROW(INDIRECT("'" &amp; 'Hulp (overig)'!$C$16 &amp; "'!B1:B1000")) &lt;
            IF(P19&lt;&gt;"",
               MATCH(P19, INDIRECT("'" &amp; 'Hulp (overig)'!$C$16 &amp; "'!A1:A1000"),0),
               1000
            )
        ) *
        (LEFT(TRIM(INDIRECT("'" &amp; 'Hulp (overig)'!$C$16 &amp; "'!B1:B1000")),1) &lt;&gt; "u")
    ),
    ROW(INDIRECT("'" &amp; 'Hulp (overig)'!$C$16 &amp; "'!B1:B1000"))
)
        )
    ) * O20
),
IF(O21="","",
IF(
    IFERROR(MIN(
        IF(
            (TRIM(INDIRECT("'" &amp; 'Hulp (overig)'!$C$16 &amp; "'!B1:B1000")) = TEXT(O21,"0")) *
            (ROW(INDIRECT("'" &amp; 'Hulp (overig)'!$C$16 &amp; "'!B1:B1000")) &gt;= MATCH(
                O19,
                INDIRECT("'" &amp; 'Hulp (overig)'!$C$16 &amp; "'!A1:A1000"),
                0
            )) *
            IF(
                P19="",
                1,
                (ROW(INDIRECT("'" &amp; 'Hulp (overig)'!$C$16 &amp; "'!B1:B1000")) &lt; MATCH(
                    P19,
                    INDIRECT("'" &amp; 'Hulp (overig)'!$C$16 &amp; "'!A1:A1000"),
                    0
                ))
            ),
            ROW(INDIRECT("'" &amp; 'Hulp (overig)'!$C$16 &amp; "'!B1:B1000"))
        )
    ),0) &lt; 1,
    "",
    IF(INDEX(
        INDIRECT("'" &amp; 'Hulp (overig)'!$C$16 &amp; "'!" &amp;
        'Hulp (overig)'!$C$17 &amp; "1:" &amp; 'Hulp (overig)'!$C$17 &amp; 1000
        ),
        IFERROR(MIN(
            IF(
                (TRIM(INDIRECT("'" &amp; 'Hulp (overig)'!$C$16 &amp; "'!B1:B1000")) = TEXT(O21,"0")) *
                (ROW(INDIRECT("'" &amp; 'Hulp (overig)'!$C$16 &amp; "'!B1:B1000")) &gt;= MATCH(
                    O19,
                    INDIRECT("'" &amp; 'Hulp (overig)'!$C$16 &amp; "'!A1:A1000"),
                    0
                )) *
                IF(
                    P19="",
                    1,
                    (ROW(INDIRECT("'" &amp; 'Hulp (overig)'!$C$16 &amp; "'!B1:B1000")) &lt; MATCH(
                        P19,
                        INDIRECT("'" &amp; 'Hulp (overig)'!$C$16 &amp; "'!A1:A1000"),
                        0
                    ))
                ),
                ROW(INDIRECT("'" &amp; 'Hulp (overig)'!$C$16 &amp; "'!B1:B1000"))
            )
        ),0)
    )=0,"",
INDEX(
        INDIRECT("'" &amp; 'Hulp (overig)'!$C$16 &amp; "'!" &amp;
        'Hulp (overig)'!$C$17 &amp; "1:" &amp; 'Hulp (overig)'!$C$17 &amp; 1000
        ),
        IFERROR(MIN(
            IF(
                (TRIM(INDIRECT("'" &amp; 'Hulp (overig)'!$C$16 &amp; "'!B1:B1000")) = TEXT(O21,"0")) *
                (ROW(INDIRECT("'" &amp; 'Hulp (overig)'!$C$16 &amp; "'!B1:B1000")) &gt;= MATCH(
                    O19,
                    INDIRECT("'" &amp; 'Hulp (overig)'!$C$16 &amp; "'!A1:A1000"),
                    0
                )) *
                IF(
                    P19="",
                    1,
                    (ROW(INDIRECT("'" &amp; 'Hulp (overig)'!$C$16 &amp; "'!B1:B1000")) &lt; MATCH(
                        P19,
                        INDIRECT("'" &amp; 'Hulp (overig)'!$C$16 &amp; "'!A1:A1000"),
                        0
                    ))
                ),
                ROW(INDIRECT("'" &amp; 'Hulp (overig)'!$C$16 &amp; "'!B1:B1000"))
            )
        ),0)
    ))
))))</f>
        <v>#VALUE!</v>
      </c>
      <c r="P22" s="425" t="e" cm="1">
        <f t="array" aca="1" ref="P22" ca="1">IF($BF22, IF(P19="","",
   INDEX(
      INDIRECT("'" &amp; 'Hulp (CAO''s)'!$AE$8 &amp; "'!" &amp;
               'Hulp (overig)'!$C$17 &amp; "1:" &amp;
               'Hulp (overig)'!$C$17 &amp; "1000"),
      MATCH(
         P19,
         INDIRECT("'" &amp; 'Hulp (CAO''s)'!$AE$8 &amp; "'!A1:A1000"),
         0
      )
   )
), IF($D20="Gebruik % van maximum salaris",
IF(
    OR(P19="",P20=""),
    "",
    MAX(
        INDIRECT(
            "'" &amp; 'Hulp (overig)'!$C$16 &amp; "'!" &amp;
            'Hulp (overig)'!$C$17 &amp;
            MATCH(P19, INDIRECT("'" &amp; 'Hulp (overig)'!$C$16 &amp; "'!A1:A1000"), 0) &amp;
            ":" &amp;
            'Hulp (overig)'!$C$17 &amp;
LOOKUP(
    2,
    1 / (
        (ROW(INDIRECT("'" &amp; 'Hulp (overig)'!$C$16 &amp; "'!B1:B1000")) &lt;
            IF(Q19&lt;&gt;"",
               MATCH(Q19, INDIRECT("'" &amp; 'Hulp (overig)'!$C$16 &amp; "'!A1:A1000"),0),
               1000
            )
        ) *
        (LEFT(TRIM(INDIRECT("'" &amp; 'Hulp (overig)'!$C$16 &amp; "'!B1:B1000")),1) &lt;&gt; "u")
    ),
    ROW(INDIRECT("'" &amp; 'Hulp (overig)'!$C$16 &amp; "'!B1:B1000"))
)
        )
    ) * P20
),
IF(P21="","",
IF(
    IFERROR(MIN(
        IF(
            (TRIM(INDIRECT("'" &amp; 'Hulp (overig)'!$C$16 &amp; "'!B1:B1000")) = TEXT(P21,"0")) *
            (ROW(INDIRECT("'" &amp; 'Hulp (overig)'!$C$16 &amp; "'!B1:B1000")) &gt;= MATCH(
                P19,
                INDIRECT("'" &amp; 'Hulp (overig)'!$C$16 &amp; "'!A1:A1000"),
                0
            )) *
            IF(
                Q19="",
                1,
                (ROW(INDIRECT("'" &amp; 'Hulp (overig)'!$C$16 &amp; "'!B1:B1000")) &lt; MATCH(
                    Q19,
                    INDIRECT("'" &amp; 'Hulp (overig)'!$C$16 &amp; "'!A1:A1000"),
                    0
                ))
            ),
            ROW(INDIRECT("'" &amp; 'Hulp (overig)'!$C$16 &amp; "'!B1:B1000"))
        )
    ),0) &lt; 1,
    "",
    IF(INDEX(
        INDIRECT("'" &amp; 'Hulp (overig)'!$C$16 &amp; "'!" &amp;
        'Hulp (overig)'!$C$17 &amp; "1:" &amp; 'Hulp (overig)'!$C$17 &amp; 1000
        ),
        IFERROR(MIN(
            IF(
                (TRIM(INDIRECT("'" &amp; 'Hulp (overig)'!$C$16 &amp; "'!B1:B1000")) = TEXT(P21,"0")) *
                (ROW(INDIRECT("'" &amp; 'Hulp (overig)'!$C$16 &amp; "'!B1:B1000")) &gt;= MATCH(
                    P19,
                    INDIRECT("'" &amp; 'Hulp (overig)'!$C$16 &amp; "'!A1:A1000"),
                    0
                )) *
                IF(
                    Q19="",
                    1,
                    (ROW(INDIRECT("'" &amp; 'Hulp (overig)'!$C$16 &amp; "'!B1:B1000")) &lt; MATCH(
                        Q19,
                        INDIRECT("'" &amp; 'Hulp (overig)'!$C$16 &amp; "'!A1:A1000"),
                        0
                    ))
                ),
                ROW(INDIRECT("'" &amp; 'Hulp (overig)'!$C$16 &amp; "'!B1:B1000"))
            )
        ),0)
    )=0,"",
INDEX(
        INDIRECT("'" &amp; 'Hulp (overig)'!$C$16 &amp; "'!" &amp;
        'Hulp (overig)'!$C$17 &amp; "1:" &amp; 'Hulp (overig)'!$C$17 &amp; 1000
        ),
        IFERROR(MIN(
            IF(
                (TRIM(INDIRECT("'" &amp; 'Hulp (overig)'!$C$16 &amp; "'!B1:B1000")) = TEXT(P21,"0")) *
                (ROW(INDIRECT("'" &amp; 'Hulp (overig)'!$C$16 &amp; "'!B1:B1000")) &gt;= MATCH(
                    P19,
                    INDIRECT("'" &amp; 'Hulp (overig)'!$C$16 &amp; "'!A1:A1000"),
                    0
                )) *
                IF(
                    Q19="",
                    1,
                    (ROW(INDIRECT("'" &amp; 'Hulp (overig)'!$C$16 &amp; "'!B1:B1000")) &lt; MATCH(
                        Q19,
                        INDIRECT("'" &amp; 'Hulp (overig)'!$C$16 &amp; "'!A1:A1000"),
                        0
                    ))
                ),
                ROW(INDIRECT("'" &amp; 'Hulp (overig)'!$C$16 &amp; "'!B1:B1000"))
            )
        ),0)
    ))
))))</f>
        <v>#VALUE!</v>
      </c>
      <c r="Q22" s="425" t="e" cm="1">
        <f t="array" aca="1" ref="Q22" ca="1">IF($BF22, IF(Q19="","",
   INDEX(
      INDIRECT("'" &amp; 'Hulp (CAO''s)'!$AE$8 &amp; "'!" &amp;
               'Hulp (overig)'!$C$17 &amp; "1:" &amp;
               'Hulp (overig)'!$C$17 &amp; "1000"),
      MATCH(
         Q19,
         INDIRECT("'" &amp; 'Hulp (CAO''s)'!$AE$8 &amp; "'!A1:A1000"),
         0
      )
   )
), IF($D20="Gebruik % van maximum salaris",
IF(
    OR(Q19="",Q20=""),
    "",
    MAX(
        INDIRECT(
            "'" &amp; 'Hulp (overig)'!$C$16 &amp; "'!" &amp;
            'Hulp (overig)'!$C$17 &amp;
            MATCH(Q19, INDIRECT("'" &amp; 'Hulp (overig)'!$C$16 &amp; "'!A1:A1000"), 0) &amp;
            ":" &amp;
            'Hulp (overig)'!$C$17 &amp;
LOOKUP(
    2,
    1 / (
        (ROW(INDIRECT("'" &amp; 'Hulp (overig)'!$C$16 &amp; "'!B1:B1000")) &lt;
            IF(R19&lt;&gt;"",
               MATCH(R19, INDIRECT("'" &amp; 'Hulp (overig)'!$C$16 &amp; "'!A1:A1000"),0),
               1000
            )
        ) *
        (LEFT(TRIM(INDIRECT("'" &amp; 'Hulp (overig)'!$C$16 &amp; "'!B1:B1000")),1) &lt;&gt; "u")
    ),
    ROW(INDIRECT("'" &amp; 'Hulp (overig)'!$C$16 &amp; "'!B1:B1000"))
)
        )
    ) * Q20
),
IF(Q21="","",
IF(
    IFERROR(MIN(
        IF(
            (TRIM(INDIRECT("'" &amp; 'Hulp (overig)'!$C$16 &amp; "'!B1:B1000")) = TEXT(Q21,"0")) *
            (ROW(INDIRECT("'" &amp; 'Hulp (overig)'!$C$16 &amp; "'!B1:B1000")) &gt;= MATCH(
                Q19,
                INDIRECT("'" &amp; 'Hulp (overig)'!$C$16 &amp; "'!A1:A1000"),
                0
            )) *
            IF(
                R19="",
                1,
                (ROW(INDIRECT("'" &amp; 'Hulp (overig)'!$C$16 &amp; "'!B1:B1000")) &lt; MATCH(
                    R19,
                    INDIRECT("'" &amp; 'Hulp (overig)'!$C$16 &amp; "'!A1:A1000"),
                    0
                ))
            ),
            ROW(INDIRECT("'" &amp; 'Hulp (overig)'!$C$16 &amp; "'!B1:B1000"))
        )
    ),0) &lt; 1,
    "",
    IF(INDEX(
        INDIRECT("'" &amp; 'Hulp (overig)'!$C$16 &amp; "'!" &amp;
        'Hulp (overig)'!$C$17 &amp; "1:" &amp; 'Hulp (overig)'!$C$17 &amp; 1000
        ),
        IFERROR(MIN(
            IF(
                (TRIM(INDIRECT("'" &amp; 'Hulp (overig)'!$C$16 &amp; "'!B1:B1000")) = TEXT(Q21,"0")) *
                (ROW(INDIRECT("'" &amp; 'Hulp (overig)'!$C$16 &amp; "'!B1:B1000")) &gt;= MATCH(
                    Q19,
                    INDIRECT("'" &amp; 'Hulp (overig)'!$C$16 &amp; "'!A1:A1000"),
                    0
                )) *
                IF(
                    R19="",
                    1,
                    (ROW(INDIRECT("'" &amp; 'Hulp (overig)'!$C$16 &amp; "'!B1:B1000")) &lt; MATCH(
                        R19,
                        INDIRECT("'" &amp; 'Hulp (overig)'!$C$16 &amp; "'!A1:A1000"),
                        0
                    ))
                ),
                ROW(INDIRECT("'" &amp; 'Hulp (overig)'!$C$16 &amp; "'!B1:B1000"))
            )
        ),0)
    )=0,"",
INDEX(
        INDIRECT("'" &amp; 'Hulp (overig)'!$C$16 &amp; "'!" &amp;
        'Hulp (overig)'!$C$17 &amp; "1:" &amp; 'Hulp (overig)'!$C$17 &amp; 1000
        ),
        IFERROR(MIN(
            IF(
                (TRIM(INDIRECT("'" &amp; 'Hulp (overig)'!$C$16 &amp; "'!B1:B1000")) = TEXT(Q21,"0")) *
                (ROW(INDIRECT("'" &amp; 'Hulp (overig)'!$C$16 &amp; "'!B1:B1000")) &gt;= MATCH(
                    Q19,
                    INDIRECT("'" &amp; 'Hulp (overig)'!$C$16 &amp; "'!A1:A1000"),
                    0
                )) *
                IF(
                    R19="",
                    1,
                    (ROW(INDIRECT("'" &amp; 'Hulp (overig)'!$C$16 &amp; "'!B1:B1000")) &lt; MATCH(
                        R19,
                        INDIRECT("'" &amp; 'Hulp (overig)'!$C$16 &amp; "'!A1:A1000"),
                        0
                    ))
                ),
                ROW(INDIRECT("'" &amp; 'Hulp (overig)'!$C$16 &amp; "'!B1:B1000"))
            )
        ),0)
    ))
))))</f>
        <v>#VALUE!</v>
      </c>
      <c r="R22" s="425" t="e" cm="1">
        <f t="array" aca="1" ref="R22" ca="1">IF($BF22, IF(R19="","",
   INDEX(
      INDIRECT("'" &amp; 'Hulp (CAO''s)'!$AE$8 &amp; "'!" &amp;
               'Hulp (overig)'!$C$17 &amp; "1:" &amp;
               'Hulp (overig)'!$C$17 &amp; "1000"),
      MATCH(
         R19,
         INDIRECT("'" &amp; 'Hulp (CAO''s)'!$AE$8 &amp; "'!A1:A1000"),
         0
      )
   )
), IF($D20="Gebruik % van maximum salaris",
IF(
    OR(R19="",R20=""),
    "",
    MAX(
        INDIRECT(
            "'" &amp; 'Hulp (overig)'!$C$16 &amp; "'!" &amp;
            'Hulp (overig)'!$C$17 &amp;
            MATCH(R19, INDIRECT("'" &amp; 'Hulp (overig)'!$C$16 &amp; "'!A1:A1000"), 0) &amp;
            ":" &amp;
            'Hulp (overig)'!$C$17 &amp;
LOOKUP(
    2,
    1 / (
        (ROW(INDIRECT("'" &amp; 'Hulp (overig)'!$C$16 &amp; "'!B1:B1000")) &lt;
            IF(S19&lt;&gt;"",
               MATCH(S19, INDIRECT("'" &amp; 'Hulp (overig)'!$C$16 &amp; "'!A1:A1000"),0),
               1000
            )
        ) *
        (LEFT(TRIM(INDIRECT("'" &amp; 'Hulp (overig)'!$C$16 &amp; "'!B1:B1000")),1) &lt;&gt; "u")
    ),
    ROW(INDIRECT("'" &amp; 'Hulp (overig)'!$C$16 &amp; "'!B1:B1000"))
)
        )
    ) * R20
),
IF(R21="","",
IF(
    IFERROR(MIN(
        IF(
            (TRIM(INDIRECT("'" &amp; 'Hulp (overig)'!$C$16 &amp; "'!B1:B1000")) = TEXT(R21,"0")) *
            (ROW(INDIRECT("'" &amp; 'Hulp (overig)'!$C$16 &amp; "'!B1:B1000")) &gt;= MATCH(
                R19,
                INDIRECT("'" &amp; 'Hulp (overig)'!$C$16 &amp; "'!A1:A1000"),
                0
            )) *
            IF(
                S19="",
                1,
                (ROW(INDIRECT("'" &amp; 'Hulp (overig)'!$C$16 &amp; "'!B1:B1000")) &lt; MATCH(
                    S19,
                    INDIRECT("'" &amp; 'Hulp (overig)'!$C$16 &amp; "'!A1:A1000"),
                    0
                ))
            ),
            ROW(INDIRECT("'" &amp; 'Hulp (overig)'!$C$16 &amp; "'!B1:B1000"))
        )
    ),0) &lt; 1,
    "",
    IF(INDEX(
        INDIRECT("'" &amp; 'Hulp (overig)'!$C$16 &amp; "'!" &amp;
        'Hulp (overig)'!$C$17 &amp; "1:" &amp; 'Hulp (overig)'!$C$17 &amp; 1000
        ),
        IFERROR(MIN(
            IF(
                (TRIM(INDIRECT("'" &amp; 'Hulp (overig)'!$C$16 &amp; "'!B1:B1000")) = TEXT(R21,"0")) *
                (ROW(INDIRECT("'" &amp; 'Hulp (overig)'!$C$16 &amp; "'!B1:B1000")) &gt;= MATCH(
                    R19,
                    INDIRECT("'" &amp; 'Hulp (overig)'!$C$16 &amp; "'!A1:A1000"),
                    0
                )) *
                IF(
                    S19="",
                    1,
                    (ROW(INDIRECT("'" &amp; 'Hulp (overig)'!$C$16 &amp; "'!B1:B1000")) &lt; MATCH(
                        S19,
                        INDIRECT("'" &amp; 'Hulp (overig)'!$C$16 &amp; "'!A1:A1000"),
                        0
                    ))
                ),
                ROW(INDIRECT("'" &amp; 'Hulp (overig)'!$C$16 &amp; "'!B1:B1000"))
            )
        ),0)
    )=0,"",
INDEX(
        INDIRECT("'" &amp; 'Hulp (overig)'!$C$16 &amp; "'!" &amp;
        'Hulp (overig)'!$C$17 &amp; "1:" &amp; 'Hulp (overig)'!$C$17 &amp; 1000
        ),
        IFERROR(MIN(
            IF(
                (TRIM(INDIRECT("'" &amp; 'Hulp (overig)'!$C$16 &amp; "'!B1:B1000")) = TEXT(R21,"0")) *
                (ROW(INDIRECT("'" &amp; 'Hulp (overig)'!$C$16 &amp; "'!B1:B1000")) &gt;= MATCH(
                    R19,
                    INDIRECT("'" &amp; 'Hulp (overig)'!$C$16 &amp; "'!A1:A1000"),
                    0
                )) *
                IF(
                    S19="",
                    1,
                    (ROW(INDIRECT("'" &amp; 'Hulp (overig)'!$C$16 &amp; "'!B1:B1000")) &lt; MATCH(
                        S19,
                        INDIRECT("'" &amp; 'Hulp (overig)'!$C$16 &amp; "'!A1:A1000"),
                        0
                    ))
                ),
                ROW(INDIRECT("'" &amp; 'Hulp (overig)'!$C$16 &amp; "'!B1:B1000"))
            )
        ),0)
    ))
))))</f>
        <v>#VALUE!</v>
      </c>
      <c r="S22" s="425" t="e" cm="1">
        <f t="array" aca="1" ref="S22" ca="1">IF($BF22, IF(S19="","",
   INDEX(
      INDIRECT("'" &amp; 'Hulp (CAO''s)'!$AE$8 &amp; "'!" &amp;
               'Hulp (overig)'!$C$17 &amp; "1:" &amp;
               'Hulp (overig)'!$C$17 &amp; "1000"),
      MATCH(
         S19,
         INDIRECT("'" &amp; 'Hulp (CAO''s)'!$AE$8 &amp; "'!A1:A1000"),
         0
      )
   )
), IF($D20="Gebruik % van maximum salaris",
IF(
    OR(S19="",S20=""),
    "",
    MAX(
        INDIRECT(
            "'" &amp; 'Hulp (overig)'!$C$16 &amp; "'!" &amp;
            'Hulp (overig)'!$C$17 &amp;
            MATCH(S19, INDIRECT("'" &amp; 'Hulp (overig)'!$C$16 &amp; "'!A1:A1000"), 0) &amp;
            ":" &amp;
            'Hulp (overig)'!$C$17 &amp;
LOOKUP(
    2,
    1 / (
        (ROW(INDIRECT("'" &amp; 'Hulp (overig)'!$C$16 &amp; "'!B1:B1000")) &lt;
            IF(T19&lt;&gt;"",
               MATCH(T19, INDIRECT("'" &amp; 'Hulp (overig)'!$C$16 &amp; "'!A1:A1000"),0),
               1000
            )
        ) *
        (LEFT(TRIM(INDIRECT("'" &amp; 'Hulp (overig)'!$C$16 &amp; "'!B1:B1000")),1) &lt;&gt; "u")
    ),
    ROW(INDIRECT("'" &amp; 'Hulp (overig)'!$C$16 &amp; "'!B1:B1000"))
)
        )
    ) * S20
),
IF(S21="","",
IF(
    IFERROR(MIN(
        IF(
            (TRIM(INDIRECT("'" &amp; 'Hulp (overig)'!$C$16 &amp; "'!B1:B1000")) = TEXT(S21,"0")) *
            (ROW(INDIRECT("'" &amp; 'Hulp (overig)'!$C$16 &amp; "'!B1:B1000")) &gt;= MATCH(
                S19,
                INDIRECT("'" &amp; 'Hulp (overig)'!$C$16 &amp; "'!A1:A1000"),
                0
            )) *
            IF(
                T19="",
                1,
                (ROW(INDIRECT("'" &amp; 'Hulp (overig)'!$C$16 &amp; "'!B1:B1000")) &lt; MATCH(
                    T19,
                    INDIRECT("'" &amp; 'Hulp (overig)'!$C$16 &amp; "'!A1:A1000"),
                    0
                ))
            ),
            ROW(INDIRECT("'" &amp; 'Hulp (overig)'!$C$16 &amp; "'!B1:B1000"))
        )
    ),0) &lt; 1,
    "",
    IF(INDEX(
        INDIRECT("'" &amp; 'Hulp (overig)'!$C$16 &amp; "'!" &amp;
        'Hulp (overig)'!$C$17 &amp; "1:" &amp; 'Hulp (overig)'!$C$17 &amp; 1000
        ),
        IFERROR(MIN(
            IF(
                (TRIM(INDIRECT("'" &amp; 'Hulp (overig)'!$C$16 &amp; "'!B1:B1000")) = TEXT(S21,"0")) *
                (ROW(INDIRECT("'" &amp; 'Hulp (overig)'!$C$16 &amp; "'!B1:B1000")) &gt;= MATCH(
                    S19,
                    INDIRECT("'" &amp; 'Hulp (overig)'!$C$16 &amp; "'!A1:A1000"),
                    0
                )) *
                IF(
                    T19="",
                    1,
                    (ROW(INDIRECT("'" &amp; 'Hulp (overig)'!$C$16 &amp; "'!B1:B1000")) &lt; MATCH(
                        T19,
                        INDIRECT("'" &amp; 'Hulp (overig)'!$C$16 &amp; "'!A1:A1000"),
                        0
                    ))
                ),
                ROW(INDIRECT("'" &amp; 'Hulp (overig)'!$C$16 &amp; "'!B1:B1000"))
            )
        ),0)
    )=0,"",
INDEX(
        INDIRECT("'" &amp; 'Hulp (overig)'!$C$16 &amp; "'!" &amp;
        'Hulp (overig)'!$C$17 &amp; "1:" &amp; 'Hulp (overig)'!$C$17 &amp; 1000
        ),
        IFERROR(MIN(
            IF(
                (TRIM(INDIRECT("'" &amp; 'Hulp (overig)'!$C$16 &amp; "'!B1:B1000")) = TEXT(S21,"0")) *
                (ROW(INDIRECT("'" &amp; 'Hulp (overig)'!$C$16 &amp; "'!B1:B1000")) &gt;= MATCH(
                    S19,
                    INDIRECT("'" &amp; 'Hulp (overig)'!$C$16 &amp; "'!A1:A1000"),
                    0
                )) *
                IF(
                    T19="",
                    1,
                    (ROW(INDIRECT("'" &amp; 'Hulp (overig)'!$C$16 &amp; "'!B1:B1000")) &lt; MATCH(
                        T19,
                        INDIRECT("'" &amp; 'Hulp (overig)'!$C$16 &amp; "'!A1:A1000"),
                        0
                    ))
                ),
                ROW(INDIRECT("'" &amp; 'Hulp (overig)'!$C$16 &amp; "'!B1:B1000"))
            )
        ),0)
    ))
))))</f>
        <v>#VALUE!</v>
      </c>
      <c r="T22" s="425" t="e" cm="1">
        <f t="array" aca="1" ref="T22" ca="1">IF($BF22, IF(T19="","",
   INDEX(
      INDIRECT("'" &amp; 'Hulp (CAO''s)'!$AE$8 &amp; "'!" &amp;
               'Hulp (overig)'!$C$17 &amp; "1:" &amp;
               'Hulp (overig)'!$C$17 &amp; "1000"),
      MATCH(
         T19,
         INDIRECT("'" &amp; 'Hulp (CAO''s)'!$AE$8 &amp; "'!A1:A1000"),
         0
      )
   )
), IF($D20="Gebruik % van maximum salaris",
IF(
    OR(T19="",T20=""),
    "",
    MAX(
        INDIRECT(
            "'" &amp; 'Hulp (overig)'!$C$16 &amp; "'!" &amp;
            'Hulp (overig)'!$C$17 &amp;
            MATCH(T19, INDIRECT("'" &amp; 'Hulp (overig)'!$C$16 &amp; "'!A1:A1000"), 0) &amp;
            ":" &amp;
            'Hulp (overig)'!$C$17 &amp;
LOOKUP(
    2,
    1 / (
        (ROW(INDIRECT("'" &amp; 'Hulp (overig)'!$C$16 &amp; "'!B1:B1000")) &lt;
            IF(U19&lt;&gt;"",
               MATCH(U19, INDIRECT("'" &amp; 'Hulp (overig)'!$C$16 &amp; "'!A1:A1000"),0),
               1000
            )
        ) *
        (LEFT(TRIM(INDIRECT("'" &amp; 'Hulp (overig)'!$C$16 &amp; "'!B1:B1000")),1) &lt;&gt; "u")
    ),
    ROW(INDIRECT("'" &amp; 'Hulp (overig)'!$C$16 &amp; "'!B1:B1000"))
)
        )
    ) * T20
),
IF(T21="","",
IF(
    IFERROR(MIN(
        IF(
            (TRIM(INDIRECT("'" &amp; 'Hulp (overig)'!$C$16 &amp; "'!B1:B1000")) = TEXT(T21,"0")) *
            (ROW(INDIRECT("'" &amp; 'Hulp (overig)'!$C$16 &amp; "'!B1:B1000")) &gt;= MATCH(
                T19,
                INDIRECT("'" &amp; 'Hulp (overig)'!$C$16 &amp; "'!A1:A1000"),
                0
            )) *
            IF(
                U19="",
                1,
                (ROW(INDIRECT("'" &amp; 'Hulp (overig)'!$C$16 &amp; "'!B1:B1000")) &lt; MATCH(
                    U19,
                    INDIRECT("'" &amp; 'Hulp (overig)'!$C$16 &amp; "'!A1:A1000"),
                    0
                ))
            ),
            ROW(INDIRECT("'" &amp; 'Hulp (overig)'!$C$16 &amp; "'!B1:B1000"))
        )
    ),0) &lt; 1,
    "",
    IF(INDEX(
        INDIRECT("'" &amp; 'Hulp (overig)'!$C$16 &amp; "'!" &amp;
        'Hulp (overig)'!$C$17 &amp; "1:" &amp; 'Hulp (overig)'!$C$17 &amp; 1000
        ),
        IFERROR(MIN(
            IF(
                (TRIM(INDIRECT("'" &amp; 'Hulp (overig)'!$C$16 &amp; "'!B1:B1000")) = TEXT(T21,"0")) *
                (ROW(INDIRECT("'" &amp; 'Hulp (overig)'!$C$16 &amp; "'!B1:B1000")) &gt;= MATCH(
                    T19,
                    INDIRECT("'" &amp; 'Hulp (overig)'!$C$16 &amp; "'!A1:A1000"),
                    0
                )) *
                IF(
                    U19="",
                    1,
                    (ROW(INDIRECT("'" &amp; 'Hulp (overig)'!$C$16 &amp; "'!B1:B1000")) &lt; MATCH(
                        U19,
                        INDIRECT("'" &amp; 'Hulp (overig)'!$C$16 &amp; "'!A1:A1000"),
                        0
                    ))
                ),
                ROW(INDIRECT("'" &amp; 'Hulp (overig)'!$C$16 &amp; "'!B1:B1000"))
            )
        ),0)
    )=0,"",
INDEX(
        INDIRECT("'" &amp; 'Hulp (overig)'!$C$16 &amp; "'!" &amp;
        'Hulp (overig)'!$C$17 &amp; "1:" &amp; 'Hulp (overig)'!$C$17 &amp; 1000
        ),
        IFERROR(MIN(
            IF(
                (TRIM(INDIRECT("'" &amp; 'Hulp (overig)'!$C$16 &amp; "'!B1:B1000")) = TEXT(T21,"0")) *
                (ROW(INDIRECT("'" &amp; 'Hulp (overig)'!$C$16 &amp; "'!B1:B1000")) &gt;= MATCH(
                    T19,
                    INDIRECT("'" &amp; 'Hulp (overig)'!$C$16 &amp; "'!A1:A1000"),
                    0
                )) *
                IF(
                    U19="",
                    1,
                    (ROW(INDIRECT("'" &amp; 'Hulp (overig)'!$C$16 &amp; "'!B1:B1000")) &lt; MATCH(
                        U19,
                        INDIRECT("'" &amp; 'Hulp (overig)'!$C$16 &amp; "'!A1:A1000"),
                        0
                    ))
                ),
                ROW(INDIRECT("'" &amp; 'Hulp (overig)'!$C$16 &amp; "'!B1:B1000"))
            )
        ),0)
    ))
))))</f>
        <v>#VALUE!</v>
      </c>
      <c r="U22" s="723" t="e" cm="1">
        <f t="array" aca="1" ref="U22" ca="1">IF($BF22, IF(U19="","",
   INDEX(
      INDIRECT("'" &amp; 'Hulp (CAO''s)'!$AE$8 &amp; "'!" &amp;
               'Hulp (overig)'!$C$17 &amp; "1:" &amp;
               'Hulp (overig)'!$C$17 &amp; "1000"),
      MATCH(
         U19,
         INDIRECT("'" &amp; 'Hulp (CAO''s)'!$AE$8 &amp; "'!A1:A1000"),
         0
      )
   )
), IF($D20="Gebruik % van maximum salaris",
IF(
    OR(U19="",U20=""),
    "",
    MAX(
        INDIRECT(
            "'" &amp; 'Hulp (overig)'!$C$16 &amp; "'!" &amp;
            'Hulp (overig)'!$C$17 &amp;
            MATCH(U19, INDIRECT("'" &amp; 'Hulp (overig)'!$C$16 &amp; "'!A1:A1000"), 0) &amp;
            ":" &amp;
            'Hulp (overig)'!$C$17 &amp;
LOOKUP(
    2,
    1 / (
        (ROW(INDIRECT("'" &amp; 'Hulp (overig)'!$C$16 &amp; "'!B1:B1000")) &lt;
            IF(V19&lt;&gt;"",
               MATCH(V19, INDIRECT("'" &amp; 'Hulp (overig)'!$C$16 &amp; "'!A1:A1000"),0),
               1000
            )
        ) *
        (LEFT(TRIM(INDIRECT("'" &amp; 'Hulp (overig)'!$C$16 &amp; "'!B1:B1000")),1) &lt;&gt; "u")
    ),
    ROW(INDIRECT("'" &amp; 'Hulp (overig)'!$C$16 &amp; "'!B1:B1000"))
)
        )
    ) * U20
),
IF(U21="","",
IF(
    IFERROR(MIN(
        IF(
            (TRIM(INDIRECT("'" &amp; 'Hulp (overig)'!$C$16 &amp; "'!B1:B1000")) = TEXT(U21,"0")) *
            (ROW(INDIRECT("'" &amp; 'Hulp (overig)'!$C$16 &amp; "'!B1:B1000")) &gt;= MATCH(
                U19,
                INDIRECT("'" &amp; 'Hulp (overig)'!$C$16 &amp; "'!A1:A1000"),
                0
            )) *
            IF(
                V19="",
                1,
                (ROW(INDIRECT("'" &amp; 'Hulp (overig)'!$C$16 &amp; "'!B1:B1000")) &lt; MATCH(
                    V19,
                    INDIRECT("'" &amp; 'Hulp (overig)'!$C$16 &amp; "'!A1:A1000"),
                    0
                ))
            ),
            ROW(INDIRECT("'" &amp; 'Hulp (overig)'!$C$16 &amp; "'!B1:B1000"))
        )
    ),0) &lt; 1,
    "",
    IF(INDEX(
        INDIRECT("'" &amp; 'Hulp (overig)'!$C$16 &amp; "'!" &amp;
        'Hulp (overig)'!$C$17 &amp; "1:" &amp; 'Hulp (overig)'!$C$17 &amp; 1000
        ),
        IFERROR(MIN(
            IF(
                (TRIM(INDIRECT("'" &amp; 'Hulp (overig)'!$C$16 &amp; "'!B1:B1000")) = TEXT(U21,"0")) *
                (ROW(INDIRECT("'" &amp; 'Hulp (overig)'!$C$16 &amp; "'!B1:B1000")) &gt;= MATCH(
                    U19,
                    INDIRECT("'" &amp; 'Hulp (overig)'!$C$16 &amp; "'!A1:A1000"),
                    0
                )) *
                IF(
                    V19="",
                    1,
                    (ROW(INDIRECT("'" &amp; 'Hulp (overig)'!$C$16 &amp; "'!B1:B1000")) &lt; MATCH(
                        V19,
                        INDIRECT("'" &amp; 'Hulp (overig)'!$C$16 &amp; "'!A1:A1000"),
                        0
                    ))
                ),
                ROW(INDIRECT("'" &amp; 'Hulp (overig)'!$C$16 &amp; "'!B1:B1000"))
            )
        ),0)
    )=0,"",
INDEX(
        INDIRECT("'" &amp; 'Hulp (overig)'!$C$16 &amp; "'!" &amp;
        'Hulp (overig)'!$C$17 &amp; "1:" &amp; 'Hulp (overig)'!$C$17 &amp; 1000
        ),
        IFERROR(MIN(
            IF(
                (TRIM(INDIRECT("'" &amp; 'Hulp (overig)'!$C$16 &amp; "'!B1:B1000")) = TEXT(U21,"0")) *
                (ROW(INDIRECT("'" &amp; 'Hulp (overig)'!$C$16 &amp; "'!B1:B1000")) &gt;= MATCH(
                    U19,
                    INDIRECT("'" &amp; 'Hulp (overig)'!$C$16 &amp; "'!A1:A1000"),
                    0
                )) *
                IF(
                    V19="",
                    1,
                    (ROW(INDIRECT("'" &amp; 'Hulp (overig)'!$C$16 &amp; "'!B1:B1000")) &lt; MATCH(
                        V19,
                        INDIRECT("'" &amp; 'Hulp (overig)'!$C$16 &amp; "'!A1:A1000"),
                        0
                    ))
                ),
                ROW(INDIRECT("'" &amp; 'Hulp (overig)'!$C$16 &amp; "'!B1:B1000"))
            )
        ),0)
    ))
))))</f>
        <v>#VALUE!</v>
      </c>
      <c r="V22" s="413" t="str" cm="1">
        <f t="array" ref="V22">IF(SUM(F23:U23)=0,"",
IF(SUM(F22:U22)=0,"",
IF(SUMPRODUCT((F23:U23&lt;&gt;0)*(F22:U22=""))&gt;0,"",
(
   SUMPRODUCT(
      IF(F22:U22="",0,F22:U22),
      IF(F23:U23="",0,F23:U23) / SUM(F23:U23)
   )
))))</f>
        <v/>
      </c>
      <c r="W22" s="418"/>
      <c r="X22" s="620"/>
      <c r="Y22" s="419" t="str">
        <f ca="1">IF(B19="","",
        IF(INDIRECT("'Hulp (control forms)'!C" &amp; (13 + INT((ROW()-ROW($B$5))/7))),
            IF(X22="","",X22),
            IF(V22="","",V22)
    )
)</f>
        <v/>
      </c>
      <c r="Z22" s="333"/>
      <c r="AA22" s="771"/>
      <c r="AB22" s="770"/>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cm="1">
        <f t="array" aca="1" ref="BA22" ca="1">IF(
   SUM(Y22)=0,
   1,
   IF(
      N(INDIRECT("'Hulp (control forms)'!C"&amp;(13+INT((ROW()-ROW($B$5))/7))))&lt;&gt;0,
      MIN(1,
      ('Hulp (overig)'!$C$6/12) /
      (Y22 * BC22 + BD22)),
      MIN(1,
         IF(
            SUM(F22:U22)=0,
            "",
            SUMPRODUCT(
               IF(
                  (IF(F22:U22="",0,F22:U22) * BC22) + BD22
                  &gt; 'Hulp (overig)'!$C$6/12,
                  'Hulp (overig)'!$C$6/12,
                  (IF(F22:U22="",0,F22:U22) * BC22) + BD22
               ),
               IF(F23:U23="",0,F23:U23) / SUM(F23:U23)
            )
         ) /
         ((Y22 * BC22) + BD22)
      )
   )
)</f>
        <v>1</v>
      </c>
      <c r="BB22" cm="1">
        <f t="array" aca="1" ref="BB22" ca="1">IF(
   SUM(Y22)=0,
   1,
   IF(
      N(INDIRECT("'Hulp (control forms)'!C"&amp;(13+INT((ROW()-ROW($B$5))/7))))&lt;&gt;0,
      MIN('Hulp (overig)'!$C$5/12,
      (Y22 * BC22) + BD22) * 12,
         IF(
            SUM(F22:U22)=0,
            "",
            SUMPRODUCT(
               IF(
                  (IF(F22:U22="",0,F22:U22) * BC22) + BD22
                  &gt; 'Hulp (overig)'!$C$5/12,
                  'Hulp (overig)'!$C$5/12,
                  (IF(F22:U22="",0,F22:U22) * BC22) + BD22
               ),
               IF(F23:U23="",0,F23:U23) / SUM(F23:U23)
            )
         ) * 12
   )
)</f>
        <v>1</v>
      </c>
      <c r="BC22" s="287" cm="1">
        <f t="array" aca="1" ref="BC22" ca="1">IFERROR(
   (INDEX('2. Output kostprijs'!$24:$24, 5 + 2*INT((ROW()-8)/7))
    - SUM(INDEX('2. Output kostprijs'!$23:$23, 5 + 2*INT((ROW()-8)/7))))
   / INDEX('2. Output kostprijs'!$19:$19, 5 + 2*INT((ROW()-8)/7)),
   1
)</f>
        <v>1</v>
      </c>
      <c r="BD22" s="287" cm="1">
        <f t="array" aca="1" ref="BD22" ca="1">IFERROR(
   (INDEX('2. Output kostprijs'!$23:$23, 5 + 2*INT((ROW()-8)/7))
    * INDEX('2. Output kostprijs'!$18:$18, 5 + 2*INT((ROW()-8)/7))
   ) / 12,
   0
)</f>
        <v>0</v>
      </c>
      <c r="BE22" t="b">
        <f ca="1">NOT(AND(B19&lt;&gt;"",Y22=""))</f>
        <v>1</v>
      </c>
      <c r="BF22" t="str" cm="1">
        <f t="array" aca="1" ref="BF22" ca="1">INDIRECT("'1a. Input organisatieniveau'!$AD" &amp; 7 + INT((ROW()-ROW($F$8))/7))</f>
        <v/>
      </c>
      <c r="BG22" t="b" cm="1">
        <f t="array" ref="BG22">IFERROR(INDEX('Hulp (control forms)'!C:C, 13 + INT((ROW(A15)-1)/7)),FALSE)</f>
        <v>0</v>
      </c>
    </row>
    <row r="23" spans="1:59" ht="16.05" customHeight="1" thickBot="1" x14ac:dyDescent="0.5">
      <c r="A23" s="289"/>
      <c r="B23" s="343"/>
      <c r="C23" s="325" t="s">
        <v>779</v>
      </c>
      <c r="D23" s="688" t="s">
        <v>60</v>
      </c>
      <c r="E23" s="433" t="s">
        <v>59</v>
      </c>
      <c r="F23" s="624"/>
      <c r="G23" s="624"/>
      <c r="H23" s="624"/>
      <c r="I23" s="624"/>
      <c r="J23" s="624"/>
      <c r="K23" s="624"/>
      <c r="L23" s="624"/>
      <c r="M23" s="624"/>
      <c r="N23" s="624"/>
      <c r="O23" s="624"/>
      <c r="P23" s="624"/>
      <c r="Q23" s="624"/>
      <c r="R23" s="624"/>
      <c r="S23" s="624"/>
      <c r="T23" s="624"/>
      <c r="U23" s="625"/>
      <c r="V23" s="420" t="str">
        <f ca="1">IF($B19="","",IF($D23="Aandeel in %",
   "Totaal: "&amp;SUM(F23:U23)*100&amp;"%",
   "Totaal: "&amp;SUM(F23:U23)&amp;" uur"
))</f>
        <v/>
      </c>
      <c r="W23" s="294"/>
      <c r="X23" s="621"/>
      <c r="Y23" s="328"/>
      <c r="Z23" s="32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9" ht="16.05" customHeight="1" thickBot="1" x14ac:dyDescent="0.5">
      <c r="A24" s="289"/>
      <c r="B24" s="343"/>
      <c r="C24" s="326" t="s">
        <v>779</v>
      </c>
      <c r="D24" s="421"/>
      <c r="E24" s="426"/>
      <c r="F24" s="426"/>
      <c r="G24" s="426"/>
      <c r="H24" s="426"/>
      <c r="I24" s="426"/>
      <c r="J24" s="426"/>
      <c r="K24" s="426"/>
      <c r="L24" s="426"/>
      <c r="M24" s="426"/>
      <c r="N24" s="426"/>
      <c r="O24" s="426"/>
      <c r="P24" s="426"/>
      <c r="Q24" s="426"/>
      <c r="R24" s="426"/>
      <c r="S24" s="426"/>
      <c r="T24" s="427"/>
      <c r="U24" s="427"/>
      <c r="V24" s="421"/>
      <c r="W24" s="421"/>
      <c r="X24" s="622"/>
      <c r="Y24" s="421"/>
      <c r="Z24" s="327"/>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9" ht="16.05" customHeight="1" thickBot="1" x14ac:dyDescent="0.55000000000000004">
      <c r="A25" s="289"/>
      <c r="B25" s="585" t="str">
        <f ca="1">IF(B26="","",
IF(
   OR(
      INDIRECT("'1a. Input organisatieniveau'!AC" &amp; (7 + INT((ROW()-4)/7)))="",
      INDIRECT("'1a. Input organisatieniveau'!AC" &amp; (7 + INT((ROW()-4)/7)))=0
   ),
   "",
   INDIRECT("'1a. Input organisatieniveau'!AC" &amp; (7 + INT((ROW()-4)/7)))
))</f>
        <v/>
      </c>
      <c r="C25" s="324" t="s">
        <v>779</v>
      </c>
      <c r="D25" s="416"/>
      <c r="E25" s="428"/>
      <c r="F25" s="422" t="str">
        <f t="shared" ref="F25:U25" ca="1" si="3">IF($B26="","",
IF($D27="Gebruik % van maximum salaris",
 IF(OR(AND(AND(F26&lt;&gt;"",F27&lt;&gt;""),F29=""),AND(F29="",F30&lt;&gt;"")),"!",""),
 IF(OR(AND(AND(F26&lt;&gt;"",F28&lt;&gt;""),F29=""),AND(F29="",F30&lt;&gt;"")),"!","")))</f>
        <v/>
      </c>
      <c r="G25" s="422" t="str">
        <f t="shared" ca="1" si="3"/>
        <v/>
      </c>
      <c r="H25" s="422" t="str">
        <f t="shared" ca="1" si="3"/>
        <v/>
      </c>
      <c r="I25" s="422" t="str">
        <f t="shared" ca="1" si="3"/>
        <v/>
      </c>
      <c r="J25" s="422" t="str">
        <f t="shared" ca="1" si="3"/>
        <v/>
      </c>
      <c r="K25" s="422" t="str">
        <f t="shared" ca="1" si="3"/>
        <v/>
      </c>
      <c r="L25" s="422" t="str">
        <f t="shared" ca="1" si="3"/>
        <v/>
      </c>
      <c r="M25" s="422" t="str">
        <f t="shared" ca="1" si="3"/>
        <v/>
      </c>
      <c r="N25" s="422" t="str">
        <f t="shared" ca="1" si="3"/>
        <v/>
      </c>
      <c r="O25" s="422" t="str">
        <f t="shared" ca="1" si="3"/>
        <v/>
      </c>
      <c r="P25" s="422" t="str">
        <f t="shared" ca="1" si="3"/>
        <v/>
      </c>
      <c r="Q25" s="422" t="str">
        <f t="shared" ca="1" si="3"/>
        <v/>
      </c>
      <c r="R25" s="422" t="str">
        <f t="shared" ca="1" si="3"/>
        <v/>
      </c>
      <c r="S25" s="422" t="str">
        <f t="shared" ca="1" si="3"/>
        <v/>
      </c>
      <c r="T25" s="422" t="str">
        <f t="shared" ca="1" si="3"/>
        <v/>
      </c>
      <c r="U25" s="422" t="str">
        <f t="shared" ca="1" si="3"/>
        <v/>
      </c>
      <c r="V25" s="416"/>
      <c r="W25" s="416"/>
      <c r="X25" s="619"/>
      <c r="Y25" s="416"/>
      <c r="Z25" s="330"/>
      <c r="AA25" s="354"/>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9" ht="16.05" customHeight="1" thickBot="1" x14ac:dyDescent="0.5">
      <c r="A26" s="289"/>
      <c r="B26" s="586" t="str">
        <f ca="1">IF(
   OR(
      INDIRECT("'1a. Input organisatieniveau'!AA" &amp; (7 + INT((ROW()-4)/7)))="",
      INDIRECT("'1a. Input organisatieniveau'!AA" &amp; (7 + INT((ROW()-4)/7)))=0
   ),
   "",
   INDIRECT("'1a. Input organisatieniveau'!AA" &amp; (7 + INT((ROW()-4)/7)))
)</f>
        <v/>
      </c>
      <c r="C26" s="325" t="s">
        <v>779</v>
      </c>
      <c r="D26" s="434"/>
      <c r="E26" s="429" t="s">
        <v>28</v>
      </c>
      <c r="F26" s="423" t="str">
        <f ca="1">IF($B26="", "", IF($BF29, IF('Hulp (CAO''s)'!J$8&lt;&gt;"",'Hulp (CAO''s)'!J$8,""), INDEX('Hulp (CAO''s)'!J$3:J$7, MATCH(TRUE, 'Hulp (CAO''s)'!$D$3:$D$7, 0))))</f>
        <v/>
      </c>
      <c r="G26" s="423" t="str">
        <f ca="1">IF($B26="", "", IF($BF29, IF('Hulp (CAO''s)'!K$8&lt;&gt;"",'Hulp (CAO''s)'!K$8,""), INDEX('Hulp (CAO''s)'!K$3:K$7, MATCH(TRUE, 'Hulp (CAO''s)'!$D$3:$D$7, 0))))</f>
        <v/>
      </c>
      <c r="H26" s="423" t="str">
        <f ca="1">IF($B26="", "", IF($BF29, IF('Hulp (CAO''s)'!L$8&lt;&gt;"",'Hulp (CAO''s)'!L$8,""), INDEX('Hulp (CAO''s)'!L$3:L$7, MATCH(TRUE, 'Hulp (CAO''s)'!$D$3:$D$7, 0))))</f>
        <v/>
      </c>
      <c r="I26" s="423" t="str">
        <f ca="1">IF($B26="", "", IF($BF29, IF('Hulp (CAO''s)'!M$8&lt;&gt;"",'Hulp (CAO''s)'!M$8,""), INDEX('Hulp (CAO''s)'!M$3:M$7, MATCH(TRUE, 'Hulp (CAO''s)'!$D$3:$D$7, 0))))</f>
        <v/>
      </c>
      <c r="J26" s="423" t="str">
        <f ca="1">IF($B26="", "", IF($BF29, IF('Hulp (CAO''s)'!N$8&lt;&gt;"",'Hulp (CAO''s)'!N$8,""), INDEX('Hulp (CAO''s)'!N$3:N$7, MATCH(TRUE, 'Hulp (CAO''s)'!$D$3:$D$7, 0))))</f>
        <v/>
      </c>
      <c r="K26" s="423" t="str">
        <f ca="1">IF($B26="", "", IF($BF29, IF('Hulp (CAO''s)'!O$8&lt;&gt;"",'Hulp (CAO''s)'!O$8,""), INDEX('Hulp (CAO''s)'!O$3:O$7, MATCH(TRUE, 'Hulp (CAO''s)'!$D$3:$D$7, 0))))</f>
        <v/>
      </c>
      <c r="L26" s="423" t="str">
        <f ca="1">IF($B26="", "", IF($BF29, IF('Hulp (CAO''s)'!P$8&lt;&gt;"",'Hulp (CAO''s)'!P$8,""), INDEX('Hulp (CAO''s)'!P$3:P$7, MATCH(TRUE, 'Hulp (CAO''s)'!$D$3:$D$7, 0))))</f>
        <v/>
      </c>
      <c r="M26" s="423" t="str">
        <f ca="1">IF($B26="", "", IF($BF29, IF('Hulp (CAO''s)'!Q$8&lt;&gt;"",'Hulp (CAO''s)'!Q$8,""), INDEX('Hulp (CAO''s)'!Q$3:Q$7, MATCH(TRUE, 'Hulp (CAO''s)'!$D$3:$D$7, 0))))</f>
        <v/>
      </c>
      <c r="N26" s="423" t="str">
        <f ca="1">IF($B26="", "", IF($BF29, IF('Hulp (CAO''s)'!R$8&lt;&gt;"",'Hulp (CAO''s)'!R$8,""), INDEX('Hulp (CAO''s)'!R$3:R$7, MATCH(TRUE, 'Hulp (CAO''s)'!$D$3:$D$7, 0))))</f>
        <v/>
      </c>
      <c r="O26" s="423" t="str">
        <f ca="1">IF($B26="", "", IF($BF29, IF('Hulp (CAO''s)'!S$8&lt;&gt;"",'Hulp (CAO''s)'!S$8,""), INDEX('Hulp (CAO''s)'!S$3:S$7, MATCH(TRUE, 'Hulp (CAO''s)'!$D$3:$D$7, 0))))</f>
        <v/>
      </c>
      <c r="P26" s="423" t="str">
        <f ca="1">IF($B26="", "", IF($BF29, IF('Hulp (CAO''s)'!T$8&lt;&gt;"",'Hulp (CAO''s)'!T$8,""), INDEX('Hulp (CAO''s)'!T$3:T$7, MATCH(TRUE, 'Hulp (CAO''s)'!$D$3:$D$7, 0))))</f>
        <v/>
      </c>
      <c r="Q26" s="423" t="str">
        <f ca="1">IF($B26="", "", IF($BF29, IF('Hulp (CAO''s)'!U$8&lt;&gt;"",'Hulp (CAO''s)'!U$8,""), INDEX('Hulp (CAO''s)'!U$3:U$7, MATCH(TRUE, 'Hulp (CAO''s)'!$D$3:$D$7, 0))))</f>
        <v/>
      </c>
      <c r="R26" s="423" t="str">
        <f ca="1">IF($B26="", "", IF($BF29, IF('Hulp (CAO''s)'!V$8&lt;&gt;"",'Hulp (CAO''s)'!V$8,""), INDEX('Hulp (CAO''s)'!V$3:V$7, MATCH(TRUE, 'Hulp (CAO''s)'!$D$3:$D$7, 0))))</f>
        <v/>
      </c>
      <c r="S26" s="423" t="str">
        <f ca="1">IF($B26="", "", IF($BF29, IF('Hulp (CAO''s)'!W$8&lt;&gt;"",'Hulp (CAO''s)'!W$8,""), INDEX('Hulp (CAO''s)'!W$3:W$7, MATCH(TRUE, 'Hulp (CAO''s)'!$D$3:$D$7, 0))))</f>
        <v/>
      </c>
      <c r="T26" s="423" t="str">
        <f ca="1">IF($B26="", "", IF($BF29, IF('Hulp (CAO''s)'!X$8&lt;&gt;"",'Hulp (CAO''s)'!X$8,""), INDEX('Hulp (CAO''s)'!X$3:X$7, MATCH(TRUE, 'Hulp (CAO''s)'!$D$3:$D$7, 0))))</f>
        <v/>
      </c>
      <c r="U26" s="424" t="str">
        <f ca="1">IF($B26="", "", IF($BF29, IF('Hulp (CAO''s)'!Y$8&lt;&gt;"",'Hulp (CAO''s)'!Y$8,""), INDEX('Hulp (CAO''s)'!Y$3:Y$7, MATCH(TRUE, 'Hulp (CAO''s)'!$D$3:$D$7, 0))))</f>
        <v/>
      </c>
      <c r="V26" s="417"/>
      <c r="W26" s="343"/>
      <c r="X26" s="617"/>
      <c r="Y26" s="343"/>
      <c r="Z26" s="329"/>
      <c r="AA26" s="320"/>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9" ht="16.05" customHeight="1" x14ac:dyDescent="0.45">
      <c r="A27" s="289"/>
      <c r="B27" s="343"/>
      <c r="C27" s="325" t="s">
        <v>779</v>
      </c>
      <c r="D27" s="772" t="s">
        <v>772</v>
      </c>
      <c r="E27" s="430" t="e">
        <f ca="1">IF($BF29, "", "% t.o.v. max salaris in de schaal")</f>
        <v>#VALUE!</v>
      </c>
      <c r="F27" s="615"/>
      <c r="G27" s="615"/>
      <c r="H27" s="615"/>
      <c r="I27" s="615"/>
      <c r="J27" s="615"/>
      <c r="K27" s="615"/>
      <c r="L27" s="615"/>
      <c r="M27" s="615"/>
      <c r="N27" s="615"/>
      <c r="O27" s="615"/>
      <c r="P27" s="615"/>
      <c r="Q27" s="615"/>
      <c r="R27" s="615"/>
      <c r="S27" s="615"/>
      <c r="T27" s="615"/>
      <c r="U27" s="616"/>
      <c r="V27" s="774" t="s">
        <v>884</v>
      </c>
      <c r="W27" s="332"/>
      <c r="X27" s="776" t="s">
        <v>882</v>
      </c>
      <c r="Y27" s="778" t="s">
        <v>883</v>
      </c>
      <c r="Z27" s="329"/>
      <c r="AA27" s="771" t="s">
        <v>780</v>
      </c>
      <c r="AB27" s="770" t="s">
        <v>1079</v>
      </c>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9" ht="16.05" customHeight="1" thickBot="1" x14ac:dyDescent="0.5">
      <c r="A28" s="289"/>
      <c r="B28" s="343"/>
      <c r="C28" s="325" t="s">
        <v>779</v>
      </c>
      <c r="D28" s="773"/>
      <c r="E28" s="431" t="e">
        <f ca="1">IF($BF29, "", "Trede (gemiddeld)")</f>
        <v>#VALUE!</v>
      </c>
      <c r="F28" s="737"/>
      <c r="G28" s="737"/>
      <c r="H28" s="737"/>
      <c r="I28" s="737"/>
      <c r="J28" s="737"/>
      <c r="K28" s="737"/>
      <c r="L28" s="737"/>
      <c r="M28" s="737"/>
      <c r="N28" s="737"/>
      <c r="O28" s="737"/>
      <c r="P28" s="737"/>
      <c r="Q28" s="737"/>
      <c r="R28" s="737"/>
      <c r="S28" s="737"/>
      <c r="T28" s="737"/>
      <c r="U28" s="740"/>
      <c r="V28" s="775"/>
      <c r="W28" s="294"/>
      <c r="X28" s="777"/>
      <c r="Y28" s="779"/>
      <c r="Z28" s="329"/>
      <c r="AA28" s="771"/>
      <c r="AB28" s="770"/>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9" ht="16.05" customHeight="1" thickBot="1" x14ac:dyDescent="0.5">
      <c r="A29" s="289"/>
      <c r="B29" s="343"/>
      <c r="C29" s="325" t="s">
        <v>779</v>
      </c>
      <c r="E29" s="432" t="str">
        <f>IFERROR(
   INDEX('Hulp (CAO''s)'!$I$3:$I$7, MATCH(TRUE, 'Hulp (CAO''s)'!$D$3:$D$7, 0)),
"")</f>
        <v>Bruto maandsalaris</v>
      </c>
      <c r="F29" s="425" t="e" cm="1">
        <f t="array" aca="1" ref="F29" ca="1">IF($BF29, IF(F26="","",
   INDEX(
      INDIRECT("'" &amp; 'Hulp (CAO''s)'!$AE$8 &amp; "'!" &amp;
               'Hulp (overig)'!$C$17 &amp; "1:" &amp;
               'Hulp (overig)'!$C$17 &amp; "1000"),
      MATCH(
         F26,
         INDIRECT("'" &amp; 'Hulp (CAO''s)'!$AE$8 &amp; "'!A1:A1000"),
         0
      )
   )
), IF($D27="Gebruik % van maximum salaris",
IF(
    OR(F26="",F27=""),
    "",
    MAX(
        INDIRECT(
            "'" &amp; 'Hulp (overig)'!$C$16 &amp; "'!" &amp;
            'Hulp (overig)'!$C$17 &amp;
            MATCH(F26, INDIRECT("'" &amp; 'Hulp (overig)'!$C$16 &amp; "'!A1:A1000"), 0) &amp;
            ":" &amp;
            'Hulp (overig)'!$C$17 &amp;
LOOKUP(
    2,
    1 / (
        (ROW(INDIRECT("'" &amp; 'Hulp (overig)'!$C$16 &amp; "'!B1:B1000")) &lt;
            IF(G26&lt;&gt;"",
               MATCH(G26, INDIRECT("'" &amp; 'Hulp (overig)'!$C$16 &amp; "'!A1:A1000"),0),
               1000
            )
        ) *
        (LEFT(TRIM(INDIRECT("'" &amp; 'Hulp (overig)'!$C$16 &amp; "'!B1:B1000")),1) &lt;&gt; "u")
    ),
    ROW(INDIRECT("'" &amp; 'Hulp (overig)'!$C$16 &amp; "'!B1:B1000"))
)
        )
    ) * F27
),
IF(F28="","",
IF(
    IFERROR(MIN(
        IF(
            (TRIM(INDIRECT("'" &amp; 'Hulp (overig)'!$C$16 &amp; "'!B1:B1000")) = TEXT(F28,"0")) *
            (ROW(INDIRECT("'" &amp; 'Hulp (overig)'!$C$16 &amp; "'!B1:B1000")) &gt;= MATCH(
                F26,
                INDIRECT("'" &amp; 'Hulp (overig)'!$C$16 &amp; "'!A1:A1000"),
                0
            )) *
            IF(
                G26="",
                1,
                (ROW(INDIRECT("'" &amp; 'Hulp (overig)'!$C$16 &amp; "'!B1:B1000")) &lt; MATCH(
                    G26,
                    INDIRECT("'" &amp; 'Hulp (overig)'!$C$16 &amp; "'!A1:A1000"),
                    0
                ))
            ),
            ROW(INDIRECT("'" &amp; 'Hulp (overig)'!$C$16 &amp; "'!B1:B1000"))
        )
    ),0) &lt; 1,
    "",
    IF(INDEX(
        INDIRECT("'" &amp; 'Hulp (overig)'!$C$16 &amp; "'!" &amp;
        'Hulp (overig)'!$C$17 &amp; "1:" &amp; 'Hulp (overig)'!$C$17 &amp; 1000
        ),
        IFERROR(MIN(
            IF(
                (TRIM(INDIRECT("'" &amp; 'Hulp (overig)'!$C$16 &amp; "'!B1:B1000")) = TEXT(F28,"0")) *
                (ROW(INDIRECT("'" &amp; 'Hulp (overig)'!$C$16 &amp; "'!B1:B1000")) &gt;= MATCH(
                    F26,
                    INDIRECT("'" &amp; 'Hulp (overig)'!$C$16 &amp; "'!A1:A1000"),
                    0
                )) *
                IF(
                    G26="",
                    1,
                    (ROW(INDIRECT("'" &amp; 'Hulp (overig)'!$C$16 &amp; "'!B1:B1000")) &lt; MATCH(
                        G26,
                        INDIRECT("'" &amp; 'Hulp (overig)'!$C$16 &amp; "'!A1:A1000"),
                        0
                    ))
                ),
                ROW(INDIRECT("'" &amp; 'Hulp (overig)'!$C$16 &amp; "'!B1:B1000"))
            )
        ),0)
    )=0,"",
INDEX(
        INDIRECT("'" &amp; 'Hulp (overig)'!$C$16 &amp; "'!" &amp;
        'Hulp (overig)'!$C$17 &amp; "1:" &amp; 'Hulp (overig)'!$C$17 &amp; 1000
        ),
        IFERROR(MIN(
            IF(
                (TRIM(INDIRECT("'" &amp; 'Hulp (overig)'!$C$16 &amp; "'!B1:B1000")) = TEXT(F28,"0")) *
                (ROW(INDIRECT("'" &amp; 'Hulp (overig)'!$C$16 &amp; "'!B1:B1000")) &gt;= MATCH(
                    F26,
                    INDIRECT("'" &amp; 'Hulp (overig)'!$C$16 &amp; "'!A1:A1000"),
                    0
                )) *
                IF(
                    G26="",
                    1,
                    (ROW(INDIRECT("'" &amp; 'Hulp (overig)'!$C$16 &amp; "'!B1:B1000")) &lt; MATCH(
                        G26,
                        INDIRECT("'" &amp; 'Hulp (overig)'!$C$16 &amp; "'!A1:A1000"),
                        0
                    ))
                ),
                ROW(INDIRECT("'" &amp; 'Hulp (overig)'!$C$16 &amp; "'!B1:B1000"))
            )
        ),0)
    ))
))))</f>
        <v>#VALUE!</v>
      </c>
      <c r="G29" s="425" t="e" cm="1">
        <f t="array" aca="1" ref="G29" ca="1">IF($BF29, IF(G26="","",
   INDEX(
      INDIRECT("'" &amp; 'Hulp (CAO''s)'!$AE$8 &amp; "'!" &amp;
               'Hulp (overig)'!$C$17 &amp; "1:" &amp;
               'Hulp (overig)'!$C$17 &amp; "1000"),
      MATCH(
         G26,
         INDIRECT("'" &amp; 'Hulp (CAO''s)'!$AE$8 &amp; "'!A1:A1000"),
         0
      )
   )
), IF($D27="Gebruik % van maximum salaris",
IF(
    OR(G26="",G27=""),
    "",
    MAX(
        INDIRECT(
            "'" &amp; 'Hulp (overig)'!$C$16 &amp; "'!" &amp;
            'Hulp (overig)'!$C$17 &amp;
            MATCH(G26, INDIRECT("'" &amp; 'Hulp (overig)'!$C$16 &amp; "'!A1:A1000"), 0) &amp;
            ":" &amp;
            'Hulp (overig)'!$C$17 &amp;
LOOKUP(
    2,
    1 / (
        (ROW(INDIRECT("'" &amp; 'Hulp (overig)'!$C$16 &amp; "'!B1:B1000")) &lt;
            IF(H26&lt;&gt;"",
               MATCH(H26, INDIRECT("'" &amp; 'Hulp (overig)'!$C$16 &amp; "'!A1:A1000"),0),
               1000
            )
        ) *
        (LEFT(TRIM(INDIRECT("'" &amp; 'Hulp (overig)'!$C$16 &amp; "'!B1:B1000")),1) &lt;&gt; "u")
    ),
    ROW(INDIRECT("'" &amp; 'Hulp (overig)'!$C$16 &amp; "'!B1:B1000"))
)
        )
    ) * G27
),
IF(G28="","",
IF(
    IFERROR(MIN(
        IF(
            (TRIM(INDIRECT("'" &amp; 'Hulp (overig)'!$C$16 &amp; "'!B1:B1000")) = TEXT(G28,"0")) *
            (ROW(INDIRECT("'" &amp; 'Hulp (overig)'!$C$16 &amp; "'!B1:B1000")) &gt;= MATCH(
                G26,
                INDIRECT("'" &amp; 'Hulp (overig)'!$C$16 &amp; "'!A1:A1000"),
                0
            )) *
            IF(
                H26="",
                1,
                (ROW(INDIRECT("'" &amp; 'Hulp (overig)'!$C$16 &amp; "'!B1:B1000")) &lt; MATCH(
                    H26,
                    INDIRECT("'" &amp; 'Hulp (overig)'!$C$16 &amp; "'!A1:A1000"),
                    0
                ))
            ),
            ROW(INDIRECT("'" &amp; 'Hulp (overig)'!$C$16 &amp; "'!B1:B1000"))
        )
    ),0) &lt; 1,
    "",
    IF(INDEX(
        INDIRECT("'" &amp; 'Hulp (overig)'!$C$16 &amp; "'!" &amp;
        'Hulp (overig)'!$C$17 &amp; "1:" &amp; 'Hulp (overig)'!$C$17 &amp; 1000
        ),
        IFERROR(MIN(
            IF(
                (TRIM(INDIRECT("'" &amp; 'Hulp (overig)'!$C$16 &amp; "'!B1:B1000")) = TEXT(G28,"0")) *
                (ROW(INDIRECT("'" &amp; 'Hulp (overig)'!$C$16 &amp; "'!B1:B1000")) &gt;= MATCH(
                    G26,
                    INDIRECT("'" &amp; 'Hulp (overig)'!$C$16 &amp; "'!A1:A1000"),
                    0
                )) *
                IF(
                    H26="",
                    1,
                    (ROW(INDIRECT("'" &amp; 'Hulp (overig)'!$C$16 &amp; "'!B1:B1000")) &lt; MATCH(
                        H26,
                        INDIRECT("'" &amp; 'Hulp (overig)'!$C$16 &amp; "'!A1:A1000"),
                        0
                    ))
                ),
                ROW(INDIRECT("'" &amp; 'Hulp (overig)'!$C$16 &amp; "'!B1:B1000"))
            )
        ),0)
    )=0,"",
INDEX(
        INDIRECT("'" &amp; 'Hulp (overig)'!$C$16 &amp; "'!" &amp;
        'Hulp (overig)'!$C$17 &amp; "1:" &amp; 'Hulp (overig)'!$C$17 &amp; 1000
        ),
        IFERROR(MIN(
            IF(
                (TRIM(INDIRECT("'" &amp; 'Hulp (overig)'!$C$16 &amp; "'!B1:B1000")) = TEXT(G28,"0")) *
                (ROW(INDIRECT("'" &amp; 'Hulp (overig)'!$C$16 &amp; "'!B1:B1000")) &gt;= MATCH(
                    G26,
                    INDIRECT("'" &amp; 'Hulp (overig)'!$C$16 &amp; "'!A1:A1000"),
                    0
                )) *
                IF(
                    H26="",
                    1,
                    (ROW(INDIRECT("'" &amp; 'Hulp (overig)'!$C$16 &amp; "'!B1:B1000")) &lt; MATCH(
                        H26,
                        INDIRECT("'" &amp; 'Hulp (overig)'!$C$16 &amp; "'!A1:A1000"),
                        0
                    ))
                ),
                ROW(INDIRECT("'" &amp; 'Hulp (overig)'!$C$16 &amp; "'!B1:B1000"))
            )
        ),0)
    ))
))))</f>
        <v>#VALUE!</v>
      </c>
      <c r="H29" s="425" t="e" cm="1">
        <f t="array" aca="1" ref="H29" ca="1">IF($BF29, IF(H26="","",
   INDEX(
      INDIRECT("'" &amp; 'Hulp (CAO''s)'!$AE$8 &amp; "'!" &amp;
               'Hulp (overig)'!$C$17 &amp; "1:" &amp;
               'Hulp (overig)'!$C$17 &amp; "1000"),
      MATCH(
         H26,
         INDIRECT("'" &amp; 'Hulp (CAO''s)'!$AE$8 &amp; "'!A1:A1000"),
         0
      )
   )
), IF($D27="Gebruik % van maximum salaris",
IF(
    OR(H26="",H27=""),
    "",
    MAX(
        INDIRECT(
            "'" &amp; 'Hulp (overig)'!$C$16 &amp; "'!" &amp;
            'Hulp (overig)'!$C$17 &amp;
            MATCH(H26, INDIRECT("'" &amp; 'Hulp (overig)'!$C$16 &amp; "'!A1:A1000"), 0) &amp;
            ":" &amp;
            'Hulp (overig)'!$C$17 &amp;
LOOKUP(
    2,
    1 / (
        (ROW(INDIRECT("'" &amp; 'Hulp (overig)'!$C$16 &amp; "'!B1:B1000")) &lt;
            IF(I26&lt;&gt;"",
               MATCH(I26, INDIRECT("'" &amp; 'Hulp (overig)'!$C$16 &amp; "'!A1:A1000"),0),
               1000
            )
        ) *
        (LEFT(TRIM(INDIRECT("'" &amp; 'Hulp (overig)'!$C$16 &amp; "'!B1:B1000")),1) &lt;&gt; "u")
    ),
    ROW(INDIRECT("'" &amp; 'Hulp (overig)'!$C$16 &amp; "'!B1:B1000"))
)
        )
    ) * H27
),
IF(H28="","",
IF(
    IFERROR(MIN(
        IF(
            (TRIM(INDIRECT("'" &amp; 'Hulp (overig)'!$C$16 &amp; "'!B1:B1000")) = TEXT(H28,"0")) *
            (ROW(INDIRECT("'" &amp; 'Hulp (overig)'!$C$16 &amp; "'!B1:B1000")) &gt;= MATCH(
                H26,
                INDIRECT("'" &amp; 'Hulp (overig)'!$C$16 &amp; "'!A1:A1000"),
                0
            )) *
            IF(
                I26="",
                1,
                (ROW(INDIRECT("'" &amp; 'Hulp (overig)'!$C$16 &amp; "'!B1:B1000")) &lt; MATCH(
                    I26,
                    INDIRECT("'" &amp; 'Hulp (overig)'!$C$16 &amp; "'!A1:A1000"),
                    0
                ))
            ),
            ROW(INDIRECT("'" &amp; 'Hulp (overig)'!$C$16 &amp; "'!B1:B1000"))
        )
    ),0) &lt; 1,
    "",
    IF(INDEX(
        INDIRECT("'" &amp; 'Hulp (overig)'!$C$16 &amp; "'!" &amp;
        'Hulp (overig)'!$C$17 &amp; "1:" &amp; 'Hulp (overig)'!$C$17 &amp; 1000
        ),
        IFERROR(MIN(
            IF(
                (TRIM(INDIRECT("'" &amp; 'Hulp (overig)'!$C$16 &amp; "'!B1:B1000")) = TEXT(H28,"0")) *
                (ROW(INDIRECT("'" &amp; 'Hulp (overig)'!$C$16 &amp; "'!B1:B1000")) &gt;= MATCH(
                    H26,
                    INDIRECT("'" &amp; 'Hulp (overig)'!$C$16 &amp; "'!A1:A1000"),
                    0
                )) *
                IF(
                    I26="",
                    1,
                    (ROW(INDIRECT("'" &amp; 'Hulp (overig)'!$C$16 &amp; "'!B1:B1000")) &lt; MATCH(
                        I26,
                        INDIRECT("'" &amp; 'Hulp (overig)'!$C$16 &amp; "'!A1:A1000"),
                        0
                    ))
                ),
                ROW(INDIRECT("'" &amp; 'Hulp (overig)'!$C$16 &amp; "'!B1:B1000"))
            )
        ),0)
    )=0,"",
INDEX(
        INDIRECT("'" &amp; 'Hulp (overig)'!$C$16 &amp; "'!" &amp;
        'Hulp (overig)'!$C$17 &amp; "1:" &amp; 'Hulp (overig)'!$C$17 &amp; 1000
        ),
        IFERROR(MIN(
            IF(
                (TRIM(INDIRECT("'" &amp; 'Hulp (overig)'!$C$16 &amp; "'!B1:B1000")) = TEXT(H28,"0")) *
                (ROW(INDIRECT("'" &amp; 'Hulp (overig)'!$C$16 &amp; "'!B1:B1000")) &gt;= MATCH(
                    H26,
                    INDIRECT("'" &amp; 'Hulp (overig)'!$C$16 &amp; "'!A1:A1000"),
                    0
                )) *
                IF(
                    I26="",
                    1,
                    (ROW(INDIRECT("'" &amp; 'Hulp (overig)'!$C$16 &amp; "'!B1:B1000")) &lt; MATCH(
                        I26,
                        INDIRECT("'" &amp; 'Hulp (overig)'!$C$16 &amp; "'!A1:A1000"),
                        0
                    ))
                ),
                ROW(INDIRECT("'" &amp; 'Hulp (overig)'!$C$16 &amp; "'!B1:B1000"))
            )
        ),0)
    ))
))))</f>
        <v>#VALUE!</v>
      </c>
      <c r="I29" s="425" t="e" cm="1">
        <f t="array" aca="1" ref="I29" ca="1">IF($BF29, IF(I26="","",
   INDEX(
      INDIRECT("'" &amp; 'Hulp (CAO''s)'!$AE$8 &amp; "'!" &amp;
               'Hulp (overig)'!$C$17 &amp; "1:" &amp;
               'Hulp (overig)'!$C$17 &amp; "1000"),
      MATCH(
         I26,
         INDIRECT("'" &amp; 'Hulp (CAO''s)'!$AE$8 &amp; "'!A1:A1000"),
         0
      )
   )
), IF($D27="Gebruik % van maximum salaris",
IF(
    OR(I26="",I27=""),
    "",
    MAX(
        INDIRECT(
            "'" &amp; 'Hulp (overig)'!$C$16 &amp; "'!" &amp;
            'Hulp (overig)'!$C$17 &amp;
            MATCH(I26, INDIRECT("'" &amp; 'Hulp (overig)'!$C$16 &amp; "'!A1:A1000"), 0) &amp;
            ":" &amp;
            'Hulp (overig)'!$C$17 &amp;
LOOKUP(
    2,
    1 / (
        (ROW(INDIRECT("'" &amp; 'Hulp (overig)'!$C$16 &amp; "'!B1:B1000")) &lt;
            IF(J26&lt;&gt;"",
               MATCH(J26, INDIRECT("'" &amp; 'Hulp (overig)'!$C$16 &amp; "'!A1:A1000"),0),
               1000
            )
        ) *
        (LEFT(TRIM(INDIRECT("'" &amp; 'Hulp (overig)'!$C$16 &amp; "'!B1:B1000")),1) &lt;&gt; "u")
    ),
    ROW(INDIRECT("'" &amp; 'Hulp (overig)'!$C$16 &amp; "'!B1:B1000"))
)
        )
    ) * I27
),
IF(I28="","",
IF(
    IFERROR(MIN(
        IF(
            (TRIM(INDIRECT("'" &amp; 'Hulp (overig)'!$C$16 &amp; "'!B1:B1000")) = TEXT(I28,"0")) *
            (ROW(INDIRECT("'" &amp; 'Hulp (overig)'!$C$16 &amp; "'!B1:B1000")) &gt;= MATCH(
                I26,
                INDIRECT("'" &amp; 'Hulp (overig)'!$C$16 &amp; "'!A1:A1000"),
                0
            )) *
            IF(
                J26="",
                1,
                (ROW(INDIRECT("'" &amp; 'Hulp (overig)'!$C$16 &amp; "'!B1:B1000")) &lt; MATCH(
                    J26,
                    INDIRECT("'" &amp; 'Hulp (overig)'!$C$16 &amp; "'!A1:A1000"),
                    0
                ))
            ),
            ROW(INDIRECT("'" &amp; 'Hulp (overig)'!$C$16 &amp; "'!B1:B1000"))
        )
    ),0) &lt; 1,
    "",
    IF(INDEX(
        INDIRECT("'" &amp; 'Hulp (overig)'!$C$16 &amp; "'!" &amp;
        'Hulp (overig)'!$C$17 &amp; "1:" &amp; 'Hulp (overig)'!$C$17 &amp; 1000
        ),
        IFERROR(MIN(
            IF(
                (TRIM(INDIRECT("'" &amp; 'Hulp (overig)'!$C$16 &amp; "'!B1:B1000")) = TEXT(I28,"0")) *
                (ROW(INDIRECT("'" &amp; 'Hulp (overig)'!$C$16 &amp; "'!B1:B1000")) &gt;= MATCH(
                    I26,
                    INDIRECT("'" &amp; 'Hulp (overig)'!$C$16 &amp; "'!A1:A1000"),
                    0
                )) *
                IF(
                    J26="",
                    1,
                    (ROW(INDIRECT("'" &amp; 'Hulp (overig)'!$C$16 &amp; "'!B1:B1000")) &lt; MATCH(
                        J26,
                        INDIRECT("'" &amp; 'Hulp (overig)'!$C$16 &amp; "'!A1:A1000"),
                        0
                    ))
                ),
                ROW(INDIRECT("'" &amp; 'Hulp (overig)'!$C$16 &amp; "'!B1:B1000"))
            )
        ),0)
    )=0,"",
INDEX(
        INDIRECT("'" &amp; 'Hulp (overig)'!$C$16 &amp; "'!" &amp;
        'Hulp (overig)'!$C$17 &amp; "1:" &amp; 'Hulp (overig)'!$C$17 &amp; 1000
        ),
        IFERROR(MIN(
            IF(
                (TRIM(INDIRECT("'" &amp; 'Hulp (overig)'!$C$16 &amp; "'!B1:B1000")) = TEXT(I28,"0")) *
                (ROW(INDIRECT("'" &amp; 'Hulp (overig)'!$C$16 &amp; "'!B1:B1000")) &gt;= MATCH(
                    I26,
                    INDIRECT("'" &amp; 'Hulp (overig)'!$C$16 &amp; "'!A1:A1000"),
                    0
                )) *
                IF(
                    J26="",
                    1,
                    (ROW(INDIRECT("'" &amp; 'Hulp (overig)'!$C$16 &amp; "'!B1:B1000")) &lt; MATCH(
                        J26,
                        INDIRECT("'" &amp; 'Hulp (overig)'!$C$16 &amp; "'!A1:A1000"),
                        0
                    ))
                ),
                ROW(INDIRECT("'" &amp; 'Hulp (overig)'!$C$16 &amp; "'!B1:B1000"))
            )
        ),0)
    ))
))))</f>
        <v>#VALUE!</v>
      </c>
      <c r="J29" s="425" t="e" cm="1">
        <f t="array" aca="1" ref="J29" ca="1">IF($BF29, IF(J26="","",
   INDEX(
      INDIRECT("'" &amp; 'Hulp (CAO''s)'!$AE$8 &amp; "'!" &amp;
               'Hulp (overig)'!$C$17 &amp; "1:" &amp;
               'Hulp (overig)'!$C$17 &amp; "1000"),
      MATCH(
         J26,
         INDIRECT("'" &amp; 'Hulp (CAO''s)'!$AE$8 &amp; "'!A1:A1000"),
         0
      )
   )
), IF($D27="Gebruik % van maximum salaris",
IF(
    OR(J26="",J27=""),
    "",
    MAX(
        INDIRECT(
            "'" &amp; 'Hulp (overig)'!$C$16 &amp; "'!" &amp;
            'Hulp (overig)'!$C$17 &amp;
            MATCH(J26, INDIRECT("'" &amp; 'Hulp (overig)'!$C$16 &amp; "'!A1:A1000"), 0) &amp;
            ":" &amp;
            'Hulp (overig)'!$C$17 &amp;
LOOKUP(
    2,
    1 / (
        (ROW(INDIRECT("'" &amp; 'Hulp (overig)'!$C$16 &amp; "'!B1:B1000")) &lt;
            IF(K26&lt;&gt;"",
               MATCH(K26, INDIRECT("'" &amp; 'Hulp (overig)'!$C$16 &amp; "'!A1:A1000"),0),
               1000
            )
        ) *
        (LEFT(TRIM(INDIRECT("'" &amp; 'Hulp (overig)'!$C$16 &amp; "'!B1:B1000")),1) &lt;&gt; "u")
    ),
    ROW(INDIRECT("'" &amp; 'Hulp (overig)'!$C$16 &amp; "'!B1:B1000"))
)
        )
    ) * J27
),
IF(J28="","",
IF(
    IFERROR(MIN(
        IF(
            (TRIM(INDIRECT("'" &amp; 'Hulp (overig)'!$C$16 &amp; "'!B1:B1000")) = TEXT(J28,"0")) *
            (ROW(INDIRECT("'" &amp; 'Hulp (overig)'!$C$16 &amp; "'!B1:B1000")) &gt;= MATCH(
                J26,
                INDIRECT("'" &amp; 'Hulp (overig)'!$C$16 &amp; "'!A1:A1000"),
                0
            )) *
            IF(
                K26="",
                1,
                (ROW(INDIRECT("'" &amp; 'Hulp (overig)'!$C$16 &amp; "'!B1:B1000")) &lt; MATCH(
                    K26,
                    INDIRECT("'" &amp; 'Hulp (overig)'!$C$16 &amp; "'!A1:A1000"),
                    0
                ))
            ),
            ROW(INDIRECT("'" &amp; 'Hulp (overig)'!$C$16 &amp; "'!B1:B1000"))
        )
    ),0) &lt; 1,
    "",
    IF(INDEX(
        INDIRECT("'" &amp; 'Hulp (overig)'!$C$16 &amp; "'!" &amp;
        'Hulp (overig)'!$C$17 &amp; "1:" &amp; 'Hulp (overig)'!$C$17 &amp; 1000
        ),
        IFERROR(MIN(
            IF(
                (TRIM(INDIRECT("'" &amp; 'Hulp (overig)'!$C$16 &amp; "'!B1:B1000")) = TEXT(J28,"0")) *
                (ROW(INDIRECT("'" &amp; 'Hulp (overig)'!$C$16 &amp; "'!B1:B1000")) &gt;= MATCH(
                    J26,
                    INDIRECT("'" &amp; 'Hulp (overig)'!$C$16 &amp; "'!A1:A1000"),
                    0
                )) *
                IF(
                    K26="",
                    1,
                    (ROW(INDIRECT("'" &amp; 'Hulp (overig)'!$C$16 &amp; "'!B1:B1000")) &lt; MATCH(
                        K26,
                        INDIRECT("'" &amp; 'Hulp (overig)'!$C$16 &amp; "'!A1:A1000"),
                        0
                    ))
                ),
                ROW(INDIRECT("'" &amp; 'Hulp (overig)'!$C$16 &amp; "'!B1:B1000"))
            )
        ),0)
    )=0,"",
INDEX(
        INDIRECT("'" &amp; 'Hulp (overig)'!$C$16 &amp; "'!" &amp;
        'Hulp (overig)'!$C$17 &amp; "1:" &amp; 'Hulp (overig)'!$C$17 &amp; 1000
        ),
        IFERROR(MIN(
            IF(
                (TRIM(INDIRECT("'" &amp; 'Hulp (overig)'!$C$16 &amp; "'!B1:B1000")) = TEXT(J28,"0")) *
                (ROW(INDIRECT("'" &amp; 'Hulp (overig)'!$C$16 &amp; "'!B1:B1000")) &gt;= MATCH(
                    J26,
                    INDIRECT("'" &amp; 'Hulp (overig)'!$C$16 &amp; "'!A1:A1000"),
                    0
                )) *
                IF(
                    K26="",
                    1,
                    (ROW(INDIRECT("'" &amp; 'Hulp (overig)'!$C$16 &amp; "'!B1:B1000")) &lt; MATCH(
                        K26,
                        INDIRECT("'" &amp; 'Hulp (overig)'!$C$16 &amp; "'!A1:A1000"),
                        0
                    ))
                ),
                ROW(INDIRECT("'" &amp; 'Hulp (overig)'!$C$16 &amp; "'!B1:B1000"))
            )
        ),0)
    ))
))))</f>
        <v>#VALUE!</v>
      </c>
      <c r="K29" s="425" t="e" cm="1">
        <f t="array" aca="1" ref="K29" ca="1">IF($BF29, IF(K26="","",
   INDEX(
      INDIRECT("'" &amp; 'Hulp (CAO''s)'!$AE$8 &amp; "'!" &amp;
               'Hulp (overig)'!$C$17 &amp; "1:" &amp;
               'Hulp (overig)'!$C$17 &amp; "1000"),
      MATCH(
         K26,
         INDIRECT("'" &amp; 'Hulp (CAO''s)'!$AE$8 &amp; "'!A1:A1000"),
         0
      )
   )
), IF($D27="Gebruik % van maximum salaris",
IF(
    OR(K26="",K27=""),
    "",
    MAX(
        INDIRECT(
            "'" &amp; 'Hulp (overig)'!$C$16 &amp; "'!" &amp;
            'Hulp (overig)'!$C$17 &amp;
            MATCH(K26, INDIRECT("'" &amp; 'Hulp (overig)'!$C$16 &amp; "'!A1:A1000"), 0) &amp;
            ":" &amp;
            'Hulp (overig)'!$C$17 &amp;
LOOKUP(
    2,
    1 / (
        (ROW(INDIRECT("'" &amp; 'Hulp (overig)'!$C$16 &amp; "'!B1:B1000")) &lt;
            IF(L26&lt;&gt;"",
               MATCH(L26, INDIRECT("'" &amp; 'Hulp (overig)'!$C$16 &amp; "'!A1:A1000"),0),
               1000
            )
        ) *
        (LEFT(TRIM(INDIRECT("'" &amp; 'Hulp (overig)'!$C$16 &amp; "'!B1:B1000")),1) &lt;&gt; "u")
    ),
    ROW(INDIRECT("'" &amp; 'Hulp (overig)'!$C$16 &amp; "'!B1:B1000"))
)
        )
    ) * K27
),
IF(K28="","",
IF(
    IFERROR(MIN(
        IF(
            (TRIM(INDIRECT("'" &amp; 'Hulp (overig)'!$C$16 &amp; "'!B1:B1000")) = TEXT(K28,"0")) *
            (ROW(INDIRECT("'" &amp; 'Hulp (overig)'!$C$16 &amp; "'!B1:B1000")) &gt;= MATCH(
                K26,
                INDIRECT("'" &amp; 'Hulp (overig)'!$C$16 &amp; "'!A1:A1000"),
                0
            )) *
            IF(
                L26="",
                1,
                (ROW(INDIRECT("'" &amp; 'Hulp (overig)'!$C$16 &amp; "'!B1:B1000")) &lt; MATCH(
                    L26,
                    INDIRECT("'" &amp; 'Hulp (overig)'!$C$16 &amp; "'!A1:A1000"),
                    0
                ))
            ),
            ROW(INDIRECT("'" &amp; 'Hulp (overig)'!$C$16 &amp; "'!B1:B1000"))
        )
    ),0) &lt; 1,
    "",
    IF(INDEX(
        INDIRECT("'" &amp; 'Hulp (overig)'!$C$16 &amp; "'!" &amp;
        'Hulp (overig)'!$C$17 &amp; "1:" &amp; 'Hulp (overig)'!$C$17 &amp; 1000
        ),
        IFERROR(MIN(
            IF(
                (TRIM(INDIRECT("'" &amp; 'Hulp (overig)'!$C$16 &amp; "'!B1:B1000")) = TEXT(K28,"0")) *
                (ROW(INDIRECT("'" &amp; 'Hulp (overig)'!$C$16 &amp; "'!B1:B1000")) &gt;= MATCH(
                    K26,
                    INDIRECT("'" &amp; 'Hulp (overig)'!$C$16 &amp; "'!A1:A1000"),
                    0
                )) *
                IF(
                    L26="",
                    1,
                    (ROW(INDIRECT("'" &amp; 'Hulp (overig)'!$C$16 &amp; "'!B1:B1000")) &lt; MATCH(
                        L26,
                        INDIRECT("'" &amp; 'Hulp (overig)'!$C$16 &amp; "'!A1:A1000"),
                        0
                    ))
                ),
                ROW(INDIRECT("'" &amp; 'Hulp (overig)'!$C$16 &amp; "'!B1:B1000"))
            )
        ),0)
    )=0,"",
INDEX(
        INDIRECT("'" &amp; 'Hulp (overig)'!$C$16 &amp; "'!" &amp;
        'Hulp (overig)'!$C$17 &amp; "1:" &amp; 'Hulp (overig)'!$C$17 &amp; 1000
        ),
        IFERROR(MIN(
            IF(
                (TRIM(INDIRECT("'" &amp; 'Hulp (overig)'!$C$16 &amp; "'!B1:B1000")) = TEXT(K28,"0")) *
                (ROW(INDIRECT("'" &amp; 'Hulp (overig)'!$C$16 &amp; "'!B1:B1000")) &gt;= MATCH(
                    K26,
                    INDIRECT("'" &amp; 'Hulp (overig)'!$C$16 &amp; "'!A1:A1000"),
                    0
                )) *
                IF(
                    L26="",
                    1,
                    (ROW(INDIRECT("'" &amp; 'Hulp (overig)'!$C$16 &amp; "'!B1:B1000")) &lt; MATCH(
                        L26,
                        INDIRECT("'" &amp; 'Hulp (overig)'!$C$16 &amp; "'!A1:A1000"),
                        0
                    ))
                ),
                ROW(INDIRECT("'" &amp; 'Hulp (overig)'!$C$16 &amp; "'!B1:B1000"))
            )
        ),0)
    ))
))))</f>
        <v>#VALUE!</v>
      </c>
      <c r="L29" s="425" t="e" cm="1">
        <f t="array" aca="1" ref="L29" ca="1">IF($BF29, IF(L26="","",
   INDEX(
      INDIRECT("'" &amp; 'Hulp (CAO''s)'!$AE$8 &amp; "'!" &amp;
               'Hulp (overig)'!$C$17 &amp; "1:" &amp;
               'Hulp (overig)'!$C$17 &amp; "1000"),
      MATCH(
         L26,
         INDIRECT("'" &amp; 'Hulp (CAO''s)'!$AE$8 &amp; "'!A1:A1000"),
         0
      )
   )
), IF($D27="Gebruik % van maximum salaris",
IF(
    OR(L26="",L27=""),
    "",
    MAX(
        INDIRECT(
            "'" &amp; 'Hulp (overig)'!$C$16 &amp; "'!" &amp;
            'Hulp (overig)'!$C$17 &amp;
            MATCH(L26, INDIRECT("'" &amp; 'Hulp (overig)'!$C$16 &amp; "'!A1:A1000"), 0) &amp;
            ":" &amp;
            'Hulp (overig)'!$C$17 &amp;
LOOKUP(
    2,
    1 / (
        (ROW(INDIRECT("'" &amp; 'Hulp (overig)'!$C$16 &amp; "'!B1:B1000")) &lt;
            IF(M26&lt;&gt;"",
               MATCH(M26, INDIRECT("'" &amp; 'Hulp (overig)'!$C$16 &amp; "'!A1:A1000"),0),
               1000
            )
        ) *
        (LEFT(TRIM(INDIRECT("'" &amp; 'Hulp (overig)'!$C$16 &amp; "'!B1:B1000")),1) &lt;&gt; "u")
    ),
    ROW(INDIRECT("'" &amp; 'Hulp (overig)'!$C$16 &amp; "'!B1:B1000"))
)
        )
    ) * L27
),
IF(L28="","",
IF(
    IFERROR(MIN(
        IF(
            (TRIM(INDIRECT("'" &amp; 'Hulp (overig)'!$C$16 &amp; "'!B1:B1000")) = TEXT(L28,"0")) *
            (ROW(INDIRECT("'" &amp; 'Hulp (overig)'!$C$16 &amp; "'!B1:B1000")) &gt;= MATCH(
                L26,
                INDIRECT("'" &amp; 'Hulp (overig)'!$C$16 &amp; "'!A1:A1000"),
                0
            )) *
            IF(
                M26="",
                1,
                (ROW(INDIRECT("'" &amp; 'Hulp (overig)'!$C$16 &amp; "'!B1:B1000")) &lt; MATCH(
                    M26,
                    INDIRECT("'" &amp; 'Hulp (overig)'!$C$16 &amp; "'!A1:A1000"),
                    0
                ))
            ),
            ROW(INDIRECT("'" &amp; 'Hulp (overig)'!$C$16 &amp; "'!B1:B1000"))
        )
    ),0) &lt; 1,
    "",
    IF(INDEX(
        INDIRECT("'" &amp; 'Hulp (overig)'!$C$16 &amp; "'!" &amp;
        'Hulp (overig)'!$C$17 &amp; "1:" &amp; 'Hulp (overig)'!$C$17 &amp; 1000
        ),
        IFERROR(MIN(
            IF(
                (TRIM(INDIRECT("'" &amp; 'Hulp (overig)'!$C$16 &amp; "'!B1:B1000")) = TEXT(L28,"0")) *
                (ROW(INDIRECT("'" &amp; 'Hulp (overig)'!$C$16 &amp; "'!B1:B1000")) &gt;= MATCH(
                    L26,
                    INDIRECT("'" &amp; 'Hulp (overig)'!$C$16 &amp; "'!A1:A1000"),
                    0
                )) *
                IF(
                    M26="",
                    1,
                    (ROW(INDIRECT("'" &amp; 'Hulp (overig)'!$C$16 &amp; "'!B1:B1000")) &lt; MATCH(
                        M26,
                        INDIRECT("'" &amp; 'Hulp (overig)'!$C$16 &amp; "'!A1:A1000"),
                        0
                    ))
                ),
                ROW(INDIRECT("'" &amp; 'Hulp (overig)'!$C$16 &amp; "'!B1:B1000"))
            )
        ),0)
    )=0,"",
INDEX(
        INDIRECT("'" &amp; 'Hulp (overig)'!$C$16 &amp; "'!" &amp;
        'Hulp (overig)'!$C$17 &amp; "1:" &amp; 'Hulp (overig)'!$C$17 &amp; 1000
        ),
        IFERROR(MIN(
            IF(
                (TRIM(INDIRECT("'" &amp; 'Hulp (overig)'!$C$16 &amp; "'!B1:B1000")) = TEXT(L28,"0")) *
                (ROW(INDIRECT("'" &amp; 'Hulp (overig)'!$C$16 &amp; "'!B1:B1000")) &gt;= MATCH(
                    L26,
                    INDIRECT("'" &amp; 'Hulp (overig)'!$C$16 &amp; "'!A1:A1000"),
                    0
                )) *
                IF(
                    M26="",
                    1,
                    (ROW(INDIRECT("'" &amp; 'Hulp (overig)'!$C$16 &amp; "'!B1:B1000")) &lt; MATCH(
                        M26,
                        INDIRECT("'" &amp; 'Hulp (overig)'!$C$16 &amp; "'!A1:A1000"),
                        0
                    ))
                ),
                ROW(INDIRECT("'" &amp; 'Hulp (overig)'!$C$16 &amp; "'!B1:B1000"))
            )
        ),0)
    ))
))))</f>
        <v>#VALUE!</v>
      </c>
      <c r="M29" s="425" t="e" cm="1">
        <f t="array" aca="1" ref="M29" ca="1">IF($BF29, IF(M26="","",
   INDEX(
      INDIRECT("'" &amp; 'Hulp (CAO''s)'!$AE$8 &amp; "'!" &amp;
               'Hulp (overig)'!$C$17 &amp; "1:" &amp;
               'Hulp (overig)'!$C$17 &amp; "1000"),
      MATCH(
         M26,
         INDIRECT("'" &amp; 'Hulp (CAO''s)'!$AE$8 &amp; "'!A1:A1000"),
         0
      )
   )
), IF($D27="Gebruik % van maximum salaris",
IF(
    OR(M26="",M27=""),
    "",
    MAX(
        INDIRECT(
            "'" &amp; 'Hulp (overig)'!$C$16 &amp; "'!" &amp;
            'Hulp (overig)'!$C$17 &amp;
            MATCH(M26, INDIRECT("'" &amp; 'Hulp (overig)'!$C$16 &amp; "'!A1:A1000"), 0) &amp;
            ":" &amp;
            'Hulp (overig)'!$C$17 &amp;
LOOKUP(
    2,
    1 / (
        (ROW(INDIRECT("'" &amp; 'Hulp (overig)'!$C$16 &amp; "'!B1:B1000")) &lt;
            IF(N26&lt;&gt;"",
               MATCH(N26, INDIRECT("'" &amp; 'Hulp (overig)'!$C$16 &amp; "'!A1:A1000"),0),
               1000
            )
        ) *
        (LEFT(TRIM(INDIRECT("'" &amp; 'Hulp (overig)'!$C$16 &amp; "'!B1:B1000")),1) &lt;&gt; "u")
    ),
    ROW(INDIRECT("'" &amp; 'Hulp (overig)'!$C$16 &amp; "'!B1:B1000"))
)
        )
    ) * M27
),
IF(M28="","",
IF(
    IFERROR(MIN(
        IF(
            (TRIM(INDIRECT("'" &amp; 'Hulp (overig)'!$C$16 &amp; "'!B1:B1000")) = TEXT(M28,"0")) *
            (ROW(INDIRECT("'" &amp; 'Hulp (overig)'!$C$16 &amp; "'!B1:B1000")) &gt;= MATCH(
                M26,
                INDIRECT("'" &amp; 'Hulp (overig)'!$C$16 &amp; "'!A1:A1000"),
                0
            )) *
            IF(
                N26="",
                1,
                (ROW(INDIRECT("'" &amp; 'Hulp (overig)'!$C$16 &amp; "'!B1:B1000")) &lt; MATCH(
                    N26,
                    INDIRECT("'" &amp; 'Hulp (overig)'!$C$16 &amp; "'!A1:A1000"),
                    0
                ))
            ),
            ROW(INDIRECT("'" &amp; 'Hulp (overig)'!$C$16 &amp; "'!B1:B1000"))
        )
    ),0) &lt; 1,
    "",
    IF(INDEX(
        INDIRECT("'" &amp; 'Hulp (overig)'!$C$16 &amp; "'!" &amp;
        'Hulp (overig)'!$C$17 &amp; "1:" &amp; 'Hulp (overig)'!$C$17 &amp; 1000
        ),
        IFERROR(MIN(
            IF(
                (TRIM(INDIRECT("'" &amp; 'Hulp (overig)'!$C$16 &amp; "'!B1:B1000")) = TEXT(M28,"0")) *
                (ROW(INDIRECT("'" &amp; 'Hulp (overig)'!$C$16 &amp; "'!B1:B1000")) &gt;= MATCH(
                    M26,
                    INDIRECT("'" &amp; 'Hulp (overig)'!$C$16 &amp; "'!A1:A1000"),
                    0
                )) *
                IF(
                    N26="",
                    1,
                    (ROW(INDIRECT("'" &amp; 'Hulp (overig)'!$C$16 &amp; "'!B1:B1000")) &lt; MATCH(
                        N26,
                        INDIRECT("'" &amp; 'Hulp (overig)'!$C$16 &amp; "'!A1:A1000"),
                        0
                    ))
                ),
                ROW(INDIRECT("'" &amp; 'Hulp (overig)'!$C$16 &amp; "'!B1:B1000"))
            )
        ),0)
    )=0,"",
INDEX(
        INDIRECT("'" &amp; 'Hulp (overig)'!$C$16 &amp; "'!" &amp;
        'Hulp (overig)'!$C$17 &amp; "1:" &amp; 'Hulp (overig)'!$C$17 &amp; 1000
        ),
        IFERROR(MIN(
            IF(
                (TRIM(INDIRECT("'" &amp; 'Hulp (overig)'!$C$16 &amp; "'!B1:B1000")) = TEXT(M28,"0")) *
                (ROW(INDIRECT("'" &amp; 'Hulp (overig)'!$C$16 &amp; "'!B1:B1000")) &gt;= MATCH(
                    M26,
                    INDIRECT("'" &amp; 'Hulp (overig)'!$C$16 &amp; "'!A1:A1000"),
                    0
                )) *
                IF(
                    N26="",
                    1,
                    (ROW(INDIRECT("'" &amp; 'Hulp (overig)'!$C$16 &amp; "'!B1:B1000")) &lt; MATCH(
                        N26,
                        INDIRECT("'" &amp; 'Hulp (overig)'!$C$16 &amp; "'!A1:A1000"),
                        0
                    ))
                ),
                ROW(INDIRECT("'" &amp; 'Hulp (overig)'!$C$16 &amp; "'!B1:B1000"))
            )
        ),0)
    ))
))))</f>
        <v>#VALUE!</v>
      </c>
      <c r="N29" s="425" t="e" cm="1">
        <f t="array" aca="1" ref="N29" ca="1">IF($BF29, IF(N26="","",
   INDEX(
      INDIRECT("'" &amp; 'Hulp (CAO''s)'!$AE$8 &amp; "'!" &amp;
               'Hulp (overig)'!$C$17 &amp; "1:" &amp;
               'Hulp (overig)'!$C$17 &amp; "1000"),
      MATCH(
         N26,
         INDIRECT("'" &amp; 'Hulp (CAO''s)'!$AE$8 &amp; "'!A1:A1000"),
         0
      )
   )
), IF($D27="Gebruik % van maximum salaris",
IF(
    OR(N26="",N27=""),
    "",
    MAX(
        INDIRECT(
            "'" &amp; 'Hulp (overig)'!$C$16 &amp; "'!" &amp;
            'Hulp (overig)'!$C$17 &amp;
            MATCH(N26, INDIRECT("'" &amp; 'Hulp (overig)'!$C$16 &amp; "'!A1:A1000"), 0) &amp;
            ":" &amp;
            'Hulp (overig)'!$C$17 &amp;
LOOKUP(
    2,
    1 / (
        (ROW(INDIRECT("'" &amp; 'Hulp (overig)'!$C$16 &amp; "'!B1:B1000")) &lt;
            IF(O26&lt;&gt;"",
               MATCH(O26, INDIRECT("'" &amp; 'Hulp (overig)'!$C$16 &amp; "'!A1:A1000"),0),
               1000
            )
        ) *
        (LEFT(TRIM(INDIRECT("'" &amp; 'Hulp (overig)'!$C$16 &amp; "'!B1:B1000")),1) &lt;&gt; "u")
    ),
    ROW(INDIRECT("'" &amp; 'Hulp (overig)'!$C$16 &amp; "'!B1:B1000"))
)
        )
    ) * N27
),
IF(N28="","",
IF(
    IFERROR(MIN(
        IF(
            (TRIM(INDIRECT("'" &amp; 'Hulp (overig)'!$C$16 &amp; "'!B1:B1000")) = TEXT(N28,"0")) *
            (ROW(INDIRECT("'" &amp; 'Hulp (overig)'!$C$16 &amp; "'!B1:B1000")) &gt;= MATCH(
                N26,
                INDIRECT("'" &amp; 'Hulp (overig)'!$C$16 &amp; "'!A1:A1000"),
                0
            )) *
            IF(
                O26="",
                1,
                (ROW(INDIRECT("'" &amp; 'Hulp (overig)'!$C$16 &amp; "'!B1:B1000")) &lt; MATCH(
                    O26,
                    INDIRECT("'" &amp; 'Hulp (overig)'!$C$16 &amp; "'!A1:A1000"),
                    0
                ))
            ),
            ROW(INDIRECT("'" &amp; 'Hulp (overig)'!$C$16 &amp; "'!B1:B1000"))
        )
    ),0) &lt; 1,
    "",
    IF(INDEX(
        INDIRECT("'" &amp; 'Hulp (overig)'!$C$16 &amp; "'!" &amp;
        'Hulp (overig)'!$C$17 &amp; "1:" &amp; 'Hulp (overig)'!$C$17 &amp; 1000
        ),
        IFERROR(MIN(
            IF(
                (TRIM(INDIRECT("'" &amp; 'Hulp (overig)'!$C$16 &amp; "'!B1:B1000")) = TEXT(N28,"0")) *
                (ROW(INDIRECT("'" &amp; 'Hulp (overig)'!$C$16 &amp; "'!B1:B1000")) &gt;= MATCH(
                    N26,
                    INDIRECT("'" &amp; 'Hulp (overig)'!$C$16 &amp; "'!A1:A1000"),
                    0
                )) *
                IF(
                    O26="",
                    1,
                    (ROW(INDIRECT("'" &amp; 'Hulp (overig)'!$C$16 &amp; "'!B1:B1000")) &lt; MATCH(
                        O26,
                        INDIRECT("'" &amp; 'Hulp (overig)'!$C$16 &amp; "'!A1:A1000"),
                        0
                    ))
                ),
                ROW(INDIRECT("'" &amp; 'Hulp (overig)'!$C$16 &amp; "'!B1:B1000"))
            )
        ),0)
    )=0,"",
INDEX(
        INDIRECT("'" &amp; 'Hulp (overig)'!$C$16 &amp; "'!" &amp;
        'Hulp (overig)'!$C$17 &amp; "1:" &amp; 'Hulp (overig)'!$C$17 &amp; 1000
        ),
        IFERROR(MIN(
            IF(
                (TRIM(INDIRECT("'" &amp; 'Hulp (overig)'!$C$16 &amp; "'!B1:B1000")) = TEXT(N28,"0")) *
                (ROW(INDIRECT("'" &amp; 'Hulp (overig)'!$C$16 &amp; "'!B1:B1000")) &gt;= MATCH(
                    N26,
                    INDIRECT("'" &amp; 'Hulp (overig)'!$C$16 &amp; "'!A1:A1000"),
                    0
                )) *
                IF(
                    O26="",
                    1,
                    (ROW(INDIRECT("'" &amp; 'Hulp (overig)'!$C$16 &amp; "'!B1:B1000")) &lt; MATCH(
                        O26,
                        INDIRECT("'" &amp; 'Hulp (overig)'!$C$16 &amp; "'!A1:A1000"),
                        0
                    ))
                ),
                ROW(INDIRECT("'" &amp; 'Hulp (overig)'!$C$16 &amp; "'!B1:B1000"))
            )
        ),0)
    ))
))))</f>
        <v>#VALUE!</v>
      </c>
      <c r="O29" s="425" t="e" cm="1">
        <f t="array" aca="1" ref="O29" ca="1">IF($BF29, IF(O26="","",
   INDEX(
      INDIRECT("'" &amp; 'Hulp (CAO''s)'!$AE$8 &amp; "'!" &amp;
               'Hulp (overig)'!$C$17 &amp; "1:" &amp;
               'Hulp (overig)'!$C$17 &amp; "1000"),
      MATCH(
         O26,
         INDIRECT("'" &amp; 'Hulp (CAO''s)'!$AE$8 &amp; "'!A1:A1000"),
         0
      )
   )
), IF($D27="Gebruik % van maximum salaris",
IF(
    OR(O26="",O27=""),
    "",
    MAX(
        INDIRECT(
            "'" &amp; 'Hulp (overig)'!$C$16 &amp; "'!" &amp;
            'Hulp (overig)'!$C$17 &amp;
            MATCH(O26, INDIRECT("'" &amp; 'Hulp (overig)'!$C$16 &amp; "'!A1:A1000"), 0) &amp;
            ":" &amp;
            'Hulp (overig)'!$C$17 &amp;
LOOKUP(
    2,
    1 / (
        (ROW(INDIRECT("'" &amp; 'Hulp (overig)'!$C$16 &amp; "'!B1:B1000")) &lt;
            IF(P26&lt;&gt;"",
               MATCH(P26, INDIRECT("'" &amp; 'Hulp (overig)'!$C$16 &amp; "'!A1:A1000"),0),
               1000
            )
        ) *
        (LEFT(TRIM(INDIRECT("'" &amp; 'Hulp (overig)'!$C$16 &amp; "'!B1:B1000")),1) &lt;&gt; "u")
    ),
    ROW(INDIRECT("'" &amp; 'Hulp (overig)'!$C$16 &amp; "'!B1:B1000"))
)
        )
    ) * O27
),
IF(O28="","",
IF(
    IFERROR(MIN(
        IF(
            (TRIM(INDIRECT("'" &amp; 'Hulp (overig)'!$C$16 &amp; "'!B1:B1000")) = TEXT(O28,"0")) *
            (ROW(INDIRECT("'" &amp; 'Hulp (overig)'!$C$16 &amp; "'!B1:B1000")) &gt;= MATCH(
                O26,
                INDIRECT("'" &amp; 'Hulp (overig)'!$C$16 &amp; "'!A1:A1000"),
                0
            )) *
            IF(
                P26="",
                1,
                (ROW(INDIRECT("'" &amp; 'Hulp (overig)'!$C$16 &amp; "'!B1:B1000")) &lt; MATCH(
                    P26,
                    INDIRECT("'" &amp; 'Hulp (overig)'!$C$16 &amp; "'!A1:A1000"),
                    0
                ))
            ),
            ROW(INDIRECT("'" &amp; 'Hulp (overig)'!$C$16 &amp; "'!B1:B1000"))
        )
    ),0) &lt; 1,
    "",
    IF(INDEX(
        INDIRECT("'" &amp; 'Hulp (overig)'!$C$16 &amp; "'!" &amp;
        'Hulp (overig)'!$C$17 &amp; "1:" &amp; 'Hulp (overig)'!$C$17 &amp; 1000
        ),
        IFERROR(MIN(
            IF(
                (TRIM(INDIRECT("'" &amp; 'Hulp (overig)'!$C$16 &amp; "'!B1:B1000")) = TEXT(O28,"0")) *
                (ROW(INDIRECT("'" &amp; 'Hulp (overig)'!$C$16 &amp; "'!B1:B1000")) &gt;= MATCH(
                    O26,
                    INDIRECT("'" &amp; 'Hulp (overig)'!$C$16 &amp; "'!A1:A1000"),
                    0
                )) *
                IF(
                    P26="",
                    1,
                    (ROW(INDIRECT("'" &amp; 'Hulp (overig)'!$C$16 &amp; "'!B1:B1000")) &lt; MATCH(
                        P26,
                        INDIRECT("'" &amp; 'Hulp (overig)'!$C$16 &amp; "'!A1:A1000"),
                        0
                    ))
                ),
                ROW(INDIRECT("'" &amp; 'Hulp (overig)'!$C$16 &amp; "'!B1:B1000"))
            )
        ),0)
    )=0,"",
INDEX(
        INDIRECT("'" &amp; 'Hulp (overig)'!$C$16 &amp; "'!" &amp;
        'Hulp (overig)'!$C$17 &amp; "1:" &amp; 'Hulp (overig)'!$C$17 &amp; 1000
        ),
        IFERROR(MIN(
            IF(
                (TRIM(INDIRECT("'" &amp; 'Hulp (overig)'!$C$16 &amp; "'!B1:B1000")) = TEXT(O28,"0")) *
                (ROW(INDIRECT("'" &amp; 'Hulp (overig)'!$C$16 &amp; "'!B1:B1000")) &gt;= MATCH(
                    O26,
                    INDIRECT("'" &amp; 'Hulp (overig)'!$C$16 &amp; "'!A1:A1000"),
                    0
                )) *
                IF(
                    P26="",
                    1,
                    (ROW(INDIRECT("'" &amp; 'Hulp (overig)'!$C$16 &amp; "'!B1:B1000")) &lt; MATCH(
                        P26,
                        INDIRECT("'" &amp; 'Hulp (overig)'!$C$16 &amp; "'!A1:A1000"),
                        0
                    ))
                ),
                ROW(INDIRECT("'" &amp; 'Hulp (overig)'!$C$16 &amp; "'!B1:B1000"))
            )
        ),0)
    ))
))))</f>
        <v>#VALUE!</v>
      </c>
      <c r="P29" s="425" t="e" cm="1">
        <f t="array" aca="1" ref="P29" ca="1">IF($BF29, IF(P26="","",
   INDEX(
      INDIRECT("'" &amp; 'Hulp (CAO''s)'!$AE$8 &amp; "'!" &amp;
               'Hulp (overig)'!$C$17 &amp; "1:" &amp;
               'Hulp (overig)'!$C$17 &amp; "1000"),
      MATCH(
         P26,
         INDIRECT("'" &amp; 'Hulp (CAO''s)'!$AE$8 &amp; "'!A1:A1000"),
         0
      )
   )
), IF($D27="Gebruik % van maximum salaris",
IF(
    OR(P26="",P27=""),
    "",
    MAX(
        INDIRECT(
            "'" &amp; 'Hulp (overig)'!$C$16 &amp; "'!" &amp;
            'Hulp (overig)'!$C$17 &amp;
            MATCH(P26, INDIRECT("'" &amp; 'Hulp (overig)'!$C$16 &amp; "'!A1:A1000"), 0) &amp;
            ":" &amp;
            'Hulp (overig)'!$C$17 &amp;
LOOKUP(
    2,
    1 / (
        (ROW(INDIRECT("'" &amp; 'Hulp (overig)'!$C$16 &amp; "'!B1:B1000")) &lt;
            IF(Q26&lt;&gt;"",
               MATCH(Q26, INDIRECT("'" &amp; 'Hulp (overig)'!$C$16 &amp; "'!A1:A1000"),0),
               1000
            )
        ) *
        (LEFT(TRIM(INDIRECT("'" &amp; 'Hulp (overig)'!$C$16 &amp; "'!B1:B1000")),1) &lt;&gt; "u")
    ),
    ROW(INDIRECT("'" &amp; 'Hulp (overig)'!$C$16 &amp; "'!B1:B1000"))
)
        )
    ) * P27
),
IF(P28="","",
IF(
    IFERROR(MIN(
        IF(
            (TRIM(INDIRECT("'" &amp; 'Hulp (overig)'!$C$16 &amp; "'!B1:B1000")) = TEXT(P28,"0")) *
            (ROW(INDIRECT("'" &amp; 'Hulp (overig)'!$C$16 &amp; "'!B1:B1000")) &gt;= MATCH(
                P26,
                INDIRECT("'" &amp; 'Hulp (overig)'!$C$16 &amp; "'!A1:A1000"),
                0
            )) *
            IF(
                Q26="",
                1,
                (ROW(INDIRECT("'" &amp; 'Hulp (overig)'!$C$16 &amp; "'!B1:B1000")) &lt; MATCH(
                    Q26,
                    INDIRECT("'" &amp; 'Hulp (overig)'!$C$16 &amp; "'!A1:A1000"),
                    0
                ))
            ),
            ROW(INDIRECT("'" &amp; 'Hulp (overig)'!$C$16 &amp; "'!B1:B1000"))
        )
    ),0) &lt; 1,
    "",
    IF(INDEX(
        INDIRECT("'" &amp; 'Hulp (overig)'!$C$16 &amp; "'!" &amp;
        'Hulp (overig)'!$C$17 &amp; "1:" &amp; 'Hulp (overig)'!$C$17 &amp; 1000
        ),
        IFERROR(MIN(
            IF(
                (TRIM(INDIRECT("'" &amp; 'Hulp (overig)'!$C$16 &amp; "'!B1:B1000")) = TEXT(P28,"0")) *
                (ROW(INDIRECT("'" &amp; 'Hulp (overig)'!$C$16 &amp; "'!B1:B1000")) &gt;= MATCH(
                    P26,
                    INDIRECT("'" &amp; 'Hulp (overig)'!$C$16 &amp; "'!A1:A1000"),
                    0
                )) *
                IF(
                    Q26="",
                    1,
                    (ROW(INDIRECT("'" &amp; 'Hulp (overig)'!$C$16 &amp; "'!B1:B1000")) &lt; MATCH(
                        Q26,
                        INDIRECT("'" &amp; 'Hulp (overig)'!$C$16 &amp; "'!A1:A1000"),
                        0
                    ))
                ),
                ROW(INDIRECT("'" &amp; 'Hulp (overig)'!$C$16 &amp; "'!B1:B1000"))
            )
        ),0)
    )=0,"",
INDEX(
        INDIRECT("'" &amp; 'Hulp (overig)'!$C$16 &amp; "'!" &amp;
        'Hulp (overig)'!$C$17 &amp; "1:" &amp; 'Hulp (overig)'!$C$17 &amp; 1000
        ),
        IFERROR(MIN(
            IF(
                (TRIM(INDIRECT("'" &amp; 'Hulp (overig)'!$C$16 &amp; "'!B1:B1000")) = TEXT(P28,"0")) *
                (ROW(INDIRECT("'" &amp; 'Hulp (overig)'!$C$16 &amp; "'!B1:B1000")) &gt;= MATCH(
                    P26,
                    INDIRECT("'" &amp; 'Hulp (overig)'!$C$16 &amp; "'!A1:A1000"),
                    0
                )) *
                IF(
                    Q26="",
                    1,
                    (ROW(INDIRECT("'" &amp; 'Hulp (overig)'!$C$16 &amp; "'!B1:B1000")) &lt; MATCH(
                        Q26,
                        INDIRECT("'" &amp; 'Hulp (overig)'!$C$16 &amp; "'!A1:A1000"),
                        0
                    ))
                ),
                ROW(INDIRECT("'" &amp; 'Hulp (overig)'!$C$16 &amp; "'!B1:B1000"))
            )
        ),0)
    ))
))))</f>
        <v>#VALUE!</v>
      </c>
      <c r="Q29" s="425" t="e" cm="1">
        <f t="array" aca="1" ref="Q29" ca="1">IF($BF29, IF(Q26="","",
   INDEX(
      INDIRECT("'" &amp; 'Hulp (CAO''s)'!$AE$8 &amp; "'!" &amp;
               'Hulp (overig)'!$C$17 &amp; "1:" &amp;
               'Hulp (overig)'!$C$17 &amp; "1000"),
      MATCH(
         Q26,
         INDIRECT("'" &amp; 'Hulp (CAO''s)'!$AE$8 &amp; "'!A1:A1000"),
         0
      )
   )
), IF($D27="Gebruik % van maximum salaris",
IF(
    OR(Q26="",Q27=""),
    "",
    MAX(
        INDIRECT(
            "'" &amp; 'Hulp (overig)'!$C$16 &amp; "'!" &amp;
            'Hulp (overig)'!$C$17 &amp;
            MATCH(Q26, INDIRECT("'" &amp; 'Hulp (overig)'!$C$16 &amp; "'!A1:A1000"), 0) &amp;
            ":" &amp;
            'Hulp (overig)'!$C$17 &amp;
LOOKUP(
    2,
    1 / (
        (ROW(INDIRECT("'" &amp; 'Hulp (overig)'!$C$16 &amp; "'!B1:B1000")) &lt;
            IF(R26&lt;&gt;"",
               MATCH(R26, INDIRECT("'" &amp; 'Hulp (overig)'!$C$16 &amp; "'!A1:A1000"),0),
               1000
            )
        ) *
        (LEFT(TRIM(INDIRECT("'" &amp; 'Hulp (overig)'!$C$16 &amp; "'!B1:B1000")),1) &lt;&gt; "u")
    ),
    ROW(INDIRECT("'" &amp; 'Hulp (overig)'!$C$16 &amp; "'!B1:B1000"))
)
        )
    ) * Q27
),
IF(Q28="","",
IF(
    IFERROR(MIN(
        IF(
            (TRIM(INDIRECT("'" &amp; 'Hulp (overig)'!$C$16 &amp; "'!B1:B1000")) = TEXT(Q28,"0")) *
            (ROW(INDIRECT("'" &amp; 'Hulp (overig)'!$C$16 &amp; "'!B1:B1000")) &gt;= MATCH(
                Q26,
                INDIRECT("'" &amp; 'Hulp (overig)'!$C$16 &amp; "'!A1:A1000"),
                0
            )) *
            IF(
                R26="",
                1,
                (ROW(INDIRECT("'" &amp; 'Hulp (overig)'!$C$16 &amp; "'!B1:B1000")) &lt; MATCH(
                    R26,
                    INDIRECT("'" &amp; 'Hulp (overig)'!$C$16 &amp; "'!A1:A1000"),
                    0
                ))
            ),
            ROW(INDIRECT("'" &amp; 'Hulp (overig)'!$C$16 &amp; "'!B1:B1000"))
        )
    ),0) &lt; 1,
    "",
    IF(INDEX(
        INDIRECT("'" &amp; 'Hulp (overig)'!$C$16 &amp; "'!" &amp;
        'Hulp (overig)'!$C$17 &amp; "1:" &amp; 'Hulp (overig)'!$C$17 &amp; 1000
        ),
        IFERROR(MIN(
            IF(
                (TRIM(INDIRECT("'" &amp; 'Hulp (overig)'!$C$16 &amp; "'!B1:B1000")) = TEXT(Q28,"0")) *
                (ROW(INDIRECT("'" &amp; 'Hulp (overig)'!$C$16 &amp; "'!B1:B1000")) &gt;= MATCH(
                    Q26,
                    INDIRECT("'" &amp; 'Hulp (overig)'!$C$16 &amp; "'!A1:A1000"),
                    0
                )) *
                IF(
                    R26="",
                    1,
                    (ROW(INDIRECT("'" &amp; 'Hulp (overig)'!$C$16 &amp; "'!B1:B1000")) &lt; MATCH(
                        R26,
                        INDIRECT("'" &amp; 'Hulp (overig)'!$C$16 &amp; "'!A1:A1000"),
                        0
                    ))
                ),
                ROW(INDIRECT("'" &amp; 'Hulp (overig)'!$C$16 &amp; "'!B1:B1000"))
            )
        ),0)
    )=0,"",
INDEX(
        INDIRECT("'" &amp; 'Hulp (overig)'!$C$16 &amp; "'!" &amp;
        'Hulp (overig)'!$C$17 &amp; "1:" &amp; 'Hulp (overig)'!$C$17 &amp; 1000
        ),
        IFERROR(MIN(
            IF(
                (TRIM(INDIRECT("'" &amp; 'Hulp (overig)'!$C$16 &amp; "'!B1:B1000")) = TEXT(Q28,"0")) *
                (ROW(INDIRECT("'" &amp; 'Hulp (overig)'!$C$16 &amp; "'!B1:B1000")) &gt;= MATCH(
                    Q26,
                    INDIRECT("'" &amp; 'Hulp (overig)'!$C$16 &amp; "'!A1:A1000"),
                    0
                )) *
                IF(
                    R26="",
                    1,
                    (ROW(INDIRECT("'" &amp; 'Hulp (overig)'!$C$16 &amp; "'!B1:B1000")) &lt; MATCH(
                        R26,
                        INDIRECT("'" &amp; 'Hulp (overig)'!$C$16 &amp; "'!A1:A1000"),
                        0
                    ))
                ),
                ROW(INDIRECT("'" &amp; 'Hulp (overig)'!$C$16 &amp; "'!B1:B1000"))
            )
        ),0)
    ))
))))</f>
        <v>#VALUE!</v>
      </c>
      <c r="R29" s="425" t="e" cm="1">
        <f t="array" aca="1" ref="R29" ca="1">IF($BF29, IF(R26="","",
   INDEX(
      INDIRECT("'" &amp; 'Hulp (CAO''s)'!$AE$8 &amp; "'!" &amp;
               'Hulp (overig)'!$C$17 &amp; "1:" &amp;
               'Hulp (overig)'!$C$17 &amp; "1000"),
      MATCH(
         R26,
         INDIRECT("'" &amp; 'Hulp (CAO''s)'!$AE$8 &amp; "'!A1:A1000"),
         0
      )
   )
), IF($D27="Gebruik % van maximum salaris",
IF(
    OR(R26="",R27=""),
    "",
    MAX(
        INDIRECT(
            "'" &amp; 'Hulp (overig)'!$C$16 &amp; "'!" &amp;
            'Hulp (overig)'!$C$17 &amp;
            MATCH(R26, INDIRECT("'" &amp; 'Hulp (overig)'!$C$16 &amp; "'!A1:A1000"), 0) &amp;
            ":" &amp;
            'Hulp (overig)'!$C$17 &amp;
LOOKUP(
    2,
    1 / (
        (ROW(INDIRECT("'" &amp; 'Hulp (overig)'!$C$16 &amp; "'!B1:B1000")) &lt;
            IF(S26&lt;&gt;"",
               MATCH(S26, INDIRECT("'" &amp; 'Hulp (overig)'!$C$16 &amp; "'!A1:A1000"),0),
               1000
            )
        ) *
        (LEFT(TRIM(INDIRECT("'" &amp; 'Hulp (overig)'!$C$16 &amp; "'!B1:B1000")),1) &lt;&gt; "u")
    ),
    ROW(INDIRECT("'" &amp; 'Hulp (overig)'!$C$16 &amp; "'!B1:B1000"))
)
        )
    ) * R27
),
IF(R28="","",
IF(
    IFERROR(MIN(
        IF(
            (TRIM(INDIRECT("'" &amp; 'Hulp (overig)'!$C$16 &amp; "'!B1:B1000")) = TEXT(R28,"0")) *
            (ROW(INDIRECT("'" &amp; 'Hulp (overig)'!$C$16 &amp; "'!B1:B1000")) &gt;= MATCH(
                R26,
                INDIRECT("'" &amp; 'Hulp (overig)'!$C$16 &amp; "'!A1:A1000"),
                0
            )) *
            IF(
                S26="",
                1,
                (ROW(INDIRECT("'" &amp; 'Hulp (overig)'!$C$16 &amp; "'!B1:B1000")) &lt; MATCH(
                    S26,
                    INDIRECT("'" &amp; 'Hulp (overig)'!$C$16 &amp; "'!A1:A1000"),
                    0
                ))
            ),
            ROW(INDIRECT("'" &amp; 'Hulp (overig)'!$C$16 &amp; "'!B1:B1000"))
        )
    ),0) &lt; 1,
    "",
    IF(INDEX(
        INDIRECT("'" &amp; 'Hulp (overig)'!$C$16 &amp; "'!" &amp;
        'Hulp (overig)'!$C$17 &amp; "1:" &amp; 'Hulp (overig)'!$C$17 &amp; 1000
        ),
        IFERROR(MIN(
            IF(
                (TRIM(INDIRECT("'" &amp; 'Hulp (overig)'!$C$16 &amp; "'!B1:B1000")) = TEXT(R28,"0")) *
                (ROW(INDIRECT("'" &amp; 'Hulp (overig)'!$C$16 &amp; "'!B1:B1000")) &gt;= MATCH(
                    R26,
                    INDIRECT("'" &amp; 'Hulp (overig)'!$C$16 &amp; "'!A1:A1000"),
                    0
                )) *
                IF(
                    S26="",
                    1,
                    (ROW(INDIRECT("'" &amp; 'Hulp (overig)'!$C$16 &amp; "'!B1:B1000")) &lt; MATCH(
                        S26,
                        INDIRECT("'" &amp; 'Hulp (overig)'!$C$16 &amp; "'!A1:A1000"),
                        0
                    ))
                ),
                ROW(INDIRECT("'" &amp; 'Hulp (overig)'!$C$16 &amp; "'!B1:B1000"))
            )
        ),0)
    )=0,"",
INDEX(
        INDIRECT("'" &amp; 'Hulp (overig)'!$C$16 &amp; "'!" &amp;
        'Hulp (overig)'!$C$17 &amp; "1:" &amp; 'Hulp (overig)'!$C$17 &amp; 1000
        ),
        IFERROR(MIN(
            IF(
                (TRIM(INDIRECT("'" &amp; 'Hulp (overig)'!$C$16 &amp; "'!B1:B1000")) = TEXT(R28,"0")) *
                (ROW(INDIRECT("'" &amp; 'Hulp (overig)'!$C$16 &amp; "'!B1:B1000")) &gt;= MATCH(
                    R26,
                    INDIRECT("'" &amp; 'Hulp (overig)'!$C$16 &amp; "'!A1:A1000"),
                    0
                )) *
                IF(
                    S26="",
                    1,
                    (ROW(INDIRECT("'" &amp; 'Hulp (overig)'!$C$16 &amp; "'!B1:B1000")) &lt; MATCH(
                        S26,
                        INDIRECT("'" &amp; 'Hulp (overig)'!$C$16 &amp; "'!A1:A1000"),
                        0
                    ))
                ),
                ROW(INDIRECT("'" &amp; 'Hulp (overig)'!$C$16 &amp; "'!B1:B1000"))
            )
        ),0)
    ))
))))</f>
        <v>#VALUE!</v>
      </c>
      <c r="S29" s="425" t="e" cm="1">
        <f t="array" aca="1" ref="S29" ca="1">IF($BF29, IF(S26="","",
   INDEX(
      INDIRECT("'" &amp; 'Hulp (CAO''s)'!$AE$8 &amp; "'!" &amp;
               'Hulp (overig)'!$C$17 &amp; "1:" &amp;
               'Hulp (overig)'!$C$17 &amp; "1000"),
      MATCH(
         S26,
         INDIRECT("'" &amp; 'Hulp (CAO''s)'!$AE$8 &amp; "'!A1:A1000"),
         0
      )
   )
), IF($D27="Gebruik % van maximum salaris",
IF(
    OR(S26="",S27=""),
    "",
    MAX(
        INDIRECT(
            "'" &amp; 'Hulp (overig)'!$C$16 &amp; "'!" &amp;
            'Hulp (overig)'!$C$17 &amp;
            MATCH(S26, INDIRECT("'" &amp; 'Hulp (overig)'!$C$16 &amp; "'!A1:A1000"), 0) &amp;
            ":" &amp;
            'Hulp (overig)'!$C$17 &amp;
LOOKUP(
    2,
    1 / (
        (ROW(INDIRECT("'" &amp; 'Hulp (overig)'!$C$16 &amp; "'!B1:B1000")) &lt;
            IF(T26&lt;&gt;"",
               MATCH(T26, INDIRECT("'" &amp; 'Hulp (overig)'!$C$16 &amp; "'!A1:A1000"),0),
               1000
            )
        ) *
        (LEFT(TRIM(INDIRECT("'" &amp; 'Hulp (overig)'!$C$16 &amp; "'!B1:B1000")),1) &lt;&gt; "u")
    ),
    ROW(INDIRECT("'" &amp; 'Hulp (overig)'!$C$16 &amp; "'!B1:B1000"))
)
        )
    ) * S27
),
IF(S28="","",
IF(
    IFERROR(MIN(
        IF(
            (TRIM(INDIRECT("'" &amp; 'Hulp (overig)'!$C$16 &amp; "'!B1:B1000")) = TEXT(S28,"0")) *
            (ROW(INDIRECT("'" &amp; 'Hulp (overig)'!$C$16 &amp; "'!B1:B1000")) &gt;= MATCH(
                S26,
                INDIRECT("'" &amp; 'Hulp (overig)'!$C$16 &amp; "'!A1:A1000"),
                0
            )) *
            IF(
                T26="",
                1,
                (ROW(INDIRECT("'" &amp; 'Hulp (overig)'!$C$16 &amp; "'!B1:B1000")) &lt; MATCH(
                    T26,
                    INDIRECT("'" &amp; 'Hulp (overig)'!$C$16 &amp; "'!A1:A1000"),
                    0
                ))
            ),
            ROW(INDIRECT("'" &amp; 'Hulp (overig)'!$C$16 &amp; "'!B1:B1000"))
        )
    ),0) &lt; 1,
    "",
    IF(INDEX(
        INDIRECT("'" &amp; 'Hulp (overig)'!$C$16 &amp; "'!" &amp;
        'Hulp (overig)'!$C$17 &amp; "1:" &amp; 'Hulp (overig)'!$C$17 &amp; 1000
        ),
        IFERROR(MIN(
            IF(
                (TRIM(INDIRECT("'" &amp; 'Hulp (overig)'!$C$16 &amp; "'!B1:B1000")) = TEXT(S28,"0")) *
                (ROW(INDIRECT("'" &amp; 'Hulp (overig)'!$C$16 &amp; "'!B1:B1000")) &gt;= MATCH(
                    S26,
                    INDIRECT("'" &amp; 'Hulp (overig)'!$C$16 &amp; "'!A1:A1000"),
                    0
                )) *
                IF(
                    T26="",
                    1,
                    (ROW(INDIRECT("'" &amp; 'Hulp (overig)'!$C$16 &amp; "'!B1:B1000")) &lt; MATCH(
                        T26,
                        INDIRECT("'" &amp; 'Hulp (overig)'!$C$16 &amp; "'!A1:A1000"),
                        0
                    ))
                ),
                ROW(INDIRECT("'" &amp; 'Hulp (overig)'!$C$16 &amp; "'!B1:B1000"))
            )
        ),0)
    )=0,"",
INDEX(
        INDIRECT("'" &amp; 'Hulp (overig)'!$C$16 &amp; "'!" &amp;
        'Hulp (overig)'!$C$17 &amp; "1:" &amp; 'Hulp (overig)'!$C$17 &amp; 1000
        ),
        IFERROR(MIN(
            IF(
                (TRIM(INDIRECT("'" &amp; 'Hulp (overig)'!$C$16 &amp; "'!B1:B1000")) = TEXT(S28,"0")) *
                (ROW(INDIRECT("'" &amp; 'Hulp (overig)'!$C$16 &amp; "'!B1:B1000")) &gt;= MATCH(
                    S26,
                    INDIRECT("'" &amp; 'Hulp (overig)'!$C$16 &amp; "'!A1:A1000"),
                    0
                )) *
                IF(
                    T26="",
                    1,
                    (ROW(INDIRECT("'" &amp; 'Hulp (overig)'!$C$16 &amp; "'!B1:B1000")) &lt; MATCH(
                        T26,
                        INDIRECT("'" &amp; 'Hulp (overig)'!$C$16 &amp; "'!A1:A1000"),
                        0
                    ))
                ),
                ROW(INDIRECT("'" &amp; 'Hulp (overig)'!$C$16 &amp; "'!B1:B1000"))
            )
        ),0)
    ))
))))</f>
        <v>#VALUE!</v>
      </c>
      <c r="T29" s="425" t="e" cm="1">
        <f t="array" aca="1" ref="T29" ca="1">IF($BF29, IF(T26="","",
   INDEX(
      INDIRECT("'" &amp; 'Hulp (CAO''s)'!$AE$8 &amp; "'!" &amp;
               'Hulp (overig)'!$C$17 &amp; "1:" &amp;
               'Hulp (overig)'!$C$17 &amp; "1000"),
      MATCH(
         T26,
         INDIRECT("'" &amp; 'Hulp (CAO''s)'!$AE$8 &amp; "'!A1:A1000"),
         0
      )
   )
), IF($D27="Gebruik % van maximum salaris",
IF(
    OR(T26="",T27=""),
    "",
    MAX(
        INDIRECT(
            "'" &amp; 'Hulp (overig)'!$C$16 &amp; "'!" &amp;
            'Hulp (overig)'!$C$17 &amp;
            MATCH(T26, INDIRECT("'" &amp; 'Hulp (overig)'!$C$16 &amp; "'!A1:A1000"), 0) &amp;
            ":" &amp;
            'Hulp (overig)'!$C$17 &amp;
LOOKUP(
    2,
    1 / (
        (ROW(INDIRECT("'" &amp; 'Hulp (overig)'!$C$16 &amp; "'!B1:B1000")) &lt;
            IF(U26&lt;&gt;"",
               MATCH(U26, INDIRECT("'" &amp; 'Hulp (overig)'!$C$16 &amp; "'!A1:A1000"),0),
               1000
            )
        ) *
        (LEFT(TRIM(INDIRECT("'" &amp; 'Hulp (overig)'!$C$16 &amp; "'!B1:B1000")),1) &lt;&gt; "u")
    ),
    ROW(INDIRECT("'" &amp; 'Hulp (overig)'!$C$16 &amp; "'!B1:B1000"))
)
        )
    ) * T27
),
IF(T28="","",
IF(
    IFERROR(MIN(
        IF(
            (TRIM(INDIRECT("'" &amp; 'Hulp (overig)'!$C$16 &amp; "'!B1:B1000")) = TEXT(T28,"0")) *
            (ROW(INDIRECT("'" &amp; 'Hulp (overig)'!$C$16 &amp; "'!B1:B1000")) &gt;= MATCH(
                T26,
                INDIRECT("'" &amp; 'Hulp (overig)'!$C$16 &amp; "'!A1:A1000"),
                0
            )) *
            IF(
                U26="",
                1,
                (ROW(INDIRECT("'" &amp; 'Hulp (overig)'!$C$16 &amp; "'!B1:B1000")) &lt; MATCH(
                    U26,
                    INDIRECT("'" &amp; 'Hulp (overig)'!$C$16 &amp; "'!A1:A1000"),
                    0
                ))
            ),
            ROW(INDIRECT("'" &amp; 'Hulp (overig)'!$C$16 &amp; "'!B1:B1000"))
        )
    ),0) &lt; 1,
    "",
    IF(INDEX(
        INDIRECT("'" &amp; 'Hulp (overig)'!$C$16 &amp; "'!" &amp;
        'Hulp (overig)'!$C$17 &amp; "1:" &amp; 'Hulp (overig)'!$C$17 &amp; 1000
        ),
        IFERROR(MIN(
            IF(
                (TRIM(INDIRECT("'" &amp; 'Hulp (overig)'!$C$16 &amp; "'!B1:B1000")) = TEXT(T28,"0")) *
                (ROW(INDIRECT("'" &amp; 'Hulp (overig)'!$C$16 &amp; "'!B1:B1000")) &gt;= MATCH(
                    T26,
                    INDIRECT("'" &amp; 'Hulp (overig)'!$C$16 &amp; "'!A1:A1000"),
                    0
                )) *
                IF(
                    U26="",
                    1,
                    (ROW(INDIRECT("'" &amp; 'Hulp (overig)'!$C$16 &amp; "'!B1:B1000")) &lt; MATCH(
                        U26,
                        INDIRECT("'" &amp; 'Hulp (overig)'!$C$16 &amp; "'!A1:A1000"),
                        0
                    ))
                ),
                ROW(INDIRECT("'" &amp; 'Hulp (overig)'!$C$16 &amp; "'!B1:B1000"))
            )
        ),0)
    )=0,"",
INDEX(
        INDIRECT("'" &amp; 'Hulp (overig)'!$C$16 &amp; "'!" &amp;
        'Hulp (overig)'!$C$17 &amp; "1:" &amp; 'Hulp (overig)'!$C$17 &amp; 1000
        ),
        IFERROR(MIN(
            IF(
                (TRIM(INDIRECT("'" &amp; 'Hulp (overig)'!$C$16 &amp; "'!B1:B1000")) = TEXT(T28,"0")) *
                (ROW(INDIRECT("'" &amp; 'Hulp (overig)'!$C$16 &amp; "'!B1:B1000")) &gt;= MATCH(
                    T26,
                    INDIRECT("'" &amp; 'Hulp (overig)'!$C$16 &amp; "'!A1:A1000"),
                    0
                )) *
                IF(
                    U26="",
                    1,
                    (ROW(INDIRECT("'" &amp; 'Hulp (overig)'!$C$16 &amp; "'!B1:B1000")) &lt; MATCH(
                        U26,
                        INDIRECT("'" &amp; 'Hulp (overig)'!$C$16 &amp; "'!A1:A1000"),
                        0
                    ))
                ),
                ROW(INDIRECT("'" &amp; 'Hulp (overig)'!$C$16 &amp; "'!B1:B1000"))
            )
        ),0)
    ))
))))</f>
        <v>#VALUE!</v>
      </c>
      <c r="U29" s="723" t="e" cm="1">
        <f t="array" aca="1" ref="U29" ca="1">IF($BF29, IF(U26="","",
   INDEX(
      INDIRECT("'" &amp; 'Hulp (CAO''s)'!$AE$8 &amp; "'!" &amp;
               'Hulp (overig)'!$C$17 &amp; "1:" &amp;
               'Hulp (overig)'!$C$17 &amp; "1000"),
      MATCH(
         U26,
         INDIRECT("'" &amp; 'Hulp (CAO''s)'!$AE$8 &amp; "'!A1:A1000"),
         0
      )
   )
), IF($D27="Gebruik % van maximum salaris",
IF(
    OR(U26="",U27=""),
    "",
    MAX(
        INDIRECT(
            "'" &amp; 'Hulp (overig)'!$C$16 &amp; "'!" &amp;
            'Hulp (overig)'!$C$17 &amp;
            MATCH(U26, INDIRECT("'" &amp; 'Hulp (overig)'!$C$16 &amp; "'!A1:A1000"), 0) &amp;
            ":" &amp;
            'Hulp (overig)'!$C$17 &amp;
LOOKUP(
    2,
    1 / (
        (ROW(INDIRECT("'" &amp; 'Hulp (overig)'!$C$16 &amp; "'!B1:B1000")) &lt;
            IF(V26&lt;&gt;"",
               MATCH(V26, INDIRECT("'" &amp; 'Hulp (overig)'!$C$16 &amp; "'!A1:A1000"),0),
               1000
            )
        ) *
        (LEFT(TRIM(INDIRECT("'" &amp; 'Hulp (overig)'!$C$16 &amp; "'!B1:B1000")),1) &lt;&gt; "u")
    ),
    ROW(INDIRECT("'" &amp; 'Hulp (overig)'!$C$16 &amp; "'!B1:B1000"))
)
        )
    ) * U27
),
IF(U28="","",
IF(
    IFERROR(MIN(
        IF(
            (TRIM(INDIRECT("'" &amp; 'Hulp (overig)'!$C$16 &amp; "'!B1:B1000")) = TEXT(U28,"0")) *
            (ROW(INDIRECT("'" &amp; 'Hulp (overig)'!$C$16 &amp; "'!B1:B1000")) &gt;= MATCH(
                U26,
                INDIRECT("'" &amp; 'Hulp (overig)'!$C$16 &amp; "'!A1:A1000"),
                0
            )) *
            IF(
                V26="",
                1,
                (ROW(INDIRECT("'" &amp; 'Hulp (overig)'!$C$16 &amp; "'!B1:B1000")) &lt; MATCH(
                    V26,
                    INDIRECT("'" &amp; 'Hulp (overig)'!$C$16 &amp; "'!A1:A1000"),
                    0
                ))
            ),
            ROW(INDIRECT("'" &amp; 'Hulp (overig)'!$C$16 &amp; "'!B1:B1000"))
        )
    ),0) &lt; 1,
    "",
    IF(INDEX(
        INDIRECT("'" &amp; 'Hulp (overig)'!$C$16 &amp; "'!" &amp;
        'Hulp (overig)'!$C$17 &amp; "1:" &amp; 'Hulp (overig)'!$C$17 &amp; 1000
        ),
        IFERROR(MIN(
            IF(
                (TRIM(INDIRECT("'" &amp; 'Hulp (overig)'!$C$16 &amp; "'!B1:B1000")) = TEXT(U28,"0")) *
                (ROW(INDIRECT("'" &amp; 'Hulp (overig)'!$C$16 &amp; "'!B1:B1000")) &gt;= MATCH(
                    U26,
                    INDIRECT("'" &amp; 'Hulp (overig)'!$C$16 &amp; "'!A1:A1000"),
                    0
                )) *
                IF(
                    V26="",
                    1,
                    (ROW(INDIRECT("'" &amp; 'Hulp (overig)'!$C$16 &amp; "'!B1:B1000")) &lt; MATCH(
                        V26,
                        INDIRECT("'" &amp; 'Hulp (overig)'!$C$16 &amp; "'!A1:A1000"),
                        0
                    ))
                ),
                ROW(INDIRECT("'" &amp; 'Hulp (overig)'!$C$16 &amp; "'!B1:B1000"))
            )
        ),0)
    )=0,"",
INDEX(
        INDIRECT("'" &amp; 'Hulp (overig)'!$C$16 &amp; "'!" &amp;
        'Hulp (overig)'!$C$17 &amp; "1:" &amp; 'Hulp (overig)'!$C$17 &amp; 1000
        ),
        IFERROR(MIN(
            IF(
                (TRIM(INDIRECT("'" &amp; 'Hulp (overig)'!$C$16 &amp; "'!B1:B1000")) = TEXT(U28,"0")) *
                (ROW(INDIRECT("'" &amp; 'Hulp (overig)'!$C$16 &amp; "'!B1:B1000")) &gt;= MATCH(
                    U26,
                    INDIRECT("'" &amp; 'Hulp (overig)'!$C$16 &amp; "'!A1:A1000"),
                    0
                )) *
                IF(
                    V26="",
                    1,
                    (ROW(INDIRECT("'" &amp; 'Hulp (overig)'!$C$16 &amp; "'!B1:B1000")) &lt; MATCH(
                        V26,
                        INDIRECT("'" &amp; 'Hulp (overig)'!$C$16 &amp; "'!A1:A1000"),
                        0
                    ))
                ),
                ROW(INDIRECT("'" &amp; 'Hulp (overig)'!$C$16 &amp; "'!B1:B1000"))
            )
        ),0)
    ))
))))</f>
        <v>#VALUE!</v>
      </c>
      <c r="V29" s="413" t="str" cm="1">
        <f t="array" ref="V29">IF(SUM(F30:U30)=0,"",
IF(SUM(F29:U29)=0,"",
IF(SUMPRODUCT((F30:U30&lt;&gt;0)*(F29:U29=""))&gt;0,"",
(
   SUMPRODUCT(
      IF(F29:U29="",0,F29:U29),
      IF(F30:U30="",0,F30:U30) / SUM(F30:U30)
   )
))))</f>
        <v/>
      </c>
      <c r="W29" s="418"/>
      <c r="X29" s="620"/>
      <c r="Y29" s="419" t="str">
        <f ca="1">IF(B26="","",
        IF(INDIRECT("'Hulp (control forms)'!C" &amp; (13 + INT((ROW()-ROW($B$5))/7))),
            IF(X29="","",X29),
            IF(V29="","",V29)
    )
)</f>
        <v/>
      </c>
      <c r="Z29" s="333"/>
      <c r="AA29" s="771"/>
      <c r="AB29" s="770"/>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cm="1">
        <f t="array" aca="1" ref="BA29" ca="1">IF(
   SUM(Y29)=0,
   1,
   IF(
      N(INDIRECT("'Hulp (control forms)'!C"&amp;(13+INT((ROW()-ROW($B$5))/7))))&lt;&gt;0,
      MIN(1,
      ('Hulp (overig)'!$C$6/12) /
      (Y29 * BC29 + BD29)),
      MIN(1,
         IF(
            SUM(F29:U29)=0,
            "",
            SUMPRODUCT(
               IF(
                  (IF(F29:U29="",0,F29:U29) * BC29) + BD29
                  &gt; 'Hulp (overig)'!$C$6/12,
                  'Hulp (overig)'!$C$6/12,
                  (IF(F29:U29="",0,F29:U29) * BC29) + BD29
               ),
               IF(F30:U30="",0,F30:U30) / SUM(F30:U30)
            )
         ) /
         ((Y29 * BC29) + BD29)
      )
   )
)</f>
        <v>1</v>
      </c>
      <c r="BB29" cm="1">
        <f t="array" aca="1" ref="BB29" ca="1">IF(
   SUM(Y29)=0,
   1,
   IF(
      N(INDIRECT("'Hulp (control forms)'!C"&amp;(13+INT((ROW()-ROW($B$5))/7))))&lt;&gt;0,
      MIN('Hulp (overig)'!$C$5/12,
      (Y29 * BC29) + BD29) * 12,
         IF(
            SUM(F29:U29)=0,
            "",
            SUMPRODUCT(
               IF(
                  (IF(F29:U29="",0,F29:U29) * BC29) + BD29
                  &gt; 'Hulp (overig)'!$C$5/12,
                  'Hulp (overig)'!$C$5/12,
                  (IF(F29:U29="",0,F29:U29) * BC29) + BD29
               ),
               IF(F30:U30="",0,F30:U30) / SUM(F30:U30)
            )
         ) * 12
   )
)</f>
        <v>1</v>
      </c>
      <c r="BC29" s="287" cm="1">
        <f t="array" aca="1" ref="BC29" ca="1">IFERROR(
   (INDEX('2. Output kostprijs'!$24:$24, 5 + 2*INT((ROW()-8)/7))
    - SUM(INDEX('2. Output kostprijs'!$23:$23, 5 + 2*INT((ROW()-8)/7))))
   / INDEX('2. Output kostprijs'!$19:$19, 5 + 2*INT((ROW()-8)/7)),
   1
)</f>
        <v>1</v>
      </c>
      <c r="BD29" s="287" cm="1">
        <f t="array" aca="1" ref="BD29" ca="1">IFERROR(
   (INDEX('2. Output kostprijs'!$23:$23, 5 + 2*INT((ROW()-8)/7))
    * INDEX('2. Output kostprijs'!$18:$18, 5 + 2*INT((ROW()-8)/7))
   ) / 12,
   0
)</f>
        <v>0</v>
      </c>
      <c r="BE29" t="b">
        <f ca="1">NOT(AND(B26&lt;&gt;"",Y29=""))</f>
        <v>1</v>
      </c>
      <c r="BF29" t="str" cm="1">
        <f t="array" aca="1" ref="BF29" ca="1">INDIRECT("'1a. Input organisatieniveau'!$AD" &amp; 7 + INT((ROW()-ROW($F$8))/7))</f>
        <v/>
      </c>
      <c r="BG29" t="b" cm="1">
        <f t="array" ref="BG29">IFERROR(INDEX('Hulp (control forms)'!C:C, 13 + INT((ROW(A22)-1)/7)),FALSE)</f>
        <v>0</v>
      </c>
    </row>
    <row r="30" spans="1:59" ht="16.05" customHeight="1" thickBot="1" x14ac:dyDescent="0.5">
      <c r="A30" s="289"/>
      <c r="B30" s="343"/>
      <c r="C30" s="325" t="s">
        <v>779</v>
      </c>
      <c r="D30" s="688" t="s">
        <v>60</v>
      </c>
      <c r="E30" s="433" t="s">
        <v>59</v>
      </c>
      <c r="F30" s="624"/>
      <c r="G30" s="624"/>
      <c r="H30" s="624"/>
      <c r="I30" s="624"/>
      <c r="J30" s="624"/>
      <c r="K30" s="624"/>
      <c r="L30" s="624"/>
      <c r="M30" s="624"/>
      <c r="N30" s="624"/>
      <c r="O30" s="624"/>
      <c r="P30" s="624"/>
      <c r="Q30" s="624"/>
      <c r="R30" s="624"/>
      <c r="S30" s="624"/>
      <c r="T30" s="624"/>
      <c r="U30" s="625"/>
      <c r="V30" s="420" t="str">
        <f ca="1">IF($B26="","",IF($D30="Aandeel in %",
   "Totaal: "&amp;SUM(F30:U30)*100&amp;"%",
   "Totaal: "&amp;SUM(F30:U30)&amp;" uur"
))</f>
        <v/>
      </c>
      <c r="W30" s="294"/>
      <c r="X30" s="621"/>
      <c r="Y30" s="328"/>
      <c r="Z30" s="32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9" ht="16.05" customHeight="1" thickBot="1" x14ac:dyDescent="0.5">
      <c r="A31" s="289"/>
      <c r="B31" s="343"/>
      <c r="C31" s="326" t="s">
        <v>779</v>
      </c>
      <c r="D31" s="421"/>
      <c r="E31" s="426"/>
      <c r="F31" s="426"/>
      <c r="G31" s="426"/>
      <c r="H31" s="426"/>
      <c r="I31" s="426"/>
      <c r="J31" s="426"/>
      <c r="K31" s="426"/>
      <c r="L31" s="426"/>
      <c r="M31" s="426"/>
      <c r="N31" s="426"/>
      <c r="O31" s="426"/>
      <c r="P31" s="426"/>
      <c r="Q31" s="426"/>
      <c r="R31" s="426"/>
      <c r="S31" s="426"/>
      <c r="T31" s="427"/>
      <c r="U31" s="427"/>
      <c r="V31" s="421"/>
      <c r="W31" s="421"/>
      <c r="X31" s="622"/>
      <c r="Y31" s="421"/>
      <c r="Z31" s="327"/>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9" ht="16.05" customHeight="1" thickBot="1" x14ac:dyDescent="0.55000000000000004">
      <c r="A32" s="289"/>
      <c r="B32" s="585" t="str">
        <f ca="1">IF(B33="","",
IF(
   OR(
      INDIRECT("'1a. Input organisatieniveau'!AC" &amp; (7 + INT((ROW()-4)/7)))="",
      INDIRECT("'1a. Input organisatieniveau'!AC" &amp; (7 + INT((ROW()-4)/7)))=0
   ),
   "",
   INDIRECT("'1a. Input organisatieniveau'!AC" &amp; (7 + INT((ROW()-4)/7)))
))</f>
        <v/>
      </c>
      <c r="C32" s="324" t="s">
        <v>779</v>
      </c>
      <c r="D32" s="416"/>
      <c r="E32" s="428"/>
      <c r="F32" s="422" t="str">
        <f t="shared" ref="F32:U32" ca="1" si="4">IF($B33="","",
IF($D34="Gebruik % van maximum salaris",
 IF(OR(AND(AND(F33&lt;&gt;"",F34&lt;&gt;""),F36=""),AND(F36="",F37&lt;&gt;"")),"!",""),
 IF(OR(AND(AND(F33&lt;&gt;"",F35&lt;&gt;""),F36=""),AND(F36="",F37&lt;&gt;"")),"!","")))</f>
        <v/>
      </c>
      <c r="G32" s="422" t="str">
        <f t="shared" ca="1" si="4"/>
        <v/>
      </c>
      <c r="H32" s="422" t="str">
        <f t="shared" ca="1" si="4"/>
        <v/>
      </c>
      <c r="I32" s="422" t="str">
        <f t="shared" ca="1" si="4"/>
        <v/>
      </c>
      <c r="J32" s="422" t="str">
        <f t="shared" ca="1" si="4"/>
        <v/>
      </c>
      <c r="K32" s="422" t="str">
        <f t="shared" ca="1" si="4"/>
        <v/>
      </c>
      <c r="L32" s="422" t="str">
        <f t="shared" ca="1" si="4"/>
        <v/>
      </c>
      <c r="M32" s="422" t="str">
        <f t="shared" ca="1" si="4"/>
        <v/>
      </c>
      <c r="N32" s="422" t="str">
        <f t="shared" ca="1" si="4"/>
        <v/>
      </c>
      <c r="O32" s="422" t="str">
        <f t="shared" ca="1" si="4"/>
        <v/>
      </c>
      <c r="P32" s="422" t="str">
        <f t="shared" ca="1" si="4"/>
        <v/>
      </c>
      <c r="Q32" s="422" t="str">
        <f t="shared" ca="1" si="4"/>
        <v/>
      </c>
      <c r="R32" s="422" t="str">
        <f t="shared" ca="1" si="4"/>
        <v/>
      </c>
      <c r="S32" s="422" t="str">
        <f t="shared" ca="1" si="4"/>
        <v/>
      </c>
      <c r="T32" s="422" t="str">
        <f t="shared" ca="1" si="4"/>
        <v/>
      </c>
      <c r="U32" s="422" t="str">
        <f t="shared" ca="1" si="4"/>
        <v/>
      </c>
      <c r="V32" s="416"/>
      <c r="W32" s="416"/>
      <c r="X32" s="619"/>
      <c r="Y32" s="416"/>
      <c r="Z32" s="330"/>
      <c r="AA32" s="354"/>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9" ht="16.05" customHeight="1" thickBot="1" x14ac:dyDescent="0.5">
      <c r="A33" s="289"/>
      <c r="B33" s="586" t="str">
        <f ca="1">IF(
   OR(
      INDIRECT("'1a. Input organisatieniveau'!AA" &amp; (7 + INT((ROW()-4)/7)))="",
      INDIRECT("'1a. Input organisatieniveau'!AA" &amp; (7 + INT((ROW()-4)/7)))=0
   ),
   "",
   INDIRECT("'1a. Input organisatieniveau'!AA" &amp; (7 + INT((ROW()-4)/7)))
)</f>
        <v/>
      </c>
      <c r="C33" s="325" t="s">
        <v>779</v>
      </c>
      <c r="D33" s="434"/>
      <c r="E33" s="429" t="s">
        <v>28</v>
      </c>
      <c r="F33" s="423" t="str">
        <f ca="1">IF($B33="", "", IF($BF36, IF('Hulp (CAO''s)'!J$8&lt;&gt;"",'Hulp (CAO''s)'!J$8,""), INDEX('Hulp (CAO''s)'!J$3:J$7, MATCH(TRUE, 'Hulp (CAO''s)'!$D$3:$D$7, 0))))</f>
        <v/>
      </c>
      <c r="G33" s="423" t="str">
        <f ca="1">IF($B33="", "", IF($BF36, IF('Hulp (CAO''s)'!K$8&lt;&gt;"",'Hulp (CAO''s)'!K$8,""), INDEX('Hulp (CAO''s)'!K$3:K$7, MATCH(TRUE, 'Hulp (CAO''s)'!$D$3:$D$7, 0))))</f>
        <v/>
      </c>
      <c r="H33" s="423" t="str">
        <f ca="1">IF($B33="", "", IF($BF36, IF('Hulp (CAO''s)'!L$8&lt;&gt;"",'Hulp (CAO''s)'!L$8,""), INDEX('Hulp (CAO''s)'!L$3:L$7, MATCH(TRUE, 'Hulp (CAO''s)'!$D$3:$D$7, 0))))</f>
        <v/>
      </c>
      <c r="I33" s="423" t="str">
        <f ca="1">IF($B33="", "", IF($BF36, IF('Hulp (CAO''s)'!M$8&lt;&gt;"",'Hulp (CAO''s)'!M$8,""), INDEX('Hulp (CAO''s)'!M$3:M$7, MATCH(TRUE, 'Hulp (CAO''s)'!$D$3:$D$7, 0))))</f>
        <v/>
      </c>
      <c r="J33" s="423" t="str">
        <f ca="1">IF($B33="", "", IF($BF36, IF('Hulp (CAO''s)'!N$8&lt;&gt;"",'Hulp (CAO''s)'!N$8,""), INDEX('Hulp (CAO''s)'!N$3:N$7, MATCH(TRUE, 'Hulp (CAO''s)'!$D$3:$D$7, 0))))</f>
        <v/>
      </c>
      <c r="K33" s="423" t="str">
        <f ca="1">IF($B33="", "", IF($BF36, IF('Hulp (CAO''s)'!O$8&lt;&gt;"",'Hulp (CAO''s)'!O$8,""), INDEX('Hulp (CAO''s)'!O$3:O$7, MATCH(TRUE, 'Hulp (CAO''s)'!$D$3:$D$7, 0))))</f>
        <v/>
      </c>
      <c r="L33" s="423" t="str">
        <f ca="1">IF($B33="", "", IF($BF36, IF('Hulp (CAO''s)'!P$8&lt;&gt;"",'Hulp (CAO''s)'!P$8,""), INDEX('Hulp (CAO''s)'!P$3:P$7, MATCH(TRUE, 'Hulp (CAO''s)'!$D$3:$D$7, 0))))</f>
        <v/>
      </c>
      <c r="M33" s="423" t="str">
        <f ca="1">IF($B33="", "", IF($BF36, IF('Hulp (CAO''s)'!Q$8&lt;&gt;"",'Hulp (CAO''s)'!Q$8,""), INDEX('Hulp (CAO''s)'!Q$3:Q$7, MATCH(TRUE, 'Hulp (CAO''s)'!$D$3:$D$7, 0))))</f>
        <v/>
      </c>
      <c r="N33" s="423" t="str">
        <f ca="1">IF($B33="", "", IF($BF36, IF('Hulp (CAO''s)'!R$8&lt;&gt;"",'Hulp (CAO''s)'!R$8,""), INDEX('Hulp (CAO''s)'!R$3:R$7, MATCH(TRUE, 'Hulp (CAO''s)'!$D$3:$D$7, 0))))</f>
        <v/>
      </c>
      <c r="O33" s="423" t="str">
        <f ca="1">IF($B33="", "", IF($BF36, IF('Hulp (CAO''s)'!S$8&lt;&gt;"",'Hulp (CAO''s)'!S$8,""), INDEX('Hulp (CAO''s)'!S$3:S$7, MATCH(TRUE, 'Hulp (CAO''s)'!$D$3:$D$7, 0))))</f>
        <v/>
      </c>
      <c r="P33" s="423" t="str">
        <f ca="1">IF($B33="", "", IF($BF36, IF('Hulp (CAO''s)'!T$8&lt;&gt;"",'Hulp (CAO''s)'!T$8,""), INDEX('Hulp (CAO''s)'!T$3:T$7, MATCH(TRUE, 'Hulp (CAO''s)'!$D$3:$D$7, 0))))</f>
        <v/>
      </c>
      <c r="Q33" s="423" t="str">
        <f ca="1">IF($B33="", "", IF($BF36, IF('Hulp (CAO''s)'!U$8&lt;&gt;"",'Hulp (CAO''s)'!U$8,""), INDEX('Hulp (CAO''s)'!U$3:U$7, MATCH(TRUE, 'Hulp (CAO''s)'!$D$3:$D$7, 0))))</f>
        <v/>
      </c>
      <c r="R33" s="423" t="str">
        <f ca="1">IF($B33="", "", IF($BF36, IF('Hulp (CAO''s)'!V$8&lt;&gt;"",'Hulp (CAO''s)'!V$8,""), INDEX('Hulp (CAO''s)'!V$3:V$7, MATCH(TRUE, 'Hulp (CAO''s)'!$D$3:$D$7, 0))))</f>
        <v/>
      </c>
      <c r="S33" s="423" t="str">
        <f ca="1">IF($B33="", "", IF($BF36, IF('Hulp (CAO''s)'!W$8&lt;&gt;"",'Hulp (CAO''s)'!W$8,""), INDEX('Hulp (CAO''s)'!W$3:W$7, MATCH(TRUE, 'Hulp (CAO''s)'!$D$3:$D$7, 0))))</f>
        <v/>
      </c>
      <c r="T33" s="423" t="str">
        <f ca="1">IF($B33="", "", IF($BF36, IF('Hulp (CAO''s)'!X$8&lt;&gt;"",'Hulp (CAO''s)'!X$8,""), INDEX('Hulp (CAO''s)'!X$3:X$7, MATCH(TRUE, 'Hulp (CAO''s)'!$D$3:$D$7, 0))))</f>
        <v/>
      </c>
      <c r="U33" s="424" t="str">
        <f ca="1">IF($B33="", "", IF($BF36, IF('Hulp (CAO''s)'!Y$8&lt;&gt;"",'Hulp (CAO''s)'!Y$8,""), INDEX('Hulp (CAO''s)'!Y$3:Y$7, MATCH(TRUE, 'Hulp (CAO''s)'!$D$3:$D$7, 0))))</f>
        <v/>
      </c>
      <c r="V33" s="417"/>
      <c r="W33" s="343"/>
      <c r="X33" s="617"/>
      <c r="Y33" s="343"/>
      <c r="Z33" s="329"/>
      <c r="AA33" s="320"/>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9" ht="16.05" customHeight="1" x14ac:dyDescent="0.45">
      <c r="A34" s="289"/>
      <c r="B34" s="343"/>
      <c r="C34" s="325" t="s">
        <v>779</v>
      </c>
      <c r="D34" s="772" t="s">
        <v>772</v>
      </c>
      <c r="E34" s="430" t="e">
        <f ca="1">IF($BF36, "", "% t.o.v. max salaris in de schaal")</f>
        <v>#VALUE!</v>
      </c>
      <c r="F34" s="615"/>
      <c r="G34" s="615"/>
      <c r="H34" s="615"/>
      <c r="I34" s="615"/>
      <c r="J34" s="615"/>
      <c r="K34" s="615"/>
      <c r="L34" s="615"/>
      <c r="M34" s="615"/>
      <c r="N34" s="615"/>
      <c r="O34" s="615"/>
      <c r="P34" s="615"/>
      <c r="Q34" s="615"/>
      <c r="R34" s="615"/>
      <c r="S34" s="615"/>
      <c r="T34" s="615"/>
      <c r="U34" s="616"/>
      <c r="V34" s="774" t="s">
        <v>884</v>
      </c>
      <c r="W34" s="332"/>
      <c r="X34" s="776" t="s">
        <v>882</v>
      </c>
      <c r="Y34" s="778" t="s">
        <v>883</v>
      </c>
      <c r="Z34" s="329"/>
      <c r="AA34" s="771" t="s">
        <v>780</v>
      </c>
      <c r="AB34" s="770" t="s">
        <v>1079</v>
      </c>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9" ht="16.05" customHeight="1" thickBot="1" x14ac:dyDescent="0.5">
      <c r="A35" s="289"/>
      <c r="B35" s="343"/>
      <c r="C35" s="325" t="s">
        <v>779</v>
      </c>
      <c r="D35" s="773"/>
      <c r="E35" s="431" t="e">
        <f ca="1">IF($BF36, "", "Trede (gemiddeld)")</f>
        <v>#VALUE!</v>
      </c>
      <c r="F35" s="737"/>
      <c r="G35" s="737"/>
      <c r="H35" s="737"/>
      <c r="I35" s="737"/>
      <c r="J35" s="737"/>
      <c r="K35" s="737"/>
      <c r="L35" s="737"/>
      <c r="M35" s="737"/>
      <c r="N35" s="737"/>
      <c r="O35" s="737"/>
      <c r="P35" s="737"/>
      <c r="Q35" s="737"/>
      <c r="R35" s="737"/>
      <c r="S35" s="737"/>
      <c r="T35" s="737"/>
      <c r="U35" s="740"/>
      <c r="V35" s="775"/>
      <c r="W35" s="294"/>
      <c r="X35" s="777"/>
      <c r="Y35" s="779"/>
      <c r="Z35" s="329"/>
      <c r="AA35" s="771"/>
      <c r="AB35" s="770"/>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9" ht="16.05" customHeight="1" thickBot="1" x14ac:dyDescent="0.5">
      <c r="A36" s="289"/>
      <c r="B36" s="343"/>
      <c r="C36" s="325" t="s">
        <v>779</v>
      </c>
      <c r="E36" s="432" t="str">
        <f>IFERROR(
   INDEX('Hulp (CAO''s)'!$I$3:$I$7, MATCH(TRUE, 'Hulp (CAO''s)'!$D$3:$D$7, 0)),
"")</f>
        <v>Bruto maandsalaris</v>
      </c>
      <c r="F36" s="425" t="e" cm="1">
        <f t="array" aca="1" ref="F36" ca="1">IF($BF36, IF(F33="","",
   INDEX(
      INDIRECT("'" &amp; 'Hulp (CAO''s)'!$AE$8 &amp; "'!" &amp;
               'Hulp (overig)'!$C$17 &amp; "1:" &amp;
               'Hulp (overig)'!$C$17 &amp; "1000"),
      MATCH(
         F33,
         INDIRECT("'" &amp; 'Hulp (CAO''s)'!$AE$8 &amp; "'!A1:A1000"),
         0
      )
   )
), IF($D34="Gebruik % van maximum salaris",
IF(
    OR(F33="",F34=""),
    "",
    MAX(
        INDIRECT(
            "'" &amp; 'Hulp (overig)'!$C$16 &amp; "'!" &amp;
            'Hulp (overig)'!$C$17 &amp;
            MATCH(F33, INDIRECT("'" &amp; 'Hulp (overig)'!$C$16 &amp; "'!A1:A1000"), 0) &amp;
            ":" &amp;
            'Hulp (overig)'!$C$17 &amp;
LOOKUP(
    2,
    1 / (
        (ROW(INDIRECT("'" &amp; 'Hulp (overig)'!$C$16 &amp; "'!B1:B1000")) &lt;
            IF(G33&lt;&gt;"",
               MATCH(G33, INDIRECT("'" &amp; 'Hulp (overig)'!$C$16 &amp; "'!A1:A1000"),0),
               1000
            )
        ) *
        (LEFT(TRIM(INDIRECT("'" &amp; 'Hulp (overig)'!$C$16 &amp; "'!B1:B1000")),1) &lt;&gt; "u")
    ),
    ROW(INDIRECT("'" &amp; 'Hulp (overig)'!$C$16 &amp; "'!B1:B1000"))
)
        )
    ) * F34
),
IF(F35="","",
IF(
    IFERROR(MIN(
        IF(
            (TRIM(INDIRECT("'" &amp; 'Hulp (overig)'!$C$16 &amp; "'!B1:B1000")) = TEXT(F35,"0")) *
            (ROW(INDIRECT("'" &amp; 'Hulp (overig)'!$C$16 &amp; "'!B1:B1000")) &gt;= MATCH(
                F33,
                INDIRECT("'" &amp; 'Hulp (overig)'!$C$16 &amp; "'!A1:A1000"),
                0
            )) *
            IF(
                G33="",
                1,
                (ROW(INDIRECT("'" &amp; 'Hulp (overig)'!$C$16 &amp; "'!B1:B1000")) &lt; MATCH(
                    G33,
                    INDIRECT("'" &amp; 'Hulp (overig)'!$C$16 &amp; "'!A1:A1000"),
                    0
                ))
            ),
            ROW(INDIRECT("'" &amp; 'Hulp (overig)'!$C$16 &amp; "'!B1:B1000"))
        )
    ),0) &lt; 1,
    "",
    IF(INDEX(
        INDIRECT("'" &amp; 'Hulp (overig)'!$C$16 &amp; "'!" &amp;
        'Hulp (overig)'!$C$17 &amp; "1:" &amp; 'Hulp (overig)'!$C$17 &amp; 1000
        ),
        IFERROR(MIN(
            IF(
                (TRIM(INDIRECT("'" &amp; 'Hulp (overig)'!$C$16 &amp; "'!B1:B1000")) = TEXT(F35,"0")) *
                (ROW(INDIRECT("'" &amp; 'Hulp (overig)'!$C$16 &amp; "'!B1:B1000")) &gt;= MATCH(
                    F33,
                    INDIRECT("'" &amp; 'Hulp (overig)'!$C$16 &amp; "'!A1:A1000"),
                    0
                )) *
                IF(
                    G33="",
                    1,
                    (ROW(INDIRECT("'" &amp; 'Hulp (overig)'!$C$16 &amp; "'!B1:B1000")) &lt; MATCH(
                        G33,
                        INDIRECT("'" &amp; 'Hulp (overig)'!$C$16 &amp; "'!A1:A1000"),
                        0
                    ))
                ),
                ROW(INDIRECT("'" &amp; 'Hulp (overig)'!$C$16 &amp; "'!B1:B1000"))
            )
        ),0)
    )=0,"",
INDEX(
        INDIRECT("'" &amp; 'Hulp (overig)'!$C$16 &amp; "'!" &amp;
        'Hulp (overig)'!$C$17 &amp; "1:" &amp; 'Hulp (overig)'!$C$17 &amp; 1000
        ),
        IFERROR(MIN(
            IF(
                (TRIM(INDIRECT("'" &amp; 'Hulp (overig)'!$C$16 &amp; "'!B1:B1000")) = TEXT(F35,"0")) *
                (ROW(INDIRECT("'" &amp; 'Hulp (overig)'!$C$16 &amp; "'!B1:B1000")) &gt;= MATCH(
                    F33,
                    INDIRECT("'" &amp; 'Hulp (overig)'!$C$16 &amp; "'!A1:A1000"),
                    0
                )) *
                IF(
                    G33="",
                    1,
                    (ROW(INDIRECT("'" &amp; 'Hulp (overig)'!$C$16 &amp; "'!B1:B1000")) &lt; MATCH(
                        G33,
                        INDIRECT("'" &amp; 'Hulp (overig)'!$C$16 &amp; "'!A1:A1000"),
                        0
                    ))
                ),
                ROW(INDIRECT("'" &amp; 'Hulp (overig)'!$C$16 &amp; "'!B1:B1000"))
            )
        ),0)
    ))
))))</f>
        <v>#VALUE!</v>
      </c>
      <c r="G36" s="425" t="e" cm="1">
        <f t="array" aca="1" ref="G36" ca="1">IF($BF36, IF(G33="","",
   INDEX(
      INDIRECT("'" &amp; 'Hulp (CAO''s)'!$AE$8 &amp; "'!" &amp;
               'Hulp (overig)'!$C$17 &amp; "1:" &amp;
               'Hulp (overig)'!$C$17 &amp; "1000"),
      MATCH(
         G33,
         INDIRECT("'" &amp; 'Hulp (CAO''s)'!$AE$8 &amp; "'!A1:A1000"),
         0
      )
   )
), IF($D34="Gebruik % van maximum salaris",
IF(
    OR(G33="",G34=""),
    "",
    MAX(
        INDIRECT(
            "'" &amp; 'Hulp (overig)'!$C$16 &amp; "'!" &amp;
            'Hulp (overig)'!$C$17 &amp;
            MATCH(G33, INDIRECT("'" &amp; 'Hulp (overig)'!$C$16 &amp; "'!A1:A1000"), 0) &amp;
            ":" &amp;
            'Hulp (overig)'!$C$17 &amp;
LOOKUP(
    2,
    1 / (
        (ROW(INDIRECT("'" &amp; 'Hulp (overig)'!$C$16 &amp; "'!B1:B1000")) &lt;
            IF(H33&lt;&gt;"",
               MATCH(H33, INDIRECT("'" &amp; 'Hulp (overig)'!$C$16 &amp; "'!A1:A1000"),0),
               1000
            )
        ) *
        (LEFT(TRIM(INDIRECT("'" &amp; 'Hulp (overig)'!$C$16 &amp; "'!B1:B1000")),1) &lt;&gt; "u")
    ),
    ROW(INDIRECT("'" &amp; 'Hulp (overig)'!$C$16 &amp; "'!B1:B1000"))
)
        )
    ) * G34
),
IF(G35="","",
IF(
    IFERROR(MIN(
        IF(
            (TRIM(INDIRECT("'" &amp; 'Hulp (overig)'!$C$16 &amp; "'!B1:B1000")) = TEXT(G35,"0")) *
            (ROW(INDIRECT("'" &amp; 'Hulp (overig)'!$C$16 &amp; "'!B1:B1000")) &gt;= MATCH(
                G33,
                INDIRECT("'" &amp; 'Hulp (overig)'!$C$16 &amp; "'!A1:A1000"),
                0
            )) *
            IF(
                H33="",
                1,
                (ROW(INDIRECT("'" &amp; 'Hulp (overig)'!$C$16 &amp; "'!B1:B1000")) &lt; MATCH(
                    H33,
                    INDIRECT("'" &amp; 'Hulp (overig)'!$C$16 &amp; "'!A1:A1000"),
                    0
                ))
            ),
            ROW(INDIRECT("'" &amp; 'Hulp (overig)'!$C$16 &amp; "'!B1:B1000"))
        )
    ),0) &lt; 1,
    "",
    IF(INDEX(
        INDIRECT("'" &amp; 'Hulp (overig)'!$C$16 &amp; "'!" &amp;
        'Hulp (overig)'!$C$17 &amp; "1:" &amp; 'Hulp (overig)'!$C$17 &amp; 1000
        ),
        IFERROR(MIN(
            IF(
                (TRIM(INDIRECT("'" &amp; 'Hulp (overig)'!$C$16 &amp; "'!B1:B1000")) = TEXT(G35,"0")) *
                (ROW(INDIRECT("'" &amp; 'Hulp (overig)'!$C$16 &amp; "'!B1:B1000")) &gt;= MATCH(
                    G33,
                    INDIRECT("'" &amp; 'Hulp (overig)'!$C$16 &amp; "'!A1:A1000"),
                    0
                )) *
                IF(
                    H33="",
                    1,
                    (ROW(INDIRECT("'" &amp; 'Hulp (overig)'!$C$16 &amp; "'!B1:B1000")) &lt; MATCH(
                        H33,
                        INDIRECT("'" &amp; 'Hulp (overig)'!$C$16 &amp; "'!A1:A1000"),
                        0
                    ))
                ),
                ROW(INDIRECT("'" &amp; 'Hulp (overig)'!$C$16 &amp; "'!B1:B1000"))
            )
        ),0)
    )=0,"",
INDEX(
        INDIRECT("'" &amp; 'Hulp (overig)'!$C$16 &amp; "'!" &amp;
        'Hulp (overig)'!$C$17 &amp; "1:" &amp; 'Hulp (overig)'!$C$17 &amp; 1000
        ),
        IFERROR(MIN(
            IF(
                (TRIM(INDIRECT("'" &amp; 'Hulp (overig)'!$C$16 &amp; "'!B1:B1000")) = TEXT(G35,"0")) *
                (ROW(INDIRECT("'" &amp; 'Hulp (overig)'!$C$16 &amp; "'!B1:B1000")) &gt;= MATCH(
                    G33,
                    INDIRECT("'" &amp; 'Hulp (overig)'!$C$16 &amp; "'!A1:A1000"),
                    0
                )) *
                IF(
                    H33="",
                    1,
                    (ROW(INDIRECT("'" &amp; 'Hulp (overig)'!$C$16 &amp; "'!B1:B1000")) &lt; MATCH(
                        H33,
                        INDIRECT("'" &amp; 'Hulp (overig)'!$C$16 &amp; "'!A1:A1000"),
                        0
                    ))
                ),
                ROW(INDIRECT("'" &amp; 'Hulp (overig)'!$C$16 &amp; "'!B1:B1000"))
            )
        ),0)
    ))
))))</f>
        <v>#VALUE!</v>
      </c>
      <c r="H36" s="425" t="e" cm="1">
        <f t="array" aca="1" ref="H36" ca="1">IF($BF36, IF(H33="","",
   INDEX(
      INDIRECT("'" &amp; 'Hulp (CAO''s)'!$AE$8 &amp; "'!" &amp;
               'Hulp (overig)'!$C$17 &amp; "1:" &amp;
               'Hulp (overig)'!$C$17 &amp; "1000"),
      MATCH(
         H33,
         INDIRECT("'" &amp; 'Hulp (CAO''s)'!$AE$8 &amp; "'!A1:A1000"),
         0
      )
   )
), IF($D34="Gebruik % van maximum salaris",
IF(
    OR(H33="",H34=""),
    "",
    MAX(
        INDIRECT(
            "'" &amp; 'Hulp (overig)'!$C$16 &amp; "'!" &amp;
            'Hulp (overig)'!$C$17 &amp;
            MATCH(H33, INDIRECT("'" &amp; 'Hulp (overig)'!$C$16 &amp; "'!A1:A1000"), 0) &amp;
            ":" &amp;
            'Hulp (overig)'!$C$17 &amp;
LOOKUP(
    2,
    1 / (
        (ROW(INDIRECT("'" &amp; 'Hulp (overig)'!$C$16 &amp; "'!B1:B1000")) &lt;
            IF(I33&lt;&gt;"",
               MATCH(I33, INDIRECT("'" &amp; 'Hulp (overig)'!$C$16 &amp; "'!A1:A1000"),0),
               1000
            )
        ) *
        (LEFT(TRIM(INDIRECT("'" &amp; 'Hulp (overig)'!$C$16 &amp; "'!B1:B1000")),1) &lt;&gt; "u")
    ),
    ROW(INDIRECT("'" &amp; 'Hulp (overig)'!$C$16 &amp; "'!B1:B1000"))
)
        )
    ) * H34
),
IF(H35="","",
IF(
    IFERROR(MIN(
        IF(
            (TRIM(INDIRECT("'" &amp; 'Hulp (overig)'!$C$16 &amp; "'!B1:B1000")) = TEXT(H35,"0")) *
            (ROW(INDIRECT("'" &amp; 'Hulp (overig)'!$C$16 &amp; "'!B1:B1000")) &gt;= MATCH(
                H33,
                INDIRECT("'" &amp; 'Hulp (overig)'!$C$16 &amp; "'!A1:A1000"),
                0
            )) *
            IF(
                I33="",
                1,
                (ROW(INDIRECT("'" &amp; 'Hulp (overig)'!$C$16 &amp; "'!B1:B1000")) &lt; MATCH(
                    I33,
                    INDIRECT("'" &amp; 'Hulp (overig)'!$C$16 &amp; "'!A1:A1000"),
                    0
                ))
            ),
            ROW(INDIRECT("'" &amp; 'Hulp (overig)'!$C$16 &amp; "'!B1:B1000"))
        )
    ),0) &lt; 1,
    "",
    IF(INDEX(
        INDIRECT("'" &amp; 'Hulp (overig)'!$C$16 &amp; "'!" &amp;
        'Hulp (overig)'!$C$17 &amp; "1:" &amp; 'Hulp (overig)'!$C$17 &amp; 1000
        ),
        IFERROR(MIN(
            IF(
                (TRIM(INDIRECT("'" &amp; 'Hulp (overig)'!$C$16 &amp; "'!B1:B1000")) = TEXT(H35,"0")) *
                (ROW(INDIRECT("'" &amp; 'Hulp (overig)'!$C$16 &amp; "'!B1:B1000")) &gt;= MATCH(
                    H33,
                    INDIRECT("'" &amp; 'Hulp (overig)'!$C$16 &amp; "'!A1:A1000"),
                    0
                )) *
                IF(
                    I33="",
                    1,
                    (ROW(INDIRECT("'" &amp; 'Hulp (overig)'!$C$16 &amp; "'!B1:B1000")) &lt; MATCH(
                        I33,
                        INDIRECT("'" &amp; 'Hulp (overig)'!$C$16 &amp; "'!A1:A1000"),
                        0
                    ))
                ),
                ROW(INDIRECT("'" &amp; 'Hulp (overig)'!$C$16 &amp; "'!B1:B1000"))
            )
        ),0)
    )=0,"",
INDEX(
        INDIRECT("'" &amp; 'Hulp (overig)'!$C$16 &amp; "'!" &amp;
        'Hulp (overig)'!$C$17 &amp; "1:" &amp; 'Hulp (overig)'!$C$17 &amp; 1000
        ),
        IFERROR(MIN(
            IF(
                (TRIM(INDIRECT("'" &amp; 'Hulp (overig)'!$C$16 &amp; "'!B1:B1000")) = TEXT(H35,"0")) *
                (ROW(INDIRECT("'" &amp; 'Hulp (overig)'!$C$16 &amp; "'!B1:B1000")) &gt;= MATCH(
                    H33,
                    INDIRECT("'" &amp; 'Hulp (overig)'!$C$16 &amp; "'!A1:A1000"),
                    0
                )) *
                IF(
                    I33="",
                    1,
                    (ROW(INDIRECT("'" &amp; 'Hulp (overig)'!$C$16 &amp; "'!B1:B1000")) &lt; MATCH(
                        I33,
                        INDIRECT("'" &amp; 'Hulp (overig)'!$C$16 &amp; "'!A1:A1000"),
                        0
                    ))
                ),
                ROW(INDIRECT("'" &amp; 'Hulp (overig)'!$C$16 &amp; "'!B1:B1000"))
            )
        ),0)
    ))
))))</f>
        <v>#VALUE!</v>
      </c>
      <c r="I36" s="425" t="e" cm="1">
        <f t="array" aca="1" ref="I36" ca="1">IF($BF36, IF(I33="","",
   INDEX(
      INDIRECT("'" &amp; 'Hulp (CAO''s)'!$AE$8 &amp; "'!" &amp;
               'Hulp (overig)'!$C$17 &amp; "1:" &amp;
               'Hulp (overig)'!$C$17 &amp; "1000"),
      MATCH(
         I33,
         INDIRECT("'" &amp; 'Hulp (CAO''s)'!$AE$8 &amp; "'!A1:A1000"),
         0
      )
   )
), IF($D34="Gebruik % van maximum salaris",
IF(
    OR(I33="",I34=""),
    "",
    MAX(
        INDIRECT(
            "'" &amp; 'Hulp (overig)'!$C$16 &amp; "'!" &amp;
            'Hulp (overig)'!$C$17 &amp;
            MATCH(I33, INDIRECT("'" &amp; 'Hulp (overig)'!$C$16 &amp; "'!A1:A1000"), 0) &amp;
            ":" &amp;
            'Hulp (overig)'!$C$17 &amp;
LOOKUP(
    2,
    1 / (
        (ROW(INDIRECT("'" &amp; 'Hulp (overig)'!$C$16 &amp; "'!B1:B1000")) &lt;
            IF(J33&lt;&gt;"",
               MATCH(J33, INDIRECT("'" &amp; 'Hulp (overig)'!$C$16 &amp; "'!A1:A1000"),0),
               1000
            )
        ) *
        (LEFT(TRIM(INDIRECT("'" &amp; 'Hulp (overig)'!$C$16 &amp; "'!B1:B1000")),1) &lt;&gt; "u")
    ),
    ROW(INDIRECT("'" &amp; 'Hulp (overig)'!$C$16 &amp; "'!B1:B1000"))
)
        )
    ) * I34
),
IF(I35="","",
IF(
    IFERROR(MIN(
        IF(
            (TRIM(INDIRECT("'" &amp; 'Hulp (overig)'!$C$16 &amp; "'!B1:B1000")) = TEXT(I35,"0")) *
            (ROW(INDIRECT("'" &amp; 'Hulp (overig)'!$C$16 &amp; "'!B1:B1000")) &gt;= MATCH(
                I33,
                INDIRECT("'" &amp; 'Hulp (overig)'!$C$16 &amp; "'!A1:A1000"),
                0
            )) *
            IF(
                J33="",
                1,
                (ROW(INDIRECT("'" &amp; 'Hulp (overig)'!$C$16 &amp; "'!B1:B1000")) &lt; MATCH(
                    J33,
                    INDIRECT("'" &amp; 'Hulp (overig)'!$C$16 &amp; "'!A1:A1000"),
                    0
                ))
            ),
            ROW(INDIRECT("'" &amp; 'Hulp (overig)'!$C$16 &amp; "'!B1:B1000"))
        )
    ),0) &lt; 1,
    "",
    IF(INDEX(
        INDIRECT("'" &amp; 'Hulp (overig)'!$C$16 &amp; "'!" &amp;
        'Hulp (overig)'!$C$17 &amp; "1:" &amp; 'Hulp (overig)'!$C$17 &amp; 1000
        ),
        IFERROR(MIN(
            IF(
                (TRIM(INDIRECT("'" &amp; 'Hulp (overig)'!$C$16 &amp; "'!B1:B1000")) = TEXT(I35,"0")) *
                (ROW(INDIRECT("'" &amp; 'Hulp (overig)'!$C$16 &amp; "'!B1:B1000")) &gt;= MATCH(
                    I33,
                    INDIRECT("'" &amp; 'Hulp (overig)'!$C$16 &amp; "'!A1:A1000"),
                    0
                )) *
                IF(
                    J33="",
                    1,
                    (ROW(INDIRECT("'" &amp; 'Hulp (overig)'!$C$16 &amp; "'!B1:B1000")) &lt; MATCH(
                        J33,
                        INDIRECT("'" &amp; 'Hulp (overig)'!$C$16 &amp; "'!A1:A1000"),
                        0
                    ))
                ),
                ROW(INDIRECT("'" &amp; 'Hulp (overig)'!$C$16 &amp; "'!B1:B1000"))
            )
        ),0)
    )=0,"",
INDEX(
        INDIRECT("'" &amp; 'Hulp (overig)'!$C$16 &amp; "'!" &amp;
        'Hulp (overig)'!$C$17 &amp; "1:" &amp; 'Hulp (overig)'!$C$17 &amp; 1000
        ),
        IFERROR(MIN(
            IF(
                (TRIM(INDIRECT("'" &amp; 'Hulp (overig)'!$C$16 &amp; "'!B1:B1000")) = TEXT(I35,"0")) *
                (ROW(INDIRECT("'" &amp; 'Hulp (overig)'!$C$16 &amp; "'!B1:B1000")) &gt;= MATCH(
                    I33,
                    INDIRECT("'" &amp; 'Hulp (overig)'!$C$16 &amp; "'!A1:A1000"),
                    0
                )) *
                IF(
                    J33="",
                    1,
                    (ROW(INDIRECT("'" &amp; 'Hulp (overig)'!$C$16 &amp; "'!B1:B1000")) &lt; MATCH(
                        J33,
                        INDIRECT("'" &amp; 'Hulp (overig)'!$C$16 &amp; "'!A1:A1000"),
                        0
                    ))
                ),
                ROW(INDIRECT("'" &amp; 'Hulp (overig)'!$C$16 &amp; "'!B1:B1000"))
            )
        ),0)
    ))
))))</f>
        <v>#VALUE!</v>
      </c>
      <c r="J36" s="425" t="e" cm="1">
        <f t="array" aca="1" ref="J36" ca="1">IF($BF36, IF(J33="","",
   INDEX(
      INDIRECT("'" &amp; 'Hulp (CAO''s)'!$AE$8 &amp; "'!" &amp;
               'Hulp (overig)'!$C$17 &amp; "1:" &amp;
               'Hulp (overig)'!$C$17 &amp; "1000"),
      MATCH(
         J33,
         INDIRECT("'" &amp; 'Hulp (CAO''s)'!$AE$8 &amp; "'!A1:A1000"),
         0
      )
   )
), IF($D34="Gebruik % van maximum salaris",
IF(
    OR(J33="",J34=""),
    "",
    MAX(
        INDIRECT(
            "'" &amp; 'Hulp (overig)'!$C$16 &amp; "'!" &amp;
            'Hulp (overig)'!$C$17 &amp;
            MATCH(J33, INDIRECT("'" &amp; 'Hulp (overig)'!$C$16 &amp; "'!A1:A1000"), 0) &amp;
            ":" &amp;
            'Hulp (overig)'!$C$17 &amp;
LOOKUP(
    2,
    1 / (
        (ROW(INDIRECT("'" &amp; 'Hulp (overig)'!$C$16 &amp; "'!B1:B1000")) &lt;
            IF(K33&lt;&gt;"",
               MATCH(K33, INDIRECT("'" &amp; 'Hulp (overig)'!$C$16 &amp; "'!A1:A1000"),0),
               1000
            )
        ) *
        (LEFT(TRIM(INDIRECT("'" &amp; 'Hulp (overig)'!$C$16 &amp; "'!B1:B1000")),1) &lt;&gt; "u")
    ),
    ROW(INDIRECT("'" &amp; 'Hulp (overig)'!$C$16 &amp; "'!B1:B1000"))
)
        )
    ) * J34
),
IF(J35="","",
IF(
    IFERROR(MIN(
        IF(
            (TRIM(INDIRECT("'" &amp; 'Hulp (overig)'!$C$16 &amp; "'!B1:B1000")) = TEXT(J35,"0")) *
            (ROW(INDIRECT("'" &amp; 'Hulp (overig)'!$C$16 &amp; "'!B1:B1000")) &gt;= MATCH(
                J33,
                INDIRECT("'" &amp; 'Hulp (overig)'!$C$16 &amp; "'!A1:A1000"),
                0
            )) *
            IF(
                K33="",
                1,
                (ROW(INDIRECT("'" &amp; 'Hulp (overig)'!$C$16 &amp; "'!B1:B1000")) &lt; MATCH(
                    K33,
                    INDIRECT("'" &amp; 'Hulp (overig)'!$C$16 &amp; "'!A1:A1000"),
                    0
                ))
            ),
            ROW(INDIRECT("'" &amp; 'Hulp (overig)'!$C$16 &amp; "'!B1:B1000"))
        )
    ),0) &lt; 1,
    "",
    IF(INDEX(
        INDIRECT("'" &amp; 'Hulp (overig)'!$C$16 &amp; "'!" &amp;
        'Hulp (overig)'!$C$17 &amp; "1:" &amp; 'Hulp (overig)'!$C$17 &amp; 1000
        ),
        IFERROR(MIN(
            IF(
                (TRIM(INDIRECT("'" &amp; 'Hulp (overig)'!$C$16 &amp; "'!B1:B1000")) = TEXT(J35,"0")) *
                (ROW(INDIRECT("'" &amp; 'Hulp (overig)'!$C$16 &amp; "'!B1:B1000")) &gt;= MATCH(
                    J33,
                    INDIRECT("'" &amp; 'Hulp (overig)'!$C$16 &amp; "'!A1:A1000"),
                    0
                )) *
                IF(
                    K33="",
                    1,
                    (ROW(INDIRECT("'" &amp; 'Hulp (overig)'!$C$16 &amp; "'!B1:B1000")) &lt; MATCH(
                        K33,
                        INDIRECT("'" &amp; 'Hulp (overig)'!$C$16 &amp; "'!A1:A1000"),
                        0
                    ))
                ),
                ROW(INDIRECT("'" &amp; 'Hulp (overig)'!$C$16 &amp; "'!B1:B1000"))
            )
        ),0)
    )=0,"",
INDEX(
        INDIRECT("'" &amp; 'Hulp (overig)'!$C$16 &amp; "'!" &amp;
        'Hulp (overig)'!$C$17 &amp; "1:" &amp; 'Hulp (overig)'!$C$17 &amp; 1000
        ),
        IFERROR(MIN(
            IF(
                (TRIM(INDIRECT("'" &amp; 'Hulp (overig)'!$C$16 &amp; "'!B1:B1000")) = TEXT(J35,"0")) *
                (ROW(INDIRECT("'" &amp; 'Hulp (overig)'!$C$16 &amp; "'!B1:B1000")) &gt;= MATCH(
                    J33,
                    INDIRECT("'" &amp; 'Hulp (overig)'!$C$16 &amp; "'!A1:A1000"),
                    0
                )) *
                IF(
                    K33="",
                    1,
                    (ROW(INDIRECT("'" &amp; 'Hulp (overig)'!$C$16 &amp; "'!B1:B1000")) &lt; MATCH(
                        K33,
                        INDIRECT("'" &amp; 'Hulp (overig)'!$C$16 &amp; "'!A1:A1000"),
                        0
                    ))
                ),
                ROW(INDIRECT("'" &amp; 'Hulp (overig)'!$C$16 &amp; "'!B1:B1000"))
            )
        ),0)
    ))
))))</f>
        <v>#VALUE!</v>
      </c>
      <c r="K36" s="425" t="e" cm="1">
        <f t="array" aca="1" ref="K36" ca="1">IF($BF36, IF(K33="","",
   INDEX(
      INDIRECT("'" &amp; 'Hulp (CAO''s)'!$AE$8 &amp; "'!" &amp;
               'Hulp (overig)'!$C$17 &amp; "1:" &amp;
               'Hulp (overig)'!$C$17 &amp; "1000"),
      MATCH(
         K33,
         INDIRECT("'" &amp; 'Hulp (CAO''s)'!$AE$8 &amp; "'!A1:A1000"),
         0
      )
   )
), IF($D34="Gebruik % van maximum salaris",
IF(
    OR(K33="",K34=""),
    "",
    MAX(
        INDIRECT(
            "'" &amp; 'Hulp (overig)'!$C$16 &amp; "'!" &amp;
            'Hulp (overig)'!$C$17 &amp;
            MATCH(K33, INDIRECT("'" &amp; 'Hulp (overig)'!$C$16 &amp; "'!A1:A1000"), 0) &amp;
            ":" &amp;
            'Hulp (overig)'!$C$17 &amp;
LOOKUP(
    2,
    1 / (
        (ROW(INDIRECT("'" &amp; 'Hulp (overig)'!$C$16 &amp; "'!B1:B1000")) &lt;
            IF(L33&lt;&gt;"",
               MATCH(L33, INDIRECT("'" &amp; 'Hulp (overig)'!$C$16 &amp; "'!A1:A1000"),0),
               1000
            )
        ) *
        (LEFT(TRIM(INDIRECT("'" &amp; 'Hulp (overig)'!$C$16 &amp; "'!B1:B1000")),1) &lt;&gt; "u")
    ),
    ROW(INDIRECT("'" &amp; 'Hulp (overig)'!$C$16 &amp; "'!B1:B1000"))
)
        )
    ) * K34
),
IF(K35="","",
IF(
    IFERROR(MIN(
        IF(
            (TRIM(INDIRECT("'" &amp; 'Hulp (overig)'!$C$16 &amp; "'!B1:B1000")) = TEXT(K35,"0")) *
            (ROW(INDIRECT("'" &amp; 'Hulp (overig)'!$C$16 &amp; "'!B1:B1000")) &gt;= MATCH(
                K33,
                INDIRECT("'" &amp; 'Hulp (overig)'!$C$16 &amp; "'!A1:A1000"),
                0
            )) *
            IF(
                L33="",
                1,
                (ROW(INDIRECT("'" &amp; 'Hulp (overig)'!$C$16 &amp; "'!B1:B1000")) &lt; MATCH(
                    L33,
                    INDIRECT("'" &amp; 'Hulp (overig)'!$C$16 &amp; "'!A1:A1000"),
                    0
                ))
            ),
            ROW(INDIRECT("'" &amp; 'Hulp (overig)'!$C$16 &amp; "'!B1:B1000"))
        )
    ),0) &lt; 1,
    "",
    IF(INDEX(
        INDIRECT("'" &amp; 'Hulp (overig)'!$C$16 &amp; "'!" &amp;
        'Hulp (overig)'!$C$17 &amp; "1:" &amp; 'Hulp (overig)'!$C$17 &amp; 1000
        ),
        IFERROR(MIN(
            IF(
                (TRIM(INDIRECT("'" &amp; 'Hulp (overig)'!$C$16 &amp; "'!B1:B1000")) = TEXT(K35,"0")) *
                (ROW(INDIRECT("'" &amp; 'Hulp (overig)'!$C$16 &amp; "'!B1:B1000")) &gt;= MATCH(
                    K33,
                    INDIRECT("'" &amp; 'Hulp (overig)'!$C$16 &amp; "'!A1:A1000"),
                    0
                )) *
                IF(
                    L33="",
                    1,
                    (ROW(INDIRECT("'" &amp; 'Hulp (overig)'!$C$16 &amp; "'!B1:B1000")) &lt; MATCH(
                        L33,
                        INDIRECT("'" &amp; 'Hulp (overig)'!$C$16 &amp; "'!A1:A1000"),
                        0
                    ))
                ),
                ROW(INDIRECT("'" &amp; 'Hulp (overig)'!$C$16 &amp; "'!B1:B1000"))
            )
        ),0)
    )=0,"",
INDEX(
        INDIRECT("'" &amp; 'Hulp (overig)'!$C$16 &amp; "'!" &amp;
        'Hulp (overig)'!$C$17 &amp; "1:" &amp; 'Hulp (overig)'!$C$17 &amp; 1000
        ),
        IFERROR(MIN(
            IF(
                (TRIM(INDIRECT("'" &amp; 'Hulp (overig)'!$C$16 &amp; "'!B1:B1000")) = TEXT(K35,"0")) *
                (ROW(INDIRECT("'" &amp; 'Hulp (overig)'!$C$16 &amp; "'!B1:B1000")) &gt;= MATCH(
                    K33,
                    INDIRECT("'" &amp; 'Hulp (overig)'!$C$16 &amp; "'!A1:A1000"),
                    0
                )) *
                IF(
                    L33="",
                    1,
                    (ROW(INDIRECT("'" &amp; 'Hulp (overig)'!$C$16 &amp; "'!B1:B1000")) &lt; MATCH(
                        L33,
                        INDIRECT("'" &amp; 'Hulp (overig)'!$C$16 &amp; "'!A1:A1000"),
                        0
                    ))
                ),
                ROW(INDIRECT("'" &amp; 'Hulp (overig)'!$C$16 &amp; "'!B1:B1000"))
            )
        ),0)
    ))
))))</f>
        <v>#VALUE!</v>
      </c>
      <c r="L36" s="425" t="e" cm="1">
        <f t="array" aca="1" ref="L36" ca="1">IF($BF36, IF(L33="","",
   INDEX(
      INDIRECT("'" &amp; 'Hulp (CAO''s)'!$AE$8 &amp; "'!" &amp;
               'Hulp (overig)'!$C$17 &amp; "1:" &amp;
               'Hulp (overig)'!$C$17 &amp; "1000"),
      MATCH(
         L33,
         INDIRECT("'" &amp; 'Hulp (CAO''s)'!$AE$8 &amp; "'!A1:A1000"),
         0
      )
   )
), IF($D34="Gebruik % van maximum salaris",
IF(
    OR(L33="",L34=""),
    "",
    MAX(
        INDIRECT(
            "'" &amp; 'Hulp (overig)'!$C$16 &amp; "'!" &amp;
            'Hulp (overig)'!$C$17 &amp;
            MATCH(L33, INDIRECT("'" &amp; 'Hulp (overig)'!$C$16 &amp; "'!A1:A1000"), 0) &amp;
            ":" &amp;
            'Hulp (overig)'!$C$17 &amp;
LOOKUP(
    2,
    1 / (
        (ROW(INDIRECT("'" &amp; 'Hulp (overig)'!$C$16 &amp; "'!B1:B1000")) &lt;
            IF(M33&lt;&gt;"",
               MATCH(M33, INDIRECT("'" &amp; 'Hulp (overig)'!$C$16 &amp; "'!A1:A1000"),0),
               1000
            )
        ) *
        (LEFT(TRIM(INDIRECT("'" &amp; 'Hulp (overig)'!$C$16 &amp; "'!B1:B1000")),1) &lt;&gt; "u")
    ),
    ROW(INDIRECT("'" &amp; 'Hulp (overig)'!$C$16 &amp; "'!B1:B1000"))
)
        )
    ) * L34
),
IF(L35="","",
IF(
    IFERROR(MIN(
        IF(
            (TRIM(INDIRECT("'" &amp; 'Hulp (overig)'!$C$16 &amp; "'!B1:B1000")) = TEXT(L35,"0")) *
            (ROW(INDIRECT("'" &amp; 'Hulp (overig)'!$C$16 &amp; "'!B1:B1000")) &gt;= MATCH(
                L33,
                INDIRECT("'" &amp; 'Hulp (overig)'!$C$16 &amp; "'!A1:A1000"),
                0
            )) *
            IF(
                M33="",
                1,
                (ROW(INDIRECT("'" &amp; 'Hulp (overig)'!$C$16 &amp; "'!B1:B1000")) &lt; MATCH(
                    M33,
                    INDIRECT("'" &amp; 'Hulp (overig)'!$C$16 &amp; "'!A1:A1000"),
                    0
                ))
            ),
            ROW(INDIRECT("'" &amp; 'Hulp (overig)'!$C$16 &amp; "'!B1:B1000"))
        )
    ),0) &lt; 1,
    "",
    IF(INDEX(
        INDIRECT("'" &amp; 'Hulp (overig)'!$C$16 &amp; "'!" &amp;
        'Hulp (overig)'!$C$17 &amp; "1:" &amp; 'Hulp (overig)'!$C$17 &amp; 1000
        ),
        IFERROR(MIN(
            IF(
                (TRIM(INDIRECT("'" &amp; 'Hulp (overig)'!$C$16 &amp; "'!B1:B1000")) = TEXT(L35,"0")) *
                (ROW(INDIRECT("'" &amp; 'Hulp (overig)'!$C$16 &amp; "'!B1:B1000")) &gt;= MATCH(
                    L33,
                    INDIRECT("'" &amp; 'Hulp (overig)'!$C$16 &amp; "'!A1:A1000"),
                    0
                )) *
                IF(
                    M33="",
                    1,
                    (ROW(INDIRECT("'" &amp; 'Hulp (overig)'!$C$16 &amp; "'!B1:B1000")) &lt; MATCH(
                        M33,
                        INDIRECT("'" &amp; 'Hulp (overig)'!$C$16 &amp; "'!A1:A1000"),
                        0
                    ))
                ),
                ROW(INDIRECT("'" &amp; 'Hulp (overig)'!$C$16 &amp; "'!B1:B1000"))
            )
        ),0)
    )=0,"",
INDEX(
        INDIRECT("'" &amp; 'Hulp (overig)'!$C$16 &amp; "'!" &amp;
        'Hulp (overig)'!$C$17 &amp; "1:" &amp; 'Hulp (overig)'!$C$17 &amp; 1000
        ),
        IFERROR(MIN(
            IF(
                (TRIM(INDIRECT("'" &amp; 'Hulp (overig)'!$C$16 &amp; "'!B1:B1000")) = TEXT(L35,"0")) *
                (ROW(INDIRECT("'" &amp; 'Hulp (overig)'!$C$16 &amp; "'!B1:B1000")) &gt;= MATCH(
                    L33,
                    INDIRECT("'" &amp; 'Hulp (overig)'!$C$16 &amp; "'!A1:A1000"),
                    0
                )) *
                IF(
                    M33="",
                    1,
                    (ROW(INDIRECT("'" &amp; 'Hulp (overig)'!$C$16 &amp; "'!B1:B1000")) &lt; MATCH(
                        M33,
                        INDIRECT("'" &amp; 'Hulp (overig)'!$C$16 &amp; "'!A1:A1000"),
                        0
                    ))
                ),
                ROW(INDIRECT("'" &amp; 'Hulp (overig)'!$C$16 &amp; "'!B1:B1000"))
            )
        ),0)
    ))
))))</f>
        <v>#VALUE!</v>
      </c>
      <c r="M36" s="425" t="e" cm="1">
        <f t="array" aca="1" ref="M36" ca="1">IF($BF36, IF(M33="","",
   INDEX(
      INDIRECT("'" &amp; 'Hulp (CAO''s)'!$AE$8 &amp; "'!" &amp;
               'Hulp (overig)'!$C$17 &amp; "1:" &amp;
               'Hulp (overig)'!$C$17 &amp; "1000"),
      MATCH(
         M33,
         INDIRECT("'" &amp; 'Hulp (CAO''s)'!$AE$8 &amp; "'!A1:A1000"),
         0
      )
   )
), IF($D34="Gebruik % van maximum salaris",
IF(
    OR(M33="",M34=""),
    "",
    MAX(
        INDIRECT(
            "'" &amp; 'Hulp (overig)'!$C$16 &amp; "'!" &amp;
            'Hulp (overig)'!$C$17 &amp;
            MATCH(M33, INDIRECT("'" &amp; 'Hulp (overig)'!$C$16 &amp; "'!A1:A1000"), 0) &amp;
            ":" &amp;
            'Hulp (overig)'!$C$17 &amp;
LOOKUP(
    2,
    1 / (
        (ROW(INDIRECT("'" &amp; 'Hulp (overig)'!$C$16 &amp; "'!B1:B1000")) &lt;
            IF(N33&lt;&gt;"",
               MATCH(N33, INDIRECT("'" &amp; 'Hulp (overig)'!$C$16 &amp; "'!A1:A1000"),0),
               1000
            )
        ) *
        (LEFT(TRIM(INDIRECT("'" &amp; 'Hulp (overig)'!$C$16 &amp; "'!B1:B1000")),1) &lt;&gt; "u")
    ),
    ROW(INDIRECT("'" &amp; 'Hulp (overig)'!$C$16 &amp; "'!B1:B1000"))
)
        )
    ) * M34
),
IF(M35="","",
IF(
    IFERROR(MIN(
        IF(
            (TRIM(INDIRECT("'" &amp; 'Hulp (overig)'!$C$16 &amp; "'!B1:B1000")) = TEXT(M35,"0")) *
            (ROW(INDIRECT("'" &amp; 'Hulp (overig)'!$C$16 &amp; "'!B1:B1000")) &gt;= MATCH(
                M33,
                INDIRECT("'" &amp; 'Hulp (overig)'!$C$16 &amp; "'!A1:A1000"),
                0
            )) *
            IF(
                N33="",
                1,
                (ROW(INDIRECT("'" &amp; 'Hulp (overig)'!$C$16 &amp; "'!B1:B1000")) &lt; MATCH(
                    N33,
                    INDIRECT("'" &amp; 'Hulp (overig)'!$C$16 &amp; "'!A1:A1000"),
                    0
                ))
            ),
            ROW(INDIRECT("'" &amp; 'Hulp (overig)'!$C$16 &amp; "'!B1:B1000"))
        )
    ),0) &lt; 1,
    "",
    IF(INDEX(
        INDIRECT("'" &amp; 'Hulp (overig)'!$C$16 &amp; "'!" &amp;
        'Hulp (overig)'!$C$17 &amp; "1:" &amp; 'Hulp (overig)'!$C$17 &amp; 1000
        ),
        IFERROR(MIN(
            IF(
                (TRIM(INDIRECT("'" &amp; 'Hulp (overig)'!$C$16 &amp; "'!B1:B1000")) = TEXT(M35,"0")) *
                (ROW(INDIRECT("'" &amp; 'Hulp (overig)'!$C$16 &amp; "'!B1:B1000")) &gt;= MATCH(
                    M33,
                    INDIRECT("'" &amp; 'Hulp (overig)'!$C$16 &amp; "'!A1:A1000"),
                    0
                )) *
                IF(
                    N33="",
                    1,
                    (ROW(INDIRECT("'" &amp; 'Hulp (overig)'!$C$16 &amp; "'!B1:B1000")) &lt; MATCH(
                        N33,
                        INDIRECT("'" &amp; 'Hulp (overig)'!$C$16 &amp; "'!A1:A1000"),
                        0
                    ))
                ),
                ROW(INDIRECT("'" &amp; 'Hulp (overig)'!$C$16 &amp; "'!B1:B1000"))
            )
        ),0)
    )=0,"",
INDEX(
        INDIRECT("'" &amp; 'Hulp (overig)'!$C$16 &amp; "'!" &amp;
        'Hulp (overig)'!$C$17 &amp; "1:" &amp; 'Hulp (overig)'!$C$17 &amp; 1000
        ),
        IFERROR(MIN(
            IF(
                (TRIM(INDIRECT("'" &amp; 'Hulp (overig)'!$C$16 &amp; "'!B1:B1000")) = TEXT(M35,"0")) *
                (ROW(INDIRECT("'" &amp; 'Hulp (overig)'!$C$16 &amp; "'!B1:B1000")) &gt;= MATCH(
                    M33,
                    INDIRECT("'" &amp; 'Hulp (overig)'!$C$16 &amp; "'!A1:A1000"),
                    0
                )) *
                IF(
                    N33="",
                    1,
                    (ROW(INDIRECT("'" &amp; 'Hulp (overig)'!$C$16 &amp; "'!B1:B1000")) &lt; MATCH(
                        N33,
                        INDIRECT("'" &amp; 'Hulp (overig)'!$C$16 &amp; "'!A1:A1000"),
                        0
                    ))
                ),
                ROW(INDIRECT("'" &amp; 'Hulp (overig)'!$C$16 &amp; "'!B1:B1000"))
            )
        ),0)
    ))
))))</f>
        <v>#VALUE!</v>
      </c>
      <c r="N36" s="425" t="e" cm="1">
        <f t="array" aca="1" ref="N36" ca="1">IF($BF36, IF(N33="","",
   INDEX(
      INDIRECT("'" &amp; 'Hulp (CAO''s)'!$AE$8 &amp; "'!" &amp;
               'Hulp (overig)'!$C$17 &amp; "1:" &amp;
               'Hulp (overig)'!$C$17 &amp; "1000"),
      MATCH(
         N33,
         INDIRECT("'" &amp; 'Hulp (CAO''s)'!$AE$8 &amp; "'!A1:A1000"),
         0
      )
   )
), IF($D34="Gebruik % van maximum salaris",
IF(
    OR(N33="",N34=""),
    "",
    MAX(
        INDIRECT(
            "'" &amp; 'Hulp (overig)'!$C$16 &amp; "'!" &amp;
            'Hulp (overig)'!$C$17 &amp;
            MATCH(N33, INDIRECT("'" &amp; 'Hulp (overig)'!$C$16 &amp; "'!A1:A1000"), 0) &amp;
            ":" &amp;
            'Hulp (overig)'!$C$17 &amp;
LOOKUP(
    2,
    1 / (
        (ROW(INDIRECT("'" &amp; 'Hulp (overig)'!$C$16 &amp; "'!B1:B1000")) &lt;
            IF(O33&lt;&gt;"",
               MATCH(O33, INDIRECT("'" &amp; 'Hulp (overig)'!$C$16 &amp; "'!A1:A1000"),0),
               1000
            )
        ) *
        (LEFT(TRIM(INDIRECT("'" &amp; 'Hulp (overig)'!$C$16 &amp; "'!B1:B1000")),1) &lt;&gt; "u")
    ),
    ROW(INDIRECT("'" &amp; 'Hulp (overig)'!$C$16 &amp; "'!B1:B1000"))
)
        )
    ) * N34
),
IF(N35="","",
IF(
    IFERROR(MIN(
        IF(
            (TRIM(INDIRECT("'" &amp; 'Hulp (overig)'!$C$16 &amp; "'!B1:B1000")) = TEXT(N35,"0")) *
            (ROW(INDIRECT("'" &amp; 'Hulp (overig)'!$C$16 &amp; "'!B1:B1000")) &gt;= MATCH(
                N33,
                INDIRECT("'" &amp; 'Hulp (overig)'!$C$16 &amp; "'!A1:A1000"),
                0
            )) *
            IF(
                O33="",
                1,
                (ROW(INDIRECT("'" &amp; 'Hulp (overig)'!$C$16 &amp; "'!B1:B1000")) &lt; MATCH(
                    O33,
                    INDIRECT("'" &amp; 'Hulp (overig)'!$C$16 &amp; "'!A1:A1000"),
                    0
                ))
            ),
            ROW(INDIRECT("'" &amp; 'Hulp (overig)'!$C$16 &amp; "'!B1:B1000"))
        )
    ),0) &lt; 1,
    "",
    IF(INDEX(
        INDIRECT("'" &amp; 'Hulp (overig)'!$C$16 &amp; "'!" &amp;
        'Hulp (overig)'!$C$17 &amp; "1:" &amp; 'Hulp (overig)'!$C$17 &amp; 1000
        ),
        IFERROR(MIN(
            IF(
                (TRIM(INDIRECT("'" &amp; 'Hulp (overig)'!$C$16 &amp; "'!B1:B1000")) = TEXT(N35,"0")) *
                (ROW(INDIRECT("'" &amp; 'Hulp (overig)'!$C$16 &amp; "'!B1:B1000")) &gt;= MATCH(
                    N33,
                    INDIRECT("'" &amp; 'Hulp (overig)'!$C$16 &amp; "'!A1:A1000"),
                    0
                )) *
                IF(
                    O33="",
                    1,
                    (ROW(INDIRECT("'" &amp; 'Hulp (overig)'!$C$16 &amp; "'!B1:B1000")) &lt; MATCH(
                        O33,
                        INDIRECT("'" &amp; 'Hulp (overig)'!$C$16 &amp; "'!A1:A1000"),
                        0
                    ))
                ),
                ROW(INDIRECT("'" &amp; 'Hulp (overig)'!$C$16 &amp; "'!B1:B1000"))
            )
        ),0)
    )=0,"",
INDEX(
        INDIRECT("'" &amp; 'Hulp (overig)'!$C$16 &amp; "'!" &amp;
        'Hulp (overig)'!$C$17 &amp; "1:" &amp; 'Hulp (overig)'!$C$17 &amp; 1000
        ),
        IFERROR(MIN(
            IF(
                (TRIM(INDIRECT("'" &amp; 'Hulp (overig)'!$C$16 &amp; "'!B1:B1000")) = TEXT(N35,"0")) *
                (ROW(INDIRECT("'" &amp; 'Hulp (overig)'!$C$16 &amp; "'!B1:B1000")) &gt;= MATCH(
                    N33,
                    INDIRECT("'" &amp; 'Hulp (overig)'!$C$16 &amp; "'!A1:A1000"),
                    0
                )) *
                IF(
                    O33="",
                    1,
                    (ROW(INDIRECT("'" &amp; 'Hulp (overig)'!$C$16 &amp; "'!B1:B1000")) &lt; MATCH(
                        O33,
                        INDIRECT("'" &amp; 'Hulp (overig)'!$C$16 &amp; "'!A1:A1000"),
                        0
                    ))
                ),
                ROW(INDIRECT("'" &amp; 'Hulp (overig)'!$C$16 &amp; "'!B1:B1000"))
            )
        ),0)
    ))
))))</f>
        <v>#VALUE!</v>
      </c>
      <c r="O36" s="425" t="e" cm="1">
        <f t="array" aca="1" ref="O36" ca="1">IF($BF36, IF(O33="","",
   INDEX(
      INDIRECT("'" &amp; 'Hulp (CAO''s)'!$AE$8 &amp; "'!" &amp;
               'Hulp (overig)'!$C$17 &amp; "1:" &amp;
               'Hulp (overig)'!$C$17 &amp; "1000"),
      MATCH(
         O33,
         INDIRECT("'" &amp; 'Hulp (CAO''s)'!$AE$8 &amp; "'!A1:A1000"),
         0
      )
   )
), IF($D34="Gebruik % van maximum salaris",
IF(
    OR(O33="",O34=""),
    "",
    MAX(
        INDIRECT(
            "'" &amp; 'Hulp (overig)'!$C$16 &amp; "'!" &amp;
            'Hulp (overig)'!$C$17 &amp;
            MATCH(O33, INDIRECT("'" &amp; 'Hulp (overig)'!$C$16 &amp; "'!A1:A1000"), 0) &amp;
            ":" &amp;
            'Hulp (overig)'!$C$17 &amp;
LOOKUP(
    2,
    1 / (
        (ROW(INDIRECT("'" &amp; 'Hulp (overig)'!$C$16 &amp; "'!B1:B1000")) &lt;
            IF(P33&lt;&gt;"",
               MATCH(P33, INDIRECT("'" &amp; 'Hulp (overig)'!$C$16 &amp; "'!A1:A1000"),0),
               1000
            )
        ) *
        (LEFT(TRIM(INDIRECT("'" &amp; 'Hulp (overig)'!$C$16 &amp; "'!B1:B1000")),1) &lt;&gt; "u")
    ),
    ROW(INDIRECT("'" &amp; 'Hulp (overig)'!$C$16 &amp; "'!B1:B1000"))
)
        )
    ) * O34
),
IF(O35="","",
IF(
    IFERROR(MIN(
        IF(
            (TRIM(INDIRECT("'" &amp; 'Hulp (overig)'!$C$16 &amp; "'!B1:B1000")) = TEXT(O35,"0")) *
            (ROW(INDIRECT("'" &amp; 'Hulp (overig)'!$C$16 &amp; "'!B1:B1000")) &gt;= MATCH(
                O33,
                INDIRECT("'" &amp; 'Hulp (overig)'!$C$16 &amp; "'!A1:A1000"),
                0
            )) *
            IF(
                P33="",
                1,
                (ROW(INDIRECT("'" &amp; 'Hulp (overig)'!$C$16 &amp; "'!B1:B1000")) &lt; MATCH(
                    P33,
                    INDIRECT("'" &amp; 'Hulp (overig)'!$C$16 &amp; "'!A1:A1000"),
                    0
                ))
            ),
            ROW(INDIRECT("'" &amp; 'Hulp (overig)'!$C$16 &amp; "'!B1:B1000"))
        )
    ),0) &lt; 1,
    "",
    IF(INDEX(
        INDIRECT("'" &amp; 'Hulp (overig)'!$C$16 &amp; "'!" &amp;
        'Hulp (overig)'!$C$17 &amp; "1:" &amp; 'Hulp (overig)'!$C$17 &amp; 1000
        ),
        IFERROR(MIN(
            IF(
                (TRIM(INDIRECT("'" &amp; 'Hulp (overig)'!$C$16 &amp; "'!B1:B1000")) = TEXT(O35,"0")) *
                (ROW(INDIRECT("'" &amp; 'Hulp (overig)'!$C$16 &amp; "'!B1:B1000")) &gt;= MATCH(
                    O33,
                    INDIRECT("'" &amp; 'Hulp (overig)'!$C$16 &amp; "'!A1:A1000"),
                    0
                )) *
                IF(
                    P33="",
                    1,
                    (ROW(INDIRECT("'" &amp; 'Hulp (overig)'!$C$16 &amp; "'!B1:B1000")) &lt; MATCH(
                        P33,
                        INDIRECT("'" &amp; 'Hulp (overig)'!$C$16 &amp; "'!A1:A1000"),
                        0
                    ))
                ),
                ROW(INDIRECT("'" &amp; 'Hulp (overig)'!$C$16 &amp; "'!B1:B1000"))
            )
        ),0)
    )=0,"",
INDEX(
        INDIRECT("'" &amp; 'Hulp (overig)'!$C$16 &amp; "'!" &amp;
        'Hulp (overig)'!$C$17 &amp; "1:" &amp; 'Hulp (overig)'!$C$17 &amp; 1000
        ),
        IFERROR(MIN(
            IF(
                (TRIM(INDIRECT("'" &amp; 'Hulp (overig)'!$C$16 &amp; "'!B1:B1000")) = TEXT(O35,"0")) *
                (ROW(INDIRECT("'" &amp; 'Hulp (overig)'!$C$16 &amp; "'!B1:B1000")) &gt;= MATCH(
                    O33,
                    INDIRECT("'" &amp; 'Hulp (overig)'!$C$16 &amp; "'!A1:A1000"),
                    0
                )) *
                IF(
                    P33="",
                    1,
                    (ROW(INDIRECT("'" &amp; 'Hulp (overig)'!$C$16 &amp; "'!B1:B1000")) &lt; MATCH(
                        P33,
                        INDIRECT("'" &amp; 'Hulp (overig)'!$C$16 &amp; "'!A1:A1000"),
                        0
                    ))
                ),
                ROW(INDIRECT("'" &amp; 'Hulp (overig)'!$C$16 &amp; "'!B1:B1000"))
            )
        ),0)
    ))
))))</f>
        <v>#VALUE!</v>
      </c>
      <c r="P36" s="425" t="e" cm="1">
        <f t="array" aca="1" ref="P36" ca="1">IF($BF36, IF(P33="","",
   INDEX(
      INDIRECT("'" &amp; 'Hulp (CAO''s)'!$AE$8 &amp; "'!" &amp;
               'Hulp (overig)'!$C$17 &amp; "1:" &amp;
               'Hulp (overig)'!$C$17 &amp; "1000"),
      MATCH(
         P33,
         INDIRECT("'" &amp; 'Hulp (CAO''s)'!$AE$8 &amp; "'!A1:A1000"),
         0
      )
   )
), IF($D34="Gebruik % van maximum salaris",
IF(
    OR(P33="",P34=""),
    "",
    MAX(
        INDIRECT(
            "'" &amp; 'Hulp (overig)'!$C$16 &amp; "'!" &amp;
            'Hulp (overig)'!$C$17 &amp;
            MATCH(P33, INDIRECT("'" &amp; 'Hulp (overig)'!$C$16 &amp; "'!A1:A1000"), 0) &amp;
            ":" &amp;
            'Hulp (overig)'!$C$17 &amp;
LOOKUP(
    2,
    1 / (
        (ROW(INDIRECT("'" &amp; 'Hulp (overig)'!$C$16 &amp; "'!B1:B1000")) &lt;
            IF(Q33&lt;&gt;"",
               MATCH(Q33, INDIRECT("'" &amp; 'Hulp (overig)'!$C$16 &amp; "'!A1:A1000"),0),
               1000
            )
        ) *
        (LEFT(TRIM(INDIRECT("'" &amp; 'Hulp (overig)'!$C$16 &amp; "'!B1:B1000")),1) &lt;&gt; "u")
    ),
    ROW(INDIRECT("'" &amp; 'Hulp (overig)'!$C$16 &amp; "'!B1:B1000"))
)
        )
    ) * P34
),
IF(P35="","",
IF(
    IFERROR(MIN(
        IF(
            (TRIM(INDIRECT("'" &amp; 'Hulp (overig)'!$C$16 &amp; "'!B1:B1000")) = TEXT(P35,"0")) *
            (ROW(INDIRECT("'" &amp; 'Hulp (overig)'!$C$16 &amp; "'!B1:B1000")) &gt;= MATCH(
                P33,
                INDIRECT("'" &amp; 'Hulp (overig)'!$C$16 &amp; "'!A1:A1000"),
                0
            )) *
            IF(
                Q33="",
                1,
                (ROW(INDIRECT("'" &amp; 'Hulp (overig)'!$C$16 &amp; "'!B1:B1000")) &lt; MATCH(
                    Q33,
                    INDIRECT("'" &amp; 'Hulp (overig)'!$C$16 &amp; "'!A1:A1000"),
                    0
                ))
            ),
            ROW(INDIRECT("'" &amp; 'Hulp (overig)'!$C$16 &amp; "'!B1:B1000"))
        )
    ),0) &lt; 1,
    "",
    IF(INDEX(
        INDIRECT("'" &amp; 'Hulp (overig)'!$C$16 &amp; "'!" &amp;
        'Hulp (overig)'!$C$17 &amp; "1:" &amp; 'Hulp (overig)'!$C$17 &amp; 1000
        ),
        IFERROR(MIN(
            IF(
                (TRIM(INDIRECT("'" &amp; 'Hulp (overig)'!$C$16 &amp; "'!B1:B1000")) = TEXT(P35,"0")) *
                (ROW(INDIRECT("'" &amp; 'Hulp (overig)'!$C$16 &amp; "'!B1:B1000")) &gt;= MATCH(
                    P33,
                    INDIRECT("'" &amp; 'Hulp (overig)'!$C$16 &amp; "'!A1:A1000"),
                    0
                )) *
                IF(
                    Q33="",
                    1,
                    (ROW(INDIRECT("'" &amp; 'Hulp (overig)'!$C$16 &amp; "'!B1:B1000")) &lt; MATCH(
                        Q33,
                        INDIRECT("'" &amp; 'Hulp (overig)'!$C$16 &amp; "'!A1:A1000"),
                        0
                    ))
                ),
                ROW(INDIRECT("'" &amp; 'Hulp (overig)'!$C$16 &amp; "'!B1:B1000"))
            )
        ),0)
    )=0,"",
INDEX(
        INDIRECT("'" &amp; 'Hulp (overig)'!$C$16 &amp; "'!" &amp;
        'Hulp (overig)'!$C$17 &amp; "1:" &amp; 'Hulp (overig)'!$C$17 &amp; 1000
        ),
        IFERROR(MIN(
            IF(
                (TRIM(INDIRECT("'" &amp; 'Hulp (overig)'!$C$16 &amp; "'!B1:B1000")) = TEXT(P35,"0")) *
                (ROW(INDIRECT("'" &amp; 'Hulp (overig)'!$C$16 &amp; "'!B1:B1000")) &gt;= MATCH(
                    P33,
                    INDIRECT("'" &amp; 'Hulp (overig)'!$C$16 &amp; "'!A1:A1000"),
                    0
                )) *
                IF(
                    Q33="",
                    1,
                    (ROW(INDIRECT("'" &amp; 'Hulp (overig)'!$C$16 &amp; "'!B1:B1000")) &lt; MATCH(
                        Q33,
                        INDIRECT("'" &amp; 'Hulp (overig)'!$C$16 &amp; "'!A1:A1000"),
                        0
                    ))
                ),
                ROW(INDIRECT("'" &amp; 'Hulp (overig)'!$C$16 &amp; "'!B1:B1000"))
            )
        ),0)
    ))
))))</f>
        <v>#VALUE!</v>
      </c>
      <c r="Q36" s="425" t="e" cm="1">
        <f t="array" aca="1" ref="Q36" ca="1">IF($BF36, IF(Q33="","",
   INDEX(
      INDIRECT("'" &amp; 'Hulp (CAO''s)'!$AE$8 &amp; "'!" &amp;
               'Hulp (overig)'!$C$17 &amp; "1:" &amp;
               'Hulp (overig)'!$C$17 &amp; "1000"),
      MATCH(
         Q33,
         INDIRECT("'" &amp; 'Hulp (CAO''s)'!$AE$8 &amp; "'!A1:A1000"),
         0
      )
   )
), IF($D34="Gebruik % van maximum salaris",
IF(
    OR(Q33="",Q34=""),
    "",
    MAX(
        INDIRECT(
            "'" &amp; 'Hulp (overig)'!$C$16 &amp; "'!" &amp;
            'Hulp (overig)'!$C$17 &amp;
            MATCH(Q33, INDIRECT("'" &amp; 'Hulp (overig)'!$C$16 &amp; "'!A1:A1000"), 0) &amp;
            ":" &amp;
            'Hulp (overig)'!$C$17 &amp;
LOOKUP(
    2,
    1 / (
        (ROW(INDIRECT("'" &amp; 'Hulp (overig)'!$C$16 &amp; "'!B1:B1000")) &lt;
            IF(R33&lt;&gt;"",
               MATCH(R33, INDIRECT("'" &amp; 'Hulp (overig)'!$C$16 &amp; "'!A1:A1000"),0),
               1000
            )
        ) *
        (LEFT(TRIM(INDIRECT("'" &amp; 'Hulp (overig)'!$C$16 &amp; "'!B1:B1000")),1) &lt;&gt; "u")
    ),
    ROW(INDIRECT("'" &amp; 'Hulp (overig)'!$C$16 &amp; "'!B1:B1000"))
)
        )
    ) * Q34
),
IF(Q35="","",
IF(
    IFERROR(MIN(
        IF(
            (TRIM(INDIRECT("'" &amp; 'Hulp (overig)'!$C$16 &amp; "'!B1:B1000")) = TEXT(Q35,"0")) *
            (ROW(INDIRECT("'" &amp; 'Hulp (overig)'!$C$16 &amp; "'!B1:B1000")) &gt;= MATCH(
                Q33,
                INDIRECT("'" &amp; 'Hulp (overig)'!$C$16 &amp; "'!A1:A1000"),
                0
            )) *
            IF(
                R33="",
                1,
                (ROW(INDIRECT("'" &amp; 'Hulp (overig)'!$C$16 &amp; "'!B1:B1000")) &lt; MATCH(
                    R33,
                    INDIRECT("'" &amp; 'Hulp (overig)'!$C$16 &amp; "'!A1:A1000"),
                    0
                ))
            ),
            ROW(INDIRECT("'" &amp; 'Hulp (overig)'!$C$16 &amp; "'!B1:B1000"))
        )
    ),0) &lt; 1,
    "",
    IF(INDEX(
        INDIRECT("'" &amp; 'Hulp (overig)'!$C$16 &amp; "'!" &amp;
        'Hulp (overig)'!$C$17 &amp; "1:" &amp; 'Hulp (overig)'!$C$17 &amp; 1000
        ),
        IFERROR(MIN(
            IF(
                (TRIM(INDIRECT("'" &amp; 'Hulp (overig)'!$C$16 &amp; "'!B1:B1000")) = TEXT(Q35,"0")) *
                (ROW(INDIRECT("'" &amp; 'Hulp (overig)'!$C$16 &amp; "'!B1:B1000")) &gt;= MATCH(
                    Q33,
                    INDIRECT("'" &amp; 'Hulp (overig)'!$C$16 &amp; "'!A1:A1000"),
                    0
                )) *
                IF(
                    R33="",
                    1,
                    (ROW(INDIRECT("'" &amp; 'Hulp (overig)'!$C$16 &amp; "'!B1:B1000")) &lt; MATCH(
                        R33,
                        INDIRECT("'" &amp; 'Hulp (overig)'!$C$16 &amp; "'!A1:A1000"),
                        0
                    ))
                ),
                ROW(INDIRECT("'" &amp; 'Hulp (overig)'!$C$16 &amp; "'!B1:B1000"))
            )
        ),0)
    )=0,"",
INDEX(
        INDIRECT("'" &amp; 'Hulp (overig)'!$C$16 &amp; "'!" &amp;
        'Hulp (overig)'!$C$17 &amp; "1:" &amp; 'Hulp (overig)'!$C$17 &amp; 1000
        ),
        IFERROR(MIN(
            IF(
                (TRIM(INDIRECT("'" &amp; 'Hulp (overig)'!$C$16 &amp; "'!B1:B1000")) = TEXT(Q35,"0")) *
                (ROW(INDIRECT("'" &amp; 'Hulp (overig)'!$C$16 &amp; "'!B1:B1000")) &gt;= MATCH(
                    Q33,
                    INDIRECT("'" &amp; 'Hulp (overig)'!$C$16 &amp; "'!A1:A1000"),
                    0
                )) *
                IF(
                    R33="",
                    1,
                    (ROW(INDIRECT("'" &amp; 'Hulp (overig)'!$C$16 &amp; "'!B1:B1000")) &lt; MATCH(
                        R33,
                        INDIRECT("'" &amp; 'Hulp (overig)'!$C$16 &amp; "'!A1:A1000"),
                        0
                    ))
                ),
                ROW(INDIRECT("'" &amp; 'Hulp (overig)'!$C$16 &amp; "'!B1:B1000"))
            )
        ),0)
    ))
))))</f>
        <v>#VALUE!</v>
      </c>
      <c r="R36" s="425" t="e" cm="1">
        <f t="array" aca="1" ref="R36" ca="1">IF($BF36, IF(R33="","",
   INDEX(
      INDIRECT("'" &amp; 'Hulp (CAO''s)'!$AE$8 &amp; "'!" &amp;
               'Hulp (overig)'!$C$17 &amp; "1:" &amp;
               'Hulp (overig)'!$C$17 &amp; "1000"),
      MATCH(
         R33,
         INDIRECT("'" &amp; 'Hulp (CAO''s)'!$AE$8 &amp; "'!A1:A1000"),
         0
      )
   )
), IF($D34="Gebruik % van maximum salaris",
IF(
    OR(R33="",R34=""),
    "",
    MAX(
        INDIRECT(
            "'" &amp; 'Hulp (overig)'!$C$16 &amp; "'!" &amp;
            'Hulp (overig)'!$C$17 &amp;
            MATCH(R33, INDIRECT("'" &amp; 'Hulp (overig)'!$C$16 &amp; "'!A1:A1000"), 0) &amp;
            ":" &amp;
            'Hulp (overig)'!$C$17 &amp;
LOOKUP(
    2,
    1 / (
        (ROW(INDIRECT("'" &amp; 'Hulp (overig)'!$C$16 &amp; "'!B1:B1000")) &lt;
            IF(S33&lt;&gt;"",
               MATCH(S33, INDIRECT("'" &amp; 'Hulp (overig)'!$C$16 &amp; "'!A1:A1000"),0),
               1000
            )
        ) *
        (LEFT(TRIM(INDIRECT("'" &amp; 'Hulp (overig)'!$C$16 &amp; "'!B1:B1000")),1) &lt;&gt; "u")
    ),
    ROW(INDIRECT("'" &amp; 'Hulp (overig)'!$C$16 &amp; "'!B1:B1000"))
)
        )
    ) * R34
),
IF(R35="","",
IF(
    IFERROR(MIN(
        IF(
            (TRIM(INDIRECT("'" &amp; 'Hulp (overig)'!$C$16 &amp; "'!B1:B1000")) = TEXT(R35,"0")) *
            (ROW(INDIRECT("'" &amp; 'Hulp (overig)'!$C$16 &amp; "'!B1:B1000")) &gt;= MATCH(
                R33,
                INDIRECT("'" &amp; 'Hulp (overig)'!$C$16 &amp; "'!A1:A1000"),
                0
            )) *
            IF(
                S33="",
                1,
                (ROW(INDIRECT("'" &amp; 'Hulp (overig)'!$C$16 &amp; "'!B1:B1000")) &lt; MATCH(
                    S33,
                    INDIRECT("'" &amp; 'Hulp (overig)'!$C$16 &amp; "'!A1:A1000"),
                    0
                ))
            ),
            ROW(INDIRECT("'" &amp; 'Hulp (overig)'!$C$16 &amp; "'!B1:B1000"))
        )
    ),0) &lt; 1,
    "",
    IF(INDEX(
        INDIRECT("'" &amp; 'Hulp (overig)'!$C$16 &amp; "'!" &amp;
        'Hulp (overig)'!$C$17 &amp; "1:" &amp; 'Hulp (overig)'!$C$17 &amp; 1000
        ),
        IFERROR(MIN(
            IF(
                (TRIM(INDIRECT("'" &amp; 'Hulp (overig)'!$C$16 &amp; "'!B1:B1000")) = TEXT(R35,"0")) *
                (ROW(INDIRECT("'" &amp; 'Hulp (overig)'!$C$16 &amp; "'!B1:B1000")) &gt;= MATCH(
                    R33,
                    INDIRECT("'" &amp; 'Hulp (overig)'!$C$16 &amp; "'!A1:A1000"),
                    0
                )) *
                IF(
                    S33="",
                    1,
                    (ROW(INDIRECT("'" &amp; 'Hulp (overig)'!$C$16 &amp; "'!B1:B1000")) &lt; MATCH(
                        S33,
                        INDIRECT("'" &amp; 'Hulp (overig)'!$C$16 &amp; "'!A1:A1000"),
                        0
                    ))
                ),
                ROW(INDIRECT("'" &amp; 'Hulp (overig)'!$C$16 &amp; "'!B1:B1000"))
            )
        ),0)
    )=0,"",
INDEX(
        INDIRECT("'" &amp; 'Hulp (overig)'!$C$16 &amp; "'!" &amp;
        'Hulp (overig)'!$C$17 &amp; "1:" &amp; 'Hulp (overig)'!$C$17 &amp; 1000
        ),
        IFERROR(MIN(
            IF(
                (TRIM(INDIRECT("'" &amp; 'Hulp (overig)'!$C$16 &amp; "'!B1:B1000")) = TEXT(R35,"0")) *
                (ROW(INDIRECT("'" &amp; 'Hulp (overig)'!$C$16 &amp; "'!B1:B1000")) &gt;= MATCH(
                    R33,
                    INDIRECT("'" &amp; 'Hulp (overig)'!$C$16 &amp; "'!A1:A1000"),
                    0
                )) *
                IF(
                    S33="",
                    1,
                    (ROW(INDIRECT("'" &amp; 'Hulp (overig)'!$C$16 &amp; "'!B1:B1000")) &lt; MATCH(
                        S33,
                        INDIRECT("'" &amp; 'Hulp (overig)'!$C$16 &amp; "'!A1:A1000"),
                        0
                    ))
                ),
                ROW(INDIRECT("'" &amp; 'Hulp (overig)'!$C$16 &amp; "'!B1:B1000"))
            )
        ),0)
    ))
))))</f>
        <v>#VALUE!</v>
      </c>
      <c r="S36" s="425" t="e" cm="1">
        <f t="array" aca="1" ref="S36" ca="1">IF($BF36, IF(S33="","",
   INDEX(
      INDIRECT("'" &amp; 'Hulp (CAO''s)'!$AE$8 &amp; "'!" &amp;
               'Hulp (overig)'!$C$17 &amp; "1:" &amp;
               'Hulp (overig)'!$C$17 &amp; "1000"),
      MATCH(
         S33,
         INDIRECT("'" &amp; 'Hulp (CAO''s)'!$AE$8 &amp; "'!A1:A1000"),
         0
      )
   )
), IF($D34="Gebruik % van maximum salaris",
IF(
    OR(S33="",S34=""),
    "",
    MAX(
        INDIRECT(
            "'" &amp; 'Hulp (overig)'!$C$16 &amp; "'!" &amp;
            'Hulp (overig)'!$C$17 &amp;
            MATCH(S33, INDIRECT("'" &amp; 'Hulp (overig)'!$C$16 &amp; "'!A1:A1000"), 0) &amp;
            ":" &amp;
            'Hulp (overig)'!$C$17 &amp;
LOOKUP(
    2,
    1 / (
        (ROW(INDIRECT("'" &amp; 'Hulp (overig)'!$C$16 &amp; "'!B1:B1000")) &lt;
            IF(T33&lt;&gt;"",
               MATCH(T33, INDIRECT("'" &amp; 'Hulp (overig)'!$C$16 &amp; "'!A1:A1000"),0),
               1000
            )
        ) *
        (LEFT(TRIM(INDIRECT("'" &amp; 'Hulp (overig)'!$C$16 &amp; "'!B1:B1000")),1) &lt;&gt; "u")
    ),
    ROW(INDIRECT("'" &amp; 'Hulp (overig)'!$C$16 &amp; "'!B1:B1000"))
)
        )
    ) * S34
),
IF(S35="","",
IF(
    IFERROR(MIN(
        IF(
            (TRIM(INDIRECT("'" &amp; 'Hulp (overig)'!$C$16 &amp; "'!B1:B1000")) = TEXT(S35,"0")) *
            (ROW(INDIRECT("'" &amp; 'Hulp (overig)'!$C$16 &amp; "'!B1:B1000")) &gt;= MATCH(
                S33,
                INDIRECT("'" &amp; 'Hulp (overig)'!$C$16 &amp; "'!A1:A1000"),
                0
            )) *
            IF(
                T33="",
                1,
                (ROW(INDIRECT("'" &amp; 'Hulp (overig)'!$C$16 &amp; "'!B1:B1000")) &lt; MATCH(
                    T33,
                    INDIRECT("'" &amp; 'Hulp (overig)'!$C$16 &amp; "'!A1:A1000"),
                    0
                ))
            ),
            ROW(INDIRECT("'" &amp; 'Hulp (overig)'!$C$16 &amp; "'!B1:B1000"))
        )
    ),0) &lt; 1,
    "",
    IF(INDEX(
        INDIRECT("'" &amp; 'Hulp (overig)'!$C$16 &amp; "'!" &amp;
        'Hulp (overig)'!$C$17 &amp; "1:" &amp; 'Hulp (overig)'!$C$17 &amp; 1000
        ),
        IFERROR(MIN(
            IF(
                (TRIM(INDIRECT("'" &amp; 'Hulp (overig)'!$C$16 &amp; "'!B1:B1000")) = TEXT(S35,"0")) *
                (ROW(INDIRECT("'" &amp; 'Hulp (overig)'!$C$16 &amp; "'!B1:B1000")) &gt;= MATCH(
                    S33,
                    INDIRECT("'" &amp; 'Hulp (overig)'!$C$16 &amp; "'!A1:A1000"),
                    0
                )) *
                IF(
                    T33="",
                    1,
                    (ROW(INDIRECT("'" &amp; 'Hulp (overig)'!$C$16 &amp; "'!B1:B1000")) &lt; MATCH(
                        T33,
                        INDIRECT("'" &amp; 'Hulp (overig)'!$C$16 &amp; "'!A1:A1000"),
                        0
                    ))
                ),
                ROW(INDIRECT("'" &amp; 'Hulp (overig)'!$C$16 &amp; "'!B1:B1000"))
            )
        ),0)
    )=0,"",
INDEX(
        INDIRECT("'" &amp; 'Hulp (overig)'!$C$16 &amp; "'!" &amp;
        'Hulp (overig)'!$C$17 &amp; "1:" &amp; 'Hulp (overig)'!$C$17 &amp; 1000
        ),
        IFERROR(MIN(
            IF(
                (TRIM(INDIRECT("'" &amp; 'Hulp (overig)'!$C$16 &amp; "'!B1:B1000")) = TEXT(S35,"0")) *
                (ROW(INDIRECT("'" &amp; 'Hulp (overig)'!$C$16 &amp; "'!B1:B1000")) &gt;= MATCH(
                    S33,
                    INDIRECT("'" &amp; 'Hulp (overig)'!$C$16 &amp; "'!A1:A1000"),
                    0
                )) *
                IF(
                    T33="",
                    1,
                    (ROW(INDIRECT("'" &amp; 'Hulp (overig)'!$C$16 &amp; "'!B1:B1000")) &lt; MATCH(
                        T33,
                        INDIRECT("'" &amp; 'Hulp (overig)'!$C$16 &amp; "'!A1:A1000"),
                        0
                    ))
                ),
                ROW(INDIRECT("'" &amp; 'Hulp (overig)'!$C$16 &amp; "'!B1:B1000"))
            )
        ),0)
    ))
))))</f>
        <v>#VALUE!</v>
      </c>
      <c r="T36" s="425" t="e" cm="1">
        <f t="array" aca="1" ref="T36" ca="1">IF($BF36, IF(T33="","",
   INDEX(
      INDIRECT("'" &amp; 'Hulp (CAO''s)'!$AE$8 &amp; "'!" &amp;
               'Hulp (overig)'!$C$17 &amp; "1:" &amp;
               'Hulp (overig)'!$C$17 &amp; "1000"),
      MATCH(
         T33,
         INDIRECT("'" &amp; 'Hulp (CAO''s)'!$AE$8 &amp; "'!A1:A1000"),
         0
      )
   )
), IF($D34="Gebruik % van maximum salaris",
IF(
    OR(T33="",T34=""),
    "",
    MAX(
        INDIRECT(
            "'" &amp; 'Hulp (overig)'!$C$16 &amp; "'!" &amp;
            'Hulp (overig)'!$C$17 &amp;
            MATCH(T33, INDIRECT("'" &amp; 'Hulp (overig)'!$C$16 &amp; "'!A1:A1000"), 0) &amp;
            ":" &amp;
            'Hulp (overig)'!$C$17 &amp;
LOOKUP(
    2,
    1 / (
        (ROW(INDIRECT("'" &amp; 'Hulp (overig)'!$C$16 &amp; "'!B1:B1000")) &lt;
            IF(U33&lt;&gt;"",
               MATCH(U33, INDIRECT("'" &amp; 'Hulp (overig)'!$C$16 &amp; "'!A1:A1000"),0),
               1000
            )
        ) *
        (LEFT(TRIM(INDIRECT("'" &amp; 'Hulp (overig)'!$C$16 &amp; "'!B1:B1000")),1) &lt;&gt; "u")
    ),
    ROW(INDIRECT("'" &amp; 'Hulp (overig)'!$C$16 &amp; "'!B1:B1000"))
)
        )
    ) * T34
),
IF(T35="","",
IF(
    IFERROR(MIN(
        IF(
            (TRIM(INDIRECT("'" &amp; 'Hulp (overig)'!$C$16 &amp; "'!B1:B1000")) = TEXT(T35,"0")) *
            (ROW(INDIRECT("'" &amp; 'Hulp (overig)'!$C$16 &amp; "'!B1:B1000")) &gt;= MATCH(
                T33,
                INDIRECT("'" &amp; 'Hulp (overig)'!$C$16 &amp; "'!A1:A1000"),
                0
            )) *
            IF(
                U33="",
                1,
                (ROW(INDIRECT("'" &amp; 'Hulp (overig)'!$C$16 &amp; "'!B1:B1000")) &lt; MATCH(
                    U33,
                    INDIRECT("'" &amp; 'Hulp (overig)'!$C$16 &amp; "'!A1:A1000"),
                    0
                ))
            ),
            ROW(INDIRECT("'" &amp; 'Hulp (overig)'!$C$16 &amp; "'!B1:B1000"))
        )
    ),0) &lt; 1,
    "",
    IF(INDEX(
        INDIRECT("'" &amp; 'Hulp (overig)'!$C$16 &amp; "'!" &amp;
        'Hulp (overig)'!$C$17 &amp; "1:" &amp; 'Hulp (overig)'!$C$17 &amp; 1000
        ),
        IFERROR(MIN(
            IF(
                (TRIM(INDIRECT("'" &amp; 'Hulp (overig)'!$C$16 &amp; "'!B1:B1000")) = TEXT(T35,"0")) *
                (ROW(INDIRECT("'" &amp; 'Hulp (overig)'!$C$16 &amp; "'!B1:B1000")) &gt;= MATCH(
                    T33,
                    INDIRECT("'" &amp; 'Hulp (overig)'!$C$16 &amp; "'!A1:A1000"),
                    0
                )) *
                IF(
                    U33="",
                    1,
                    (ROW(INDIRECT("'" &amp; 'Hulp (overig)'!$C$16 &amp; "'!B1:B1000")) &lt; MATCH(
                        U33,
                        INDIRECT("'" &amp; 'Hulp (overig)'!$C$16 &amp; "'!A1:A1000"),
                        0
                    ))
                ),
                ROW(INDIRECT("'" &amp; 'Hulp (overig)'!$C$16 &amp; "'!B1:B1000"))
            )
        ),0)
    )=0,"",
INDEX(
        INDIRECT("'" &amp; 'Hulp (overig)'!$C$16 &amp; "'!" &amp;
        'Hulp (overig)'!$C$17 &amp; "1:" &amp; 'Hulp (overig)'!$C$17 &amp; 1000
        ),
        IFERROR(MIN(
            IF(
                (TRIM(INDIRECT("'" &amp; 'Hulp (overig)'!$C$16 &amp; "'!B1:B1000")) = TEXT(T35,"0")) *
                (ROW(INDIRECT("'" &amp; 'Hulp (overig)'!$C$16 &amp; "'!B1:B1000")) &gt;= MATCH(
                    T33,
                    INDIRECT("'" &amp; 'Hulp (overig)'!$C$16 &amp; "'!A1:A1000"),
                    0
                )) *
                IF(
                    U33="",
                    1,
                    (ROW(INDIRECT("'" &amp; 'Hulp (overig)'!$C$16 &amp; "'!B1:B1000")) &lt; MATCH(
                        U33,
                        INDIRECT("'" &amp; 'Hulp (overig)'!$C$16 &amp; "'!A1:A1000"),
                        0
                    ))
                ),
                ROW(INDIRECT("'" &amp; 'Hulp (overig)'!$C$16 &amp; "'!B1:B1000"))
            )
        ),0)
    ))
))))</f>
        <v>#VALUE!</v>
      </c>
      <c r="U36" s="723" t="e" cm="1">
        <f t="array" aca="1" ref="U36" ca="1">IF($BF36, IF(U33="","",
   INDEX(
      INDIRECT("'" &amp; 'Hulp (CAO''s)'!$AE$8 &amp; "'!" &amp;
               'Hulp (overig)'!$C$17 &amp; "1:" &amp;
               'Hulp (overig)'!$C$17 &amp; "1000"),
      MATCH(
         U33,
         INDIRECT("'" &amp; 'Hulp (CAO''s)'!$AE$8 &amp; "'!A1:A1000"),
         0
      )
   )
), IF($D34="Gebruik % van maximum salaris",
IF(
    OR(U33="",U34=""),
    "",
    MAX(
        INDIRECT(
            "'" &amp; 'Hulp (overig)'!$C$16 &amp; "'!" &amp;
            'Hulp (overig)'!$C$17 &amp;
            MATCH(U33, INDIRECT("'" &amp; 'Hulp (overig)'!$C$16 &amp; "'!A1:A1000"), 0) &amp;
            ":" &amp;
            'Hulp (overig)'!$C$17 &amp;
LOOKUP(
    2,
    1 / (
        (ROW(INDIRECT("'" &amp; 'Hulp (overig)'!$C$16 &amp; "'!B1:B1000")) &lt;
            IF(V33&lt;&gt;"",
               MATCH(V33, INDIRECT("'" &amp; 'Hulp (overig)'!$C$16 &amp; "'!A1:A1000"),0),
               1000
            )
        ) *
        (LEFT(TRIM(INDIRECT("'" &amp; 'Hulp (overig)'!$C$16 &amp; "'!B1:B1000")),1) &lt;&gt; "u")
    ),
    ROW(INDIRECT("'" &amp; 'Hulp (overig)'!$C$16 &amp; "'!B1:B1000"))
)
        )
    ) * U34
),
IF(U35="","",
IF(
    IFERROR(MIN(
        IF(
            (TRIM(INDIRECT("'" &amp; 'Hulp (overig)'!$C$16 &amp; "'!B1:B1000")) = TEXT(U35,"0")) *
            (ROW(INDIRECT("'" &amp; 'Hulp (overig)'!$C$16 &amp; "'!B1:B1000")) &gt;= MATCH(
                U33,
                INDIRECT("'" &amp; 'Hulp (overig)'!$C$16 &amp; "'!A1:A1000"),
                0
            )) *
            IF(
                V33="",
                1,
                (ROW(INDIRECT("'" &amp; 'Hulp (overig)'!$C$16 &amp; "'!B1:B1000")) &lt; MATCH(
                    V33,
                    INDIRECT("'" &amp; 'Hulp (overig)'!$C$16 &amp; "'!A1:A1000"),
                    0
                ))
            ),
            ROW(INDIRECT("'" &amp; 'Hulp (overig)'!$C$16 &amp; "'!B1:B1000"))
        )
    ),0) &lt; 1,
    "",
    IF(INDEX(
        INDIRECT("'" &amp; 'Hulp (overig)'!$C$16 &amp; "'!" &amp;
        'Hulp (overig)'!$C$17 &amp; "1:" &amp; 'Hulp (overig)'!$C$17 &amp; 1000
        ),
        IFERROR(MIN(
            IF(
                (TRIM(INDIRECT("'" &amp; 'Hulp (overig)'!$C$16 &amp; "'!B1:B1000")) = TEXT(U35,"0")) *
                (ROW(INDIRECT("'" &amp; 'Hulp (overig)'!$C$16 &amp; "'!B1:B1000")) &gt;= MATCH(
                    U33,
                    INDIRECT("'" &amp; 'Hulp (overig)'!$C$16 &amp; "'!A1:A1000"),
                    0
                )) *
                IF(
                    V33="",
                    1,
                    (ROW(INDIRECT("'" &amp; 'Hulp (overig)'!$C$16 &amp; "'!B1:B1000")) &lt; MATCH(
                        V33,
                        INDIRECT("'" &amp; 'Hulp (overig)'!$C$16 &amp; "'!A1:A1000"),
                        0
                    ))
                ),
                ROW(INDIRECT("'" &amp; 'Hulp (overig)'!$C$16 &amp; "'!B1:B1000"))
            )
        ),0)
    )=0,"",
INDEX(
        INDIRECT("'" &amp; 'Hulp (overig)'!$C$16 &amp; "'!" &amp;
        'Hulp (overig)'!$C$17 &amp; "1:" &amp; 'Hulp (overig)'!$C$17 &amp; 1000
        ),
        IFERROR(MIN(
            IF(
                (TRIM(INDIRECT("'" &amp; 'Hulp (overig)'!$C$16 &amp; "'!B1:B1000")) = TEXT(U35,"0")) *
                (ROW(INDIRECT("'" &amp; 'Hulp (overig)'!$C$16 &amp; "'!B1:B1000")) &gt;= MATCH(
                    U33,
                    INDIRECT("'" &amp; 'Hulp (overig)'!$C$16 &amp; "'!A1:A1000"),
                    0
                )) *
                IF(
                    V33="",
                    1,
                    (ROW(INDIRECT("'" &amp; 'Hulp (overig)'!$C$16 &amp; "'!B1:B1000")) &lt; MATCH(
                        V33,
                        INDIRECT("'" &amp; 'Hulp (overig)'!$C$16 &amp; "'!A1:A1000"),
                        0
                    ))
                ),
                ROW(INDIRECT("'" &amp; 'Hulp (overig)'!$C$16 &amp; "'!B1:B1000"))
            )
        ),0)
    ))
))))</f>
        <v>#VALUE!</v>
      </c>
      <c r="V36" s="413" t="str" cm="1">
        <f t="array" ref="V36">IF(SUM(F37:U37)=0,"",
IF(SUM(F36:U36)=0,"",
IF(SUMPRODUCT((F37:U37&lt;&gt;0)*(F36:U36=""))&gt;0,"",
(
   SUMPRODUCT(
      IF(F36:U36="",0,F36:U36),
      IF(F37:U37="",0,F37:U37) / SUM(F37:U37)
   )
))))</f>
        <v/>
      </c>
      <c r="W36" s="418"/>
      <c r="X36" s="620"/>
      <c r="Y36" s="419" t="str">
        <f ca="1">IF(B33="","",
        IF(INDIRECT("'Hulp (control forms)'!C" &amp; (13 + INT((ROW()-ROW($B$5))/7))),
            IF(X36="","",X36),
            IF(V36="","",V36)
    )
)</f>
        <v/>
      </c>
      <c r="Z36" s="333"/>
      <c r="AA36" s="771"/>
      <c r="AB36" s="770"/>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cm="1">
        <f t="array" aca="1" ref="BA36" ca="1">IF(
   SUM(Y36)=0,
   1,
   IF(
      N(INDIRECT("'Hulp (control forms)'!C"&amp;(13+INT((ROW()-ROW($B$5))/7))))&lt;&gt;0,
      MIN(1,
      ('Hulp (overig)'!$C$6/12) /
      (Y36 * BC36 + BD36)),
      MIN(1,
         IF(
            SUM(F36:U36)=0,
            "",
            SUMPRODUCT(
               IF(
                  (IF(F36:U36="",0,F36:U36) * BC36) + BD36
                  &gt; 'Hulp (overig)'!$C$6/12,
                  'Hulp (overig)'!$C$6/12,
                  (IF(F36:U36="",0,F36:U36) * BC36) + BD36
               ),
               IF(F37:U37="",0,F37:U37) / SUM(F37:U37)
            )
         ) /
         ((Y36 * BC36) + BD36)
      )
   )
)</f>
        <v>1</v>
      </c>
      <c r="BB36" cm="1">
        <f t="array" aca="1" ref="BB36" ca="1">IF(
   SUM(Y36)=0,
   1,
   IF(
      N(INDIRECT("'Hulp (control forms)'!C"&amp;(13+INT((ROW()-ROW($B$5))/7))))&lt;&gt;0,
      MIN('Hulp (overig)'!$C$5/12,
      (Y36 * BC36) + BD36) * 12,
         IF(
            SUM(F36:U36)=0,
            "",
            SUMPRODUCT(
               IF(
                  (IF(F36:U36="",0,F36:U36) * BC36) + BD36
                  &gt; 'Hulp (overig)'!$C$5/12,
                  'Hulp (overig)'!$C$5/12,
                  (IF(F36:U36="",0,F36:U36) * BC36) + BD36
               ),
               IF(F37:U37="",0,F37:U37) / SUM(F37:U37)
            )
         ) * 12
   )
)</f>
        <v>1</v>
      </c>
      <c r="BC36" s="287" cm="1">
        <f t="array" aca="1" ref="BC36" ca="1">IFERROR(
   (INDEX('2. Output kostprijs'!$24:$24, 5 + 2*INT((ROW()-8)/7))
    - SUM(INDEX('2. Output kostprijs'!$23:$23, 5 + 2*INT((ROW()-8)/7))))
   / INDEX('2. Output kostprijs'!$19:$19, 5 + 2*INT((ROW()-8)/7)),
   1
)</f>
        <v>1</v>
      </c>
      <c r="BD36" s="287" cm="1">
        <f t="array" aca="1" ref="BD36" ca="1">IFERROR(
   (INDEX('2. Output kostprijs'!$23:$23, 5 + 2*INT((ROW()-8)/7))
    * INDEX('2. Output kostprijs'!$18:$18, 5 + 2*INT((ROW()-8)/7))
   ) / 12,
   0
)</f>
        <v>0</v>
      </c>
      <c r="BE36" t="b">
        <f ca="1">NOT(AND(B33&lt;&gt;"",Y36=""))</f>
        <v>1</v>
      </c>
      <c r="BF36" t="str" cm="1">
        <f t="array" aca="1" ref="BF36" ca="1">INDIRECT("'1a. Input organisatieniveau'!$AD" &amp; 7 + INT((ROW()-ROW($F$8))/7))</f>
        <v/>
      </c>
      <c r="BG36" t="b" cm="1">
        <f t="array" ref="BG36">IFERROR(INDEX('Hulp (control forms)'!C:C, 13 + INT((ROW(A29)-1)/7)),FALSE)</f>
        <v>0</v>
      </c>
    </row>
    <row r="37" spans="1:59" ht="16.05" customHeight="1" thickBot="1" x14ac:dyDescent="0.5">
      <c r="A37" s="289"/>
      <c r="B37" s="343"/>
      <c r="C37" s="325" t="s">
        <v>779</v>
      </c>
      <c r="D37" s="688" t="s">
        <v>60</v>
      </c>
      <c r="E37" s="433" t="s">
        <v>59</v>
      </c>
      <c r="F37" s="624"/>
      <c r="G37" s="624"/>
      <c r="H37" s="624"/>
      <c r="I37" s="624"/>
      <c r="J37" s="624"/>
      <c r="K37" s="624"/>
      <c r="L37" s="624"/>
      <c r="M37" s="624"/>
      <c r="N37" s="624"/>
      <c r="O37" s="624"/>
      <c r="P37" s="624"/>
      <c r="Q37" s="624"/>
      <c r="R37" s="624"/>
      <c r="S37" s="624"/>
      <c r="T37" s="624"/>
      <c r="U37" s="625"/>
      <c r="V37" s="420" t="str">
        <f ca="1">IF($B33="","",IF($D37="Aandeel in %",
   "Totaal: "&amp;SUM(F37:U37)*100&amp;"%",
   "Totaal: "&amp;SUM(F37:U37)&amp;" uur"
))</f>
        <v/>
      </c>
      <c r="W37" s="294"/>
      <c r="X37" s="621"/>
      <c r="Y37" s="328"/>
      <c r="Z37" s="32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9" ht="16.05" customHeight="1" thickBot="1" x14ac:dyDescent="0.5">
      <c r="A38" s="289"/>
      <c r="B38" s="343"/>
      <c r="C38" s="326" t="s">
        <v>779</v>
      </c>
      <c r="D38" s="421"/>
      <c r="E38" s="426"/>
      <c r="F38" s="426"/>
      <c r="G38" s="426"/>
      <c r="H38" s="426"/>
      <c r="I38" s="426"/>
      <c r="J38" s="426"/>
      <c r="K38" s="426"/>
      <c r="L38" s="426"/>
      <c r="M38" s="426"/>
      <c r="N38" s="426"/>
      <c r="O38" s="426"/>
      <c r="P38" s="426"/>
      <c r="Q38" s="426"/>
      <c r="R38" s="426"/>
      <c r="S38" s="426"/>
      <c r="T38" s="427"/>
      <c r="U38" s="427"/>
      <c r="V38" s="421"/>
      <c r="W38" s="421"/>
      <c r="X38" s="622"/>
      <c r="Y38" s="421"/>
      <c r="Z38" s="327"/>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9" ht="16.05" customHeight="1" thickBot="1" x14ac:dyDescent="0.55000000000000004">
      <c r="A39" s="289"/>
      <c r="B39" s="585" t="str">
        <f ca="1">IF(B40="","",
IF(
   OR(
      INDIRECT("'1a. Input organisatieniveau'!AC" &amp; (7 + INT((ROW()-4)/7)))="",
      INDIRECT("'1a. Input organisatieniveau'!AC" &amp; (7 + INT((ROW()-4)/7)))=0
   ),
   "",
   INDIRECT("'1a. Input organisatieniveau'!AC" &amp; (7 + INT((ROW()-4)/7)))
))</f>
        <v/>
      </c>
      <c r="C39" s="324" t="s">
        <v>779</v>
      </c>
      <c r="D39" s="416"/>
      <c r="E39" s="428"/>
      <c r="F39" s="422" t="str">
        <f t="shared" ref="F39:U39" ca="1" si="5">IF($B40="","",
IF($D41="Gebruik % van maximum salaris",
 IF(OR(AND(AND(F40&lt;&gt;"",F41&lt;&gt;""),F43=""),AND(F43="",F44&lt;&gt;"")),"!",""),
 IF(OR(AND(AND(F40&lt;&gt;"",F42&lt;&gt;""),F43=""),AND(F43="",F44&lt;&gt;"")),"!","")))</f>
        <v/>
      </c>
      <c r="G39" s="422" t="str">
        <f t="shared" ca="1" si="5"/>
        <v/>
      </c>
      <c r="H39" s="422" t="str">
        <f t="shared" ca="1" si="5"/>
        <v/>
      </c>
      <c r="I39" s="422" t="str">
        <f t="shared" ca="1" si="5"/>
        <v/>
      </c>
      <c r="J39" s="422" t="str">
        <f t="shared" ca="1" si="5"/>
        <v/>
      </c>
      <c r="K39" s="422" t="str">
        <f t="shared" ca="1" si="5"/>
        <v/>
      </c>
      <c r="L39" s="422" t="str">
        <f t="shared" ca="1" si="5"/>
        <v/>
      </c>
      <c r="M39" s="422" t="str">
        <f t="shared" ca="1" si="5"/>
        <v/>
      </c>
      <c r="N39" s="422" t="str">
        <f t="shared" ca="1" si="5"/>
        <v/>
      </c>
      <c r="O39" s="422" t="str">
        <f t="shared" ca="1" si="5"/>
        <v/>
      </c>
      <c r="P39" s="422" t="str">
        <f t="shared" ca="1" si="5"/>
        <v/>
      </c>
      <c r="Q39" s="422" t="str">
        <f t="shared" ca="1" si="5"/>
        <v/>
      </c>
      <c r="R39" s="422" t="str">
        <f t="shared" ca="1" si="5"/>
        <v/>
      </c>
      <c r="S39" s="422" t="str">
        <f t="shared" ca="1" si="5"/>
        <v/>
      </c>
      <c r="T39" s="422" t="str">
        <f t="shared" ca="1" si="5"/>
        <v/>
      </c>
      <c r="U39" s="422" t="str">
        <f t="shared" ca="1" si="5"/>
        <v/>
      </c>
      <c r="V39" s="416"/>
      <c r="W39" s="416"/>
      <c r="X39" s="619"/>
      <c r="Y39" s="416"/>
      <c r="Z39" s="330"/>
      <c r="AA39" s="354"/>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9" ht="16.05" customHeight="1" thickBot="1" x14ac:dyDescent="0.5">
      <c r="A40" s="289"/>
      <c r="B40" s="586" t="str">
        <f ca="1">IF(
   OR(
      INDIRECT("'1a. Input organisatieniveau'!AA" &amp; (7 + INT((ROW()-4)/7)))="",
      INDIRECT("'1a. Input organisatieniveau'!AA" &amp; (7 + INT((ROW()-4)/7)))=0
   ),
   "",
   INDIRECT("'1a. Input organisatieniveau'!AA" &amp; (7 + INT((ROW()-4)/7)))
)</f>
        <v/>
      </c>
      <c r="C40" s="325" t="s">
        <v>779</v>
      </c>
      <c r="D40" s="434"/>
      <c r="E40" s="429" t="s">
        <v>28</v>
      </c>
      <c r="F40" s="423" t="str">
        <f ca="1">IF($B40="", "", IF($BF43, IF('Hulp (CAO''s)'!J$8&lt;&gt;"",'Hulp (CAO''s)'!J$8,""), INDEX('Hulp (CAO''s)'!J$3:J$7, MATCH(TRUE, 'Hulp (CAO''s)'!$D$3:$D$7, 0))))</f>
        <v/>
      </c>
      <c r="G40" s="423" t="str">
        <f ca="1">IF($B40="", "", IF($BF43, IF('Hulp (CAO''s)'!K$8&lt;&gt;"",'Hulp (CAO''s)'!K$8,""), INDEX('Hulp (CAO''s)'!K$3:K$7, MATCH(TRUE, 'Hulp (CAO''s)'!$D$3:$D$7, 0))))</f>
        <v/>
      </c>
      <c r="H40" s="423" t="str">
        <f ca="1">IF($B40="", "", IF($BF43, IF('Hulp (CAO''s)'!L$8&lt;&gt;"",'Hulp (CAO''s)'!L$8,""), INDEX('Hulp (CAO''s)'!L$3:L$7, MATCH(TRUE, 'Hulp (CAO''s)'!$D$3:$D$7, 0))))</f>
        <v/>
      </c>
      <c r="I40" s="423" t="str">
        <f ca="1">IF($B40="", "", IF($BF43, IF('Hulp (CAO''s)'!M$8&lt;&gt;"",'Hulp (CAO''s)'!M$8,""), INDEX('Hulp (CAO''s)'!M$3:M$7, MATCH(TRUE, 'Hulp (CAO''s)'!$D$3:$D$7, 0))))</f>
        <v/>
      </c>
      <c r="J40" s="423" t="str">
        <f ca="1">IF($B40="", "", IF($BF43, IF('Hulp (CAO''s)'!N$8&lt;&gt;"",'Hulp (CAO''s)'!N$8,""), INDEX('Hulp (CAO''s)'!N$3:N$7, MATCH(TRUE, 'Hulp (CAO''s)'!$D$3:$D$7, 0))))</f>
        <v/>
      </c>
      <c r="K40" s="423" t="str">
        <f ca="1">IF($B40="", "", IF($BF43, IF('Hulp (CAO''s)'!O$8&lt;&gt;"",'Hulp (CAO''s)'!O$8,""), INDEX('Hulp (CAO''s)'!O$3:O$7, MATCH(TRUE, 'Hulp (CAO''s)'!$D$3:$D$7, 0))))</f>
        <v/>
      </c>
      <c r="L40" s="423" t="str">
        <f ca="1">IF($B40="", "", IF($BF43, IF('Hulp (CAO''s)'!P$8&lt;&gt;"",'Hulp (CAO''s)'!P$8,""), INDEX('Hulp (CAO''s)'!P$3:P$7, MATCH(TRUE, 'Hulp (CAO''s)'!$D$3:$D$7, 0))))</f>
        <v/>
      </c>
      <c r="M40" s="423" t="str">
        <f ca="1">IF($B40="", "", IF($BF43, IF('Hulp (CAO''s)'!Q$8&lt;&gt;"",'Hulp (CAO''s)'!Q$8,""), INDEX('Hulp (CAO''s)'!Q$3:Q$7, MATCH(TRUE, 'Hulp (CAO''s)'!$D$3:$D$7, 0))))</f>
        <v/>
      </c>
      <c r="N40" s="423" t="str">
        <f ca="1">IF($B40="", "", IF($BF43, IF('Hulp (CAO''s)'!R$8&lt;&gt;"",'Hulp (CAO''s)'!R$8,""), INDEX('Hulp (CAO''s)'!R$3:R$7, MATCH(TRUE, 'Hulp (CAO''s)'!$D$3:$D$7, 0))))</f>
        <v/>
      </c>
      <c r="O40" s="423" t="str">
        <f ca="1">IF($B40="", "", IF($BF43, IF('Hulp (CAO''s)'!S$8&lt;&gt;"",'Hulp (CAO''s)'!S$8,""), INDEX('Hulp (CAO''s)'!S$3:S$7, MATCH(TRUE, 'Hulp (CAO''s)'!$D$3:$D$7, 0))))</f>
        <v/>
      </c>
      <c r="P40" s="423" t="str">
        <f ca="1">IF($B40="", "", IF($BF43, IF('Hulp (CAO''s)'!T$8&lt;&gt;"",'Hulp (CAO''s)'!T$8,""), INDEX('Hulp (CAO''s)'!T$3:T$7, MATCH(TRUE, 'Hulp (CAO''s)'!$D$3:$D$7, 0))))</f>
        <v/>
      </c>
      <c r="Q40" s="423" t="str">
        <f ca="1">IF($B40="", "", IF($BF43, IF('Hulp (CAO''s)'!U$8&lt;&gt;"",'Hulp (CAO''s)'!U$8,""), INDEX('Hulp (CAO''s)'!U$3:U$7, MATCH(TRUE, 'Hulp (CAO''s)'!$D$3:$D$7, 0))))</f>
        <v/>
      </c>
      <c r="R40" s="423" t="str">
        <f ca="1">IF($B40="", "", IF($BF43, IF('Hulp (CAO''s)'!V$8&lt;&gt;"",'Hulp (CAO''s)'!V$8,""), INDEX('Hulp (CAO''s)'!V$3:V$7, MATCH(TRUE, 'Hulp (CAO''s)'!$D$3:$D$7, 0))))</f>
        <v/>
      </c>
      <c r="S40" s="423" t="str">
        <f ca="1">IF($B40="", "", IF($BF43, IF('Hulp (CAO''s)'!W$8&lt;&gt;"",'Hulp (CAO''s)'!W$8,""), INDEX('Hulp (CAO''s)'!W$3:W$7, MATCH(TRUE, 'Hulp (CAO''s)'!$D$3:$D$7, 0))))</f>
        <v/>
      </c>
      <c r="T40" s="423" t="str">
        <f ca="1">IF($B40="", "", IF($BF43, IF('Hulp (CAO''s)'!X$8&lt;&gt;"",'Hulp (CAO''s)'!X$8,""), INDEX('Hulp (CAO''s)'!X$3:X$7, MATCH(TRUE, 'Hulp (CAO''s)'!$D$3:$D$7, 0))))</f>
        <v/>
      </c>
      <c r="U40" s="424" t="str">
        <f ca="1">IF($B40="", "", IF($BF43, IF('Hulp (CAO''s)'!Y$8&lt;&gt;"",'Hulp (CAO''s)'!Y$8,""), INDEX('Hulp (CAO''s)'!Y$3:Y$7, MATCH(TRUE, 'Hulp (CAO''s)'!$D$3:$D$7, 0))))</f>
        <v/>
      </c>
      <c r="V40" s="417"/>
      <c r="W40" s="343"/>
      <c r="X40" s="617"/>
      <c r="Y40" s="343"/>
      <c r="Z40" s="329"/>
      <c r="AA40" s="320"/>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9" ht="16.05" customHeight="1" x14ac:dyDescent="0.45">
      <c r="A41" s="289"/>
      <c r="B41" s="343"/>
      <c r="C41" s="325" t="s">
        <v>779</v>
      </c>
      <c r="D41" s="772" t="s">
        <v>772</v>
      </c>
      <c r="E41" s="430" t="e">
        <f ca="1">IF($BF43, "", "% t.o.v. max salaris in de schaal")</f>
        <v>#VALUE!</v>
      </c>
      <c r="F41" s="615"/>
      <c r="G41" s="615"/>
      <c r="H41" s="615"/>
      <c r="I41" s="615"/>
      <c r="J41" s="615"/>
      <c r="K41" s="615"/>
      <c r="L41" s="615"/>
      <c r="M41" s="615"/>
      <c r="N41" s="615"/>
      <c r="O41" s="615"/>
      <c r="P41" s="615"/>
      <c r="Q41" s="615"/>
      <c r="R41" s="615"/>
      <c r="S41" s="615"/>
      <c r="T41" s="615"/>
      <c r="U41" s="616"/>
      <c r="V41" s="774" t="s">
        <v>884</v>
      </c>
      <c r="W41" s="332"/>
      <c r="X41" s="776" t="s">
        <v>882</v>
      </c>
      <c r="Y41" s="778" t="s">
        <v>883</v>
      </c>
      <c r="Z41" s="329"/>
      <c r="AA41" s="771" t="s">
        <v>780</v>
      </c>
      <c r="AB41" s="770" t="s">
        <v>1079</v>
      </c>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9" ht="16.05" customHeight="1" thickBot="1" x14ac:dyDescent="0.5">
      <c r="A42" s="289"/>
      <c r="B42" s="343"/>
      <c r="C42" s="325" t="s">
        <v>779</v>
      </c>
      <c r="D42" s="773"/>
      <c r="E42" s="431" t="e">
        <f ca="1">IF($BF43, "", "Trede (gemiddeld)")</f>
        <v>#VALUE!</v>
      </c>
      <c r="F42" s="737"/>
      <c r="G42" s="737"/>
      <c r="H42" s="737"/>
      <c r="I42" s="737"/>
      <c r="J42" s="737"/>
      <c r="K42" s="737"/>
      <c r="L42" s="737"/>
      <c r="M42" s="737"/>
      <c r="N42" s="737"/>
      <c r="O42" s="737"/>
      <c r="P42" s="737"/>
      <c r="Q42" s="737"/>
      <c r="R42" s="737"/>
      <c r="S42" s="737"/>
      <c r="T42" s="737"/>
      <c r="U42" s="740"/>
      <c r="V42" s="775"/>
      <c r="W42" s="294"/>
      <c r="X42" s="777"/>
      <c r="Y42" s="779"/>
      <c r="Z42" s="329"/>
      <c r="AA42" s="771"/>
      <c r="AB42" s="770"/>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9" ht="16.05" customHeight="1" thickBot="1" x14ac:dyDescent="0.5">
      <c r="A43" s="289"/>
      <c r="B43" s="343"/>
      <c r="C43" s="325" t="s">
        <v>779</v>
      </c>
      <c r="E43" s="432" t="str">
        <f>IFERROR(
   INDEX('Hulp (CAO''s)'!$I$3:$I$7, MATCH(TRUE, 'Hulp (CAO''s)'!$D$3:$D$7, 0)),
"")</f>
        <v>Bruto maandsalaris</v>
      </c>
      <c r="F43" s="425" t="e" cm="1">
        <f t="array" aca="1" ref="F43" ca="1">IF($BF43, IF(F40="","",
   INDEX(
      INDIRECT("'" &amp; 'Hulp (CAO''s)'!$AE$8 &amp; "'!" &amp;
               'Hulp (overig)'!$C$17 &amp; "1:" &amp;
               'Hulp (overig)'!$C$17 &amp; "1000"),
      MATCH(
         F40,
         INDIRECT("'" &amp; 'Hulp (CAO''s)'!$AE$8 &amp; "'!A1:A1000"),
         0
      )
   )
), IF($D41="Gebruik % van maximum salaris",
IF(
    OR(F40="",F41=""),
    "",
    MAX(
        INDIRECT(
            "'" &amp; 'Hulp (overig)'!$C$16 &amp; "'!" &amp;
            'Hulp (overig)'!$C$17 &amp;
            MATCH(F40, INDIRECT("'" &amp; 'Hulp (overig)'!$C$16 &amp; "'!A1:A1000"), 0) &amp;
            ":" &amp;
            'Hulp (overig)'!$C$17 &amp;
LOOKUP(
    2,
    1 / (
        (ROW(INDIRECT("'" &amp; 'Hulp (overig)'!$C$16 &amp; "'!B1:B1000")) &lt;
            IF(G40&lt;&gt;"",
               MATCH(G40, INDIRECT("'" &amp; 'Hulp (overig)'!$C$16 &amp; "'!A1:A1000"),0),
               1000
            )
        ) *
        (LEFT(TRIM(INDIRECT("'" &amp; 'Hulp (overig)'!$C$16 &amp; "'!B1:B1000")),1) &lt;&gt; "u")
    ),
    ROW(INDIRECT("'" &amp; 'Hulp (overig)'!$C$16 &amp; "'!B1:B1000"))
)
        )
    ) * F41
),
IF(F42="","",
IF(
    IFERROR(MIN(
        IF(
            (TRIM(INDIRECT("'" &amp; 'Hulp (overig)'!$C$16 &amp; "'!B1:B1000")) = TEXT(F42,"0")) *
            (ROW(INDIRECT("'" &amp; 'Hulp (overig)'!$C$16 &amp; "'!B1:B1000")) &gt;= MATCH(
                F40,
                INDIRECT("'" &amp; 'Hulp (overig)'!$C$16 &amp; "'!A1:A1000"),
                0
            )) *
            IF(
                G40="",
                1,
                (ROW(INDIRECT("'" &amp; 'Hulp (overig)'!$C$16 &amp; "'!B1:B1000")) &lt; MATCH(
                    G40,
                    INDIRECT("'" &amp; 'Hulp (overig)'!$C$16 &amp; "'!A1:A1000"),
                    0
                ))
            ),
            ROW(INDIRECT("'" &amp; 'Hulp (overig)'!$C$16 &amp; "'!B1:B1000"))
        )
    ),0) &lt; 1,
    "",
    IF(INDEX(
        INDIRECT("'" &amp; 'Hulp (overig)'!$C$16 &amp; "'!" &amp;
        'Hulp (overig)'!$C$17 &amp; "1:" &amp; 'Hulp (overig)'!$C$17 &amp; 1000
        ),
        IFERROR(MIN(
            IF(
                (TRIM(INDIRECT("'" &amp; 'Hulp (overig)'!$C$16 &amp; "'!B1:B1000")) = TEXT(F42,"0")) *
                (ROW(INDIRECT("'" &amp; 'Hulp (overig)'!$C$16 &amp; "'!B1:B1000")) &gt;= MATCH(
                    F40,
                    INDIRECT("'" &amp; 'Hulp (overig)'!$C$16 &amp; "'!A1:A1000"),
                    0
                )) *
                IF(
                    G40="",
                    1,
                    (ROW(INDIRECT("'" &amp; 'Hulp (overig)'!$C$16 &amp; "'!B1:B1000")) &lt; MATCH(
                        G40,
                        INDIRECT("'" &amp; 'Hulp (overig)'!$C$16 &amp; "'!A1:A1000"),
                        0
                    ))
                ),
                ROW(INDIRECT("'" &amp; 'Hulp (overig)'!$C$16 &amp; "'!B1:B1000"))
            )
        ),0)
    )=0,"",
INDEX(
        INDIRECT("'" &amp; 'Hulp (overig)'!$C$16 &amp; "'!" &amp;
        'Hulp (overig)'!$C$17 &amp; "1:" &amp; 'Hulp (overig)'!$C$17 &amp; 1000
        ),
        IFERROR(MIN(
            IF(
                (TRIM(INDIRECT("'" &amp; 'Hulp (overig)'!$C$16 &amp; "'!B1:B1000")) = TEXT(F42,"0")) *
                (ROW(INDIRECT("'" &amp; 'Hulp (overig)'!$C$16 &amp; "'!B1:B1000")) &gt;= MATCH(
                    F40,
                    INDIRECT("'" &amp; 'Hulp (overig)'!$C$16 &amp; "'!A1:A1000"),
                    0
                )) *
                IF(
                    G40="",
                    1,
                    (ROW(INDIRECT("'" &amp; 'Hulp (overig)'!$C$16 &amp; "'!B1:B1000")) &lt; MATCH(
                        G40,
                        INDIRECT("'" &amp; 'Hulp (overig)'!$C$16 &amp; "'!A1:A1000"),
                        0
                    ))
                ),
                ROW(INDIRECT("'" &amp; 'Hulp (overig)'!$C$16 &amp; "'!B1:B1000"))
            )
        ),0)
    ))
))))</f>
        <v>#VALUE!</v>
      </c>
      <c r="G43" s="425" t="e" cm="1">
        <f t="array" aca="1" ref="G43" ca="1">IF($BF43, IF(G40="","",
   INDEX(
      INDIRECT("'" &amp; 'Hulp (CAO''s)'!$AE$8 &amp; "'!" &amp;
               'Hulp (overig)'!$C$17 &amp; "1:" &amp;
               'Hulp (overig)'!$C$17 &amp; "1000"),
      MATCH(
         G40,
         INDIRECT("'" &amp; 'Hulp (CAO''s)'!$AE$8 &amp; "'!A1:A1000"),
         0
      )
   )
), IF($D41="Gebruik % van maximum salaris",
IF(
    OR(G40="",G41=""),
    "",
    MAX(
        INDIRECT(
            "'" &amp; 'Hulp (overig)'!$C$16 &amp; "'!" &amp;
            'Hulp (overig)'!$C$17 &amp;
            MATCH(G40, INDIRECT("'" &amp; 'Hulp (overig)'!$C$16 &amp; "'!A1:A1000"), 0) &amp;
            ":" &amp;
            'Hulp (overig)'!$C$17 &amp;
LOOKUP(
    2,
    1 / (
        (ROW(INDIRECT("'" &amp; 'Hulp (overig)'!$C$16 &amp; "'!B1:B1000")) &lt;
            IF(H40&lt;&gt;"",
               MATCH(H40, INDIRECT("'" &amp; 'Hulp (overig)'!$C$16 &amp; "'!A1:A1000"),0),
               1000
            )
        ) *
        (LEFT(TRIM(INDIRECT("'" &amp; 'Hulp (overig)'!$C$16 &amp; "'!B1:B1000")),1) &lt;&gt; "u")
    ),
    ROW(INDIRECT("'" &amp; 'Hulp (overig)'!$C$16 &amp; "'!B1:B1000"))
)
        )
    ) * G41
),
IF(G42="","",
IF(
    IFERROR(MIN(
        IF(
            (TRIM(INDIRECT("'" &amp; 'Hulp (overig)'!$C$16 &amp; "'!B1:B1000")) = TEXT(G42,"0")) *
            (ROW(INDIRECT("'" &amp; 'Hulp (overig)'!$C$16 &amp; "'!B1:B1000")) &gt;= MATCH(
                G40,
                INDIRECT("'" &amp; 'Hulp (overig)'!$C$16 &amp; "'!A1:A1000"),
                0
            )) *
            IF(
                H40="",
                1,
                (ROW(INDIRECT("'" &amp; 'Hulp (overig)'!$C$16 &amp; "'!B1:B1000")) &lt; MATCH(
                    H40,
                    INDIRECT("'" &amp; 'Hulp (overig)'!$C$16 &amp; "'!A1:A1000"),
                    0
                ))
            ),
            ROW(INDIRECT("'" &amp; 'Hulp (overig)'!$C$16 &amp; "'!B1:B1000"))
        )
    ),0) &lt; 1,
    "",
    IF(INDEX(
        INDIRECT("'" &amp; 'Hulp (overig)'!$C$16 &amp; "'!" &amp;
        'Hulp (overig)'!$C$17 &amp; "1:" &amp; 'Hulp (overig)'!$C$17 &amp; 1000
        ),
        IFERROR(MIN(
            IF(
                (TRIM(INDIRECT("'" &amp; 'Hulp (overig)'!$C$16 &amp; "'!B1:B1000")) = TEXT(G42,"0")) *
                (ROW(INDIRECT("'" &amp; 'Hulp (overig)'!$C$16 &amp; "'!B1:B1000")) &gt;= MATCH(
                    G40,
                    INDIRECT("'" &amp; 'Hulp (overig)'!$C$16 &amp; "'!A1:A1000"),
                    0
                )) *
                IF(
                    H40="",
                    1,
                    (ROW(INDIRECT("'" &amp; 'Hulp (overig)'!$C$16 &amp; "'!B1:B1000")) &lt; MATCH(
                        H40,
                        INDIRECT("'" &amp; 'Hulp (overig)'!$C$16 &amp; "'!A1:A1000"),
                        0
                    ))
                ),
                ROW(INDIRECT("'" &amp; 'Hulp (overig)'!$C$16 &amp; "'!B1:B1000"))
            )
        ),0)
    )=0,"",
INDEX(
        INDIRECT("'" &amp; 'Hulp (overig)'!$C$16 &amp; "'!" &amp;
        'Hulp (overig)'!$C$17 &amp; "1:" &amp; 'Hulp (overig)'!$C$17 &amp; 1000
        ),
        IFERROR(MIN(
            IF(
                (TRIM(INDIRECT("'" &amp; 'Hulp (overig)'!$C$16 &amp; "'!B1:B1000")) = TEXT(G42,"0")) *
                (ROW(INDIRECT("'" &amp; 'Hulp (overig)'!$C$16 &amp; "'!B1:B1000")) &gt;= MATCH(
                    G40,
                    INDIRECT("'" &amp; 'Hulp (overig)'!$C$16 &amp; "'!A1:A1000"),
                    0
                )) *
                IF(
                    H40="",
                    1,
                    (ROW(INDIRECT("'" &amp; 'Hulp (overig)'!$C$16 &amp; "'!B1:B1000")) &lt; MATCH(
                        H40,
                        INDIRECT("'" &amp; 'Hulp (overig)'!$C$16 &amp; "'!A1:A1000"),
                        0
                    ))
                ),
                ROW(INDIRECT("'" &amp; 'Hulp (overig)'!$C$16 &amp; "'!B1:B1000"))
            )
        ),0)
    ))
))))</f>
        <v>#VALUE!</v>
      </c>
      <c r="H43" s="425" t="e" cm="1">
        <f t="array" aca="1" ref="H43" ca="1">IF($BF43, IF(H40="","",
   INDEX(
      INDIRECT("'" &amp; 'Hulp (CAO''s)'!$AE$8 &amp; "'!" &amp;
               'Hulp (overig)'!$C$17 &amp; "1:" &amp;
               'Hulp (overig)'!$C$17 &amp; "1000"),
      MATCH(
         H40,
         INDIRECT("'" &amp; 'Hulp (CAO''s)'!$AE$8 &amp; "'!A1:A1000"),
         0
      )
   )
), IF($D41="Gebruik % van maximum salaris",
IF(
    OR(H40="",H41=""),
    "",
    MAX(
        INDIRECT(
            "'" &amp; 'Hulp (overig)'!$C$16 &amp; "'!" &amp;
            'Hulp (overig)'!$C$17 &amp;
            MATCH(H40, INDIRECT("'" &amp; 'Hulp (overig)'!$C$16 &amp; "'!A1:A1000"), 0) &amp;
            ":" &amp;
            'Hulp (overig)'!$C$17 &amp;
LOOKUP(
    2,
    1 / (
        (ROW(INDIRECT("'" &amp; 'Hulp (overig)'!$C$16 &amp; "'!B1:B1000")) &lt;
            IF(I40&lt;&gt;"",
               MATCH(I40, INDIRECT("'" &amp; 'Hulp (overig)'!$C$16 &amp; "'!A1:A1000"),0),
               1000
            )
        ) *
        (LEFT(TRIM(INDIRECT("'" &amp; 'Hulp (overig)'!$C$16 &amp; "'!B1:B1000")),1) &lt;&gt; "u")
    ),
    ROW(INDIRECT("'" &amp; 'Hulp (overig)'!$C$16 &amp; "'!B1:B1000"))
)
        )
    ) * H41
),
IF(H42="","",
IF(
    IFERROR(MIN(
        IF(
            (TRIM(INDIRECT("'" &amp; 'Hulp (overig)'!$C$16 &amp; "'!B1:B1000")) = TEXT(H42,"0")) *
            (ROW(INDIRECT("'" &amp; 'Hulp (overig)'!$C$16 &amp; "'!B1:B1000")) &gt;= MATCH(
                H40,
                INDIRECT("'" &amp; 'Hulp (overig)'!$C$16 &amp; "'!A1:A1000"),
                0
            )) *
            IF(
                I40="",
                1,
                (ROW(INDIRECT("'" &amp; 'Hulp (overig)'!$C$16 &amp; "'!B1:B1000")) &lt; MATCH(
                    I40,
                    INDIRECT("'" &amp; 'Hulp (overig)'!$C$16 &amp; "'!A1:A1000"),
                    0
                ))
            ),
            ROW(INDIRECT("'" &amp; 'Hulp (overig)'!$C$16 &amp; "'!B1:B1000"))
        )
    ),0) &lt; 1,
    "",
    IF(INDEX(
        INDIRECT("'" &amp; 'Hulp (overig)'!$C$16 &amp; "'!" &amp;
        'Hulp (overig)'!$C$17 &amp; "1:" &amp; 'Hulp (overig)'!$C$17 &amp; 1000
        ),
        IFERROR(MIN(
            IF(
                (TRIM(INDIRECT("'" &amp; 'Hulp (overig)'!$C$16 &amp; "'!B1:B1000")) = TEXT(H42,"0")) *
                (ROW(INDIRECT("'" &amp; 'Hulp (overig)'!$C$16 &amp; "'!B1:B1000")) &gt;= MATCH(
                    H40,
                    INDIRECT("'" &amp; 'Hulp (overig)'!$C$16 &amp; "'!A1:A1000"),
                    0
                )) *
                IF(
                    I40="",
                    1,
                    (ROW(INDIRECT("'" &amp; 'Hulp (overig)'!$C$16 &amp; "'!B1:B1000")) &lt; MATCH(
                        I40,
                        INDIRECT("'" &amp; 'Hulp (overig)'!$C$16 &amp; "'!A1:A1000"),
                        0
                    ))
                ),
                ROW(INDIRECT("'" &amp; 'Hulp (overig)'!$C$16 &amp; "'!B1:B1000"))
            )
        ),0)
    )=0,"",
INDEX(
        INDIRECT("'" &amp; 'Hulp (overig)'!$C$16 &amp; "'!" &amp;
        'Hulp (overig)'!$C$17 &amp; "1:" &amp; 'Hulp (overig)'!$C$17 &amp; 1000
        ),
        IFERROR(MIN(
            IF(
                (TRIM(INDIRECT("'" &amp; 'Hulp (overig)'!$C$16 &amp; "'!B1:B1000")) = TEXT(H42,"0")) *
                (ROW(INDIRECT("'" &amp; 'Hulp (overig)'!$C$16 &amp; "'!B1:B1000")) &gt;= MATCH(
                    H40,
                    INDIRECT("'" &amp; 'Hulp (overig)'!$C$16 &amp; "'!A1:A1000"),
                    0
                )) *
                IF(
                    I40="",
                    1,
                    (ROW(INDIRECT("'" &amp; 'Hulp (overig)'!$C$16 &amp; "'!B1:B1000")) &lt; MATCH(
                        I40,
                        INDIRECT("'" &amp; 'Hulp (overig)'!$C$16 &amp; "'!A1:A1000"),
                        0
                    ))
                ),
                ROW(INDIRECT("'" &amp; 'Hulp (overig)'!$C$16 &amp; "'!B1:B1000"))
            )
        ),0)
    ))
))))</f>
        <v>#VALUE!</v>
      </c>
      <c r="I43" s="425" t="e" cm="1">
        <f t="array" aca="1" ref="I43" ca="1">IF($BF43, IF(I40="","",
   INDEX(
      INDIRECT("'" &amp; 'Hulp (CAO''s)'!$AE$8 &amp; "'!" &amp;
               'Hulp (overig)'!$C$17 &amp; "1:" &amp;
               'Hulp (overig)'!$C$17 &amp; "1000"),
      MATCH(
         I40,
         INDIRECT("'" &amp; 'Hulp (CAO''s)'!$AE$8 &amp; "'!A1:A1000"),
         0
      )
   )
), IF($D41="Gebruik % van maximum salaris",
IF(
    OR(I40="",I41=""),
    "",
    MAX(
        INDIRECT(
            "'" &amp; 'Hulp (overig)'!$C$16 &amp; "'!" &amp;
            'Hulp (overig)'!$C$17 &amp;
            MATCH(I40, INDIRECT("'" &amp; 'Hulp (overig)'!$C$16 &amp; "'!A1:A1000"), 0) &amp;
            ":" &amp;
            'Hulp (overig)'!$C$17 &amp;
LOOKUP(
    2,
    1 / (
        (ROW(INDIRECT("'" &amp; 'Hulp (overig)'!$C$16 &amp; "'!B1:B1000")) &lt;
            IF(J40&lt;&gt;"",
               MATCH(J40, INDIRECT("'" &amp; 'Hulp (overig)'!$C$16 &amp; "'!A1:A1000"),0),
               1000
            )
        ) *
        (LEFT(TRIM(INDIRECT("'" &amp; 'Hulp (overig)'!$C$16 &amp; "'!B1:B1000")),1) &lt;&gt; "u")
    ),
    ROW(INDIRECT("'" &amp; 'Hulp (overig)'!$C$16 &amp; "'!B1:B1000"))
)
        )
    ) * I41
),
IF(I42="","",
IF(
    IFERROR(MIN(
        IF(
            (TRIM(INDIRECT("'" &amp; 'Hulp (overig)'!$C$16 &amp; "'!B1:B1000")) = TEXT(I42,"0")) *
            (ROW(INDIRECT("'" &amp; 'Hulp (overig)'!$C$16 &amp; "'!B1:B1000")) &gt;= MATCH(
                I40,
                INDIRECT("'" &amp; 'Hulp (overig)'!$C$16 &amp; "'!A1:A1000"),
                0
            )) *
            IF(
                J40="",
                1,
                (ROW(INDIRECT("'" &amp; 'Hulp (overig)'!$C$16 &amp; "'!B1:B1000")) &lt; MATCH(
                    J40,
                    INDIRECT("'" &amp; 'Hulp (overig)'!$C$16 &amp; "'!A1:A1000"),
                    0
                ))
            ),
            ROW(INDIRECT("'" &amp; 'Hulp (overig)'!$C$16 &amp; "'!B1:B1000"))
        )
    ),0) &lt; 1,
    "",
    IF(INDEX(
        INDIRECT("'" &amp; 'Hulp (overig)'!$C$16 &amp; "'!" &amp;
        'Hulp (overig)'!$C$17 &amp; "1:" &amp; 'Hulp (overig)'!$C$17 &amp; 1000
        ),
        IFERROR(MIN(
            IF(
                (TRIM(INDIRECT("'" &amp; 'Hulp (overig)'!$C$16 &amp; "'!B1:B1000")) = TEXT(I42,"0")) *
                (ROW(INDIRECT("'" &amp; 'Hulp (overig)'!$C$16 &amp; "'!B1:B1000")) &gt;= MATCH(
                    I40,
                    INDIRECT("'" &amp; 'Hulp (overig)'!$C$16 &amp; "'!A1:A1000"),
                    0
                )) *
                IF(
                    J40="",
                    1,
                    (ROW(INDIRECT("'" &amp; 'Hulp (overig)'!$C$16 &amp; "'!B1:B1000")) &lt; MATCH(
                        J40,
                        INDIRECT("'" &amp; 'Hulp (overig)'!$C$16 &amp; "'!A1:A1000"),
                        0
                    ))
                ),
                ROW(INDIRECT("'" &amp; 'Hulp (overig)'!$C$16 &amp; "'!B1:B1000"))
            )
        ),0)
    )=0,"",
INDEX(
        INDIRECT("'" &amp; 'Hulp (overig)'!$C$16 &amp; "'!" &amp;
        'Hulp (overig)'!$C$17 &amp; "1:" &amp; 'Hulp (overig)'!$C$17 &amp; 1000
        ),
        IFERROR(MIN(
            IF(
                (TRIM(INDIRECT("'" &amp; 'Hulp (overig)'!$C$16 &amp; "'!B1:B1000")) = TEXT(I42,"0")) *
                (ROW(INDIRECT("'" &amp; 'Hulp (overig)'!$C$16 &amp; "'!B1:B1000")) &gt;= MATCH(
                    I40,
                    INDIRECT("'" &amp; 'Hulp (overig)'!$C$16 &amp; "'!A1:A1000"),
                    0
                )) *
                IF(
                    J40="",
                    1,
                    (ROW(INDIRECT("'" &amp; 'Hulp (overig)'!$C$16 &amp; "'!B1:B1000")) &lt; MATCH(
                        J40,
                        INDIRECT("'" &amp; 'Hulp (overig)'!$C$16 &amp; "'!A1:A1000"),
                        0
                    ))
                ),
                ROW(INDIRECT("'" &amp; 'Hulp (overig)'!$C$16 &amp; "'!B1:B1000"))
            )
        ),0)
    ))
))))</f>
        <v>#VALUE!</v>
      </c>
      <c r="J43" s="425" t="e" cm="1">
        <f t="array" aca="1" ref="J43" ca="1">IF($BF43, IF(J40="","",
   INDEX(
      INDIRECT("'" &amp; 'Hulp (CAO''s)'!$AE$8 &amp; "'!" &amp;
               'Hulp (overig)'!$C$17 &amp; "1:" &amp;
               'Hulp (overig)'!$C$17 &amp; "1000"),
      MATCH(
         J40,
         INDIRECT("'" &amp; 'Hulp (CAO''s)'!$AE$8 &amp; "'!A1:A1000"),
         0
      )
   )
), IF($D41="Gebruik % van maximum salaris",
IF(
    OR(J40="",J41=""),
    "",
    MAX(
        INDIRECT(
            "'" &amp; 'Hulp (overig)'!$C$16 &amp; "'!" &amp;
            'Hulp (overig)'!$C$17 &amp;
            MATCH(J40, INDIRECT("'" &amp; 'Hulp (overig)'!$C$16 &amp; "'!A1:A1000"), 0) &amp;
            ":" &amp;
            'Hulp (overig)'!$C$17 &amp;
LOOKUP(
    2,
    1 / (
        (ROW(INDIRECT("'" &amp; 'Hulp (overig)'!$C$16 &amp; "'!B1:B1000")) &lt;
            IF(K40&lt;&gt;"",
               MATCH(K40, INDIRECT("'" &amp; 'Hulp (overig)'!$C$16 &amp; "'!A1:A1000"),0),
               1000
            )
        ) *
        (LEFT(TRIM(INDIRECT("'" &amp; 'Hulp (overig)'!$C$16 &amp; "'!B1:B1000")),1) &lt;&gt; "u")
    ),
    ROW(INDIRECT("'" &amp; 'Hulp (overig)'!$C$16 &amp; "'!B1:B1000"))
)
        )
    ) * J41
),
IF(J42="","",
IF(
    IFERROR(MIN(
        IF(
            (TRIM(INDIRECT("'" &amp; 'Hulp (overig)'!$C$16 &amp; "'!B1:B1000")) = TEXT(J42,"0")) *
            (ROW(INDIRECT("'" &amp; 'Hulp (overig)'!$C$16 &amp; "'!B1:B1000")) &gt;= MATCH(
                J40,
                INDIRECT("'" &amp; 'Hulp (overig)'!$C$16 &amp; "'!A1:A1000"),
                0
            )) *
            IF(
                K40="",
                1,
                (ROW(INDIRECT("'" &amp; 'Hulp (overig)'!$C$16 &amp; "'!B1:B1000")) &lt; MATCH(
                    K40,
                    INDIRECT("'" &amp; 'Hulp (overig)'!$C$16 &amp; "'!A1:A1000"),
                    0
                ))
            ),
            ROW(INDIRECT("'" &amp; 'Hulp (overig)'!$C$16 &amp; "'!B1:B1000"))
        )
    ),0) &lt; 1,
    "",
    IF(INDEX(
        INDIRECT("'" &amp; 'Hulp (overig)'!$C$16 &amp; "'!" &amp;
        'Hulp (overig)'!$C$17 &amp; "1:" &amp; 'Hulp (overig)'!$C$17 &amp; 1000
        ),
        IFERROR(MIN(
            IF(
                (TRIM(INDIRECT("'" &amp; 'Hulp (overig)'!$C$16 &amp; "'!B1:B1000")) = TEXT(J42,"0")) *
                (ROW(INDIRECT("'" &amp; 'Hulp (overig)'!$C$16 &amp; "'!B1:B1000")) &gt;= MATCH(
                    J40,
                    INDIRECT("'" &amp; 'Hulp (overig)'!$C$16 &amp; "'!A1:A1000"),
                    0
                )) *
                IF(
                    K40="",
                    1,
                    (ROW(INDIRECT("'" &amp; 'Hulp (overig)'!$C$16 &amp; "'!B1:B1000")) &lt; MATCH(
                        K40,
                        INDIRECT("'" &amp; 'Hulp (overig)'!$C$16 &amp; "'!A1:A1000"),
                        0
                    ))
                ),
                ROW(INDIRECT("'" &amp; 'Hulp (overig)'!$C$16 &amp; "'!B1:B1000"))
            )
        ),0)
    )=0,"",
INDEX(
        INDIRECT("'" &amp; 'Hulp (overig)'!$C$16 &amp; "'!" &amp;
        'Hulp (overig)'!$C$17 &amp; "1:" &amp; 'Hulp (overig)'!$C$17 &amp; 1000
        ),
        IFERROR(MIN(
            IF(
                (TRIM(INDIRECT("'" &amp; 'Hulp (overig)'!$C$16 &amp; "'!B1:B1000")) = TEXT(J42,"0")) *
                (ROW(INDIRECT("'" &amp; 'Hulp (overig)'!$C$16 &amp; "'!B1:B1000")) &gt;= MATCH(
                    J40,
                    INDIRECT("'" &amp; 'Hulp (overig)'!$C$16 &amp; "'!A1:A1000"),
                    0
                )) *
                IF(
                    K40="",
                    1,
                    (ROW(INDIRECT("'" &amp; 'Hulp (overig)'!$C$16 &amp; "'!B1:B1000")) &lt; MATCH(
                        K40,
                        INDIRECT("'" &amp; 'Hulp (overig)'!$C$16 &amp; "'!A1:A1000"),
                        0
                    ))
                ),
                ROW(INDIRECT("'" &amp; 'Hulp (overig)'!$C$16 &amp; "'!B1:B1000"))
            )
        ),0)
    ))
))))</f>
        <v>#VALUE!</v>
      </c>
      <c r="K43" s="425" t="e" cm="1">
        <f t="array" aca="1" ref="K43" ca="1">IF($BF43, IF(K40="","",
   INDEX(
      INDIRECT("'" &amp; 'Hulp (CAO''s)'!$AE$8 &amp; "'!" &amp;
               'Hulp (overig)'!$C$17 &amp; "1:" &amp;
               'Hulp (overig)'!$C$17 &amp; "1000"),
      MATCH(
         K40,
         INDIRECT("'" &amp; 'Hulp (CAO''s)'!$AE$8 &amp; "'!A1:A1000"),
         0
      )
   )
), IF($D41="Gebruik % van maximum salaris",
IF(
    OR(K40="",K41=""),
    "",
    MAX(
        INDIRECT(
            "'" &amp; 'Hulp (overig)'!$C$16 &amp; "'!" &amp;
            'Hulp (overig)'!$C$17 &amp;
            MATCH(K40, INDIRECT("'" &amp; 'Hulp (overig)'!$C$16 &amp; "'!A1:A1000"), 0) &amp;
            ":" &amp;
            'Hulp (overig)'!$C$17 &amp;
LOOKUP(
    2,
    1 / (
        (ROW(INDIRECT("'" &amp; 'Hulp (overig)'!$C$16 &amp; "'!B1:B1000")) &lt;
            IF(L40&lt;&gt;"",
               MATCH(L40, INDIRECT("'" &amp; 'Hulp (overig)'!$C$16 &amp; "'!A1:A1000"),0),
               1000
            )
        ) *
        (LEFT(TRIM(INDIRECT("'" &amp; 'Hulp (overig)'!$C$16 &amp; "'!B1:B1000")),1) &lt;&gt; "u")
    ),
    ROW(INDIRECT("'" &amp; 'Hulp (overig)'!$C$16 &amp; "'!B1:B1000"))
)
        )
    ) * K41
),
IF(K42="","",
IF(
    IFERROR(MIN(
        IF(
            (TRIM(INDIRECT("'" &amp; 'Hulp (overig)'!$C$16 &amp; "'!B1:B1000")) = TEXT(K42,"0")) *
            (ROW(INDIRECT("'" &amp; 'Hulp (overig)'!$C$16 &amp; "'!B1:B1000")) &gt;= MATCH(
                K40,
                INDIRECT("'" &amp; 'Hulp (overig)'!$C$16 &amp; "'!A1:A1000"),
                0
            )) *
            IF(
                L40="",
                1,
                (ROW(INDIRECT("'" &amp; 'Hulp (overig)'!$C$16 &amp; "'!B1:B1000")) &lt; MATCH(
                    L40,
                    INDIRECT("'" &amp; 'Hulp (overig)'!$C$16 &amp; "'!A1:A1000"),
                    0
                ))
            ),
            ROW(INDIRECT("'" &amp; 'Hulp (overig)'!$C$16 &amp; "'!B1:B1000"))
        )
    ),0) &lt; 1,
    "",
    IF(INDEX(
        INDIRECT("'" &amp; 'Hulp (overig)'!$C$16 &amp; "'!" &amp;
        'Hulp (overig)'!$C$17 &amp; "1:" &amp; 'Hulp (overig)'!$C$17 &amp; 1000
        ),
        IFERROR(MIN(
            IF(
                (TRIM(INDIRECT("'" &amp; 'Hulp (overig)'!$C$16 &amp; "'!B1:B1000")) = TEXT(K42,"0")) *
                (ROW(INDIRECT("'" &amp; 'Hulp (overig)'!$C$16 &amp; "'!B1:B1000")) &gt;= MATCH(
                    K40,
                    INDIRECT("'" &amp; 'Hulp (overig)'!$C$16 &amp; "'!A1:A1000"),
                    0
                )) *
                IF(
                    L40="",
                    1,
                    (ROW(INDIRECT("'" &amp; 'Hulp (overig)'!$C$16 &amp; "'!B1:B1000")) &lt; MATCH(
                        L40,
                        INDIRECT("'" &amp; 'Hulp (overig)'!$C$16 &amp; "'!A1:A1000"),
                        0
                    ))
                ),
                ROW(INDIRECT("'" &amp; 'Hulp (overig)'!$C$16 &amp; "'!B1:B1000"))
            )
        ),0)
    )=0,"",
INDEX(
        INDIRECT("'" &amp; 'Hulp (overig)'!$C$16 &amp; "'!" &amp;
        'Hulp (overig)'!$C$17 &amp; "1:" &amp; 'Hulp (overig)'!$C$17 &amp; 1000
        ),
        IFERROR(MIN(
            IF(
                (TRIM(INDIRECT("'" &amp; 'Hulp (overig)'!$C$16 &amp; "'!B1:B1000")) = TEXT(K42,"0")) *
                (ROW(INDIRECT("'" &amp; 'Hulp (overig)'!$C$16 &amp; "'!B1:B1000")) &gt;= MATCH(
                    K40,
                    INDIRECT("'" &amp; 'Hulp (overig)'!$C$16 &amp; "'!A1:A1000"),
                    0
                )) *
                IF(
                    L40="",
                    1,
                    (ROW(INDIRECT("'" &amp; 'Hulp (overig)'!$C$16 &amp; "'!B1:B1000")) &lt; MATCH(
                        L40,
                        INDIRECT("'" &amp; 'Hulp (overig)'!$C$16 &amp; "'!A1:A1000"),
                        0
                    ))
                ),
                ROW(INDIRECT("'" &amp; 'Hulp (overig)'!$C$16 &amp; "'!B1:B1000"))
            )
        ),0)
    ))
))))</f>
        <v>#VALUE!</v>
      </c>
      <c r="L43" s="425" t="e" cm="1">
        <f t="array" aca="1" ref="L43" ca="1">IF($BF43, IF(L40="","",
   INDEX(
      INDIRECT("'" &amp; 'Hulp (CAO''s)'!$AE$8 &amp; "'!" &amp;
               'Hulp (overig)'!$C$17 &amp; "1:" &amp;
               'Hulp (overig)'!$C$17 &amp; "1000"),
      MATCH(
         L40,
         INDIRECT("'" &amp; 'Hulp (CAO''s)'!$AE$8 &amp; "'!A1:A1000"),
         0
      )
   )
), IF($D41="Gebruik % van maximum salaris",
IF(
    OR(L40="",L41=""),
    "",
    MAX(
        INDIRECT(
            "'" &amp; 'Hulp (overig)'!$C$16 &amp; "'!" &amp;
            'Hulp (overig)'!$C$17 &amp;
            MATCH(L40, INDIRECT("'" &amp; 'Hulp (overig)'!$C$16 &amp; "'!A1:A1000"), 0) &amp;
            ":" &amp;
            'Hulp (overig)'!$C$17 &amp;
LOOKUP(
    2,
    1 / (
        (ROW(INDIRECT("'" &amp; 'Hulp (overig)'!$C$16 &amp; "'!B1:B1000")) &lt;
            IF(M40&lt;&gt;"",
               MATCH(M40, INDIRECT("'" &amp; 'Hulp (overig)'!$C$16 &amp; "'!A1:A1000"),0),
               1000
            )
        ) *
        (LEFT(TRIM(INDIRECT("'" &amp; 'Hulp (overig)'!$C$16 &amp; "'!B1:B1000")),1) &lt;&gt; "u")
    ),
    ROW(INDIRECT("'" &amp; 'Hulp (overig)'!$C$16 &amp; "'!B1:B1000"))
)
        )
    ) * L41
),
IF(L42="","",
IF(
    IFERROR(MIN(
        IF(
            (TRIM(INDIRECT("'" &amp; 'Hulp (overig)'!$C$16 &amp; "'!B1:B1000")) = TEXT(L42,"0")) *
            (ROW(INDIRECT("'" &amp; 'Hulp (overig)'!$C$16 &amp; "'!B1:B1000")) &gt;= MATCH(
                L40,
                INDIRECT("'" &amp; 'Hulp (overig)'!$C$16 &amp; "'!A1:A1000"),
                0
            )) *
            IF(
                M40="",
                1,
                (ROW(INDIRECT("'" &amp; 'Hulp (overig)'!$C$16 &amp; "'!B1:B1000")) &lt; MATCH(
                    M40,
                    INDIRECT("'" &amp; 'Hulp (overig)'!$C$16 &amp; "'!A1:A1000"),
                    0
                ))
            ),
            ROW(INDIRECT("'" &amp; 'Hulp (overig)'!$C$16 &amp; "'!B1:B1000"))
        )
    ),0) &lt; 1,
    "",
    IF(INDEX(
        INDIRECT("'" &amp; 'Hulp (overig)'!$C$16 &amp; "'!" &amp;
        'Hulp (overig)'!$C$17 &amp; "1:" &amp; 'Hulp (overig)'!$C$17 &amp; 1000
        ),
        IFERROR(MIN(
            IF(
                (TRIM(INDIRECT("'" &amp; 'Hulp (overig)'!$C$16 &amp; "'!B1:B1000")) = TEXT(L42,"0")) *
                (ROW(INDIRECT("'" &amp; 'Hulp (overig)'!$C$16 &amp; "'!B1:B1000")) &gt;= MATCH(
                    L40,
                    INDIRECT("'" &amp; 'Hulp (overig)'!$C$16 &amp; "'!A1:A1000"),
                    0
                )) *
                IF(
                    M40="",
                    1,
                    (ROW(INDIRECT("'" &amp; 'Hulp (overig)'!$C$16 &amp; "'!B1:B1000")) &lt; MATCH(
                        M40,
                        INDIRECT("'" &amp; 'Hulp (overig)'!$C$16 &amp; "'!A1:A1000"),
                        0
                    ))
                ),
                ROW(INDIRECT("'" &amp; 'Hulp (overig)'!$C$16 &amp; "'!B1:B1000"))
            )
        ),0)
    )=0,"",
INDEX(
        INDIRECT("'" &amp; 'Hulp (overig)'!$C$16 &amp; "'!" &amp;
        'Hulp (overig)'!$C$17 &amp; "1:" &amp; 'Hulp (overig)'!$C$17 &amp; 1000
        ),
        IFERROR(MIN(
            IF(
                (TRIM(INDIRECT("'" &amp; 'Hulp (overig)'!$C$16 &amp; "'!B1:B1000")) = TEXT(L42,"0")) *
                (ROW(INDIRECT("'" &amp; 'Hulp (overig)'!$C$16 &amp; "'!B1:B1000")) &gt;= MATCH(
                    L40,
                    INDIRECT("'" &amp; 'Hulp (overig)'!$C$16 &amp; "'!A1:A1000"),
                    0
                )) *
                IF(
                    M40="",
                    1,
                    (ROW(INDIRECT("'" &amp; 'Hulp (overig)'!$C$16 &amp; "'!B1:B1000")) &lt; MATCH(
                        M40,
                        INDIRECT("'" &amp; 'Hulp (overig)'!$C$16 &amp; "'!A1:A1000"),
                        0
                    ))
                ),
                ROW(INDIRECT("'" &amp; 'Hulp (overig)'!$C$16 &amp; "'!B1:B1000"))
            )
        ),0)
    ))
))))</f>
        <v>#VALUE!</v>
      </c>
      <c r="M43" s="425" t="e" cm="1">
        <f t="array" aca="1" ref="M43" ca="1">IF($BF43, IF(M40="","",
   INDEX(
      INDIRECT("'" &amp; 'Hulp (CAO''s)'!$AE$8 &amp; "'!" &amp;
               'Hulp (overig)'!$C$17 &amp; "1:" &amp;
               'Hulp (overig)'!$C$17 &amp; "1000"),
      MATCH(
         M40,
         INDIRECT("'" &amp; 'Hulp (CAO''s)'!$AE$8 &amp; "'!A1:A1000"),
         0
      )
   )
), IF($D41="Gebruik % van maximum salaris",
IF(
    OR(M40="",M41=""),
    "",
    MAX(
        INDIRECT(
            "'" &amp; 'Hulp (overig)'!$C$16 &amp; "'!" &amp;
            'Hulp (overig)'!$C$17 &amp;
            MATCH(M40, INDIRECT("'" &amp; 'Hulp (overig)'!$C$16 &amp; "'!A1:A1000"), 0) &amp;
            ":" &amp;
            'Hulp (overig)'!$C$17 &amp;
LOOKUP(
    2,
    1 / (
        (ROW(INDIRECT("'" &amp; 'Hulp (overig)'!$C$16 &amp; "'!B1:B1000")) &lt;
            IF(N40&lt;&gt;"",
               MATCH(N40, INDIRECT("'" &amp; 'Hulp (overig)'!$C$16 &amp; "'!A1:A1000"),0),
               1000
            )
        ) *
        (LEFT(TRIM(INDIRECT("'" &amp; 'Hulp (overig)'!$C$16 &amp; "'!B1:B1000")),1) &lt;&gt; "u")
    ),
    ROW(INDIRECT("'" &amp; 'Hulp (overig)'!$C$16 &amp; "'!B1:B1000"))
)
        )
    ) * M41
),
IF(M42="","",
IF(
    IFERROR(MIN(
        IF(
            (TRIM(INDIRECT("'" &amp; 'Hulp (overig)'!$C$16 &amp; "'!B1:B1000")) = TEXT(M42,"0")) *
            (ROW(INDIRECT("'" &amp; 'Hulp (overig)'!$C$16 &amp; "'!B1:B1000")) &gt;= MATCH(
                M40,
                INDIRECT("'" &amp; 'Hulp (overig)'!$C$16 &amp; "'!A1:A1000"),
                0
            )) *
            IF(
                N40="",
                1,
                (ROW(INDIRECT("'" &amp; 'Hulp (overig)'!$C$16 &amp; "'!B1:B1000")) &lt; MATCH(
                    N40,
                    INDIRECT("'" &amp; 'Hulp (overig)'!$C$16 &amp; "'!A1:A1000"),
                    0
                ))
            ),
            ROW(INDIRECT("'" &amp; 'Hulp (overig)'!$C$16 &amp; "'!B1:B1000"))
        )
    ),0) &lt; 1,
    "",
    IF(INDEX(
        INDIRECT("'" &amp; 'Hulp (overig)'!$C$16 &amp; "'!" &amp;
        'Hulp (overig)'!$C$17 &amp; "1:" &amp; 'Hulp (overig)'!$C$17 &amp; 1000
        ),
        IFERROR(MIN(
            IF(
                (TRIM(INDIRECT("'" &amp; 'Hulp (overig)'!$C$16 &amp; "'!B1:B1000")) = TEXT(M42,"0")) *
                (ROW(INDIRECT("'" &amp; 'Hulp (overig)'!$C$16 &amp; "'!B1:B1000")) &gt;= MATCH(
                    M40,
                    INDIRECT("'" &amp; 'Hulp (overig)'!$C$16 &amp; "'!A1:A1000"),
                    0
                )) *
                IF(
                    N40="",
                    1,
                    (ROW(INDIRECT("'" &amp; 'Hulp (overig)'!$C$16 &amp; "'!B1:B1000")) &lt; MATCH(
                        N40,
                        INDIRECT("'" &amp; 'Hulp (overig)'!$C$16 &amp; "'!A1:A1000"),
                        0
                    ))
                ),
                ROW(INDIRECT("'" &amp; 'Hulp (overig)'!$C$16 &amp; "'!B1:B1000"))
            )
        ),0)
    )=0,"",
INDEX(
        INDIRECT("'" &amp; 'Hulp (overig)'!$C$16 &amp; "'!" &amp;
        'Hulp (overig)'!$C$17 &amp; "1:" &amp; 'Hulp (overig)'!$C$17 &amp; 1000
        ),
        IFERROR(MIN(
            IF(
                (TRIM(INDIRECT("'" &amp; 'Hulp (overig)'!$C$16 &amp; "'!B1:B1000")) = TEXT(M42,"0")) *
                (ROW(INDIRECT("'" &amp; 'Hulp (overig)'!$C$16 &amp; "'!B1:B1000")) &gt;= MATCH(
                    M40,
                    INDIRECT("'" &amp; 'Hulp (overig)'!$C$16 &amp; "'!A1:A1000"),
                    0
                )) *
                IF(
                    N40="",
                    1,
                    (ROW(INDIRECT("'" &amp; 'Hulp (overig)'!$C$16 &amp; "'!B1:B1000")) &lt; MATCH(
                        N40,
                        INDIRECT("'" &amp; 'Hulp (overig)'!$C$16 &amp; "'!A1:A1000"),
                        0
                    ))
                ),
                ROW(INDIRECT("'" &amp; 'Hulp (overig)'!$C$16 &amp; "'!B1:B1000"))
            )
        ),0)
    ))
))))</f>
        <v>#VALUE!</v>
      </c>
      <c r="N43" s="425" t="e" cm="1">
        <f t="array" aca="1" ref="N43" ca="1">IF($BF43, IF(N40="","",
   INDEX(
      INDIRECT("'" &amp; 'Hulp (CAO''s)'!$AE$8 &amp; "'!" &amp;
               'Hulp (overig)'!$C$17 &amp; "1:" &amp;
               'Hulp (overig)'!$C$17 &amp; "1000"),
      MATCH(
         N40,
         INDIRECT("'" &amp; 'Hulp (CAO''s)'!$AE$8 &amp; "'!A1:A1000"),
         0
      )
   )
), IF($D41="Gebruik % van maximum salaris",
IF(
    OR(N40="",N41=""),
    "",
    MAX(
        INDIRECT(
            "'" &amp; 'Hulp (overig)'!$C$16 &amp; "'!" &amp;
            'Hulp (overig)'!$C$17 &amp;
            MATCH(N40, INDIRECT("'" &amp; 'Hulp (overig)'!$C$16 &amp; "'!A1:A1000"), 0) &amp;
            ":" &amp;
            'Hulp (overig)'!$C$17 &amp;
LOOKUP(
    2,
    1 / (
        (ROW(INDIRECT("'" &amp; 'Hulp (overig)'!$C$16 &amp; "'!B1:B1000")) &lt;
            IF(O40&lt;&gt;"",
               MATCH(O40, INDIRECT("'" &amp; 'Hulp (overig)'!$C$16 &amp; "'!A1:A1000"),0),
               1000
            )
        ) *
        (LEFT(TRIM(INDIRECT("'" &amp; 'Hulp (overig)'!$C$16 &amp; "'!B1:B1000")),1) &lt;&gt; "u")
    ),
    ROW(INDIRECT("'" &amp; 'Hulp (overig)'!$C$16 &amp; "'!B1:B1000"))
)
        )
    ) * N41
),
IF(N42="","",
IF(
    IFERROR(MIN(
        IF(
            (TRIM(INDIRECT("'" &amp; 'Hulp (overig)'!$C$16 &amp; "'!B1:B1000")) = TEXT(N42,"0")) *
            (ROW(INDIRECT("'" &amp; 'Hulp (overig)'!$C$16 &amp; "'!B1:B1000")) &gt;= MATCH(
                N40,
                INDIRECT("'" &amp; 'Hulp (overig)'!$C$16 &amp; "'!A1:A1000"),
                0
            )) *
            IF(
                O40="",
                1,
                (ROW(INDIRECT("'" &amp; 'Hulp (overig)'!$C$16 &amp; "'!B1:B1000")) &lt; MATCH(
                    O40,
                    INDIRECT("'" &amp; 'Hulp (overig)'!$C$16 &amp; "'!A1:A1000"),
                    0
                ))
            ),
            ROW(INDIRECT("'" &amp; 'Hulp (overig)'!$C$16 &amp; "'!B1:B1000"))
        )
    ),0) &lt; 1,
    "",
    IF(INDEX(
        INDIRECT("'" &amp; 'Hulp (overig)'!$C$16 &amp; "'!" &amp;
        'Hulp (overig)'!$C$17 &amp; "1:" &amp; 'Hulp (overig)'!$C$17 &amp; 1000
        ),
        IFERROR(MIN(
            IF(
                (TRIM(INDIRECT("'" &amp; 'Hulp (overig)'!$C$16 &amp; "'!B1:B1000")) = TEXT(N42,"0")) *
                (ROW(INDIRECT("'" &amp; 'Hulp (overig)'!$C$16 &amp; "'!B1:B1000")) &gt;= MATCH(
                    N40,
                    INDIRECT("'" &amp; 'Hulp (overig)'!$C$16 &amp; "'!A1:A1000"),
                    0
                )) *
                IF(
                    O40="",
                    1,
                    (ROW(INDIRECT("'" &amp; 'Hulp (overig)'!$C$16 &amp; "'!B1:B1000")) &lt; MATCH(
                        O40,
                        INDIRECT("'" &amp; 'Hulp (overig)'!$C$16 &amp; "'!A1:A1000"),
                        0
                    ))
                ),
                ROW(INDIRECT("'" &amp; 'Hulp (overig)'!$C$16 &amp; "'!B1:B1000"))
            )
        ),0)
    )=0,"",
INDEX(
        INDIRECT("'" &amp; 'Hulp (overig)'!$C$16 &amp; "'!" &amp;
        'Hulp (overig)'!$C$17 &amp; "1:" &amp; 'Hulp (overig)'!$C$17 &amp; 1000
        ),
        IFERROR(MIN(
            IF(
                (TRIM(INDIRECT("'" &amp; 'Hulp (overig)'!$C$16 &amp; "'!B1:B1000")) = TEXT(N42,"0")) *
                (ROW(INDIRECT("'" &amp; 'Hulp (overig)'!$C$16 &amp; "'!B1:B1000")) &gt;= MATCH(
                    N40,
                    INDIRECT("'" &amp; 'Hulp (overig)'!$C$16 &amp; "'!A1:A1000"),
                    0
                )) *
                IF(
                    O40="",
                    1,
                    (ROW(INDIRECT("'" &amp; 'Hulp (overig)'!$C$16 &amp; "'!B1:B1000")) &lt; MATCH(
                        O40,
                        INDIRECT("'" &amp; 'Hulp (overig)'!$C$16 &amp; "'!A1:A1000"),
                        0
                    ))
                ),
                ROW(INDIRECT("'" &amp; 'Hulp (overig)'!$C$16 &amp; "'!B1:B1000"))
            )
        ),0)
    ))
))))</f>
        <v>#VALUE!</v>
      </c>
      <c r="O43" s="425" t="e" cm="1">
        <f t="array" aca="1" ref="O43" ca="1">IF($BF43, IF(O40="","",
   INDEX(
      INDIRECT("'" &amp; 'Hulp (CAO''s)'!$AE$8 &amp; "'!" &amp;
               'Hulp (overig)'!$C$17 &amp; "1:" &amp;
               'Hulp (overig)'!$C$17 &amp; "1000"),
      MATCH(
         O40,
         INDIRECT("'" &amp; 'Hulp (CAO''s)'!$AE$8 &amp; "'!A1:A1000"),
         0
      )
   )
), IF($D41="Gebruik % van maximum salaris",
IF(
    OR(O40="",O41=""),
    "",
    MAX(
        INDIRECT(
            "'" &amp; 'Hulp (overig)'!$C$16 &amp; "'!" &amp;
            'Hulp (overig)'!$C$17 &amp;
            MATCH(O40, INDIRECT("'" &amp; 'Hulp (overig)'!$C$16 &amp; "'!A1:A1000"), 0) &amp;
            ":" &amp;
            'Hulp (overig)'!$C$17 &amp;
LOOKUP(
    2,
    1 / (
        (ROW(INDIRECT("'" &amp; 'Hulp (overig)'!$C$16 &amp; "'!B1:B1000")) &lt;
            IF(P40&lt;&gt;"",
               MATCH(P40, INDIRECT("'" &amp; 'Hulp (overig)'!$C$16 &amp; "'!A1:A1000"),0),
               1000
            )
        ) *
        (LEFT(TRIM(INDIRECT("'" &amp; 'Hulp (overig)'!$C$16 &amp; "'!B1:B1000")),1) &lt;&gt; "u")
    ),
    ROW(INDIRECT("'" &amp; 'Hulp (overig)'!$C$16 &amp; "'!B1:B1000"))
)
        )
    ) * O41
),
IF(O42="","",
IF(
    IFERROR(MIN(
        IF(
            (TRIM(INDIRECT("'" &amp; 'Hulp (overig)'!$C$16 &amp; "'!B1:B1000")) = TEXT(O42,"0")) *
            (ROW(INDIRECT("'" &amp; 'Hulp (overig)'!$C$16 &amp; "'!B1:B1000")) &gt;= MATCH(
                O40,
                INDIRECT("'" &amp; 'Hulp (overig)'!$C$16 &amp; "'!A1:A1000"),
                0
            )) *
            IF(
                P40="",
                1,
                (ROW(INDIRECT("'" &amp; 'Hulp (overig)'!$C$16 &amp; "'!B1:B1000")) &lt; MATCH(
                    P40,
                    INDIRECT("'" &amp; 'Hulp (overig)'!$C$16 &amp; "'!A1:A1000"),
                    0
                ))
            ),
            ROW(INDIRECT("'" &amp; 'Hulp (overig)'!$C$16 &amp; "'!B1:B1000"))
        )
    ),0) &lt; 1,
    "",
    IF(INDEX(
        INDIRECT("'" &amp; 'Hulp (overig)'!$C$16 &amp; "'!" &amp;
        'Hulp (overig)'!$C$17 &amp; "1:" &amp; 'Hulp (overig)'!$C$17 &amp; 1000
        ),
        IFERROR(MIN(
            IF(
                (TRIM(INDIRECT("'" &amp; 'Hulp (overig)'!$C$16 &amp; "'!B1:B1000")) = TEXT(O42,"0")) *
                (ROW(INDIRECT("'" &amp; 'Hulp (overig)'!$C$16 &amp; "'!B1:B1000")) &gt;= MATCH(
                    O40,
                    INDIRECT("'" &amp; 'Hulp (overig)'!$C$16 &amp; "'!A1:A1000"),
                    0
                )) *
                IF(
                    P40="",
                    1,
                    (ROW(INDIRECT("'" &amp; 'Hulp (overig)'!$C$16 &amp; "'!B1:B1000")) &lt; MATCH(
                        P40,
                        INDIRECT("'" &amp; 'Hulp (overig)'!$C$16 &amp; "'!A1:A1000"),
                        0
                    ))
                ),
                ROW(INDIRECT("'" &amp; 'Hulp (overig)'!$C$16 &amp; "'!B1:B1000"))
            )
        ),0)
    )=0,"",
INDEX(
        INDIRECT("'" &amp; 'Hulp (overig)'!$C$16 &amp; "'!" &amp;
        'Hulp (overig)'!$C$17 &amp; "1:" &amp; 'Hulp (overig)'!$C$17 &amp; 1000
        ),
        IFERROR(MIN(
            IF(
                (TRIM(INDIRECT("'" &amp; 'Hulp (overig)'!$C$16 &amp; "'!B1:B1000")) = TEXT(O42,"0")) *
                (ROW(INDIRECT("'" &amp; 'Hulp (overig)'!$C$16 &amp; "'!B1:B1000")) &gt;= MATCH(
                    O40,
                    INDIRECT("'" &amp; 'Hulp (overig)'!$C$16 &amp; "'!A1:A1000"),
                    0
                )) *
                IF(
                    P40="",
                    1,
                    (ROW(INDIRECT("'" &amp; 'Hulp (overig)'!$C$16 &amp; "'!B1:B1000")) &lt; MATCH(
                        P40,
                        INDIRECT("'" &amp; 'Hulp (overig)'!$C$16 &amp; "'!A1:A1000"),
                        0
                    ))
                ),
                ROW(INDIRECT("'" &amp; 'Hulp (overig)'!$C$16 &amp; "'!B1:B1000"))
            )
        ),0)
    ))
))))</f>
        <v>#VALUE!</v>
      </c>
      <c r="P43" s="425" t="e" cm="1">
        <f t="array" aca="1" ref="P43" ca="1">IF($BF43, IF(P40="","",
   INDEX(
      INDIRECT("'" &amp; 'Hulp (CAO''s)'!$AE$8 &amp; "'!" &amp;
               'Hulp (overig)'!$C$17 &amp; "1:" &amp;
               'Hulp (overig)'!$C$17 &amp; "1000"),
      MATCH(
         P40,
         INDIRECT("'" &amp; 'Hulp (CAO''s)'!$AE$8 &amp; "'!A1:A1000"),
         0
      )
   )
), IF($D41="Gebruik % van maximum salaris",
IF(
    OR(P40="",P41=""),
    "",
    MAX(
        INDIRECT(
            "'" &amp; 'Hulp (overig)'!$C$16 &amp; "'!" &amp;
            'Hulp (overig)'!$C$17 &amp;
            MATCH(P40, INDIRECT("'" &amp; 'Hulp (overig)'!$C$16 &amp; "'!A1:A1000"), 0) &amp;
            ":" &amp;
            'Hulp (overig)'!$C$17 &amp;
LOOKUP(
    2,
    1 / (
        (ROW(INDIRECT("'" &amp; 'Hulp (overig)'!$C$16 &amp; "'!B1:B1000")) &lt;
            IF(Q40&lt;&gt;"",
               MATCH(Q40, INDIRECT("'" &amp; 'Hulp (overig)'!$C$16 &amp; "'!A1:A1000"),0),
               1000
            )
        ) *
        (LEFT(TRIM(INDIRECT("'" &amp; 'Hulp (overig)'!$C$16 &amp; "'!B1:B1000")),1) &lt;&gt; "u")
    ),
    ROW(INDIRECT("'" &amp; 'Hulp (overig)'!$C$16 &amp; "'!B1:B1000"))
)
        )
    ) * P41
),
IF(P42="","",
IF(
    IFERROR(MIN(
        IF(
            (TRIM(INDIRECT("'" &amp; 'Hulp (overig)'!$C$16 &amp; "'!B1:B1000")) = TEXT(P42,"0")) *
            (ROW(INDIRECT("'" &amp; 'Hulp (overig)'!$C$16 &amp; "'!B1:B1000")) &gt;= MATCH(
                P40,
                INDIRECT("'" &amp; 'Hulp (overig)'!$C$16 &amp; "'!A1:A1000"),
                0
            )) *
            IF(
                Q40="",
                1,
                (ROW(INDIRECT("'" &amp; 'Hulp (overig)'!$C$16 &amp; "'!B1:B1000")) &lt; MATCH(
                    Q40,
                    INDIRECT("'" &amp; 'Hulp (overig)'!$C$16 &amp; "'!A1:A1000"),
                    0
                ))
            ),
            ROW(INDIRECT("'" &amp; 'Hulp (overig)'!$C$16 &amp; "'!B1:B1000"))
        )
    ),0) &lt; 1,
    "",
    IF(INDEX(
        INDIRECT("'" &amp; 'Hulp (overig)'!$C$16 &amp; "'!" &amp;
        'Hulp (overig)'!$C$17 &amp; "1:" &amp; 'Hulp (overig)'!$C$17 &amp; 1000
        ),
        IFERROR(MIN(
            IF(
                (TRIM(INDIRECT("'" &amp; 'Hulp (overig)'!$C$16 &amp; "'!B1:B1000")) = TEXT(P42,"0")) *
                (ROW(INDIRECT("'" &amp; 'Hulp (overig)'!$C$16 &amp; "'!B1:B1000")) &gt;= MATCH(
                    P40,
                    INDIRECT("'" &amp; 'Hulp (overig)'!$C$16 &amp; "'!A1:A1000"),
                    0
                )) *
                IF(
                    Q40="",
                    1,
                    (ROW(INDIRECT("'" &amp; 'Hulp (overig)'!$C$16 &amp; "'!B1:B1000")) &lt; MATCH(
                        Q40,
                        INDIRECT("'" &amp; 'Hulp (overig)'!$C$16 &amp; "'!A1:A1000"),
                        0
                    ))
                ),
                ROW(INDIRECT("'" &amp; 'Hulp (overig)'!$C$16 &amp; "'!B1:B1000"))
            )
        ),0)
    )=0,"",
INDEX(
        INDIRECT("'" &amp; 'Hulp (overig)'!$C$16 &amp; "'!" &amp;
        'Hulp (overig)'!$C$17 &amp; "1:" &amp; 'Hulp (overig)'!$C$17 &amp; 1000
        ),
        IFERROR(MIN(
            IF(
                (TRIM(INDIRECT("'" &amp; 'Hulp (overig)'!$C$16 &amp; "'!B1:B1000")) = TEXT(P42,"0")) *
                (ROW(INDIRECT("'" &amp; 'Hulp (overig)'!$C$16 &amp; "'!B1:B1000")) &gt;= MATCH(
                    P40,
                    INDIRECT("'" &amp; 'Hulp (overig)'!$C$16 &amp; "'!A1:A1000"),
                    0
                )) *
                IF(
                    Q40="",
                    1,
                    (ROW(INDIRECT("'" &amp; 'Hulp (overig)'!$C$16 &amp; "'!B1:B1000")) &lt; MATCH(
                        Q40,
                        INDIRECT("'" &amp; 'Hulp (overig)'!$C$16 &amp; "'!A1:A1000"),
                        0
                    ))
                ),
                ROW(INDIRECT("'" &amp; 'Hulp (overig)'!$C$16 &amp; "'!B1:B1000"))
            )
        ),0)
    ))
))))</f>
        <v>#VALUE!</v>
      </c>
      <c r="Q43" s="425" t="e" cm="1">
        <f t="array" aca="1" ref="Q43" ca="1">IF($BF43, IF(Q40="","",
   INDEX(
      INDIRECT("'" &amp; 'Hulp (CAO''s)'!$AE$8 &amp; "'!" &amp;
               'Hulp (overig)'!$C$17 &amp; "1:" &amp;
               'Hulp (overig)'!$C$17 &amp; "1000"),
      MATCH(
         Q40,
         INDIRECT("'" &amp; 'Hulp (CAO''s)'!$AE$8 &amp; "'!A1:A1000"),
         0
      )
   )
), IF($D41="Gebruik % van maximum salaris",
IF(
    OR(Q40="",Q41=""),
    "",
    MAX(
        INDIRECT(
            "'" &amp; 'Hulp (overig)'!$C$16 &amp; "'!" &amp;
            'Hulp (overig)'!$C$17 &amp;
            MATCH(Q40, INDIRECT("'" &amp; 'Hulp (overig)'!$C$16 &amp; "'!A1:A1000"), 0) &amp;
            ":" &amp;
            'Hulp (overig)'!$C$17 &amp;
LOOKUP(
    2,
    1 / (
        (ROW(INDIRECT("'" &amp; 'Hulp (overig)'!$C$16 &amp; "'!B1:B1000")) &lt;
            IF(R40&lt;&gt;"",
               MATCH(R40, INDIRECT("'" &amp; 'Hulp (overig)'!$C$16 &amp; "'!A1:A1000"),0),
               1000
            )
        ) *
        (LEFT(TRIM(INDIRECT("'" &amp; 'Hulp (overig)'!$C$16 &amp; "'!B1:B1000")),1) &lt;&gt; "u")
    ),
    ROW(INDIRECT("'" &amp; 'Hulp (overig)'!$C$16 &amp; "'!B1:B1000"))
)
        )
    ) * Q41
),
IF(Q42="","",
IF(
    IFERROR(MIN(
        IF(
            (TRIM(INDIRECT("'" &amp; 'Hulp (overig)'!$C$16 &amp; "'!B1:B1000")) = TEXT(Q42,"0")) *
            (ROW(INDIRECT("'" &amp; 'Hulp (overig)'!$C$16 &amp; "'!B1:B1000")) &gt;= MATCH(
                Q40,
                INDIRECT("'" &amp; 'Hulp (overig)'!$C$16 &amp; "'!A1:A1000"),
                0
            )) *
            IF(
                R40="",
                1,
                (ROW(INDIRECT("'" &amp; 'Hulp (overig)'!$C$16 &amp; "'!B1:B1000")) &lt; MATCH(
                    R40,
                    INDIRECT("'" &amp; 'Hulp (overig)'!$C$16 &amp; "'!A1:A1000"),
                    0
                ))
            ),
            ROW(INDIRECT("'" &amp; 'Hulp (overig)'!$C$16 &amp; "'!B1:B1000"))
        )
    ),0) &lt; 1,
    "",
    IF(INDEX(
        INDIRECT("'" &amp; 'Hulp (overig)'!$C$16 &amp; "'!" &amp;
        'Hulp (overig)'!$C$17 &amp; "1:" &amp; 'Hulp (overig)'!$C$17 &amp; 1000
        ),
        IFERROR(MIN(
            IF(
                (TRIM(INDIRECT("'" &amp; 'Hulp (overig)'!$C$16 &amp; "'!B1:B1000")) = TEXT(Q42,"0")) *
                (ROW(INDIRECT("'" &amp; 'Hulp (overig)'!$C$16 &amp; "'!B1:B1000")) &gt;= MATCH(
                    Q40,
                    INDIRECT("'" &amp; 'Hulp (overig)'!$C$16 &amp; "'!A1:A1000"),
                    0
                )) *
                IF(
                    R40="",
                    1,
                    (ROW(INDIRECT("'" &amp; 'Hulp (overig)'!$C$16 &amp; "'!B1:B1000")) &lt; MATCH(
                        R40,
                        INDIRECT("'" &amp; 'Hulp (overig)'!$C$16 &amp; "'!A1:A1000"),
                        0
                    ))
                ),
                ROW(INDIRECT("'" &amp; 'Hulp (overig)'!$C$16 &amp; "'!B1:B1000"))
            )
        ),0)
    )=0,"",
INDEX(
        INDIRECT("'" &amp; 'Hulp (overig)'!$C$16 &amp; "'!" &amp;
        'Hulp (overig)'!$C$17 &amp; "1:" &amp; 'Hulp (overig)'!$C$17 &amp; 1000
        ),
        IFERROR(MIN(
            IF(
                (TRIM(INDIRECT("'" &amp; 'Hulp (overig)'!$C$16 &amp; "'!B1:B1000")) = TEXT(Q42,"0")) *
                (ROW(INDIRECT("'" &amp; 'Hulp (overig)'!$C$16 &amp; "'!B1:B1000")) &gt;= MATCH(
                    Q40,
                    INDIRECT("'" &amp; 'Hulp (overig)'!$C$16 &amp; "'!A1:A1000"),
                    0
                )) *
                IF(
                    R40="",
                    1,
                    (ROW(INDIRECT("'" &amp; 'Hulp (overig)'!$C$16 &amp; "'!B1:B1000")) &lt; MATCH(
                        R40,
                        INDIRECT("'" &amp; 'Hulp (overig)'!$C$16 &amp; "'!A1:A1000"),
                        0
                    ))
                ),
                ROW(INDIRECT("'" &amp; 'Hulp (overig)'!$C$16 &amp; "'!B1:B1000"))
            )
        ),0)
    ))
))))</f>
        <v>#VALUE!</v>
      </c>
      <c r="R43" s="425" t="e" cm="1">
        <f t="array" aca="1" ref="R43" ca="1">IF($BF43, IF(R40="","",
   INDEX(
      INDIRECT("'" &amp; 'Hulp (CAO''s)'!$AE$8 &amp; "'!" &amp;
               'Hulp (overig)'!$C$17 &amp; "1:" &amp;
               'Hulp (overig)'!$C$17 &amp; "1000"),
      MATCH(
         R40,
         INDIRECT("'" &amp; 'Hulp (CAO''s)'!$AE$8 &amp; "'!A1:A1000"),
         0
      )
   )
), IF($D41="Gebruik % van maximum salaris",
IF(
    OR(R40="",R41=""),
    "",
    MAX(
        INDIRECT(
            "'" &amp; 'Hulp (overig)'!$C$16 &amp; "'!" &amp;
            'Hulp (overig)'!$C$17 &amp;
            MATCH(R40, INDIRECT("'" &amp; 'Hulp (overig)'!$C$16 &amp; "'!A1:A1000"), 0) &amp;
            ":" &amp;
            'Hulp (overig)'!$C$17 &amp;
LOOKUP(
    2,
    1 / (
        (ROW(INDIRECT("'" &amp; 'Hulp (overig)'!$C$16 &amp; "'!B1:B1000")) &lt;
            IF(S40&lt;&gt;"",
               MATCH(S40, INDIRECT("'" &amp; 'Hulp (overig)'!$C$16 &amp; "'!A1:A1000"),0),
               1000
            )
        ) *
        (LEFT(TRIM(INDIRECT("'" &amp; 'Hulp (overig)'!$C$16 &amp; "'!B1:B1000")),1) &lt;&gt; "u")
    ),
    ROW(INDIRECT("'" &amp; 'Hulp (overig)'!$C$16 &amp; "'!B1:B1000"))
)
        )
    ) * R41
),
IF(R42="","",
IF(
    IFERROR(MIN(
        IF(
            (TRIM(INDIRECT("'" &amp; 'Hulp (overig)'!$C$16 &amp; "'!B1:B1000")) = TEXT(R42,"0")) *
            (ROW(INDIRECT("'" &amp; 'Hulp (overig)'!$C$16 &amp; "'!B1:B1000")) &gt;= MATCH(
                R40,
                INDIRECT("'" &amp; 'Hulp (overig)'!$C$16 &amp; "'!A1:A1000"),
                0
            )) *
            IF(
                S40="",
                1,
                (ROW(INDIRECT("'" &amp; 'Hulp (overig)'!$C$16 &amp; "'!B1:B1000")) &lt; MATCH(
                    S40,
                    INDIRECT("'" &amp; 'Hulp (overig)'!$C$16 &amp; "'!A1:A1000"),
                    0
                ))
            ),
            ROW(INDIRECT("'" &amp; 'Hulp (overig)'!$C$16 &amp; "'!B1:B1000"))
        )
    ),0) &lt; 1,
    "",
    IF(INDEX(
        INDIRECT("'" &amp; 'Hulp (overig)'!$C$16 &amp; "'!" &amp;
        'Hulp (overig)'!$C$17 &amp; "1:" &amp; 'Hulp (overig)'!$C$17 &amp; 1000
        ),
        IFERROR(MIN(
            IF(
                (TRIM(INDIRECT("'" &amp; 'Hulp (overig)'!$C$16 &amp; "'!B1:B1000")) = TEXT(R42,"0")) *
                (ROW(INDIRECT("'" &amp; 'Hulp (overig)'!$C$16 &amp; "'!B1:B1000")) &gt;= MATCH(
                    R40,
                    INDIRECT("'" &amp; 'Hulp (overig)'!$C$16 &amp; "'!A1:A1000"),
                    0
                )) *
                IF(
                    S40="",
                    1,
                    (ROW(INDIRECT("'" &amp; 'Hulp (overig)'!$C$16 &amp; "'!B1:B1000")) &lt; MATCH(
                        S40,
                        INDIRECT("'" &amp; 'Hulp (overig)'!$C$16 &amp; "'!A1:A1000"),
                        0
                    ))
                ),
                ROW(INDIRECT("'" &amp; 'Hulp (overig)'!$C$16 &amp; "'!B1:B1000"))
            )
        ),0)
    )=0,"",
INDEX(
        INDIRECT("'" &amp; 'Hulp (overig)'!$C$16 &amp; "'!" &amp;
        'Hulp (overig)'!$C$17 &amp; "1:" &amp; 'Hulp (overig)'!$C$17 &amp; 1000
        ),
        IFERROR(MIN(
            IF(
                (TRIM(INDIRECT("'" &amp; 'Hulp (overig)'!$C$16 &amp; "'!B1:B1000")) = TEXT(R42,"0")) *
                (ROW(INDIRECT("'" &amp; 'Hulp (overig)'!$C$16 &amp; "'!B1:B1000")) &gt;= MATCH(
                    R40,
                    INDIRECT("'" &amp; 'Hulp (overig)'!$C$16 &amp; "'!A1:A1000"),
                    0
                )) *
                IF(
                    S40="",
                    1,
                    (ROW(INDIRECT("'" &amp; 'Hulp (overig)'!$C$16 &amp; "'!B1:B1000")) &lt; MATCH(
                        S40,
                        INDIRECT("'" &amp; 'Hulp (overig)'!$C$16 &amp; "'!A1:A1000"),
                        0
                    ))
                ),
                ROW(INDIRECT("'" &amp; 'Hulp (overig)'!$C$16 &amp; "'!B1:B1000"))
            )
        ),0)
    ))
))))</f>
        <v>#VALUE!</v>
      </c>
      <c r="S43" s="425" t="e" cm="1">
        <f t="array" aca="1" ref="S43" ca="1">IF($BF43, IF(S40="","",
   INDEX(
      INDIRECT("'" &amp; 'Hulp (CAO''s)'!$AE$8 &amp; "'!" &amp;
               'Hulp (overig)'!$C$17 &amp; "1:" &amp;
               'Hulp (overig)'!$C$17 &amp; "1000"),
      MATCH(
         S40,
         INDIRECT("'" &amp; 'Hulp (CAO''s)'!$AE$8 &amp; "'!A1:A1000"),
         0
      )
   )
), IF($D41="Gebruik % van maximum salaris",
IF(
    OR(S40="",S41=""),
    "",
    MAX(
        INDIRECT(
            "'" &amp; 'Hulp (overig)'!$C$16 &amp; "'!" &amp;
            'Hulp (overig)'!$C$17 &amp;
            MATCH(S40, INDIRECT("'" &amp; 'Hulp (overig)'!$C$16 &amp; "'!A1:A1000"), 0) &amp;
            ":" &amp;
            'Hulp (overig)'!$C$17 &amp;
LOOKUP(
    2,
    1 / (
        (ROW(INDIRECT("'" &amp; 'Hulp (overig)'!$C$16 &amp; "'!B1:B1000")) &lt;
            IF(T40&lt;&gt;"",
               MATCH(T40, INDIRECT("'" &amp; 'Hulp (overig)'!$C$16 &amp; "'!A1:A1000"),0),
               1000
            )
        ) *
        (LEFT(TRIM(INDIRECT("'" &amp; 'Hulp (overig)'!$C$16 &amp; "'!B1:B1000")),1) &lt;&gt; "u")
    ),
    ROW(INDIRECT("'" &amp; 'Hulp (overig)'!$C$16 &amp; "'!B1:B1000"))
)
        )
    ) * S41
),
IF(S42="","",
IF(
    IFERROR(MIN(
        IF(
            (TRIM(INDIRECT("'" &amp; 'Hulp (overig)'!$C$16 &amp; "'!B1:B1000")) = TEXT(S42,"0")) *
            (ROW(INDIRECT("'" &amp; 'Hulp (overig)'!$C$16 &amp; "'!B1:B1000")) &gt;= MATCH(
                S40,
                INDIRECT("'" &amp; 'Hulp (overig)'!$C$16 &amp; "'!A1:A1000"),
                0
            )) *
            IF(
                T40="",
                1,
                (ROW(INDIRECT("'" &amp; 'Hulp (overig)'!$C$16 &amp; "'!B1:B1000")) &lt; MATCH(
                    T40,
                    INDIRECT("'" &amp; 'Hulp (overig)'!$C$16 &amp; "'!A1:A1000"),
                    0
                ))
            ),
            ROW(INDIRECT("'" &amp; 'Hulp (overig)'!$C$16 &amp; "'!B1:B1000"))
        )
    ),0) &lt; 1,
    "",
    IF(INDEX(
        INDIRECT("'" &amp; 'Hulp (overig)'!$C$16 &amp; "'!" &amp;
        'Hulp (overig)'!$C$17 &amp; "1:" &amp; 'Hulp (overig)'!$C$17 &amp; 1000
        ),
        IFERROR(MIN(
            IF(
                (TRIM(INDIRECT("'" &amp; 'Hulp (overig)'!$C$16 &amp; "'!B1:B1000")) = TEXT(S42,"0")) *
                (ROW(INDIRECT("'" &amp; 'Hulp (overig)'!$C$16 &amp; "'!B1:B1000")) &gt;= MATCH(
                    S40,
                    INDIRECT("'" &amp; 'Hulp (overig)'!$C$16 &amp; "'!A1:A1000"),
                    0
                )) *
                IF(
                    T40="",
                    1,
                    (ROW(INDIRECT("'" &amp; 'Hulp (overig)'!$C$16 &amp; "'!B1:B1000")) &lt; MATCH(
                        T40,
                        INDIRECT("'" &amp; 'Hulp (overig)'!$C$16 &amp; "'!A1:A1000"),
                        0
                    ))
                ),
                ROW(INDIRECT("'" &amp; 'Hulp (overig)'!$C$16 &amp; "'!B1:B1000"))
            )
        ),0)
    )=0,"",
INDEX(
        INDIRECT("'" &amp; 'Hulp (overig)'!$C$16 &amp; "'!" &amp;
        'Hulp (overig)'!$C$17 &amp; "1:" &amp; 'Hulp (overig)'!$C$17 &amp; 1000
        ),
        IFERROR(MIN(
            IF(
                (TRIM(INDIRECT("'" &amp; 'Hulp (overig)'!$C$16 &amp; "'!B1:B1000")) = TEXT(S42,"0")) *
                (ROW(INDIRECT("'" &amp; 'Hulp (overig)'!$C$16 &amp; "'!B1:B1000")) &gt;= MATCH(
                    S40,
                    INDIRECT("'" &amp; 'Hulp (overig)'!$C$16 &amp; "'!A1:A1000"),
                    0
                )) *
                IF(
                    T40="",
                    1,
                    (ROW(INDIRECT("'" &amp; 'Hulp (overig)'!$C$16 &amp; "'!B1:B1000")) &lt; MATCH(
                        T40,
                        INDIRECT("'" &amp; 'Hulp (overig)'!$C$16 &amp; "'!A1:A1000"),
                        0
                    ))
                ),
                ROW(INDIRECT("'" &amp; 'Hulp (overig)'!$C$16 &amp; "'!B1:B1000"))
            )
        ),0)
    ))
))))</f>
        <v>#VALUE!</v>
      </c>
      <c r="T43" s="425" t="e" cm="1">
        <f t="array" aca="1" ref="T43" ca="1">IF($BF43, IF(T40="","",
   INDEX(
      INDIRECT("'" &amp; 'Hulp (CAO''s)'!$AE$8 &amp; "'!" &amp;
               'Hulp (overig)'!$C$17 &amp; "1:" &amp;
               'Hulp (overig)'!$C$17 &amp; "1000"),
      MATCH(
         T40,
         INDIRECT("'" &amp; 'Hulp (CAO''s)'!$AE$8 &amp; "'!A1:A1000"),
         0
      )
   )
), IF($D41="Gebruik % van maximum salaris",
IF(
    OR(T40="",T41=""),
    "",
    MAX(
        INDIRECT(
            "'" &amp; 'Hulp (overig)'!$C$16 &amp; "'!" &amp;
            'Hulp (overig)'!$C$17 &amp;
            MATCH(T40, INDIRECT("'" &amp; 'Hulp (overig)'!$C$16 &amp; "'!A1:A1000"), 0) &amp;
            ":" &amp;
            'Hulp (overig)'!$C$17 &amp;
LOOKUP(
    2,
    1 / (
        (ROW(INDIRECT("'" &amp; 'Hulp (overig)'!$C$16 &amp; "'!B1:B1000")) &lt;
            IF(U40&lt;&gt;"",
               MATCH(U40, INDIRECT("'" &amp; 'Hulp (overig)'!$C$16 &amp; "'!A1:A1000"),0),
               1000
            )
        ) *
        (LEFT(TRIM(INDIRECT("'" &amp; 'Hulp (overig)'!$C$16 &amp; "'!B1:B1000")),1) &lt;&gt; "u")
    ),
    ROW(INDIRECT("'" &amp; 'Hulp (overig)'!$C$16 &amp; "'!B1:B1000"))
)
        )
    ) * T41
),
IF(T42="","",
IF(
    IFERROR(MIN(
        IF(
            (TRIM(INDIRECT("'" &amp; 'Hulp (overig)'!$C$16 &amp; "'!B1:B1000")) = TEXT(T42,"0")) *
            (ROW(INDIRECT("'" &amp; 'Hulp (overig)'!$C$16 &amp; "'!B1:B1000")) &gt;= MATCH(
                T40,
                INDIRECT("'" &amp; 'Hulp (overig)'!$C$16 &amp; "'!A1:A1000"),
                0
            )) *
            IF(
                U40="",
                1,
                (ROW(INDIRECT("'" &amp; 'Hulp (overig)'!$C$16 &amp; "'!B1:B1000")) &lt; MATCH(
                    U40,
                    INDIRECT("'" &amp; 'Hulp (overig)'!$C$16 &amp; "'!A1:A1000"),
                    0
                ))
            ),
            ROW(INDIRECT("'" &amp; 'Hulp (overig)'!$C$16 &amp; "'!B1:B1000"))
        )
    ),0) &lt; 1,
    "",
    IF(INDEX(
        INDIRECT("'" &amp; 'Hulp (overig)'!$C$16 &amp; "'!" &amp;
        'Hulp (overig)'!$C$17 &amp; "1:" &amp; 'Hulp (overig)'!$C$17 &amp; 1000
        ),
        IFERROR(MIN(
            IF(
                (TRIM(INDIRECT("'" &amp; 'Hulp (overig)'!$C$16 &amp; "'!B1:B1000")) = TEXT(T42,"0")) *
                (ROW(INDIRECT("'" &amp; 'Hulp (overig)'!$C$16 &amp; "'!B1:B1000")) &gt;= MATCH(
                    T40,
                    INDIRECT("'" &amp; 'Hulp (overig)'!$C$16 &amp; "'!A1:A1000"),
                    0
                )) *
                IF(
                    U40="",
                    1,
                    (ROW(INDIRECT("'" &amp; 'Hulp (overig)'!$C$16 &amp; "'!B1:B1000")) &lt; MATCH(
                        U40,
                        INDIRECT("'" &amp; 'Hulp (overig)'!$C$16 &amp; "'!A1:A1000"),
                        0
                    ))
                ),
                ROW(INDIRECT("'" &amp; 'Hulp (overig)'!$C$16 &amp; "'!B1:B1000"))
            )
        ),0)
    )=0,"",
INDEX(
        INDIRECT("'" &amp; 'Hulp (overig)'!$C$16 &amp; "'!" &amp;
        'Hulp (overig)'!$C$17 &amp; "1:" &amp; 'Hulp (overig)'!$C$17 &amp; 1000
        ),
        IFERROR(MIN(
            IF(
                (TRIM(INDIRECT("'" &amp; 'Hulp (overig)'!$C$16 &amp; "'!B1:B1000")) = TEXT(T42,"0")) *
                (ROW(INDIRECT("'" &amp; 'Hulp (overig)'!$C$16 &amp; "'!B1:B1000")) &gt;= MATCH(
                    T40,
                    INDIRECT("'" &amp; 'Hulp (overig)'!$C$16 &amp; "'!A1:A1000"),
                    0
                )) *
                IF(
                    U40="",
                    1,
                    (ROW(INDIRECT("'" &amp; 'Hulp (overig)'!$C$16 &amp; "'!B1:B1000")) &lt; MATCH(
                        U40,
                        INDIRECT("'" &amp; 'Hulp (overig)'!$C$16 &amp; "'!A1:A1000"),
                        0
                    ))
                ),
                ROW(INDIRECT("'" &amp; 'Hulp (overig)'!$C$16 &amp; "'!B1:B1000"))
            )
        ),0)
    ))
))))</f>
        <v>#VALUE!</v>
      </c>
      <c r="U43" s="723" t="e" cm="1">
        <f t="array" aca="1" ref="U43" ca="1">IF($BF43, IF(U40="","",
   INDEX(
      INDIRECT("'" &amp; 'Hulp (CAO''s)'!$AE$8 &amp; "'!" &amp;
               'Hulp (overig)'!$C$17 &amp; "1:" &amp;
               'Hulp (overig)'!$C$17 &amp; "1000"),
      MATCH(
         U40,
         INDIRECT("'" &amp; 'Hulp (CAO''s)'!$AE$8 &amp; "'!A1:A1000"),
         0
      )
   )
), IF($D41="Gebruik % van maximum salaris",
IF(
    OR(U40="",U41=""),
    "",
    MAX(
        INDIRECT(
            "'" &amp; 'Hulp (overig)'!$C$16 &amp; "'!" &amp;
            'Hulp (overig)'!$C$17 &amp;
            MATCH(U40, INDIRECT("'" &amp; 'Hulp (overig)'!$C$16 &amp; "'!A1:A1000"), 0) &amp;
            ":" &amp;
            'Hulp (overig)'!$C$17 &amp;
LOOKUP(
    2,
    1 / (
        (ROW(INDIRECT("'" &amp; 'Hulp (overig)'!$C$16 &amp; "'!B1:B1000")) &lt;
            IF(V40&lt;&gt;"",
               MATCH(V40, INDIRECT("'" &amp; 'Hulp (overig)'!$C$16 &amp; "'!A1:A1000"),0),
               1000
            )
        ) *
        (LEFT(TRIM(INDIRECT("'" &amp; 'Hulp (overig)'!$C$16 &amp; "'!B1:B1000")),1) &lt;&gt; "u")
    ),
    ROW(INDIRECT("'" &amp; 'Hulp (overig)'!$C$16 &amp; "'!B1:B1000"))
)
        )
    ) * U41
),
IF(U42="","",
IF(
    IFERROR(MIN(
        IF(
            (TRIM(INDIRECT("'" &amp; 'Hulp (overig)'!$C$16 &amp; "'!B1:B1000")) = TEXT(U42,"0")) *
            (ROW(INDIRECT("'" &amp; 'Hulp (overig)'!$C$16 &amp; "'!B1:B1000")) &gt;= MATCH(
                U40,
                INDIRECT("'" &amp; 'Hulp (overig)'!$C$16 &amp; "'!A1:A1000"),
                0
            )) *
            IF(
                V40="",
                1,
                (ROW(INDIRECT("'" &amp; 'Hulp (overig)'!$C$16 &amp; "'!B1:B1000")) &lt; MATCH(
                    V40,
                    INDIRECT("'" &amp; 'Hulp (overig)'!$C$16 &amp; "'!A1:A1000"),
                    0
                ))
            ),
            ROW(INDIRECT("'" &amp; 'Hulp (overig)'!$C$16 &amp; "'!B1:B1000"))
        )
    ),0) &lt; 1,
    "",
    IF(INDEX(
        INDIRECT("'" &amp; 'Hulp (overig)'!$C$16 &amp; "'!" &amp;
        'Hulp (overig)'!$C$17 &amp; "1:" &amp; 'Hulp (overig)'!$C$17 &amp; 1000
        ),
        IFERROR(MIN(
            IF(
                (TRIM(INDIRECT("'" &amp; 'Hulp (overig)'!$C$16 &amp; "'!B1:B1000")) = TEXT(U42,"0")) *
                (ROW(INDIRECT("'" &amp; 'Hulp (overig)'!$C$16 &amp; "'!B1:B1000")) &gt;= MATCH(
                    U40,
                    INDIRECT("'" &amp; 'Hulp (overig)'!$C$16 &amp; "'!A1:A1000"),
                    0
                )) *
                IF(
                    V40="",
                    1,
                    (ROW(INDIRECT("'" &amp; 'Hulp (overig)'!$C$16 &amp; "'!B1:B1000")) &lt; MATCH(
                        V40,
                        INDIRECT("'" &amp; 'Hulp (overig)'!$C$16 &amp; "'!A1:A1000"),
                        0
                    ))
                ),
                ROW(INDIRECT("'" &amp; 'Hulp (overig)'!$C$16 &amp; "'!B1:B1000"))
            )
        ),0)
    )=0,"",
INDEX(
        INDIRECT("'" &amp; 'Hulp (overig)'!$C$16 &amp; "'!" &amp;
        'Hulp (overig)'!$C$17 &amp; "1:" &amp; 'Hulp (overig)'!$C$17 &amp; 1000
        ),
        IFERROR(MIN(
            IF(
                (TRIM(INDIRECT("'" &amp; 'Hulp (overig)'!$C$16 &amp; "'!B1:B1000")) = TEXT(U42,"0")) *
                (ROW(INDIRECT("'" &amp; 'Hulp (overig)'!$C$16 &amp; "'!B1:B1000")) &gt;= MATCH(
                    U40,
                    INDIRECT("'" &amp; 'Hulp (overig)'!$C$16 &amp; "'!A1:A1000"),
                    0
                )) *
                IF(
                    V40="",
                    1,
                    (ROW(INDIRECT("'" &amp; 'Hulp (overig)'!$C$16 &amp; "'!B1:B1000")) &lt; MATCH(
                        V40,
                        INDIRECT("'" &amp; 'Hulp (overig)'!$C$16 &amp; "'!A1:A1000"),
                        0
                    ))
                ),
                ROW(INDIRECT("'" &amp; 'Hulp (overig)'!$C$16 &amp; "'!B1:B1000"))
            )
        ),0)
    ))
))))</f>
        <v>#VALUE!</v>
      </c>
      <c r="V43" s="413" t="str" cm="1">
        <f t="array" ref="V43">IF(SUM(F44:U44)=0,"",
IF(SUM(F43:U43)=0,"",
IF(SUMPRODUCT((F44:U44&lt;&gt;0)*(F43:U43=""))&gt;0,"",
(
   SUMPRODUCT(
      IF(F43:U43="",0,F43:U43),
      IF(F44:U44="",0,F44:U44) / SUM(F44:U44)
   )
))))</f>
        <v/>
      </c>
      <c r="W43" s="418"/>
      <c r="X43" s="620"/>
      <c r="Y43" s="419" t="str">
        <f ca="1">IF(B40="","",
        IF(INDIRECT("'Hulp (control forms)'!C" &amp; (13 + INT((ROW()-ROW($B$5))/7))),
            IF(X43="","",X43),
            IF(V43="","",V43)
    )
)</f>
        <v/>
      </c>
      <c r="Z43" s="333"/>
      <c r="AA43" s="771"/>
      <c r="AB43" s="770"/>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cm="1">
        <f t="array" aca="1" ref="BA43" ca="1">IF(
   SUM(Y43)=0,
   1,
   IF(
      N(INDIRECT("'Hulp (control forms)'!C"&amp;(13+INT((ROW()-ROW($B$5))/7))))&lt;&gt;0,
      MIN(1,
      ('Hulp (overig)'!$C$6/12) /
      (Y43 * BC43 + BD43)),
      MIN(1,
         IF(
            SUM(F43:U43)=0,
            "",
            SUMPRODUCT(
               IF(
                  (IF(F43:U43="",0,F43:U43) * BC43) + BD43
                  &gt; 'Hulp (overig)'!$C$6/12,
                  'Hulp (overig)'!$C$6/12,
                  (IF(F43:U43="",0,F43:U43) * BC43) + BD43
               ),
               IF(F44:U44="",0,F44:U44) / SUM(F44:U44)
            )
         ) /
         ((Y43 * BC43) + BD43)
      )
   )
)</f>
        <v>1</v>
      </c>
      <c r="BB43" cm="1">
        <f t="array" aca="1" ref="BB43" ca="1">IF(
   SUM(Y43)=0,
   1,
   IF(
      N(INDIRECT("'Hulp (control forms)'!C"&amp;(13+INT((ROW()-ROW($B$5))/7))))&lt;&gt;0,
      MIN('Hulp (overig)'!$C$5/12,
      (Y43 * BC43) + BD43) * 12,
         IF(
            SUM(F43:U43)=0,
            "",
            SUMPRODUCT(
               IF(
                  (IF(F43:U43="",0,F43:U43) * BC43) + BD43
                  &gt; 'Hulp (overig)'!$C$5/12,
                  'Hulp (overig)'!$C$5/12,
                  (IF(F43:U43="",0,F43:U43) * BC43) + BD43
               ),
               IF(F44:U44="",0,F44:U44) / SUM(F44:U44)
            )
         ) * 12
   )
)</f>
        <v>1</v>
      </c>
      <c r="BC43" s="287" cm="1">
        <f t="array" aca="1" ref="BC43" ca="1">IFERROR(
   (INDEX('2. Output kostprijs'!$24:$24, 5 + 2*INT((ROW()-8)/7))
    - SUM(INDEX('2. Output kostprijs'!$23:$23, 5 + 2*INT((ROW()-8)/7))))
   / INDEX('2. Output kostprijs'!$19:$19, 5 + 2*INT((ROW()-8)/7)),
   1
)</f>
        <v>1</v>
      </c>
      <c r="BD43" s="287" cm="1">
        <f t="array" aca="1" ref="BD43" ca="1">IFERROR(
   (INDEX('2. Output kostprijs'!$23:$23, 5 + 2*INT((ROW()-8)/7))
    * INDEX('2. Output kostprijs'!$18:$18, 5 + 2*INT((ROW()-8)/7))
   ) / 12,
   0
)</f>
        <v>0</v>
      </c>
      <c r="BE43" t="b">
        <f ca="1">NOT(AND(B40&lt;&gt;"",Y43=""))</f>
        <v>1</v>
      </c>
      <c r="BF43" t="str" cm="1">
        <f t="array" aca="1" ref="BF43" ca="1">INDIRECT("'1a. Input organisatieniveau'!$AD" &amp; 7 + INT((ROW()-ROW($F$8))/7))</f>
        <v/>
      </c>
      <c r="BG43" t="b" cm="1">
        <f t="array" ref="BG43">IFERROR(INDEX('Hulp (control forms)'!C:C, 13 + INT((ROW(A36)-1)/7)),FALSE)</f>
        <v>0</v>
      </c>
    </row>
    <row r="44" spans="1:59" ht="16.05" customHeight="1" thickBot="1" x14ac:dyDescent="0.5">
      <c r="A44" s="289"/>
      <c r="B44" s="343"/>
      <c r="C44" s="325" t="s">
        <v>779</v>
      </c>
      <c r="D44" s="688" t="s">
        <v>60</v>
      </c>
      <c r="E44" s="433" t="s">
        <v>59</v>
      </c>
      <c r="F44" s="624"/>
      <c r="G44" s="624"/>
      <c r="H44" s="624"/>
      <c r="I44" s="624"/>
      <c r="J44" s="624"/>
      <c r="K44" s="624"/>
      <c r="L44" s="624"/>
      <c r="M44" s="624"/>
      <c r="N44" s="624"/>
      <c r="O44" s="624"/>
      <c r="P44" s="624"/>
      <c r="Q44" s="624"/>
      <c r="R44" s="624"/>
      <c r="S44" s="624"/>
      <c r="T44" s="624"/>
      <c r="U44" s="625"/>
      <c r="V44" s="420" t="str">
        <f ca="1">IF($B40="","",IF($D44="Aandeel in %",
   "Totaal: "&amp;SUM(F44:U44)*100&amp;"%",
   "Totaal: "&amp;SUM(F44:U44)&amp;" uur"
))</f>
        <v/>
      </c>
      <c r="W44" s="294"/>
      <c r="X44" s="621"/>
      <c r="Y44" s="328"/>
      <c r="Z44" s="32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9" ht="16.05" customHeight="1" thickBot="1" x14ac:dyDescent="0.5">
      <c r="A45" s="289"/>
      <c r="B45" s="343"/>
      <c r="C45" s="326" t="s">
        <v>779</v>
      </c>
      <c r="D45" s="421"/>
      <c r="E45" s="426"/>
      <c r="F45" s="426"/>
      <c r="G45" s="426"/>
      <c r="H45" s="426"/>
      <c r="I45" s="426"/>
      <c r="J45" s="426"/>
      <c r="K45" s="426"/>
      <c r="L45" s="426"/>
      <c r="M45" s="426"/>
      <c r="N45" s="426"/>
      <c r="O45" s="426"/>
      <c r="P45" s="426"/>
      <c r="Q45" s="426"/>
      <c r="R45" s="426"/>
      <c r="S45" s="426"/>
      <c r="T45" s="427"/>
      <c r="U45" s="427"/>
      <c r="V45" s="421"/>
      <c r="W45" s="421"/>
      <c r="X45" s="622"/>
      <c r="Y45" s="421"/>
      <c r="Z45" s="327"/>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9" ht="16.05" customHeight="1" thickBot="1" x14ac:dyDescent="0.55000000000000004">
      <c r="A46" s="289"/>
      <c r="B46" s="585" t="str">
        <f ca="1">IF(B47="","",
IF(
   OR(
      INDIRECT("'1a. Input organisatieniveau'!AC" &amp; (7 + INT((ROW()-4)/7)))="",
      INDIRECT("'1a. Input organisatieniveau'!AC" &amp; (7 + INT((ROW()-4)/7)))=0
   ),
   "",
   INDIRECT("'1a. Input organisatieniveau'!AC" &amp; (7 + INT((ROW()-4)/7)))
))</f>
        <v/>
      </c>
      <c r="C46" s="324" t="s">
        <v>779</v>
      </c>
      <c r="D46" s="416"/>
      <c r="E46" s="428"/>
      <c r="F46" s="422" t="str">
        <f t="shared" ref="F46:U46" ca="1" si="6">IF($B47="","",
IF($D48="Gebruik % van maximum salaris",
 IF(OR(AND(AND(F47&lt;&gt;"",F48&lt;&gt;""),F50=""),AND(F50="",F51&lt;&gt;"")),"!",""),
 IF(OR(AND(AND(F47&lt;&gt;"",F49&lt;&gt;""),F50=""),AND(F50="",F51&lt;&gt;"")),"!","")))</f>
        <v/>
      </c>
      <c r="G46" s="422" t="str">
        <f t="shared" ca="1" si="6"/>
        <v/>
      </c>
      <c r="H46" s="422" t="str">
        <f t="shared" ca="1" si="6"/>
        <v/>
      </c>
      <c r="I46" s="422" t="str">
        <f t="shared" ca="1" si="6"/>
        <v/>
      </c>
      <c r="J46" s="422" t="str">
        <f t="shared" ca="1" si="6"/>
        <v/>
      </c>
      <c r="K46" s="422" t="str">
        <f t="shared" ca="1" si="6"/>
        <v/>
      </c>
      <c r="L46" s="422" t="str">
        <f t="shared" ca="1" si="6"/>
        <v/>
      </c>
      <c r="M46" s="422" t="str">
        <f t="shared" ca="1" si="6"/>
        <v/>
      </c>
      <c r="N46" s="422" t="str">
        <f t="shared" ca="1" si="6"/>
        <v/>
      </c>
      <c r="O46" s="422" t="str">
        <f t="shared" ca="1" si="6"/>
        <v/>
      </c>
      <c r="P46" s="422" t="str">
        <f t="shared" ca="1" si="6"/>
        <v/>
      </c>
      <c r="Q46" s="422" t="str">
        <f t="shared" ca="1" si="6"/>
        <v/>
      </c>
      <c r="R46" s="422" t="str">
        <f t="shared" ca="1" si="6"/>
        <v/>
      </c>
      <c r="S46" s="422" t="str">
        <f t="shared" ca="1" si="6"/>
        <v/>
      </c>
      <c r="T46" s="422" t="str">
        <f t="shared" ca="1" si="6"/>
        <v/>
      </c>
      <c r="U46" s="422" t="str">
        <f t="shared" ca="1" si="6"/>
        <v/>
      </c>
      <c r="V46" s="416"/>
      <c r="W46" s="416"/>
      <c r="X46" s="619"/>
      <c r="Y46" s="416"/>
      <c r="Z46" s="330"/>
      <c r="AA46" s="354"/>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9" ht="16.05" customHeight="1" thickBot="1" x14ac:dyDescent="0.5">
      <c r="A47" s="289"/>
      <c r="B47" s="586" t="str">
        <f ca="1">IF(
   OR(
      INDIRECT("'1a. Input organisatieniveau'!AA" &amp; (7 + INT((ROW()-4)/7)))="",
      INDIRECT("'1a. Input organisatieniveau'!AA" &amp; (7 + INT((ROW()-4)/7)))=0
   ),
   "",
   INDIRECT("'1a. Input organisatieniveau'!AA" &amp; (7 + INT((ROW()-4)/7)))
)</f>
        <v/>
      </c>
      <c r="C47" s="325" t="s">
        <v>779</v>
      </c>
      <c r="D47" s="434"/>
      <c r="E47" s="429" t="s">
        <v>28</v>
      </c>
      <c r="F47" s="423" t="str">
        <f ca="1">IF($B47="", "", IF($BF50, IF('Hulp (CAO''s)'!J$8&lt;&gt;"",'Hulp (CAO''s)'!J$8,""), INDEX('Hulp (CAO''s)'!J$3:J$7, MATCH(TRUE, 'Hulp (CAO''s)'!$D$3:$D$7, 0))))</f>
        <v/>
      </c>
      <c r="G47" s="423" t="str">
        <f ca="1">IF($B47="", "", IF($BF50, IF('Hulp (CAO''s)'!K$8&lt;&gt;"",'Hulp (CAO''s)'!K$8,""), INDEX('Hulp (CAO''s)'!K$3:K$7, MATCH(TRUE, 'Hulp (CAO''s)'!$D$3:$D$7, 0))))</f>
        <v/>
      </c>
      <c r="H47" s="423" t="str">
        <f ca="1">IF($B47="", "", IF($BF50, IF('Hulp (CAO''s)'!L$8&lt;&gt;"",'Hulp (CAO''s)'!L$8,""), INDEX('Hulp (CAO''s)'!L$3:L$7, MATCH(TRUE, 'Hulp (CAO''s)'!$D$3:$D$7, 0))))</f>
        <v/>
      </c>
      <c r="I47" s="423" t="str">
        <f ca="1">IF($B47="", "", IF($BF50, IF('Hulp (CAO''s)'!M$8&lt;&gt;"",'Hulp (CAO''s)'!M$8,""), INDEX('Hulp (CAO''s)'!M$3:M$7, MATCH(TRUE, 'Hulp (CAO''s)'!$D$3:$D$7, 0))))</f>
        <v/>
      </c>
      <c r="J47" s="423" t="str">
        <f ca="1">IF($B47="", "", IF($BF50, IF('Hulp (CAO''s)'!N$8&lt;&gt;"",'Hulp (CAO''s)'!N$8,""), INDEX('Hulp (CAO''s)'!N$3:N$7, MATCH(TRUE, 'Hulp (CAO''s)'!$D$3:$D$7, 0))))</f>
        <v/>
      </c>
      <c r="K47" s="423" t="str">
        <f ca="1">IF($B47="", "", IF($BF50, IF('Hulp (CAO''s)'!O$8&lt;&gt;"",'Hulp (CAO''s)'!O$8,""), INDEX('Hulp (CAO''s)'!O$3:O$7, MATCH(TRUE, 'Hulp (CAO''s)'!$D$3:$D$7, 0))))</f>
        <v/>
      </c>
      <c r="L47" s="423" t="str">
        <f ca="1">IF($B47="", "", IF($BF50, IF('Hulp (CAO''s)'!P$8&lt;&gt;"",'Hulp (CAO''s)'!P$8,""), INDEX('Hulp (CAO''s)'!P$3:P$7, MATCH(TRUE, 'Hulp (CAO''s)'!$D$3:$D$7, 0))))</f>
        <v/>
      </c>
      <c r="M47" s="423" t="str">
        <f ca="1">IF($B47="", "", IF($BF50, IF('Hulp (CAO''s)'!Q$8&lt;&gt;"",'Hulp (CAO''s)'!Q$8,""), INDEX('Hulp (CAO''s)'!Q$3:Q$7, MATCH(TRUE, 'Hulp (CAO''s)'!$D$3:$D$7, 0))))</f>
        <v/>
      </c>
      <c r="N47" s="423" t="str">
        <f ca="1">IF($B47="", "", IF($BF50, IF('Hulp (CAO''s)'!R$8&lt;&gt;"",'Hulp (CAO''s)'!R$8,""), INDEX('Hulp (CAO''s)'!R$3:R$7, MATCH(TRUE, 'Hulp (CAO''s)'!$D$3:$D$7, 0))))</f>
        <v/>
      </c>
      <c r="O47" s="423" t="str">
        <f ca="1">IF($B47="", "", IF($BF50, IF('Hulp (CAO''s)'!S$8&lt;&gt;"",'Hulp (CAO''s)'!S$8,""), INDEX('Hulp (CAO''s)'!S$3:S$7, MATCH(TRUE, 'Hulp (CAO''s)'!$D$3:$D$7, 0))))</f>
        <v/>
      </c>
      <c r="P47" s="423" t="str">
        <f ca="1">IF($B47="", "", IF($BF50, IF('Hulp (CAO''s)'!T$8&lt;&gt;"",'Hulp (CAO''s)'!T$8,""), INDEX('Hulp (CAO''s)'!T$3:T$7, MATCH(TRUE, 'Hulp (CAO''s)'!$D$3:$D$7, 0))))</f>
        <v/>
      </c>
      <c r="Q47" s="423" t="str">
        <f ca="1">IF($B47="", "", IF($BF50, IF('Hulp (CAO''s)'!U$8&lt;&gt;"",'Hulp (CAO''s)'!U$8,""), INDEX('Hulp (CAO''s)'!U$3:U$7, MATCH(TRUE, 'Hulp (CAO''s)'!$D$3:$D$7, 0))))</f>
        <v/>
      </c>
      <c r="R47" s="423" t="str">
        <f ca="1">IF($B47="", "", IF($BF50, IF('Hulp (CAO''s)'!V$8&lt;&gt;"",'Hulp (CAO''s)'!V$8,""), INDEX('Hulp (CAO''s)'!V$3:V$7, MATCH(TRUE, 'Hulp (CAO''s)'!$D$3:$D$7, 0))))</f>
        <v/>
      </c>
      <c r="S47" s="423" t="str">
        <f ca="1">IF($B47="", "", IF($BF50, IF('Hulp (CAO''s)'!W$8&lt;&gt;"",'Hulp (CAO''s)'!W$8,""), INDEX('Hulp (CAO''s)'!W$3:W$7, MATCH(TRUE, 'Hulp (CAO''s)'!$D$3:$D$7, 0))))</f>
        <v/>
      </c>
      <c r="T47" s="423" t="str">
        <f ca="1">IF($B47="", "", IF($BF50, IF('Hulp (CAO''s)'!X$8&lt;&gt;"",'Hulp (CAO''s)'!X$8,""), INDEX('Hulp (CAO''s)'!X$3:X$7, MATCH(TRUE, 'Hulp (CAO''s)'!$D$3:$D$7, 0))))</f>
        <v/>
      </c>
      <c r="U47" s="424" t="str">
        <f ca="1">IF($B47="", "", IF($BF50, IF('Hulp (CAO''s)'!Y$8&lt;&gt;"",'Hulp (CAO''s)'!Y$8,""), INDEX('Hulp (CAO''s)'!Y$3:Y$7, MATCH(TRUE, 'Hulp (CAO''s)'!$D$3:$D$7, 0))))</f>
        <v/>
      </c>
      <c r="V47" s="417"/>
      <c r="W47" s="343"/>
      <c r="X47" s="617"/>
      <c r="Y47" s="343"/>
      <c r="Z47" s="329"/>
      <c r="AA47" s="320"/>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9" ht="16.05" customHeight="1" x14ac:dyDescent="0.45">
      <c r="A48" s="289"/>
      <c r="B48" s="343"/>
      <c r="C48" s="325" t="s">
        <v>779</v>
      </c>
      <c r="D48" s="772" t="s">
        <v>772</v>
      </c>
      <c r="E48" s="430" t="e">
        <f ca="1">IF($BF50, "", "% t.o.v. max salaris in de schaal")</f>
        <v>#VALUE!</v>
      </c>
      <c r="F48" s="615"/>
      <c r="G48" s="615"/>
      <c r="H48" s="615"/>
      <c r="I48" s="615"/>
      <c r="J48" s="615"/>
      <c r="K48" s="615"/>
      <c r="L48" s="615"/>
      <c r="M48" s="615"/>
      <c r="N48" s="615"/>
      <c r="O48" s="615"/>
      <c r="P48" s="615"/>
      <c r="Q48" s="615"/>
      <c r="R48" s="615"/>
      <c r="S48" s="615"/>
      <c r="T48" s="615"/>
      <c r="U48" s="616"/>
      <c r="V48" s="774" t="s">
        <v>884</v>
      </c>
      <c r="W48" s="332"/>
      <c r="X48" s="776" t="s">
        <v>882</v>
      </c>
      <c r="Y48" s="778" t="s">
        <v>883</v>
      </c>
      <c r="Z48" s="329"/>
      <c r="AA48" s="771" t="s">
        <v>780</v>
      </c>
      <c r="AB48" s="770" t="s">
        <v>1079</v>
      </c>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9" ht="16.05" customHeight="1" thickBot="1" x14ac:dyDescent="0.5">
      <c r="A49" s="289"/>
      <c r="B49" s="343"/>
      <c r="C49" s="325" t="s">
        <v>779</v>
      </c>
      <c r="D49" s="773"/>
      <c r="E49" s="431" t="e">
        <f ca="1">IF($BF50, "", "Trede (gemiddeld)")</f>
        <v>#VALUE!</v>
      </c>
      <c r="F49" s="737"/>
      <c r="G49" s="737"/>
      <c r="H49" s="737"/>
      <c r="I49" s="737"/>
      <c r="J49" s="737"/>
      <c r="K49" s="737"/>
      <c r="L49" s="737"/>
      <c r="M49" s="737"/>
      <c r="N49" s="737"/>
      <c r="O49" s="737"/>
      <c r="P49" s="737"/>
      <c r="Q49" s="737"/>
      <c r="R49" s="737"/>
      <c r="S49" s="737"/>
      <c r="T49" s="737"/>
      <c r="U49" s="740"/>
      <c r="V49" s="775"/>
      <c r="W49" s="294"/>
      <c r="X49" s="777"/>
      <c r="Y49" s="779"/>
      <c r="Z49" s="329"/>
      <c r="AA49" s="771"/>
      <c r="AB49" s="770"/>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9" ht="16.05" customHeight="1" thickBot="1" x14ac:dyDescent="0.5">
      <c r="A50" s="289"/>
      <c r="B50" s="343"/>
      <c r="C50" s="325" t="s">
        <v>779</v>
      </c>
      <c r="E50" s="432" t="str">
        <f>IFERROR(
   INDEX('Hulp (CAO''s)'!$I$3:$I$7, MATCH(TRUE, 'Hulp (CAO''s)'!$D$3:$D$7, 0)),
"")</f>
        <v>Bruto maandsalaris</v>
      </c>
      <c r="F50" s="425" t="e" cm="1">
        <f t="array" aca="1" ref="F50" ca="1">IF($BF50, IF(F47="","",
   INDEX(
      INDIRECT("'" &amp; 'Hulp (CAO''s)'!$AE$8 &amp; "'!" &amp;
               'Hulp (overig)'!$C$17 &amp; "1:" &amp;
               'Hulp (overig)'!$C$17 &amp; "1000"),
      MATCH(
         F47,
         INDIRECT("'" &amp; 'Hulp (CAO''s)'!$AE$8 &amp; "'!A1:A1000"),
         0
      )
   )
), IF($D48="Gebruik % van maximum salaris",
IF(
    OR(F47="",F48=""),
    "",
    MAX(
        INDIRECT(
            "'" &amp; 'Hulp (overig)'!$C$16 &amp; "'!" &amp;
            'Hulp (overig)'!$C$17 &amp;
            MATCH(F47, INDIRECT("'" &amp; 'Hulp (overig)'!$C$16 &amp; "'!A1:A1000"), 0) &amp;
            ":" &amp;
            'Hulp (overig)'!$C$17 &amp;
LOOKUP(
    2,
    1 / (
        (ROW(INDIRECT("'" &amp; 'Hulp (overig)'!$C$16 &amp; "'!B1:B1000")) &lt;
            IF(G47&lt;&gt;"",
               MATCH(G47, INDIRECT("'" &amp; 'Hulp (overig)'!$C$16 &amp; "'!A1:A1000"),0),
               1000
            )
        ) *
        (LEFT(TRIM(INDIRECT("'" &amp; 'Hulp (overig)'!$C$16 &amp; "'!B1:B1000")),1) &lt;&gt; "u")
    ),
    ROW(INDIRECT("'" &amp; 'Hulp (overig)'!$C$16 &amp; "'!B1:B1000"))
)
        )
    ) * F48
),
IF(F49="","",
IF(
    IFERROR(MIN(
        IF(
            (TRIM(INDIRECT("'" &amp; 'Hulp (overig)'!$C$16 &amp; "'!B1:B1000")) = TEXT(F49,"0")) *
            (ROW(INDIRECT("'" &amp; 'Hulp (overig)'!$C$16 &amp; "'!B1:B1000")) &gt;= MATCH(
                F47,
                INDIRECT("'" &amp; 'Hulp (overig)'!$C$16 &amp; "'!A1:A1000"),
                0
            )) *
            IF(
                G47="",
                1,
                (ROW(INDIRECT("'" &amp; 'Hulp (overig)'!$C$16 &amp; "'!B1:B1000")) &lt; MATCH(
                    G47,
                    INDIRECT("'" &amp; 'Hulp (overig)'!$C$16 &amp; "'!A1:A1000"),
                    0
                ))
            ),
            ROW(INDIRECT("'" &amp; 'Hulp (overig)'!$C$16 &amp; "'!B1:B1000"))
        )
    ),0) &lt; 1,
    "",
    IF(INDEX(
        INDIRECT("'" &amp; 'Hulp (overig)'!$C$16 &amp; "'!" &amp;
        'Hulp (overig)'!$C$17 &amp; "1:" &amp; 'Hulp (overig)'!$C$17 &amp; 1000
        ),
        IFERROR(MIN(
            IF(
                (TRIM(INDIRECT("'" &amp; 'Hulp (overig)'!$C$16 &amp; "'!B1:B1000")) = TEXT(F49,"0")) *
                (ROW(INDIRECT("'" &amp; 'Hulp (overig)'!$C$16 &amp; "'!B1:B1000")) &gt;= MATCH(
                    F47,
                    INDIRECT("'" &amp; 'Hulp (overig)'!$C$16 &amp; "'!A1:A1000"),
                    0
                )) *
                IF(
                    G47="",
                    1,
                    (ROW(INDIRECT("'" &amp; 'Hulp (overig)'!$C$16 &amp; "'!B1:B1000")) &lt; MATCH(
                        G47,
                        INDIRECT("'" &amp; 'Hulp (overig)'!$C$16 &amp; "'!A1:A1000"),
                        0
                    ))
                ),
                ROW(INDIRECT("'" &amp; 'Hulp (overig)'!$C$16 &amp; "'!B1:B1000"))
            )
        ),0)
    )=0,"",
INDEX(
        INDIRECT("'" &amp; 'Hulp (overig)'!$C$16 &amp; "'!" &amp;
        'Hulp (overig)'!$C$17 &amp; "1:" &amp; 'Hulp (overig)'!$C$17 &amp; 1000
        ),
        IFERROR(MIN(
            IF(
                (TRIM(INDIRECT("'" &amp; 'Hulp (overig)'!$C$16 &amp; "'!B1:B1000")) = TEXT(F49,"0")) *
                (ROW(INDIRECT("'" &amp; 'Hulp (overig)'!$C$16 &amp; "'!B1:B1000")) &gt;= MATCH(
                    F47,
                    INDIRECT("'" &amp; 'Hulp (overig)'!$C$16 &amp; "'!A1:A1000"),
                    0
                )) *
                IF(
                    G47="",
                    1,
                    (ROW(INDIRECT("'" &amp; 'Hulp (overig)'!$C$16 &amp; "'!B1:B1000")) &lt; MATCH(
                        G47,
                        INDIRECT("'" &amp; 'Hulp (overig)'!$C$16 &amp; "'!A1:A1000"),
                        0
                    ))
                ),
                ROW(INDIRECT("'" &amp; 'Hulp (overig)'!$C$16 &amp; "'!B1:B1000"))
            )
        ),0)
    ))
))))</f>
        <v>#VALUE!</v>
      </c>
      <c r="G50" s="425" t="e" cm="1">
        <f t="array" aca="1" ref="G50" ca="1">IF($BF50, IF(G47="","",
   INDEX(
      INDIRECT("'" &amp; 'Hulp (CAO''s)'!$AE$8 &amp; "'!" &amp;
               'Hulp (overig)'!$C$17 &amp; "1:" &amp;
               'Hulp (overig)'!$C$17 &amp; "1000"),
      MATCH(
         G47,
         INDIRECT("'" &amp; 'Hulp (CAO''s)'!$AE$8 &amp; "'!A1:A1000"),
         0
      )
   )
), IF($D48="Gebruik % van maximum salaris",
IF(
    OR(G47="",G48=""),
    "",
    MAX(
        INDIRECT(
            "'" &amp; 'Hulp (overig)'!$C$16 &amp; "'!" &amp;
            'Hulp (overig)'!$C$17 &amp;
            MATCH(G47, INDIRECT("'" &amp; 'Hulp (overig)'!$C$16 &amp; "'!A1:A1000"), 0) &amp;
            ":" &amp;
            'Hulp (overig)'!$C$17 &amp;
LOOKUP(
    2,
    1 / (
        (ROW(INDIRECT("'" &amp; 'Hulp (overig)'!$C$16 &amp; "'!B1:B1000")) &lt;
            IF(H47&lt;&gt;"",
               MATCH(H47, INDIRECT("'" &amp; 'Hulp (overig)'!$C$16 &amp; "'!A1:A1000"),0),
               1000
            )
        ) *
        (LEFT(TRIM(INDIRECT("'" &amp; 'Hulp (overig)'!$C$16 &amp; "'!B1:B1000")),1) &lt;&gt; "u")
    ),
    ROW(INDIRECT("'" &amp; 'Hulp (overig)'!$C$16 &amp; "'!B1:B1000"))
)
        )
    ) * G48
),
IF(G49="","",
IF(
    IFERROR(MIN(
        IF(
            (TRIM(INDIRECT("'" &amp; 'Hulp (overig)'!$C$16 &amp; "'!B1:B1000")) = TEXT(G49,"0")) *
            (ROW(INDIRECT("'" &amp; 'Hulp (overig)'!$C$16 &amp; "'!B1:B1000")) &gt;= MATCH(
                G47,
                INDIRECT("'" &amp; 'Hulp (overig)'!$C$16 &amp; "'!A1:A1000"),
                0
            )) *
            IF(
                H47="",
                1,
                (ROW(INDIRECT("'" &amp; 'Hulp (overig)'!$C$16 &amp; "'!B1:B1000")) &lt; MATCH(
                    H47,
                    INDIRECT("'" &amp; 'Hulp (overig)'!$C$16 &amp; "'!A1:A1000"),
                    0
                ))
            ),
            ROW(INDIRECT("'" &amp; 'Hulp (overig)'!$C$16 &amp; "'!B1:B1000"))
        )
    ),0) &lt; 1,
    "",
    IF(INDEX(
        INDIRECT("'" &amp; 'Hulp (overig)'!$C$16 &amp; "'!" &amp;
        'Hulp (overig)'!$C$17 &amp; "1:" &amp; 'Hulp (overig)'!$C$17 &amp; 1000
        ),
        IFERROR(MIN(
            IF(
                (TRIM(INDIRECT("'" &amp; 'Hulp (overig)'!$C$16 &amp; "'!B1:B1000")) = TEXT(G49,"0")) *
                (ROW(INDIRECT("'" &amp; 'Hulp (overig)'!$C$16 &amp; "'!B1:B1000")) &gt;= MATCH(
                    G47,
                    INDIRECT("'" &amp; 'Hulp (overig)'!$C$16 &amp; "'!A1:A1000"),
                    0
                )) *
                IF(
                    H47="",
                    1,
                    (ROW(INDIRECT("'" &amp; 'Hulp (overig)'!$C$16 &amp; "'!B1:B1000")) &lt; MATCH(
                        H47,
                        INDIRECT("'" &amp; 'Hulp (overig)'!$C$16 &amp; "'!A1:A1000"),
                        0
                    ))
                ),
                ROW(INDIRECT("'" &amp; 'Hulp (overig)'!$C$16 &amp; "'!B1:B1000"))
            )
        ),0)
    )=0,"",
INDEX(
        INDIRECT("'" &amp; 'Hulp (overig)'!$C$16 &amp; "'!" &amp;
        'Hulp (overig)'!$C$17 &amp; "1:" &amp; 'Hulp (overig)'!$C$17 &amp; 1000
        ),
        IFERROR(MIN(
            IF(
                (TRIM(INDIRECT("'" &amp; 'Hulp (overig)'!$C$16 &amp; "'!B1:B1000")) = TEXT(G49,"0")) *
                (ROW(INDIRECT("'" &amp; 'Hulp (overig)'!$C$16 &amp; "'!B1:B1000")) &gt;= MATCH(
                    G47,
                    INDIRECT("'" &amp; 'Hulp (overig)'!$C$16 &amp; "'!A1:A1000"),
                    0
                )) *
                IF(
                    H47="",
                    1,
                    (ROW(INDIRECT("'" &amp; 'Hulp (overig)'!$C$16 &amp; "'!B1:B1000")) &lt; MATCH(
                        H47,
                        INDIRECT("'" &amp; 'Hulp (overig)'!$C$16 &amp; "'!A1:A1000"),
                        0
                    ))
                ),
                ROW(INDIRECT("'" &amp; 'Hulp (overig)'!$C$16 &amp; "'!B1:B1000"))
            )
        ),0)
    ))
))))</f>
        <v>#VALUE!</v>
      </c>
      <c r="H50" s="425" t="e" cm="1">
        <f t="array" aca="1" ref="H50" ca="1">IF($BF50, IF(H47="","",
   INDEX(
      INDIRECT("'" &amp; 'Hulp (CAO''s)'!$AE$8 &amp; "'!" &amp;
               'Hulp (overig)'!$C$17 &amp; "1:" &amp;
               'Hulp (overig)'!$C$17 &amp; "1000"),
      MATCH(
         H47,
         INDIRECT("'" &amp; 'Hulp (CAO''s)'!$AE$8 &amp; "'!A1:A1000"),
         0
      )
   )
), IF($D48="Gebruik % van maximum salaris",
IF(
    OR(H47="",H48=""),
    "",
    MAX(
        INDIRECT(
            "'" &amp; 'Hulp (overig)'!$C$16 &amp; "'!" &amp;
            'Hulp (overig)'!$C$17 &amp;
            MATCH(H47, INDIRECT("'" &amp; 'Hulp (overig)'!$C$16 &amp; "'!A1:A1000"), 0) &amp;
            ":" &amp;
            'Hulp (overig)'!$C$17 &amp;
LOOKUP(
    2,
    1 / (
        (ROW(INDIRECT("'" &amp; 'Hulp (overig)'!$C$16 &amp; "'!B1:B1000")) &lt;
            IF(I47&lt;&gt;"",
               MATCH(I47, INDIRECT("'" &amp; 'Hulp (overig)'!$C$16 &amp; "'!A1:A1000"),0),
               1000
            )
        ) *
        (LEFT(TRIM(INDIRECT("'" &amp; 'Hulp (overig)'!$C$16 &amp; "'!B1:B1000")),1) &lt;&gt; "u")
    ),
    ROW(INDIRECT("'" &amp; 'Hulp (overig)'!$C$16 &amp; "'!B1:B1000"))
)
        )
    ) * H48
),
IF(H49="","",
IF(
    IFERROR(MIN(
        IF(
            (TRIM(INDIRECT("'" &amp; 'Hulp (overig)'!$C$16 &amp; "'!B1:B1000")) = TEXT(H49,"0")) *
            (ROW(INDIRECT("'" &amp; 'Hulp (overig)'!$C$16 &amp; "'!B1:B1000")) &gt;= MATCH(
                H47,
                INDIRECT("'" &amp; 'Hulp (overig)'!$C$16 &amp; "'!A1:A1000"),
                0
            )) *
            IF(
                I47="",
                1,
                (ROW(INDIRECT("'" &amp; 'Hulp (overig)'!$C$16 &amp; "'!B1:B1000")) &lt; MATCH(
                    I47,
                    INDIRECT("'" &amp; 'Hulp (overig)'!$C$16 &amp; "'!A1:A1000"),
                    0
                ))
            ),
            ROW(INDIRECT("'" &amp; 'Hulp (overig)'!$C$16 &amp; "'!B1:B1000"))
        )
    ),0) &lt; 1,
    "",
    IF(INDEX(
        INDIRECT("'" &amp; 'Hulp (overig)'!$C$16 &amp; "'!" &amp;
        'Hulp (overig)'!$C$17 &amp; "1:" &amp; 'Hulp (overig)'!$C$17 &amp; 1000
        ),
        IFERROR(MIN(
            IF(
                (TRIM(INDIRECT("'" &amp; 'Hulp (overig)'!$C$16 &amp; "'!B1:B1000")) = TEXT(H49,"0")) *
                (ROW(INDIRECT("'" &amp; 'Hulp (overig)'!$C$16 &amp; "'!B1:B1000")) &gt;= MATCH(
                    H47,
                    INDIRECT("'" &amp; 'Hulp (overig)'!$C$16 &amp; "'!A1:A1000"),
                    0
                )) *
                IF(
                    I47="",
                    1,
                    (ROW(INDIRECT("'" &amp; 'Hulp (overig)'!$C$16 &amp; "'!B1:B1000")) &lt; MATCH(
                        I47,
                        INDIRECT("'" &amp; 'Hulp (overig)'!$C$16 &amp; "'!A1:A1000"),
                        0
                    ))
                ),
                ROW(INDIRECT("'" &amp; 'Hulp (overig)'!$C$16 &amp; "'!B1:B1000"))
            )
        ),0)
    )=0,"",
INDEX(
        INDIRECT("'" &amp; 'Hulp (overig)'!$C$16 &amp; "'!" &amp;
        'Hulp (overig)'!$C$17 &amp; "1:" &amp; 'Hulp (overig)'!$C$17 &amp; 1000
        ),
        IFERROR(MIN(
            IF(
                (TRIM(INDIRECT("'" &amp; 'Hulp (overig)'!$C$16 &amp; "'!B1:B1000")) = TEXT(H49,"0")) *
                (ROW(INDIRECT("'" &amp; 'Hulp (overig)'!$C$16 &amp; "'!B1:B1000")) &gt;= MATCH(
                    H47,
                    INDIRECT("'" &amp; 'Hulp (overig)'!$C$16 &amp; "'!A1:A1000"),
                    0
                )) *
                IF(
                    I47="",
                    1,
                    (ROW(INDIRECT("'" &amp; 'Hulp (overig)'!$C$16 &amp; "'!B1:B1000")) &lt; MATCH(
                        I47,
                        INDIRECT("'" &amp; 'Hulp (overig)'!$C$16 &amp; "'!A1:A1000"),
                        0
                    ))
                ),
                ROW(INDIRECT("'" &amp; 'Hulp (overig)'!$C$16 &amp; "'!B1:B1000"))
            )
        ),0)
    ))
))))</f>
        <v>#VALUE!</v>
      </c>
      <c r="I50" s="425" t="e" cm="1">
        <f t="array" aca="1" ref="I50" ca="1">IF($BF50, IF(I47="","",
   INDEX(
      INDIRECT("'" &amp; 'Hulp (CAO''s)'!$AE$8 &amp; "'!" &amp;
               'Hulp (overig)'!$C$17 &amp; "1:" &amp;
               'Hulp (overig)'!$C$17 &amp; "1000"),
      MATCH(
         I47,
         INDIRECT("'" &amp; 'Hulp (CAO''s)'!$AE$8 &amp; "'!A1:A1000"),
         0
      )
   )
), IF($D48="Gebruik % van maximum salaris",
IF(
    OR(I47="",I48=""),
    "",
    MAX(
        INDIRECT(
            "'" &amp; 'Hulp (overig)'!$C$16 &amp; "'!" &amp;
            'Hulp (overig)'!$C$17 &amp;
            MATCH(I47, INDIRECT("'" &amp; 'Hulp (overig)'!$C$16 &amp; "'!A1:A1000"), 0) &amp;
            ":" &amp;
            'Hulp (overig)'!$C$17 &amp;
LOOKUP(
    2,
    1 / (
        (ROW(INDIRECT("'" &amp; 'Hulp (overig)'!$C$16 &amp; "'!B1:B1000")) &lt;
            IF(J47&lt;&gt;"",
               MATCH(J47, INDIRECT("'" &amp; 'Hulp (overig)'!$C$16 &amp; "'!A1:A1000"),0),
               1000
            )
        ) *
        (LEFT(TRIM(INDIRECT("'" &amp; 'Hulp (overig)'!$C$16 &amp; "'!B1:B1000")),1) &lt;&gt; "u")
    ),
    ROW(INDIRECT("'" &amp; 'Hulp (overig)'!$C$16 &amp; "'!B1:B1000"))
)
        )
    ) * I48
),
IF(I49="","",
IF(
    IFERROR(MIN(
        IF(
            (TRIM(INDIRECT("'" &amp; 'Hulp (overig)'!$C$16 &amp; "'!B1:B1000")) = TEXT(I49,"0")) *
            (ROW(INDIRECT("'" &amp; 'Hulp (overig)'!$C$16 &amp; "'!B1:B1000")) &gt;= MATCH(
                I47,
                INDIRECT("'" &amp; 'Hulp (overig)'!$C$16 &amp; "'!A1:A1000"),
                0
            )) *
            IF(
                J47="",
                1,
                (ROW(INDIRECT("'" &amp; 'Hulp (overig)'!$C$16 &amp; "'!B1:B1000")) &lt; MATCH(
                    J47,
                    INDIRECT("'" &amp; 'Hulp (overig)'!$C$16 &amp; "'!A1:A1000"),
                    0
                ))
            ),
            ROW(INDIRECT("'" &amp; 'Hulp (overig)'!$C$16 &amp; "'!B1:B1000"))
        )
    ),0) &lt; 1,
    "",
    IF(INDEX(
        INDIRECT("'" &amp; 'Hulp (overig)'!$C$16 &amp; "'!" &amp;
        'Hulp (overig)'!$C$17 &amp; "1:" &amp; 'Hulp (overig)'!$C$17 &amp; 1000
        ),
        IFERROR(MIN(
            IF(
                (TRIM(INDIRECT("'" &amp; 'Hulp (overig)'!$C$16 &amp; "'!B1:B1000")) = TEXT(I49,"0")) *
                (ROW(INDIRECT("'" &amp; 'Hulp (overig)'!$C$16 &amp; "'!B1:B1000")) &gt;= MATCH(
                    I47,
                    INDIRECT("'" &amp; 'Hulp (overig)'!$C$16 &amp; "'!A1:A1000"),
                    0
                )) *
                IF(
                    J47="",
                    1,
                    (ROW(INDIRECT("'" &amp; 'Hulp (overig)'!$C$16 &amp; "'!B1:B1000")) &lt; MATCH(
                        J47,
                        INDIRECT("'" &amp; 'Hulp (overig)'!$C$16 &amp; "'!A1:A1000"),
                        0
                    ))
                ),
                ROW(INDIRECT("'" &amp; 'Hulp (overig)'!$C$16 &amp; "'!B1:B1000"))
            )
        ),0)
    )=0,"",
INDEX(
        INDIRECT("'" &amp; 'Hulp (overig)'!$C$16 &amp; "'!" &amp;
        'Hulp (overig)'!$C$17 &amp; "1:" &amp; 'Hulp (overig)'!$C$17 &amp; 1000
        ),
        IFERROR(MIN(
            IF(
                (TRIM(INDIRECT("'" &amp; 'Hulp (overig)'!$C$16 &amp; "'!B1:B1000")) = TEXT(I49,"0")) *
                (ROW(INDIRECT("'" &amp; 'Hulp (overig)'!$C$16 &amp; "'!B1:B1000")) &gt;= MATCH(
                    I47,
                    INDIRECT("'" &amp; 'Hulp (overig)'!$C$16 &amp; "'!A1:A1000"),
                    0
                )) *
                IF(
                    J47="",
                    1,
                    (ROW(INDIRECT("'" &amp; 'Hulp (overig)'!$C$16 &amp; "'!B1:B1000")) &lt; MATCH(
                        J47,
                        INDIRECT("'" &amp; 'Hulp (overig)'!$C$16 &amp; "'!A1:A1000"),
                        0
                    ))
                ),
                ROW(INDIRECT("'" &amp; 'Hulp (overig)'!$C$16 &amp; "'!B1:B1000"))
            )
        ),0)
    ))
))))</f>
        <v>#VALUE!</v>
      </c>
      <c r="J50" s="425" t="e" cm="1">
        <f t="array" aca="1" ref="J50" ca="1">IF($BF50, IF(J47="","",
   INDEX(
      INDIRECT("'" &amp; 'Hulp (CAO''s)'!$AE$8 &amp; "'!" &amp;
               'Hulp (overig)'!$C$17 &amp; "1:" &amp;
               'Hulp (overig)'!$C$17 &amp; "1000"),
      MATCH(
         J47,
         INDIRECT("'" &amp; 'Hulp (CAO''s)'!$AE$8 &amp; "'!A1:A1000"),
         0
      )
   )
), IF($D48="Gebruik % van maximum salaris",
IF(
    OR(J47="",J48=""),
    "",
    MAX(
        INDIRECT(
            "'" &amp; 'Hulp (overig)'!$C$16 &amp; "'!" &amp;
            'Hulp (overig)'!$C$17 &amp;
            MATCH(J47, INDIRECT("'" &amp; 'Hulp (overig)'!$C$16 &amp; "'!A1:A1000"), 0) &amp;
            ":" &amp;
            'Hulp (overig)'!$C$17 &amp;
LOOKUP(
    2,
    1 / (
        (ROW(INDIRECT("'" &amp; 'Hulp (overig)'!$C$16 &amp; "'!B1:B1000")) &lt;
            IF(K47&lt;&gt;"",
               MATCH(K47, INDIRECT("'" &amp; 'Hulp (overig)'!$C$16 &amp; "'!A1:A1000"),0),
               1000
            )
        ) *
        (LEFT(TRIM(INDIRECT("'" &amp; 'Hulp (overig)'!$C$16 &amp; "'!B1:B1000")),1) &lt;&gt; "u")
    ),
    ROW(INDIRECT("'" &amp; 'Hulp (overig)'!$C$16 &amp; "'!B1:B1000"))
)
        )
    ) * J48
),
IF(J49="","",
IF(
    IFERROR(MIN(
        IF(
            (TRIM(INDIRECT("'" &amp; 'Hulp (overig)'!$C$16 &amp; "'!B1:B1000")) = TEXT(J49,"0")) *
            (ROW(INDIRECT("'" &amp; 'Hulp (overig)'!$C$16 &amp; "'!B1:B1000")) &gt;= MATCH(
                J47,
                INDIRECT("'" &amp; 'Hulp (overig)'!$C$16 &amp; "'!A1:A1000"),
                0
            )) *
            IF(
                K47="",
                1,
                (ROW(INDIRECT("'" &amp; 'Hulp (overig)'!$C$16 &amp; "'!B1:B1000")) &lt; MATCH(
                    K47,
                    INDIRECT("'" &amp; 'Hulp (overig)'!$C$16 &amp; "'!A1:A1000"),
                    0
                ))
            ),
            ROW(INDIRECT("'" &amp; 'Hulp (overig)'!$C$16 &amp; "'!B1:B1000"))
        )
    ),0) &lt; 1,
    "",
    IF(INDEX(
        INDIRECT("'" &amp; 'Hulp (overig)'!$C$16 &amp; "'!" &amp;
        'Hulp (overig)'!$C$17 &amp; "1:" &amp; 'Hulp (overig)'!$C$17 &amp; 1000
        ),
        IFERROR(MIN(
            IF(
                (TRIM(INDIRECT("'" &amp; 'Hulp (overig)'!$C$16 &amp; "'!B1:B1000")) = TEXT(J49,"0")) *
                (ROW(INDIRECT("'" &amp; 'Hulp (overig)'!$C$16 &amp; "'!B1:B1000")) &gt;= MATCH(
                    J47,
                    INDIRECT("'" &amp; 'Hulp (overig)'!$C$16 &amp; "'!A1:A1000"),
                    0
                )) *
                IF(
                    K47="",
                    1,
                    (ROW(INDIRECT("'" &amp; 'Hulp (overig)'!$C$16 &amp; "'!B1:B1000")) &lt; MATCH(
                        K47,
                        INDIRECT("'" &amp; 'Hulp (overig)'!$C$16 &amp; "'!A1:A1000"),
                        0
                    ))
                ),
                ROW(INDIRECT("'" &amp; 'Hulp (overig)'!$C$16 &amp; "'!B1:B1000"))
            )
        ),0)
    )=0,"",
INDEX(
        INDIRECT("'" &amp; 'Hulp (overig)'!$C$16 &amp; "'!" &amp;
        'Hulp (overig)'!$C$17 &amp; "1:" &amp; 'Hulp (overig)'!$C$17 &amp; 1000
        ),
        IFERROR(MIN(
            IF(
                (TRIM(INDIRECT("'" &amp; 'Hulp (overig)'!$C$16 &amp; "'!B1:B1000")) = TEXT(J49,"0")) *
                (ROW(INDIRECT("'" &amp; 'Hulp (overig)'!$C$16 &amp; "'!B1:B1000")) &gt;= MATCH(
                    J47,
                    INDIRECT("'" &amp; 'Hulp (overig)'!$C$16 &amp; "'!A1:A1000"),
                    0
                )) *
                IF(
                    K47="",
                    1,
                    (ROW(INDIRECT("'" &amp; 'Hulp (overig)'!$C$16 &amp; "'!B1:B1000")) &lt; MATCH(
                        K47,
                        INDIRECT("'" &amp; 'Hulp (overig)'!$C$16 &amp; "'!A1:A1000"),
                        0
                    ))
                ),
                ROW(INDIRECT("'" &amp; 'Hulp (overig)'!$C$16 &amp; "'!B1:B1000"))
            )
        ),0)
    ))
))))</f>
        <v>#VALUE!</v>
      </c>
      <c r="K50" s="425" t="e" cm="1">
        <f t="array" aca="1" ref="K50" ca="1">IF($BF50, IF(K47="","",
   INDEX(
      INDIRECT("'" &amp; 'Hulp (CAO''s)'!$AE$8 &amp; "'!" &amp;
               'Hulp (overig)'!$C$17 &amp; "1:" &amp;
               'Hulp (overig)'!$C$17 &amp; "1000"),
      MATCH(
         K47,
         INDIRECT("'" &amp; 'Hulp (CAO''s)'!$AE$8 &amp; "'!A1:A1000"),
         0
      )
   )
), IF($D48="Gebruik % van maximum salaris",
IF(
    OR(K47="",K48=""),
    "",
    MAX(
        INDIRECT(
            "'" &amp; 'Hulp (overig)'!$C$16 &amp; "'!" &amp;
            'Hulp (overig)'!$C$17 &amp;
            MATCH(K47, INDIRECT("'" &amp; 'Hulp (overig)'!$C$16 &amp; "'!A1:A1000"), 0) &amp;
            ":" &amp;
            'Hulp (overig)'!$C$17 &amp;
LOOKUP(
    2,
    1 / (
        (ROW(INDIRECT("'" &amp; 'Hulp (overig)'!$C$16 &amp; "'!B1:B1000")) &lt;
            IF(L47&lt;&gt;"",
               MATCH(L47, INDIRECT("'" &amp; 'Hulp (overig)'!$C$16 &amp; "'!A1:A1000"),0),
               1000
            )
        ) *
        (LEFT(TRIM(INDIRECT("'" &amp; 'Hulp (overig)'!$C$16 &amp; "'!B1:B1000")),1) &lt;&gt; "u")
    ),
    ROW(INDIRECT("'" &amp; 'Hulp (overig)'!$C$16 &amp; "'!B1:B1000"))
)
        )
    ) * K48
),
IF(K49="","",
IF(
    IFERROR(MIN(
        IF(
            (TRIM(INDIRECT("'" &amp; 'Hulp (overig)'!$C$16 &amp; "'!B1:B1000")) = TEXT(K49,"0")) *
            (ROW(INDIRECT("'" &amp; 'Hulp (overig)'!$C$16 &amp; "'!B1:B1000")) &gt;= MATCH(
                K47,
                INDIRECT("'" &amp; 'Hulp (overig)'!$C$16 &amp; "'!A1:A1000"),
                0
            )) *
            IF(
                L47="",
                1,
                (ROW(INDIRECT("'" &amp; 'Hulp (overig)'!$C$16 &amp; "'!B1:B1000")) &lt; MATCH(
                    L47,
                    INDIRECT("'" &amp; 'Hulp (overig)'!$C$16 &amp; "'!A1:A1000"),
                    0
                ))
            ),
            ROW(INDIRECT("'" &amp; 'Hulp (overig)'!$C$16 &amp; "'!B1:B1000"))
        )
    ),0) &lt; 1,
    "",
    IF(INDEX(
        INDIRECT("'" &amp; 'Hulp (overig)'!$C$16 &amp; "'!" &amp;
        'Hulp (overig)'!$C$17 &amp; "1:" &amp; 'Hulp (overig)'!$C$17 &amp; 1000
        ),
        IFERROR(MIN(
            IF(
                (TRIM(INDIRECT("'" &amp; 'Hulp (overig)'!$C$16 &amp; "'!B1:B1000")) = TEXT(K49,"0")) *
                (ROW(INDIRECT("'" &amp; 'Hulp (overig)'!$C$16 &amp; "'!B1:B1000")) &gt;= MATCH(
                    K47,
                    INDIRECT("'" &amp; 'Hulp (overig)'!$C$16 &amp; "'!A1:A1000"),
                    0
                )) *
                IF(
                    L47="",
                    1,
                    (ROW(INDIRECT("'" &amp; 'Hulp (overig)'!$C$16 &amp; "'!B1:B1000")) &lt; MATCH(
                        L47,
                        INDIRECT("'" &amp; 'Hulp (overig)'!$C$16 &amp; "'!A1:A1000"),
                        0
                    ))
                ),
                ROW(INDIRECT("'" &amp; 'Hulp (overig)'!$C$16 &amp; "'!B1:B1000"))
            )
        ),0)
    )=0,"",
INDEX(
        INDIRECT("'" &amp; 'Hulp (overig)'!$C$16 &amp; "'!" &amp;
        'Hulp (overig)'!$C$17 &amp; "1:" &amp; 'Hulp (overig)'!$C$17 &amp; 1000
        ),
        IFERROR(MIN(
            IF(
                (TRIM(INDIRECT("'" &amp; 'Hulp (overig)'!$C$16 &amp; "'!B1:B1000")) = TEXT(K49,"0")) *
                (ROW(INDIRECT("'" &amp; 'Hulp (overig)'!$C$16 &amp; "'!B1:B1000")) &gt;= MATCH(
                    K47,
                    INDIRECT("'" &amp; 'Hulp (overig)'!$C$16 &amp; "'!A1:A1000"),
                    0
                )) *
                IF(
                    L47="",
                    1,
                    (ROW(INDIRECT("'" &amp; 'Hulp (overig)'!$C$16 &amp; "'!B1:B1000")) &lt; MATCH(
                        L47,
                        INDIRECT("'" &amp; 'Hulp (overig)'!$C$16 &amp; "'!A1:A1000"),
                        0
                    ))
                ),
                ROW(INDIRECT("'" &amp; 'Hulp (overig)'!$C$16 &amp; "'!B1:B1000"))
            )
        ),0)
    ))
))))</f>
        <v>#VALUE!</v>
      </c>
      <c r="L50" s="425" t="e" cm="1">
        <f t="array" aca="1" ref="L50" ca="1">IF($BF50, IF(L47="","",
   INDEX(
      INDIRECT("'" &amp; 'Hulp (CAO''s)'!$AE$8 &amp; "'!" &amp;
               'Hulp (overig)'!$C$17 &amp; "1:" &amp;
               'Hulp (overig)'!$C$17 &amp; "1000"),
      MATCH(
         L47,
         INDIRECT("'" &amp; 'Hulp (CAO''s)'!$AE$8 &amp; "'!A1:A1000"),
         0
      )
   )
), IF($D48="Gebruik % van maximum salaris",
IF(
    OR(L47="",L48=""),
    "",
    MAX(
        INDIRECT(
            "'" &amp; 'Hulp (overig)'!$C$16 &amp; "'!" &amp;
            'Hulp (overig)'!$C$17 &amp;
            MATCH(L47, INDIRECT("'" &amp; 'Hulp (overig)'!$C$16 &amp; "'!A1:A1000"), 0) &amp;
            ":" &amp;
            'Hulp (overig)'!$C$17 &amp;
LOOKUP(
    2,
    1 / (
        (ROW(INDIRECT("'" &amp; 'Hulp (overig)'!$C$16 &amp; "'!B1:B1000")) &lt;
            IF(M47&lt;&gt;"",
               MATCH(M47, INDIRECT("'" &amp; 'Hulp (overig)'!$C$16 &amp; "'!A1:A1000"),0),
               1000
            )
        ) *
        (LEFT(TRIM(INDIRECT("'" &amp; 'Hulp (overig)'!$C$16 &amp; "'!B1:B1000")),1) &lt;&gt; "u")
    ),
    ROW(INDIRECT("'" &amp; 'Hulp (overig)'!$C$16 &amp; "'!B1:B1000"))
)
        )
    ) * L48
),
IF(L49="","",
IF(
    IFERROR(MIN(
        IF(
            (TRIM(INDIRECT("'" &amp; 'Hulp (overig)'!$C$16 &amp; "'!B1:B1000")) = TEXT(L49,"0")) *
            (ROW(INDIRECT("'" &amp; 'Hulp (overig)'!$C$16 &amp; "'!B1:B1000")) &gt;= MATCH(
                L47,
                INDIRECT("'" &amp; 'Hulp (overig)'!$C$16 &amp; "'!A1:A1000"),
                0
            )) *
            IF(
                M47="",
                1,
                (ROW(INDIRECT("'" &amp; 'Hulp (overig)'!$C$16 &amp; "'!B1:B1000")) &lt; MATCH(
                    M47,
                    INDIRECT("'" &amp; 'Hulp (overig)'!$C$16 &amp; "'!A1:A1000"),
                    0
                ))
            ),
            ROW(INDIRECT("'" &amp; 'Hulp (overig)'!$C$16 &amp; "'!B1:B1000"))
        )
    ),0) &lt; 1,
    "",
    IF(INDEX(
        INDIRECT("'" &amp; 'Hulp (overig)'!$C$16 &amp; "'!" &amp;
        'Hulp (overig)'!$C$17 &amp; "1:" &amp; 'Hulp (overig)'!$C$17 &amp; 1000
        ),
        IFERROR(MIN(
            IF(
                (TRIM(INDIRECT("'" &amp; 'Hulp (overig)'!$C$16 &amp; "'!B1:B1000")) = TEXT(L49,"0")) *
                (ROW(INDIRECT("'" &amp; 'Hulp (overig)'!$C$16 &amp; "'!B1:B1000")) &gt;= MATCH(
                    L47,
                    INDIRECT("'" &amp; 'Hulp (overig)'!$C$16 &amp; "'!A1:A1000"),
                    0
                )) *
                IF(
                    M47="",
                    1,
                    (ROW(INDIRECT("'" &amp; 'Hulp (overig)'!$C$16 &amp; "'!B1:B1000")) &lt; MATCH(
                        M47,
                        INDIRECT("'" &amp; 'Hulp (overig)'!$C$16 &amp; "'!A1:A1000"),
                        0
                    ))
                ),
                ROW(INDIRECT("'" &amp; 'Hulp (overig)'!$C$16 &amp; "'!B1:B1000"))
            )
        ),0)
    )=0,"",
INDEX(
        INDIRECT("'" &amp; 'Hulp (overig)'!$C$16 &amp; "'!" &amp;
        'Hulp (overig)'!$C$17 &amp; "1:" &amp; 'Hulp (overig)'!$C$17 &amp; 1000
        ),
        IFERROR(MIN(
            IF(
                (TRIM(INDIRECT("'" &amp; 'Hulp (overig)'!$C$16 &amp; "'!B1:B1000")) = TEXT(L49,"0")) *
                (ROW(INDIRECT("'" &amp; 'Hulp (overig)'!$C$16 &amp; "'!B1:B1000")) &gt;= MATCH(
                    L47,
                    INDIRECT("'" &amp; 'Hulp (overig)'!$C$16 &amp; "'!A1:A1000"),
                    0
                )) *
                IF(
                    M47="",
                    1,
                    (ROW(INDIRECT("'" &amp; 'Hulp (overig)'!$C$16 &amp; "'!B1:B1000")) &lt; MATCH(
                        M47,
                        INDIRECT("'" &amp; 'Hulp (overig)'!$C$16 &amp; "'!A1:A1000"),
                        0
                    ))
                ),
                ROW(INDIRECT("'" &amp; 'Hulp (overig)'!$C$16 &amp; "'!B1:B1000"))
            )
        ),0)
    ))
))))</f>
        <v>#VALUE!</v>
      </c>
      <c r="M50" s="425" t="e" cm="1">
        <f t="array" aca="1" ref="M50" ca="1">IF($BF50, IF(M47="","",
   INDEX(
      INDIRECT("'" &amp; 'Hulp (CAO''s)'!$AE$8 &amp; "'!" &amp;
               'Hulp (overig)'!$C$17 &amp; "1:" &amp;
               'Hulp (overig)'!$C$17 &amp; "1000"),
      MATCH(
         M47,
         INDIRECT("'" &amp; 'Hulp (CAO''s)'!$AE$8 &amp; "'!A1:A1000"),
         0
      )
   )
), IF($D48="Gebruik % van maximum salaris",
IF(
    OR(M47="",M48=""),
    "",
    MAX(
        INDIRECT(
            "'" &amp; 'Hulp (overig)'!$C$16 &amp; "'!" &amp;
            'Hulp (overig)'!$C$17 &amp;
            MATCH(M47, INDIRECT("'" &amp; 'Hulp (overig)'!$C$16 &amp; "'!A1:A1000"), 0) &amp;
            ":" &amp;
            'Hulp (overig)'!$C$17 &amp;
LOOKUP(
    2,
    1 / (
        (ROW(INDIRECT("'" &amp; 'Hulp (overig)'!$C$16 &amp; "'!B1:B1000")) &lt;
            IF(N47&lt;&gt;"",
               MATCH(N47, INDIRECT("'" &amp; 'Hulp (overig)'!$C$16 &amp; "'!A1:A1000"),0),
               1000
            )
        ) *
        (LEFT(TRIM(INDIRECT("'" &amp; 'Hulp (overig)'!$C$16 &amp; "'!B1:B1000")),1) &lt;&gt; "u")
    ),
    ROW(INDIRECT("'" &amp; 'Hulp (overig)'!$C$16 &amp; "'!B1:B1000"))
)
        )
    ) * M48
),
IF(M49="","",
IF(
    IFERROR(MIN(
        IF(
            (TRIM(INDIRECT("'" &amp; 'Hulp (overig)'!$C$16 &amp; "'!B1:B1000")) = TEXT(M49,"0")) *
            (ROW(INDIRECT("'" &amp; 'Hulp (overig)'!$C$16 &amp; "'!B1:B1000")) &gt;= MATCH(
                M47,
                INDIRECT("'" &amp; 'Hulp (overig)'!$C$16 &amp; "'!A1:A1000"),
                0
            )) *
            IF(
                N47="",
                1,
                (ROW(INDIRECT("'" &amp; 'Hulp (overig)'!$C$16 &amp; "'!B1:B1000")) &lt; MATCH(
                    N47,
                    INDIRECT("'" &amp; 'Hulp (overig)'!$C$16 &amp; "'!A1:A1000"),
                    0
                ))
            ),
            ROW(INDIRECT("'" &amp; 'Hulp (overig)'!$C$16 &amp; "'!B1:B1000"))
        )
    ),0) &lt; 1,
    "",
    IF(INDEX(
        INDIRECT("'" &amp; 'Hulp (overig)'!$C$16 &amp; "'!" &amp;
        'Hulp (overig)'!$C$17 &amp; "1:" &amp; 'Hulp (overig)'!$C$17 &amp; 1000
        ),
        IFERROR(MIN(
            IF(
                (TRIM(INDIRECT("'" &amp; 'Hulp (overig)'!$C$16 &amp; "'!B1:B1000")) = TEXT(M49,"0")) *
                (ROW(INDIRECT("'" &amp; 'Hulp (overig)'!$C$16 &amp; "'!B1:B1000")) &gt;= MATCH(
                    M47,
                    INDIRECT("'" &amp; 'Hulp (overig)'!$C$16 &amp; "'!A1:A1000"),
                    0
                )) *
                IF(
                    N47="",
                    1,
                    (ROW(INDIRECT("'" &amp; 'Hulp (overig)'!$C$16 &amp; "'!B1:B1000")) &lt; MATCH(
                        N47,
                        INDIRECT("'" &amp; 'Hulp (overig)'!$C$16 &amp; "'!A1:A1000"),
                        0
                    ))
                ),
                ROW(INDIRECT("'" &amp; 'Hulp (overig)'!$C$16 &amp; "'!B1:B1000"))
            )
        ),0)
    )=0,"",
INDEX(
        INDIRECT("'" &amp; 'Hulp (overig)'!$C$16 &amp; "'!" &amp;
        'Hulp (overig)'!$C$17 &amp; "1:" &amp; 'Hulp (overig)'!$C$17 &amp; 1000
        ),
        IFERROR(MIN(
            IF(
                (TRIM(INDIRECT("'" &amp; 'Hulp (overig)'!$C$16 &amp; "'!B1:B1000")) = TEXT(M49,"0")) *
                (ROW(INDIRECT("'" &amp; 'Hulp (overig)'!$C$16 &amp; "'!B1:B1000")) &gt;= MATCH(
                    M47,
                    INDIRECT("'" &amp; 'Hulp (overig)'!$C$16 &amp; "'!A1:A1000"),
                    0
                )) *
                IF(
                    N47="",
                    1,
                    (ROW(INDIRECT("'" &amp; 'Hulp (overig)'!$C$16 &amp; "'!B1:B1000")) &lt; MATCH(
                        N47,
                        INDIRECT("'" &amp; 'Hulp (overig)'!$C$16 &amp; "'!A1:A1000"),
                        0
                    ))
                ),
                ROW(INDIRECT("'" &amp; 'Hulp (overig)'!$C$16 &amp; "'!B1:B1000"))
            )
        ),0)
    ))
))))</f>
        <v>#VALUE!</v>
      </c>
      <c r="N50" s="425" t="e" cm="1">
        <f t="array" aca="1" ref="N50" ca="1">IF($BF50, IF(N47="","",
   INDEX(
      INDIRECT("'" &amp; 'Hulp (CAO''s)'!$AE$8 &amp; "'!" &amp;
               'Hulp (overig)'!$C$17 &amp; "1:" &amp;
               'Hulp (overig)'!$C$17 &amp; "1000"),
      MATCH(
         N47,
         INDIRECT("'" &amp; 'Hulp (CAO''s)'!$AE$8 &amp; "'!A1:A1000"),
         0
      )
   )
), IF($D48="Gebruik % van maximum salaris",
IF(
    OR(N47="",N48=""),
    "",
    MAX(
        INDIRECT(
            "'" &amp; 'Hulp (overig)'!$C$16 &amp; "'!" &amp;
            'Hulp (overig)'!$C$17 &amp;
            MATCH(N47, INDIRECT("'" &amp; 'Hulp (overig)'!$C$16 &amp; "'!A1:A1000"), 0) &amp;
            ":" &amp;
            'Hulp (overig)'!$C$17 &amp;
LOOKUP(
    2,
    1 / (
        (ROW(INDIRECT("'" &amp; 'Hulp (overig)'!$C$16 &amp; "'!B1:B1000")) &lt;
            IF(O47&lt;&gt;"",
               MATCH(O47, INDIRECT("'" &amp; 'Hulp (overig)'!$C$16 &amp; "'!A1:A1000"),0),
               1000
            )
        ) *
        (LEFT(TRIM(INDIRECT("'" &amp; 'Hulp (overig)'!$C$16 &amp; "'!B1:B1000")),1) &lt;&gt; "u")
    ),
    ROW(INDIRECT("'" &amp; 'Hulp (overig)'!$C$16 &amp; "'!B1:B1000"))
)
        )
    ) * N48
),
IF(N49="","",
IF(
    IFERROR(MIN(
        IF(
            (TRIM(INDIRECT("'" &amp; 'Hulp (overig)'!$C$16 &amp; "'!B1:B1000")) = TEXT(N49,"0")) *
            (ROW(INDIRECT("'" &amp; 'Hulp (overig)'!$C$16 &amp; "'!B1:B1000")) &gt;= MATCH(
                N47,
                INDIRECT("'" &amp; 'Hulp (overig)'!$C$16 &amp; "'!A1:A1000"),
                0
            )) *
            IF(
                O47="",
                1,
                (ROW(INDIRECT("'" &amp; 'Hulp (overig)'!$C$16 &amp; "'!B1:B1000")) &lt; MATCH(
                    O47,
                    INDIRECT("'" &amp; 'Hulp (overig)'!$C$16 &amp; "'!A1:A1000"),
                    0
                ))
            ),
            ROW(INDIRECT("'" &amp; 'Hulp (overig)'!$C$16 &amp; "'!B1:B1000"))
        )
    ),0) &lt; 1,
    "",
    IF(INDEX(
        INDIRECT("'" &amp; 'Hulp (overig)'!$C$16 &amp; "'!" &amp;
        'Hulp (overig)'!$C$17 &amp; "1:" &amp; 'Hulp (overig)'!$C$17 &amp; 1000
        ),
        IFERROR(MIN(
            IF(
                (TRIM(INDIRECT("'" &amp; 'Hulp (overig)'!$C$16 &amp; "'!B1:B1000")) = TEXT(N49,"0")) *
                (ROW(INDIRECT("'" &amp; 'Hulp (overig)'!$C$16 &amp; "'!B1:B1000")) &gt;= MATCH(
                    N47,
                    INDIRECT("'" &amp; 'Hulp (overig)'!$C$16 &amp; "'!A1:A1000"),
                    0
                )) *
                IF(
                    O47="",
                    1,
                    (ROW(INDIRECT("'" &amp; 'Hulp (overig)'!$C$16 &amp; "'!B1:B1000")) &lt; MATCH(
                        O47,
                        INDIRECT("'" &amp; 'Hulp (overig)'!$C$16 &amp; "'!A1:A1000"),
                        0
                    ))
                ),
                ROW(INDIRECT("'" &amp; 'Hulp (overig)'!$C$16 &amp; "'!B1:B1000"))
            )
        ),0)
    )=0,"",
INDEX(
        INDIRECT("'" &amp; 'Hulp (overig)'!$C$16 &amp; "'!" &amp;
        'Hulp (overig)'!$C$17 &amp; "1:" &amp; 'Hulp (overig)'!$C$17 &amp; 1000
        ),
        IFERROR(MIN(
            IF(
                (TRIM(INDIRECT("'" &amp; 'Hulp (overig)'!$C$16 &amp; "'!B1:B1000")) = TEXT(N49,"0")) *
                (ROW(INDIRECT("'" &amp; 'Hulp (overig)'!$C$16 &amp; "'!B1:B1000")) &gt;= MATCH(
                    N47,
                    INDIRECT("'" &amp; 'Hulp (overig)'!$C$16 &amp; "'!A1:A1000"),
                    0
                )) *
                IF(
                    O47="",
                    1,
                    (ROW(INDIRECT("'" &amp; 'Hulp (overig)'!$C$16 &amp; "'!B1:B1000")) &lt; MATCH(
                        O47,
                        INDIRECT("'" &amp; 'Hulp (overig)'!$C$16 &amp; "'!A1:A1000"),
                        0
                    ))
                ),
                ROW(INDIRECT("'" &amp; 'Hulp (overig)'!$C$16 &amp; "'!B1:B1000"))
            )
        ),0)
    ))
))))</f>
        <v>#VALUE!</v>
      </c>
      <c r="O50" s="425" t="e" cm="1">
        <f t="array" aca="1" ref="O50" ca="1">IF($BF50, IF(O47="","",
   INDEX(
      INDIRECT("'" &amp; 'Hulp (CAO''s)'!$AE$8 &amp; "'!" &amp;
               'Hulp (overig)'!$C$17 &amp; "1:" &amp;
               'Hulp (overig)'!$C$17 &amp; "1000"),
      MATCH(
         O47,
         INDIRECT("'" &amp; 'Hulp (CAO''s)'!$AE$8 &amp; "'!A1:A1000"),
         0
      )
   )
), IF($D48="Gebruik % van maximum salaris",
IF(
    OR(O47="",O48=""),
    "",
    MAX(
        INDIRECT(
            "'" &amp; 'Hulp (overig)'!$C$16 &amp; "'!" &amp;
            'Hulp (overig)'!$C$17 &amp;
            MATCH(O47, INDIRECT("'" &amp; 'Hulp (overig)'!$C$16 &amp; "'!A1:A1000"), 0) &amp;
            ":" &amp;
            'Hulp (overig)'!$C$17 &amp;
LOOKUP(
    2,
    1 / (
        (ROW(INDIRECT("'" &amp; 'Hulp (overig)'!$C$16 &amp; "'!B1:B1000")) &lt;
            IF(P47&lt;&gt;"",
               MATCH(P47, INDIRECT("'" &amp; 'Hulp (overig)'!$C$16 &amp; "'!A1:A1000"),0),
               1000
            )
        ) *
        (LEFT(TRIM(INDIRECT("'" &amp; 'Hulp (overig)'!$C$16 &amp; "'!B1:B1000")),1) &lt;&gt; "u")
    ),
    ROW(INDIRECT("'" &amp; 'Hulp (overig)'!$C$16 &amp; "'!B1:B1000"))
)
        )
    ) * O48
),
IF(O49="","",
IF(
    IFERROR(MIN(
        IF(
            (TRIM(INDIRECT("'" &amp; 'Hulp (overig)'!$C$16 &amp; "'!B1:B1000")) = TEXT(O49,"0")) *
            (ROW(INDIRECT("'" &amp; 'Hulp (overig)'!$C$16 &amp; "'!B1:B1000")) &gt;= MATCH(
                O47,
                INDIRECT("'" &amp; 'Hulp (overig)'!$C$16 &amp; "'!A1:A1000"),
                0
            )) *
            IF(
                P47="",
                1,
                (ROW(INDIRECT("'" &amp; 'Hulp (overig)'!$C$16 &amp; "'!B1:B1000")) &lt; MATCH(
                    P47,
                    INDIRECT("'" &amp; 'Hulp (overig)'!$C$16 &amp; "'!A1:A1000"),
                    0
                ))
            ),
            ROW(INDIRECT("'" &amp; 'Hulp (overig)'!$C$16 &amp; "'!B1:B1000"))
        )
    ),0) &lt; 1,
    "",
    IF(INDEX(
        INDIRECT("'" &amp; 'Hulp (overig)'!$C$16 &amp; "'!" &amp;
        'Hulp (overig)'!$C$17 &amp; "1:" &amp; 'Hulp (overig)'!$C$17 &amp; 1000
        ),
        IFERROR(MIN(
            IF(
                (TRIM(INDIRECT("'" &amp; 'Hulp (overig)'!$C$16 &amp; "'!B1:B1000")) = TEXT(O49,"0")) *
                (ROW(INDIRECT("'" &amp; 'Hulp (overig)'!$C$16 &amp; "'!B1:B1000")) &gt;= MATCH(
                    O47,
                    INDIRECT("'" &amp; 'Hulp (overig)'!$C$16 &amp; "'!A1:A1000"),
                    0
                )) *
                IF(
                    P47="",
                    1,
                    (ROW(INDIRECT("'" &amp; 'Hulp (overig)'!$C$16 &amp; "'!B1:B1000")) &lt; MATCH(
                        P47,
                        INDIRECT("'" &amp; 'Hulp (overig)'!$C$16 &amp; "'!A1:A1000"),
                        0
                    ))
                ),
                ROW(INDIRECT("'" &amp; 'Hulp (overig)'!$C$16 &amp; "'!B1:B1000"))
            )
        ),0)
    )=0,"",
INDEX(
        INDIRECT("'" &amp; 'Hulp (overig)'!$C$16 &amp; "'!" &amp;
        'Hulp (overig)'!$C$17 &amp; "1:" &amp; 'Hulp (overig)'!$C$17 &amp; 1000
        ),
        IFERROR(MIN(
            IF(
                (TRIM(INDIRECT("'" &amp; 'Hulp (overig)'!$C$16 &amp; "'!B1:B1000")) = TEXT(O49,"0")) *
                (ROW(INDIRECT("'" &amp; 'Hulp (overig)'!$C$16 &amp; "'!B1:B1000")) &gt;= MATCH(
                    O47,
                    INDIRECT("'" &amp; 'Hulp (overig)'!$C$16 &amp; "'!A1:A1000"),
                    0
                )) *
                IF(
                    P47="",
                    1,
                    (ROW(INDIRECT("'" &amp; 'Hulp (overig)'!$C$16 &amp; "'!B1:B1000")) &lt; MATCH(
                        P47,
                        INDIRECT("'" &amp; 'Hulp (overig)'!$C$16 &amp; "'!A1:A1000"),
                        0
                    ))
                ),
                ROW(INDIRECT("'" &amp; 'Hulp (overig)'!$C$16 &amp; "'!B1:B1000"))
            )
        ),0)
    ))
))))</f>
        <v>#VALUE!</v>
      </c>
      <c r="P50" s="425" t="e" cm="1">
        <f t="array" aca="1" ref="P50" ca="1">IF($BF50, IF(P47="","",
   INDEX(
      INDIRECT("'" &amp; 'Hulp (CAO''s)'!$AE$8 &amp; "'!" &amp;
               'Hulp (overig)'!$C$17 &amp; "1:" &amp;
               'Hulp (overig)'!$C$17 &amp; "1000"),
      MATCH(
         P47,
         INDIRECT("'" &amp; 'Hulp (CAO''s)'!$AE$8 &amp; "'!A1:A1000"),
         0
      )
   )
), IF($D48="Gebruik % van maximum salaris",
IF(
    OR(P47="",P48=""),
    "",
    MAX(
        INDIRECT(
            "'" &amp; 'Hulp (overig)'!$C$16 &amp; "'!" &amp;
            'Hulp (overig)'!$C$17 &amp;
            MATCH(P47, INDIRECT("'" &amp; 'Hulp (overig)'!$C$16 &amp; "'!A1:A1000"), 0) &amp;
            ":" &amp;
            'Hulp (overig)'!$C$17 &amp;
LOOKUP(
    2,
    1 / (
        (ROW(INDIRECT("'" &amp; 'Hulp (overig)'!$C$16 &amp; "'!B1:B1000")) &lt;
            IF(Q47&lt;&gt;"",
               MATCH(Q47, INDIRECT("'" &amp; 'Hulp (overig)'!$C$16 &amp; "'!A1:A1000"),0),
               1000
            )
        ) *
        (LEFT(TRIM(INDIRECT("'" &amp; 'Hulp (overig)'!$C$16 &amp; "'!B1:B1000")),1) &lt;&gt; "u")
    ),
    ROW(INDIRECT("'" &amp; 'Hulp (overig)'!$C$16 &amp; "'!B1:B1000"))
)
        )
    ) * P48
),
IF(P49="","",
IF(
    IFERROR(MIN(
        IF(
            (TRIM(INDIRECT("'" &amp; 'Hulp (overig)'!$C$16 &amp; "'!B1:B1000")) = TEXT(P49,"0")) *
            (ROW(INDIRECT("'" &amp; 'Hulp (overig)'!$C$16 &amp; "'!B1:B1000")) &gt;= MATCH(
                P47,
                INDIRECT("'" &amp; 'Hulp (overig)'!$C$16 &amp; "'!A1:A1000"),
                0
            )) *
            IF(
                Q47="",
                1,
                (ROW(INDIRECT("'" &amp; 'Hulp (overig)'!$C$16 &amp; "'!B1:B1000")) &lt; MATCH(
                    Q47,
                    INDIRECT("'" &amp; 'Hulp (overig)'!$C$16 &amp; "'!A1:A1000"),
                    0
                ))
            ),
            ROW(INDIRECT("'" &amp; 'Hulp (overig)'!$C$16 &amp; "'!B1:B1000"))
        )
    ),0) &lt; 1,
    "",
    IF(INDEX(
        INDIRECT("'" &amp; 'Hulp (overig)'!$C$16 &amp; "'!" &amp;
        'Hulp (overig)'!$C$17 &amp; "1:" &amp; 'Hulp (overig)'!$C$17 &amp; 1000
        ),
        IFERROR(MIN(
            IF(
                (TRIM(INDIRECT("'" &amp; 'Hulp (overig)'!$C$16 &amp; "'!B1:B1000")) = TEXT(P49,"0")) *
                (ROW(INDIRECT("'" &amp; 'Hulp (overig)'!$C$16 &amp; "'!B1:B1000")) &gt;= MATCH(
                    P47,
                    INDIRECT("'" &amp; 'Hulp (overig)'!$C$16 &amp; "'!A1:A1000"),
                    0
                )) *
                IF(
                    Q47="",
                    1,
                    (ROW(INDIRECT("'" &amp; 'Hulp (overig)'!$C$16 &amp; "'!B1:B1000")) &lt; MATCH(
                        Q47,
                        INDIRECT("'" &amp; 'Hulp (overig)'!$C$16 &amp; "'!A1:A1000"),
                        0
                    ))
                ),
                ROW(INDIRECT("'" &amp; 'Hulp (overig)'!$C$16 &amp; "'!B1:B1000"))
            )
        ),0)
    )=0,"",
INDEX(
        INDIRECT("'" &amp; 'Hulp (overig)'!$C$16 &amp; "'!" &amp;
        'Hulp (overig)'!$C$17 &amp; "1:" &amp; 'Hulp (overig)'!$C$17 &amp; 1000
        ),
        IFERROR(MIN(
            IF(
                (TRIM(INDIRECT("'" &amp; 'Hulp (overig)'!$C$16 &amp; "'!B1:B1000")) = TEXT(P49,"0")) *
                (ROW(INDIRECT("'" &amp; 'Hulp (overig)'!$C$16 &amp; "'!B1:B1000")) &gt;= MATCH(
                    P47,
                    INDIRECT("'" &amp; 'Hulp (overig)'!$C$16 &amp; "'!A1:A1000"),
                    0
                )) *
                IF(
                    Q47="",
                    1,
                    (ROW(INDIRECT("'" &amp; 'Hulp (overig)'!$C$16 &amp; "'!B1:B1000")) &lt; MATCH(
                        Q47,
                        INDIRECT("'" &amp; 'Hulp (overig)'!$C$16 &amp; "'!A1:A1000"),
                        0
                    ))
                ),
                ROW(INDIRECT("'" &amp; 'Hulp (overig)'!$C$16 &amp; "'!B1:B1000"))
            )
        ),0)
    ))
))))</f>
        <v>#VALUE!</v>
      </c>
      <c r="Q50" s="425" t="e" cm="1">
        <f t="array" aca="1" ref="Q50" ca="1">IF($BF50, IF(Q47="","",
   INDEX(
      INDIRECT("'" &amp; 'Hulp (CAO''s)'!$AE$8 &amp; "'!" &amp;
               'Hulp (overig)'!$C$17 &amp; "1:" &amp;
               'Hulp (overig)'!$C$17 &amp; "1000"),
      MATCH(
         Q47,
         INDIRECT("'" &amp; 'Hulp (CAO''s)'!$AE$8 &amp; "'!A1:A1000"),
         0
      )
   )
), IF($D48="Gebruik % van maximum salaris",
IF(
    OR(Q47="",Q48=""),
    "",
    MAX(
        INDIRECT(
            "'" &amp; 'Hulp (overig)'!$C$16 &amp; "'!" &amp;
            'Hulp (overig)'!$C$17 &amp;
            MATCH(Q47, INDIRECT("'" &amp; 'Hulp (overig)'!$C$16 &amp; "'!A1:A1000"), 0) &amp;
            ":" &amp;
            'Hulp (overig)'!$C$17 &amp;
LOOKUP(
    2,
    1 / (
        (ROW(INDIRECT("'" &amp; 'Hulp (overig)'!$C$16 &amp; "'!B1:B1000")) &lt;
            IF(R47&lt;&gt;"",
               MATCH(R47, INDIRECT("'" &amp; 'Hulp (overig)'!$C$16 &amp; "'!A1:A1000"),0),
               1000
            )
        ) *
        (LEFT(TRIM(INDIRECT("'" &amp; 'Hulp (overig)'!$C$16 &amp; "'!B1:B1000")),1) &lt;&gt; "u")
    ),
    ROW(INDIRECT("'" &amp; 'Hulp (overig)'!$C$16 &amp; "'!B1:B1000"))
)
        )
    ) * Q48
),
IF(Q49="","",
IF(
    IFERROR(MIN(
        IF(
            (TRIM(INDIRECT("'" &amp; 'Hulp (overig)'!$C$16 &amp; "'!B1:B1000")) = TEXT(Q49,"0")) *
            (ROW(INDIRECT("'" &amp; 'Hulp (overig)'!$C$16 &amp; "'!B1:B1000")) &gt;= MATCH(
                Q47,
                INDIRECT("'" &amp; 'Hulp (overig)'!$C$16 &amp; "'!A1:A1000"),
                0
            )) *
            IF(
                R47="",
                1,
                (ROW(INDIRECT("'" &amp; 'Hulp (overig)'!$C$16 &amp; "'!B1:B1000")) &lt; MATCH(
                    R47,
                    INDIRECT("'" &amp; 'Hulp (overig)'!$C$16 &amp; "'!A1:A1000"),
                    0
                ))
            ),
            ROW(INDIRECT("'" &amp; 'Hulp (overig)'!$C$16 &amp; "'!B1:B1000"))
        )
    ),0) &lt; 1,
    "",
    IF(INDEX(
        INDIRECT("'" &amp; 'Hulp (overig)'!$C$16 &amp; "'!" &amp;
        'Hulp (overig)'!$C$17 &amp; "1:" &amp; 'Hulp (overig)'!$C$17 &amp; 1000
        ),
        IFERROR(MIN(
            IF(
                (TRIM(INDIRECT("'" &amp; 'Hulp (overig)'!$C$16 &amp; "'!B1:B1000")) = TEXT(Q49,"0")) *
                (ROW(INDIRECT("'" &amp; 'Hulp (overig)'!$C$16 &amp; "'!B1:B1000")) &gt;= MATCH(
                    Q47,
                    INDIRECT("'" &amp; 'Hulp (overig)'!$C$16 &amp; "'!A1:A1000"),
                    0
                )) *
                IF(
                    R47="",
                    1,
                    (ROW(INDIRECT("'" &amp; 'Hulp (overig)'!$C$16 &amp; "'!B1:B1000")) &lt; MATCH(
                        R47,
                        INDIRECT("'" &amp; 'Hulp (overig)'!$C$16 &amp; "'!A1:A1000"),
                        0
                    ))
                ),
                ROW(INDIRECT("'" &amp; 'Hulp (overig)'!$C$16 &amp; "'!B1:B1000"))
            )
        ),0)
    )=0,"",
INDEX(
        INDIRECT("'" &amp; 'Hulp (overig)'!$C$16 &amp; "'!" &amp;
        'Hulp (overig)'!$C$17 &amp; "1:" &amp; 'Hulp (overig)'!$C$17 &amp; 1000
        ),
        IFERROR(MIN(
            IF(
                (TRIM(INDIRECT("'" &amp; 'Hulp (overig)'!$C$16 &amp; "'!B1:B1000")) = TEXT(Q49,"0")) *
                (ROW(INDIRECT("'" &amp; 'Hulp (overig)'!$C$16 &amp; "'!B1:B1000")) &gt;= MATCH(
                    Q47,
                    INDIRECT("'" &amp; 'Hulp (overig)'!$C$16 &amp; "'!A1:A1000"),
                    0
                )) *
                IF(
                    R47="",
                    1,
                    (ROW(INDIRECT("'" &amp; 'Hulp (overig)'!$C$16 &amp; "'!B1:B1000")) &lt; MATCH(
                        R47,
                        INDIRECT("'" &amp; 'Hulp (overig)'!$C$16 &amp; "'!A1:A1000"),
                        0
                    ))
                ),
                ROW(INDIRECT("'" &amp; 'Hulp (overig)'!$C$16 &amp; "'!B1:B1000"))
            )
        ),0)
    ))
))))</f>
        <v>#VALUE!</v>
      </c>
      <c r="R50" s="425" t="e" cm="1">
        <f t="array" aca="1" ref="R50" ca="1">IF($BF50, IF(R47="","",
   INDEX(
      INDIRECT("'" &amp; 'Hulp (CAO''s)'!$AE$8 &amp; "'!" &amp;
               'Hulp (overig)'!$C$17 &amp; "1:" &amp;
               'Hulp (overig)'!$C$17 &amp; "1000"),
      MATCH(
         R47,
         INDIRECT("'" &amp; 'Hulp (CAO''s)'!$AE$8 &amp; "'!A1:A1000"),
         0
      )
   )
), IF($D48="Gebruik % van maximum salaris",
IF(
    OR(R47="",R48=""),
    "",
    MAX(
        INDIRECT(
            "'" &amp; 'Hulp (overig)'!$C$16 &amp; "'!" &amp;
            'Hulp (overig)'!$C$17 &amp;
            MATCH(R47, INDIRECT("'" &amp; 'Hulp (overig)'!$C$16 &amp; "'!A1:A1000"), 0) &amp;
            ":" &amp;
            'Hulp (overig)'!$C$17 &amp;
LOOKUP(
    2,
    1 / (
        (ROW(INDIRECT("'" &amp; 'Hulp (overig)'!$C$16 &amp; "'!B1:B1000")) &lt;
            IF(S47&lt;&gt;"",
               MATCH(S47, INDIRECT("'" &amp; 'Hulp (overig)'!$C$16 &amp; "'!A1:A1000"),0),
               1000
            )
        ) *
        (LEFT(TRIM(INDIRECT("'" &amp; 'Hulp (overig)'!$C$16 &amp; "'!B1:B1000")),1) &lt;&gt; "u")
    ),
    ROW(INDIRECT("'" &amp; 'Hulp (overig)'!$C$16 &amp; "'!B1:B1000"))
)
        )
    ) * R48
),
IF(R49="","",
IF(
    IFERROR(MIN(
        IF(
            (TRIM(INDIRECT("'" &amp; 'Hulp (overig)'!$C$16 &amp; "'!B1:B1000")) = TEXT(R49,"0")) *
            (ROW(INDIRECT("'" &amp; 'Hulp (overig)'!$C$16 &amp; "'!B1:B1000")) &gt;= MATCH(
                R47,
                INDIRECT("'" &amp; 'Hulp (overig)'!$C$16 &amp; "'!A1:A1000"),
                0
            )) *
            IF(
                S47="",
                1,
                (ROW(INDIRECT("'" &amp; 'Hulp (overig)'!$C$16 &amp; "'!B1:B1000")) &lt; MATCH(
                    S47,
                    INDIRECT("'" &amp; 'Hulp (overig)'!$C$16 &amp; "'!A1:A1000"),
                    0
                ))
            ),
            ROW(INDIRECT("'" &amp; 'Hulp (overig)'!$C$16 &amp; "'!B1:B1000"))
        )
    ),0) &lt; 1,
    "",
    IF(INDEX(
        INDIRECT("'" &amp; 'Hulp (overig)'!$C$16 &amp; "'!" &amp;
        'Hulp (overig)'!$C$17 &amp; "1:" &amp; 'Hulp (overig)'!$C$17 &amp; 1000
        ),
        IFERROR(MIN(
            IF(
                (TRIM(INDIRECT("'" &amp; 'Hulp (overig)'!$C$16 &amp; "'!B1:B1000")) = TEXT(R49,"0")) *
                (ROW(INDIRECT("'" &amp; 'Hulp (overig)'!$C$16 &amp; "'!B1:B1000")) &gt;= MATCH(
                    R47,
                    INDIRECT("'" &amp; 'Hulp (overig)'!$C$16 &amp; "'!A1:A1000"),
                    0
                )) *
                IF(
                    S47="",
                    1,
                    (ROW(INDIRECT("'" &amp; 'Hulp (overig)'!$C$16 &amp; "'!B1:B1000")) &lt; MATCH(
                        S47,
                        INDIRECT("'" &amp; 'Hulp (overig)'!$C$16 &amp; "'!A1:A1000"),
                        0
                    ))
                ),
                ROW(INDIRECT("'" &amp; 'Hulp (overig)'!$C$16 &amp; "'!B1:B1000"))
            )
        ),0)
    )=0,"",
INDEX(
        INDIRECT("'" &amp; 'Hulp (overig)'!$C$16 &amp; "'!" &amp;
        'Hulp (overig)'!$C$17 &amp; "1:" &amp; 'Hulp (overig)'!$C$17 &amp; 1000
        ),
        IFERROR(MIN(
            IF(
                (TRIM(INDIRECT("'" &amp; 'Hulp (overig)'!$C$16 &amp; "'!B1:B1000")) = TEXT(R49,"0")) *
                (ROW(INDIRECT("'" &amp; 'Hulp (overig)'!$C$16 &amp; "'!B1:B1000")) &gt;= MATCH(
                    R47,
                    INDIRECT("'" &amp; 'Hulp (overig)'!$C$16 &amp; "'!A1:A1000"),
                    0
                )) *
                IF(
                    S47="",
                    1,
                    (ROW(INDIRECT("'" &amp; 'Hulp (overig)'!$C$16 &amp; "'!B1:B1000")) &lt; MATCH(
                        S47,
                        INDIRECT("'" &amp; 'Hulp (overig)'!$C$16 &amp; "'!A1:A1000"),
                        0
                    ))
                ),
                ROW(INDIRECT("'" &amp; 'Hulp (overig)'!$C$16 &amp; "'!B1:B1000"))
            )
        ),0)
    ))
))))</f>
        <v>#VALUE!</v>
      </c>
      <c r="S50" s="425" t="e" cm="1">
        <f t="array" aca="1" ref="S50" ca="1">IF($BF50, IF(S47="","",
   INDEX(
      INDIRECT("'" &amp; 'Hulp (CAO''s)'!$AE$8 &amp; "'!" &amp;
               'Hulp (overig)'!$C$17 &amp; "1:" &amp;
               'Hulp (overig)'!$C$17 &amp; "1000"),
      MATCH(
         S47,
         INDIRECT("'" &amp; 'Hulp (CAO''s)'!$AE$8 &amp; "'!A1:A1000"),
         0
      )
   )
), IF($D48="Gebruik % van maximum salaris",
IF(
    OR(S47="",S48=""),
    "",
    MAX(
        INDIRECT(
            "'" &amp; 'Hulp (overig)'!$C$16 &amp; "'!" &amp;
            'Hulp (overig)'!$C$17 &amp;
            MATCH(S47, INDIRECT("'" &amp; 'Hulp (overig)'!$C$16 &amp; "'!A1:A1000"), 0) &amp;
            ":" &amp;
            'Hulp (overig)'!$C$17 &amp;
LOOKUP(
    2,
    1 / (
        (ROW(INDIRECT("'" &amp; 'Hulp (overig)'!$C$16 &amp; "'!B1:B1000")) &lt;
            IF(T47&lt;&gt;"",
               MATCH(T47, INDIRECT("'" &amp; 'Hulp (overig)'!$C$16 &amp; "'!A1:A1000"),0),
               1000
            )
        ) *
        (LEFT(TRIM(INDIRECT("'" &amp; 'Hulp (overig)'!$C$16 &amp; "'!B1:B1000")),1) &lt;&gt; "u")
    ),
    ROW(INDIRECT("'" &amp; 'Hulp (overig)'!$C$16 &amp; "'!B1:B1000"))
)
        )
    ) * S48
),
IF(S49="","",
IF(
    IFERROR(MIN(
        IF(
            (TRIM(INDIRECT("'" &amp; 'Hulp (overig)'!$C$16 &amp; "'!B1:B1000")) = TEXT(S49,"0")) *
            (ROW(INDIRECT("'" &amp; 'Hulp (overig)'!$C$16 &amp; "'!B1:B1000")) &gt;= MATCH(
                S47,
                INDIRECT("'" &amp; 'Hulp (overig)'!$C$16 &amp; "'!A1:A1000"),
                0
            )) *
            IF(
                T47="",
                1,
                (ROW(INDIRECT("'" &amp; 'Hulp (overig)'!$C$16 &amp; "'!B1:B1000")) &lt; MATCH(
                    T47,
                    INDIRECT("'" &amp; 'Hulp (overig)'!$C$16 &amp; "'!A1:A1000"),
                    0
                ))
            ),
            ROW(INDIRECT("'" &amp; 'Hulp (overig)'!$C$16 &amp; "'!B1:B1000"))
        )
    ),0) &lt; 1,
    "",
    IF(INDEX(
        INDIRECT("'" &amp; 'Hulp (overig)'!$C$16 &amp; "'!" &amp;
        'Hulp (overig)'!$C$17 &amp; "1:" &amp; 'Hulp (overig)'!$C$17 &amp; 1000
        ),
        IFERROR(MIN(
            IF(
                (TRIM(INDIRECT("'" &amp; 'Hulp (overig)'!$C$16 &amp; "'!B1:B1000")) = TEXT(S49,"0")) *
                (ROW(INDIRECT("'" &amp; 'Hulp (overig)'!$C$16 &amp; "'!B1:B1000")) &gt;= MATCH(
                    S47,
                    INDIRECT("'" &amp; 'Hulp (overig)'!$C$16 &amp; "'!A1:A1000"),
                    0
                )) *
                IF(
                    T47="",
                    1,
                    (ROW(INDIRECT("'" &amp; 'Hulp (overig)'!$C$16 &amp; "'!B1:B1000")) &lt; MATCH(
                        T47,
                        INDIRECT("'" &amp; 'Hulp (overig)'!$C$16 &amp; "'!A1:A1000"),
                        0
                    ))
                ),
                ROW(INDIRECT("'" &amp; 'Hulp (overig)'!$C$16 &amp; "'!B1:B1000"))
            )
        ),0)
    )=0,"",
INDEX(
        INDIRECT("'" &amp; 'Hulp (overig)'!$C$16 &amp; "'!" &amp;
        'Hulp (overig)'!$C$17 &amp; "1:" &amp; 'Hulp (overig)'!$C$17 &amp; 1000
        ),
        IFERROR(MIN(
            IF(
                (TRIM(INDIRECT("'" &amp; 'Hulp (overig)'!$C$16 &amp; "'!B1:B1000")) = TEXT(S49,"0")) *
                (ROW(INDIRECT("'" &amp; 'Hulp (overig)'!$C$16 &amp; "'!B1:B1000")) &gt;= MATCH(
                    S47,
                    INDIRECT("'" &amp; 'Hulp (overig)'!$C$16 &amp; "'!A1:A1000"),
                    0
                )) *
                IF(
                    T47="",
                    1,
                    (ROW(INDIRECT("'" &amp; 'Hulp (overig)'!$C$16 &amp; "'!B1:B1000")) &lt; MATCH(
                        T47,
                        INDIRECT("'" &amp; 'Hulp (overig)'!$C$16 &amp; "'!A1:A1000"),
                        0
                    ))
                ),
                ROW(INDIRECT("'" &amp; 'Hulp (overig)'!$C$16 &amp; "'!B1:B1000"))
            )
        ),0)
    ))
))))</f>
        <v>#VALUE!</v>
      </c>
      <c r="T50" s="425" t="e" cm="1">
        <f t="array" aca="1" ref="T50" ca="1">IF($BF50, IF(T47="","",
   INDEX(
      INDIRECT("'" &amp; 'Hulp (CAO''s)'!$AE$8 &amp; "'!" &amp;
               'Hulp (overig)'!$C$17 &amp; "1:" &amp;
               'Hulp (overig)'!$C$17 &amp; "1000"),
      MATCH(
         T47,
         INDIRECT("'" &amp; 'Hulp (CAO''s)'!$AE$8 &amp; "'!A1:A1000"),
         0
      )
   )
), IF($D48="Gebruik % van maximum salaris",
IF(
    OR(T47="",T48=""),
    "",
    MAX(
        INDIRECT(
            "'" &amp; 'Hulp (overig)'!$C$16 &amp; "'!" &amp;
            'Hulp (overig)'!$C$17 &amp;
            MATCH(T47, INDIRECT("'" &amp; 'Hulp (overig)'!$C$16 &amp; "'!A1:A1000"), 0) &amp;
            ":" &amp;
            'Hulp (overig)'!$C$17 &amp;
LOOKUP(
    2,
    1 / (
        (ROW(INDIRECT("'" &amp; 'Hulp (overig)'!$C$16 &amp; "'!B1:B1000")) &lt;
            IF(U47&lt;&gt;"",
               MATCH(U47, INDIRECT("'" &amp; 'Hulp (overig)'!$C$16 &amp; "'!A1:A1000"),0),
               1000
            )
        ) *
        (LEFT(TRIM(INDIRECT("'" &amp; 'Hulp (overig)'!$C$16 &amp; "'!B1:B1000")),1) &lt;&gt; "u")
    ),
    ROW(INDIRECT("'" &amp; 'Hulp (overig)'!$C$16 &amp; "'!B1:B1000"))
)
        )
    ) * T48
),
IF(T49="","",
IF(
    IFERROR(MIN(
        IF(
            (TRIM(INDIRECT("'" &amp; 'Hulp (overig)'!$C$16 &amp; "'!B1:B1000")) = TEXT(T49,"0")) *
            (ROW(INDIRECT("'" &amp; 'Hulp (overig)'!$C$16 &amp; "'!B1:B1000")) &gt;= MATCH(
                T47,
                INDIRECT("'" &amp; 'Hulp (overig)'!$C$16 &amp; "'!A1:A1000"),
                0
            )) *
            IF(
                U47="",
                1,
                (ROW(INDIRECT("'" &amp; 'Hulp (overig)'!$C$16 &amp; "'!B1:B1000")) &lt; MATCH(
                    U47,
                    INDIRECT("'" &amp; 'Hulp (overig)'!$C$16 &amp; "'!A1:A1000"),
                    0
                ))
            ),
            ROW(INDIRECT("'" &amp; 'Hulp (overig)'!$C$16 &amp; "'!B1:B1000"))
        )
    ),0) &lt; 1,
    "",
    IF(INDEX(
        INDIRECT("'" &amp; 'Hulp (overig)'!$C$16 &amp; "'!" &amp;
        'Hulp (overig)'!$C$17 &amp; "1:" &amp; 'Hulp (overig)'!$C$17 &amp; 1000
        ),
        IFERROR(MIN(
            IF(
                (TRIM(INDIRECT("'" &amp; 'Hulp (overig)'!$C$16 &amp; "'!B1:B1000")) = TEXT(T49,"0")) *
                (ROW(INDIRECT("'" &amp; 'Hulp (overig)'!$C$16 &amp; "'!B1:B1000")) &gt;= MATCH(
                    T47,
                    INDIRECT("'" &amp; 'Hulp (overig)'!$C$16 &amp; "'!A1:A1000"),
                    0
                )) *
                IF(
                    U47="",
                    1,
                    (ROW(INDIRECT("'" &amp; 'Hulp (overig)'!$C$16 &amp; "'!B1:B1000")) &lt; MATCH(
                        U47,
                        INDIRECT("'" &amp; 'Hulp (overig)'!$C$16 &amp; "'!A1:A1000"),
                        0
                    ))
                ),
                ROW(INDIRECT("'" &amp; 'Hulp (overig)'!$C$16 &amp; "'!B1:B1000"))
            )
        ),0)
    )=0,"",
INDEX(
        INDIRECT("'" &amp; 'Hulp (overig)'!$C$16 &amp; "'!" &amp;
        'Hulp (overig)'!$C$17 &amp; "1:" &amp; 'Hulp (overig)'!$C$17 &amp; 1000
        ),
        IFERROR(MIN(
            IF(
                (TRIM(INDIRECT("'" &amp; 'Hulp (overig)'!$C$16 &amp; "'!B1:B1000")) = TEXT(T49,"0")) *
                (ROW(INDIRECT("'" &amp; 'Hulp (overig)'!$C$16 &amp; "'!B1:B1000")) &gt;= MATCH(
                    T47,
                    INDIRECT("'" &amp; 'Hulp (overig)'!$C$16 &amp; "'!A1:A1000"),
                    0
                )) *
                IF(
                    U47="",
                    1,
                    (ROW(INDIRECT("'" &amp; 'Hulp (overig)'!$C$16 &amp; "'!B1:B1000")) &lt; MATCH(
                        U47,
                        INDIRECT("'" &amp; 'Hulp (overig)'!$C$16 &amp; "'!A1:A1000"),
                        0
                    ))
                ),
                ROW(INDIRECT("'" &amp; 'Hulp (overig)'!$C$16 &amp; "'!B1:B1000"))
            )
        ),0)
    ))
))))</f>
        <v>#VALUE!</v>
      </c>
      <c r="U50" s="723" t="e" cm="1">
        <f t="array" aca="1" ref="U50" ca="1">IF($BF50, IF(U47="","",
   INDEX(
      INDIRECT("'" &amp; 'Hulp (CAO''s)'!$AE$8 &amp; "'!" &amp;
               'Hulp (overig)'!$C$17 &amp; "1:" &amp;
               'Hulp (overig)'!$C$17 &amp; "1000"),
      MATCH(
         U47,
         INDIRECT("'" &amp; 'Hulp (CAO''s)'!$AE$8 &amp; "'!A1:A1000"),
         0
      )
   )
), IF($D48="Gebruik % van maximum salaris",
IF(
    OR(U47="",U48=""),
    "",
    MAX(
        INDIRECT(
            "'" &amp; 'Hulp (overig)'!$C$16 &amp; "'!" &amp;
            'Hulp (overig)'!$C$17 &amp;
            MATCH(U47, INDIRECT("'" &amp; 'Hulp (overig)'!$C$16 &amp; "'!A1:A1000"), 0) &amp;
            ":" &amp;
            'Hulp (overig)'!$C$17 &amp;
LOOKUP(
    2,
    1 / (
        (ROW(INDIRECT("'" &amp; 'Hulp (overig)'!$C$16 &amp; "'!B1:B1000")) &lt;
            IF(V47&lt;&gt;"",
               MATCH(V47, INDIRECT("'" &amp; 'Hulp (overig)'!$C$16 &amp; "'!A1:A1000"),0),
               1000
            )
        ) *
        (LEFT(TRIM(INDIRECT("'" &amp; 'Hulp (overig)'!$C$16 &amp; "'!B1:B1000")),1) &lt;&gt; "u")
    ),
    ROW(INDIRECT("'" &amp; 'Hulp (overig)'!$C$16 &amp; "'!B1:B1000"))
)
        )
    ) * U48
),
IF(U49="","",
IF(
    IFERROR(MIN(
        IF(
            (TRIM(INDIRECT("'" &amp; 'Hulp (overig)'!$C$16 &amp; "'!B1:B1000")) = TEXT(U49,"0")) *
            (ROW(INDIRECT("'" &amp; 'Hulp (overig)'!$C$16 &amp; "'!B1:B1000")) &gt;= MATCH(
                U47,
                INDIRECT("'" &amp; 'Hulp (overig)'!$C$16 &amp; "'!A1:A1000"),
                0
            )) *
            IF(
                V47="",
                1,
                (ROW(INDIRECT("'" &amp; 'Hulp (overig)'!$C$16 &amp; "'!B1:B1000")) &lt; MATCH(
                    V47,
                    INDIRECT("'" &amp; 'Hulp (overig)'!$C$16 &amp; "'!A1:A1000"),
                    0
                ))
            ),
            ROW(INDIRECT("'" &amp; 'Hulp (overig)'!$C$16 &amp; "'!B1:B1000"))
        )
    ),0) &lt; 1,
    "",
    IF(INDEX(
        INDIRECT("'" &amp; 'Hulp (overig)'!$C$16 &amp; "'!" &amp;
        'Hulp (overig)'!$C$17 &amp; "1:" &amp; 'Hulp (overig)'!$C$17 &amp; 1000
        ),
        IFERROR(MIN(
            IF(
                (TRIM(INDIRECT("'" &amp; 'Hulp (overig)'!$C$16 &amp; "'!B1:B1000")) = TEXT(U49,"0")) *
                (ROW(INDIRECT("'" &amp; 'Hulp (overig)'!$C$16 &amp; "'!B1:B1000")) &gt;= MATCH(
                    U47,
                    INDIRECT("'" &amp; 'Hulp (overig)'!$C$16 &amp; "'!A1:A1000"),
                    0
                )) *
                IF(
                    V47="",
                    1,
                    (ROW(INDIRECT("'" &amp; 'Hulp (overig)'!$C$16 &amp; "'!B1:B1000")) &lt; MATCH(
                        V47,
                        INDIRECT("'" &amp; 'Hulp (overig)'!$C$16 &amp; "'!A1:A1000"),
                        0
                    ))
                ),
                ROW(INDIRECT("'" &amp; 'Hulp (overig)'!$C$16 &amp; "'!B1:B1000"))
            )
        ),0)
    )=0,"",
INDEX(
        INDIRECT("'" &amp; 'Hulp (overig)'!$C$16 &amp; "'!" &amp;
        'Hulp (overig)'!$C$17 &amp; "1:" &amp; 'Hulp (overig)'!$C$17 &amp; 1000
        ),
        IFERROR(MIN(
            IF(
                (TRIM(INDIRECT("'" &amp; 'Hulp (overig)'!$C$16 &amp; "'!B1:B1000")) = TEXT(U49,"0")) *
                (ROW(INDIRECT("'" &amp; 'Hulp (overig)'!$C$16 &amp; "'!B1:B1000")) &gt;= MATCH(
                    U47,
                    INDIRECT("'" &amp; 'Hulp (overig)'!$C$16 &amp; "'!A1:A1000"),
                    0
                )) *
                IF(
                    V47="",
                    1,
                    (ROW(INDIRECT("'" &amp; 'Hulp (overig)'!$C$16 &amp; "'!B1:B1000")) &lt; MATCH(
                        V47,
                        INDIRECT("'" &amp; 'Hulp (overig)'!$C$16 &amp; "'!A1:A1000"),
                        0
                    ))
                ),
                ROW(INDIRECT("'" &amp; 'Hulp (overig)'!$C$16 &amp; "'!B1:B1000"))
            )
        ),0)
    ))
))))</f>
        <v>#VALUE!</v>
      </c>
      <c r="V50" s="413" t="str" cm="1">
        <f t="array" ref="V50">IF(SUM(F51:U51)=0,"",
IF(SUM(F50:U50)=0,"",
IF(SUMPRODUCT((F51:U51&lt;&gt;0)*(F50:U50=""))&gt;0,"",
(
   SUMPRODUCT(
      IF(F50:U50="",0,F50:U50),
      IF(F51:U51="",0,F51:U51) / SUM(F51:U51)
   )
))))</f>
        <v/>
      </c>
      <c r="W50" s="418"/>
      <c r="X50" s="620"/>
      <c r="Y50" s="419" t="str">
        <f ca="1">IF(B47="","",
        IF(INDIRECT("'Hulp (control forms)'!C" &amp; (13 + INT((ROW()-ROW($B$5))/7))),
            IF(X50="","",X50),
            IF(V50="","",V50)
    )
)</f>
        <v/>
      </c>
      <c r="Z50" s="333"/>
      <c r="AA50" s="771"/>
      <c r="AB50" s="770"/>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cm="1">
        <f t="array" aca="1" ref="BA50" ca="1">IF(
   SUM(Y50)=0,
   1,
   IF(
      N(INDIRECT("'Hulp (control forms)'!C"&amp;(13+INT((ROW()-ROW($B$5))/7))))&lt;&gt;0,
      MIN(1,
      ('Hulp (overig)'!$C$6/12) /
      (Y50 * BC50 + BD50)),
      MIN(1,
         IF(
            SUM(F50:U50)=0,
            "",
            SUMPRODUCT(
               IF(
                  (IF(F50:U50="",0,F50:U50) * BC50) + BD50
                  &gt; 'Hulp (overig)'!$C$6/12,
                  'Hulp (overig)'!$C$6/12,
                  (IF(F50:U50="",0,F50:U50) * BC50) + BD50
               ),
               IF(F51:U51="",0,F51:U51) / SUM(F51:U51)
            )
         ) /
         ((Y50 * BC50) + BD50)
      )
   )
)</f>
        <v>1</v>
      </c>
      <c r="BB50" cm="1">
        <f t="array" aca="1" ref="BB50" ca="1">IF(
   SUM(Y50)=0,
   1,
   IF(
      N(INDIRECT("'Hulp (control forms)'!C"&amp;(13+INT((ROW()-ROW($B$5))/7))))&lt;&gt;0,
      MIN('Hulp (overig)'!$C$5/12,
      (Y50 * BC50) + BD50) * 12,
         IF(
            SUM(F50:U50)=0,
            "",
            SUMPRODUCT(
               IF(
                  (IF(F50:U50="",0,F50:U50) * BC50) + BD50
                  &gt; 'Hulp (overig)'!$C$5/12,
                  'Hulp (overig)'!$C$5/12,
                  (IF(F50:U50="",0,F50:U50) * BC50) + BD50
               ),
               IF(F51:U51="",0,F51:U51) / SUM(F51:U51)
            )
         ) * 12
   )
)</f>
        <v>1</v>
      </c>
      <c r="BC50" s="287" cm="1">
        <f t="array" aca="1" ref="BC50" ca="1">IFERROR(
   (INDEX('2. Output kostprijs'!$24:$24, 5 + 2*INT((ROW()-8)/7))
    - SUM(INDEX('2. Output kostprijs'!$23:$23, 5 + 2*INT((ROW()-8)/7))))
   / INDEX('2. Output kostprijs'!$19:$19, 5 + 2*INT((ROW()-8)/7)),
   1
)</f>
        <v>1</v>
      </c>
      <c r="BD50" s="287" cm="1">
        <f t="array" aca="1" ref="BD50" ca="1">IFERROR(
   (INDEX('2. Output kostprijs'!$23:$23, 5 + 2*INT((ROW()-8)/7))
    * INDEX('2. Output kostprijs'!$18:$18, 5 + 2*INT((ROW()-8)/7))
   ) / 12,
   0
)</f>
        <v>0</v>
      </c>
      <c r="BE50" t="b">
        <f ca="1">NOT(AND(B47&lt;&gt;"",Y50=""))</f>
        <v>1</v>
      </c>
      <c r="BF50" t="str" cm="1">
        <f t="array" aca="1" ref="BF50" ca="1">INDIRECT("'1a. Input organisatieniveau'!$AD" &amp; 7 + INT((ROW()-ROW($F$8))/7))</f>
        <v/>
      </c>
      <c r="BG50" t="b" cm="1">
        <f t="array" ref="BG50">IFERROR(INDEX('Hulp (control forms)'!C:C, 13 + INT((ROW(A43)-1)/7)),FALSE)</f>
        <v>0</v>
      </c>
    </row>
    <row r="51" spans="1:59" ht="16.05" customHeight="1" thickBot="1" x14ac:dyDescent="0.5">
      <c r="A51" s="289"/>
      <c r="B51" s="343"/>
      <c r="C51" s="325" t="s">
        <v>779</v>
      </c>
      <c r="D51" s="688" t="s">
        <v>60</v>
      </c>
      <c r="E51" s="433" t="s">
        <v>59</v>
      </c>
      <c r="F51" s="624"/>
      <c r="G51" s="624"/>
      <c r="H51" s="624"/>
      <c r="I51" s="624"/>
      <c r="J51" s="624"/>
      <c r="K51" s="624"/>
      <c r="L51" s="624"/>
      <c r="M51" s="624"/>
      <c r="N51" s="624"/>
      <c r="O51" s="624"/>
      <c r="P51" s="624"/>
      <c r="Q51" s="624"/>
      <c r="R51" s="624"/>
      <c r="S51" s="624"/>
      <c r="T51" s="624"/>
      <c r="U51" s="625"/>
      <c r="V51" s="420" t="str">
        <f ca="1">IF($B47="","",IF($D51="Aandeel in %",
   "Totaal: "&amp;SUM(F51:U51)*100&amp;"%",
   "Totaal: "&amp;SUM(F51:U51)&amp;" uur"
))</f>
        <v/>
      </c>
      <c r="W51" s="294"/>
      <c r="X51" s="621"/>
      <c r="Y51" s="328"/>
      <c r="Z51" s="32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9" ht="16.05" customHeight="1" thickBot="1" x14ac:dyDescent="0.5">
      <c r="A52" s="289"/>
      <c r="B52" s="343"/>
      <c r="C52" s="326" t="s">
        <v>779</v>
      </c>
      <c r="D52" s="421"/>
      <c r="E52" s="426"/>
      <c r="F52" s="426"/>
      <c r="G52" s="426"/>
      <c r="H52" s="426"/>
      <c r="I52" s="426"/>
      <c r="J52" s="426"/>
      <c r="K52" s="426"/>
      <c r="L52" s="426"/>
      <c r="M52" s="426"/>
      <c r="N52" s="426"/>
      <c r="O52" s="426"/>
      <c r="P52" s="426"/>
      <c r="Q52" s="426"/>
      <c r="R52" s="426"/>
      <c r="S52" s="426"/>
      <c r="T52" s="427"/>
      <c r="U52" s="427"/>
      <c r="V52" s="421"/>
      <c r="W52" s="421"/>
      <c r="X52" s="622"/>
      <c r="Y52" s="421"/>
      <c r="Z52" s="327"/>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9" ht="16.05" customHeight="1" thickBot="1" x14ac:dyDescent="0.55000000000000004">
      <c r="A53" s="289"/>
      <c r="B53" s="585" t="str">
        <f ca="1">IF(B54="","",
IF(
   OR(
      INDIRECT("'1a. Input organisatieniveau'!AC" &amp; (7 + INT((ROW()-4)/7)))="",
      INDIRECT("'1a. Input organisatieniveau'!AC" &amp; (7 + INT((ROW()-4)/7)))=0
   ),
   "",
   INDIRECT("'1a. Input organisatieniveau'!AC" &amp; (7 + INT((ROW()-4)/7)))
))</f>
        <v/>
      </c>
      <c r="C53" s="324" t="s">
        <v>779</v>
      </c>
      <c r="D53" s="416"/>
      <c r="E53" s="428"/>
      <c r="F53" s="422" t="str">
        <f t="shared" ref="F53:U53" ca="1" si="7">IF($B54="","",
IF($D55="Gebruik % van maximum salaris",
 IF(OR(AND(AND(F54&lt;&gt;"",F55&lt;&gt;""),F57=""),AND(F57="",F58&lt;&gt;"")),"!",""),
 IF(OR(AND(AND(F54&lt;&gt;"",F56&lt;&gt;""),F57=""),AND(F57="",F58&lt;&gt;"")),"!","")))</f>
        <v/>
      </c>
      <c r="G53" s="422" t="str">
        <f t="shared" ca="1" si="7"/>
        <v/>
      </c>
      <c r="H53" s="422" t="str">
        <f t="shared" ca="1" si="7"/>
        <v/>
      </c>
      <c r="I53" s="422" t="str">
        <f t="shared" ca="1" si="7"/>
        <v/>
      </c>
      <c r="J53" s="422" t="str">
        <f t="shared" ca="1" si="7"/>
        <v/>
      </c>
      <c r="K53" s="422" t="str">
        <f t="shared" ca="1" si="7"/>
        <v/>
      </c>
      <c r="L53" s="422" t="str">
        <f t="shared" ca="1" si="7"/>
        <v/>
      </c>
      <c r="M53" s="422" t="str">
        <f t="shared" ca="1" si="7"/>
        <v/>
      </c>
      <c r="N53" s="422" t="str">
        <f t="shared" ca="1" si="7"/>
        <v/>
      </c>
      <c r="O53" s="422" t="str">
        <f t="shared" ca="1" si="7"/>
        <v/>
      </c>
      <c r="P53" s="422" t="str">
        <f t="shared" ca="1" si="7"/>
        <v/>
      </c>
      <c r="Q53" s="422" t="str">
        <f t="shared" ca="1" si="7"/>
        <v/>
      </c>
      <c r="R53" s="422" t="str">
        <f t="shared" ca="1" si="7"/>
        <v/>
      </c>
      <c r="S53" s="422" t="str">
        <f t="shared" ca="1" si="7"/>
        <v/>
      </c>
      <c r="T53" s="422" t="str">
        <f t="shared" ca="1" si="7"/>
        <v/>
      </c>
      <c r="U53" s="422" t="str">
        <f t="shared" ca="1" si="7"/>
        <v/>
      </c>
      <c r="V53" s="416"/>
      <c r="W53" s="416"/>
      <c r="X53" s="619"/>
      <c r="Y53" s="416"/>
      <c r="Z53" s="330"/>
      <c r="AA53" s="354"/>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9" ht="16.05" customHeight="1" thickBot="1" x14ac:dyDescent="0.5">
      <c r="A54" s="289"/>
      <c r="B54" s="586" t="str">
        <f ca="1">IF(
   OR(
      INDIRECT("'1a. Input organisatieniveau'!AA" &amp; (7 + INT((ROW()-4)/7)))="",
      INDIRECT("'1a. Input organisatieniveau'!AA" &amp; (7 + INT((ROW()-4)/7)))=0
   ),
   "",
   INDIRECT("'1a. Input organisatieniveau'!AA" &amp; (7 + INT((ROW()-4)/7)))
)</f>
        <v/>
      </c>
      <c r="C54" s="325" t="s">
        <v>779</v>
      </c>
      <c r="D54" s="434"/>
      <c r="E54" s="429" t="s">
        <v>28</v>
      </c>
      <c r="F54" s="423" t="str">
        <f ca="1">IF($B54="", "", IF($BF57, IF('Hulp (CAO''s)'!J$8&lt;&gt;"",'Hulp (CAO''s)'!J$8,""), INDEX('Hulp (CAO''s)'!J$3:J$7, MATCH(TRUE, 'Hulp (CAO''s)'!$D$3:$D$7, 0))))</f>
        <v/>
      </c>
      <c r="G54" s="423" t="str">
        <f ca="1">IF($B54="", "", IF($BF57, IF('Hulp (CAO''s)'!K$8&lt;&gt;"",'Hulp (CAO''s)'!K$8,""), INDEX('Hulp (CAO''s)'!K$3:K$7, MATCH(TRUE, 'Hulp (CAO''s)'!$D$3:$D$7, 0))))</f>
        <v/>
      </c>
      <c r="H54" s="423" t="str">
        <f ca="1">IF($B54="", "", IF($BF57, IF('Hulp (CAO''s)'!L$8&lt;&gt;"",'Hulp (CAO''s)'!L$8,""), INDEX('Hulp (CAO''s)'!L$3:L$7, MATCH(TRUE, 'Hulp (CAO''s)'!$D$3:$D$7, 0))))</f>
        <v/>
      </c>
      <c r="I54" s="423" t="str">
        <f ca="1">IF($B54="", "", IF($BF57, IF('Hulp (CAO''s)'!M$8&lt;&gt;"",'Hulp (CAO''s)'!M$8,""), INDEX('Hulp (CAO''s)'!M$3:M$7, MATCH(TRUE, 'Hulp (CAO''s)'!$D$3:$D$7, 0))))</f>
        <v/>
      </c>
      <c r="J54" s="423" t="str">
        <f ca="1">IF($B54="", "", IF($BF57, IF('Hulp (CAO''s)'!N$8&lt;&gt;"",'Hulp (CAO''s)'!N$8,""), INDEX('Hulp (CAO''s)'!N$3:N$7, MATCH(TRUE, 'Hulp (CAO''s)'!$D$3:$D$7, 0))))</f>
        <v/>
      </c>
      <c r="K54" s="423" t="str">
        <f ca="1">IF($B54="", "", IF($BF57, IF('Hulp (CAO''s)'!O$8&lt;&gt;"",'Hulp (CAO''s)'!O$8,""), INDEX('Hulp (CAO''s)'!O$3:O$7, MATCH(TRUE, 'Hulp (CAO''s)'!$D$3:$D$7, 0))))</f>
        <v/>
      </c>
      <c r="L54" s="423" t="str">
        <f ca="1">IF($B54="", "", IF($BF57, IF('Hulp (CAO''s)'!P$8&lt;&gt;"",'Hulp (CAO''s)'!P$8,""), INDEX('Hulp (CAO''s)'!P$3:P$7, MATCH(TRUE, 'Hulp (CAO''s)'!$D$3:$D$7, 0))))</f>
        <v/>
      </c>
      <c r="M54" s="423" t="str">
        <f ca="1">IF($B54="", "", IF($BF57, IF('Hulp (CAO''s)'!Q$8&lt;&gt;"",'Hulp (CAO''s)'!Q$8,""), INDEX('Hulp (CAO''s)'!Q$3:Q$7, MATCH(TRUE, 'Hulp (CAO''s)'!$D$3:$D$7, 0))))</f>
        <v/>
      </c>
      <c r="N54" s="423" t="str">
        <f ca="1">IF($B54="", "", IF($BF57, IF('Hulp (CAO''s)'!R$8&lt;&gt;"",'Hulp (CAO''s)'!R$8,""), INDEX('Hulp (CAO''s)'!R$3:R$7, MATCH(TRUE, 'Hulp (CAO''s)'!$D$3:$D$7, 0))))</f>
        <v/>
      </c>
      <c r="O54" s="423" t="str">
        <f ca="1">IF($B54="", "", IF($BF57, IF('Hulp (CAO''s)'!S$8&lt;&gt;"",'Hulp (CAO''s)'!S$8,""), INDEX('Hulp (CAO''s)'!S$3:S$7, MATCH(TRUE, 'Hulp (CAO''s)'!$D$3:$D$7, 0))))</f>
        <v/>
      </c>
      <c r="P54" s="423" t="str">
        <f ca="1">IF($B54="", "", IF($BF57, IF('Hulp (CAO''s)'!T$8&lt;&gt;"",'Hulp (CAO''s)'!T$8,""), INDEX('Hulp (CAO''s)'!T$3:T$7, MATCH(TRUE, 'Hulp (CAO''s)'!$D$3:$D$7, 0))))</f>
        <v/>
      </c>
      <c r="Q54" s="423" t="str">
        <f ca="1">IF($B54="", "", IF($BF57, IF('Hulp (CAO''s)'!U$8&lt;&gt;"",'Hulp (CAO''s)'!U$8,""), INDEX('Hulp (CAO''s)'!U$3:U$7, MATCH(TRUE, 'Hulp (CAO''s)'!$D$3:$D$7, 0))))</f>
        <v/>
      </c>
      <c r="R54" s="423" t="str">
        <f ca="1">IF($B54="", "", IF($BF57, IF('Hulp (CAO''s)'!V$8&lt;&gt;"",'Hulp (CAO''s)'!V$8,""), INDEX('Hulp (CAO''s)'!V$3:V$7, MATCH(TRUE, 'Hulp (CAO''s)'!$D$3:$D$7, 0))))</f>
        <v/>
      </c>
      <c r="S54" s="423" t="str">
        <f ca="1">IF($B54="", "", IF($BF57, IF('Hulp (CAO''s)'!W$8&lt;&gt;"",'Hulp (CAO''s)'!W$8,""), INDEX('Hulp (CAO''s)'!W$3:W$7, MATCH(TRUE, 'Hulp (CAO''s)'!$D$3:$D$7, 0))))</f>
        <v/>
      </c>
      <c r="T54" s="423" t="str">
        <f ca="1">IF($B54="", "", IF($BF57, IF('Hulp (CAO''s)'!X$8&lt;&gt;"",'Hulp (CAO''s)'!X$8,""), INDEX('Hulp (CAO''s)'!X$3:X$7, MATCH(TRUE, 'Hulp (CAO''s)'!$D$3:$D$7, 0))))</f>
        <v/>
      </c>
      <c r="U54" s="424" t="str">
        <f ca="1">IF($B54="", "", IF($BF57, IF('Hulp (CAO''s)'!Y$8&lt;&gt;"",'Hulp (CAO''s)'!Y$8,""), INDEX('Hulp (CAO''s)'!Y$3:Y$7, MATCH(TRUE, 'Hulp (CAO''s)'!$D$3:$D$7, 0))))</f>
        <v/>
      </c>
      <c r="V54" s="417"/>
      <c r="W54" s="343"/>
      <c r="X54" s="617"/>
      <c r="Y54" s="343"/>
      <c r="Z54" s="329"/>
      <c r="AA54" s="320"/>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9" ht="16.05" customHeight="1" x14ac:dyDescent="0.45">
      <c r="A55" s="289"/>
      <c r="B55" s="343"/>
      <c r="C55" s="325" t="s">
        <v>779</v>
      </c>
      <c r="D55" s="772" t="s">
        <v>772</v>
      </c>
      <c r="E55" s="430" t="e">
        <f ca="1">IF($BF57, "", "% t.o.v. max salaris in de schaal")</f>
        <v>#VALUE!</v>
      </c>
      <c r="F55" s="615"/>
      <c r="G55" s="615"/>
      <c r="H55" s="615"/>
      <c r="I55" s="615"/>
      <c r="J55" s="615"/>
      <c r="K55" s="615"/>
      <c r="L55" s="615"/>
      <c r="M55" s="615"/>
      <c r="N55" s="615"/>
      <c r="O55" s="615"/>
      <c r="P55" s="615"/>
      <c r="Q55" s="615"/>
      <c r="R55" s="615"/>
      <c r="S55" s="615"/>
      <c r="T55" s="615"/>
      <c r="U55" s="616"/>
      <c r="V55" s="774" t="s">
        <v>884</v>
      </c>
      <c r="W55" s="332"/>
      <c r="X55" s="776" t="s">
        <v>882</v>
      </c>
      <c r="Y55" s="778" t="s">
        <v>883</v>
      </c>
      <c r="Z55" s="329"/>
      <c r="AA55" s="771" t="s">
        <v>780</v>
      </c>
      <c r="AB55" s="770" t="s">
        <v>1079</v>
      </c>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9" ht="16.05" customHeight="1" thickBot="1" x14ac:dyDescent="0.5">
      <c r="A56" s="289"/>
      <c r="B56" s="343"/>
      <c r="C56" s="325" t="s">
        <v>779</v>
      </c>
      <c r="D56" s="773"/>
      <c r="E56" s="431" t="e">
        <f ca="1">IF($BF57, "", "Trede (gemiddeld)")</f>
        <v>#VALUE!</v>
      </c>
      <c r="F56" s="737"/>
      <c r="G56" s="737"/>
      <c r="H56" s="737"/>
      <c r="I56" s="737"/>
      <c r="J56" s="737"/>
      <c r="K56" s="737"/>
      <c r="L56" s="737"/>
      <c r="M56" s="737"/>
      <c r="N56" s="737"/>
      <c r="O56" s="737"/>
      <c r="P56" s="737"/>
      <c r="Q56" s="737"/>
      <c r="R56" s="737"/>
      <c r="S56" s="737"/>
      <c r="T56" s="737"/>
      <c r="U56" s="740"/>
      <c r="V56" s="775"/>
      <c r="W56" s="294"/>
      <c r="X56" s="777"/>
      <c r="Y56" s="779"/>
      <c r="Z56" s="329"/>
      <c r="AA56" s="771"/>
      <c r="AB56" s="770"/>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9" ht="16.05" customHeight="1" thickBot="1" x14ac:dyDescent="0.5">
      <c r="A57" s="289"/>
      <c r="B57" s="343"/>
      <c r="C57" s="325" t="s">
        <v>779</v>
      </c>
      <c r="E57" s="432" t="str">
        <f>IFERROR(
   INDEX('Hulp (CAO''s)'!$I$3:$I$7, MATCH(TRUE, 'Hulp (CAO''s)'!$D$3:$D$7, 0)),
"")</f>
        <v>Bruto maandsalaris</v>
      </c>
      <c r="F57" s="425" t="e" cm="1">
        <f t="array" aca="1" ref="F57" ca="1">IF($BF57, IF(F54="","",
   INDEX(
      INDIRECT("'" &amp; 'Hulp (CAO''s)'!$AE$8 &amp; "'!" &amp;
               'Hulp (overig)'!$C$17 &amp; "1:" &amp;
               'Hulp (overig)'!$C$17 &amp; "1000"),
      MATCH(
         F54,
         INDIRECT("'" &amp; 'Hulp (CAO''s)'!$AE$8 &amp; "'!A1:A1000"),
         0
      )
   )
), IF($D55="Gebruik % van maximum salaris",
IF(
    OR(F54="",F55=""),
    "",
    MAX(
        INDIRECT(
            "'" &amp; 'Hulp (overig)'!$C$16 &amp; "'!" &amp;
            'Hulp (overig)'!$C$17 &amp;
            MATCH(F54, INDIRECT("'" &amp; 'Hulp (overig)'!$C$16 &amp; "'!A1:A1000"), 0) &amp;
            ":" &amp;
            'Hulp (overig)'!$C$17 &amp;
LOOKUP(
    2,
    1 / (
        (ROW(INDIRECT("'" &amp; 'Hulp (overig)'!$C$16 &amp; "'!B1:B1000")) &lt;
            IF(G54&lt;&gt;"",
               MATCH(G54, INDIRECT("'" &amp; 'Hulp (overig)'!$C$16 &amp; "'!A1:A1000"),0),
               1000
            )
        ) *
        (LEFT(TRIM(INDIRECT("'" &amp; 'Hulp (overig)'!$C$16 &amp; "'!B1:B1000")),1) &lt;&gt; "u")
    ),
    ROW(INDIRECT("'" &amp; 'Hulp (overig)'!$C$16 &amp; "'!B1:B1000"))
)
        )
    ) * F55
),
IF(F56="","",
IF(
    IFERROR(MIN(
        IF(
            (TRIM(INDIRECT("'" &amp; 'Hulp (overig)'!$C$16 &amp; "'!B1:B1000")) = TEXT(F56,"0")) *
            (ROW(INDIRECT("'" &amp; 'Hulp (overig)'!$C$16 &amp; "'!B1:B1000")) &gt;= MATCH(
                F54,
                INDIRECT("'" &amp; 'Hulp (overig)'!$C$16 &amp; "'!A1:A1000"),
                0
            )) *
            IF(
                G54="",
                1,
                (ROW(INDIRECT("'" &amp; 'Hulp (overig)'!$C$16 &amp; "'!B1:B1000")) &lt; MATCH(
                    G54,
                    INDIRECT("'" &amp; 'Hulp (overig)'!$C$16 &amp; "'!A1:A1000"),
                    0
                ))
            ),
            ROW(INDIRECT("'" &amp; 'Hulp (overig)'!$C$16 &amp; "'!B1:B1000"))
        )
    ),0) &lt; 1,
    "",
    IF(INDEX(
        INDIRECT("'" &amp; 'Hulp (overig)'!$C$16 &amp; "'!" &amp;
        'Hulp (overig)'!$C$17 &amp; "1:" &amp; 'Hulp (overig)'!$C$17 &amp; 1000
        ),
        IFERROR(MIN(
            IF(
                (TRIM(INDIRECT("'" &amp; 'Hulp (overig)'!$C$16 &amp; "'!B1:B1000")) = TEXT(F56,"0")) *
                (ROW(INDIRECT("'" &amp; 'Hulp (overig)'!$C$16 &amp; "'!B1:B1000")) &gt;= MATCH(
                    F54,
                    INDIRECT("'" &amp; 'Hulp (overig)'!$C$16 &amp; "'!A1:A1000"),
                    0
                )) *
                IF(
                    G54="",
                    1,
                    (ROW(INDIRECT("'" &amp; 'Hulp (overig)'!$C$16 &amp; "'!B1:B1000")) &lt; MATCH(
                        G54,
                        INDIRECT("'" &amp; 'Hulp (overig)'!$C$16 &amp; "'!A1:A1000"),
                        0
                    ))
                ),
                ROW(INDIRECT("'" &amp; 'Hulp (overig)'!$C$16 &amp; "'!B1:B1000"))
            )
        ),0)
    )=0,"",
INDEX(
        INDIRECT("'" &amp; 'Hulp (overig)'!$C$16 &amp; "'!" &amp;
        'Hulp (overig)'!$C$17 &amp; "1:" &amp; 'Hulp (overig)'!$C$17 &amp; 1000
        ),
        IFERROR(MIN(
            IF(
                (TRIM(INDIRECT("'" &amp; 'Hulp (overig)'!$C$16 &amp; "'!B1:B1000")) = TEXT(F56,"0")) *
                (ROW(INDIRECT("'" &amp; 'Hulp (overig)'!$C$16 &amp; "'!B1:B1000")) &gt;= MATCH(
                    F54,
                    INDIRECT("'" &amp; 'Hulp (overig)'!$C$16 &amp; "'!A1:A1000"),
                    0
                )) *
                IF(
                    G54="",
                    1,
                    (ROW(INDIRECT("'" &amp; 'Hulp (overig)'!$C$16 &amp; "'!B1:B1000")) &lt; MATCH(
                        G54,
                        INDIRECT("'" &amp; 'Hulp (overig)'!$C$16 &amp; "'!A1:A1000"),
                        0
                    ))
                ),
                ROW(INDIRECT("'" &amp; 'Hulp (overig)'!$C$16 &amp; "'!B1:B1000"))
            )
        ),0)
    ))
))))</f>
        <v>#VALUE!</v>
      </c>
      <c r="G57" s="425" t="e" cm="1">
        <f t="array" aca="1" ref="G57" ca="1">IF($BF57, IF(G54="","",
   INDEX(
      INDIRECT("'" &amp; 'Hulp (CAO''s)'!$AE$8 &amp; "'!" &amp;
               'Hulp (overig)'!$C$17 &amp; "1:" &amp;
               'Hulp (overig)'!$C$17 &amp; "1000"),
      MATCH(
         G54,
         INDIRECT("'" &amp; 'Hulp (CAO''s)'!$AE$8 &amp; "'!A1:A1000"),
         0
      )
   )
), IF($D55="Gebruik % van maximum salaris",
IF(
    OR(G54="",G55=""),
    "",
    MAX(
        INDIRECT(
            "'" &amp; 'Hulp (overig)'!$C$16 &amp; "'!" &amp;
            'Hulp (overig)'!$C$17 &amp;
            MATCH(G54, INDIRECT("'" &amp; 'Hulp (overig)'!$C$16 &amp; "'!A1:A1000"), 0) &amp;
            ":" &amp;
            'Hulp (overig)'!$C$17 &amp;
LOOKUP(
    2,
    1 / (
        (ROW(INDIRECT("'" &amp; 'Hulp (overig)'!$C$16 &amp; "'!B1:B1000")) &lt;
            IF(H54&lt;&gt;"",
               MATCH(H54, INDIRECT("'" &amp; 'Hulp (overig)'!$C$16 &amp; "'!A1:A1000"),0),
               1000
            )
        ) *
        (LEFT(TRIM(INDIRECT("'" &amp; 'Hulp (overig)'!$C$16 &amp; "'!B1:B1000")),1) &lt;&gt; "u")
    ),
    ROW(INDIRECT("'" &amp; 'Hulp (overig)'!$C$16 &amp; "'!B1:B1000"))
)
        )
    ) * G55
),
IF(G56="","",
IF(
    IFERROR(MIN(
        IF(
            (TRIM(INDIRECT("'" &amp; 'Hulp (overig)'!$C$16 &amp; "'!B1:B1000")) = TEXT(G56,"0")) *
            (ROW(INDIRECT("'" &amp; 'Hulp (overig)'!$C$16 &amp; "'!B1:B1000")) &gt;= MATCH(
                G54,
                INDIRECT("'" &amp; 'Hulp (overig)'!$C$16 &amp; "'!A1:A1000"),
                0
            )) *
            IF(
                H54="",
                1,
                (ROW(INDIRECT("'" &amp; 'Hulp (overig)'!$C$16 &amp; "'!B1:B1000")) &lt; MATCH(
                    H54,
                    INDIRECT("'" &amp; 'Hulp (overig)'!$C$16 &amp; "'!A1:A1000"),
                    0
                ))
            ),
            ROW(INDIRECT("'" &amp; 'Hulp (overig)'!$C$16 &amp; "'!B1:B1000"))
        )
    ),0) &lt; 1,
    "",
    IF(INDEX(
        INDIRECT("'" &amp; 'Hulp (overig)'!$C$16 &amp; "'!" &amp;
        'Hulp (overig)'!$C$17 &amp; "1:" &amp; 'Hulp (overig)'!$C$17 &amp; 1000
        ),
        IFERROR(MIN(
            IF(
                (TRIM(INDIRECT("'" &amp; 'Hulp (overig)'!$C$16 &amp; "'!B1:B1000")) = TEXT(G56,"0")) *
                (ROW(INDIRECT("'" &amp; 'Hulp (overig)'!$C$16 &amp; "'!B1:B1000")) &gt;= MATCH(
                    G54,
                    INDIRECT("'" &amp; 'Hulp (overig)'!$C$16 &amp; "'!A1:A1000"),
                    0
                )) *
                IF(
                    H54="",
                    1,
                    (ROW(INDIRECT("'" &amp; 'Hulp (overig)'!$C$16 &amp; "'!B1:B1000")) &lt; MATCH(
                        H54,
                        INDIRECT("'" &amp; 'Hulp (overig)'!$C$16 &amp; "'!A1:A1000"),
                        0
                    ))
                ),
                ROW(INDIRECT("'" &amp; 'Hulp (overig)'!$C$16 &amp; "'!B1:B1000"))
            )
        ),0)
    )=0,"",
INDEX(
        INDIRECT("'" &amp; 'Hulp (overig)'!$C$16 &amp; "'!" &amp;
        'Hulp (overig)'!$C$17 &amp; "1:" &amp; 'Hulp (overig)'!$C$17 &amp; 1000
        ),
        IFERROR(MIN(
            IF(
                (TRIM(INDIRECT("'" &amp; 'Hulp (overig)'!$C$16 &amp; "'!B1:B1000")) = TEXT(G56,"0")) *
                (ROW(INDIRECT("'" &amp; 'Hulp (overig)'!$C$16 &amp; "'!B1:B1000")) &gt;= MATCH(
                    G54,
                    INDIRECT("'" &amp; 'Hulp (overig)'!$C$16 &amp; "'!A1:A1000"),
                    0
                )) *
                IF(
                    H54="",
                    1,
                    (ROW(INDIRECT("'" &amp; 'Hulp (overig)'!$C$16 &amp; "'!B1:B1000")) &lt; MATCH(
                        H54,
                        INDIRECT("'" &amp; 'Hulp (overig)'!$C$16 &amp; "'!A1:A1000"),
                        0
                    ))
                ),
                ROW(INDIRECT("'" &amp; 'Hulp (overig)'!$C$16 &amp; "'!B1:B1000"))
            )
        ),0)
    ))
))))</f>
        <v>#VALUE!</v>
      </c>
      <c r="H57" s="425" t="e" cm="1">
        <f t="array" aca="1" ref="H57" ca="1">IF($BF57, IF(H54="","",
   INDEX(
      INDIRECT("'" &amp; 'Hulp (CAO''s)'!$AE$8 &amp; "'!" &amp;
               'Hulp (overig)'!$C$17 &amp; "1:" &amp;
               'Hulp (overig)'!$C$17 &amp; "1000"),
      MATCH(
         H54,
         INDIRECT("'" &amp; 'Hulp (CAO''s)'!$AE$8 &amp; "'!A1:A1000"),
         0
      )
   )
), IF($D55="Gebruik % van maximum salaris",
IF(
    OR(H54="",H55=""),
    "",
    MAX(
        INDIRECT(
            "'" &amp; 'Hulp (overig)'!$C$16 &amp; "'!" &amp;
            'Hulp (overig)'!$C$17 &amp;
            MATCH(H54, INDIRECT("'" &amp; 'Hulp (overig)'!$C$16 &amp; "'!A1:A1000"), 0) &amp;
            ":" &amp;
            'Hulp (overig)'!$C$17 &amp;
LOOKUP(
    2,
    1 / (
        (ROW(INDIRECT("'" &amp; 'Hulp (overig)'!$C$16 &amp; "'!B1:B1000")) &lt;
            IF(I54&lt;&gt;"",
               MATCH(I54, INDIRECT("'" &amp; 'Hulp (overig)'!$C$16 &amp; "'!A1:A1000"),0),
               1000
            )
        ) *
        (LEFT(TRIM(INDIRECT("'" &amp; 'Hulp (overig)'!$C$16 &amp; "'!B1:B1000")),1) &lt;&gt; "u")
    ),
    ROW(INDIRECT("'" &amp; 'Hulp (overig)'!$C$16 &amp; "'!B1:B1000"))
)
        )
    ) * H55
),
IF(H56="","",
IF(
    IFERROR(MIN(
        IF(
            (TRIM(INDIRECT("'" &amp; 'Hulp (overig)'!$C$16 &amp; "'!B1:B1000")) = TEXT(H56,"0")) *
            (ROW(INDIRECT("'" &amp; 'Hulp (overig)'!$C$16 &amp; "'!B1:B1000")) &gt;= MATCH(
                H54,
                INDIRECT("'" &amp; 'Hulp (overig)'!$C$16 &amp; "'!A1:A1000"),
                0
            )) *
            IF(
                I54="",
                1,
                (ROW(INDIRECT("'" &amp; 'Hulp (overig)'!$C$16 &amp; "'!B1:B1000")) &lt; MATCH(
                    I54,
                    INDIRECT("'" &amp; 'Hulp (overig)'!$C$16 &amp; "'!A1:A1000"),
                    0
                ))
            ),
            ROW(INDIRECT("'" &amp; 'Hulp (overig)'!$C$16 &amp; "'!B1:B1000"))
        )
    ),0) &lt; 1,
    "",
    IF(INDEX(
        INDIRECT("'" &amp; 'Hulp (overig)'!$C$16 &amp; "'!" &amp;
        'Hulp (overig)'!$C$17 &amp; "1:" &amp; 'Hulp (overig)'!$C$17 &amp; 1000
        ),
        IFERROR(MIN(
            IF(
                (TRIM(INDIRECT("'" &amp; 'Hulp (overig)'!$C$16 &amp; "'!B1:B1000")) = TEXT(H56,"0")) *
                (ROW(INDIRECT("'" &amp; 'Hulp (overig)'!$C$16 &amp; "'!B1:B1000")) &gt;= MATCH(
                    H54,
                    INDIRECT("'" &amp; 'Hulp (overig)'!$C$16 &amp; "'!A1:A1000"),
                    0
                )) *
                IF(
                    I54="",
                    1,
                    (ROW(INDIRECT("'" &amp; 'Hulp (overig)'!$C$16 &amp; "'!B1:B1000")) &lt; MATCH(
                        I54,
                        INDIRECT("'" &amp; 'Hulp (overig)'!$C$16 &amp; "'!A1:A1000"),
                        0
                    ))
                ),
                ROW(INDIRECT("'" &amp; 'Hulp (overig)'!$C$16 &amp; "'!B1:B1000"))
            )
        ),0)
    )=0,"",
INDEX(
        INDIRECT("'" &amp; 'Hulp (overig)'!$C$16 &amp; "'!" &amp;
        'Hulp (overig)'!$C$17 &amp; "1:" &amp; 'Hulp (overig)'!$C$17 &amp; 1000
        ),
        IFERROR(MIN(
            IF(
                (TRIM(INDIRECT("'" &amp; 'Hulp (overig)'!$C$16 &amp; "'!B1:B1000")) = TEXT(H56,"0")) *
                (ROW(INDIRECT("'" &amp; 'Hulp (overig)'!$C$16 &amp; "'!B1:B1000")) &gt;= MATCH(
                    H54,
                    INDIRECT("'" &amp; 'Hulp (overig)'!$C$16 &amp; "'!A1:A1000"),
                    0
                )) *
                IF(
                    I54="",
                    1,
                    (ROW(INDIRECT("'" &amp; 'Hulp (overig)'!$C$16 &amp; "'!B1:B1000")) &lt; MATCH(
                        I54,
                        INDIRECT("'" &amp; 'Hulp (overig)'!$C$16 &amp; "'!A1:A1000"),
                        0
                    ))
                ),
                ROW(INDIRECT("'" &amp; 'Hulp (overig)'!$C$16 &amp; "'!B1:B1000"))
            )
        ),0)
    ))
))))</f>
        <v>#VALUE!</v>
      </c>
      <c r="I57" s="425" t="e" cm="1">
        <f t="array" aca="1" ref="I57" ca="1">IF($BF57, IF(I54="","",
   INDEX(
      INDIRECT("'" &amp; 'Hulp (CAO''s)'!$AE$8 &amp; "'!" &amp;
               'Hulp (overig)'!$C$17 &amp; "1:" &amp;
               'Hulp (overig)'!$C$17 &amp; "1000"),
      MATCH(
         I54,
         INDIRECT("'" &amp; 'Hulp (CAO''s)'!$AE$8 &amp; "'!A1:A1000"),
         0
      )
   )
), IF($D55="Gebruik % van maximum salaris",
IF(
    OR(I54="",I55=""),
    "",
    MAX(
        INDIRECT(
            "'" &amp; 'Hulp (overig)'!$C$16 &amp; "'!" &amp;
            'Hulp (overig)'!$C$17 &amp;
            MATCH(I54, INDIRECT("'" &amp; 'Hulp (overig)'!$C$16 &amp; "'!A1:A1000"), 0) &amp;
            ":" &amp;
            'Hulp (overig)'!$C$17 &amp;
LOOKUP(
    2,
    1 / (
        (ROW(INDIRECT("'" &amp; 'Hulp (overig)'!$C$16 &amp; "'!B1:B1000")) &lt;
            IF(J54&lt;&gt;"",
               MATCH(J54, INDIRECT("'" &amp; 'Hulp (overig)'!$C$16 &amp; "'!A1:A1000"),0),
               1000
            )
        ) *
        (LEFT(TRIM(INDIRECT("'" &amp; 'Hulp (overig)'!$C$16 &amp; "'!B1:B1000")),1) &lt;&gt; "u")
    ),
    ROW(INDIRECT("'" &amp; 'Hulp (overig)'!$C$16 &amp; "'!B1:B1000"))
)
        )
    ) * I55
),
IF(I56="","",
IF(
    IFERROR(MIN(
        IF(
            (TRIM(INDIRECT("'" &amp; 'Hulp (overig)'!$C$16 &amp; "'!B1:B1000")) = TEXT(I56,"0")) *
            (ROW(INDIRECT("'" &amp; 'Hulp (overig)'!$C$16 &amp; "'!B1:B1000")) &gt;= MATCH(
                I54,
                INDIRECT("'" &amp; 'Hulp (overig)'!$C$16 &amp; "'!A1:A1000"),
                0
            )) *
            IF(
                J54="",
                1,
                (ROW(INDIRECT("'" &amp; 'Hulp (overig)'!$C$16 &amp; "'!B1:B1000")) &lt; MATCH(
                    J54,
                    INDIRECT("'" &amp; 'Hulp (overig)'!$C$16 &amp; "'!A1:A1000"),
                    0
                ))
            ),
            ROW(INDIRECT("'" &amp; 'Hulp (overig)'!$C$16 &amp; "'!B1:B1000"))
        )
    ),0) &lt; 1,
    "",
    IF(INDEX(
        INDIRECT("'" &amp; 'Hulp (overig)'!$C$16 &amp; "'!" &amp;
        'Hulp (overig)'!$C$17 &amp; "1:" &amp; 'Hulp (overig)'!$C$17 &amp; 1000
        ),
        IFERROR(MIN(
            IF(
                (TRIM(INDIRECT("'" &amp; 'Hulp (overig)'!$C$16 &amp; "'!B1:B1000")) = TEXT(I56,"0")) *
                (ROW(INDIRECT("'" &amp; 'Hulp (overig)'!$C$16 &amp; "'!B1:B1000")) &gt;= MATCH(
                    I54,
                    INDIRECT("'" &amp; 'Hulp (overig)'!$C$16 &amp; "'!A1:A1000"),
                    0
                )) *
                IF(
                    J54="",
                    1,
                    (ROW(INDIRECT("'" &amp; 'Hulp (overig)'!$C$16 &amp; "'!B1:B1000")) &lt; MATCH(
                        J54,
                        INDIRECT("'" &amp; 'Hulp (overig)'!$C$16 &amp; "'!A1:A1000"),
                        0
                    ))
                ),
                ROW(INDIRECT("'" &amp; 'Hulp (overig)'!$C$16 &amp; "'!B1:B1000"))
            )
        ),0)
    )=0,"",
INDEX(
        INDIRECT("'" &amp; 'Hulp (overig)'!$C$16 &amp; "'!" &amp;
        'Hulp (overig)'!$C$17 &amp; "1:" &amp; 'Hulp (overig)'!$C$17 &amp; 1000
        ),
        IFERROR(MIN(
            IF(
                (TRIM(INDIRECT("'" &amp; 'Hulp (overig)'!$C$16 &amp; "'!B1:B1000")) = TEXT(I56,"0")) *
                (ROW(INDIRECT("'" &amp; 'Hulp (overig)'!$C$16 &amp; "'!B1:B1000")) &gt;= MATCH(
                    I54,
                    INDIRECT("'" &amp; 'Hulp (overig)'!$C$16 &amp; "'!A1:A1000"),
                    0
                )) *
                IF(
                    J54="",
                    1,
                    (ROW(INDIRECT("'" &amp; 'Hulp (overig)'!$C$16 &amp; "'!B1:B1000")) &lt; MATCH(
                        J54,
                        INDIRECT("'" &amp; 'Hulp (overig)'!$C$16 &amp; "'!A1:A1000"),
                        0
                    ))
                ),
                ROW(INDIRECT("'" &amp; 'Hulp (overig)'!$C$16 &amp; "'!B1:B1000"))
            )
        ),0)
    ))
))))</f>
        <v>#VALUE!</v>
      </c>
      <c r="J57" s="425" t="e" cm="1">
        <f t="array" aca="1" ref="J57" ca="1">IF($BF57, IF(J54="","",
   INDEX(
      INDIRECT("'" &amp; 'Hulp (CAO''s)'!$AE$8 &amp; "'!" &amp;
               'Hulp (overig)'!$C$17 &amp; "1:" &amp;
               'Hulp (overig)'!$C$17 &amp; "1000"),
      MATCH(
         J54,
         INDIRECT("'" &amp; 'Hulp (CAO''s)'!$AE$8 &amp; "'!A1:A1000"),
         0
      )
   )
), IF($D55="Gebruik % van maximum salaris",
IF(
    OR(J54="",J55=""),
    "",
    MAX(
        INDIRECT(
            "'" &amp; 'Hulp (overig)'!$C$16 &amp; "'!" &amp;
            'Hulp (overig)'!$C$17 &amp;
            MATCH(J54, INDIRECT("'" &amp; 'Hulp (overig)'!$C$16 &amp; "'!A1:A1000"), 0) &amp;
            ":" &amp;
            'Hulp (overig)'!$C$17 &amp;
LOOKUP(
    2,
    1 / (
        (ROW(INDIRECT("'" &amp; 'Hulp (overig)'!$C$16 &amp; "'!B1:B1000")) &lt;
            IF(K54&lt;&gt;"",
               MATCH(K54, INDIRECT("'" &amp; 'Hulp (overig)'!$C$16 &amp; "'!A1:A1000"),0),
               1000
            )
        ) *
        (LEFT(TRIM(INDIRECT("'" &amp; 'Hulp (overig)'!$C$16 &amp; "'!B1:B1000")),1) &lt;&gt; "u")
    ),
    ROW(INDIRECT("'" &amp; 'Hulp (overig)'!$C$16 &amp; "'!B1:B1000"))
)
        )
    ) * J55
),
IF(J56="","",
IF(
    IFERROR(MIN(
        IF(
            (TRIM(INDIRECT("'" &amp; 'Hulp (overig)'!$C$16 &amp; "'!B1:B1000")) = TEXT(J56,"0")) *
            (ROW(INDIRECT("'" &amp; 'Hulp (overig)'!$C$16 &amp; "'!B1:B1000")) &gt;= MATCH(
                J54,
                INDIRECT("'" &amp; 'Hulp (overig)'!$C$16 &amp; "'!A1:A1000"),
                0
            )) *
            IF(
                K54="",
                1,
                (ROW(INDIRECT("'" &amp; 'Hulp (overig)'!$C$16 &amp; "'!B1:B1000")) &lt; MATCH(
                    K54,
                    INDIRECT("'" &amp; 'Hulp (overig)'!$C$16 &amp; "'!A1:A1000"),
                    0
                ))
            ),
            ROW(INDIRECT("'" &amp; 'Hulp (overig)'!$C$16 &amp; "'!B1:B1000"))
        )
    ),0) &lt; 1,
    "",
    IF(INDEX(
        INDIRECT("'" &amp; 'Hulp (overig)'!$C$16 &amp; "'!" &amp;
        'Hulp (overig)'!$C$17 &amp; "1:" &amp; 'Hulp (overig)'!$C$17 &amp; 1000
        ),
        IFERROR(MIN(
            IF(
                (TRIM(INDIRECT("'" &amp; 'Hulp (overig)'!$C$16 &amp; "'!B1:B1000")) = TEXT(J56,"0")) *
                (ROW(INDIRECT("'" &amp; 'Hulp (overig)'!$C$16 &amp; "'!B1:B1000")) &gt;= MATCH(
                    J54,
                    INDIRECT("'" &amp; 'Hulp (overig)'!$C$16 &amp; "'!A1:A1000"),
                    0
                )) *
                IF(
                    K54="",
                    1,
                    (ROW(INDIRECT("'" &amp; 'Hulp (overig)'!$C$16 &amp; "'!B1:B1000")) &lt; MATCH(
                        K54,
                        INDIRECT("'" &amp; 'Hulp (overig)'!$C$16 &amp; "'!A1:A1000"),
                        0
                    ))
                ),
                ROW(INDIRECT("'" &amp; 'Hulp (overig)'!$C$16 &amp; "'!B1:B1000"))
            )
        ),0)
    )=0,"",
INDEX(
        INDIRECT("'" &amp; 'Hulp (overig)'!$C$16 &amp; "'!" &amp;
        'Hulp (overig)'!$C$17 &amp; "1:" &amp; 'Hulp (overig)'!$C$17 &amp; 1000
        ),
        IFERROR(MIN(
            IF(
                (TRIM(INDIRECT("'" &amp; 'Hulp (overig)'!$C$16 &amp; "'!B1:B1000")) = TEXT(J56,"0")) *
                (ROW(INDIRECT("'" &amp; 'Hulp (overig)'!$C$16 &amp; "'!B1:B1000")) &gt;= MATCH(
                    J54,
                    INDIRECT("'" &amp; 'Hulp (overig)'!$C$16 &amp; "'!A1:A1000"),
                    0
                )) *
                IF(
                    K54="",
                    1,
                    (ROW(INDIRECT("'" &amp; 'Hulp (overig)'!$C$16 &amp; "'!B1:B1000")) &lt; MATCH(
                        K54,
                        INDIRECT("'" &amp; 'Hulp (overig)'!$C$16 &amp; "'!A1:A1000"),
                        0
                    ))
                ),
                ROW(INDIRECT("'" &amp; 'Hulp (overig)'!$C$16 &amp; "'!B1:B1000"))
            )
        ),0)
    ))
))))</f>
        <v>#VALUE!</v>
      </c>
      <c r="K57" s="425" t="e" cm="1">
        <f t="array" aca="1" ref="K57" ca="1">IF($BF57, IF(K54="","",
   INDEX(
      INDIRECT("'" &amp; 'Hulp (CAO''s)'!$AE$8 &amp; "'!" &amp;
               'Hulp (overig)'!$C$17 &amp; "1:" &amp;
               'Hulp (overig)'!$C$17 &amp; "1000"),
      MATCH(
         K54,
         INDIRECT("'" &amp; 'Hulp (CAO''s)'!$AE$8 &amp; "'!A1:A1000"),
         0
      )
   )
), IF($D55="Gebruik % van maximum salaris",
IF(
    OR(K54="",K55=""),
    "",
    MAX(
        INDIRECT(
            "'" &amp; 'Hulp (overig)'!$C$16 &amp; "'!" &amp;
            'Hulp (overig)'!$C$17 &amp;
            MATCH(K54, INDIRECT("'" &amp; 'Hulp (overig)'!$C$16 &amp; "'!A1:A1000"), 0) &amp;
            ":" &amp;
            'Hulp (overig)'!$C$17 &amp;
LOOKUP(
    2,
    1 / (
        (ROW(INDIRECT("'" &amp; 'Hulp (overig)'!$C$16 &amp; "'!B1:B1000")) &lt;
            IF(L54&lt;&gt;"",
               MATCH(L54, INDIRECT("'" &amp; 'Hulp (overig)'!$C$16 &amp; "'!A1:A1000"),0),
               1000
            )
        ) *
        (LEFT(TRIM(INDIRECT("'" &amp; 'Hulp (overig)'!$C$16 &amp; "'!B1:B1000")),1) &lt;&gt; "u")
    ),
    ROW(INDIRECT("'" &amp; 'Hulp (overig)'!$C$16 &amp; "'!B1:B1000"))
)
        )
    ) * K55
),
IF(K56="","",
IF(
    IFERROR(MIN(
        IF(
            (TRIM(INDIRECT("'" &amp; 'Hulp (overig)'!$C$16 &amp; "'!B1:B1000")) = TEXT(K56,"0")) *
            (ROW(INDIRECT("'" &amp; 'Hulp (overig)'!$C$16 &amp; "'!B1:B1000")) &gt;= MATCH(
                K54,
                INDIRECT("'" &amp; 'Hulp (overig)'!$C$16 &amp; "'!A1:A1000"),
                0
            )) *
            IF(
                L54="",
                1,
                (ROW(INDIRECT("'" &amp; 'Hulp (overig)'!$C$16 &amp; "'!B1:B1000")) &lt; MATCH(
                    L54,
                    INDIRECT("'" &amp; 'Hulp (overig)'!$C$16 &amp; "'!A1:A1000"),
                    0
                ))
            ),
            ROW(INDIRECT("'" &amp; 'Hulp (overig)'!$C$16 &amp; "'!B1:B1000"))
        )
    ),0) &lt; 1,
    "",
    IF(INDEX(
        INDIRECT("'" &amp; 'Hulp (overig)'!$C$16 &amp; "'!" &amp;
        'Hulp (overig)'!$C$17 &amp; "1:" &amp; 'Hulp (overig)'!$C$17 &amp; 1000
        ),
        IFERROR(MIN(
            IF(
                (TRIM(INDIRECT("'" &amp; 'Hulp (overig)'!$C$16 &amp; "'!B1:B1000")) = TEXT(K56,"0")) *
                (ROW(INDIRECT("'" &amp; 'Hulp (overig)'!$C$16 &amp; "'!B1:B1000")) &gt;= MATCH(
                    K54,
                    INDIRECT("'" &amp; 'Hulp (overig)'!$C$16 &amp; "'!A1:A1000"),
                    0
                )) *
                IF(
                    L54="",
                    1,
                    (ROW(INDIRECT("'" &amp; 'Hulp (overig)'!$C$16 &amp; "'!B1:B1000")) &lt; MATCH(
                        L54,
                        INDIRECT("'" &amp; 'Hulp (overig)'!$C$16 &amp; "'!A1:A1000"),
                        0
                    ))
                ),
                ROW(INDIRECT("'" &amp; 'Hulp (overig)'!$C$16 &amp; "'!B1:B1000"))
            )
        ),0)
    )=0,"",
INDEX(
        INDIRECT("'" &amp; 'Hulp (overig)'!$C$16 &amp; "'!" &amp;
        'Hulp (overig)'!$C$17 &amp; "1:" &amp; 'Hulp (overig)'!$C$17 &amp; 1000
        ),
        IFERROR(MIN(
            IF(
                (TRIM(INDIRECT("'" &amp; 'Hulp (overig)'!$C$16 &amp; "'!B1:B1000")) = TEXT(K56,"0")) *
                (ROW(INDIRECT("'" &amp; 'Hulp (overig)'!$C$16 &amp; "'!B1:B1000")) &gt;= MATCH(
                    K54,
                    INDIRECT("'" &amp; 'Hulp (overig)'!$C$16 &amp; "'!A1:A1000"),
                    0
                )) *
                IF(
                    L54="",
                    1,
                    (ROW(INDIRECT("'" &amp; 'Hulp (overig)'!$C$16 &amp; "'!B1:B1000")) &lt; MATCH(
                        L54,
                        INDIRECT("'" &amp; 'Hulp (overig)'!$C$16 &amp; "'!A1:A1000"),
                        0
                    ))
                ),
                ROW(INDIRECT("'" &amp; 'Hulp (overig)'!$C$16 &amp; "'!B1:B1000"))
            )
        ),0)
    ))
))))</f>
        <v>#VALUE!</v>
      </c>
      <c r="L57" s="425" t="e" cm="1">
        <f t="array" aca="1" ref="L57" ca="1">IF($BF57, IF(L54="","",
   INDEX(
      INDIRECT("'" &amp; 'Hulp (CAO''s)'!$AE$8 &amp; "'!" &amp;
               'Hulp (overig)'!$C$17 &amp; "1:" &amp;
               'Hulp (overig)'!$C$17 &amp; "1000"),
      MATCH(
         L54,
         INDIRECT("'" &amp; 'Hulp (CAO''s)'!$AE$8 &amp; "'!A1:A1000"),
         0
      )
   )
), IF($D55="Gebruik % van maximum salaris",
IF(
    OR(L54="",L55=""),
    "",
    MAX(
        INDIRECT(
            "'" &amp; 'Hulp (overig)'!$C$16 &amp; "'!" &amp;
            'Hulp (overig)'!$C$17 &amp;
            MATCH(L54, INDIRECT("'" &amp; 'Hulp (overig)'!$C$16 &amp; "'!A1:A1000"), 0) &amp;
            ":" &amp;
            'Hulp (overig)'!$C$17 &amp;
LOOKUP(
    2,
    1 / (
        (ROW(INDIRECT("'" &amp; 'Hulp (overig)'!$C$16 &amp; "'!B1:B1000")) &lt;
            IF(M54&lt;&gt;"",
               MATCH(M54, INDIRECT("'" &amp; 'Hulp (overig)'!$C$16 &amp; "'!A1:A1000"),0),
               1000
            )
        ) *
        (LEFT(TRIM(INDIRECT("'" &amp; 'Hulp (overig)'!$C$16 &amp; "'!B1:B1000")),1) &lt;&gt; "u")
    ),
    ROW(INDIRECT("'" &amp; 'Hulp (overig)'!$C$16 &amp; "'!B1:B1000"))
)
        )
    ) * L55
),
IF(L56="","",
IF(
    IFERROR(MIN(
        IF(
            (TRIM(INDIRECT("'" &amp; 'Hulp (overig)'!$C$16 &amp; "'!B1:B1000")) = TEXT(L56,"0")) *
            (ROW(INDIRECT("'" &amp; 'Hulp (overig)'!$C$16 &amp; "'!B1:B1000")) &gt;= MATCH(
                L54,
                INDIRECT("'" &amp; 'Hulp (overig)'!$C$16 &amp; "'!A1:A1000"),
                0
            )) *
            IF(
                M54="",
                1,
                (ROW(INDIRECT("'" &amp; 'Hulp (overig)'!$C$16 &amp; "'!B1:B1000")) &lt; MATCH(
                    M54,
                    INDIRECT("'" &amp; 'Hulp (overig)'!$C$16 &amp; "'!A1:A1000"),
                    0
                ))
            ),
            ROW(INDIRECT("'" &amp; 'Hulp (overig)'!$C$16 &amp; "'!B1:B1000"))
        )
    ),0) &lt; 1,
    "",
    IF(INDEX(
        INDIRECT("'" &amp; 'Hulp (overig)'!$C$16 &amp; "'!" &amp;
        'Hulp (overig)'!$C$17 &amp; "1:" &amp; 'Hulp (overig)'!$C$17 &amp; 1000
        ),
        IFERROR(MIN(
            IF(
                (TRIM(INDIRECT("'" &amp; 'Hulp (overig)'!$C$16 &amp; "'!B1:B1000")) = TEXT(L56,"0")) *
                (ROW(INDIRECT("'" &amp; 'Hulp (overig)'!$C$16 &amp; "'!B1:B1000")) &gt;= MATCH(
                    L54,
                    INDIRECT("'" &amp; 'Hulp (overig)'!$C$16 &amp; "'!A1:A1000"),
                    0
                )) *
                IF(
                    M54="",
                    1,
                    (ROW(INDIRECT("'" &amp; 'Hulp (overig)'!$C$16 &amp; "'!B1:B1000")) &lt; MATCH(
                        M54,
                        INDIRECT("'" &amp; 'Hulp (overig)'!$C$16 &amp; "'!A1:A1000"),
                        0
                    ))
                ),
                ROW(INDIRECT("'" &amp; 'Hulp (overig)'!$C$16 &amp; "'!B1:B1000"))
            )
        ),0)
    )=0,"",
INDEX(
        INDIRECT("'" &amp; 'Hulp (overig)'!$C$16 &amp; "'!" &amp;
        'Hulp (overig)'!$C$17 &amp; "1:" &amp; 'Hulp (overig)'!$C$17 &amp; 1000
        ),
        IFERROR(MIN(
            IF(
                (TRIM(INDIRECT("'" &amp; 'Hulp (overig)'!$C$16 &amp; "'!B1:B1000")) = TEXT(L56,"0")) *
                (ROW(INDIRECT("'" &amp; 'Hulp (overig)'!$C$16 &amp; "'!B1:B1000")) &gt;= MATCH(
                    L54,
                    INDIRECT("'" &amp; 'Hulp (overig)'!$C$16 &amp; "'!A1:A1000"),
                    0
                )) *
                IF(
                    M54="",
                    1,
                    (ROW(INDIRECT("'" &amp; 'Hulp (overig)'!$C$16 &amp; "'!B1:B1000")) &lt; MATCH(
                        M54,
                        INDIRECT("'" &amp; 'Hulp (overig)'!$C$16 &amp; "'!A1:A1000"),
                        0
                    ))
                ),
                ROW(INDIRECT("'" &amp; 'Hulp (overig)'!$C$16 &amp; "'!B1:B1000"))
            )
        ),0)
    ))
))))</f>
        <v>#VALUE!</v>
      </c>
      <c r="M57" s="425" t="e" cm="1">
        <f t="array" aca="1" ref="M57" ca="1">IF($BF57, IF(M54="","",
   INDEX(
      INDIRECT("'" &amp; 'Hulp (CAO''s)'!$AE$8 &amp; "'!" &amp;
               'Hulp (overig)'!$C$17 &amp; "1:" &amp;
               'Hulp (overig)'!$C$17 &amp; "1000"),
      MATCH(
         M54,
         INDIRECT("'" &amp; 'Hulp (CAO''s)'!$AE$8 &amp; "'!A1:A1000"),
         0
      )
   )
), IF($D55="Gebruik % van maximum salaris",
IF(
    OR(M54="",M55=""),
    "",
    MAX(
        INDIRECT(
            "'" &amp; 'Hulp (overig)'!$C$16 &amp; "'!" &amp;
            'Hulp (overig)'!$C$17 &amp;
            MATCH(M54, INDIRECT("'" &amp; 'Hulp (overig)'!$C$16 &amp; "'!A1:A1000"), 0) &amp;
            ":" &amp;
            'Hulp (overig)'!$C$17 &amp;
LOOKUP(
    2,
    1 / (
        (ROW(INDIRECT("'" &amp; 'Hulp (overig)'!$C$16 &amp; "'!B1:B1000")) &lt;
            IF(N54&lt;&gt;"",
               MATCH(N54, INDIRECT("'" &amp; 'Hulp (overig)'!$C$16 &amp; "'!A1:A1000"),0),
               1000
            )
        ) *
        (LEFT(TRIM(INDIRECT("'" &amp; 'Hulp (overig)'!$C$16 &amp; "'!B1:B1000")),1) &lt;&gt; "u")
    ),
    ROW(INDIRECT("'" &amp; 'Hulp (overig)'!$C$16 &amp; "'!B1:B1000"))
)
        )
    ) * M55
),
IF(M56="","",
IF(
    IFERROR(MIN(
        IF(
            (TRIM(INDIRECT("'" &amp; 'Hulp (overig)'!$C$16 &amp; "'!B1:B1000")) = TEXT(M56,"0")) *
            (ROW(INDIRECT("'" &amp; 'Hulp (overig)'!$C$16 &amp; "'!B1:B1000")) &gt;= MATCH(
                M54,
                INDIRECT("'" &amp; 'Hulp (overig)'!$C$16 &amp; "'!A1:A1000"),
                0
            )) *
            IF(
                N54="",
                1,
                (ROW(INDIRECT("'" &amp; 'Hulp (overig)'!$C$16 &amp; "'!B1:B1000")) &lt; MATCH(
                    N54,
                    INDIRECT("'" &amp; 'Hulp (overig)'!$C$16 &amp; "'!A1:A1000"),
                    0
                ))
            ),
            ROW(INDIRECT("'" &amp; 'Hulp (overig)'!$C$16 &amp; "'!B1:B1000"))
        )
    ),0) &lt; 1,
    "",
    IF(INDEX(
        INDIRECT("'" &amp; 'Hulp (overig)'!$C$16 &amp; "'!" &amp;
        'Hulp (overig)'!$C$17 &amp; "1:" &amp; 'Hulp (overig)'!$C$17 &amp; 1000
        ),
        IFERROR(MIN(
            IF(
                (TRIM(INDIRECT("'" &amp; 'Hulp (overig)'!$C$16 &amp; "'!B1:B1000")) = TEXT(M56,"0")) *
                (ROW(INDIRECT("'" &amp; 'Hulp (overig)'!$C$16 &amp; "'!B1:B1000")) &gt;= MATCH(
                    M54,
                    INDIRECT("'" &amp; 'Hulp (overig)'!$C$16 &amp; "'!A1:A1000"),
                    0
                )) *
                IF(
                    N54="",
                    1,
                    (ROW(INDIRECT("'" &amp; 'Hulp (overig)'!$C$16 &amp; "'!B1:B1000")) &lt; MATCH(
                        N54,
                        INDIRECT("'" &amp; 'Hulp (overig)'!$C$16 &amp; "'!A1:A1000"),
                        0
                    ))
                ),
                ROW(INDIRECT("'" &amp; 'Hulp (overig)'!$C$16 &amp; "'!B1:B1000"))
            )
        ),0)
    )=0,"",
INDEX(
        INDIRECT("'" &amp; 'Hulp (overig)'!$C$16 &amp; "'!" &amp;
        'Hulp (overig)'!$C$17 &amp; "1:" &amp; 'Hulp (overig)'!$C$17 &amp; 1000
        ),
        IFERROR(MIN(
            IF(
                (TRIM(INDIRECT("'" &amp; 'Hulp (overig)'!$C$16 &amp; "'!B1:B1000")) = TEXT(M56,"0")) *
                (ROW(INDIRECT("'" &amp; 'Hulp (overig)'!$C$16 &amp; "'!B1:B1000")) &gt;= MATCH(
                    M54,
                    INDIRECT("'" &amp; 'Hulp (overig)'!$C$16 &amp; "'!A1:A1000"),
                    0
                )) *
                IF(
                    N54="",
                    1,
                    (ROW(INDIRECT("'" &amp; 'Hulp (overig)'!$C$16 &amp; "'!B1:B1000")) &lt; MATCH(
                        N54,
                        INDIRECT("'" &amp; 'Hulp (overig)'!$C$16 &amp; "'!A1:A1000"),
                        0
                    ))
                ),
                ROW(INDIRECT("'" &amp; 'Hulp (overig)'!$C$16 &amp; "'!B1:B1000"))
            )
        ),0)
    ))
))))</f>
        <v>#VALUE!</v>
      </c>
      <c r="N57" s="425" t="e" cm="1">
        <f t="array" aca="1" ref="N57" ca="1">IF($BF57, IF(N54="","",
   INDEX(
      INDIRECT("'" &amp; 'Hulp (CAO''s)'!$AE$8 &amp; "'!" &amp;
               'Hulp (overig)'!$C$17 &amp; "1:" &amp;
               'Hulp (overig)'!$C$17 &amp; "1000"),
      MATCH(
         N54,
         INDIRECT("'" &amp; 'Hulp (CAO''s)'!$AE$8 &amp; "'!A1:A1000"),
         0
      )
   )
), IF($D55="Gebruik % van maximum salaris",
IF(
    OR(N54="",N55=""),
    "",
    MAX(
        INDIRECT(
            "'" &amp; 'Hulp (overig)'!$C$16 &amp; "'!" &amp;
            'Hulp (overig)'!$C$17 &amp;
            MATCH(N54, INDIRECT("'" &amp; 'Hulp (overig)'!$C$16 &amp; "'!A1:A1000"), 0) &amp;
            ":" &amp;
            'Hulp (overig)'!$C$17 &amp;
LOOKUP(
    2,
    1 / (
        (ROW(INDIRECT("'" &amp; 'Hulp (overig)'!$C$16 &amp; "'!B1:B1000")) &lt;
            IF(O54&lt;&gt;"",
               MATCH(O54, INDIRECT("'" &amp; 'Hulp (overig)'!$C$16 &amp; "'!A1:A1000"),0),
               1000
            )
        ) *
        (LEFT(TRIM(INDIRECT("'" &amp; 'Hulp (overig)'!$C$16 &amp; "'!B1:B1000")),1) &lt;&gt; "u")
    ),
    ROW(INDIRECT("'" &amp; 'Hulp (overig)'!$C$16 &amp; "'!B1:B1000"))
)
        )
    ) * N55
),
IF(N56="","",
IF(
    IFERROR(MIN(
        IF(
            (TRIM(INDIRECT("'" &amp; 'Hulp (overig)'!$C$16 &amp; "'!B1:B1000")) = TEXT(N56,"0")) *
            (ROW(INDIRECT("'" &amp; 'Hulp (overig)'!$C$16 &amp; "'!B1:B1000")) &gt;= MATCH(
                N54,
                INDIRECT("'" &amp; 'Hulp (overig)'!$C$16 &amp; "'!A1:A1000"),
                0
            )) *
            IF(
                O54="",
                1,
                (ROW(INDIRECT("'" &amp; 'Hulp (overig)'!$C$16 &amp; "'!B1:B1000")) &lt; MATCH(
                    O54,
                    INDIRECT("'" &amp; 'Hulp (overig)'!$C$16 &amp; "'!A1:A1000"),
                    0
                ))
            ),
            ROW(INDIRECT("'" &amp; 'Hulp (overig)'!$C$16 &amp; "'!B1:B1000"))
        )
    ),0) &lt; 1,
    "",
    IF(INDEX(
        INDIRECT("'" &amp; 'Hulp (overig)'!$C$16 &amp; "'!" &amp;
        'Hulp (overig)'!$C$17 &amp; "1:" &amp; 'Hulp (overig)'!$C$17 &amp; 1000
        ),
        IFERROR(MIN(
            IF(
                (TRIM(INDIRECT("'" &amp; 'Hulp (overig)'!$C$16 &amp; "'!B1:B1000")) = TEXT(N56,"0")) *
                (ROW(INDIRECT("'" &amp; 'Hulp (overig)'!$C$16 &amp; "'!B1:B1000")) &gt;= MATCH(
                    N54,
                    INDIRECT("'" &amp; 'Hulp (overig)'!$C$16 &amp; "'!A1:A1000"),
                    0
                )) *
                IF(
                    O54="",
                    1,
                    (ROW(INDIRECT("'" &amp; 'Hulp (overig)'!$C$16 &amp; "'!B1:B1000")) &lt; MATCH(
                        O54,
                        INDIRECT("'" &amp; 'Hulp (overig)'!$C$16 &amp; "'!A1:A1000"),
                        0
                    ))
                ),
                ROW(INDIRECT("'" &amp; 'Hulp (overig)'!$C$16 &amp; "'!B1:B1000"))
            )
        ),0)
    )=0,"",
INDEX(
        INDIRECT("'" &amp; 'Hulp (overig)'!$C$16 &amp; "'!" &amp;
        'Hulp (overig)'!$C$17 &amp; "1:" &amp; 'Hulp (overig)'!$C$17 &amp; 1000
        ),
        IFERROR(MIN(
            IF(
                (TRIM(INDIRECT("'" &amp; 'Hulp (overig)'!$C$16 &amp; "'!B1:B1000")) = TEXT(N56,"0")) *
                (ROW(INDIRECT("'" &amp; 'Hulp (overig)'!$C$16 &amp; "'!B1:B1000")) &gt;= MATCH(
                    N54,
                    INDIRECT("'" &amp; 'Hulp (overig)'!$C$16 &amp; "'!A1:A1000"),
                    0
                )) *
                IF(
                    O54="",
                    1,
                    (ROW(INDIRECT("'" &amp; 'Hulp (overig)'!$C$16 &amp; "'!B1:B1000")) &lt; MATCH(
                        O54,
                        INDIRECT("'" &amp; 'Hulp (overig)'!$C$16 &amp; "'!A1:A1000"),
                        0
                    ))
                ),
                ROW(INDIRECT("'" &amp; 'Hulp (overig)'!$C$16 &amp; "'!B1:B1000"))
            )
        ),0)
    ))
))))</f>
        <v>#VALUE!</v>
      </c>
      <c r="O57" s="425" t="e" cm="1">
        <f t="array" aca="1" ref="O57" ca="1">IF($BF57, IF(O54="","",
   INDEX(
      INDIRECT("'" &amp; 'Hulp (CAO''s)'!$AE$8 &amp; "'!" &amp;
               'Hulp (overig)'!$C$17 &amp; "1:" &amp;
               'Hulp (overig)'!$C$17 &amp; "1000"),
      MATCH(
         O54,
         INDIRECT("'" &amp; 'Hulp (CAO''s)'!$AE$8 &amp; "'!A1:A1000"),
         0
      )
   )
), IF($D55="Gebruik % van maximum salaris",
IF(
    OR(O54="",O55=""),
    "",
    MAX(
        INDIRECT(
            "'" &amp; 'Hulp (overig)'!$C$16 &amp; "'!" &amp;
            'Hulp (overig)'!$C$17 &amp;
            MATCH(O54, INDIRECT("'" &amp; 'Hulp (overig)'!$C$16 &amp; "'!A1:A1000"), 0) &amp;
            ":" &amp;
            'Hulp (overig)'!$C$17 &amp;
LOOKUP(
    2,
    1 / (
        (ROW(INDIRECT("'" &amp; 'Hulp (overig)'!$C$16 &amp; "'!B1:B1000")) &lt;
            IF(P54&lt;&gt;"",
               MATCH(P54, INDIRECT("'" &amp; 'Hulp (overig)'!$C$16 &amp; "'!A1:A1000"),0),
               1000
            )
        ) *
        (LEFT(TRIM(INDIRECT("'" &amp; 'Hulp (overig)'!$C$16 &amp; "'!B1:B1000")),1) &lt;&gt; "u")
    ),
    ROW(INDIRECT("'" &amp; 'Hulp (overig)'!$C$16 &amp; "'!B1:B1000"))
)
        )
    ) * O55
),
IF(O56="","",
IF(
    IFERROR(MIN(
        IF(
            (TRIM(INDIRECT("'" &amp; 'Hulp (overig)'!$C$16 &amp; "'!B1:B1000")) = TEXT(O56,"0")) *
            (ROW(INDIRECT("'" &amp; 'Hulp (overig)'!$C$16 &amp; "'!B1:B1000")) &gt;= MATCH(
                O54,
                INDIRECT("'" &amp; 'Hulp (overig)'!$C$16 &amp; "'!A1:A1000"),
                0
            )) *
            IF(
                P54="",
                1,
                (ROW(INDIRECT("'" &amp; 'Hulp (overig)'!$C$16 &amp; "'!B1:B1000")) &lt; MATCH(
                    P54,
                    INDIRECT("'" &amp; 'Hulp (overig)'!$C$16 &amp; "'!A1:A1000"),
                    0
                ))
            ),
            ROW(INDIRECT("'" &amp; 'Hulp (overig)'!$C$16 &amp; "'!B1:B1000"))
        )
    ),0) &lt; 1,
    "",
    IF(INDEX(
        INDIRECT("'" &amp; 'Hulp (overig)'!$C$16 &amp; "'!" &amp;
        'Hulp (overig)'!$C$17 &amp; "1:" &amp; 'Hulp (overig)'!$C$17 &amp; 1000
        ),
        IFERROR(MIN(
            IF(
                (TRIM(INDIRECT("'" &amp; 'Hulp (overig)'!$C$16 &amp; "'!B1:B1000")) = TEXT(O56,"0")) *
                (ROW(INDIRECT("'" &amp; 'Hulp (overig)'!$C$16 &amp; "'!B1:B1000")) &gt;= MATCH(
                    O54,
                    INDIRECT("'" &amp; 'Hulp (overig)'!$C$16 &amp; "'!A1:A1000"),
                    0
                )) *
                IF(
                    P54="",
                    1,
                    (ROW(INDIRECT("'" &amp; 'Hulp (overig)'!$C$16 &amp; "'!B1:B1000")) &lt; MATCH(
                        P54,
                        INDIRECT("'" &amp; 'Hulp (overig)'!$C$16 &amp; "'!A1:A1000"),
                        0
                    ))
                ),
                ROW(INDIRECT("'" &amp; 'Hulp (overig)'!$C$16 &amp; "'!B1:B1000"))
            )
        ),0)
    )=0,"",
INDEX(
        INDIRECT("'" &amp; 'Hulp (overig)'!$C$16 &amp; "'!" &amp;
        'Hulp (overig)'!$C$17 &amp; "1:" &amp; 'Hulp (overig)'!$C$17 &amp; 1000
        ),
        IFERROR(MIN(
            IF(
                (TRIM(INDIRECT("'" &amp; 'Hulp (overig)'!$C$16 &amp; "'!B1:B1000")) = TEXT(O56,"0")) *
                (ROW(INDIRECT("'" &amp; 'Hulp (overig)'!$C$16 &amp; "'!B1:B1000")) &gt;= MATCH(
                    O54,
                    INDIRECT("'" &amp; 'Hulp (overig)'!$C$16 &amp; "'!A1:A1000"),
                    0
                )) *
                IF(
                    P54="",
                    1,
                    (ROW(INDIRECT("'" &amp; 'Hulp (overig)'!$C$16 &amp; "'!B1:B1000")) &lt; MATCH(
                        P54,
                        INDIRECT("'" &amp; 'Hulp (overig)'!$C$16 &amp; "'!A1:A1000"),
                        0
                    ))
                ),
                ROW(INDIRECT("'" &amp; 'Hulp (overig)'!$C$16 &amp; "'!B1:B1000"))
            )
        ),0)
    ))
))))</f>
        <v>#VALUE!</v>
      </c>
      <c r="P57" s="425" t="e" cm="1">
        <f t="array" aca="1" ref="P57" ca="1">IF($BF57, IF(P54="","",
   INDEX(
      INDIRECT("'" &amp; 'Hulp (CAO''s)'!$AE$8 &amp; "'!" &amp;
               'Hulp (overig)'!$C$17 &amp; "1:" &amp;
               'Hulp (overig)'!$C$17 &amp; "1000"),
      MATCH(
         P54,
         INDIRECT("'" &amp; 'Hulp (CAO''s)'!$AE$8 &amp; "'!A1:A1000"),
         0
      )
   )
), IF($D55="Gebruik % van maximum salaris",
IF(
    OR(P54="",P55=""),
    "",
    MAX(
        INDIRECT(
            "'" &amp; 'Hulp (overig)'!$C$16 &amp; "'!" &amp;
            'Hulp (overig)'!$C$17 &amp;
            MATCH(P54, INDIRECT("'" &amp; 'Hulp (overig)'!$C$16 &amp; "'!A1:A1000"), 0) &amp;
            ":" &amp;
            'Hulp (overig)'!$C$17 &amp;
LOOKUP(
    2,
    1 / (
        (ROW(INDIRECT("'" &amp; 'Hulp (overig)'!$C$16 &amp; "'!B1:B1000")) &lt;
            IF(Q54&lt;&gt;"",
               MATCH(Q54, INDIRECT("'" &amp; 'Hulp (overig)'!$C$16 &amp; "'!A1:A1000"),0),
               1000
            )
        ) *
        (LEFT(TRIM(INDIRECT("'" &amp; 'Hulp (overig)'!$C$16 &amp; "'!B1:B1000")),1) &lt;&gt; "u")
    ),
    ROW(INDIRECT("'" &amp; 'Hulp (overig)'!$C$16 &amp; "'!B1:B1000"))
)
        )
    ) * P55
),
IF(P56="","",
IF(
    IFERROR(MIN(
        IF(
            (TRIM(INDIRECT("'" &amp; 'Hulp (overig)'!$C$16 &amp; "'!B1:B1000")) = TEXT(P56,"0")) *
            (ROW(INDIRECT("'" &amp; 'Hulp (overig)'!$C$16 &amp; "'!B1:B1000")) &gt;= MATCH(
                P54,
                INDIRECT("'" &amp; 'Hulp (overig)'!$C$16 &amp; "'!A1:A1000"),
                0
            )) *
            IF(
                Q54="",
                1,
                (ROW(INDIRECT("'" &amp; 'Hulp (overig)'!$C$16 &amp; "'!B1:B1000")) &lt; MATCH(
                    Q54,
                    INDIRECT("'" &amp; 'Hulp (overig)'!$C$16 &amp; "'!A1:A1000"),
                    0
                ))
            ),
            ROW(INDIRECT("'" &amp; 'Hulp (overig)'!$C$16 &amp; "'!B1:B1000"))
        )
    ),0) &lt; 1,
    "",
    IF(INDEX(
        INDIRECT("'" &amp; 'Hulp (overig)'!$C$16 &amp; "'!" &amp;
        'Hulp (overig)'!$C$17 &amp; "1:" &amp; 'Hulp (overig)'!$C$17 &amp; 1000
        ),
        IFERROR(MIN(
            IF(
                (TRIM(INDIRECT("'" &amp; 'Hulp (overig)'!$C$16 &amp; "'!B1:B1000")) = TEXT(P56,"0")) *
                (ROW(INDIRECT("'" &amp; 'Hulp (overig)'!$C$16 &amp; "'!B1:B1000")) &gt;= MATCH(
                    P54,
                    INDIRECT("'" &amp; 'Hulp (overig)'!$C$16 &amp; "'!A1:A1000"),
                    0
                )) *
                IF(
                    Q54="",
                    1,
                    (ROW(INDIRECT("'" &amp; 'Hulp (overig)'!$C$16 &amp; "'!B1:B1000")) &lt; MATCH(
                        Q54,
                        INDIRECT("'" &amp; 'Hulp (overig)'!$C$16 &amp; "'!A1:A1000"),
                        0
                    ))
                ),
                ROW(INDIRECT("'" &amp; 'Hulp (overig)'!$C$16 &amp; "'!B1:B1000"))
            )
        ),0)
    )=0,"",
INDEX(
        INDIRECT("'" &amp; 'Hulp (overig)'!$C$16 &amp; "'!" &amp;
        'Hulp (overig)'!$C$17 &amp; "1:" &amp; 'Hulp (overig)'!$C$17 &amp; 1000
        ),
        IFERROR(MIN(
            IF(
                (TRIM(INDIRECT("'" &amp; 'Hulp (overig)'!$C$16 &amp; "'!B1:B1000")) = TEXT(P56,"0")) *
                (ROW(INDIRECT("'" &amp; 'Hulp (overig)'!$C$16 &amp; "'!B1:B1000")) &gt;= MATCH(
                    P54,
                    INDIRECT("'" &amp; 'Hulp (overig)'!$C$16 &amp; "'!A1:A1000"),
                    0
                )) *
                IF(
                    Q54="",
                    1,
                    (ROW(INDIRECT("'" &amp; 'Hulp (overig)'!$C$16 &amp; "'!B1:B1000")) &lt; MATCH(
                        Q54,
                        INDIRECT("'" &amp; 'Hulp (overig)'!$C$16 &amp; "'!A1:A1000"),
                        0
                    ))
                ),
                ROW(INDIRECT("'" &amp; 'Hulp (overig)'!$C$16 &amp; "'!B1:B1000"))
            )
        ),0)
    ))
))))</f>
        <v>#VALUE!</v>
      </c>
      <c r="Q57" s="425" t="e" cm="1">
        <f t="array" aca="1" ref="Q57" ca="1">IF($BF57, IF(Q54="","",
   INDEX(
      INDIRECT("'" &amp; 'Hulp (CAO''s)'!$AE$8 &amp; "'!" &amp;
               'Hulp (overig)'!$C$17 &amp; "1:" &amp;
               'Hulp (overig)'!$C$17 &amp; "1000"),
      MATCH(
         Q54,
         INDIRECT("'" &amp; 'Hulp (CAO''s)'!$AE$8 &amp; "'!A1:A1000"),
         0
      )
   )
), IF($D55="Gebruik % van maximum salaris",
IF(
    OR(Q54="",Q55=""),
    "",
    MAX(
        INDIRECT(
            "'" &amp; 'Hulp (overig)'!$C$16 &amp; "'!" &amp;
            'Hulp (overig)'!$C$17 &amp;
            MATCH(Q54, INDIRECT("'" &amp; 'Hulp (overig)'!$C$16 &amp; "'!A1:A1000"), 0) &amp;
            ":" &amp;
            'Hulp (overig)'!$C$17 &amp;
LOOKUP(
    2,
    1 / (
        (ROW(INDIRECT("'" &amp; 'Hulp (overig)'!$C$16 &amp; "'!B1:B1000")) &lt;
            IF(R54&lt;&gt;"",
               MATCH(R54, INDIRECT("'" &amp; 'Hulp (overig)'!$C$16 &amp; "'!A1:A1000"),0),
               1000
            )
        ) *
        (LEFT(TRIM(INDIRECT("'" &amp; 'Hulp (overig)'!$C$16 &amp; "'!B1:B1000")),1) &lt;&gt; "u")
    ),
    ROW(INDIRECT("'" &amp; 'Hulp (overig)'!$C$16 &amp; "'!B1:B1000"))
)
        )
    ) * Q55
),
IF(Q56="","",
IF(
    IFERROR(MIN(
        IF(
            (TRIM(INDIRECT("'" &amp; 'Hulp (overig)'!$C$16 &amp; "'!B1:B1000")) = TEXT(Q56,"0")) *
            (ROW(INDIRECT("'" &amp; 'Hulp (overig)'!$C$16 &amp; "'!B1:B1000")) &gt;= MATCH(
                Q54,
                INDIRECT("'" &amp; 'Hulp (overig)'!$C$16 &amp; "'!A1:A1000"),
                0
            )) *
            IF(
                R54="",
                1,
                (ROW(INDIRECT("'" &amp; 'Hulp (overig)'!$C$16 &amp; "'!B1:B1000")) &lt; MATCH(
                    R54,
                    INDIRECT("'" &amp; 'Hulp (overig)'!$C$16 &amp; "'!A1:A1000"),
                    0
                ))
            ),
            ROW(INDIRECT("'" &amp; 'Hulp (overig)'!$C$16 &amp; "'!B1:B1000"))
        )
    ),0) &lt; 1,
    "",
    IF(INDEX(
        INDIRECT("'" &amp; 'Hulp (overig)'!$C$16 &amp; "'!" &amp;
        'Hulp (overig)'!$C$17 &amp; "1:" &amp; 'Hulp (overig)'!$C$17 &amp; 1000
        ),
        IFERROR(MIN(
            IF(
                (TRIM(INDIRECT("'" &amp; 'Hulp (overig)'!$C$16 &amp; "'!B1:B1000")) = TEXT(Q56,"0")) *
                (ROW(INDIRECT("'" &amp; 'Hulp (overig)'!$C$16 &amp; "'!B1:B1000")) &gt;= MATCH(
                    Q54,
                    INDIRECT("'" &amp; 'Hulp (overig)'!$C$16 &amp; "'!A1:A1000"),
                    0
                )) *
                IF(
                    R54="",
                    1,
                    (ROW(INDIRECT("'" &amp; 'Hulp (overig)'!$C$16 &amp; "'!B1:B1000")) &lt; MATCH(
                        R54,
                        INDIRECT("'" &amp; 'Hulp (overig)'!$C$16 &amp; "'!A1:A1000"),
                        0
                    ))
                ),
                ROW(INDIRECT("'" &amp; 'Hulp (overig)'!$C$16 &amp; "'!B1:B1000"))
            )
        ),0)
    )=0,"",
INDEX(
        INDIRECT("'" &amp; 'Hulp (overig)'!$C$16 &amp; "'!" &amp;
        'Hulp (overig)'!$C$17 &amp; "1:" &amp; 'Hulp (overig)'!$C$17 &amp; 1000
        ),
        IFERROR(MIN(
            IF(
                (TRIM(INDIRECT("'" &amp; 'Hulp (overig)'!$C$16 &amp; "'!B1:B1000")) = TEXT(Q56,"0")) *
                (ROW(INDIRECT("'" &amp; 'Hulp (overig)'!$C$16 &amp; "'!B1:B1000")) &gt;= MATCH(
                    Q54,
                    INDIRECT("'" &amp; 'Hulp (overig)'!$C$16 &amp; "'!A1:A1000"),
                    0
                )) *
                IF(
                    R54="",
                    1,
                    (ROW(INDIRECT("'" &amp; 'Hulp (overig)'!$C$16 &amp; "'!B1:B1000")) &lt; MATCH(
                        R54,
                        INDIRECT("'" &amp; 'Hulp (overig)'!$C$16 &amp; "'!A1:A1000"),
                        0
                    ))
                ),
                ROW(INDIRECT("'" &amp; 'Hulp (overig)'!$C$16 &amp; "'!B1:B1000"))
            )
        ),0)
    ))
))))</f>
        <v>#VALUE!</v>
      </c>
      <c r="R57" s="425" t="e" cm="1">
        <f t="array" aca="1" ref="R57" ca="1">IF($BF57, IF(R54="","",
   INDEX(
      INDIRECT("'" &amp; 'Hulp (CAO''s)'!$AE$8 &amp; "'!" &amp;
               'Hulp (overig)'!$C$17 &amp; "1:" &amp;
               'Hulp (overig)'!$C$17 &amp; "1000"),
      MATCH(
         R54,
         INDIRECT("'" &amp; 'Hulp (CAO''s)'!$AE$8 &amp; "'!A1:A1000"),
         0
      )
   )
), IF($D55="Gebruik % van maximum salaris",
IF(
    OR(R54="",R55=""),
    "",
    MAX(
        INDIRECT(
            "'" &amp; 'Hulp (overig)'!$C$16 &amp; "'!" &amp;
            'Hulp (overig)'!$C$17 &amp;
            MATCH(R54, INDIRECT("'" &amp; 'Hulp (overig)'!$C$16 &amp; "'!A1:A1000"), 0) &amp;
            ":" &amp;
            'Hulp (overig)'!$C$17 &amp;
LOOKUP(
    2,
    1 / (
        (ROW(INDIRECT("'" &amp; 'Hulp (overig)'!$C$16 &amp; "'!B1:B1000")) &lt;
            IF(S54&lt;&gt;"",
               MATCH(S54, INDIRECT("'" &amp; 'Hulp (overig)'!$C$16 &amp; "'!A1:A1000"),0),
               1000
            )
        ) *
        (LEFT(TRIM(INDIRECT("'" &amp; 'Hulp (overig)'!$C$16 &amp; "'!B1:B1000")),1) &lt;&gt; "u")
    ),
    ROW(INDIRECT("'" &amp; 'Hulp (overig)'!$C$16 &amp; "'!B1:B1000"))
)
        )
    ) * R55
),
IF(R56="","",
IF(
    IFERROR(MIN(
        IF(
            (TRIM(INDIRECT("'" &amp; 'Hulp (overig)'!$C$16 &amp; "'!B1:B1000")) = TEXT(R56,"0")) *
            (ROW(INDIRECT("'" &amp; 'Hulp (overig)'!$C$16 &amp; "'!B1:B1000")) &gt;= MATCH(
                R54,
                INDIRECT("'" &amp; 'Hulp (overig)'!$C$16 &amp; "'!A1:A1000"),
                0
            )) *
            IF(
                S54="",
                1,
                (ROW(INDIRECT("'" &amp; 'Hulp (overig)'!$C$16 &amp; "'!B1:B1000")) &lt; MATCH(
                    S54,
                    INDIRECT("'" &amp; 'Hulp (overig)'!$C$16 &amp; "'!A1:A1000"),
                    0
                ))
            ),
            ROW(INDIRECT("'" &amp; 'Hulp (overig)'!$C$16 &amp; "'!B1:B1000"))
        )
    ),0) &lt; 1,
    "",
    IF(INDEX(
        INDIRECT("'" &amp; 'Hulp (overig)'!$C$16 &amp; "'!" &amp;
        'Hulp (overig)'!$C$17 &amp; "1:" &amp; 'Hulp (overig)'!$C$17 &amp; 1000
        ),
        IFERROR(MIN(
            IF(
                (TRIM(INDIRECT("'" &amp; 'Hulp (overig)'!$C$16 &amp; "'!B1:B1000")) = TEXT(R56,"0")) *
                (ROW(INDIRECT("'" &amp; 'Hulp (overig)'!$C$16 &amp; "'!B1:B1000")) &gt;= MATCH(
                    R54,
                    INDIRECT("'" &amp; 'Hulp (overig)'!$C$16 &amp; "'!A1:A1000"),
                    0
                )) *
                IF(
                    S54="",
                    1,
                    (ROW(INDIRECT("'" &amp; 'Hulp (overig)'!$C$16 &amp; "'!B1:B1000")) &lt; MATCH(
                        S54,
                        INDIRECT("'" &amp; 'Hulp (overig)'!$C$16 &amp; "'!A1:A1000"),
                        0
                    ))
                ),
                ROW(INDIRECT("'" &amp; 'Hulp (overig)'!$C$16 &amp; "'!B1:B1000"))
            )
        ),0)
    )=0,"",
INDEX(
        INDIRECT("'" &amp; 'Hulp (overig)'!$C$16 &amp; "'!" &amp;
        'Hulp (overig)'!$C$17 &amp; "1:" &amp; 'Hulp (overig)'!$C$17 &amp; 1000
        ),
        IFERROR(MIN(
            IF(
                (TRIM(INDIRECT("'" &amp; 'Hulp (overig)'!$C$16 &amp; "'!B1:B1000")) = TEXT(R56,"0")) *
                (ROW(INDIRECT("'" &amp; 'Hulp (overig)'!$C$16 &amp; "'!B1:B1000")) &gt;= MATCH(
                    R54,
                    INDIRECT("'" &amp; 'Hulp (overig)'!$C$16 &amp; "'!A1:A1000"),
                    0
                )) *
                IF(
                    S54="",
                    1,
                    (ROW(INDIRECT("'" &amp; 'Hulp (overig)'!$C$16 &amp; "'!B1:B1000")) &lt; MATCH(
                        S54,
                        INDIRECT("'" &amp; 'Hulp (overig)'!$C$16 &amp; "'!A1:A1000"),
                        0
                    ))
                ),
                ROW(INDIRECT("'" &amp; 'Hulp (overig)'!$C$16 &amp; "'!B1:B1000"))
            )
        ),0)
    ))
))))</f>
        <v>#VALUE!</v>
      </c>
      <c r="S57" s="425" t="e" cm="1">
        <f t="array" aca="1" ref="S57" ca="1">IF($BF57, IF(S54="","",
   INDEX(
      INDIRECT("'" &amp; 'Hulp (CAO''s)'!$AE$8 &amp; "'!" &amp;
               'Hulp (overig)'!$C$17 &amp; "1:" &amp;
               'Hulp (overig)'!$C$17 &amp; "1000"),
      MATCH(
         S54,
         INDIRECT("'" &amp; 'Hulp (CAO''s)'!$AE$8 &amp; "'!A1:A1000"),
         0
      )
   )
), IF($D55="Gebruik % van maximum salaris",
IF(
    OR(S54="",S55=""),
    "",
    MAX(
        INDIRECT(
            "'" &amp; 'Hulp (overig)'!$C$16 &amp; "'!" &amp;
            'Hulp (overig)'!$C$17 &amp;
            MATCH(S54, INDIRECT("'" &amp; 'Hulp (overig)'!$C$16 &amp; "'!A1:A1000"), 0) &amp;
            ":" &amp;
            'Hulp (overig)'!$C$17 &amp;
LOOKUP(
    2,
    1 / (
        (ROW(INDIRECT("'" &amp; 'Hulp (overig)'!$C$16 &amp; "'!B1:B1000")) &lt;
            IF(T54&lt;&gt;"",
               MATCH(T54, INDIRECT("'" &amp; 'Hulp (overig)'!$C$16 &amp; "'!A1:A1000"),0),
               1000
            )
        ) *
        (LEFT(TRIM(INDIRECT("'" &amp; 'Hulp (overig)'!$C$16 &amp; "'!B1:B1000")),1) &lt;&gt; "u")
    ),
    ROW(INDIRECT("'" &amp; 'Hulp (overig)'!$C$16 &amp; "'!B1:B1000"))
)
        )
    ) * S55
),
IF(S56="","",
IF(
    IFERROR(MIN(
        IF(
            (TRIM(INDIRECT("'" &amp; 'Hulp (overig)'!$C$16 &amp; "'!B1:B1000")) = TEXT(S56,"0")) *
            (ROW(INDIRECT("'" &amp; 'Hulp (overig)'!$C$16 &amp; "'!B1:B1000")) &gt;= MATCH(
                S54,
                INDIRECT("'" &amp; 'Hulp (overig)'!$C$16 &amp; "'!A1:A1000"),
                0
            )) *
            IF(
                T54="",
                1,
                (ROW(INDIRECT("'" &amp; 'Hulp (overig)'!$C$16 &amp; "'!B1:B1000")) &lt; MATCH(
                    T54,
                    INDIRECT("'" &amp; 'Hulp (overig)'!$C$16 &amp; "'!A1:A1000"),
                    0
                ))
            ),
            ROW(INDIRECT("'" &amp; 'Hulp (overig)'!$C$16 &amp; "'!B1:B1000"))
        )
    ),0) &lt; 1,
    "",
    IF(INDEX(
        INDIRECT("'" &amp; 'Hulp (overig)'!$C$16 &amp; "'!" &amp;
        'Hulp (overig)'!$C$17 &amp; "1:" &amp; 'Hulp (overig)'!$C$17 &amp; 1000
        ),
        IFERROR(MIN(
            IF(
                (TRIM(INDIRECT("'" &amp; 'Hulp (overig)'!$C$16 &amp; "'!B1:B1000")) = TEXT(S56,"0")) *
                (ROW(INDIRECT("'" &amp; 'Hulp (overig)'!$C$16 &amp; "'!B1:B1000")) &gt;= MATCH(
                    S54,
                    INDIRECT("'" &amp; 'Hulp (overig)'!$C$16 &amp; "'!A1:A1000"),
                    0
                )) *
                IF(
                    T54="",
                    1,
                    (ROW(INDIRECT("'" &amp; 'Hulp (overig)'!$C$16 &amp; "'!B1:B1000")) &lt; MATCH(
                        T54,
                        INDIRECT("'" &amp; 'Hulp (overig)'!$C$16 &amp; "'!A1:A1000"),
                        0
                    ))
                ),
                ROW(INDIRECT("'" &amp; 'Hulp (overig)'!$C$16 &amp; "'!B1:B1000"))
            )
        ),0)
    )=0,"",
INDEX(
        INDIRECT("'" &amp; 'Hulp (overig)'!$C$16 &amp; "'!" &amp;
        'Hulp (overig)'!$C$17 &amp; "1:" &amp; 'Hulp (overig)'!$C$17 &amp; 1000
        ),
        IFERROR(MIN(
            IF(
                (TRIM(INDIRECT("'" &amp; 'Hulp (overig)'!$C$16 &amp; "'!B1:B1000")) = TEXT(S56,"0")) *
                (ROW(INDIRECT("'" &amp; 'Hulp (overig)'!$C$16 &amp; "'!B1:B1000")) &gt;= MATCH(
                    S54,
                    INDIRECT("'" &amp; 'Hulp (overig)'!$C$16 &amp; "'!A1:A1000"),
                    0
                )) *
                IF(
                    T54="",
                    1,
                    (ROW(INDIRECT("'" &amp; 'Hulp (overig)'!$C$16 &amp; "'!B1:B1000")) &lt; MATCH(
                        T54,
                        INDIRECT("'" &amp; 'Hulp (overig)'!$C$16 &amp; "'!A1:A1000"),
                        0
                    ))
                ),
                ROW(INDIRECT("'" &amp; 'Hulp (overig)'!$C$16 &amp; "'!B1:B1000"))
            )
        ),0)
    ))
))))</f>
        <v>#VALUE!</v>
      </c>
      <c r="T57" s="425" t="e" cm="1">
        <f t="array" aca="1" ref="T57" ca="1">IF($BF57, IF(T54="","",
   INDEX(
      INDIRECT("'" &amp; 'Hulp (CAO''s)'!$AE$8 &amp; "'!" &amp;
               'Hulp (overig)'!$C$17 &amp; "1:" &amp;
               'Hulp (overig)'!$C$17 &amp; "1000"),
      MATCH(
         T54,
         INDIRECT("'" &amp; 'Hulp (CAO''s)'!$AE$8 &amp; "'!A1:A1000"),
         0
      )
   )
), IF($D55="Gebruik % van maximum salaris",
IF(
    OR(T54="",T55=""),
    "",
    MAX(
        INDIRECT(
            "'" &amp; 'Hulp (overig)'!$C$16 &amp; "'!" &amp;
            'Hulp (overig)'!$C$17 &amp;
            MATCH(T54, INDIRECT("'" &amp; 'Hulp (overig)'!$C$16 &amp; "'!A1:A1000"), 0) &amp;
            ":" &amp;
            'Hulp (overig)'!$C$17 &amp;
LOOKUP(
    2,
    1 / (
        (ROW(INDIRECT("'" &amp; 'Hulp (overig)'!$C$16 &amp; "'!B1:B1000")) &lt;
            IF(U54&lt;&gt;"",
               MATCH(U54, INDIRECT("'" &amp; 'Hulp (overig)'!$C$16 &amp; "'!A1:A1000"),0),
               1000
            )
        ) *
        (LEFT(TRIM(INDIRECT("'" &amp; 'Hulp (overig)'!$C$16 &amp; "'!B1:B1000")),1) &lt;&gt; "u")
    ),
    ROW(INDIRECT("'" &amp; 'Hulp (overig)'!$C$16 &amp; "'!B1:B1000"))
)
        )
    ) * T55
),
IF(T56="","",
IF(
    IFERROR(MIN(
        IF(
            (TRIM(INDIRECT("'" &amp; 'Hulp (overig)'!$C$16 &amp; "'!B1:B1000")) = TEXT(T56,"0")) *
            (ROW(INDIRECT("'" &amp; 'Hulp (overig)'!$C$16 &amp; "'!B1:B1000")) &gt;= MATCH(
                T54,
                INDIRECT("'" &amp; 'Hulp (overig)'!$C$16 &amp; "'!A1:A1000"),
                0
            )) *
            IF(
                U54="",
                1,
                (ROW(INDIRECT("'" &amp; 'Hulp (overig)'!$C$16 &amp; "'!B1:B1000")) &lt; MATCH(
                    U54,
                    INDIRECT("'" &amp; 'Hulp (overig)'!$C$16 &amp; "'!A1:A1000"),
                    0
                ))
            ),
            ROW(INDIRECT("'" &amp; 'Hulp (overig)'!$C$16 &amp; "'!B1:B1000"))
        )
    ),0) &lt; 1,
    "",
    IF(INDEX(
        INDIRECT("'" &amp; 'Hulp (overig)'!$C$16 &amp; "'!" &amp;
        'Hulp (overig)'!$C$17 &amp; "1:" &amp; 'Hulp (overig)'!$C$17 &amp; 1000
        ),
        IFERROR(MIN(
            IF(
                (TRIM(INDIRECT("'" &amp; 'Hulp (overig)'!$C$16 &amp; "'!B1:B1000")) = TEXT(T56,"0")) *
                (ROW(INDIRECT("'" &amp; 'Hulp (overig)'!$C$16 &amp; "'!B1:B1000")) &gt;= MATCH(
                    T54,
                    INDIRECT("'" &amp; 'Hulp (overig)'!$C$16 &amp; "'!A1:A1000"),
                    0
                )) *
                IF(
                    U54="",
                    1,
                    (ROW(INDIRECT("'" &amp; 'Hulp (overig)'!$C$16 &amp; "'!B1:B1000")) &lt; MATCH(
                        U54,
                        INDIRECT("'" &amp; 'Hulp (overig)'!$C$16 &amp; "'!A1:A1000"),
                        0
                    ))
                ),
                ROW(INDIRECT("'" &amp; 'Hulp (overig)'!$C$16 &amp; "'!B1:B1000"))
            )
        ),0)
    )=0,"",
INDEX(
        INDIRECT("'" &amp; 'Hulp (overig)'!$C$16 &amp; "'!" &amp;
        'Hulp (overig)'!$C$17 &amp; "1:" &amp; 'Hulp (overig)'!$C$17 &amp; 1000
        ),
        IFERROR(MIN(
            IF(
                (TRIM(INDIRECT("'" &amp; 'Hulp (overig)'!$C$16 &amp; "'!B1:B1000")) = TEXT(T56,"0")) *
                (ROW(INDIRECT("'" &amp; 'Hulp (overig)'!$C$16 &amp; "'!B1:B1000")) &gt;= MATCH(
                    T54,
                    INDIRECT("'" &amp; 'Hulp (overig)'!$C$16 &amp; "'!A1:A1000"),
                    0
                )) *
                IF(
                    U54="",
                    1,
                    (ROW(INDIRECT("'" &amp; 'Hulp (overig)'!$C$16 &amp; "'!B1:B1000")) &lt; MATCH(
                        U54,
                        INDIRECT("'" &amp; 'Hulp (overig)'!$C$16 &amp; "'!A1:A1000"),
                        0
                    ))
                ),
                ROW(INDIRECT("'" &amp; 'Hulp (overig)'!$C$16 &amp; "'!B1:B1000"))
            )
        ),0)
    ))
))))</f>
        <v>#VALUE!</v>
      </c>
      <c r="U57" s="723" t="e" cm="1">
        <f t="array" aca="1" ref="U57" ca="1">IF($BF57, IF(U54="","",
   INDEX(
      INDIRECT("'" &amp; 'Hulp (CAO''s)'!$AE$8 &amp; "'!" &amp;
               'Hulp (overig)'!$C$17 &amp; "1:" &amp;
               'Hulp (overig)'!$C$17 &amp; "1000"),
      MATCH(
         U54,
         INDIRECT("'" &amp; 'Hulp (CAO''s)'!$AE$8 &amp; "'!A1:A1000"),
         0
      )
   )
), IF($D55="Gebruik % van maximum salaris",
IF(
    OR(U54="",U55=""),
    "",
    MAX(
        INDIRECT(
            "'" &amp; 'Hulp (overig)'!$C$16 &amp; "'!" &amp;
            'Hulp (overig)'!$C$17 &amp;
            MATCH(U54, INDIRECT("'" &amp; 'Hulp (overig)'!$C$16 &amp; "'!A1:A1000"), 0) &amp;
            ":" &amp;
            'Hulp (overig)'!$C$17 &amp;
LOOKUP(
    2,
    1 / (
        (ROW(INDIRECT("'" &amp; 'Hulp (overig)'!$C$16 &amp; "'!B1:B1000")) &lt;
            IF(V54&lt;&gt;"",
               MATCH(V54, INDIRECT("'" &amp; 'Hulp (overig)'!$C$16 &amp; "'!A1:A1000"),0),
               1000
            )
        ) *
        (LEFT(TRIM(INDIRECT("'" &amp; 'Hulp (overig)'!$C$16 &amp; "'!B1:B1000")),1) &lt;&gt; "u")
    ),
    ROW(INDIRECT("'" &amp; 'Hulp (overig)'!$C$16 &amp; "'!B1:B1000"))
)
        )
    ) * U55
),
IF(U56="","",
IF(
    IFERROR(MIN(
        IF(
            (TRIM(INDIRECT("'" &amp; 'Hulp (overig)'!$C$16 &amp; "'!B1:B1000")) = TEXT(U56,"0")) *
            (ROW(INDIRECT("'" &amp; 'Hulp (overig)'!$C$16 &amp; "'!B1:B1000")) &gt;= MATCH(
                U54,
                INDIRECT("'" &amp; 'Hulp (overig)'!$C$16 &amp; "'!A1:A1000"),
                0
            )) *
            IF(
                V54="",
                1,
                (ROW(INDIRECT("'" &amp; 'Hulp (overig)'!$C$16 &amp; "'!B1:B1000")) &lt; MATCH(
                    V54,
                    INDIRECT("'" &amp; 'Hulp (overig)'!$C$16 &amp; "'!A1:A1000"),
                    0
                ))
            ),
            ROW(INDIRECT("'" &amp; 'Hulp (overig)'!$C$16 &amp; "'!B1:B1000"))
        )
    ),0) &lt; 1,
    "",
    IF(INDEX(
        INDIRECT("'" &amp; 'Hulp (overig)'!$C$16 &amp; "'!" &amp;
        'Hulp (overig)'!$C$17 &amp; "1:" &amp; 'Hulp (overig)'!$C$17 &amp; 1000
        ),
        IFERROR(MIN(
            IF(
                (TRIM(INDIRECT("'" &amp; 'Hulp (overig)'!$C$16 &amp; "'!B1:B1000")) = TEXT(U56,"0")) *
                (ROW(INDIRECT("'" &amp; 'Hulp (overig)'!$C$16 &amp; "'!B1:B1000")) &gt;= MATCH(
                    U54,
                    INDIRECT("'" &amp; 'Hulp (overig)'!$C$16 &amp; "'!A1:A1000"),
                    0
                )) *
                IF(
                    V54="",
                    1,
                    (ROW(INDIRECT("'" &amp; 'Hulp (overig)'!$C$16 &amp; "'!B1:B1000")) &lt; MATCH(
                        V54,
                        INDIRECT("'" &amp; 'Hulp (overig)'!$C$16 &amp; "'!A1:A1000"),
                        0
                    ))
                ),
                ROW(INDIRECT("'" &amp; 'Hulp (overig)'!$C$16 &amp; "'!B1:B1000"))
            )
        ),0)
    )=0,"",
INDEX(
        INDIRECT("'" &amp; 'Hulp (overig)'!$C$16 &amp; "'!" &amp;
        'Hulp (overig)'!$C$17 &amp; "1:" &amp; 'Hulp (overig)'!$C$17 &amp; 1000
        ),
        IFERROR(MIN(
            IF(
                (TRIM(INDIRECT("'" &amp; 'Hulp (overig)'!$C$16 &amp; "'!B1:B1000")) = TEXT(U56,"0")) *
                (ROW(INDIRECT("'" &amp; 'Hulp (overig)'!$C$16 &amp; "'!B1:B1000")) &gt;= MATCH(
                    U54,
                    INDIRECT("'" &amp; 'Hulp (overig)'!$C$16 &amp; "'!A1:A1000"),
                    0
                )) *
                IF(
                    V54="",
                    1,
                    (ROW(INDIRECT("'" &amp; 'Hulp (overig)'!$C$16 &amp; "'!B1:B1000")) &lt; MATCH(
                        V54,
                        INDIRECT("'" &amp; 'Hulp (overig)'!$C$16 &amp; "'!A1:A1000"),
                        0
                    ))
                ),
                ROW(INDIRECT("'" &amp; 'Hulp (overig)'!$C$16 &amp; "'!B1:B1000"))
            )
        ),0)
    ))
))))</f>
        <v>#VALUE!</v>
      </c>
      <c r="V57" s="413" t="str" cm="1">
        <f t="array" ref="V57">IF(SUM(F58:U58)=0,"",
IF(SUM(F57:U57)=0,"",
IF(SUMPRODUCT((F58:U58&lt;&gt;0)*(F57:U57=""))&gt;0,"",
(
   SUMPRODUCT(
      IF(F57:U57="",0,F57:U57),
      IF(F58:U58="",0,F58:U58) / SUM(F58:U58)
   )
))))</f>
        <v/>
      </c>
      <c r="W57" s="418"/>
      <c r="X57" s="620"/>
      <c r="Y57" s="419" t="str">
        <f ca="1">IF(B54="","",
        IF(INDIRECT("'Hulp (control forms)'!C" &amp; (13 + INT((ROW()-ROW($B$5))/7))),
            IF(X57="","",X57),
            IF(V57="","",V57)
    )
)</f>
        <v/>
      </c>
      <c r="Z57" s="333"/>
      <c r="AA57" s="771"/>
      <c r="AB57" s="770"/>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cm="1">
        <f t="array" aca="1" ref="BA57" ca="1">IF(
   SUM(Y57)=0,
   1,
   IF(
      N(INDIRECT("'Hulp (control forms)'!C"&amp;(13+INT((ROW()-ROW($B$5))/7))))&lt;&gt;0,
      MIN(1,
      ('Hulp (overig)'!$C$6/12) /
      (Y57 * BC57 + BD57)),
      MIN(1,
         IF(
            SUM(F57:U57)=0,
            "",
            SUMPRODUCT(
               IF(
                  (IF(F57:U57="",0,F57:U57) * BC57) + BD57
                  &gt; 'Hulp (overig)'!$C$6/12,
                  'Hulp (overig)'!$C$6/12,
                  (IF(F57:U57="",0,F57:U57) * BC57) + BD57
               ),
               IF(F58:U58="",0,F58:U58) / SUM(F58:U58)
            )
         ) /
         ((Y57 * BC57) + BD57)
      )
   )
)</f>
        <v>1</v>
      </c>
      <c r="BB57" cm="1">
        <f t="array" aca="1" ref="BB57" ca="1">IF(
   SUM(Y57)=0,
   1,
   IF(
      N(INDIRECT("'Hulp (control forms)'!C"&amp;(13+INT((ROW()-ROW($B$5))/7))))&lt;&gt;0,
      MIN('Hulp (overig)'!$C$5/12,
      (Y57 * BC57) + BD57) * 12,
         IF(
            SUM(F57:U57)=0,
            "",
            SUMPRODUCT(
               IF(
                  (IF(F57:U57="",0,F57:U57) * BC57) + BD57
                  &gt; 'Hulp (overig)'!$C$5/12,
                  'Hulp (overig)'!$C$5/12,
                  (IF(F57:U57="",0,F57:U57) * BC57) + BD57
               ),
               IF(F58:U58="",0,F58:U58) / SUM(F58:U58)
            )
         ) * 12
   )
)</f>
        <v>1</v>
      </c>
      <c r="BC57" s="287" cm="1">
        <f t="array" aca="1" ref="BC57" ca="1">IFERROR(
   (INDEX('2. Output kostprijs'!$24:$24, 5 + 2*INT((ROW()-8)/7))
    - SUM(INDEX('2. Output kostprijs'!$23:$23, 5 + 2*INT((ROW()-8)/7))))
   / INDEX('2. Output kostprijs'!$19:$19, 5 + 2*INT((ROW()-8)/7)),
   1
)</f>
        <v>1</v>
      </c>
      <c r="BD57" s="287" cm="1">
        <f t="array" aca="1" ref="BD57" ca="1">IFERROR(
   (INDEX('2. Output kostprijs'!$23:$23, 5 + 2*INT((ROW()-8)/7))
    * INDEX('2. Output kostprijs'!$18:$18, 5 + 2*INT((ROW()-8)/7))
   ) / 12,
   0
)</f>
        <v>0</v>
      </c>
      <c r="BE57" t="b">
        <f ca="1">NOT(AND(B54&lt;&gt;"",Y57=""))</f>
        <v>1</v>
      </c>
      <c r="BF57" t="str" cm="1">
        <f t="array" aca="1" ref="BF57" ca="1">INDIRECT("'1a. Input organisatieniveau'!$AD" &amp; 7 + INT((ROW()-ROW($F$8))/7))</f>
        <v/>
      </c>
      <c r="BG57" t="b" cm="1">
        <f t="array" ref="BG57">IFERROR(INDEX('Hulp (control forms)'!C:C, 13 + INT((ROW(A50)-1)/7)),FALSE)</f>
        <v>0</v>
      </c>
    </row>
    <row r="58" spans="1:59" ht="16.05" customHeight="1" thickBot="1" x14ac:dyDescent="0.5">
      <c r="A58" s="289"/>
      <c r="B58" s="343"/>
      <c r="C58" s="325" t="s">
        <v>779</v>
      </c>
      <c r="D58" s="688" t="s">
        <v>60</v>
      </c>
      <c r="E58" s="433" t="s">
        <v>59</v>
      </c>
      <c r="F58" s="624"/>
      <c r="G58" s="624"/>
      <c r="H58" s="624"/>
      <c r="I58" s="624"/>
      <c r="J58" s="624"/>
      <c r="K58" s="624"/>
      <c r="L58" s="624"/>
      <c r="M58" s="624"/>
      <c r="N58" s="624"/>
      <c r="O58" s="624"/>
      <c r="P58" s="624"/>
      <c r="Q58" s="624"/>
      <c r="R58" s="624"/>
      <c r="S58" s="624"/>
      <c r="T58" s="624"/>
      <c r="U58" s="625"/>
      <c r="V58" s="420" t="str">
        <f ca="1">IF($B54="","",IF($D58="Aandeel in %",
   "Totaal: "&amp;SUM(F58:U58)*100&amp;"%",
   "Totaal: "&amp;SUM(F58:U58)&amp;" uur"
))</f>
        <v/>
      </c>
      <c r="W58" s="294"/>
      <c r="X58" s="621"/>
      <c r="Y58" s="328"/>
      <c r="Z58" s="32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9" ht="16.05" customHeight="1" thickBot="1" x14ac:dyDescent="0.5">
      <c r="A59" s="289"/>
      <c r="B59" s="343"/>
      <c r="C59" s="326" t="s">
        <v>779</v>
      </c>
      <c r="D59" s="421"/>
      <c r="E59" s="426"/>
      <c r="F59" s="426"/>
      <c r="G59" s="426"/>
      <c r="H59" s="426"/>
      <c r="I59" s="426"/>
      <c r="J59" s="426"/>
      <c r="K59" s="426"/>
      <c r="L59" s="426"/>
      <c r="M59" s="426"/>
      <c r="N59" s="426"/>
      <c r="O59" s="426"/>
      <c r="P59" s="426"/>
      <c r="Q59" s="426"/>
      <c r="R59" s="426"/>
      <c r="S59" s="426"/>
      <c r="T59" s="427"/>
      <c r="U59" s="427"/>
      <c r="V59" s="421"/>
      <c r="W59" s="421"/>
      <c r="X59" s="622"/>
      <c r="Y59" s="421"/>
      <c r="Z59" s="327"/>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9" ht="16.05" customHeight="1" thickBot="1" x14ac:dyDescent="0.55000000000000004">
      <c r="A60" s="289"/>
      <c r="B60" s="585" t="str">
        <f ca="1">IF(B61="","",
IF(
   OR(
      INDIRECT("'1a. Input organisatieniveau'!AC" &amp; (7 + INT((ROW()-4)/7)))="",
      INDIRECT("'1a. Input organisatieniveau'!AC" &amp; (7 + INT((ROW()-4)/7)))=0
   ),
   "",
   INDIRECT("'1a. Input organisatieniveau'!AC" &amp; (7 + INT((ROW()-4)/7)))
))</f>
        <v/>
      </c>
      <c r="C60" s="324" t="s">
        <v>779</v>
      </c>
      <c r="D60" s="416"/>
      <c r="E60" s="428"/>
      <c r="F60" s="422" t="str">
        <f t="shared" ref="F60:U60" ca="1" si="8">IF($B61="","",
IF($D62="Gebruik % van maximum salaris",
 IF(OR(AND(AND(F61&lt;&gt;"",F62&lt;&gt;""),F64=""),AND(F64="",F65&lt;&gt;"")),"!",""),
 IF(OR(AND(AND(F61&lt;&gt;"",F63&lt;&gt;""),F64=""),AND(F64="",F65&lt;&gt;"")),"!","")))</f>
        <v/>
      </c>
      <c r="G60" s="422" t="str">
        <f t="shared" ca="1" si="8"/>
        <v/>
      </c>
      <c r="H60" s="422" t="str">
        <f t="shared" ca="1" si="8"/>
        <v/>
      </c>
      <c r="I60" s="422" t="str">
        <f t="shared" ca="1" si="8"/>
        <v/>
      </c>
      <c r="J60" s="422" t="str">
        <f t="shared" ca="1" si="8"/>
        <v/>
      </c>
      <c r="K60" s="422" t="str">
        <f t="shared" ca="1" si="8"/>
        <v/>
      </c>
      <c r="L60" s="422" t="str">
        <f t="shared" ca="1" si="8"/>
        <v/>
      </c>
      <c r="M60" s="422" t="str">
        <f t="shared" ca="1" si="8"/>
        <v/>
      </c>
      <c r="N60" s="422" t="str">
        <f t="shared" ca="1" si="8"/>
        <v/>
      </c>
      <c r="O60" s="422" t="str">
        <f t="shared" ca="1" si="8"/>
        <v/>
      </c>
      <c r="P60" s="422" t="str">
        <f t="shared" ca="1" si="8"/>
        <v/>
      </c>
      <c r="Q60" s="422" t="str">
        <f t="shared" ca="1" si="8"/>
        <v/>
      </c>
      <c r="R60" s="422" t="str">
        <f t="shared" ca="1" si="8"/>
        <v/>
      </c>
      <c r="S60" s="422" t="str">
        <f t="shared" ca="1" si="8"/>
        <v/>
      </c>
      <c r="T60" s="422" t="str">
        <f t="shared" ca="1" si="8"/>
        <v/>
      </c>
      <c r="U60" s="422" t="str">
        <f t="shared" ca="1" si="8"/>
        <v/>
      </c>
      <c r="V60" s="416"/>
      <c r="W60" s="416"/>
      <c r="X60" s="619"/>
      <c r="Y60" s="416"/>
      <c r="Z60" s="330"/>
      <c r="AA60" s="354"/>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9" ht="16.05" customHeight="1" thickBot="1" x14ac:dyDescent="0.5">
      <c r="A61" s="289"/>
      <c r="B61" s="586" t="str">
        <f ca="1">IF(
   OR(
      INDIRECT("'1a. Input organisatieniveau'!AA" &amp; (7 + INT((ROW()-4)/7)))="",
      INDIRECT("'1a. Input organisatieniveau'!AA" &amp; (7 + INT((ROW()-4)/7)))=0
   ),
   "",
   INDIRECT("'1a. Input organisatieniveau'!AA" &amp; (7 + INT((ROW()-4)/7)))
)</f>
        <v/>
      </c>
      <c r="C61" s="325" t="s">
        <v>779</v>
      </c>
      <c r="D61" s="434"/>
      <c r="E61" s="429" t="s">
        <v>28</v>
      </c>
      <c r="F61" s="423" t="str">
        <f ca="1">IF($B61="", "", IF($BF64, IF('Hulp (CAO''s)'!J$8&lt;&gt;"",'Hulp (CAO''s)'!J$8,""), INDEX('Hulp (CAO''s)'!J$3:J$7, MATCH(TRUE, 'Hulp (CAO''s)'!$D$3:$D$7, 0))))</f>
        <v/>
      </c>
      <c r="G61" s="423" t="str">
        <f ca="1">IF($B61="", "", IF($BF64, IF('Hulp (CAO''s)'!K$8&lt;&gt;"",'Hulp (CAO''s)'!K$8,""), INDEX('Hulp (CAO''s)'!K$3:K$7, MATCH(TRUE, 'Hulp (CAO''s)'!$D$3:$D$7, 0))))</f>
        <v/>
      </c>
      <c r="H61" s="423" t="str">
        <f ca="1">IF($B61="", "", IF($BF64, IF('Hulp (CAO''s)'!L$8&lt;&gt;"",'Hulp (CAO''s)'!L$8,""), INDEX('Hulp (CAO''s)'!L$3:L$7, MATCH(TRUE, 'Hulp (CAO''s)'!$D$3:$D$7, 0))))</f>
        <v/>
      </c>
      <c r="I61" s="423" t="str">
        <f ca="1">IF($B61="", "", IF($BF64, IF('Hulp (CAO''s)'!M$8&lt;&gt;"",'Hulp (CAO''s)'!M$8,""), INDEX('Hulp (CAO''s)'!M$3:M$7, MATCH(TRUE, 'Hulp (CAO''s)'!$D$3:$D$7, 0))))</f>
        <v/>
      </c>
      <c r="J61" s="423" t="str">
        <f ca="1">IF($B61="", "", IF($BF64, IF('Hulp (CAO''s)'!N$8&lt;&gt;"",'Hulp (CAO''s)'!N$8,""), INDEX('Hulp (CAO''s)'!N$3:N$7, MATCH(TRUE, 'Hulp (CAO''s)'!$D$3:$D$7, 0))))</f>
        <v/>
      </c>
      <c r="K61" s="423" t="str">
        <f ca="1">IF($B61="", "", IF($BF64, IF('Hulp (CAO''s)'!O$8&lt;&gt;"",'Hulp (CAO''s)'!O$8,""), INDEX('Hulp (CAO''s)'!O$3:O$7, MATCH(TRUE, 'Hulp (CAO''s)'!$D$3:$D$7, 0))))</f>
        <v/>
      </c>
      <c r="L61" s="423" t="str">
        <f ca="1">IF($B61="", "", IF($BF64, IF('Hulp (CAO''s)'!P$8&lt;&gt;"",'Hulp (CAO''s)'!P$8,""), INDEX('Hulp (CAO''s)'!P$3:P$7, MATCH(TRUE, 'Hulp (CAO''s)'!$D$3:$D$7, 0))))</f>
        <v/>
      </c>
      <c r="M61" s="423" t="str">
        <f ca="1">IF($B61="", "", IF($BF64, IF('Hulp (CAO''s)'!Q$8&lt;&gt;"",'Hulp (CAO''s)'!Q$8,""), INDEX('Hulp (CAO''s)'!Q$3:Q$7, MATCH(TRUE, 'Hulp (CAO''s)'!$D$3:$D$7, 0))))</f>
        <v/>
      </c>
      <c r="N61" s="423" t="str">
        <f ca="1">IF($B61="", "", IF($BF64, IF('Hulp (CAO''s)'!R$8&lt;&gt;"",'Hulp (CAO''s)'!R$8,""), INDEX('Hulp (CAO''s)'!R$3:R$7, MATCH(TRUE, 'Hulp (CAO''s)'!$D$3:$D$7, 0))))</f>
        <v/>
      </c>
      <c r="O61" s="423" t="str">
        <f ca="1">IF($B61="", "", IF($BF64, IF('Hulp (CAO''s)'!S$8&lt;&gt;"",'Hulp (CAO''s)'!S$8,""), INDEX('Hulp (CAO''s)'!S$3:S$7, MATCH(TRUE, 'Hulp (CAO''s)'!$D$3:$D$7, 0))))</f>
        <v/>
      </c>
      <c r="P61" s="423" t="str">
        <f ca="1">IF($B61="", "", IF($BF64, IF('Hulp (CAO''s)'!T$8&lt;&gt;"",'Hulp (CAO''s)'!T$8,""), INDEX('Hulp (CAO''s)'!T$3:T$7, MATCH(TRUE, 'Hulp (CAO''s)'!$D$3:$D$7, 0))))</f>
        <v/>
      </c>
      <c r="Q61" s="423" t="str">
        <f ca="1">IF($B61="", "", IF($BF64, IF('Hulp (CAO''s)'!U$8&lt;&gt;"",'Hulp (CAO''s)'!U$8,""), INDEX('Hulp (CAO''s)'!U$3:U$7, MATCH(TRUE, 'Hulp (CAO''s)'!$D$3:$D$7, 0))))</f>
        <v/>
      </c>
      <c r="R61" s="423" t="str">
        <f ca="1">IF($B61="", "", IF($BF64, IF('Hulp (CAO''s)'!V$8&lt;&gt;"",'Hulp (CAO''s)'!V$8,""), INDEX('Hulp (CAO''s)'!V$3:V$7, MATCH(TRUE, 'Hulp (CAO''s)'!$D$3:$D$7, 0))))</f>
        <v/>
      </c>
      <c r="S61" s="423" t="str">
        <f ca="1">IF($B61="", "", IF($BF64, IF('Hulp (CAO''s)'!W$8&lt;&gt;"",'Hulp (CAO''s)'!W$8,""), INDEX('Hulp (CAO''s)'!W$3:W$7, MATCH(TRUE, 'Hulp (CAO''s)'!$D$3:$D$7, 0))))</f>
        <v/>
      </c>
      <c r="T61" s="423" t="str">
        <f ca="1">IF($B61="", "", IF($BF64, IF('Hulp (CAO''s)'!X$8&lt;&gt;"",'Hulp (CAO''s)'!X$8,""), INDEX('Hulp (CAO''s)'!X$3:X$7, MATCH(TRUE, 'Hulp (CAO''s)'!$D$3:$D$7, 0))))</f>
        <v/>
      </c>
      <c r="U61" s="424" t="str">
        <f ca="1">IF($B61="", "", IF($BF64, IF('Hulp (CAO''s)'!Y$8&lt;&gt;"",'Hulp (CAO''s)'!Y$8,""), INDEX('Hulp (CAO''s)'!Y$3:Y$7, MATCH(TRUE, 'Hulp (CAO''s)'!$D$3:$D$7, 0))))</f>
        <v/>
      </c>
      <c r="V61" s="417"/>
      <c r="W61" s="343"/>
      <c r="X61" s="617"/>
      <c r="Y61" s="343"/>
      <c r="Z61" s="329"/>
      <c r="AA61" s="320"/>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9" ht="16.05" customHeight="1" x14ac:dyDescent="0.45">
      <c r="A62" s="289"/>
      <c r="B62" s="343"/>
      <c r="C62" s="325" t="s">
        <v>779</v>
      </c>
      <c r="D62" s="772" t="s">
        <v>772</v>
      </c>
      <c r="E62" s="430" t="e">
        <f ca="1">IF($BF64, "", "% t.o.v. max salaris in de schaal")</f>
        <v>#VALUE!</v>
      </c>
      <c r="F62" s="615"/>
      <c r="G62" s="615"/>
      <c r="H62" s="615"/>
      <c r="I62" s="615"/>
      <c r="J62" s="615"/>
      <c r="K62" s="615"/>
      <c r="L62" s="615"/>
      <c r="M62" s="615"/>
      <c r="N62" s="615"/>
      <c r="O62" s="615"/>
      <c r="P62" s="615"/>
      <c r="Q62" s="615"/>
      <c r="R62" s="615"/>
      <c r="S62" s="615"/>
      <c r="T62" s="615"/>
      <c r="U62" s="616"/>
      <c r="V62" s="774" t="s">
        <v>884</v>
      </c>
      <c r="W62" s="332"/>
      <c r="X62" s="776" t="s">
        <v>882</v>
      </c>
      <c r="Y62" s="778" t="s">
        <v>883</v>
      </c>
      <c r="Z62" s="329"/>
      <c r="AA62" s="771" t="s">
        <v>780</v>
      </c>
      <c r="AB62" s="770" t="s">
        <v>1079</v>
      </c>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9" ht="16.05" customHeight="1" thickBot="1" x14ac:dyDescent="0.5">
      <c r="A63" s="289"/>
      <c r="B63" s="343"/>
      <c r="C63" s="325" t="s">
        <v>779</v>
      </c>
      <c r="D63" s="773"/>
      <c r="E63" s="431" t="e">
        <f ca="1">IF($BF64, "", "Trede (gemiddeld)")</f>
        <v>#VALUE!</v>
      </c>
      <c r="F63" s="737"/>
      <c r="G63" s="737"/>
      <c r="H63" s="737"/>
      <c r="I63" s="737"/>
      <c r="J63" s="737"/>
      <c r="K63" s="737"/>
      <c r="L63" s="737"/>
      <c r="M63" s="737"/>
      <c r="N63" s="737"/>
      <c r="O63" s="737"/>
      <c r="P63" s="737"/>
      <c r="Q63" s="737"/>
      <c r="R63" s="737"/>
      <c r="S63" s="737"/>
      <c r="T63" s="737"/>
      <c r="U63" s="740"/>
      <c r="V63" s="775"/>
      <c r="W63" s="294"/>
      <c r="X63" s="777"/>
      <c r="Y63" s="779"/>
      <c r="Z63" s="329"/>
      <c r="AA63" s="771"/>
      <c r="AB63" s="770"/>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9" ht="16.05" customHeight="1" thickBot="1" x14ac:dyDescent="0.5">
      <c r="A64" s="289"/>
      <c r="B64" s="343"/>
      <c r="C64" s="325" t="s">
        <v>779</v>
      </c>
      <c r="E64" s="432" t="str">
        <f>IFERROR(
   INDEX('Hulp (CAO''s)'!$I$3:$I$7, MATCH(TRUE, 'Hulp (CAO''s)'!$D$3:$D$7, 0)),
"")</f>
        <v>Bruto maandsalaris</v>
      </c>
      <c r="F64" s="425" t="e" cm="1">
        <f t="array" aca="1" ref="F64" ca="1">IF($BF64, IF(F61="","",
   INDEX(
      INDIRECT("'" &amp; 'Hulp (CAO''s)'!$AE$8 &amp; "'!" &amp;
               'Hulp (overig)'!$C$17 &amp; "1:" &amp;
               'Hulp (overig)'!$C$17 &amp; "1000"),
      MATCH(
         F61,
         INDIRECT("'" &amp; 'Hulp (CAO''s)'!$AE$8 &amp; "'!A1:A1000"),
         0
      )
   )
), IF($D62="Gebruik % van maximum salaris",
IF(
    OR(F61="",F62=""),
    "",
    MAX(
        INDIRECT(
            "'" &amp; 'Hulp (overig)'!$C$16 &amp; "'!" &amp;
            'Hulp (overig)'!$C$17 &amp;
            MATCH(F61, INDIRECT("'" &amp; 'Hulp (overig)'!$C$16 &amp; "'!A1:A1000"), 0) &amp;
            ":" &amp;
            'Hulp (overig)'!$C$17 &amp;
LOOKUP(
    2,
    1 / (
        (ROW(INDIRECT("'" &amp; 'Hulp (overig)'!$C$16 &amp; "'!B1:B1000")) &lt;
            IF(G61&lt;&gt;"",
               MATCH(G61, INDIRECT("'" &amp; 'Hulp (overig)'!$C$16 &amp; "'!A1:A1000"),0),
               1000
            )
        ) *
        (LEFT(TRIM(INDIRECT("'" &amp; 'Hulp (overig)'!$C$16 &amp; "'!B1:B1000")),1) &lt;&gt; "u")
    ),
    ROW(INDIRECT("'" &amp; 'Hulp (overig)'!$C$16 &amp; "'!B1:B1000"))
)
        )
    ) * F62
),
IF(F63="","",
IF(
    IFERROR(MIN(
        IF(
            (TRIM(INDIRECT("'" &amp; 'Hulp (overig)'!$C$16 &amp; "'!B1:B1000")) = TEXT(F63,"0")) *
            (ROW(INDIRECT("'" &amp; 'Hulp (overig)'!$C$16 &amp; "'!B1:B1000")) &gt;= MATCH(
                F61,
                INDIRECT("'" &amp; 'Hulp (overig)'!$C$16 &amp; "'!A1:A1000"),
                0
            )) *
            IF(
                G61="",
                1,
                (ROW(INDIRECT("'" &amp; 'Hulp (overig)'!$C$16 &amp; "'!B1:B1000")) &lt; MATCH(
                    G61,
                    INDIRECT("'" &amp; 'Hulp (overig)'!$C$16 &amp; "'!A1:A1000"),
                    0
                ))
            ),
            ROW(INDIRECT("'" &amp; 'Hulp (overig)'!$C$16 &amp; "'!B1:B1000"))
        )
    ),0) &lt; 1,
    "",
    IF(INDEX(
        INDIRECT("'" &amp; 'Hulp (overig)'!$C$16 &amp; "'!" &amp;
        'Hulp (overig)'!$C$17 &amp; "1:" &amp; 'Hulp (overig)'!$C$17 &amp; 1000
        ),
        IFERROR(MIN(
            IF(
                (TRIM(INDIRECT("'" &amp; 'Hulp (overig)'!$C$16 &amp; "'!B1:B1000")) = TEXT(F63,"0")) *
                (ROW(INDIRECT("'" &amp; 'Hulp (overig)'!$C$16 &amp; "'!B1:B1000")) &gt;= MATCH(
                    F61,
                    INDIRECT("'" &amp; 'Hulp (overig)'!$C$16 &amp; "'!A1:A1000"),
                    0
                )) *
                IF(
                    G61="",
                    1,
                    (ROW(INDIRECT("'" &amp; 'Hulp (overig)'!$C$16 &amp; "'!B1:B1000")) &lt; MATCH(
                        G61,
                        INDIRECT("'" &amp; 'Hulp (overig)'!$C$16 &amp; "'!A1:A1000"),
                        0
                    ))
                ),
                ROW(INDIRECT("'" &amp; 'Hulp (overig)'!$C$16 &amp; "'!B1:B1000"))
            )
        ),0)
    )=0,"",
INDEX(
        INDIRECT("'" &amp; 'Hulp (overig)'!$C$16 &amp; "'!" &amp;
        'Hulp (overig)'!$C$17 &amp; "1:" &amp; 'Hulp (overig)'!$C$17 &amp; 1000
        ),
        IFERROR(MIN(
            IF(
                (TRIM(INDIRECT("'" &amp; 'Hulp (overig)'!$C$16 &amp; "'!B1:B1000")) = TEXT(F63,"0")) *
                (ROW(INDIRECT("'" &amp; 'Hulp (overig)'!$C$16 &amp; "'!B1:B1000")) &gt;= MATCH(
                    F61,
                    INDIRECT("'" &amp; 'Hulp (overig)'!$C$16 &amp; "'!A1:A1000"),
                    0
                )) *
                IF(
                    G61="",
                    1,
                    (ROW(INDIRECT("'" &amp; 'Hulp (overig)'!$C$16 &amp; "'!B1:B1000")) &lt; MATCH(
                        G61,
                        INDIRECT("'" &amp; 'Hulp (overig)'!$C$16 &amp; "'!A1:A1000"),
                        0
                    ))
                ),
                ROW(INDIRECT("'" &amp; 'Hulp (overig)'!$C$16 &amp; "'!B1:B1000"))
            )
        ),0)
    ))
))))</f>
        <v>#VALUE!</v>
      </c>
      <c r="G64" s="425" t="e" cm="1">
        <f t="array" aca="1" ref="G64" ca="1">IF($BF64, IF(G61="","",
   INDEX(
      INDIRECT("'" &amp; 'Hulp (CAO''s)'!$AE$8 &amp; "'!" &amp;
               'Hulp (overig)'!$C$17 &amp; "1:" &amp;
               'Hulp (overig)'!$C$17 &amp; "1000"),
      MATCH(
         G61,
         INDIRECT("'" &amp; 'Hulp (CAO''s)'!$AE$8 &amp; "'!A1:A1000"),
         0
      )
   )
), IF($D62="Gebruik % van maximum salaris",
IF(
    OR(G61="",G62=""),
    "",
    MAX(
        INDIRECT(
            "'" &amp; 'Hulp (overig)'!$C$16 &amp; "'!" &amp;
            'Hulp (overig)'!$C$17 &amp;
            MATCH(G61, INDIRECT("'" &amp; 'Hulp (overig)'!$C$16 &amp; "'!A1:A1000"), 0) &amp;
            ":" &amp;
            'Hulp (overig)'!$C$17 &amp;
LOOKUP(
    2,
    1 / (
        (ROW(INDIRECT("'" &amp; 'Hulp (overig)'!$C$16 &amp; "'!B1:B1000")) &lt;
            IF(H61&lt;&gt;"",
               MATCH(H61, INDIRECT("'" &amp; 'Hulp (overig)'!$C$16 &amp; "'!A1:A1000"),0),
               1000
            )
        ) *
        (LEFT(TRIM(INDIRECT("'" &amp; 'Hulp (overig)'!$C$16 &amp; "'!B1:B1000")),1) &lt;&gt; "u")
    ),
    ROW(INDIRECT("'" &amp; 'Hulp (overig)'!$C$16 &amp; "'!B1:B1000"))
)
        )
    ) * G62
),
IF(G63="","",
IF(
    IFERROR(MIN(
        IF(
            (TRIM(INDIRECT("'" &amp; 'Hulp (overig)'!$C$16 &amp; "'!B1:B1000")) = TEXT(G63,"0")) *
            (ROW(INDIRECT("'" &amp; 'Hulp (overig)'!$C$16 &amp; "'!B1:B1000")) &gt;= MATCH(
                G61,
                INDIRECT("'" &amp; 'Hulp (overig)'!$C$16 &amp; "'!A1:A1000"),
                0
            )) *
            IF(
                H61="",
                1,
                (ROW(INDIRECT("'" &amp; 'Hulp (overig)'!$C$16 &amp; "'!B1:B1000")) &lt; MATCH(
                    H61,
                    INDIRECT("'" &amp; 'Hulp (overig)'!$C$16 &amp; "'!A1:A1000"),
                    0
                ))
            ),
            ROW(INDIRECT("'" &amp; 'Hulp (overig)'!$C$16 &amp; "'!B1:B1000"))
        )
    ),0) &lt; 1,
    "",
    IF(INDEX(
        INDIRECT("'" &amp; 'Hulp (overig)'!$C$16 &amp; "'!" &amp;
        'Hulp (overig)'!$C$17 &amp; "1:" &amp; 'Hulp (overig)'!$C$17 &amp; 1000
        ),
        IFERROR(MIN(
            IF(
                (TRIM(INDIRECT("'" &amp; 'Hulp (overig)'!$C$16 &amp; "'!B1:B1000")) = TEXT(G63,"0")) *
                (ROW(INDIRECT("'" &amp; 'Hulp (overig)'!$C$16 &amp; "'!B1:B1000")) &gt;= MATCH(
                    G61,
                    INDIRECT("'" &amp; 'Hulp (overig)'!$C$16 &amp; "'!A1:A1000"),
                    0
                )) *
                IF(
                    H61="",
                    1,
                    (ROW(INDIRECT("'" &amp; 'Hulp (overig)'!$C$16 &amp; "'!B1:B1000")) &lt; MATCH(
                        H61,
                        INDIRECT("'" &amp; 'Hulp (overig)'!$C$16 &amp; "'!A1:A1000"),
                        0
                    ))
                ),
                ROW(INDIRECT("'" &amp; 'Hulp (overig)'!$C$16 &amp; "'!B1:B1000"))
            )
        ),0)
    )=0,"",
INDEX(
        INDIRECT("'" &amp; 'Hulp (overig)'!$C$16 &amp; "'!" &amp;
        'Hulp (overig)'!$C$17 &amp; "1:" &amp; 'Hulp (overig)'!$C$17 &amp; 1000
        ),
        IFERROR(MIN(
            IF(
                (TRIM(INDIRECT("'" &amp; 'Hulp (overig)'!$C$16 &amp; "'!B1:B1000")) = TEXT(G63,"0")) *
                (ROW(INDIRECT("'" &amp; 'Hulp (overig)'!$C$16 &amp; "'!B1:B1000")) &gt;= MATCH(
                    G61,
                    INDIRECT("'" &amp; 'Hulp (overig)'!$C$16 &amp; "'!A1:A1000"),
                    0
                )) *
                IF(
                    H61="",
                    1,
                    (ROW(INDIRECT("'" &amp; 'Hulp (overig)'!$C$16 &amp; "'!B1:B1000")) &lt; MATCH(
                        H61,
                        INDIRECT("'" &amp; 'Hulp (overig)'!$C$16 &amp; "'!A1:A1000"),
                        0
                    ))
                ),
                ROW(INDIRECT("'" &amp; 'Hulp (overig)'!$C$16 &amp; "'!B1:B1000"))
            )
        ),0)
    ))
))))</f>
        <v>#VALUE!</v>
      </c>
      <c r="H64" s="425" t="e" cm="1">
        <f t="array" aca="1" ref="H64" ca="1">IF($BF64, IF(H61="","",
   INDEX(
      INDIRECT("'" &amp; 'Hulp (CAO''s)'!$AE$8 &amp; "'!" &amp;
               'Hulp (overig)'!$C$17 &amp; "1:" &amp;
               'Hulp (overig)'!$C$17 &amp; "1000"),
      MATCH(
         H61,
         INDIRECT("'" &amp; 'Hulp (CAO''s)'!$AE$8 &amp; "'!A1:A1000"),
         0
      )
   )
), IF($D62="Gebruik % van maximum salaris",
IF(
    OR(H61="",H62=""),
    "",
    MAX(
        INDIRECT(
            "'" &amp; 'Hulp (overig)'!$C$16 &amp; "'!" &amp;
            'Hulp (overig)'!$C$17 &amp;
            MATCH(H61, INDIRECT("'" &amp; 'Hulp (overig)'!$C$16 &amp; "'!A1:A1000"), 0) &amp;
            ":" &amp;
            'Hulp (overig)'!$C$17 &amp;
LOOKUP(
    2,
    1 / (
        (ROW(INDIRECT("'" &amp; 'Hulp (overig)'!$C$16 &amp; "'!B1:B1000")) &lt;
            IF(I61&lt;&gt;"",
               MATCH(I61, INDIRECT("'" &amp; 'Hulp (overig)'!$C$16 &amp; "'!A1:A1000"),0),
               1000
            )
        ) *
        (LEFT(TRIM(INDIRECT("'" &amp; 'Hulp (overig)'!$C$16 &amp; "'!B1:B1000")),1) &lt;&gt; "u")
    ),
    ROW(INDIRECT("'" &amp; 'Hulp (overig)'!$C$16 &amp; "'!B1:B1000"))
)
        )
    ) * H62
),
IF(H63="","",
IF(
    IFERROR(MIN(
        IF(
            (TRIM(INDIRECT("'" &amp; 'Hulp (overig)'!$C$16 &amp; "'!B1:B1000")) = TEXT(H63,"0")) *
            (ROW(INDIRECT("'" &amp; 'Hulp (overig)'!$C$16 &amp; "'!B1:B1000")) &gt;= MATCH(
                H61,
                INDIRECT("'" &amp; 'Hulp (overig)'!$C$16 &amp; "'!A1:A1000"),
                0
            )) *
            IF(
                I61="",
                1,
                (ROW(INDIRECT("'" &amp; 'Hulp (overig)'!$C$16 &amp; "'!B1:B1000")) &lt; MATCH(
                    I61,
                    INDIRECT("'" &amp; 'Hulp (overig)'!$C$16 &amp; "'!A1:A1000"),
                    0
                ))
            ),
            ROW(INDIRECT("'" &amp; 'Hulp (overig)'!$C$16 &amp; "'!B1:B1000"))
        )
    ),0) &lt; 1,
    "",
    IF(INDEX(
        INDIRECT("'" &amp; 'Hulp (overig)'!$C$16 &amp; "'!" &amp;
        'Hulp (overig)'!$C$17 &amp; "1:" &amp; 'Hulp (overig)'!$C$17 &amp; 1000
        ),
        IFERROR(MIN(
            IF(
                (TRIM(INDIRECT("'" &amp; 'Hulp (overig)'!$C$16 &amp; "'!B1:B1000")) = TEXT(H63,"0")) *
                (ROW(INDIRECT("'" &amp; 'Hulp (overig)'!$C$16 &amp; "'!B1:B1000")) &gt;= MATCH(
                    H61,
                    INDIRECT("'" &amp; 'Hulp (overig)'!$C$16 &amp; "'!A1:A1000"),
                    0
                )) *
                IF(
                    I61="",
                    1,
                    (ROW(INDIRECT("'" &amp; 'Hulp (overig)'!$C$16 &amp; "'!B1:B1000")) &lt; MATCH(
                        I61,
                        INDIRECT("'" &amp; 'Hulp (overig)'!$C$16 &amp; "'!A1:A1000"),
                        0
                    ))
                ),
                ROW(INDIRECT("'" &amp; 'Hulp (overig)'!$C$16 &amp; "'!B1:B1000"))
            )
        ),0)
    )=0,"",
INDEX(
        INDIRECT("'" &amp; 'Hulp (overig)'!$C$16 &amp; "'!" &amp;
        'Hulp (overig)'!$C$17 &amp; "1:" &amp; 'Hulp (overig)'!$C$17 &amp; 1000
        ),
        IFERROR(MIN(
            IF(
                (TRIM(INDIRECT("'" &amp; 'Hulp (overig)'!$C$16 &amp; "'!B1:B1000")) = TEXT(H63,"0")) *
                (ROW(INDIRECT("'" &amp; 'Hulp (overig)'!$C$16 &amp; "'!B1:B1000")) &gt;= MATCH(
                    H61,
                    INDIRECT("'" &amp; 'Hulp (overig)'!$C$16 &amp; "'!A1:A1000"),
                    0
                )) *
                IF(
                    I61="",
                    1,
                    (ROW(INDIRECT("'" &amp; 'Hulp (overig)'!$C$16 &amp; "'!B1:B1000")) &lt; MATCH(
                        I61,
                        INDIRECT("'" &amp; 'Hulp (overig)'!$C$16 &amp; "'!A1:A1000"),
                        0
                    ))
                ),
                ROW(INDIRECT("'" &amp; 'Hulp (overig)'!$C$16 &amp; "'!B1:B1000"))
            )
        ),0)
    ))
))))</f>
        <v>#VALUE!</v>
      </c>
      <c r="I64" s="425" t="e" cm="1">
        <f t="array" aca="1" ref="I64" ca="1">IF($BF64, IF(I61="","",
   INDEX(
      INDIRECT("'" &amp; 'Hulp (CAO''s)'!$AE$8 &amp; "'!" &amp;
               'Hulp (overig)'!$C$17 &amp; "1:" &amp;
               'Hulp (overig)'!$C$17 &amp; "1000"),
      MATCH(
         I61,
         INDIRECT("'" &amp; 'Hulp (CAO''s)'!$AE$8 &amp; "'!A1:A1000"),
         0
      )
   )
), IF($D62="Gebruik % van maximum salaris",
IF(
    OR(I61="",I62=""),
    "",
    MAX(
        INDIRECT(
            "'" &amp; 'Hulp (overig)'!$C$16 &amp; "'!" &amp;
            'Hulp (overig)'!$C$17 &amp;
            MATCH(I61, INDIRECT("'" &amp; 'Hulp (overig)'!$C$16 &amp; "'!A1:A1000"), 0) &amp;
            ":" &amp;
            'Hulp (overig)'!$C$17 &amp;
LOOKUP(
    2,
    1 / (
        (ROW(INDIRECT("'" &amp; 'Hulp (overig)'!$C$16 &amp; "'!B1:B1000")) &lt;
            IF(J61&lt;&gt;"",
               MATCH(J61, INDIRECT("'" &amp; 'Hulp (overig)'!$C$16 &amp; "'!A1:A1000"),0),
               1000
            )
        ) *
        (LEFT(TRIM(INDIRECT("'" &amp; 'Hulp (overig)'!$C$16 &amp; "'!B1:B1000")),1) &lt;&gt; "u")
    ),
    ROW(INDIRECT("'" &amp; 'Hulp (overig)'!$C$16 &amp; "'!B1:B1000"))
)
        )
    ) * I62
),
IF(I63="","",
IF(
    IFERROR(MIN(
        IF(
            (TRIM(INDIRECT("'" &amp; 'Hulp (overig)'!$C$16 &amp; "'!B1:B1000")) = TEXT(I63,"0")) *
            (ROW(INDIRECT("'" &amp; 'Hulp (overig)'!$C$16 &amp; "'!B1:B1000")) &gt;= MATCH(
                I61,
                INDIRECT("'" &amp; 'Hulp (overig)'!$C$16 &amp; "'!A1:A1000"),
                0
            )) *
            IF(
                J61="",
                1,
                (ROW(INDIRECT("'" &amp; 'Hulp (overig)'!$C$16 &amp; "'!B1:B1000")) &lt; MATCH(
                    J61,
                    INDIRECT("'" &amp; 'Hulp (overig)'!$C$16 &amp; "'!A1:A1000"),
                    0
                ))
            ),
            ROW(INDIRECT("'" &amp; 'Hulp (overig)'!$C$16 &amp; "'!B1:B1000"))
        )
    ),0) &lt; 1,
    "",
    IF(INDEX(
        INDIRECT("'" &amp; 'Hulp (overig)'!$C$16 &amp; "'!" &amp;
        'Hulp (overig)'!$C$17 &amp; "1:" &amp; 'Hulp (overig)'!$C$17 &amp; 1000
        ),
        IFERROR(MIN(
            IF(
                (TRIM(INDIRECT("'" &amp; 'Hulp (overig)'!$C$16 &amp; "'!B1:B1000")) = TEXT(I63,"0")) *
                (ROW(INDIRECT("'" &amp; 'Hulp (overig)'!$C$16 &amp; "'!B1:B1000")) &gt;= MATCH(
                    I61,
                    INDIRECT("'" &amp; 'Hulp (overig)'!$C$16 &amp; "'!A1:A1000"),
                    0
                )) *
                IF(
                    J61="",
                    1,
                    (ROW(INDIRECT("'" &amp; 'Hulp (overig)'!$C$16 &amp; "'!B1:B1000")) &lt; MATCH(
                        J61,
                        INDIRECT("'" &amp; 'Hulp (overig)'!$C$16 &amp; "'!A1:A1000"),
                        0
                    ))
                ),
                ROW(INDIRECT("'" &amp; 'Hulp (overig)'!$C$16 &amp; "'!B1:B1000"))
            )
        ),0)
    )=0,"",
INDEX(
        INDIRECT("'" &amp; 'Hulp (overig)'!$C$16 &amp; "'!" &amp;
        'Hulp (overig)'!$C$17 &amp; "1:" &amp; 'Hulp (overig)'!$C$17 &amp; 1000
        ),
        IFERROR(MIN(
            IF(
                (TRIM(INDIRECT("'" &amp; 'Hulp (overig)'!$C$16 &amp; "'!B1:B1000")) = TEXT(I63,"0")) *
                (ROW(INDIRECT("'" &amp; 'Hulp (overig)'!$C$16 &amp; "'!B1:B1000")) &gt;= MATCH(
                    I61,
                    INDIRECT("'" &amp; 'Hulp (overig)'!$C$16 &amp; "'!A1:A1000"),
                    0
                )) *
                IF(
                    J61="",
                    1,
                    (ROW(INDIRECT("'" &amp; 'Hulp (overig)'!$C$16 &amp; "'!B1:B1000")) &lt; MATCH(
                        J61,
                        INDIRECT("'" &amp; 'Hulp (overig)'!$C$16 &amp; "'!A1:A1000"),
                        0
                    ))
                ),
                ROW(INDIRECT("'" &amp; 'Hulp (overig)'!$C$16 &amp; "'!B1:B1000"))
            )
        ),0)
    ))
))))</f>
        <v>#VALUE!</v>
      </c>
      <c r="J64" s="425" t="e" cm="1">
        <f t="array" aca="1" ref="J64" ca="1">IF($BF64, IF(J61="","",
   INDEX(
      INDIRECT("'" &amp; 'Hulp (CAO''s)'!$AE$8 &amp; "'!" &amp;
               'Hulp (overig)'!$C$17 &amp; "1:" &amp;
               'Hulp (overig)'!$C$17 &amp; "1000"),
      MATCH(
         J61,
         INDIRECT("'" &amp; 'Hulp (CAO''s)'!$AE$8 &amp; "'!A1:A1000"),
         0
      )
   )
), IF($D62="Gebruik % van maximum salaris",
IF(
    OR(J61="",J62=""),
    "",
    MAX(
        INDIRECT(
            "'" &amp; 'Hulp (overig)'!$C$16 &amp; "'!" &amp;
            'Hulp (overig)'!$C$17 &amp;
            MATCH(J61, INDIRECT("'" &amp; 'Hulp (overig)'!$C$16 &amp; "'!A1:A1000"), 0) &amp;
            ":" &amp;
            'Hulp (overig)'!$C$17 &amp;
LOOKUP(
    2,
    1 / (
        (ROW(INDIRECT("'" &amp; 'Hulp (overig)'!$C$16 &amp; "'!B1:B1000")) &lt;
            IF(K61&lt;&gt;"",
               MATCH(K61, INDIRECT("'" &amp; 'Hulp (overig)'!$C$16 &amp; "'!A1:A1000"),0),
               1000
            )
        ) *
        (LEFT(TRIM(INDIRECT("'" &amp; 'Hulp (overig)'!$C$16 &amp; "'!B1:B1000")),1) &lt;&gt; "u")
    ),
    ROW(INDIRECT("'" &amp; 'Hulp (overig)'!$C$16 &amp; "'!B1:B1000"))
)
        )
    ) * J62
),
IF(J63="","",
IF(
    IFERROR(MIN(
        IF(
            (TRIM(INDIRECT("'" &amp; 'Hulp (overig)'!$C$16 &amp; "'!B1:B1000")) = TEXT(J63,"0")) *
            (ROW(INDIRECT("'" &amp; 'Hulp (overig)'!$C$16 &amp; "'!B1:B1000")) &gt;= MATCH(
                J61,
                INDIRECT("'" &amp; 'Hulp (overig)'!$C$16 &amp; "'!A1:A1000"),
                0
            )) *
            IF(
                K61="",
                1,
                (ROW(INDIRECT("'" &amp; 'Hulp (overig)'!$C$16 &amp; "'!B1:B1000")) &lt; MATCH(
                    K61,
                    INDIRECT("'" &amp; 'Hulp (overig)'!$C$16 &amp; "'!A1:A1000"),
                    0
                ))
            ),
            ROW(INDIRECT("'" &amp; 'Hulp (overig)'!$C$16 &amp; "'!B1:B1000"))
        )
    ),0) &lt; 1,
    "",
    IF(INDEX(
        INDIRECT("'" &amp; 'Hulp (overig)'!$C$16 &amp; "'!" &amp;
        'Hulp (overig)'!$C$17 &amp; "1:" &amp; 'Hulp (overig)'!$C$17 &amp; 1000
        ),
        IFERROR(MIN(
            IF(
                (TRIM(INDIRECT("'" &amp; 'Hulp (overig)'!$C$16 &amp; "'!B1:B1000")) = TEXT(J63,"0")) *
                (ROW(INDIRECT("'" &amp; 'Hulp (overig)'!$C$16 &amp; "'!B1:B1000")) &gt;= MATCH(
                    J61,
                    INDIRECT("'" &amp; 'Hulp (overig)'!$C$16 &amp; "'!A1:A1000"),
                    0
                )) *
                IF(
                    K61="",
                    1,
                    (ROW(INDIRECT("'" &amp; 'Hulp (overig)'!$C$16 &amp; "'!B1:B1000")) &lt; MATCH(
                        K61,
                        INDIRECT("'" &amp; 'Hulp (overig)'!$C$16 &amp; "'!A1:A1000"),
                        0
                    ))
                ),
                ROW(INDIRECT("'" &amp; 'Hulp (overig)'!$C$16 &amp; "'!B1:B1000"))
            )
        ),0)
    )=0,"",
INDEX(
        INDIRECT("'" &amp; 'Hulp (overig)'!$C$16 &amp; "'!" &amp;
        'Hulp (overig)'!$C$17 &amp; "1:" &amp; 'Hulp (overig)'!$C$17 &amp; 1000
        ),
        IFERROR(MIN(
            IF(
                (TRIM(INDIRECT("'" &amp; 'Hulp (overig)'!$C$16 &amp; "'!B1:B1000")) = TEXT(J63,"0")) *
                (ROW(INDIRECT("'" &amp; 'Hulp (overig)'!$C$16 &amp; "'!B1:B1000")) &gt;= MATCH(
                    J61,
                    INDIRECT("'" &amp; 'Hulp (overig)'!$C$16 &amp; "'!A1:A1000"),
                    0
                )) *
                IF(
                    K61="",
                    1,
                    (ROW(INDIRECT("'" &amp; 'Hulp (overig)'!$C$16 &amp; "'!B1:B1000")) &lt; MATCH(
                        K61,
                        INDIRECT("'" &amp; 'Hulp (overig)'!$C$16 &amp; "'!A1:A1000"),
                        0
                    ))
                ),
                ROW(INDIRECT("'" &amp; 'Hulp (overig)'!$C$16 &amp; "'!B1:B1000"))
            )
        ),0)
    ))
))))</f>
        <v>#VALUE!</v>
      </c>
      <c r="K64" s="425" t="e" cm="1">
        <f t="array" aca="1" ref="K64" ca="1">IF($BF64, IF(K61="","",
   INDEX(
      INDIRECT("'" &amp; 'Hulp (CAO''s)'!$AE$8 &amp; "'!" &amp;
               'Hulp (overig)'!$C$17 &amp; "1:" &amp;
               'Hulp (overig)'!$C$17 &amp; "1000"),
      MATCH(
         K61,
         INDIRECT("'" &amp; 'Hulp (CAO''s)'!$AE$8 &amp; "'!A1:A1000"),
         0
      )
   )
), IF($D62="Gebruik % van maximum salaris",
IF(
    OR(K61="",K62=""),
    "",
    MAX(
        INDIRECT(
            "'" &amp; 'Hulp (overig)'!$C$16 &amp; "'!" &amp;
            'Hulp (overig)'!$C$17 &amp;
            MATCH(K61, INDIRECT("'" &amp; 'Hulp (overig)'!$C$16 &amp; "'!A1:A1000"), 0) &amp;
            ":" &amp;
            'Hulp (overig)'!$C$17 &amp;
LOOKUP(
    2,
    1 / (
        (ROW(INDIRECT("'" &amp; 'Hulp (overig)'!$C$16 &amp; "'!B1:B1000")) &lt;
            IF(L61&lt;&gt;"",
               MATCH(L61, INDIRECT("'" &amp; 'Hulp (overig)'!$C$16 &amp; "'!A1:A1000"),0),
               1000
            )
        ) *
        (LEFT(TRIM(INDIRECT("'" &amp; 'Hulp (overig)'!$C$16 &amp; "'!B1:B1000")),1) &lt;&gt; "u")
    ),
    ROW(INDIRECT("'" &amp; 'Hulp (overig)'!$C$16 &amp; "'!B1:B1000"))
)
        )
    ) * K62
),
IF(K63="","",
IF(
    IFERROR(MIN(
        IF(
            (TRIM(INDIRECT("'" &amp; 'Hulp (overig)'!$C$16 &amp; "'!B1:B1000")) = TEXT(K63,"0")) *
            (ROW(INDIRECT("'" &amp; 'Hulp (overig)'!$C$16 &amp; "'!B1:B1000")) &gt;= MATCH(
                K61,
                INDIRECT("'" &amp; 'Hulp (overig)'!$C$16 &amp; "'!A1:A1000"),
                0
            )) *
            IF(
                L61="",
                1,
                (ROW(INDIRECT("'" &amp; 'Hulp (overig)'!$C$16 &amp; "'!B1:B1000")) &lt; MATCH(
                    L61,
                    INDIRECT("'" &amp; 'Hulp (overig)'!$C$16 &amp; "'!A1:A1000"),
                    0
                ))
            ),
            ROW(INDIRECT("'" &amp; 'Hulp (overig)'!$C$16 &amp; "'!B1:B1000"))
        )
    ),0) &lt; 1,
    "",
    IF(INDEX(
        INDIRECT("'" &amp; 'Hulp (overig)'!$C$16 &amp; "'!" &amp;
        'Hulp (overig)'!$C$17 &amp; "1:" &amp; 'Hulp (overig)'!$C$17 &amp; 1000
        ),
        IFERROR(MIN(
            IF(
                (TRIM(INDIRECT("'" &amp; 'Hulp (overig)'!$C$16 &amp; "'!B1:B1000")) = TEXT(K63,"0")) *
                (ROW(INDIRECT("'" &amp; 'Hulp (overig)'!$C$16 &amp; "'!B1:B1000")) &gt;= MATCH(
                    K61,
                    INDIRECT("'" &amp; 'Hulp (overig)'!$C$16 &amp; "'!A1:A1000"),
                    0
                )) *
                IF(
                    L61="",
                    1,
                    (ROW(INDIRECT("'" &amp; 'Hulp (overig)'!$C$16 &amp; "'!B1:B1000")) &lt; MATCH(
                        L61,
                        INDIRECT("'" &amp; 'Hulp (overig)'!$C$16 &amp; "'!A1:A1000"),
                        0
                    ))
                ),
                ROW(INDIRECT("'" &amp; 'Hulp (overig)'!$C$16 &amp; "'!B1:B1000"))
            )
        ),0)
    )=0,"",
INDEX(
        INDIRECT("'" &amp; 'Hulp (overig)'!$C$16 &amp; "'!" &amp;
        'Hulp (overig)'!$C$17 &amp; "1:" &amp; 'Hulp (overig)'!$C$17 &amp; 1000
        ),
        IFERROR(MIN(
            IF(
                (TRIM(INDIRECT("'" &amp; 'Hulp (overig)'!$C$16 &amp; "'!B1:B1000")) = TEXT(K63,"0")) *
                (ROW(INDIRECT("'" &amp; 'Hulp (overig)'!$C$16 &amp; "'!B1:B1000")) &gt;= MATCH(
                    K61,
                    INDIRECT("'" &amp; 'Hulp (overig)'!$C$16 &amp; "'!A1:A1000"),
                    0
                )) *
                IF(
                    L61="",
                    1,
                    (ROW(INDIRECT("'" &amp; 'Hulp (overig)'!$C$16 &amp; "'!B1:B1000")) &lt; MATCH(
                        L61,
                        INDIRECT("'" &amp; 'Hulp (overig)'!$C$16 &amp; "'!A1:A1000"),
                        0
                    ))
                ),
                ROW(INDIRECT("'" &amp; 'Hulp (overig)'!$C$16 &amp; "'!B1:B1000"))
            )
        ),0)
    ))
))))</f>
        <v>#VALUE!</v>
      </c>
      <c r="L64" s="425" t="e" cm="1">
        <f t="array" aca="1" ref="L64" ca="1">IF($BF64, IF(L61="","",
   INDEX(
      INDIRECT("'" &amp; 'Hulp (CAO''s)'!$AE$8 &amp; "'!" &amp;
               'Hulp (overig)'!$C$17 &amp; "1:" &amp;
               'Hulp (overig)'!$C$17 &amp; "1000"),
      MATCH(
         L61,
         INDIRECT("'" &amp; 'Hulp (CAO''s)'!$AE$8 &amp; "'!A1:A1000"),
         0
      )
   )
), IF($D62="Gebruik % van maximum salaris",
IF(
    OR(L61="",L62=""),
    "",
    MAX(
        INDIRECT(
            "'" &amp; 'Hulp (overig)'!$C$16 &amp; "'!" &amp;
            'Hulp (overig)'!$C$17 &amp;
            MATCH(L61, INDIRECT("'" &amp; 'Hulp (overig)'!$C$16 &amp; "'!A1:A1000"), 0) &amp;
            ":" &amp;
            'Hulp (overig)'!$C$17 &amp;
LOOKUP(
    2,
    1 / (
        (ROW(INDIRECT("'" &amp; 'Hulp (overig)'!$C$16 &amp; "'!B1:B1000")) &lt;
            IF(M61&lt;&gt;"",
               MATCH(M61, INDIRECT("'" &amp; 'Hulp (overig)'!$C$16 &amp; "'!A1:A1000"),0),
               1000
            )
        ) *
        (LEFT(TRIM(INDIRECT("'" &amp; 'Hulp (overig)'!$C$16 &amp; "'!B1:B1000")),1) &lt;&gt; "u")
    ),
    ROW(INDIRECT("'" &amp; 'Hulp (overig)'!$C$16 &amp; "'!B1:B1000"))
)
        )
    ) * L62
),
IF(L63="","",
IF(
    IFERROR(MIN(
        IF(
            (TRIM(INDIRECT("'" &amp; 'Hulp (overig)'!$C$16 &amp; "'!B1:B1000")) = TEXT(L63,"0")) *
            (ROW(INDIRECT("'" &amp; 'Hulp (overig)'!$C$16 &amp; "'!B1:B1000")) &gt;= MATCH(
                L61,
                INDIRECT("'" &amp; 'Hulp (overig)'!$C$16 &amp; "'!A1:A1000"),
                0
            )) *
            IF(
                M61="",
                1,
                (ROW(INDIRECT("'" &amp; 'Hulp (overig)'!$C$16 &amp; "'!B1:B1000")) &lt; MATCH(
                    M61,
                    INDIRECT("'" &amp; 'Hulp (overig)'!$C$16 &amp; "'!A1:A1000"),
                    0
                ))
            ),
            ROW(INDIRECT("'" &amp; 'Hulp (overig)'!$C$16 &amp; "'!B1:B1000"))
        )
    ),0) &lt; 1,
    "",
    IF(INDEX(
        INDIRECT("'" &amp; 'Hulp (overig)'!$C$16 &amp; "'!" &amp;
        'Hulp (overig)'!$C$17 &amp; "1:" &amp; 'Hulp (overig)'!$C$17 &amp; 1000
        ),
        IFERROR(MIN(
            IF(
                (TRIM(INDIRECT("'" &amp; 'Hulp (overig)'!$C$16 &amp; "'!B1:B1000")) = TEXT(L63,"0")) *
                (ROW(INDIRECT("'" &amp; 'Hulp (overig)'!$C$16 &amp; "'!B1:B1000")) &gt;= MATCH(
                    L61,
                    INDIRECT("'" &amp; 'Hulp (overig)'!$C$16 &amp; "'!A1:A1000"),
                    0
                )) *
                IF(
                    M61="",
                    1,
                    (ROW(INDIRECT("'" &amp; 'Hulp (overig)'!$C$16 &amp; "'!B1:B1000")) &lt; MATCH(
                        M61,
                        INDIRECT("'" &amp; 'Hulp (overig)'!$C$16 &amp; "'!A1:A1000"),
                        0
                    ))
                ),
                ROW(INDIRECT("'" &amp; 'Hulp (overig)'!$C$16 &amp; "'!B1:B1000"))
            )
        ),0)
    )=0,"",
INDEX(
        INDIRECT("'" &amp; 'Hulp (overig)'!$C$16 &amp; "'!" &amp;
        'Hulp (overig)'!$C$17 &amp; "1:" &amp; 'Hulp (overig)'!$C$17 &amp; 1000
        ),
        IFERROR(MIN(
            IF(
                (TRIM(INDIRECT("'" &amp; 'Hulp (overig)'!$C$16 &amp; "'!B1:B1000")) = TEXT(L63,"0")) *
                (ROW(INDIRECT("'" &amp; 'Hulp (overig)'!$C$16 &amp; "'!B1:B1000")) &gt;= MATCH(
                    L61,
                    INDIRECT("'" &amp; 'Hulp (overig)'!$C$16 &amp; "'!A1:A1000"),
                    0
                )) *
                IF(
                    M61="",
                    1,
                    (ROW(INDIRECT("'" &amp; 'Hulp (overig)'!$C$16 &amp; "'!B1:B1000")) &lt; MATCH(
                        M61,
                        INDIRECT("'" &amp; 'Hulp (overig)'!$C$16 &amp; "'!A1:A1000"),
                        0
                    ))
                ),
                ROW(INDIRECT("'" &amp; 'Hulp (overig)'!$C$16 &amp; "'!B1:B1000"))
            )
        ),0)
    ))
))))</f>
        <v>#VALUE!</v>
      </c>
      <c r="M64" s="425" t="e" cm="1">
        <f t="array" aca="1" ref="M64" ca="1">IF($BF64, IF(M61="","",
   INDEX(
      INDIRECT("'" &amp; 'Hulp (CAO''s)'!$AE$8 &amp; "'!" &amp;
               'Hulp (overig)'!$C$17 &amp; "1:" &amp;
               'Hulp (overig)'!$C$17 &amp; "1000"),
      MATCH(
         M61,
         INDIRECT("'" &amp; 'Hulp (CAO''s)'!$AE$8 &amp; "'!A1:A1000"),
         0
      )
   )
), IF($D62="Gebruik % van maximum salaris",
IF(
    OR(M61="",M62=""),
    "",
    MAX(
        INDIRECT(
            "'" &amp; 'Hulp (overig)'!$C$16 &amp; "'!" &amp;
            'Hulp (overig)'!$C$17 &amp;
            MATCH(M61, INDIRECT("'" &amp; 'Hulp (overig)'!$C$16 &amp; "'!A1:A1000"), 0) &amp;
            ":" &amp;
            'Hulp (overig)'!$C$17 &amp;
LOOKUP(
    2,
    1 / (
        (ROW(INDIRECT("'" &amp; 'Hulp (overig)'!$C$16 &amp; "'!B1:B1000")) &lt;
            IF(N61&lt;&gt;"",
               MATCH(N61, INDIRECT("'" &amp; 'Hulp (overig)'!$C$16 &amp; "'!A1:A1000"),0),
               1000
            )
        ) *
        (LEFT(TRIM(INDIRECT("'" &amp; 'Hulp (overig)'!$C$16 &amp; "'!B1:B1000")),1) &lt;&gt; "u")
    ),
    ROW(INDIRECT("'" &amp; 'Hulp (overig)'!$C$16 &amp; "'!B1:B1000"))
)
        )
    ) * M62
),
IF(M63="","",
IF(
    IFERROR(MIN(
        IF(
            (TRIM(INDIRECT("'" &amp; 'Hulp (overig)'!$C$16 &amp; "'!B1:B1000")) = TEXT(M63,"0")) *
            (ROW(INDIRECT("'" &amp; 'Hulp (overig)'!$C$16 &amp; "'!B1:B1000")) &gt;= MATCH(
                M61,
                INDIRECT("'" &amp; 'Hulp (overig)'!$C$16 &amp; "'!A1:A1000"),
                0
            )) *
            IF(
                N61="",
                1,
                (ROW(INDIRECT("'" &amp; 'Hulp (overig)'!$C$16 &amp; "'!B1:B1000")) &lt; MATCH(
                    N61,
                    INDIRECT("'" &amp; 'Hulp (overig)'!$C$16 &amp; "'!A1:A1000"),
                    0
                ))
            ),
            ROW(INDIRECT("'" &amp; 'Hulp (overig)'!$C$16 &amp; "'!B1:B1000"))
        )
    ),0) &lt; 1,
    "",
    IF(INDEX(
        INDIRECT("'" &amp; 'Hulp (overig)'!$C$16 &amp; "'!" &amp;
        'Hulp (overig)'!$C$17 &amp; "1:" &amp; 'Hulp (overig)'!$C$17 &amp; 1000
        ),
        IFERROR(MIN(
            IF(
                (TRIM(INDIRECT("'" &amp; 'Hulp (overig)'!$C$16 &amp; "'!B1:B1000")) = TEXT(M63,"0")) *
                (ROW(INDIRECT("'" &amp; 'Hulp (overig)'!$C$16 &amp; "'!B1:B1000")) &gt;= MATCH(
                    M61,
                    INDIRECT("'" &amp; 'Hulp (overig)'!$C$16 &amp; "'!A1:A1000"),
                    0
                )) *
                IF(
                    N61="",
                    1,
                    (ROW(INDIRECT("'" &amp; 'Hulp (overig)'!$C$16 &amp; "'!B1:B1000")) &lt; MATCH(
                        N61,
                        INDIRECT("'" &amp; 'Hulp (overig)'!$C$16 &amp; "'!A1:A1000"),
                        0
                    ))
                ),
                ROW(INDIRECT("'" &amp; 'Hulp (overig)'!$C$16 &amp; "'!B1:B1000"))
            )
        ),0)
    )=0,"",
INDEX(
        INDIRECT("'" &amp; 'Hulp (overig)'!$C$16 &amp; "'!" &amp;
        'Hulp (overig)'!$C$17 &amp; "1:" &amp; 'Hulp (overig)'!$C$17 &amp; 1000
        ),
        IFERROR(MIN(
            IF(
                (TRIM(INDIRECT("'" &amp; 'Hulp (overig)'!$C$16 &amp; "'!B1:B1000")) = TEXT(M63,"0")) *
                (ROW(INDIRECT("'" &amp; 'Hulp (overig)'!$C$16 &amp; "'!B1:B1000")) &gt;= MATCH(
                    M61,
                    INDIRECT("'" &amp; 'Hulp (overig)'!$C$16 &amp; "'!A1:A1000"),
                    0
                )) *
                IF(
                    N61="",
                    1,
                    (ROW(INDIRECT("'" &amp; 'Hulp (overig)'!$C$16 &amp; "'!B1:B1000")) &lt; MATCH(
                        N61,
                        INDIRECT("'" &amp; 'Hulp (overig)'!$C$16 &amp; "'!A1:A1000"),
                        0
                    ))
                ),
                ROW(INDIRECT("'" &amp; 'Hulp (overig)'!$C$16 &amp; "'!B1:B1000"))
            )
        ),0)
    ))
))))</f>
        <v>#VALUE!</v>
      </c>
      <c r="N64" s="425" t="e" cm="1">
        <f t="array" aca="1" ref="N64" ca="1">IF($BF64, IF(N61="","",
   INDEX(
      INDIRECT("'" &amp; 'Hulp (CAO''s)'!$AE$8 &amp; "'!" &amp;
               'Hulp (overig)'!$C$17 &amp; "1:" &amp;
               'Hulp (overig)'!$C$17 &amp; "1000"),
      MATCH(
         N61,
         INDIRECT("'" &amp; 'Hulp (CAO''s)'!$AE$8 &amp; "'!A1:A1000"),
         0
      )
   )
), IF($D62="Gebruik % van maximum salaris",
IF(
    OR(N61="",N62=""),
    "",
    MAX(
        INDIRECT(
            "'" &amp; 'Hulp (overig)'!$C$16 &amp; "'!" &amp;
            'Hulp (overig)'!$C$17 &amp;
            MATCH(N61, INDIRECT("'" &amp; 'Hulp (overig)'!$C$16 &amp; "'!A1:A1000"), 0) &amp;
            ":" &amp;
            'Hulp (overig)'!$C$17 &amp;
LOOKUP(
    2,
    1 / (
        (ROW(INDIRECT("'" &amp; 'Hulp (overig)'!$C$16 &amp; "'!B1:B1000")) &lt;
            IF(O61&lt;&gt;"",
               MATCH(O61, INDIRECT("'" &amp; 'Hulp (overig)'!$C$16 &amp; "'!A1:A1000"),0),
               1000
            )
        ) *
        (LEFT(TRIM(INDIRECT("'" &amp; 'Hulp (overig)'!$C$16 &amp; "'!B1:B1000")),1) &lt;&gt; "u")
    ),
    ROW(INDIRECT("'" &amp; 'Hulp (overig)'!$C$16 &amp; "'!B1:B1000"))
)
        )
    ) * N62
),
IF(N63="","",
IF(
    IFERROR(MIN(
        IF(
            (TRIM(INDIRECT("'" &amp; 'Hulp (overig)'!$C$16 &amp; "'!B1:B1000")) = TEXT(N63,"0")) *
            (ROW(INDIRECT("'" &amp; 'Hulp (overig)'!$C$16 &amp; "'!B1:B1000")) &gt;= MATCH(
                N61,
                INDIRECT("'" &amp; 'Hulp (overig)'!$C$16 &amp; "'!A1:A1000"),
                0
            )) *
            IF(
                O61="",
                1,
                (ROW(INDIRECT("'" &amp; 'Hulp (overig)'!$C$16 &amp; "'!B1:B1000")) &lt; MATCH(
                    O61,
                    INDIRECT("'" &amp; 'Hulp (overig)'!$C$16 &amp; "'!A1:A1000"),
                    0
                ))
            ),
            ROW(INDIRECT("'" &amp; 'Hulp (overig)'!$C$16 &amp; "'!B1:B1000"))
        )
    ),0) &lt; 1,
    "",
    IF(INDEX(
        INDIRECT("'" &amp; 'Hulp (overig)'!$C$16 &amp; "'!" &amp;
        'Hulp (overig)'!$C$17 &amp; "1:" &amp; 'Hulp (overig)'!$C$17 &amp; 1000
        ),
        IFERROR(MIN(
            IF(
                (TRIM(INDIRECT("'" &amp; 'Hulp (overig)'!$C$16 &amp; "'!B1:B1000")) = TEXT(N63,"0")) *
                (ROW(INDIRECT("'" &amp; 'Hulp (overig)'!$C$16 &amp; "'!B1:B1000")) &gt;= MATCH(
                    N61,
                    INDIRECT("'" &amp; 'Hulp (overig)'!$C$16 &amp; "'!A1:A1000"),
                    0
                )) *
                IF(
                    O61="",
                    1,
                    (ROW(INDIRECT("'" &amp; 'Hulp (overig)'!$C$16 &amp; "'!B1:B1000")) &lt; MATCH(
                        O61,
                        INDIRECT("'" &amp; 'Hulp (overig)'!$C$16 &amp; "'!A1:A1000"),
                        0
                    ))
                ),
                ROW(INDIRECT("'" &amp; 'Hulp (overig)'!$C$16 &amp; "'!B1:B1000"))
            )
        ),0)
    )=0,"",
INDEX(
        INDIRECT("'" &amp; 'Hulp (overig)'!$C$16 &amp; "'!" &amp;
        'Hulp (overig)'!$C$17 &amp; "1:" &amp; 'Hulp (overig)'!$C$17 &amp; 1000
        ),
        IFERROR(MIN(
            IF(
                (TRIM(INDIRECT("'" &amp; 'Hulp (overig)'!$C$16 &amp; "'!B1:B1000")) = TEXT(N63,"0")) *
                (ROW(INDIRECT("'" &amp; 'Hulp (overig)'!$C$16 &amp; "'!B1:B1000")) &gt;= MATCH(
                    N61,
                    INDIRECT("'" &amp; 'Hulp (overig)'!$C$16 &amp; "'!A1:A1000"),
                    0
                )) *
                IF(
                    O61="",
                    1,
                    (ROW(INDIRECT("'" &amp; 'Hulp (overig)'!$C$16 &amp; "'!B1:B1000")) &lt; MATCH(
                        O61,
                        INDIRECT("'" &amp; 'Hulp (overig)'!$C$16 &amp; "'!A1:A1000"),
                        0
                    ))
                ),
                ROW(INDIRECT("'" &amp; 'Hulp (overig)'!$C$16 &amp; "'!B1:B1000"))
            )
        ),0)
    ))
))))</f>
        <v>#VALUE!</v>
      </c>
      <c r="O64" s="425" t="e" cm="1">
        <f t="array" aca="1" ref="O64" ca="1">IF($BF64, IF(O61="","",
   INDEX(
      INDIRECT("'" &amp; 'Hulp (CAO''s)'!$AE$8 &amp; "'!" &amp;
               'Hulp (overig)'!$C$17 &amp; "1:" &amp;
               'Hulp (overig)'!$C$17 &amp; "1000"),
      MATCH(
         O61,
         INDIRECT("'" &amp; 'Hulp (CAO''s)'!$AE$8 &amp; "'!A1:A1000"),
         0
      )
   )
), IF($D62="Gebruik % van maximum salaris",
IF(
    OR(O61="",O62=""),
    "",
    MAX(
        INDIRECT(
            "'" &amp; 'Hulp (overig)'!$C$16 &amp; "'!" &amp;
            'Hulp (overig)'!$C$17 &amp;
            MATCH(O61, INDIRECT("'" &amp; 'Hulp (overig)'!$C$16 &amp; "'!A1:A1000"), 0) &amp;
            ":" &amp;
            'Hulp (overig)'!$C$17 &amp;
LOOKUP(
    2,
    1 / (
        (ROW(INDIRECT("'" &amp; 'Hulp (overig)'!$C$16 &amp; "'!B1:B1000")) &lt;
            IF(P61&lt;&gt;"",
               MATCH(P61, INDIRECT("'" &amp; 'Hulp (overig)'!$C$16 &amp; "'!A1:A1000"),0),
               1000
            )
        ) *
        (LEFT(TRIM(INDIRECT("'" &amp; 'Hulp (overig)'!$C$16 &amp; "'!B1:B1000")),1) &lt;&gt; "u")
    ),
    ROW(INDIRECT("'" &amp; 'Hulp (overig)'!$C$16 &amp; "'!B1:B1000"))
)
        )
    ) * O62
),
IF(O63="","",
IF(
    IFERROR(MIN(
        IF(
            (TRIM(INDIRECT("'" &amp; 'Hulp (overig)'!$C$16 &amp; "'!B1:B1000")) = TEXT(O63,"0")) *
            (ROW(INDIRECT("'" &amp; 'Hulp (overig)'!$C$16 &amp; "'!B1:B1000")) &gt;= MATCH(
                O61,
                INDIRECT("'" &amp; 'Hulp (overig)'!$C$16 &amp; "'!A1:A1000"),
                0
            )) *
            IF(
                P61="",
                1,
                (ROW(INDIRECT("'" &amp; 'Hulp (overig)'!$C$16 &amp; "'!B1:B1000")) &lt; MATCH(
                    P61,
                    INDIRECT("'" &amp; 'Hulp (overig)'!$C$16 &amp; "'!A1:A1000"),
                    0
                ))
            ),
            ROW(INDIRECT("'" &amp; 'Hulp (overig)'!$C$16 &amp; "'!B1:B1000"))
        )
    ),0) &lt; 1,
    "",
    IF(INDEX(
        INDIRECT("'" &amp; 'Hulp (overig)'!$C$16 &amp; "'!" &amp;
        'Hulp (overig)'!$C$17 &amp; "1:" &amp; 'Hulp (overig)'!$C$17 &amp; 1000
        ),
        IFERROR(MIN(
            IF(
                (TRIM(INDIRECT("'" &amp; 'Hulp (overig)'!$C$16 &amp; "'!B1:B1000")) = TEXT(O63,"0")) *
                (ROW(INDIRECT("'" &amp; 'Hulp (overig)'!$C$16 &amp; "'!B1:B1000")) &gt;= MATCH(
                    O61,
                    INDIRECT("'" &amp; 'Hulp (overig)'!$C$16 &amp; "'!A1:A1000"),
                    0
                )) *
                IF(
                    P61="",
                    1,
                    (ROW(INDIRECT("'" &amp; 'Hulp (overig)'!$C$16 &amp; "'!B1:B1000")) &lt; MATCH(
                        P61,
                        INDIRECT("'" &amp; 'Hulp (overig)'!$C$16 &amp; "'!A1:A1000"),
                        0
                    ))
                ),
                ROW(INDIRECT("'" &amp; 'Hulp (overig)'!$C$16 &amp; "'!B1:B1000"))
            )
        ),0)
    )=0,"",
INDEX(
        INDIRECT("'" &amp; 'Hulp (overig)'!$C$16 &amp; "'!" &amp;
        'Hulp (overig)'!$C$17 &amp; "1:" &amp; 'Hulp (overig)'!$C$17 &amp; 1000
        ),
        IFERROR(MIN(
            IF(
                (TRIM(INDIRECT("'" &amp; 'Hulp (overig)'!$C$16 &amp; "'!B1:B1000")) = TEXT(O63,"0")) *
                (ROW(INDIRECT("'" &amp; 'Hulp (overig)'!$C$16 &amp; "'!B1:B1000")) &gt;= MATCH(
                    O61,
                    INDIRECT("'" &amp; 'Hulp (overig)'!$C$16 &amp; "'!A1:A1000"),
                    0
                )) *
                IF(
                    P61="",
                    1,
                    (ROW(INDIRECT("'" &amp; 'Hulp (overig)'!$C$16 &amp; "'!B1:B1000")) &lt; MATCH(
                        P61,
                        INDIRECT("'" &amp; 'Hulp (overig)'!$C$16 &amp; "'!A1:A1000"),
                        0
                    ))
                ),
                ROW(INDIRECT("'" &amp; 'Hulp (overig)'!$C$16 &amp; "'!B1:B1000"))
            )
        ),0)
    ))
))))</f>
        <v>#VALUE!</v>
      </c>
      <c r="P64" s="425" t="e" cm="1">
        <f t="array" aca="1" ref="P64" ca="1">IF($BF64, IF(P61="","",
   INDEX(
      INDIRECT("'" &amp; 'Hulp (CAO''s)'!$AE$8 &amp; "'!" &amp;
               'Hulp (overig)'!$C$17 &amp; "1:" &amp;
               'Hulp (overig)'!$C$17 &amp; "1000"),
      MATCH(
         P61,
         INDIRECT("'" &amp; 'Hulp (CAO''s)'!$AE$8 &amp; "'!A1:A1000"),
         0
      )
   )
), IF($D62="Gebruik % van maximum salaris",
IF(
    OR(P61="",P62=""),
    "",
    MAX(
        INDIRECT(
            "'" &amp; 'Hulp (overig)'!$C$16 &amp; "'!" &amp;
            'Hulp (overig)'!$C$17 &amp;
            MATCH(P61, INDIRECT("'" &amp; 'Hulp (overig)'!$C$16 &amp; "'!A1:A1000"), 0) &amp;
            ":" &amp;
            'Hulp (overig)'!$C$17 &amp;
LOOKUP(
    2,
    1 / (
        (ROW(INDIRECT("'" &amp; 'Hulp (overig)'!$C$16 &amp; "'!B1:B1000")) &lt;
            IF(Q61&lt;&gt;"",
               MATCH(Q61, INDIRECT("'" &amp; 'Hulp (overig)'!$C$16 &amp; "'!A1:A1000"),0),
               1000
            )
        ) *
        (LEFT(TRIM(INDIRECT("'" &amp; 'Hulp (overig)'!$C$16 &amp; "'!B1:B1000")),1) &lt;&gt; "u")
    ),
    ROW(INDIRECT("'" &amp; 'Hulp (overig)'!$C$16 &amp; "'!B1:B1000"))
)
        )
    ) * P62
),
IF(P63="","",
IF(
    IFERROR(MIN(
        IF(
            (TRIM(INDIRECT("'" &amp; 'Hulp (overig)'!$C$16 &amp; "'!B1:B1000")) = TEXT(P63,"0")) *
            (ROW(INDIRECT("'" &amp; 'Hulp (overig)'!$C$16 &amp; "'!B1:B1000")) &gt;= MATCH(
                P61,
                INDIRECT("'" &amp; 'Hulp (overig)'!$C$16 &amp; "'!A1:A1000"),
                0
            )) *
            IF(
                Q61="",
                1,
                (ROW(INDIRECT("'" &amp; 'Hulp (overig)'!$C$16 &amp; "'!B1:B1000")) &lt; MATCH(
                    Q61,
                    INDIRECT("'" &amp; 'Hulp (overig)'!$C$16 &amp; "'!A1:A1000"),
                    0
                ))
            ),
            ROW(INDIRECT("'" &amp; 'Hulp (overig)'!$C$16 &amp; "'!B1:B1000"))
        )
    ),0) &lt; 1,
    "",
    IF(INDEX(
        INDIRECT("'" &amp; 'Hulp (overig)'!$C$16 &amp; "'!" &amp;
        'Hulp (overig)'!$C$17 &amp; "1:" &amp; 'Hulp (overig)'!$C$17 &amp; 1000
        ),
        IFERROR(MIN(
            IF(
                (TRIM(INDIRECT("'" &amp; 'Hulp (overig)'!$C$16 &amp; "'!B1:B1000")) = TEXT(P63,"0")) *
                (ROW(INDIRECT("'" &amp; 'Hulp (overig)'!$C$16 &amp; "'!B1:B1000")) &gt;= MATCH(
                    P61,
                    INDIRECT("'" &amp; 'Hulp (overig)'!$C$16 &amp; "'!A1:A1000"),
                    0
                )) *
                IF(
                    Q61="",
                    1,
                    (ROW(INDIRECT("'" &amp; 'Hulp (overig)'!$C$16 &amp; "'!B1:B1000")) &lt; MATCH(
                        Q61,
                        INDIRECT("'" &amp; 'Hulp (overig)'!$C$16 &amp; "'!A1:A1000"),
                        0
                    ))
                ),
                ROW(INDIRECT("'" &amp; 'Hulp (overig)'!$C$16 &amp; "'!B1:B1000"))
            )
        ),0)
    )=0,"",
INDEX(
        INDIRECT("'" &amp; 'Hulp (overig)'!$C$16 &amp; "'!" &amp;
        'Hulp (overig)'!$C$17 &amp; "1:" &amp; 'Hulp (overig)'!$C$17 &amp; 1000
        ),
        IFERROR(MIN(
            IF(
                (TRIM(INDIRECT("'" &amp; 'Hulp (overig)'!$C$16 &amp; "'!B1:B1000")) = TEXT(P63,"0")) *
                (ROW(INDIRECT("'" &amp; 'Hulp (overig)'!$C$16 &amp; "'!B1:B1000")) &gt;= MATCH(
                    P61,
                    INDIRECT("'" &amp; 'Hulp (overig)'!$C$16 &amp; "'!A1:A1000"),
                    0
                )) *
                IF(
                    Q61="",
                    1,
                    (ROW(INDIRECT("'" &amp; 'Hulp (overig)'!$C$16 &amp; "'!B1:B1000")) &lt; MATCH(
                        Q61,
                        INDIRECT("'" &amp; 'Hulp (overig)'!$C$16 &amp; "'!A1:A1000"),
                        0
                    ))
                ),
                ROW(INDIRECT("'" &amp; 'Hulp (overig)'!$C$16 &amp; "'!B1:B1000"))
            )
        ),0)
    ))
))))</f>
        <v>#VALUE!</v>
      </c>
      <c r="Q64" s="425" t="e" cm="1">
        <f t="array" aca="1" ref="Q64" ca="1">IF($BF64, IF(Q61="","",
   INDEX(
      INDIRECT("'" &amp; 'Hulp (CAO''s)'!$AE$8 &amp; "'!" &amp;
               'Hulp (overig)'!$C$17 &amp; "1:" &amp;
               'Hulp (overig)'!$C$17 &amp; "1000"),
      MATCH(
         Q61,
         INDIRECT("'" &amp; 'Hulp (CAO''s)'!$AE$8 &amp; "'!A1:A1000"),
         0
      )
   )
), IF($D62="Gebruik % van maximum salaris",
IF(
    OR(Q61="",Q62=""),
    "",
    MAX(
        INDIRECT(
            "'" &amp; 'Hulp (overig)'!$C$16 &amp; "'!" &amp;
            'Hulp (overig)'!$C$17 &amp;
            MATCH(Q61, INDIRECT("'" &amp; 'Hulp (overig)'!$C$16 &amp; "'!A1:A1000"), 0) &amp;
            ":" &amp;
            'Hulp (overig)'!$C$17 &amp;
LOOKUP(
    2,
    1 / (
        (ROW(INDIRECT("'" &amp; 'Hulp (overig)'!$C$16 &amp; "'!B1:B1000")) &lt;
            IF(R61&lt;&gt;"",
               MATCH(R61, INDIRECT("'" &amp; 'Hulp (overig)'!$C$16 &amp; "'!A1:A1000"),0),
               1000
            )
        ) *
        (LEFT(TRIM(INDIRECT("'" &amp; 'Hulp (overig)'!$C$16 &amp; "'!B1:B1000")),1) &lt;&gt; "u")
    ),
    ROW(INDIRECT("'" &amp; 'Hulp (overig)'!$C$16 &amp; "'!B1:B1000"))
)
        )
    ) * Q62
),
IF(Q63="","",
IF(
    IFERROR(MIN(
        IF(
            (TRIM(INDIRECT("'" &amp; 'Hulp (overig)'!$C$16 &amp; "'!B1:B1000")) = TEXT(Q63,"0")) *
            (ROW(INDIRECT("'" &amp; 'Hulp (overig)'!$C$16 &amp; "'!B1:B1000")) &gt;= MATCH(
                Q61,
                INDIRECT("'" &amp; 'Hulp (overig)'!$C$16 &amp; "'!A1:A1000"),
                0
            )) *
            IF(
                R61="",
                1,
                (ROW(INDIRECT("'" &amp; 'Hulp (overig)'!$C$16 &amp; "'!B1:B1000")) &lt; MATCH(
                    R61,
                    INDIRECT("'" &amp; 'Hulp (overig)'!$C$16 &amp; "'!A1:A1000"),
                    0
                ))
            ),
            ROW(INDIRECT("'" &amp; 'Hulp (overig)'!$C$16 &amp; "'!B1:B1000"))
        )
    ),0) &lt; 1,
    "",
    IF(INDEX(
        INDIRECT("'" &amp; 'Hulp (overig)'!$C$16 &amp; "'!" &amp;
        'Hulp (overig)'!$C$17 &amp; "1:" &amp; 'Hulp (overig)'!$C$17 &amp; 1000
        ),
        IFERROR(MIN(
            IF(
                (TRIM(INDIRECT("'" &amp; 'Hulp (overig)'!$C$16 &amp; "'!B1:B1000")) = TEXT(Q63,"0")) *
                (ROW(INDIRECT("'" &amp; 'Hulp (overig)'!$C$16 &amp; "'!B1:B1000")) &gt;= MATCH(
                    Q61,
                    INDIRECT("'" &amp; 'Hulp (overig)'!$C$16 &amp; "'!A1:A1000"),
                    0
                )) *
                IF(
                    R61="",
                    1,
                    (ROW(INDIRECT("'" &amp; 'Hulp (overig)'!$C$16 &amp; "'!B1:B1000")) &lt; MATCH(
                        R61,
                        INDIRECT("'" &amp; 'Hulp (overig)'!$C$16 &amp; "'!A1:A1000"),
                        0
                    ))
                ),
                ROW(INDIRECT("'" &amp; 'Hulp (overig)'!$C$16 &amp; "'!B1:B1000"))
            )
        ),0)
    )=0,"",
INDEX(
        INDIRECT("'" &amp; 'Hulp (overig)'!$C$16 &amp; "'!" &amp;
        'Hulp (overig)'!$C$17 &amp; "1:" &amp; 'Hulp (overig)'!$C$17 &amp; 1000
        ),
        IFERROR(MIN(
            IF(
                (TRIM(INDIRECT("'" &amp; 'Hulp (overig)'!$C$16 &amp; "'!B1:B1000")) = TEXT(Q63,"0")) *
                (ROW(INDIRECT("'" &amp; 'Hulp (overig)'!$C$16 &amp; "'!B1:B1000")) &gt;= MATCH(
                    Q61,
                    INDIRECT("'" &amp; 'Hulp (overig)'!$C$16 &amp; "'!A1:A1000"),
                    0
                )) *
                IF(
                    R61="",
                    1,
                    (ROW(INDIRECT("'" &amp; 'Hulp (overig)'!$C$16 &amp; "'!B1:B1000")) &lt; MATCH(
                        R61,
                        INDIRECT("'" &amp; 'Hulp (overig)'!$C$16 &amp; "'!A1:A1000"),
                        0
                    ))
                ),
                ROW(INDIRECT("'" &amp; 'Hulp (overig)'!$C$16 &amp; "'!B1:B1000"))
            )
        ),0)
    ))
))))</f>
        <v>#VALUE!</v>
      </c>
      <c r="R64" s="425" t="e" cm="1">
        <f t="array" aca="1" ref="R64" ca="1">IF($BF64, IF(R61="","",
   INDEX(
      INDIRECT("'" &amp; 'Hulp (CAO''s)'!$AE$8 &amp; "'!" &amp;
               'Hulp (overig)'!$C$17 &amp; "1:" &amp;
               'Hulp (overig)'!$C$17 &amp; "1000"),
      MATCH(
         R61,
         INDIRECT("'" &amp; 'Hulp (CAO''s)'!$AE$8 &amp; "'!A1:A1000"),
         0
      )
   )
), IF($D62="Gebruik % van maximum salaris",
IF(
    OR(R61="",R62=""),
    "",
    MAX(
        INDIRECT(
            "'" &amp; 'Hulp (overig)'!$C$16 &amp; "'!" &amp;
            'Hulp (overig)'!$C$17 &amp;
            MATCH(R61, INDIRECT("'" &amp; 'Hulp (overig)'!$C$16 &amp; "'!A1:A1000"), 0) &amp;
            ":" &amp;
            'Hulp (overig)'!$C$17 &amp;
LOOKUP(
    2,
    1 / (
        (ROW(INDIRECT("'" &amp; 'Hulp (overig)'!$C$16 &amp; "'!B1:B1000")) &lt;
            IF(S61&lt;&gt;"",
               MATCH(S61, INDIRECT("'" &amp; 'Hulp (overig)'!$C$16 &amp; "'!A1:A1000"),0),
               1000
            )
        ) *
        (LEFT(TRIM(INDIRECT("'" &amp; 'Hulp (overig)'!$C$16 &amp; "'!B1:B1000")),1) &lt;&gt; "u")
    ),
    ROW(INDIRECT("'" &amp; 'Hulp (overig)'!$C$16 &amp; "'!B1:B1000"))
)
        )
    ) * R62
),
IF(R63="","",
IF(
    IFERROR(MIN(
        IF(
            (TRIM(INDIRECT("'" &amp; 'Hulp (overig)'!$C$16 &amp; "'!B1:B1000")) = TEXT(R63,"0")) *
            (ROW(INDIRECT("'" &amp; 'Hulp (overig)'!$C$16 &amp; "'!B1:B1000")) &gt;= MATCH(
                R61,
                INDIRECT("'" &amp; 'Hulp (overig)'!$C$16 &amp; "'!A1:A1000"),
                0
            )) *
            IF(
                S61="",
                1,
                (ROW(INDIRECT("'" &amp; 'Hulp (overig)'!$C$16 &amp; "'!B1:B1000")) &lt; MATCH(
                    S61,
                    INDIRECT("'" &amp; 'Hulp (overig)'!$C$16 &amp; "'!A1:A1000"),
                    0
                ))
            ),
            ROW(INDIRECT("'" &amp; 'Hulp (overig)'!$C$16 &amp; "'!B1:B1000"))
        )
    ),0) &lt; 1,
    "",
    IF(INDEX(
        INDIRECT("'" &amp; 'Hulp (overig)'!$C$16 &amp; "'!" &amp;
        'Hulp (overig)'!$C$17 &amp; "1:" &amp; 'Hulp (overig)'!$C$17 &amp; 1000
        ),
        IFERROR(MIN(
            IF(
                (TRIM(INDIRECT("'" &amp; 'Hulp (overig)'!$C$16 &amp; "'!B1:B1000")) = TEXT(R63,"0")) *
                (ROW(INDIRECT("'" &amp; 'Hulp (overig)'!$C$16 &amp; "'!B1:B1000")) &gt;= MATCH(
                    R61,
                    INDIRECT("'" &amp; 'Hulp (overig)'!$C$16 &amp; "'!A1:A1000"),
                    0
                )) *
                IF(
                    S61="",
                    1,
                    (ROW(INDIRECT("'" &amp; 'Hulp (overig)'!$C$16 &amp; "'!B1:B1000")) &lt; MATCH(
                        S61,
                        INDIRECT("'" &amp; 'Hulp (overig)'!$C$16 &amp; "'!A1:A1000"),
                        0
                    ))
                ),
                ROW(INDIRECT("'" &amp; 'Hulp (overig)'!$C$16 &amp; "'!B1:B1000"))
            )
        ),0)
    )=0,"",
INDEX(
        INDIRECT("'" &amp; 'Hulp (overig)'!$C$16 &amp; "'!" &amp;
        'Hulp (overig)'!$C$17 &amp; "1:" &amp; 'Hulp (overig)'!$C$17 &amp; 1000
        ),
        IFERROR(MIN(
            IF(
                (TRIM(INDIRECT("'" &amp; 'Hulp (overig)'!$C$16 &amp; "'!B1:B1000")) = TEXT(R63,"0")) *
                (ROW(INDIRECT("'" &amp; 'Hulp (overig)'!$C$16 &amp; "'!B1:B1000")) &gt;= MATCH(
                    R61,
                    INDIRECT("'" &amp; 'Hulp (overig)'!$C$16 &amp; "'!A1:A1000"),
                    0
                )) *
                IF(
                    S61="",
                    1,
                    (ROW(INDIRECT("'" &amp; 'Hulp (overig)'!$C$16 &amp; "'!B1:B1000")) &lt; MATCH(
                        S61,
                        INDIRECT("'" &amp; 'Hulp (overig)'!$C$16 &amp; "'!A1:A1000"),
                        0
                    ))
                ),
                ROW(INDIRECT("'" &amp; 'Hulp (overig)'!$C$16 &amp; "'!B1:B1000"))
            )
        ),0)
    ))
))))</f>
        <v>#VALUE!</v>
      </c>
      <c r="S64" s="425" t="e" cm="1">
        <f t="array" aca="1" ref="S64" ca="1">IF($BF64, IF(S61="","",
   INDEX(
      INDIRECT("'" &amp; 'Hulp (CAO''s)'!$AE$8 &amp; "'!" &amp;
               'Hulp (overig)'!$C$17 &amp; "1:" &amp;
               'Hulp (overig)'!$C$17 &amp; "1000"),
      MATCH(
         S61,
         INDIRECT("'" &amp; 'Hulp (CAO''s)'!$AE$8 &amp; "'!A1:A1000"),
         0
      )
   )
), IF($D62="Gebruik % van maximum salaris",
IF(
    OR(S61="",S62=""),
    "",
    MAX(
        INDIRECT(
            "'" &amp; 'Hulp (overig)'!$C$16 &amp; "'!" &amp;
            'Hulp (overig)'!$C$17 &amp;
            MATCH(S61, INDIRECT("'" &amp; 'Hulp (overig)'!$C$16 &amp; "'!A1:A1000"), 0) &amp;
            ":" &amp;
            'Hulp (overig)'!$C$17 &amp;
LOOKUP(
    2,
    1 / (
        (ROW(INDIRECT("'" &amp; 'Hulp (overig)'!$C$16 &amp; "'!B1:B1000")) &lt;
            IF(T61&lt;&gt;"",
               MATCH(T61, INDIRECT("'" &amp; 'Hulp (overig)'!$C$16 &amp; "'!A1:A1000"),0),
               1000
            )
        ) *
        (LEFT(TRIM(INDIRECT("'" &amp; 'Hulp (overig)'!$C$16 &amp; "'!B1:B1000")),1) &lt;&gt; "u")
    ),
    ROW(INDIRECT("'" &amp; 'Hulp (overig)'!$C$16 &amp; "'!B1:B1000"))
)
        )
    ) * S62
),
IF(S63="","",
IF(
    IFERROR(MIN(
        IF(
            (TRIM(INDIRECT("'" &amp; 'Hulp (overig)'!$C$16 &amp; "'!B1:B1000")) = TEXT(S63,"0")) *
            (ROW(INDIRECT("'" &amp; 'Hulp (overig)'!$C$16 &amp; "'!B1:B1000")) &gt;= MATCH(
                S61,
                INDIRECT("'" &amp; 'Hulp (overig)'!$C$16 &amp; "'!A1:A1000"),
                0
            )) *
            IF(
                T61="",
                1,
                (ROW(INDIRECT("'" &amp; 'Hulp (overig)'!$C$16 &amp; "'!B1:B1000")) &lt; MATCH(
                    T61,
                    INDIRECT("'" &amp; 'Hulp (overig)'!$C$16 &amp; "'!A1:A1000"),
                    0
                ))
            ),
            ROW(INDIRECT("'" &amp; 'Hulp (overig)'!$C$16 &amp; "'!B1:B1000"))
        )
    ),0) &lt; 1,
    "",
    IF(INDEX(
        INDIRECT("'" &amp; 'Hulp (overig)'!$C$16 &amp; "'!" &amp;
        'Hulp (overig)'!$C$17 &amp; "1:" &amp; 'Hulp (overig)'!$C$17 &amp; 1000
        ),
        IFERROR(MIN(
            IF(
                (TRIM(INDIRECT("'" &amp; 'Hulp (overig)'!$C$16 &amp; "'!B1:B1000")) = TEXT(S63,"0")) *
                (ROW(INDIRECT("'" &amp; 'Hulp (overig)'!$C$16 &amp; "'!B1:B1000")) &gt;= MATCH(
                    S61,
                    INDIRECT("'" &amp; 'Hulp (overig)'!$C$16 &amp; "'!A1:A1000"),
                    0
                )) *
                IF(
                    T61="",
                    1,
                    (ROW(INDIRECT("'" &amp; 'Hulp (overig)'!$C$16 &amp; "'!B1:B1000")) &lt; MATCH(
                        T61,
                        INDIRECT("'" &amp; 'Hulp (overig)'!$C$16 &amp; "'!A1:A1000"),
                        0
                    ))
                ),
                ROW(INDIRECT("'" &amp; 'Hulp (overig)'!$C$16 &amp; "'!B1:B1000"))
            )
        ),0)
    )=0,"",
INDEX(
        INDIRECT("'" &amp; 'Hulp (overig)'!$C$16 &amp; "'!" &amp;
        'Hulp (overig)'!$C$17 &amp; "1:" &amp; 'Hulp (overig)'!$C$17 &amp; 1000
        ),
        IFERROR(MIN(
            IF(
                (TRIM(INDIRECT("'" &amp; 'Hulp (overig)'!$C$16 &amp; "'!B1:B1000")) = TEXT(S63,"0")) *
                (ROW(INDIRECT("'" &amp; 'Hulp (overig)'!$C$16 &amp; "'!B1:B1000")) &gt;= MATCH(
                    S61,
                    INDIRECT("'" &amp; 'Hulp (overig)'!$C$16 &amp; "'!A1:A1000"),
                    0
                )) *
                IF(
                    T61="",
                    1,
                    (ROW(INDIRECT("'" &amp; 'Hulp (overig)'!$C$16 &amp; "'!B1:B1000")) &lt; MATCH(
                        T61,
                        INDIRECT("'" &amp; 'Hulp (overig)'!$C$16 &amp; "'!A1:A1000"),
                        0
                    ))
                ),
                ROW(INDIRECT("'" &amp; 'Hulp (overig)'!$C$16 &amp; "'!B1:B1000"))
            )
        ),0)
    ))
))))</f>
        <v>#VALUE!</v>
      </c>
      <c r="T64" s="425" t="e" cm="1">
        <f t="array" aca="1" ref="T64" ca="1">IF($BF64, IF(T61="","",
   INDEX(
      INDIRECT("'" &amp; 'Hulp (CAO''s)'!$AE$8 &amp; "'!" &amp;
               'Hulp (overig)'!$C$17 &amp; "1:" &amp;
               'Hulp (overig)'!$C$17 &amp; "1000"),
      MATCH(
         T61,
         INDIRECT("'" &amp; 'Hulp (CAO''s)'!$AE$8 &amp; "'!A1:A1000"),
         0
      )
   )
), IF($D62="Gebruik % van maximum salaris",
IF(
    OR(T61="",T62=""),
    "",
    MAX(
        INDIRECT(
            "'" &amp; 'Hulp (overig)'!$C$16 &amp; "'!" &amp;
            'Hulp (overig)'!$C$17 &amp;
            MATCH(T61, INDIRECT("'" &amp; 'Hulp (overig)'!$C$16 &amp; "'!A1:A1000"), 0) &amp;
            ":" &amp;
            'Hulp (overig)'!$C$17 &amp;
LOOKUP(
    2,
    1 / (
        (ROW(INDIRECT("'" &amp; 'Hulp (overig)'!$C$16 &amp; "'!B1:B1000")) &lt;
            IF(U61&lt;&gt;"",
               MATCH(U61, INDIRECT("'" &amp; 'Hulp (overig)'!$C$16 &amp; "'!A1:A1000"),0),
               1000
            )
        ) *
        (LEFT(TRIM(INDIRECT("'" &amp; 'Hulp (overig)'!$C$16 &amp; "'!B1:B1000")),1) &lt;&gt; "u")
    ),
    ROW(INDIRECT("'" &amp; 'Hulp (overig)'!$C$16 &amp; "'!B1:B1000"))
)
        )
    ) * T62
),
IF(T63="","",
IF(
    IFERROR(MIN(
        IF(
            (TRIM(INDIRECT("'" &amp; 'Hulp (overig)'!$C$16 &amp; "'!B1:B1000")) = TEXT(T63,"0")) *
            (ROW(INDIRECT("'" &amp; 'Hulp (overig)'!$C$16 &amp; "'!B1:B1000")) &gt;= MATCH(
                T61,
                INDIRECT("'" &amp; 'Hulp (overig)'!$C$16 &amp; "'!A1:A1000"),
                0
            )) *
            IF(
                U61="",
                1,
                (ROW(INDIRECT("'" &amp; 'Hulp (overig)'!$C$16 &amp; "'!B1:B1000")) &lt; MATCH(
                    U61,
                    INDIRECT("'" &amp; 'Hulp (overig)'!$C$16 &amp; "'!A1:A1000"),
                    0
                ))
            ),
            ROW(INDIRECT("'" &amp; 'Hulp (overig)'!$C$16 &amp; "'!B1:B1000"))
        )
    ),0) &lt; 1,
    "",
    IF(INDEX(
        INDIRECT("'" &amp; 'Hulp (overig)'!$C$16 &amp; "'!" &amp;
        'Hulp (overig)'!$C$17 &amp; "1:" &amp; 'Hulp (overig)'!$C$17 &amp; 1000
        ),
        IFERROR(MIN(
            IF(
                (TRIM(INDIRECT("'" &amp; 'Hulp (overig)'!$C$16 &amp; "'!B1:B1000")) = TEXT(T63,"0")) *
                (ROW(INDIRECT("'" &amp; 'Hulp (overig)'!$C$16 &amp; "'!B1:B1000")) &gt;= MATCH(
                    T61,
                    INDIRECT("'" &amp; 'Hulp (overig)'!$C$16 &amp; "'!A1:A1000"),
                    0
                )) *
                IF(
                    U61="",
                    1,
                    (ROW(INDIRECT("'" &amp; 'Hulp (overig)'!$C$16 &amp; "'!B1:B1000")) &lt; MATCH(
                        U61,
                        INDIRECT("'" &amp; 'Hulp (overig)'!$C$16 &amp; "'!A1:A1000"),
                        0
                    ))
                ),
                ROW(INDIRECT("'" &amp; 'Hulp (overig)'!$C$16 &amp; "'!B1:B1000"))
            )
        ),0)
    )=0,"",
INDEX(
        INDIRECT("'" &amp; 'Hulp (overig)'!$C$16 &amp; "'!" &amp;
        'Hulp (overig)'!$C$17 &amp; "1:" &amp; 'Hulp (overig)'!$C$17 &amp; 1000
        ),
        IFERROR(MIN(
            IF(
                (TRIM(INDIRECT("'" &amp; 'Hulp (overig)'!$C$16 &amp; "'!B1:B1000")) = TEXT(T63,"0")) *
                (ROW(INDIRECT("'" &amp; 'Hulp (overig)'!$C$16 &amp; "'!B1:B1000")) &gt;= MATCH(
                    T61,
                    INDIRECT("'" &amp; 'Hulp (overig)'!$C$16 &amp; "'!A1:A1000"),
                    0
                )) *
                IF(
                    U61="",
                    1,
                    (ROW(INDIRECT("'" &amp; 'Hulp (overig)'!$C$16 &amp; "'!B1:B1000")) &lt; MATCH(
                        U61,
                        INDIRECT("'" &amp; 'Hulp (overig)'!$C$16 &amp; "'!A1:A1000"),
                        0
                    ))
                ),
                ROW(INDIRECT("'" &amp; 'Hulp (overig)'!$C$16 &amp; "'!B1:B1000"))
            )
        ),0)
    ))
))))</f>
        <v>#VALUE!</v>
      </c>
      <c r="U64" s="723" t="e" cm="1">
        <f t="array" aca="1" ref="U64" ca="1">IF($BF64, IF(U61="","",
   INDEX(
      INDIRECT("'" &amp; 'Hulp (CAO''s)'!$AE$8 &amp; "'!" &amp;
               'Hulp (overig)'!$C$17 &amp; "1:" &amp;
               'Hulp (overig)'!$C$17 &amp; "1000"),
      MATCH(
         U61,
         INDIRECT("'" &amp; 'Hulp (CAO''s)'!$AE$8 &amp; "'!A1:A1000"),
         0
      )
   )
), IF($D62="Gebruik % van maximum salaris",
IF(
    OR(U61="",U62=""),
    "",
    MAX(
        INDIRECT(
            "'" &amp; 'Hulp (overig)'!$C$16 &amp; "'!" &amp;
            'Hulp (overig)'!$C$17 &amp;
            MATCH(U61, INDIRECT("'" &amp; 'Hulp (overig)'!$C$16 &amp; "'!A1:A1000"), 0) &amp;
            ":" &amp;
            'Hulp (overig)'!$C$17 &amp;
LOOKUP(
    2,
    1 / (
        (ROW(INDIRECT("'" &amp; 'Hulp (overig)'!$C$16 &amp; "'!B1:B1000")) &lt;
            IF(V61&lt;&gt;"",
               MATCH(V61, INDIRECT("'" &amp; 'Hulp (overig)'!$C$16 &amp; "'!A1:A1000"),0),
               1000
            )
        ) *
        (LEFT(TRIM(INDIRECT("'" &amp; 'Hulp (overig)'!$C$16 &amp; "'!B1:B1000")),1) &lt;&gt; "u")
    ),
    ROW(INDIRECT("'" &amp; 'Hulp (overig)'!$C$16 &amp; "'!B1:B1000"))
)
        )
    ) * U62
),
IF(U63="","",
IF(
    IFERROR(MIN(
        IF(
            (TRIM(INDIRECT("'" &amp; 'Hulp (overig)'!$C$16 &amp; "'!B1:B1000")) = TEXT(U63,"0")) *
            (ROW(INDIRECT("'" &amp; 'Hulp (overig)'!$C$16 &amp; "'!B1:B1000")) &gt;= MATCH(
                U61,
                INDIRECT("'" &amp; 'Hulp (overig)'!$C$16 &amp; "'!A1:A1000"),
                0
            )) *
            IF(
                V61="",
                1,
                (ROW(INDIRECT("'" &amp; 'Hulp (overig)'!$C$16 &amp; "'!B1:B1000")) &lt; MATCH(
                    V61,
                    INDIRECT("'" &amp; 'Hulp (overig)'!$C$16 &amp; "'!A1:A1000"),
                    0
                ))
            ),
            ROW(INDIRECT("'" &amp; 'Hulp (overig)'!$C$16 &amp; "'!B1:B1000"))
        )
    ),0) &lt; 1,
    "",
    IF(INDEX(
        INDIRECT("'" &amp; 'Hulp (overig)'!$C$16 &amp; "'!" &amp;
        'Hulp (overig)'!$C$17 &amp; "1:" &amp; 'Hulp (overig)'!$C$17 &amp; 1000
        ),
        IFERROR(MIN(
            IF(
                (TRIM(INDIRECT("'" &amp; 'Hulp (overig)'!$C$16 &amp; "'!B1:B1000")) = TEXT(U63,"0")) *
                (ROW(INDIRECT("'" &amp; 'Hulp (overig)'!$C$16 &amp; "'!B1:B1000")) &gt;= MATCH(
                    U61,
                    INDIRECT("'" &amp; 'Hulp (overig)'!$C$16 &amp; "'!A1:A1000"),
                    0
                )) *
                IF(
                    V61="",
                    1,
                    (ROW(INDIRECT("'" &amp; 'Hulp (overig)'!$C$16 &amp; "'!B1:B1000")) &lt; MATCH(
                        V61,
                        INDIRECT("'" &amp; 'Hulp (overig)'!$C$16 &amp; "'!A1:A1000"),
                        0
                    ))
                ),
                ROW(INDIRECT("'" &amp; 'Hulp (overig)'!$C$16 &amp; "'!B1:B1000"))
            )
        ),0)
    )=0,"",
INDEX(
        INDIRECT("'" &amp; 'Hulp (overig)'!$C$16 &amp; "'!" &amp;
        'Hulp (overig)'!$C$17 &amp; "1:" &amp; 'Hulp (overig)'!$C$17 &amp; 1000
        ),
        IFERROR(MIN(
            IF(
                (TRIM(INDIRECT("'" &amp; 'Hulp (overig)'!$C$16 &amp; "'!B1:B1000")) = TEXT(U63,"0")) *
                (ROW(INDIRECT("'" &amp; 'Hulp (overig)'!$C$16 &amp; "'!B1:B1000")) &gt;= MATCH(
                    U61,
                    INDIRECT("'" &amp; 'Hulp (overig)'!$C$16 &amp; "'!A1:A1000"),
                    0
                )) *
                IF(
                    V61="",
                    1,
                    (ROW(INDIRECT("'" &amp; 'Hulp (overig)'!$C$16 &amp; "'!B1:B1000")) &lt; MATCH(
                        V61,
                        INDIRECT("'" &amp; 'Hulp (overig)'!$C$16 &amp; "'!A1:A1000"),
                        0
                    ))
                ),
                ROW(INDIRECT("'" &amp; 'Hulp (overig)'!$C$16 &amp; "'!B1:B1000"))
            )
        ),0)
    ))
))))</f>
        <v>#VALUE!</v>
      </c>
      <c r="V64" s="413" t="str" cm="1">
        <f t="array" ref="V64">IF(SUM(F65:U65)=0,"",
IF(SUM(F64:U64)=0,"",
IF(SUMPRODUCT((F65:U65&lt;&gt;0)*(F64:U64=""))&gt;0,"",
(
   SUMPRODUCT(
      IF(F64:U64="",0,F64:U64),
      IF(F65:U65="",0,F65:U65) / SUM(F65:U65)
   )
))))</f>
        <v/>
      </c>
      <c r="W64" s="418"/>
      <c r="X64" s="620"/>
      <c r="Y64" s="419" t="str">
        <f ca="1">IF(B61="","",
        IF(INDIRECT("'Hulp (control forms)'!C" &amp; (13 + INT((ROW()-ROW($B$5))/7))),
            IF(X64="","",X64),
            IF(V64="","",V64)
    )
)</f>
        <v/>
      </c>
      <c r="Z64" s="333"/>
      <c r="AA64" s="771"/>
      <c r="AB64" s="770"/>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cm="1">
        <f t="array" aca="1" ref="BA64" ca="1">IF(
   SUM(Y64)=0,
   1,
   IF(
      N(INDIRECT("'Hulp (control forms)'!C"&amp;(13+INT((ROW()-ROW($B$5))/7))))&lt;&gt;0,
      MIN(1,
      ('Hulp (overig)'!$C$6/12) /
      (Y64 * BC64 + BD64)),
      MIN(1,
         IF(
            SUM(F64:U64)=0,
            "",
            SUMPRODUCT(
               IF(
                  (IF(F64:U64="",0,F64:U64) * BC64) + BD64
                  &gt; 'Hulp (overig)'!$C$6/12,
                  'Hulp (overig)'!$C$6/12,
                  (IF(F64:U64="",0,F64:U64) * BC64) + BD64
               ),
               IF(F65:U65="",0,F65:U65) / SUM(F65:U65)
            )
         ) /
         ((Y64 * BC64) + BD64)
      )
   )
)</f>
        <v>1</v>
      </c>
      <c r="BB64" cm="1">
        <f t="array" aca="1" ref="BB64" ca="1">IF(
   SUM(Y64)=0,
   1,
   IF(
      N(INDIRECT("'Hulp (control forms)'!C"&amp;(13+INT((ROW()-ROW($B$5))/7))))&lt;&gt;0,
      MIN('Hulp (overig)'!$C$5/12,
      (Y64 * BC64) + BD64) * 12,
         IF(
            SUM(F64:U64)=0,
            "",
            SUMPRODUCT(
               IF(
                  (IF(F64:U64="",0,F64:U64) * BC64) + BD64
                  &gt; 'Hulp (overig)'!$C$5/12,
                  'Hulp (overig)'!$C$5/12,
                  (IF(F64:U64="",0,F64:U64) * BC64) + BD64
               ),
               IF(F65:U65="",0,F65:U65) / SUM(F65:U65)
            )
         ) * 12
   )
)</f>
        <v>1</v>
      </c>
      <c r="BC64" s="287" cm="1">
        <f t="array" aca="1" ref="BC64" ca="1">IFERROR(
   (INDEX('2. Output kostprijs'!$24:$24, 5 + 2*INT((ROW()-8)/7))
    - SUM(INDEX('2. Output kostprijs'!$23:$23, 5 + 2*INT((ROW()-8)/7))))
   / INDEX('2. Output kostprijs'!$19:$19, 5 + 2*INT((ROW()-8)/7)),
   1
)</f>
        <v>1</v>
      </c>
      <c r="BD64" s="287" cm="1">
        <f t="array" aca="1" ref="BD64" ca="1">IFERROR(
   (INDEX('2. Output kostprijs'!$23:$23, 5 + 2*INT((ROW()-8)/7))
    * INDEX('2. Output kostprijs'!$18:$18, 5 + 2*INT((ROW()-8)/7))
   ) / 12,
   0
)</f>
        <v>0</v>
      </c>
      <c r="BE64" t="b">
        <f ca="1">NOT(AND(B61&lt;&gt;"",Y64=""))</f>
        <v>1</v>
      </c>
      <c r="BF64" t="str" cm="1">
        <f t="array" aca="1" ref="BF64" ca="1">INDIRECT("'1a. Input organisatieniveau'!$AD" &amp; 7 + INT((ROW()-ROW($F$8))/7))</f>
        <v/>
      </c>
      <c r="BG64" t="b" cm="1">
        <f t="array" ref="BG64">IFERROR(INDEX('Hulp (control forms)'!C:C, 13 + INT((ROW(A57)-1)/7)),FALSE)</f>
        <v>0</v>
      </c>
    </row>
    <row r="65" spans="1:59" ht="16.05" customHeight="1" thickBot="1" x14ac:dyDescent="0.5">
      <c r="A65" s="289"/>
      <c r="B65" s="343"/>
      <c r="C65" s="325" t="s">
        <v>779</v>
      </c>
      <c r="D65" s="688" t="s">
        <v>60</v>
      </c>
      <c r="E65" s="433" t="s">
        <v>59</v>
      </c>
      <c r="F65" s="624"/>
      <c r="G65" s="624"/>
      <c r="H65" s="624"/>
      <c r="I65" s="624"/>
      <c r="J65" s="624"/>
      <c r="K65" s="624"/>
      <c r="L65" s="624"/>
      <c r="M65" s="624"/>
      <c r="N65" s="624"/>
      <c r="O65" s="624"/>
      <c r="P65" s="624"/>
      <c r="Q65" s="624"/>
      <c r="R65" s="624"/>
      <c r="S65" s="624"/>
      <c r="T65" s="624"/>
      <c r="U65" s="625"/>
      <c r="V65" s="420" t="str">
        <f ca="1">IF($B61="","",IF($D65="Aandeel in %",
   "Totaal: "&amp;SUM(F65:U65)*100&amp;"%",
   "Totaal: "&amp;SUM(F65:U65)&amp;" uur"
))</f>
        <v/>
      </c>
      <c r="W65" s="294"/>
      <c r="X65" s="621"/>
      <c r="Y65" s="328"/>
      <c r="Z65" s="32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9" ht="16.05" customHeight="1" thickBot="1" x14ac:dyDescent="0.5">
      <c r="A66" s="289"/>
      <c r="B66" s="343"/>
      <c r="C66" s="326" t="s">
        <v>779</v>
      </c>
      <c r="D66" s="421"/>
      <c r="E66" s="426"/>
      <c r="F66" s="426"/>
      <c r="G66" s="426"/>
      <c r="H66" s="426"/>
      <c r="I66" s="426"/>
      <c r="J66" s="426"/>
      <c r="K66" s="426"/>
      <c r="L66" s="426"/>
      <c r="M66" s="426"/>
      <c r="N66" s="426"/>
      <c r="O66" s="426"/>
      <c r="P66" s="426"/>
      <c r="Q66" s="426"/>
      <c r="R66" s="426"/>
      <c r="S66" s="426"/>
      <c r="T66" s="427"/>
      <c r="U66" s="427"/>
      <c r="V66" s="421"/>
      <c r="W66" s="421"/>
      <c r="X66" s="622"/>
      <c r="Y66" s="421"/>
      <c r="Z66" s="327"/>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9" ht="16.05" customHeight="1" thickBot="1" x14ac:dyDescent="0.55000000000000004">
      <c r="A67" s="289"/>
      <c r="B67" s="585" t="str">
        <f ca="1">IF(B68="","",
IF(
   OR(
      INDIRECT("'1a. Input organisatieniveau'!AC" &amp; (7 + INT((ROW()-4)/7)))="",
      INDIRECT("'1a. Input organisatieniveau'!AC" &amp; (7 + INT((ROW()-4)/7)))=0
   ),
   "",
   INDIRECT("'1a. Input organisatieniveau'!AC" &amp; (7 + INT((ROW()-4)/7)))
))</f>
        <v/>
      </c>
      <c r="C67" s="324" t="s">
        <v>779</v>
      </c>
      <c r="D67" s="416"/>
      <c r="E67" s="428"/>
      <c r="F67" s="422" t="str">
        <f t="shared" ref="F67:U67" ca="1" si="9">IF($B68="","",
IF($D69="Gebruik % van maximum salaris",
 IF(OR(AND(AND(F68&lt;&gt;"",F69&lt;&gt;""),F71=""),AND(F71="",F72&lt;&gt;"")),"!",""),
 IF(OR(AND(AND(F68&lt;&gt;"",F70&lt;&gt;""),F71=""),AND(F71="",F72&lt;&gt;"")),"!","")))</f>
        <v/>
      </c>
      <c r="G67" s="422" t="str">
        <f t="shared" ca="1" si="9"/>
        <v/>
      </c>
      <c r="H67" s="422" t="str">
        <f t="shared" ca="1" si="9"/>
        <v/>
      </c>
      <c r="I67" s="422" t="str">
        <f t="shared" ca="1" si="9"/>
        <v/>
      </c>
      <c r="J67" s="422" t="str">
        <f t="shared" ca="1" si="9"/>
        <v/>
      </c>
      <c r="K67" s="422" t="str">
        <f t="shared" ca="1" si="9"/>
        <v/>
      </c>
      <c r="L67" s="422" t="str">
        <f t="shared" ca="1" si="9"/>
        <v/>
      </c>
      <c r="M67" s="422" t="str">
        <f t="shared" ca="1" si="9"/>
        <v/>
      </c>
      <c r="N67" s="422" t="str">
        <f t="shared" ca="1" si="9"/>
        <v/>
      </c>
      <c r="O67" s="422" t="str">
        <f t="shared" ca="1" si="9"/>
        <v/>
      </c>
      <c r="P67" s="422" t="str">
        <f t="shared" ca="1" si="9"/>
        <v/>
      </c>
      <c r="Q67" s="422" t="str">
        <f t="shared" ca="1" si="9"/>
        <v/>
      </c>
      <c r="R67" s="422" t="str">
        <f t="shared" ca="1" si="9"/>
        <v/>
      </c>
      <c r="S67" s="422" t="str">
        <f t="shared" ca="1" si="9"/>
        <v/>
      </c>
      <c r="T67" s="422" t="str">
        <f t="shared" ca="1" si="9"/>
        <v/>
      </c>
      <c r="U67" s="422" t="str">
        <f t="shared" ca="1" si="9"/>
        <v/>
      </c>
      <c r="V67" s="416"/>
      <c r="W67" s="416"/>
      <c r="X67" s="619"/>
      <c r="Y67" s="416"/>
      <c r="Z67" s="330"/>
      <c r="AA67" s="354"/>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9" ht="16.05" customHeight="1" thickBot="1" x14ac:dyDescent="0.5">
      <c r="A68" s="289"/>
      <c r="B68" s="586" t="str">
        <f ca="1">IF(
   OR(
      INDIRECT("'1a. Input organisatieniveau'!AA" &amp; (7 + INT((ROW()-4)/7)))="",
      INDIRECT("'1a. Input organisatieniveau'!AA" &amp; (7 + INT((ROW()-4)/7)))=0
   ),
   "",
   INDIRECT("'1a. Input organisatieniveau'!AA" &amp; (7 + INT((ROW()-4)/7)))
)</f>
        <v/>
      </c>
      <c r="C68" s="325" t="s">
        <v>779</v>
      </c>
      <c r="D68" s="434"/>
      <c r="E68" s="429" t="s">
        <v>28</v>
      </c>
      <c r="F68" s="423" t="str">
        <f ca="1">IF($B68="", "", IF($BF71, IF('Hulp (CAO''s)'!J$8&lt;&gt;"",'Hulp (CAO''s)'!J$8,""), INDEX('Hulp (CAO''s)'!J$3:J$7, MATCH(TRUE, 'Hulp (CAO''s)'!$D$3:$D$7, 0))))</f>
        <v/>
      </c>
      <c r="G68" s="423" t="str">
        <f ca="1">IF($B68="", "", IF($BF71, IF('Hulp (CAO''s)'!K$8&lt;&gt;"",'Hulp (CAO''s)'!K$8,""), INDEX('Hulp (CAO''s)'!K$3:K$7, MATCH(TRUE, 'Hulp (CAO''s)'!$D$3:$D$7, 0))))</f>
        <v/>
      </c>
      <c r="H68" s="423" t="str">
        <f ca="1">IF($B68="", "", IF($BF71, IF('Hulp (CAO''s)'!L$8&lt;&gt;"",'Hulp (CAO''s)'!L$8,""), INDEX('Hulp (CAO''s)'!L$3:L$7, MATCH(TRUE, 'Hulp (CAO''s)'!$D$3:$D$7, 0))))</f>
        <v/>
      </c>
      <c r="I68" s="423" t="str">
        <f ca="1">IF($B68="", "", IF($BF71, IF('Hulp (CAO''s)'!M$8&lt;&gt;"",'Hulp (CAO''s)'!M$8,""), INDEX('Hulp (CAO''s)'!M$3:M$7, MATCH(TRUE, 'Hulp (CAO''s)'!$D$3:$D$7, 0))))</f>
        <v/>
      </c>
      <c r="J68" s="423" t="str">
        <f ca="1">IF($B68="", "", IF($BF71, IF('Hulp (CAO''s)'!N$8&lt;&gt;"",'Hulp (CAO''s)'!N$8,""), INDEX('Hulp (CAO''s)'!N$3:N$7, MATCH(TRUE, 'Hulp (CAO''s)'!$D$3:$D$7, 0))))</f>
        <v/>
      </c>
      <c r="K68" s="423" t="str">
        <f ca="1">IF($B68="", "", IF($BF71, IF('Hulp (CAO''s)'!O$8&lt;&gt;"",'Hulp (CAO''s)'!O$8,""), INDEX('Hulp (CAO''s)'!O$3:O$7, MATCH(TRUE, 'Hulp (CAO''s)'!$D$3:$D$7, 0))))</f>
        <v/>
      </c>
      <c r="L68" s="423" t="str">
        <f ca="1">IF($B68="", "", IF($BF71, IF('Hulp (CAO''s)'!P$8&lt;&gt;"",'Hulp (CAO''s)'!P$8,""), INDEX('Hulp (CAO''s)'!P$3:P$7, MATCH(TRUE, 'Hulp (CAO''s)'!$D$3:$D$7, 0))))</f>
        <v/>
      </c>
      <c r="M68" s="423" t="str">
        <f ca="1">IF($B68="", "", IF($BF71, IF('Hulp (CAO''s)'!Q$8&lt;&gt;"",'Hulp (CAO''s)'!Q$8,""), INDEX('Hulp (CAO''s)'!Q$3:Q$7, MATCH(TRUE, 'Hulp (CAO''s)'!$D$3:$D$7, 0))))</f>
        <v/>
      </c>
      <c r="N68" s="423" t="str">
        <f ca="1">IF($B68="", "", IF($BF71, IF('Hulp (CAO''s)'!R$8&lt;&gt;"",'Hulp (CAO''s)'!R$8,""), INDEX('Hulp (CAO''s)'!R$3:R$7, MATCH(TRUE, 'Hulp (CAO''s)'!$D$3:$D$7, 0))))</f>
        <v/>
      </c>
      <c r="O68" s="423" t="str">
        <f ca="1">IF($B68="", "", IF($BF71, IF('Hulp (CAO''s)'!S$8&lt;&gt;"",'Hulp (CAO''s)'!S$8,""), INDEX('Hulp (CAO''s)'!S$3:S$7, MATCH(TRUE, 'Hulp (CAO''s)'!$D$3:$D$7, 0))))</f>
        <v/>
      </c>
      <c r="P68" s="423" t="str">
        <f ca="1">IF($B68="", "", IF($BF71, IF('Hulp (CAO''s)'!T$8&lt;&gt;"",'Hulp (CAO''s)'!T$8,""), INDEX('Hulp (CAO''s)'!T$3:T$7, MATCH(TRUE, 'Hulp (CAO''s)'!$D$3:$D$7, 0))))</f>
        <v/>
      </c>
      <c r="Q68" s="423" t="str">
        <f ca="1">IF($B68="", "", IF($BF71, IF('Hulp (CAO''s)'!U$8&lt;&gt;"",'Hulp (CAO''s)'!U$8,""), INDEX('Hulp (CAO''s)'!U$3:U$7, MATCH(TRUE, 'Hulp (CAO''s)'!$D$3:$D$7, 0))))</f>
        <v/>
      </c>
      <c r="R68" s="423" t="str">
        <f ca="1">IF($B68="", "", IF($BF71, IF('Hulp (CAO''s)'!V$8&lt;&gt;"",'Hulp (CAO''s)'!V$8,""), INDEX('Hulp (CAO''s)'!V$3:V$7, MATCH(TRUE, 'Hulp (CAO''s)'!$D$3:$D$7, 0))))</f>
        <v/>
      </c>
      <c r="S68" s="423" t="str">
        <f ca="1">IF($B68="", "", IF($BF71, IF('Hulp (CAO''s)'!W$8&lt;&gt;"",'Hulp (CAO''s)'!W$8,""), INDEX('Hulp (CAO''s)'!W$3:W$7, MATCH(TRUE, 'Hulp (CAO''s)'!$D$3:$D$7, 0))))</f>
        <v/>
      </c>
      <c r="T68" s="423" t="str">
        <f ca="1">IF($B68="", "", IF($BF71, IF('Hulp (CAO''s)'!X$8&lt;&gt;"",'Hulp (CAO''s)'!X$8,""), INDEX('Hulp (CAO''s)'!X$3:X$7, MATCH(TRUE, 'Hulp (CAO''s)'!$D$3:$D$7, 0))))</f>
        <v/>
      </c>
      <c r="U68" s="424" t="str">
        <f ca="1">IF($B68="", "", IF($BF71, IF('Hulp (CAO''s)'!Y$8&lt;&gt;"",'Hulp (CAO''s)'!Y$8,""), INDEX('Hulp (CAO''s)'!Y$3:Y$7, MATCH(TRUE, 'Hulp (CAO''s)'!$D$3:$D$7, 0))))</f>
        <v/>
      </c>
      <c r="V68" s="417"/>
      <c r="W68" s="343"/>
      <c r="X68" s="617"/>
      <c r="Y68" s="343"/>
      <c r="Z68" s="329"/>
      <c r="AA68" s="320"/>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9" ht="16.05" customHeight="1" x14ac:dyDescent="0.45">
      <c r="A69" s="289"/>
      <c r="B69" s="343"/>
      <c r="C69" s="325" t="s">
        <v>779</v>
      </c>
      <c r="D69" s="772" t="s">
        <v>772</v>
      </c>
      <c r="E69" s="430" t="e">
        <f ca="1">IF($BF71, "", "% t.o.v. max salaris in de schaal")</f>
        <v>#VALUE!</v>
      </c>
      <c r="F69" s="615"/>
      <c r="G69" s="615"/>
      <c r="H69" s="615"/>
      <c r="I69" s="615"/>
      <c r="J69" s="615"/>
      <c r="K69" s="615"/>
      <c r="L69" s="615"/>
      <c r="M69" s="615"/>
      <c r="N69" s="615"/>
      <c r="O69" s="615"/>
      <c r="P69" s="615"/>
      <c r="Q69" s="615"/>
      <c r="R69" s="615"/>
      <c r="S69" s="615"/>
      <c r="T69" s="615"/>
      <c r="U69" s="616"/>
      <c r="V69" s="774" t="s">
        <v>884</v>
      </c>
      <c r="W69" s="332"/>
      <c r="X69" s="776" t="s">
        <v>882</v>
      </c>
      <c r="Y69" s="778" t="s">
        <v>883</v>
      </c>
      <c r="Z69" s="329"/>
      <c r="AA69" s="771" t="s">
        <v>780</v>
      </c>
      <c r="AB69" s="770" t="s">
        <v>1079</v>
      </c>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9" ht="16.05" customHeight="1" thickBot="1" x14ac:dyDescent="0.5">
      <c r="A70" s="289"/>
      <c r="B70" s="343"/>
      <c r="C70" s="325" t="s">
        <v>779</v>
      </c>
      <c r="D70" s="773"/>
      <c r="E70" s="431" t="e">
        <f ca="1">IF($BF71, "", "Trede (gemiddeld)")</f>
        <v>#VALUE!</v>
      </c>
      <c r="F70" s="737"/>
      <c r="G70" s="737"/>
      <c r="H70" s="737"/>
      <c r="I70" s="737"/>
      <c r="J70" s="737"/>
      <c r="K70" s="737"/>
      <c r="L70" s="737"/>
      <c r="M70" s="737"/>
      <c r="N70" s="737"/>
      <c r="O70" s="737"/>
      <c r="P70" s="737"/>
      <c r="Q70" s="737"/>
      <c r="R70" s="737"/>
      <c r="S70" s="737"/>
      <c r="T70" s="737"/>
      <c r="U70" s="740"/>
      <c r="V70" s="775"/>
      <c r="W70" s="294"/>
      <c r="X70" s="777"/>
      <c r="Y70" s="779"/>
      <c r="Z70" s="329"/>
      <c r="AA70" s="771"/>
      <c r="AB70" s="770"/>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9" ht="16.05" customHeight="1" thickBot="1" x14ac:dyDescent="0.5">
      <c r="A71" s="289"/>
      <c r="B71" s="343"/>
      <c r="C71" s="325" t="s">
        <v>779</v>
      </c>
      <c r="E71" s="432" t="str">
        <f>IFERROR(
   INDEX('Hulp (CAO''s)'!$I$3:$I$7, MATCH(TRUE, 'Hulp (CAO''s)'!$D$3:$D$7, 0)),
"")</f>
        <v>Bruto maandsalaris</v>
      </c>
      <c r="F71" s="425" t="e" cm="1">
        <f t="array" aca="1" ref="F71" ca="1">IF($BF71, IF(F68="","",
   INDEX(
      INDIRECT("'" &amp; 'Hulp (CAO''s)'!$AE$8 &amp; "'!" &amp;
               'Hulp (overig)'!$C$17 &amp; "1:" &amp;
               'Hulp (overig)'!$C$17 &amp; "1000"),
      MATCH(
         F68,
         INDIRECT("'" &amp; 'Hulp (CAO''s)'!$AE$8 &amp; "'!A1:A1000"),
         0
      )
   )
), IF($D69="Gebruik % van maximum salaris",
IF(
    OR(F68="",F69=""),
    "",
    MAX(
        INDIRECT(
            "'" &amp; 'Hulp (overig)'!$C$16 &amp; "'!" &amp;
            'Hulp (overig)'!$C$17 &amp;
            MATCH(F68, INDIRECT("'" &amp; 'Hulp (overig)'!$C$16 &amp; "'!A1:A1000"), 0) &amp;
            ":" &amp;
            'Hulp (overig)'!$C$17 &amp;
LOOKUP(
    2,
    1 / (
        (ROW(INDIRECT("'" &amp; 'Hulp (overig)'!$C$16 &amp; "'!B1:B1000")) &lt;
            IF(G68&lt;&gt;"",
               MATCH(G68, INDIRECT("'" &amp; 'Hulp (overig)'!$C$16 &amp; "'!A1:A1000"),0),
               1000
            )
        ) *
        (LEFT(TRIM(INDIRECT("'" &amp; 'Hulp (overig)'!$C$16 &amp; "'!B1:B1000")),1) &lt;&gt; "u")
    ),
    ROW(INDIRECT("'" &amp; 'Hulp (overig)'!$C$16 &amp; "'!B1:B1000"))
)
        )
    ) * F69
),
IF(F70="","",
IF(
    IFERROR(MIN(
        IF(
            (TRIM(INDIRECT("'" &amp; 'Hulp (overig)'!$C$16 &amp; "'!B1:B1000")) = TEXT(F70,"0")) *
            (ROW(INDIRECT("'" &amp; 'Hulp (overig)'!$C$16 &amp; "'!B1:B1000")) &gt;= MATCH(
                F68,
                INDIRECT("'" &amp; 'Hulp (overig)'!$C$16 &amp; "'!A1:A1000"),
                0
            )) *
            IF(
                G68="",
                1,
                (ROW(INDIRECT("'" &amp; 'Hulp (overig)'!$C$16 &amp; "'!B1:B1000")) &lt; MATCH(
                    G68,
                    INDIRECT("'" &amp; 'Hulp (overig)'!$C$16 &amp; "'!A1:A1000"),
                    0
                ))
            ),
            ROW(INDIRECT("'" &amp; 'Hulp (overig)'!$C$16 &amp; "'!B1:B1000"))
        )
    ),0) &lt; 1,
    "",
    IF(INDEX(
        INDIRECT("'" &amp; 'Hulp (overig)'!$C$16 &amp; "'!" &amp;
        'Hulp (overig)'!$C$17 &amp; "1:" &amp; 'Hulp (overig)'!$C$17 &amp; 1000
        ),
        IFERROR(MIN(
            IF(
                (TRIM(INDIRECT("'" &amp; 'Hulp (overig)'!$C$16 &amp; "'!B1:B1000")) = TEXT(F70,"0")) *
                (ROW(INDIRECT("'" &amp; 'Hulp (overig)'!$C$16 &amp; "'!B1:B1000")) &gt;= MATCH(
                    F68,
                    INDIRECT("'" &amp; 'Hulp (overig)'!$C$16 &amp; "'!A1:A1000"),
                    0
                )) *
                IF(
                    G68="",
                    1,
                    (ROW(INDIRECT("'" &amp; 'Hulp (overig)'!$C$16 &amp; "'!B1:B1000")) &lt; MATCH(
                        G68,
                        INDIRECT("'" &amp; 'Hulp (overig)'!$C$16 &amp; "'!A1:A1000"),
                        0
                    ))
                ),
                ROW(INDIRECT("'" &amp; 'Hulp (overig)'!$C$16 &amp; "'!B1:B1000"))
            )
        ),0)
    )=0,"",
INDEX(
        INDIRECT("'" &amp; 'Hulp (overig)'!$C$16 &amp; "'!" &amp;
        'Hulp (overig)'!$C$17 &amp; "1:" &amp; 'Hulp (overig)'!$C$17 &amp; 1000
        ),
        IFERROR(MIN(
            IF(
                (TRIM(INDIRECT("'" &amp; 'Hulp (overig)'!$C$16 &amp; "'!B1:B1000")) = TEXT(F70,"0")) *
                (ROW(INDIRECT("'" &amp; 'Hulp (overig)'!$C$16 &amp; "'!B1:B1000")) &gt;= MATCH(
                    F68,
                    INDIRECT("'" &amp; 'Hulp (overig)'!$C$16 &amp; "'!A1:A1000"),
                    0
                )) *
                IF(
                    G68="",
                    1,
                    (ROW(INDIRECT("'" &amp; 'Hulp (overig)'!$C$16 &amp; "'!B1:B1000")) &lt; MATCH(
                        G68,
                        INDIRECT("'" &amp; 'Hulp (overig)'!$C$16 &amp; "'!A1:A1000"),
                        0
                    ))
                ),
                ROW(INDIRECT("'" &amp; 'Hulp (overig)'!$C$16 &amp; "'!B1:B1000"))
            )
        ),0)
    ))
))))</f>
        <v>#VALUE!</v>
      </c>
      <c r="G71" s="425" t="e" cm="1">
        <f t="array" aca="1" ref="G71" ca="1">IF($BF71, IF(G68="","",
   INDEX(
      INDIRECT("'" &amp; 'Hulp (CAO''s)'!$AE$8 &amp; "'!" &amp;
               'Hulp (overig)'!$C$17 &amp; "1:" &amp;
               'Hulp (overig)'!$C$17 &amp; "1000"),
      MATCH(
         G68,
         INDIRECT("'" &amp; 'Hulp (CAO''s)'!$AE$8 &amp; "'!A1:A1000"),
         0
      )
   )
), IF($D69="Gebruik % van maximum salaris",
IF(
    OR(G68="",G69=""),
    "",
    MAX(
        INDIRECT(
            "'" &amp; 'Hulp (overig)'!$C$16 &amp; "'!" &amp;
            'Hulp (overig)'!$C$17 &amp;
            MATCH(G68, INDIRECT("'" &amp; 'Hulp (overig)'!$C$16 &amp; "'!A1:A1000"), 0) &amp;
            ":" &amp;
            'Hulp (overig)'!$C$17 &amp;
LOOKUP(
    2,
    1 / (
        (ROW(INDIRECT("'" &amp; 'Hulp (overig)'!$C$16 &amp; "'!B1:B1000")) &lt;
            IF(H68&lt;&gt;"",
               MATCH(H68, INDIRECT("'" &amp; 'Hulp (overig)'!$C$16 &amp; "'!A1:A1000"),0),
               1000
            )
        ) *
        (LEFT(TRIM(INDIRECT("'" &amp; 'Hulp (overig)'!$C$16 &amp; "'!B1:B1000")),1) &lt;&gt; "u")
    ),
    ROW(INDIRECT("'" &amp; 'Hulp (overig)'!$C$16 &amp; "'!B1:B1000"))
)
        )
    ) * G69
),
IF(G70="","",
IF(
    IFERROR(MIN(
        IF(
            (TRIM(INDIRECT("'" &amp; 'Hulp (overig)'!$C$16 &amp; "'!B1:B1000")) = TEXT(G70,"0")) *
            (ROW(INDIRECT("'" &amp; 'Hulp (overig)'!$C$16 &amp; "'!B1:B1000")) &gt;= MATCH(
                G68,
                INDIRECT("'" &amp; 'Hulp (overig)'!$C$16 &amp; "'!A1:A1000"),
                0
            )) *
            IF(
                H68="",
                1,
                (ROW(INDIRECT("'" &amp; 'Hulp (overig)'!$C$16 &amp; "'!B1:B1000")) &lt; MATCH(
                    H68,
                    INDIRECT("'" &amp; 'Hulp (overig)'!$C$16 &amp; "'!A1:A1000"),
                    0
                ))
            ),
            ROW(INDIRECT("'" &amp; 'Hulp (overig)'!$C$16 &amp; "'!B1:B1000"))
        )
    ),0) &lt; 1,
    "",
    IF(INDEX(
        INDIRECT("'" &amp; 'Hulp (overig)'!$C$16 &amp; "'!" &amp;
        'Hulp (overig)'!$C$17 &amp; "1:" &amp; 'Hulp (overig)'!$C$17 &amp; 1000
        ),
        IFERROR(MIN(
            IF(
                (TRIM(INDIRECT("'" &amp; 'Hulp (overig)'!$C$16 &amp; "'!B1:B1000")) = TEXT(G70,"0")) *
                (ROW(INDIRECT("'" &amp; 'Hulp (overig)'!$C$16 &amp; "'!B1:B1000")) &gt;= MATCH(
                    G68,
                    INDIRECT("'" &amp; 'Hulp (overig)'!$C$16 &amp; "'!A1:A1000"),
                    0
                )) *
                IF(
                    H68="",
                    1,
                    (ROW(INDIRECT("'" &amp; 'Hulp (overig)'!$C$16 &amp; "'!B1:B1000")) &lt; MATCH(
                        H68,
                        INDIRECT("'" &amp; 'Hulp (overig)'!$C$16 &amp; "'!A1:A1000"),
                        0
                    ))
                ),
                ROW(INDIRECT("'" &amp; 'Hulp (overig)'!$C$16 &amp; "'!B1:B1000"))
            )
        ),0)
    )=0,"",
INDEX(
        INDIRECT("'" &amp; 'Hulp (overig)'!$C$16 &amp; "'!" &amp;
        'Hulp (overig)'!$C$17 &amp; "1:" &amp; 'Hulp (overig)'!$C$17 &amp; 1000
        ),
        IFERROR(MIN(
            IF(
                (TRIM(INDIRECT("'" &amp; 'Hulp (overig)'!$C$16 &amp; "'!B1:B1000")) = TEXT(G70,"0")) *
                (ROW(INDIRECT("'" &amp; 'Hulp (overig)'!$C$16 &amp; "'!B1:B1000")) &gt;= MATCH(
                    G68,
                    INDIRECT("'" &amp; 'Hulp (overig)'!$C$16 &amp; "'!A1:A1000"),
                    0
                )) *
                IF(
                    H68="",
                    1,
                    (ROW(INDIRECT("'" &amp; 'Hulp (overig)'!$C$16 &amp; "'!B1:B1000")) &lt; MATCH(
                        H68,
                        INDIRECT("'" &amp; 'Hulp (overig)'!$C$16 &amp; "'!A1:A1000"),
                        0
                    ))
                ),
                ROW(INDIRECT("'" &amp; 'Hulp (overig)'!$C$16 &amp; "'!B1:B1000"))
            )
        ),0)
    ))
))))</f>
        <v>#VALUE!</v>
      </c>
      <c r="H71" s="425" t="e" cm="1">
        <f t="array" aca="1" ref="H71" ca="1">IF($BF71, IF(H68="","",
   INDEX(
      INDIRECT("'" &amp; 'Hulp (CAO''s)'!$AE$8 &amp; "'!" &amp;
               'Hulp (overig)'!$C$17 &amp; "1:" &amp;
               'Hulp (overig)'!$C$17 &amp; "1000"),
      MATCH(
         H68,
         INDIRECT("'" &amp; 'Hulp (CAO''s)'!$AE$8 &amp; "'!A1:A1000"),
         0
      )
   )
), IF($D69="Gebruik % van maximum salaris",
IF(
    OR(H68="",H69=""),
    "",
    MAX(
        INDIRECT(
            "'" &amp; 'Hulp (overig)'!$C$16 &amp; "'!" &amp;
            'Hulp (overig)'!$C$17 &amp;
            MATCH(H68, INDIRECT("'" &amp; 'Hulp (overig)'!$C$16 &amp; "'!A1:A1000"), 0) &amp;
            ":" &amp;
            'Hulp (overig)'!$C$17 &amp;
LOOKUP(
    2,
    1 / (
        (ROW(INDIRECT("'" &amp; 'Hulp (overig)'!$C$16 &amp; "'!B1:B1000")) &lt;
            IF(I68&lt;&gt;"",
               MATCH(I68, INDIRECT("'" &amp; 'Hulp (overig)'!$C$16 &amp; "'!A1:A1000"),0),
               1000
            )
        ) *
        (LEFT(TRIM(INDIRECT("'" &amp; 'Hulp (overig)'!$C$16 &amp; "'!B1:B1000")),1) &lt;&gt; "u")
    ),
    ROW(INDIRECT("'" &amp; 'Hulp (overig)'!$C$16 &amp; "'!B1:B1000"))
)
        )
    ) * H69
),
IF(H70="","",
IF(
    IFERROR(MIN(
        IF(
            (TRIM(INDIRECT("'" &amp; 'Hulp (overig)'!$C$16 &amp; "'!B1:B1000")) = TEXT(H70,"0")) *
            (ROW(INDIRECT("'" &amp; 'Hulp (overig)'!$C$16 &amp; "'!B1:B1000")) &gt;= MATCH(
                H68,
                INDIRECT("'" &amp; 'Hulp (overig)'!$C$16 &amp; "'!A1:A1000"),
                0
            )) *
            IF(
                I68="",
                1,
                (ROW(INDIRECT("'" &amp; 'Hulp (overig)'!$C$16 &amp; "'!B1:B1000")) &lt; MATCH(
                    I68,
                    INDIRECT("'" &amp; 'Hulp (overig)'!$C$16 &amp; "'!A1:A1000"),
                    0
                ))
            ),
            ROW(INDIRECT("'" &amp; 'Hulp (overig)'!$C$16 &amp; "'!B1:B1000"))
        )
    ),0) &lt; 1,
    "",
    IF(INDEX(
        INDIRECT("'" &amp; 'Hulp (overig)'!$C$16 &amp; "'!" &amp;
        'Hulp (overig)'!$C$17 &amp; "1:" &amp; 'Hulp (overig)'!$C$17 &amp; 1000
        ),
        IFERROR(MIN(
            IF(
                (TRIM(INDIRECT("'" &amp; 'Hulp (overig)'!$C$16 &amp; "'!B1:B1000")) = TEXT(H70,"0")) *
                (ROW(INDIRECT("'" &amp; 'Hulp (overig)'!$C$16 &amp; "'!B1:B1000")) &gt;= MATCH(
                    H68,
                    INDIRECT("'" &amp; 'Hulp (overig)'!$C$16 &amp; "'!A1:A1000"),
                    0
                )) *
                IF(
                    I68="",
                    1,
                    (ROW(INDIRECT("'" &amp; 'Hulp (overig)'!$C$16 &amp; "'!B1:B1000")) &lt; MATCH(
                        I68,
                        INDIRECT("'" &amp; 'Hulp (overig)'!$C$16 &amp; "'!A1:A1000"),
                        0
                    ))
                ),
                ROW(INDIRECT("'" &amp; 'Hulp (overig)'!$C$16 &amp; "'!B1:B1000"))
            )
        ),0)
    )=0,"",
INDEX(
        INDIRECT("'" &amp; 'Hulp (overig)'!$C$16 &amp; "'!" &amp;
        'Hulp (overig)'!$C$17 &amp; "1:" &amp; 'Hulp (overig)'!$C$17 &amp; 1000
        ),
        IFERROR(MIN(
            IF(
                (TRIM(INDIRECT("'" &amp; 'Hulp (overig)'!$C$16 &amp; "'!B1:B1000")) = TEXT(H70,"0")) *
                (ROW(INDIRECT("'" &amp; 'Hulp (overig)'!$C$16 &amp; "'!B1:B1000")) &gt;= MATCH(
                    H68,
                    INDIRECT("'" &amp; 'Hulp (overig)'!$C$16 &amp; "'!A1:A1000"),
                    0
                )) *
                IF(
                    I68="",
                    1,
                    (ROW(INDIRECT("'" &amp; 'Hulp (overig)'!$C$16 &amp; "'!B1:B1000")) &lt; MATCH(
                        I68,
                        INDIRECT("'" &amp; 'Hulp (overig)'!$C$16 &amp; "'!A1:A1000"),
                        0
                    ))
                ),
                ROW(INDIRECT("'" &amp; 'Hulp (overig)'!$C$16 &amp; "'!B1:B1000"))
            )
        ),0)
    ))
))))</f>
        <v>#VALUE!</v>
      </c>
      <c r="I71" s="425" t="e" cm="1">
        <f t="array" aca="1" ref="I71" ca="1">IF($BF71, IF(I68="","",
   INDEX(
      INDIRECT("'" &amp; 'Hulp (CAO''s)'!$AE$8 &amp; "'!" &amp;
               'Hulp (overig)'!$C$17 &amp; "1:" &amp;
               'Hulp (overig)'!$C$17 &amp; "1000"),
      MATCH(
         I68,
         INDIRECT("'" &amp; 'Hulp (CAO''s)'!$AE$8 &amp; "'!A1:A1000"),
         0
      )
   )
), IF($D69="Gebruik % van maximum salaris",
IF(
    OR(I68="",I69=""),
    "",
    MAX(
        INDIRECT(
            "'" &amp; 'Hulp (overig)'!$C$16 &amp; "'!" &amp;
            'Hulp (overig)'!$C$17 &amp;
            MATCH(I68, INDIRECT("'" &amp; 'Hulp (overig)'!$C$16 &amp; "'!A1:A1000"), 0) &amp;
            ":" &amp;
            'Hulp (overig)'!$C$17 &amp;
LOOKUP(
    2,
    1 / (
        (ROW(INDIRECT("'" &amp; 'Hulp (overig)'!$C$16 &amp; "'!B1:B1000")) &lt;
            IF(J68&lt;&gt;"",
               MATCH(J68, INDIRECT("'" &amp; 'Hulp (overig)'!$C$16 &amp; "'!A1:A1000"),0),
               1000
            )
        ) *
        (LEFT(TRIM(INDIRECT("'" &amp; 'Hulp (overig)'!$C$16 &amp; "'!B1:B1000")),1) &lt;&gt; "u")
    ),
    ROW(INDIRECT("'" &amp; 'Hulp (overig)'!$C$16 &amp; "'!B1:B1000"))
)
        )
    ) * I69
),
IF(I70="","",
IF(
    IFERROR(MIN(
        IF(
            (TRIM(INDIRECT("'" &amp; 'Hulp (overig)'!$C$16 &amp; "'!B1:B1000")) = TEXT(I70,"0")) *
            (ROW(INDIRECT("'" &amp; 'Hulp (overig)'!$C$16 &amp; "'!B1:B1000")) &gt;= MATCH(
                I68,
                INDIRECT("'" &amp; 'Hulp (overig)'!$C$16 &amp; "'!A1:A1000"),
                0
            )) *
            IF(
                J68="",
                1,
                (ROW(INDIRECT("'" &amp; 'Hulp (overig)'!$C$16 &amp; "'!B1:B1000")) &lt; MATCH(
                    J68,
                    INDIRECT("'" &amp; 'Hulp (overig)'!$C$16 &amp; "'!A1:A1000"),
                    0
                ))
            ),
            ROW(INDIRECT("'" &amp; 'Hulp (overig)'!$C$16 &amp; "'!B1:B1000"))
        )
    ),0) &lt; 1,
    "",
    IF(INDEX(
        INDIRECT("'" &amp; 'Hulp (overig)'!$C$16 &amp; "'!" &amp;
        'Hulp (overig)'!$C$17 &amp; "1:" &amp; 'Hulp (overig)'!$C$17 &amp; 1000
        ),
        IFERROR(MIN(
            IF(
                (TRIM(INDIRECT("'" &amp; 'Hulp (overig)'!$C$16 &amp; "'!B1:B1000")) = TEXT(I70,"0")) *
                (ROW(INDIRECT("'" &amp; 'Hulp (overig)'!$C$16 &amp; "'!B1:B1000")) &gt;= MATCH(
                    I68,
                    INDIRECT("'" &amp; 'Hulp (overig)'!$C$16 &amp; "'!A1:A1000"),
                    0
                )) *
                IF(
                    J68="",
                    1,
                    (ROW(INDIRECT("'" &amp; 'Hulp (overig)'!$C$16 &amp; "'!B1:B1000")) &lt; MATCH(
                        J68,
                        INDIRECT("'" &amp; 'Hulp (overig)'!$C$16 &amp; "'!A1:A1000"),
                        0
                    ))
                ),
                ROW(INDIRECT("'" &amp; 'Hulp (overig)'!$C$16 &amp; "'!B1:B1000"))
            )
        ),0)
    )=0,"",
INDEX(
        INDIRECT("'" &amp; 'Hulp (overig)'!$C$16 &amp; "'!" &amp;
        'Hulp (overig)'!$C$17 &amp; "1:" &amp; 'Hulp (overig)'!$C$17 &amp; 1000
        ),
        IFERROR(MIN(
            IF(
                (TRIM(INDIRECT("'" &amp; 'Hulp (overig)'!$C$16 &amp; "'!B1:B1000")) = TEXT(I70,"0")) *
                (ROW(INDIRECT("'" &amp; 'Hulp (overig)'!$C$16 &amp; "'!B1:B1000")) &gt;= MATCH(
                    I68,
                    INDIRECT("'" &amp; 'Hulp (overig)'!$C$16 &amp; "'!A1:A1000"),
                    0
                )) *
                IF(
                    J68="",
                    1,
                    (ROW(INDIRECT("'" &amp; 'Hulp (overig)'!$C$16 &amp; "'!B1:B1000")) &lt; MATCH(
                        J68,
                        INDIRECT("'" &amp; 'Hulp (overig)'!$C$16 &amp; "'!A1:A1000"),
                        0
                    ))
                ),
                ROW(INDIRECT("'" &amp; 'Hulp (overig)'!$C$16 &amp; "'!B1:B1000"))
            )
        ),0)
    ))
))))</f>
        <v>#VALUE!</v>
      </c>
      <c r="J71" s="425" t="e" cm="1">
        <f t="array" aca="1" ref="J71" ca="1">IF($BF71, IF(J68="","",
   INDEX(
      INDIRECT("'" &amp; 'Hulp (CAO''s)'!$AE$8 &amp; "'!" &amp;
               'Hulp (overig)'!$C$17 &amp; "1:" &amp;
               'Hulp (overig)'!$C$17 &amp; "1000"),
      MATCH(
         J68,
         INDIRECT("'" &amp; 'Hulp (CAO''s)'!$AE$8 &amp; "'!A1:A1000"),
         0
      )
   )
), IF($D69="Gebruik % van maximum salaris",
IF(
    OR(J68="",J69=""),
    "",
    MAX(
        INDIRECT(
            "'" &amp; 'Hulp (overig)'!$C$16 &amp; "'!" &amp;
            'Hulp (overig)'!$C$17 &amp;
            MATCH(J68, INDIRECT("'" &amp; 'Hulp (overig)'!$C$16 &amp; "'!A1:A1000"), 0) &amp;
            ":" &amp;
            'Hulp (overig)'!$C$17 &amp;
LOOKUP(
    2,
    1 / (
        (ROW(INDIRECT("'" &amp; 'Hulp (overig)'!$C$16 &amp; "'!B1:B1000")) &lt;
            IF(K68&lt;&gt;"",
               MATCH(K68, INDIRECT("'" &amp; 'Hulp (overig)'!$C$16 &amp; "'!A1:A1000"),0),
               1000
            )
        ) *
        (LEFT(TRIM(INDIRECT("'" &amp; 'Hulp (overig)'!$C$16 &amp; "'!B1:B1000")),1) &lt;&gt; "u")
    ),
    ROW(INDIRECT("'" &amp; 'Hulp (overig)'!$C$16 &amp; "'!B1:B1000"))
)
        )
    ) * J69
),
IF(J70="","",
IF(
    IFERROR(MIN(
        IF(
            (TRIM(INDIRECT("'" &amp; 'Hulp (overig)'!$C$16 &amp; "'!B1:B1000")) = TEXT(J70,"0")) *
            (ROW(INDIRECT("'" &amp; 'Hulp (overig)'!$C$16 &amp; "'!B1:B1000")) &gt;= MATCH(
                J68,
                INDIRECT("'" &amp; 'Hulp (overig)'!$C$16 &amp; "'!A1:A1000"),
                0
            )) *
            IF(
                K68="",
                1,
                (ROW(INDIRECT("'" &amp; 'Hulp (overig)'!$C$16 &amp; "'!B1:B1000")) &lt; MATCH(
                    K68,
                    INDIRECT("'" &amp; 'Hulp (overig)'!$C$16 &amp; "'!A1:A1000"),
                    0
                ))
            ),
            ROW(INDIRECT("'" &amp; 'Hulp (overig)'!$C$16 &amp; "'!B1:B1000"))
        )
    ),0) &lt; 1,
    "",
    IF(INDEX(
        INDIRECT("'" &amp; 'Hulp (overig)'!$C$16 &amp; "'!" &amp;
        'Hulp (overig)'!$C$17 &amp; "1:" &amp; 'Hulp (overig)'!$C$17 &amp; 1000
        ),
        IFERROR(MIN(
            IF(
                (TRIM(INDIRECT("'" &amp; 'Hulp (overig)'!$C$16 &amp; "'!B1:B1000")) = TEXT(J70,"0")) *
                (ROW(INDIRECT("'" &amp; 'Hulp (overig)'!$C$16 &amp; "'!B1:B1000")) &gt;= MATCH(
                    J68,
                    INDIRECT("'" &amp; 'Hulp (overig)'!$C$16 &amp; "'!A1:A1000"),
                    0
                )) *
                IF(
                    K68="",
                    1,
                    (ROW(INDIRECT("'" &amp; 'Hulp (overig)'!$C$16 &amp; "'!B1:B1000")) &lt; MATCH(
                        K68,
                        INDIRECT("'" &amp; 'Hulp (overig)'!$C$16 &amp; "'!A1:A1000"),
                        0
                    ))
                ),
                ROW(INDIRECT("'" &amp; 'Hulp (overig)'!$C$16 &amp; "'!B1:B1000"))
            )
        ),0)
    )=0,"",
INDEX(
        INDIRECT("'" &amp; 'Hulp (overig)'!$C$16 &amp; "'!" &amp;
        'Hulp (overig)'!$C$17 &amp; "1:" &amp; 'Hulp (overig)'!$C$17 &amp; 1000
        ),
        IFERROR(MIN(
            IF(
                (TRIM(INDIRECT("'" &amp; 'Hulp (overig)'!$C$16 &amp; "'!B1:B1000")) = TEXT(J70,"0")) *
                (ROW(INDIRECT("'" &amp; 'Hulp (overig)'!$C$16 &amp; "'!B1:B1000")) &gt;= MATCH(
                    J68,
                    INDIRECT("'" &amp; 'Hulp (overig)'!$C$16 &amp; "'!A1:A1000"),
                    0
                )) *
                IF(
                    K68="",
                    1,
                    (ROW(INDIRECT("'" &amp; 'Hulp (overig)'!$C$16 &amp; "'!B1:B1000")) &lt; MATCH(
                        K68,
                        INDIRECT("'" &amp; 'Hulp (overig)'!$C$16 &amp; "'!A1:A1000"),
                        0
                    ))
                ),
                ROW(INDIRECT("'" &amp; 'Hulp (overig)'!$C$16 &amp; "'!B1:B1000"))
            )
        ),0)
    ))
))))</f>
        <v>#VALUE!</v>
      </c>
      <c r="K71" s="425" t="e" cm="1">
        <f t="array" aca="1" ref="K71" ca="1">IF($BF71, IF(K68="","",
   INDEX(
      INDIRECT("'" &amp; 'Hulp (CAO''s)'!$AE$8 &amp; "'!" &amp;
               'Hulp (overig)'!$C$17 &amp; "1:" &amp;
               'Hulp (overig)'!$C$17 &amp; "1000"),
      MATCH(
         K68,
         INDIRECT("'" &amp; 'Hulp (CAO''s)'!$AE$8 &amp; "'!A1:A1000"),
         0
      )
   )
), IF($D69="Gebruik % van maximum salaris",
IF(
    OR(K68="",K69=""),
    "",
    MAX(
        INDIRECT(
            "'" &amp; 'Hulp (overig)'!$C$16 &amp; "'!" &amp;
            'Hulp (overig)'!$C$17 &amp;
            MATCH(K68, INDIRECT("'" &amp; 'Hulp (overig)'!$C$16 &amp; "'!A1:A1000"), 0) &amp;
            ":" &amp;
            'Hulp (overig)'!$C$17 &amp;
LOOKUP(
    2,
    1 / (
        (ROW(INDIRECT("'" &amp; 'Hulp (overig)'!$C$16 &amp; "'!B1:B1000")) &lt;
            IF(L68&lt;&gt;"",
               MATCH(L68, INDIRECT("'" &amp; 'Hulp (overig)'!$C$16 &amp; "'!A1:A1000"),0),
               1000
            )
        ) *
        (LEFT(TRIM(INDIRECT("'" &amp; 'Hulp (overig)'!$C$16 &amp; "'!B1:B1000")),1) &lt;&gt; "u")
    ),
    ROW(INDIRECT("'" &amp; 'Hulp (overig)'!$C$16 &amp; "'!B1:B1000"))
)
        )
    ) * K69
),
IF(K70="","",
IF(
    IFERROR(MIN(
        IF(
            (TRIM(INDIRECT("'" &amp; 'Hulp (overig)'!$C$16 &amp; "'!B1:B1000")) = TEXT(K70,"0")) *
            (ROW(INDIRECT("'" &amp; 'Hulp (overig)'!$C$16 &amp; "'!B1:B1000")) &gt;= MATCH(
                K68,
                INDIRECT("'" &amp; 'Hulp (overig)'!$C$16 &amp; "'!A1:A1000"),
                0
            )) *
            IF(
                L68="",
                1,
                (ROW(INDIRECT("'" &amp; 'Hulp (overig)'!$C$16 &amp; "'!B1:B1000")) &lt; MATCH(
                    L68,
                    INDIRECT("'" &amp; 'Hulp (overig)'!$C$16 &amp; "'!A1:A1000"),
                    0
                ))
            ),
            ROW(INDIRECT("'" &amp; 'Hulp (overig)'!$C$16 &amp; "'!B1:B1000"))
        )
    ),0) &lt; 1,
    "",
    IF(INDEX(
        INDIRECT("'" &amp; 'Hulp (overig)'!$C$16 &amp; "'!" &amp;
        'Hulp (overig)'!$C$17 &amp; "1:" &amp; 'Hulp (overig)'!$C$17 &amp; 1000
        ),
        IFERROR(MIN(
            IF(
                (TRIM(INDIRECT("'" &amp; 'Hulp (overig)'!$C$16 &amp; "'!B1:B1000")) = TEXT(K70,"0")) *
                (ROW(INDIRECT("'" &amp; 'Hulp (overig)'!$C$16 &amp; "'!B1:B1000")) &gt;= MATCH(
                    K68,
                    INDIRECT("'" &amp; 'Hulp (overig)'!$C$16 &amp; "'!A1:A1000"),
                    0
                )) *
                IF(
                    L68="",
                    1,
                    (ROW(INDIRECT("'" &amp; 'Hulp (overig)'!$C$16 &amp; "'!B1:B1000")) &lt; MATCH(
                        L68,
                        INDIRECT("'" &amp; 'Hulp (overig)'!$C$16 &amp; "'!A1:A1000"),
                        0
                    ))
                ),
                ROW(INDIRECT("'" &amp; 'Hulp (overig)'!$C$16 &amp; "'!B1:B1000"))
            )
        ),0)
    )=0,"",
INDEX(
        INDIRECT("'" &amp; 'Hulp (overig)'!$C$16 &amp; "'!" &amp;
        'Hulp (overig)'!$C$17 &amp; "1:" &amp; 'Hulp (overig)'!$C$17 &amp; 1000
        ),
        IFERROR(MIN(
            IF(
                (TRIM(INDIRECT("'" &amp; 'Hulp (overig)'!$C$16 &amp; "'!B1:B1000")) = TEXT(K70,"0")) *
                (ROW(INDIRECT("'" &amp; 'Hulp (overig)'!$C$16 &amp; "'!B1:B1000")) &gt;= MATCH(
                    K68,
                    INDIRECT("'" &amp; 'Hulp (overig)'!$C$16 &amp; "'!A1:A1000"),
                    0
                )) *
                IF(
                    L68="",
                    1,
                    (ROW(INDIRECT("'" &amp; 'Hulp (overig)'!$C$16 &amp; "'!B1:B1000")) &lt; MATCH(
                        L68,
                        INDIRECT("'" &amp; 'Hulp (overig)'!$C$16 &amp; "'!A1:A1000"),
                        0
                    ))
                ),
                ROW(INDIRECT("'" &amp; 'Hulp (overig)'!$C$16 &amp; "'!B1:B1000"))
            )
        ),0)
    ))
))))</f>
        <v>#VALUE!</v>
      </c>
      <c r="L71" s="425" t="e" cm="1">
        <f t="array" aca="1" ref="L71" ca="1">IF($BF71, IF(L68="","",
   INDEX(
      INDIRECT("'" &amp; 'Hulp (CAO''s)'!$AE$8 &amp; "'!" &amp;
               'Hulp (overig)'!$C$17 &amp; "1:" &amp;
               'Hulp (overig)'!$C$17 &amp; "1000"),
      MATCH(
         L68,
         INDIRECT("'" &amp; 'Hulp (CAO''s)'!$AE$8 &amp; "'!A1:A1000"),
         0
      )
   )
), IF($D69="Gebruik % van maximum salaris",
IF(
    OR(L68="",L69=""),
    "",
    MAX(
        INDIRECT(
            "'" &amp; 'Hulp (overig)'!$C$16 &amp; "'!" &amp;
            'Hulp (overig)'!$C$17 &amp;
            MATCH(L68, INDIRECT("'" &amp; 'Hulp (overig)'!$C$16 &amp; "'!A1:A1000"), 0) &amp;
            ":" &amp;
            'Hulp (overig)'!$C$17 &amp;
LOOKUP(
    2,
    1 / (
        (ROW(INDIRECT("'" &amp; 'Hulp (overig)'!$C$16 &amp; "'!B1:B1000")) &lt;
            IF(M68&lt;&gt;"",
               MATCH(M68, INDIRECT("'" &amp; 'Hulp (overig)'!$C$16 &amp; "'!A1:A1000"),0),
               1000
            )
        ) *
        (LEFT(TRIM(INDIRECT("'" &amp; 'Hulp (overig)'!$C$16 &amp; "'!B1:B1000")),1) &lt;&gt; "u")
    ),
    ROW(INDIRECT("'" &amp; 'Hulp (overig)'!$C$16 &amp; "'!B1:B1000"))
)
        )
    ) * L69
),
IF(L70="","",
IF(
    IFERROR(MIN(
        IF(
            (TRIM(INDIRECT("'" &amp; 'Hulp (overig)'!$C$16 &amp; "'!B1:B1000")) = TEXT(L70,"0")) *
            (ROW(INDIRECT("'" &amp; 'Hulp (overig)'!$C$16 &amp; "'!B1:B1000")) &gt;= MATCH(
                L68,
                INDIRECT("'" &amp; 'Hulp (overig)'!$C$16 &amp; "'!A1:A1000"),
                0
            )) *
            IF(
                M68="",
                1,
                (ROW(INDIRECT("'" &amp; 'Hulp (overig)'!$C$16 &amp; "'!B1:B1000")) &lt; MATCH(
                    M68,
                    INDIRECT("'" &amp; 'Hulp (overig)'!$C$16 &amp; "'!A1:A1000"),
                    0
                ))
            ),
            ROW(INDIRECT("'" &amp; 'Hulp (overig)'!$C$16 &amp; "'!B1:B1000"))
        )
    ),0) &lt; 1,
    "",
    IF(INDEX(
        INDIRECT("'" &amp; 'Hulp (overig)'!$C$16 &amp; "'!" &amp;
        'Hulp (overig)'!$C$17 &amp; "1:" &amp; 'Hulp (overig)'!$C$17 &amp; 1000
        ),
        IFERROR(MIN(
            IF(
                (TRIM(INDIRECT("'" &amp; 'Hulp (overig)'!$C$16 &amp; "'!B1:B1000")) = TEXT(L70,"0")) *
                (ROW(INDIRECT("'" &amp; 'Hulp (overig)'!$C$16 &amp; "'!B1:B1000")) &gt;= MATCH(
                    L68,
                    INDIRECT("'" &amp; 'Hulp (overig)'!$C$16 &amp; "'!A1:A1000"),
                    0
                )) *
                IF(
                    M68="",
                    1,
                    (ROW(INDIRECT("'" &amp; 'Hulp (overig)'!$C$16 &amp; "'!B1:B1000")) &lt; MATCH(
                        M68,
                        INDIRECT("'" &amp; 'Hulp (overig)'!$C$16 &amp; "'!A1:A1000"),
                        0
                    ))
                ),
                ROW(INDIRECT("'" &amp; 'Hulp (overig)'!$C$16 &amp; "'!B1:B1000"))
            )
        ),0)
    )=0,"",
INDEX(
        INDIRECT("'" &amp; 'Hulp (overig)'!$C$16 &amp; "'!" &amp;
        'Hulp (overig)'!$C$17 &amp; "1:" &amp; 'Hulp (overig)'!$C$17 &amp; 1000
        ),
        IFERROR(MIN(
            IF(
                (TRIM(INDIRECT("'" &amp; 'Hulp (overig)'!$C$16 &amp; "'!B1:B1000")) = TEXT(L70,"0")) *
                (ROW(INDIRECT("'" &amp; 'Hulp (overig)'!$C$16 &amp; "'!B1:B1000")) &gt;= MATCH(
                    L68,
                    INDIRECT("'" &amp; 'Hulp (overig)'!$C$16 &amp; "'!A1:A1000"),
                    0
                )) *
                IF(
                    M68="",
                    1,
                    (ROW(INDIRECT("'" &amp; 'Hulp (overig)'!$C$16 &amp; "'!B1:B1000")) &lt; MATCH(
                        M68,
                        INDIRECT("'" &amp; 'Hulp (overig)'!$C$16 &amp; "'!A1:A1000"),
                        0
                    ))
                ),
                ROW(INDIRECT("'" &amp; 'Hulp (overig)'!$C$16 &amp; "'!B1:B1000"))
            )
        ),0)
    ))
))))</f>
        <v>#VALUE!</v>
      </c>
      <c r="M71" s="425" t="e" cm="1">
        <f t="array" aca="1" ref="M71" ca="1">IF($BF71, IF(M68="","",
   INDEX(
      INDIRECT("'" &amp; 'Hulp (CAO''s)'!$AE$8 &amp; "'!" &amp;
               'Hulp (overig)'!$C$17 &amp; "1:" &amp;
               'Hulp (overig)'!$C$17 &amp; "1000"),
      MATCH(
         M68,
         INDIRECT("'" &amp; 'Hulp (CAO''s)'!$AE$8 &amp; "'!A1:A1000"),
         0
      )
   )
), IF($D69="Gebruik % van maximum salaris",
IF(
    OR(M68="",M69=""),
    "",
    MAX(
        INDIRECT(
            "'" &amp; 'Hulp (overig)'!$C$16 &amp; "'!" &amp;
            'Hulp (overig)'!$C$17 &amp;
            MATCH(M68, INDIRECT("'" &amp; 'Hulp (overig)'!$C$16 &amp; "'!A1:A1000"), 0) &amp;
            ":" &amp;
            'Hulp (overig)'!$C$17 &amp;
LOOKUP(
    2,
    1 / (
        (ROW(INDIRECT("'" &amp; 'Hulp (overig)'!$C$16 &amp; "'!B1:B1000")) &lt;
            IF(N68&lt;&gt;"",
               MATCH(N68, INDIRECT("'" &amp; 'Hulp (overig)'!$C$16 &amp; "'!A1:A1000"),0),
               1000
            )
        ) *
        (LEFT(TRIM(INDIRECT("'" &amp; 'Hulp (overig)'!$C$16 &amp; "'!B1:B1000")),1) &lt;&gt; "u")
    ),
    ROW(INDIRECT("'" &amp; 'Hulp (overig)'!$C$16 &amp; "'!B1:B1000"))
)
        )
    ) * M69
),
IF(M70="","",
IF(
    IFERROR(MIN(
        IF(
            (TRIM(INDIRECT("'" &amp; 'Hulp (overig)'!$C$16 &amp; "'!B1:B1000")) = TEXT(M70,"0")) *
            (ROW(INDIRECT("'" &amp; 'Hulp (overig)'!$C$16 &amp; "'!B1:B1000")) &gt;= MATCH(
                M68,
                INDIRECT("'" &amp; 'Hulp (overig)'!$C$16 &amp; "'!A1:A1000"),
                0
            )) *
            IF(
                N68="",
                1,
                (ROW(INDIRECT("'" &amp; 'Hulp (overig)'!$C$16 &amp; "'!B1:B1000")) &lt; MATCH(
                    N68,
                    INDIRECT("'" &amp; 'Hulp (overig)'!$C$16 &amp; "'!A1:A1000"),
                    0
                ))
            ),
            ROW(INDIRECT("'" &amp; 'Hulp (overig)'!$C$16 &amp; "'!B1:B1000"))
        )
    ),0) &lt; 1,
    "",
    IF(INDEX(
        INDIRECT("'" &amp; 'Hulp (overig)'!$C$16 &amp; "'!" &amp;
        'Hulp (overig)'!$C$17 &amp; "1:" &amp; 'Hulp (overig)'!$C$17 &amp; 1000
        ),
        IFERROR(MIN(
            IF(
                (TRIM(INDIRECT("'" &amp; 'Hulp (overig)'!$C$16 &amp; "'!B1:B1000")) = TEXT(M70,"0")) *
                (ROW(INDIRECT("'" &amp; 'Hulp (overig)'!$C$16 &amp; "'!B1:B1000")) &gt;= MATCH(
                    M68,
                    INDIRECT("'" &amp; 'Hulp (overig)'!$C$16 &amp; "'!A1:A1000"),
                    0
                )) *
                IF(
                    N68="",
                    1,
                    (ROW(INDIRECT("'" &amp; 'Hulp (overig)'!$C$16 &amp; "'!B1:B1000")) &lt; MATCH(
                        N68,
                        INDIRECT("'" &amp; 'Hulp (overig)'!$C$16 &amp; "'!A1:A1000"),
                        0
                    ))
                ),
                ROW(INDIRECT("'" &amp; 'Hulp (overig)'!$C$16 &amp; "'!B1:B1000"))
            )
        ),0)
    )=0,"",
INDEX(
        INDIRECT("'" &amp; 'Hulp (overig)'!$C$16 &amp; "'!" &amp;
        'Hulp (overig)'!$C$17 &amp; "1:" &amp; 'Hulp (overig)'!$C$17 &amp; 1000
        ),
        IFERROR(MIN(
            IF(
                (TRIM(INDIRECT("'" &amp; 'Hulp (overig)'!$C$16 &amp; "'!B1:B1000")) = TEXT(M70,"0")) *
                (ROW(INDIRECT("'" &amp; 'Hulp (overig)'!$C$16 &amp; "'!B1:B1000")) &gt;= MATCH(
                    M68,
                    INDIRECT("'" &amp; 'Hulp (overig)'!$C$16 &amp; "'!A1:A1000"),
                    0
                )) *
                IF(
                    N68="",
                    1,
                    (ROW(INDIRECT("'" &amp; 'Hulp (overig)'!$C$16 &amp; "'!B1:B1000")) &lt; MATCH(
                        N68,
                        INDIRECT("'" &amp; 'Hulp (overig)'!$C$16 &amp; "'!A1:A1000"),
                        0
                    ))
                ),
                ROW(INDIRECT("'" &amp; 'Hulp (overig)'!$C$16 &amp; "'!B1:B1000"))
            )
        ),0)
    ))
))))</f>
        <v>#VALUE!</v>
      </c>
      <c r="N71" s="425" t="e" cm="1">
        <f t="array" aca="1" ref="N71" ca="1">IF($BF71, IF(N68="","",
   INDEX(
      INDIRECT("'" &amp; 'Hulp (CAO''s)'!$AE$8 &amp; "'!" &amp;
               'Hulp (overig)'!$C$17 &amp; "1:" &amp;
               'Hulp (overig)'!$C$17 &amp; "1000"),
      MATCH(
         N68,
         INDIRECT("'" &amp; 'Hulp (CAO''s)'!$AE$8 &amp; "'!A1:A1000"),
         0
      )
   )
), IF($D69="Gebruik % van maximum salaris",
IF(
    OR(N68="",N69=""),
    "",
    MAX(
        INDIRECT(
            "'" &amp; 'Hulp (overig)'!$C$16 &amp; "'!" &amp;
            'Hulp (overig)'!$C$17 &amp;
            MATCH(N68, INDIRECT("'" &amp; 'Hulp (overig)'!$C$16 &amp; "'!A1:A1000"), 0) &amp;
            ":" &amp;
            'Hulp (overig)'!$C$17 &amp;
LOOKUP(
    2,
    1 / (
        (ROW(INDIRECT("'" &amp; 'Hulp (overig)'!$C$16 &amp; "'!B1:B1000")) &lt;
            IF(O68&lt;&gt;"",
               MATCH(O68, INDIRECT("'" &amp; 'Hulp (overig)'!$C$16 &amp; "'!A1:A1000"),0),
               1000
            )
        ) *
        (LEFT(TRIM(INDIRECT("'" &amp; 'Hulp (overig)'!$C$16 &amp; "'!B1:B1000")),1) &lt;&gt; "u")
    ),
    ROW(INDIRECT("'" &amp; 'Hulp (overig)'!$C$16 &amp; "'!B1:B1000"))
)
        )
    ) * N69
),
IF(N70="","",
IF(
    IFERROR(MIN(
        IF(
            (TRIM(INDIRECT("'" &amp; 'Hulp (overig)'!$C$16 &amp; "'!B1:B1000")) = TEXT(N70,"0")) *
            (ROW(INDIRECT("'" &amp; 'Hulp (overig)'!$C$16 &amp; "'!B1:B1000")) &gt;= MATCH(
                N68,
                INDIRECT("'" &amp; 'Hulp (overig)'!$C$16 &amp; "'!A1:A1000"),
                0
            )) *
            IF(
                O68="",
                1,
                (ROW(INDIRECT("'" &amp; 'Hulp (overig)'!$C$16 &amp; "'!B1:B1000")) &lt; MATCH(
                    O68,
                    INDIRECT("'" &amp; 'Hulp (overig)'!$C$16 &amp; "'!A1:A1000"),
                    0
                ))
            ),
            ROW(INDIRECT("'" &amp; 'Hulp (overig)'!$C$16 &amp; "'!B1:B1000"))
        )
    ),0) &lt; 1,
    "",
    IF(INDEX(
        INDIRECT("'" &amp; 'Hulp (overig)'!$C$16 &amp; "'!" &amp;
        'Hulp (overig)'!$C$17 &amp; "1:" &amp; 'Hulp (overig)'!$C$17 &amp; 1000
        ),
        IFERROR(MIN(
            IF(
                (TRIM(INDIRECT("'" &amp; 'Hulp (overig)'!$C$16 &amp; "'!B1:B1000")) = TEXT(N70,"0")) *
                (ROW(INDIRECT("'" &amp; 'Hulp (overig)'!$C$16 &amp; "'!B1:B1000")) &gt;= MATCH(
                    N68,
                    INDIRECT("'" &amp; 'Hulp (overig)'!$C$16 &amp; "'!A1:A1000"),
                    0
                )) *
                IF(
                    O68="",
                    1,
                    (ROW(INDIRECT("'" &amp; 'Hulp (overig)'!$C$16 &amp; "'!B1:B1000")) &lt; MATCH(
                        O68,
                        INDIRECT("'" &amp; 'Hulp (overig)'!$C$16 &amp; "'!A1:A1000"),
                        0
                    ))
                ),
                ROW(INDIRECT("'" &amp; 'Hulp (overig)'!$C$16 &amp; "'!B1:B1000"))
            )
        ),0)
    )=0,"",
INDEX(
        INDIRECT("'" &amp; 'Hulp (overig)'!$C$16 &amp; "'!" &amp;
        'Hulp (overig)'!$C$17 &amp; "1:" &amp; 'Hulp (overig)'!$C$17 &amp; 1000
        ),
        IFERROR(MIN(
            IF(
                (TRIM(INDIRECT("'" &amp; 'Hulp (overig)'!$C$16 &amp; "'!B1:B1000")) = TEXT(N70,"0")) *
                (ROW(INDIRECT("'" &amp; 'Hulp (overig)'!$C$16 &amp; "'!B1:B1000")) &gt;= MATCH(
                    N68,
                    INDIRECT("'" &amp; 'Hulp (overig)'!$C$16 &amp; "'!A1:A1000"),
                    0
                )) *
                IF(
                    O68="",
                    1,
                    (ROW(INDIRECT("'" &amp; 'Hulp (overig)'!$C$16 &amp; "'!B1:B1000")) &lt; MATCH(
                        O68,
                        INDIRECT("'" &amp; 'Hulp (overig)'!$C$16 &amp; "'!A1:A1000"),
                        0
                    ))
                ),
                ROW(INDIRECT("'" &amp; 'Hulp (overig)'!$C$16 &amp; "'!B1:B1000"))
            )
        ),0)
    ))
))))</f>
        <v>#VALUE!</v>
      </c>
      <c r="O71" s="425" t="e" cm="1">
        <f t="array" aca="1" ref="O71" ca="1">IF($BF71, IF(O68="","",
   INDEX(
      INDIRECT("'" &amp; 'Hulp (CAO''s)'!$AE$8 &amp; "'!" &amp;
               'Hulp (overig)'!$C$17 &amp; "1:" &amp;
               'Hulp (overig)'!$C$17 &amp; "1000"),
      MATCH(
         O68,
         INDIRECT("'" &amp; 'Hulp (CAO''s)'!$AE$8 &amp; "'!A1:A1000"),
         0
      )
   )
), IF($D69="Gebruik % van maximum salaris",
IF(
    OR(O68="",O69=""),
    "",
    MAX(
        INDIRECT(
            "'" &amp; 'Hulp (overig)'!$C$16 &amp; "'!" &amp;
            'Hulp (overig)'!$C$17 &amp;
            MATCH(O68, INDIRECT("'" &amp; 'Hulp (overig)'!$C$16 &amp; "'!A1:A1000"), 0) &amp;
            ":" &amp;
            'Hulp (overig)'!$C$17 &amp;
LOOKUP(
    2,
    1 / (
        (ROW(INDIRECT("'" &amp; 'Hulp (overig)'!$C$16 &amp; "'!B1:B1000")) &lt;
            IF(P68&lt;&gt;"",
               MATCH(P68, INDIRECT("'" &amp; 'Hulp (overig)'!$C$16 &amp; "'!A1:A1000"),0),
               1000
            )
        ) *
        (LEFT(TRIM(INDIRECT("'" &amp; 'Hulp (overig)'!$C$16 &amp; "'!B1:B1000")),1) &lt;&gt; "u")
    ),
    ROW(INDIRECT("'" &amp; 'Hulp (overig)'!$C$16 &amp; "'!B1:B1000"))
)
        )
    ) * O69
),
IF(O70="","",
IF(
    IFERROR(MIN(
        IF(
            (TRIM(INDIRECT("'" &amp; 'Hulp (overig)'!$C$16 &amp; "'!B1:B1000")) = TEXT(O70,"0")) *
            (ROW(INDIRECT("'" &amp; 'Hulp (overig)'!$C$16 &amp; "'!B1:B1000")) &gt;= MATCH(
                O68,
                INDIRECT("'" &amp; 'Hulp (overig)'!$C$16 &amp; "'!A1:A1000"),
                0
            )) *
            IF(
                P68="",
                1,
                (ROW(INDIRECT("'" &amp; 'Hulp (overig)'!$C$16 &amp; "'!B1:B1000")) &lt; MATCH(
                    P68,
                    INDIRECT("'" &amp; 'Hulp (overig)'!$C$16 &amp; "'!A1:A1000"),
                    0
                ))
            ),
            ROW(INDIRECT("'" &amp; 'Hulp (overig)'!$C$16 &amp; "'!B1:B1000"))
        )
    ),0) &lt; 1,
    "",
    IF(INDEX(
        INDIRECT("'" &amp; 'Hulp (overig)'!$C$16 &amp; "'!" &amp;
        'Hulp (overig)'!$C$17 &amp; "1:" &amp; 'Hulp (overig)'!$C$17 &amp; 1000
        ),
        IFERROR(MIN(
            IF(
                (TRIM(INDIRECT("'" &amp; 'Hulp (overig)'!$C$16 &amp; "'!B1:B1000")) = TEXT(O70,"0")) *
                (ROW(INDIRECT("'" &amp; 'Hulp (overig)'!$C$16 &amp; "'!B1:B1000")) &gt;= MATCH(
                    O68,
                    INDIRECT("'" &amp; 'Hulp (overig)'!$C$16 &amp; "'!A1:A1000"),
                    0
                )) *
                IF(
                    P68="",
                    1,
                    (ROW(INDIRECT("'" &amp; 'Hulp (overig)'!$C$16 &amp; "'!B1:B1000")) &lt; MATCH(
                        P68,
                        INDIRECT("'" &amp; 'Hulp (overig)'!$C$16 &amp; "'!A1:A1000"),
                        0
                    ))
                ),
                ROW(INDIRECT("'" &amp; 'Hulp (overig)'!$C$16 &amp; "'!B1:B1000"))
            )
        ),0)
    )=0,"",
INDEX(
        INDIRECT("'" &amp; 'Hulp (overig)'!$C$16 &amp; "'!" &amp;
        'Hulp (overig)'!$C$17 &amp; "1:" &amp; 'Hulp (overig)'!$C$17 &amp; 1000
        ),
        IFERROR(MIN(
            IF(
                (TRIM(INDIRECT("'" &amp; 'Hulp (overig)'!$C$16 &amp; "'!B1:B1000")) = TEXT(O70,"0")) *
                (ROW(INDIRECT("'" &amp; 'Hulp (overig)'!$C$16 &amp; "'!B1:B1000")) &gt;= MATCH(
                    O68,
                    INDIRECT("'" &amp; 'Hulp (overig)'!$C$16 &amp; "'!A1:A1000"),
                    0
                )) *
                IF(
                    P68="",
                    1,
                    (ROW(INDIRECT("'" &amp; 'Hulp (overig)'!$C$16 &amp; "'!B1:B1000")) &lt; MATCH(
                        P68,
                        INDIRECT("'" &amp; 'Hulp (overig)'!$C$16 &amp; "'!A1:A1000"),
                        0
                    ))
                ),
                ROW(INDIRECT("'" &amp; 'Hulp (overig)'!$C$16 &amp; "'!B1:B1000"))
            )
        ),0)
    ))
))))</f>
        <v>#VALUE!</v>
      </c>
      <c r="P71" s="425" t="e" cm="1">
        <f t="array" aca="1" ref="P71" ca="1">IF($BF71, IF(P68="","",
   INDEX(
      INDIRECT("'" &amp; 'Hulp (CAO''s)'!$AE$8 &amp; "'!" &amp;
               'Hulp (overig)'!$C$17 &amp; "1:" &amp;
               'Hulp (overig)'!$C$17 &amp; "1000"),
      MATCH(
         P68,
         INDIRECT("'" &amp; 'Hulp (CAO''s)'!$AE$8 &amp; "'!A1:A1000"),
         0
      )
   )
), IF($D69="Gebruik % van maximum salaris",
IF(
    OR(P68="",P69=""),
    "",
    MAX(
        INDIRECT(
            "'" &amp; 'Hulp (overig)'!$C$16 &amp; "'!" &amp;
            'Hulp (overig)'!$C$17 &amp;
            MATCH(P68, INDIRECT("'" &amp; 'Hulp (overig)'!$C$16 &amp; "'!A1:A1000"), 0) &amp;
            ":" &amp;
            'Hulp (overig)'!$C$17 &amp;
LOOKUP(
    2,
    1 / (
        (ROW(INDIRECT("'" &amp; 'Hulp (overig)'!$C$16 &amp; "'!B1:B1000")) &lt;
            IF(Q68&lt;&gt;"",
               MATCH(Q68, INDIRECT("'" &amp; 'Hulp (overig)'!$C$16 &amp; "'!A1:A1000"),0),
               1000
            )
        ) *
        (LEFT(TRIM(INDIRECT("'" &amp; 'Hulp (overig)'!$C$16 &amp; "'!B1:B1000")),1) &lt;&gt; "u")
    ),
    ROW(INDIRECT("'" &amp; 'Hulp (overig)'!$C$16 &amp; "'!B1:B1000"))
)
        )
    ) * P69
),
IF(P70="","",
IF(
    IFERROR(MIN(
        IF(
            (TRIM(INDIRECT("'" &amp; 'Hulp (overig)'!$C$16 &amp; "'!B1:B1000")) = TEXT(P70,"0")) *
            (ROW(INDIRECT("'" &amp; 'Hulp (overig)'!$C$16 &amp; "'!B1:B1000")) &gt;= MATCH(
                P68,
                INDIRECT("'" &amp; 'Hulp (overig)'!$C$16 &amp; "'!A1:A1000"),
                0
            )) *
            IF(
                Q68="",
                1,
                (ROW(INDIRECT("'" &amp; 'Hulp (overig)'!$C$16 &amp; "'!B1:B1000")) &lt; MATCH(
                    Q68,
                    INDIRECT("'" &amp; 'Hulp (overig)'!$C$16 &amp; "'!A1:A1000"),
                    0
                ))
            ),
            ROW(INDIRECT("'" &amp; 'Hulp (overig)'!$C$16 &amp; "'!B1:B1000"))
        )
    ),0) &lt; 1,
    "",
    IF(INDEX(
        INDIRECT("'" &amp; 'Hulp (overig)'!$C$16 &amp; "'!" &amp;
        'Hulp (overig)'!$C$17 &amp; "1:" &amp; 'Hulp (overig)'!$C$17 &amp; 1000
        ),
        IFERROR(MIN(
            IF(
                (TRIM(INDIRECT("'" &amp; 'Hulp (overig)'!$C$16 &amp; "'!B1:B1000")) = TEXT(P70,"0")) *
                (ROW(INDIRECT("'" &amp; 'Hulp (overig)'!$C$16 &amp; "'!B1:B1000")) &gt;= MATCH(
                    P68,
                    INDIRECT("'" &amp; 'Hulp (overig)'!$C$16 &amp; "'!A1:A1000"),
                    0
                )) *
                IF(
                    Q68="",
                    1,
                    (ROW(INDIRECT("'" &amp; 'Hulp (overig)'!$C$16 &amp; "'!B1:B1000")) &lt; MATCH(
                        Q68,
                        INDIRECT("'" &amp; 'Hulp (overig)'!$C$16 &amp; "'!A1:A1000"),
                        0
                    ))
                ),
                ROW(INDIRECT("'" &amp; 'Hulp (overig)'!$C$16 &amp; "'!B1:B1000"))
            )
        ),0)
    )=0,"",
INDEX(
        INDIRECT("'" &amp; 'Hulp (overig)'!$C$16 &amp; "'!" &amp;
        'Hulp (overig)'!$C$17 &amp; "1:" &amp; 'Hulp (overig)'!$C$17 &amp; 1000
        ),
        IFERROR(MIN(
            IF(
                (TRIM(INDIRECT("'" &amp; 'Hulp (overig)'!$C$16 &amp; "'!B1:B1000")) = TEXT(P70,"0")) *
                (ROW(INDIRECT("'" &amp; 'Hulp (overig)'!$C$16 &amp; "'!B1:B1000")) &gt;= MATCH(
                    P68,
                    INDIRECT("'" &amp; 'Hulp (overig)'!$C$16 &amp; "'!A1:A1000"),
                    0
                )) *
                IF(
                    Q68="",
                    1,
                    (ROW(INDIRECT("'" &amp; 'Hulp (overig)'!$C$16 &amp; "'!B1:B1000")) &lt; MATCH(
                        Q68,
                        INDIRECT("'" &amp; 'Hulp (overig)'!$C$16 &amp; "'!A1:A1000"),
                        0
                    ))
                ),
                ROW(INDIRECT("'" &amp; 'Hulp (overig)'!$C$16 &amp; "'!B1:B1000"))
            )
        ),0)
    ))
))))</f>
        <v>#VALUE!</v>
      </c>
      <c r="Q71" s="425" t="e" cm="1">
        <f t="array" aca="1" ref="Q71" ca="1">IF($BF71, IF(Q68="","",
   INDEX(
      INDIRECT("'" &amp; 'Hulp (CAO''s)'!$AE$8 &amp; "'!" &amp;
               'Hulp (overig)'!$C$17 &amp; "1:" &amp;
               'Hulp (overig)'!$C$17 &amp; "1000"),
      MATCH(
         Q68,
         INDIRECT("'" &amp; 'Hulp (CAO''s)'!$AE$8 &amp; "'!A1:A1000"),
         0
      )
   )
), IF($D69="Gebruik % van maximum salaris",
IF(
    OR(Q68="",Q69=""),
    "",
    MAX(
        INDIRECT(
            "'" &amp; 'Hulp (overig)'!$C$16 &amp; "'!" &amp;
            'Hulp (overig)'!$C$17 &amp;
            MATCH(Q68, INDIRECT("'" &amp; 'Hulp (overig)'!$C$16 &amp; "'!A1:A1000"), 0) &amp;
            ":" &amp;
            'Hulp (overig)'!$C$17 &amp;
LOOKUP(
    2,
    1 / (
        (ROW(INDIRECT("'" &amp; 'Hulp (overig)'!$C$16 &amp; "'!B1:B1000")) &lt;
            IF(R68&lt;&gt;"",
               MATCH(R68, INDIRECT("'" &amp; 'Hulp (overig)'!$C$16 &amp; "'!A1:A1000"),0),
               1000
            )
        ) *
        (LEFT(TRIM(INDIRECT("'" &amp; 'Hulp (overig)'!$C$16 &amp; "'!B1:B1000")),1) &lt;&gt; "u")
    ),
    ROW(INDIRECT("'" &amp; 'Hulp (overig)'!$C$16 &amp; "'!B1:B1000"))
)
        )
    ) * Q69
),
IF(Q70="","",
IF(
    IFERROR(MIN(
        IF(
            (TRIM(INDIRECT("'" &amp; 'Hulp (overig)'!$C$16 &amp; "'!B1:B1000")) = TEXT(Q70,"0")) *
            (ROW(INDIRECT("'" &amp; 'Hulp (overig)'!$C$16 &amp; "'!B1:B1000")) &gt;= MATCH(
                Q68,
                INDIRECT("'" &amp; 'Hulp (overig)'!$C$16 &amp; "'!A1:A1000"),
                0
            )) *
            IF(
                R68="",
                1,
                (ROW(INDIRECT("'" &amp; 'Hulp (overig)'!$C$16 &amp; "'!B1:B1000")) &lt; MATCH(
                    R68,
                    INDIRECT("'" &amp; 'Hulp (overig)'!$C$16 &amp; "'!A1:A1000"),
                    0
                ))
            ),
            ROW(INDIRECT("'" &amp; 'Hulp (overig)'!$C$16 &amp; "'!B1:B1000"))
        )
    ),0) &lt; 1,
    "",
    IF(INDEX(
        INDIRECT("'" &amp; 'Hulp (overig)'!$C$16 &amp; "'!" &amp;
        'Hulp (overig)'!$C$17 &amp; "1:" &amp; 'Hulp (overig)'!$C$17 &amp; 1000
        ),
        IFERROR(MIN(
            IF(
                (TRIM(INDIRECT("'" &amp; 'Hulp (overig)'!$C$16 &amp; "'!B1:B1000")) = TEXT(Q70,"0")) *
                (ROW(INDIRECT("'" &amp; 'Hulp (overig)'!$C$16 &amp; "'!B1:B1000")) &gt;= MATCH(
                    Q68,
                    INDIRECT("'" &amp; 'Hulp (overig)'!$C$16 &amp; "'!A1:A1000"),
                    0
                )) *
                IF(
                    R68="",
                    1,
                    (ROW(INDIRECT("'" &amp; 'Hulp (overig)'!$C$16 &amp; "'!B1:B1000")) &lt; MATCH(
                        R68,
                        INDIRECT("'" &amp; 'Hulp (overig)'!$C$16 &amp; "'!A1:A1000"),
                        0
                    ))
                ),
                ROW(INDIRECT("'" &amp; 'Hulp (overig)'!$C$16 &amp; "'!B1:B1000"))
            )
        ),0)
    )=0,"",
INDEX(
        INDIRECT("'" &amp; 'Hulp (overig)'!$C$16 &amp; "'!" &amp;
        'Hulp (overig)'!$C$17 &amp; "1:" &amp; 'Hulp (overig)'!$C$17 &amp; 1000
        ),
        IFERROR(MIN(
            IF(
                (TRIM(INDIRECT("'" &amp; 'Hulp (overig)'!$C$16 &amp; "'!B1:B1000")) = TEXT(Q70,"0")) *
                (ROW(INDIRECT("'" &amp; 'Hulp (overig)'!$C$16 &amp; "'!B1:B1000")) &gt;= MATCH(
                    Q68,
                    INDIRECT("'" &amp; 'Hulp (overig)'!$C$16 &amp; "'!A1:A1000"),
                    0
                )) *
                IF(
                    R68="",
                    1,
                    (ROW(INDIRECT("'" &amp; 'Hulp (overig)'!$C$16 &amp; "'!B1:B1000")) &lt; MATCH(
                        R68,
                        INDIRECT("'" &amp; 'Hulp (overig)'!$C$16 &amp; "'!A1:A1000"),
                        0
                    ))
                ),
                ROW(INDIRECT("'" &amp; 'Hulp (overig)'!$C$16 &amp; "'!B1:B1000"))
            )
        ),0)
    ))
))))</f>
        <v>#VALUE!</v>
      </c>
      <c r="R71" s="425" t="e" cm="1">
        <f t="array" aca="1" ref="R71" ca="1">IF($BF71, IF(R68="","",
   INDEX(
      INDIRECT("'" &amp; 'Hulp (CAO''s)'!$AE$8 &amp; "'!" &amp;
               'Hulp (overig)'!$C$17 &amp; "1:" &amp;
               'Hulp (overig)'!$C$17 &amp; "1000"),
      MATCH(
         R68,
         INDIRECT("'" &amp; 'Hulp (CAO''s)'!$AE$8 &amp; "'!A1:A1000"),
         0
      )
   )
), IF($D69="Gebruik % van maximum salaris",
IF(
    OR(R68="",R69=""),
    "",
    MAX(
        INDIRECT(
            "'" &amp; 'Hulp (overig)'!$C$16 &amp; "'!" &amp;
            'Hulp (overig)'!$C$17 &amp;
            MATCH(R68, INDIRECT("'" &amp; 'Hulp (overig)'!$C$16 &amp; "'!A1:A1000"), 0) &amp;
            ":" &amp;
            'Hulp (overig)'!$C$17 &amp;
LOOKUP(
    2,
    1 / (
        (ROW(INDIRECT("'" &amp; 'Hulp (overig)'!$C$16 &amp; "'!B1:B1000")) &lt;
            IF(S68&lt;&gt;"",
               MATCH(S68, INDIRECT("'" &amp; 'Hulp (overig)'!$C$16 &amp; "'!A1:A1000"),0),
               1000
            )
        ) *
        (LEFT(TRIM(INDIRECT("'" &amp; 'Hulp (overig)'!$C$16 &amp; "'!B1:B1000")),1) &lt;&gt; "u")
    ),
    ROW(INDIRECT("'" &amp; 'Hulp (overig)'!$C$16 &amp; "'!B1:B1000"))
)
        )
    ) * R69
),
IF(R70="","",
IF(
    IFERROR(MIN(
        IF(
            (TRIM(INDIRECT("'" &amp; 'Hulp (overig)'!$C$16 &amp; "'!B1:B1000")) = TEXT(R70,"0")) *
            (ROW(INDIRECT("'" &amp; 'Hulp (overig)'!$C$16 &amp; "'!B1:B1000")) &gt;= MATCH(
                R68,
                INDIRECT("'" &amp; 'Hulp (overig)'!$C$16 &amp; "'!A1:A1000"),
                0
            )) *
            IF(
                S68="",
                1,
                (ROW(INDIRECT("'" &amp; 'Hulp (overig)'!$C$16 &amp; "'!B1:B1000")) &lt; MATCH(
                    S68,
                    INDIRECT("'" &amp; 'Hulp (overig)'!$C$16 &amp; "'!A1:A1000"),
                    0
                ))
            ),
            ROW(INDIRECT("'" &amp; 'Hulp (overig)'!$C$16 &amp; "'!B1:B1000"))
        )
    ),0) &lt; 1,
    "",
    IF(INDEX(
        INDIRECT("'" &amp; 'Hulp (overig)'!$C$16 &amp; "'!" &amp;
        'Hulp (overig)'!$C$17 &amp; "1:" &amp; 'Hulp (overig)'!$C$17 &amp; 1000
        ),
        IFERROR(MIN(
            IF(
                (TRIM(INDIRECT("'" &amp; 'Hulp (overig)'!$C$16 &amp; "'!B1:B1000")) = TEXT(R70,"0")) *
                (ROW(INDIRECT("'" &amp; 'Hulp (overig)'!$C$16 &amp; "'!B1:B1000")) &gt;= MATCH(
                    R68,
                    INDIRECT("'" &amp; 'Hulp (overig)'!$C$16 &amp; "'!A1:A1000"),
                    0
                )) *
                IF(
                    S68="",
                    1,
                    (ROW(INDIRECT("'" &amp; 'Hulp (overig)'!$C$16 &amp; "'!B1:B1000")) &lt; MATCH(
                        S68,
                        INDIRECT("'" &amp; 'Hulp (overig)'!$C$16 &amp; "'!A1:A1000"),
                        0
                    ))
                ),
                ROW(INDIRECT("'" &amp; 'Hulp (overig)'!$C$16 &amp; "'!B1:B1000"))
            )
        ),0)
    )=0,"",
INDEX(
        INDIRECT("'" &amp; 'Hulp (overig)'!$C$16 &amp; "'!" &amp;
        'Hulp (overig)'!$C$17 &amp; "1:" &amp; 'Hulp (overig)'!$C$17 &amp; 1000
        ),
        IFERROR(MIN(
            IF(
                (TRIM(INDIRECT("'" &amp; 'Hulp (overig)'!$C$16 &amp; "'!B1:B1000")) = TEXT(R70,"0")) *
                (ROW(INDIRECT("'" &amp; 'Hulp (overig)'!$C$16 &amp; "'!B1:B1000")) &gt;= MATCH(
                    R68,
                    INDIRECT("'" &amp; 'Hulp (overig)'!$C$16 &amp; "'!A1:A1000"),
                    0
                )) *
                IF(
                    S68="",
                    1,
                    (ROW(INDIRECT("'" &amp; 'Hulp (overig)'!$C$16 &amp; "'!B1:B1000")) &lt; MATCH(
                        S68,
                        INDIRECT("'" &amp; 'Hulp (overig)'!$C$16 &amp; "'!A1:A1000"),
                        0
                    ))
                ),
                ROW(INDIRECT("'" &amp; 'Hulp (overig)'!$C$16 &amp; "'!B1:B1000"))
            )
        ),0)
    ))
))))</f>
        <v>#VALUE!</v>
      </c>
      <c r="S71" s="425" t="e" cm="1">
        <f t="array" aca="1" ref="S71" ca="1">IF($BF71, IF(S68="","",
   INDEX(
      INDIRECT("'" &amp; 'Hulp (CAO''s)'!$AE$8 &amp; "'!" &amp;
               'Hulp (overig)'!$C$17 &amp; "1:" &amp;
               'Hulp (overig)'!$C$17 &amp; "1000"),
      MATCH(
         S68,
         INDIRECT("'" &amp; 'Hulp (CAO''s)'!$AE$8 &amp; "'!A1:A1000"),
         0
      )
   )
), IF($D69="Gebruik % van maximum salaris",
IF(
    OR(S68="",S69=""),
    "",
    MAX(
        INDIRECT(
            "'" &amp; 'Hulp (overig)'!$C$16 &amp; "'!" &amp;
            'Hulp (overig)'!$C$17 &amp;
            MATCH(S68, INDIRECT("'" &amp; 'Hulp (overig)'!$C$16 &amp; "'!A1:A1000"), 0) &amp;
            ":" &amp;
            'Hulp (overig)'!$C$17 &amp;
LOOKUP(
    2,
    1 / (
        (ROW(INDIRECT("'" &amp; 'Hulp (overig)'!$C$16 &amp; "'!B1:B1000")) &lt;
            IF(T68&lt;&gt;"",
               MATCH(T68, INDIRECT("'" &amp; 'Hulp (overig)'!$C$16 &amp; "'!A1:A1000"),0),
               1000
            )
        ) *
        (LEFT(TRIM(INDIRECT("'" &amp; 'Hulp (overig)'!$C$16 &amp; "'!B1:B1000")),1) &lt;&gt; "u")
    ),
    ROW(INDIRECT("'" &amp; 'Hulp (overig)'!$C$16 &amp; "'!B1:B1000"))
)
        )
    ) * S69
),
IF(S70="","",
IF(
    IFERROR(MIN(
        IF(
            (TRIM(INDIRECT("'" &amp; 'Hulp (overig)'!$C$16 &amp; "'!B1:B1000")) = TEXT(S70,"0")) *
            (ROW(INDIRECT("'" &amp; 'Hulp (overig)'!$C$16 &amp; "'!B1:B1000")) &gt;= MATCH(
                S68,
                INDIRECT("'" &amp; 'Hulp (overig)'!$C$16 &amp; "'!A1:A1000"),
                0
            )) *
            IF(
                T68="",
                1,
                (ROW(INDIRECT("'" &amp; 'Hulp (overig)'!$C$16 &amp; "'!B1:B1000")) &lt; MATCH(
                    T68,
                    INDIRECT("'" &amp; 'Hulp (overig)'!$C$16 &amp; "'!A1:A1000"),
                    0
                ))
            ),
            ROW(INDIRECT("'" &amp; 'Hulp (overig)'!$C$16 &amp; "'!B1:B1000"))
        )
    ),0) &lt; 1,
    "",
    IF(INDEX(
        INDIRECT("'" &amp; 'Hulp (overig)'!$C$16 &amp; "'!" &amp;
        'Hulp (overig)'!$C$17 &amp; "1:" &amp; 'Hulp (overig)'!$C$17 &amp; 1000
        ),
        IFERROR(MIN(
            IF(
                (TRIM(INDIRECT("'" &amp; 'Hulp (overig)'!$C$16 &amp; "'!B1:B1000")) = TEXT(S70,"0")) *
                (ROW(INDIRECT("'" &amp; 'Hulp (overig)'!$C$16 &amp; "'!B1:B1000")) &gt;= MATCH(
                    S68,
                    INDIRECT("'" &amp; 'Hulp (overig)'!$C$16 &amp; "'!A1:A1000"),
                    0
                )) *
                IF(
                    T68="",
                    1,
                    (ROW(INDIRECT("'" &amp; 'Hulp (overig)'!$C$16 &amp; "'!B1:B1000")) &lt; MATCH(
                        T68,
                        INDIRECT("'" &amp; 'Hulp (overig)'!$C$16 &amp; "'!A1:A1000"),
                        0
                    ))
                ),
                ROW(INDIRECT("'" &amp; 'Hulp (overig)'!$C$16 &amp; "'!B1:B1000"))
            )
        ),0)
    )=0,"",
INDEX(
        INDIRECT("'" &amp; 'Hulp (overig)'!$C$16 &amp; "'!" &amp;
        'Hulp (overig)'!$C$17 &amp; "1:" &amp; 'Hulp (overig)'!$C$17 &amp; 1000
        ),
        IFERROR(MIN(
            IF(
                (TRIM(INDIRECT("'" &amp; 'Hulp (overig)'!$C$16 &amp; "'!B1:B1000")) = TEXT(S70,"0")) *
                (ROW(INDIRECT("'" &amp; 'Hulp (overig)'!$C$16 &amp; "'!B1:B1000")) &gt;= MATCH(
                    S68,
                    INDIRECT("'" &amp; 'Hulp (overig)'!$C$16 &amp; "'!A1:A1000"),
                    0
                )) *
                IF(
                    T68="",
                    1,
                    (ROW(INDIRECT("'" &amp; 'Hulp (overig)'!$C$16 &amp; "'!B1:B1000")) &lt; MATCH(
                        T68,
                        INDIRECT("'" &amp; 'Hulp (overig)'!$C$16 &amp; "'!A1:A1000"),
                        0
                    ))
                ),
                ROW(INDIRECT("'" &amp; 'Hulp (overig)'!$C$16 &amp; "'!B1:B1000"))
            )
        ),0)
    ))
))))</f>
        <v>#VALUE!</v>
      </c>
      <c r="T71" s="425" t="e" cm="1">
        <f t="array" aca="1" ref="T71" ca="1">IF($BF71, IF(T68="","",
   INDEX(
      INDIRECT("'" &amp; 'Hulp (CAO''s)'!$AE$8 &amp; "'!" &amp;
               'Hulp (overig)'!$C$17 &amp; "1:" &amp;
               'Hulp (overig)'!$C$17 &amp; "1000"),
      MATCH(
         T68,
         INDIRECT("'" &amp; 'Hulp (CAO''s)'!$AE$8 &amp; "'!A1:A1000"),
         0
      )
   )
), IF($D69="Gebruik % van maximum salaris",
IF(
    OR(T68="",T69=""),
    "",
    MAX(
        INDIRECT(
            "'" &amp; 'Hulp (overig)'!$C$16 &amp; "'!" &amp;
            'Hulp (overig)'!$C$17 &amp;
            MATCH(T68, INDIRECT("'" &amp; 'Hulp (overig)'!$C$16 &amp; "'!A1:A1000"), 0) &amp;
            ":" &amp;
            'Hulp (overig)'!$C$17 &amp;
LOOKUP(
    2,
    1 / (
        (ROW(INDIRECT("'" &amp; 'Hulp (overig)'!$C$16 &amp; "'!B1:B1000")) &lt;
            IF(U68&lt;&gt;"",
               MATCH(U68, INDIRECT("'" &amp; 'Hulp (overig)'!$C$16 &amp; "'!A1:A1000"),0),
               1000
            )
        ) *
        (LEFT(TRIM(INDIRECT("'" &amp; 'Hulp (overig)'!$C$16 &amp; "'!B1:B1000")),1) &lt;&gt; "u")
    ),
    ROW(INDIRECT("'" &amp; 'Hulp (overig)'!$C$16 &amp; "'!B1:B1000"))
)
        )
    ) * T69
),
IF(T70="","",
IF(
    IFERROR(MIN(
        IF(
            (TRIM(INDIRECT("'" &amp; 'Hulp (overig)'!$C$16 &amp; "'!B1:B1000")) = TEXT(T70,"0")) *
            (ROW(INDIRECT("'" &amp; 'Hulp (overig)'!$C$16 &amp; "'!B1:B1000")) &gt;= MATCH(
                T68,
                INDIRECT("'" &amp; 'Hulp (overig)'!$C$16 &amp; "'!A1:A1000"),
                0
            )) *
            IF(
                U68="",
                1,
                (ROW(INDIRECT("'" &amp; 'Hulp (overig)'!$C$16 &amp; "'!B1:B1000")) &lt; MATCH(
                    U68,
                    INDIRECT("'" &amp; 'Hulp (overig)'!$C$16 &amp; "'!A1:A1000"),
                    0
                ))
            ),
            ROW(INDIRECT("'" &amp; 'Hulp (overig)'!$C$16 &amp; "'!B1:B1000"))
        )
    ),0) &lt; 1,
    "",
    IF(INDEX(
        INDIRECT("'" &amp; 'Hulp (overig)'!$C$16 &amp; "'!" &amp;
        'Hulp (overig)'!$C$17 &amp; "1:" &amp; 'Hulp (overig)'!$C$17 &amp; 1000
        ),
        IFERROR(MIN(
            IF(
                (TRIM(INDIRECT("'" &amp; 'Hulp (overig)'!$C$16 &amp; "'!B1:B1000")) = TEXT(T70,"0")) *
                (ROW(INDIRECT("'" &amp; 'Hulp (overig)'!$C$16 &amp; "'!B1:B1000")) &gt;= MATCH(
                    T68,
                    INDIRECT("'" &amp; 'Hulp (overig)'!$C$16 &amp; "'!A1:A1000"),
                    0
                )) *
                IF(
                    U68="",
                    1,
                    (ROW(INDIRECT("'" &amp; 'Hulp (overig)'!$C$16 &amp; "'!B1:B1000")) &lt; MATCH(
                        U68,
                        INDIRECT("'" &amp; 'Hulp (overig)'!$C$16 &amp; "'!A1:A1000"),
                        0
                    ))
                ),
                ROW(INDIRECT("'" &amp; 'Hulp (overig)'!$C$16 &amp; "'!B1:B1000"))
            )
        ),0)
    )=0,"",
INDEX(
        INDIRECT("'" &amp; 'Hulp (overig)'!$C$16 &amp; "'!" &amp;
        'Hulp (overig)'!$C$17 &amp; "1:" &amp; 'Hulp (overig)'!$C$17 &amp; 1000
        ),
        IFERROR(MIN(
            IF(
                (TRIM(INDIRECT("'" &amp; 'Hulp (overig)'!$C$16 &amp; "'!B1:B1000")) = TEXT(T70,"0")) *
                (ROW(INDIRECT("'" &amp; 'Hulp (overig)'!$C$16 &amp; "'!B1:B1000")) &gt;= MATCH(
                    T68,
                    INDIRECT("'" &amp; 'Hulp (overig)'!$C$16 &amp; "'!A1:A1000"),
                    0
                )) *
                IF(
                    U68="",
                    1,
                    (ROW(INDIRECT("'" &amp; 'Hulp (overig)'!$C$16 &amp; "'!B1:B1000")) &lt; MATCH(
                        U68,
                        INDIRECT("'" &amp; 'Hulp (overig)'!$C$16 &amp; "'!A1:A1000"),
                        0
                    ))
                ),
                ROW(INDIRECT("'" &amp; 'Hulp (overig)'!$C$16 &amp; "'!B1:B1000"))
            )
        ),0)
    ))
))))</f>
        <v>#VALUE!</v>
      </c>
      <c r="U71" s="723" t="e" cm="1">
        <f t="array" aca="1" ref="U71" ca="1">IF($BF71, IF(U68="","",
   INDEX(
      INDIRECT("'" &amp; 'Hulp (CAO''s)'!$AE$8 &amp; "'!" &amp;
               'Hulp (overig)'!$C$17 &amp; "1:" &amp;
               'Hulp (overig)'!$C$17 &amp; "1000"),
      MATCH(
         U68,
         INDIRECT("'" &amp; 'Hulp (CAO''s)'!$AE$8 &amp; "'!A1:A1000"),
         0
      )
   )
), IF($D69="Gebruik % van maximum salaris",
IF(
    OR(U68="",U69=""),
    "",
    MAX(
        INDIRECT(
            "'" &amp; 'Hulp (overig)'!$C$16 &amp; "'!" &amp;
            'Hulp (overig)'!$C$17 &amp;
            MATCH(U68, INDIRECT("'" &amp; 'Hulp (overig)'!$C$16 &amp; "'!A1:A1000"), 0) &amp;
            ":" &amp;
            'Hulp (overig)'!$C$17 &amp;
LOOKUP(
    2,
    1 / (
        (ROW(INDIRECT("'" &amp; 'Hulp (overig)'!$C$16 &amp; "'!B1:B1000")) &lt;
            IF(V68&lt;&gt;"",
               MATCH(V68, INDIRECT("'" &amp; 'Hulp (overig)'!$C$16 &amp; "'!A1:A1000"),0),
               1000
            )
        ) *
        (LEFT(TRIM(INDIRECT("'" &amp; 'Hulp (overig)'!$C$16 &amp; "'!B1:B1000")),1) &lt;&gt; "u")
    ),
    ROW(INDIRECT("'" &amp; 'Hulp (overig)'!$C$16 &amp; "'!B1:B1000"))
)
        )
    ) * U69
),
IF(U70="","",
IF(
    IFERROR(MIN(
        IF(
            (TRIM(INDIRECT("'" &amp; 'Hulp (overig)'!$C$16 &amp; "'!B1:B1000")) = TEXT(U70,"0")) *
            (ROW(INDIRECT("'" &amp; 'Hulp (overig)'!$C$16 &amp; "'!B1:B1000")) &gt;= MATCH(
                U68,
                INDIRECT("'" &amp; 'Hulp (overig)'!$C$16 &amp; "'!A1:A1000"),
                0
            )) *
            IF(
                V68="",
                1,
                (ROW(INDIRECT("'" &amp; 'Hulp (overig)'!$C$16 &amp; "'!B1:B1000")) &lt; MATCH(
                    V68,
                    INDIRECT("'" &amp; 'Hulp (overig)'!$C$16 &amp; "'!A1:A1000"),
                    0
                ))
            ),
            ROW(INDIRECT("'" &amp; 'Hulp (overig)'!$C$16 &amp; "'!B1:B1000"))
        )
    ),0) &lt; 1,
    "",
    IF(INDEX(
        INDIRECT("'" &amp; 'Hulp (overig)'!$C$16 &amp; "'!" &amp;
        'Hulp (overig)'!$C$17 &amp; "1:" &amp; 'Hulp (overig)'!$C$17 &amp; 1000
        ),
        IFERROR(MIN(
            IF(
                (TRIM(INDIRECT("'" &amp; 'Hulp (overig)'!$C$16 &amp; "'!B1:B1000")) = TEXT(U70,"0")) *
                (ROW(INDIRECT("'" &amp; 'Hulp (overig)'!$C$16 &amp; "'!B1:B1000")) &gt;= MATCH(
                    U68,
                    INDIRECT("'" &amp; 'Hulp (overig)'!$C$16 &amp; "'!A1:A1000"),
                    0
                )) *
                IF(
                    V68="",
                    1,
                    (ROW(INDIRECT("'" &amp; 'Hulp (overig)'!$C$16 &amp; "'!B1:B1000")) &lt; MATCH(
                        V68,
                        INDIRECT("'" &amp; 'Hulp (overig)'!$C$16 &amp; "'!A1:A1000"),
                        0
                    ))
                ),
                ROW(INDIRECT("'" &amp; 'Hulp (overig)'!$C$16 &amp; "'!B1:B1000"))
            )
        ),0)
    )=0,"",
INDEX(
        INDIRECT("'" &amp; 'Hulp (overig)'!$C$16 &amp; "'!" &amp;
        'Hulp (overig)'!$C$17 &amp; "1:" &amp; 'Hulp (overig)'!$C$17 &amp; 1000
        ),
        IFERROR(MIN(
            IF(
                (TRIM(INDIRECT("'" &amp; 'Hulp (overig)'!$C$16 &amp; "'!B1:B1000")) = TEXT(U70,"0")) *
                (ROW(INDIRECT("'" &amp; 'Hulp (overig)'!$C$16 &amp; "'!B1:B1000")) &gt;= MATCH(
                    U68,
                    INDIRECT("'" &amp; 'Hulp (overig)'!$C$16 &amp; "'!A1:A1000"),
                    0
                )) *
                IF(
                    V68="",
                    1,
                    (ROW(INDIRECT("'" &amp; 'Hulp (overig)'!$C$16 &amp; "'!B1:B1000")) &lt; MATCH(
                        V68,
                        INDIRECT("'" &amp; 'Hulp (overig)'!$C$16 &amp; "'!A1:A1000"),
                        0
                    ))
                ),
                ROW(INDIRECT("'" &amp; 'Hulp (overig)'!$C$16 &amp; "'!B1:B1000"))
            )
        ),0)
    ))
))))</f>
        <v>#VALUE!</v>
      </c>
      <c r="V71" s="413" t="str" cm="1">
        <f t="array" ref="V71">IF(SUM(F72:U72)=0,"",
IF(SUM(F71:U71)=0,"",
IF(SUMPRODUCT((F72:U72&lt;&gt;0)*(F71:U71=""))&gt;0,"",
(
   SUMPRODUCT(
      IF(F71:U71="",0,F71:U71),
      IF(F72:U72="",0,F72:U72) / SUM(F72:U72)
   )
))))</f>
        <v/>
      </c>
      <c r="W71" s="418"/>
      <c r="X71" s="620"/>
      <c r="Y71" s="419" t="str">
        <f ca="1">IF(B68="","",
        IF(INDIRECT("'Hulp (control forms)'!C" &amp; (13 + INT((ROW()-ROW($B$5))/7))),
            IF(X71="","",X71),
            IF(V71="","",V71)
    )
)</f>
        <v/>
      </c>
      <c r="Z71" s="333"/>
      <c r="AA71" s="771"/>
      <c r="AB71" s="770"/>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cm="1">
        <f t="array" aca="1" ref="BA71" ca="1">IF(
   SUM(Y71)=0,
   1,
   IF(
      N(INDIRECT("'Hulp (control forms)'!C"&amp;(13+INT((ROW()-ROW($B$5))/7))))&lt;&gt;0,
      MIN(1,
      ('Hulp (overig)'!$C$6/12) /
      (Y71 * BC71 + BD71)),
      MIN(1,
         IF(
            SUM(F71:U71)=0,
            "",
            SUMPRODUCT(
               IF(
                  (IF(F71:U71="",0,F71:U71) * BC71) + BD71
                  &gt; 'Hulp (overig)'!$C$6/12,
                  'Hulp (overig)'!$C$6/12,
                  (IF(F71:U71="",0,F71:U71) * BC71) + BD71
               ),
               IF(F72:U72="",0,F72:U72) / SUM(F72:U72)
            )
         ) /
         ((Y71 * BC71) + BD71)
      )
   )
)</f>
        <v>1</v>
      </c>
      <c r="BB71" cm="1">
        <f t="array" aca="1" ref="BB71" ca="1">IF(
   SUM(Y71)=0,
   1,
   IF(
      N(INDIRECT("'Hulp (control forms)'!C"&amp;(13+INT((ROW()-ROW($B$5))/7))))&lt;&gt;0,
      MIN('Hulp (overig)'!$C$5/12,
      (Y71 * BC71) + BD71) * 12,
         IF(
            SUM(F71:U71)=0,
            "",
            SUMPRODUCT(
               IF(
                  (IF(F71:U71="",0,F71:U71) * BC71) + BD71
                  &gt; 'Hulp (overig)'!$C$5/12,
                  'Hulp (overig)'!$C$5/12,
                  (IF(F71:U71="",0,F71:U71) * BC71) + BD71
               ),
               IF(F72:U72="",0,F72:U72) / SUM(F72:U72)
            )
         ) * 12
   )
)</f>
        <v>1</v>
      </c>
      <c r="BC71" s="287" cm="1">
        <f t="array" aca="1" ref="BC71" ca="1">IFERROR(
   (INDEX('2. Output kostprijs'!$24:$24, 5 + 2*INT((ROW()-8)/7))
    - SUM(INDEX('2. Output kostprijs'!$23:$23, 5 + 2*INT((ROW()-8)/7))))
   / INDEX('2. Output kostprijs'!$19:$19, 5 + 2*INT((ROW()-8)/7)),
   1
)</f>
        <v>1</v>
      </c>
      <c r="BD71" s="287" cm="1">
        <f t="array" aca="1" ref="BD71" ca="1">IFERROR(
   (INDEX('2. Output kostprijs'!$23:$23, 5 + 2*INT((ROW()-8)/7))
    * INDEX('2. Output kostprijs'!$18:$18, 5 + 2*INT((ROW()-8)/7))
   ) / 12,
   0
)</f>
        <v>0</v>
      </c>
      <c r="BE71" t="b">
        <f ca="1">NOT(AND(B68&lt;&gt;"",Y71=""))</f>
        <v>1</v>
      </c>
      <c r="BF71" t="str" cm="1">
        <f t="array" aca="1" ref="BF71" ca="1">INDIRECT("'1a. Input organisatieniveau'!$AD" &amp; 7 + INT((ROW()-ROW($F$8))/7))</f>
        <v/>
      </c>
      <c r="BG71" t="b" cm="1">
        <f t="array" ref="BG71">IFERROR(INDEX('Hulp (control forms)'!C:C, 13 + INT((ROW(A64)-1)/7)),FALSE)</f>
        <v>0</v>
      </c>
    </row>
    <row r="72" spans="1:59" ht="16.05" customHeight="1" thickBot="1" x14ac:dyDescent="0.5">
      <c r="A72" s="289"/>
      <c r="B72" s="343"/>
      <c r="C72" s="325" t="s">
        <v>779</v>
      </c>
      <c r="D72" s="688" t="s">
        <v>60</v>
      </c>
      <c r="E72" s="433" t="s">
        <v>59</v>
      </c>
      <c r="F72" s="624"/>
      <c r="G72" s="624"/>
      <c r="H72" s="624"/>
      <c r="I72" s="624"/>
      <c r="J72" s="624"/>
      <c r="K72" s="624"/>
      <c r="L72" s="624"/>
      <c r="M72" s="624"/>
      <c r="N72" s="624"/>
      <c r="O72" s="624"/>
      <c r="P72" s="624"/>
      <c r="Q72" s="624"/>
      <c r="R72" s="624"/>
      <c r="S72" s="624"/>
      <c r="T72" s="624"/>
      <c r="U72" s="625"/>
      <c r="V72" s="420" t="str">
        <f ca="1">IF($B68="","",IF($D72="Aandeel in %",
   "Totaal: "&amp;SUM(F72:U72)*100&amp;"%",
   "Totaal: "&amp;SUM(F72:U72)&amp;" uur"
))</f>
        <v/>
      </c>
      <c r="W72" s="294"/>
      <c r="X72" s="621"/>
      <c r="Y72" s="328"/>
      <c r="Z72" s="32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9" ht="16.05" customHeight="1" thickBot="1" x14ac:dyDescent="0.5">
      <c r="A73" s="289"/>
      <c r="B73" s="343"/>
      <c r="C73" s="326" t="s">
        <v>779</v>
      </c>
      <c r="D73" s="421"/>
      <c r="E73" s="426"/>
      <c r="F73" s="426"/>
      <c r="G73" s="426"/>
      <c r="H73" s="426"/>
      <c r="I73" s="426"/>
      <c r="J73" s="426"/>
      <c r="K73" s="426"/>
      <c r="L73" s="426"/>
      <c r="M73" s="426"/>
      <c r="N73" s="426"/>
      <c r="O73" s="426"/>
      <c r="P73" s="426"/>
      <c r="Q73" s="426"/>
      <c r="R73" s="426"/>
      <c r="S73" s="426"/>
      <c r="T73" s="427"/>
      <c r="U73" s="427"/>
      <c r="V73" s="421"/>
      <c r="W73" s="421"/>
      <c r="X73" s="622"/>
      <c r="Y73" s="421"/>
      <c r="Z73" s="327"/>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9" ht="16.05" customHeight="1" thickBot="1" x14ac:dyDescent="0.55000000000000004">
      <c r="A74" s="289"/>
      <c r="B74" s="585" t="str">
        <f ca="1">IF(B75="","",
IF(
   OR(
      INDIRECT("'1a. Input organisatieniveau'!AC" &amp; (7 + INT((ROW()-4)/7)))="",
      INDIRECT("'1a. Input organisatieniveau'!AC" &amp; (7 + INT((ROW()-4)/7)))=0
   ),
   "",
   INDIRECT("'1a. Input organisatieniveau'!AC" &amp; (7 + INT((ROW()-4)/7)))
))</f>
        <v/>
      </c>
      <c r="C74" s="324" t="s">
        <v>779</v>
      </c>
      <c r="D74" s="416"/>
      <c r="E74" s="428"/>
      <c r="F74" s="422" t="str">
        <f t="shared" ref="F74:U74" ca="1" si="10">IF($B75="","",
IF($D76="Gebruik % van maximum salaris",
 IF(OR(AND(AND(F75&lt;&gt;"",F76&lt;&gt;""),F78=""),AND(F78="",F79&lt;&gt;"")),"!",""),
 IF(OR(AND(AND(F75&lt;&gt;"",F77&lt;&gt;""),F78=""),AND(F78="",F79&lt;&gt;"")),"!","")))</f>
        <v/>
      </c>
      <c r="G74" s="422" t="str">
        <f t="shared" ca="1" si="10"/>
        <v/>
      </c>
      <c r="H74" s="422" t="str">
        <f t="shared" ca="1" si="10"/>
        <v/>
      </c>
      <c r="I74" s="422" t="str">
        <f t="shared" ca="1" si="10"/>
        <v/>
      </c>
      <c r="J74" s="422" t="str">
        <f t="shared" ca="1" si="10"/>
        <v/>
      </c>
      <c r="K74" s="422" t="str">
        <f t="shared" ca="1" si="10"/>
        <v/>
      </c>
      <c r="L74" s="422" t="str">
        <f t="shared" ca="1" si="10"/>
        <v/>
      </c>
      <c r="M74" s="422" t="str">
        <f t="shared" ca="1" si="10"/>
        <v/>
      </c>
      <c r="N74" s="422" t="str">
        <f t="shared" ca="1" si="10"/>
        <v/>
      </c>
      <c r="O74" s="422" t="str">
        <f t="shared" ca="1" si="10"/>
        <v/>
      </c>
      <c r="P74" s="422" t="str">
        <f t="shared" ca="1" si="10"/>
        <v/>
      </c>
      <c r="Q74" s="422" t="str">
        <f t="shared" ca="1" si="10"/>
        <v/>
      </c>
      <c r="R74" s="422" t="str">
        <f t="shared" ca="1" si="10"/>
        <v/>
      </c>
      <c r="S74" s="422" t="str">
        <f t="shared" ca="1" si="10"/>
        <v/>
      </c>
      <c r="T74" s="422" t="str">
        <f t="shared" ca="1" si="10"/>
        <v/>
      </c>
      <c r="U74" s="422" t="str">
        <f t="shared" ca="1" si="10"/>
        <v/>
      </c>
      <c r="V74" s="416"/>
      <c r="W74" s="416"/>
      <c r="X74" s="619"/>
      <c r="Y74" s="416"/>
      <c r="Z74" s="330"/>
      <c r="AA74" s="354"/>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9" ht="16.05" customHeight="1" thickBot="1" x14ac:dyDescent="0.5">
      <c r="A75" s="289"/>
      <c r="B75" s="586" t="str">
        <f ca="1">IF(
   OR(
      INDIRECT("'1a. Input organisatieniveau'!AA" &amp; (7 + INT((ROW()-4)/7)))="",
      INDIRECT("'1a. Input organisatieniveau'!AA" &amp; (7 + INT((ROW()-4)/7)))=0
   ),
   "",
   INDIRECT("'1a. Input organisatieniveau'!AA" &amp; (7 + INT((ROW()-4)/7)))
)</f>
        <v/>
      </c>
      <c r="C75" s="325" t="s">
        <v>779</v>
      </c>
      <c r="D75" s="434"/>
      <c r="E75" s="429" t="s">
        <v>28</v>
      </c>
      <c r="F75" s="423" t="str">
        <f ca="1">IF($B75="", "", IF($BF78, IF('Hulp (CAO''s)'!J$8&lt;&gt;"",'Hulp (CAO''s)'!J$8,""), INDEX('Hulp (CAO''s)'!J$3:J$7, MATCH(TRUE, 'Hulp (CAO''s)'!$D$3:$D$7, 0))))</f>
        <v/>
      </c>
      <c r="G75" s="423" t="str">
        <f ca="1">IF($B75="", "", IF($BF78, IF('Hulp (CAO''s)'!K$8&lt;&gt;"",'Hulp (CAO''s)'!K$8,""), INDEX('Hulp (CAO''s)'!K$3:K$7, MATCH(TRUE, 'Hulp (CAO''s)'!$D$3:$D$7, 0))))</f>
        <v/>
      </c>
      <c r="H75" s="423" t="str">
        <f ca="1">IF($B75="", "", IF($BF78, IF('Hulp (CAO''s)'!L$8&lt;&gt;"",'Hulp (CAO''s)'!L$8,""), INDEX('Hulp (CAO''s)'!L$3:L$7, MATCH(TRUE, 'Hulp (CAO''s)'!$D$3:$D$7, 0))))</f>
        <v/>
      </c>
      <c r="I75" s="423" t="str">
        <f ca="1">IF($B75="", "", IF($BF78, IF('Hulp (CAO''s)'!M$8&lt;&gt;"",'Hulp (CAO''s)'!M$8,""), INDEX('Hulp (CAO''s)'!M$3:M$7, MATCH(TRUE, 'Hulp (CAO''s)'!$D$3:$D$7, 0))))</f>
        <v/>
      </c>
      <c r="J75" s="423" t="str">
        <f ca="1">IF($B75="", "", IF($BF78, IF('Hulp (CAO''s)'!N$8&lt;&gt;"",'Hulp (CAO''s)'!N$8,""), INDEX('Hulp (CAO''s)'!N$3:N$7, MATCH(TRUE, 'Hulp (CAO''s)'!$D$3:$D$7, 0))))</f>
        <v/>
      </c>
      <c r="K75" s="423" t="str">
        <f ca="1">IF($B75="", "", IF($BF78, IF('Hulp (CAO''s)'!O$8&lt;&gt;"",'Hulp (CAO''s)'!O$8,""), INDEX('Hulp (CAO''s)'!O$3:O$7, MATCH(TRUE, 'Hulp (CAO''s)'!$D$3:$D$7, 0))))</f>
        <v/>
      </c>
      <c r="L75" s="423" t="str">
        <f ca="1">IF($B75="", "", IF($BF78, IF('Hulp (CAO''s)'!P$8&lt;&gt;"",'Hulp (CAO''s)'!P$8,""), INDEX('Hulp (CAO''s)'!P$3:P$7, MATCH(TRUE, 'Hulp (CAO''s)'!$D$3:$D$7, 0))))</f>
        <v/>
      </c>
      <c r="M75" s="423" t="str">
        <f ca="1">IF($B75="", "", IF($BF78, IF('Hulp (CAO''s)'!Q$8&lt;&gt;"",'Hulp (CAO''s)'!Q$8,""), INDEX('Hulp (CAO''s)'!Q$3:Q$7, MATCH(TRUE, 'Hulp (CAO''s)'!$D$3:$D$7, 0))))</f>
        <v/>
      </c>
      <c r="N75" s="423" t="str">
        <f ca="1">IF($B75="", "", IF($BF78, IF('Hulp (CAO''s)'!R$8&lt;&gt;"",'Hulp (CAO''s)'!R$8,""), INDEX('Hulp (CAO''s)'!R$3:R$7, MATCH(TRUE, 'Hulp (CAO''s)'!$D$3:$D$7, 0))))</f>
        <v/>
      </c>
      <c r="O75" s="423" t="str">
        <f ca="1">IF($B75="", "", IF($BF78, IF('Hulp (CAO''s)'!S$8&lt;&gt;"",'Hulp (CAO''s)'!S$8,""), INDEX('Hulp (CAO''s)'!S$3:S$7, MATCH(TRUE, 'Hulp (CAO''s)'!$D$3:$D$7, 0))))</f>
        <v/>
      </c>
      <c r="P75" s="423" t="str">
        <f ca="1">IF($B75="", "", IF($BF78, IF('Hulp (CAO''s)'!T$8&lt;&gt;"",'Hulp (CAO''s)'!T$8,""), INDEX('Hulp (CAO''s)'!T$3:T$7, MATCH(TRUE, 'Hulp (CAO''s)'!$D$3:$D$7, 0))))</f>
        <v/>
      </c>
      <c r="Q75" s="423" t="str">
        <f ca="1">IF($B75="", "", IF($BF78, IF('Hulp (CAO''s)'!U$8&lt;&gt;"",'Hulp (CAO''s)'!U$8,""), INDEX('Hulp (CAO''s)'!U$3:U$7, MATCH(TRUE, 'Hulp (CAO''s)'!$D$3:$D$7, 0))))</f>
        <v/>
      </c>
      <c r="R75" s="423" t="str">
        <f ca="1">IF($B75="", "", IF($BF78, IF('Hulp (CAO''s)'!V$8&lt;&gt;"",'Hulp (CAO''s)'!V$8,""), INDEX('Hulp (CAO''s)'!V$3:V$7, MATCH(TRUE, 'Hulp (CAO''s)'!$D$3:$D$7, 0))))</f>
        <v/>
      </c>
      <c r="S75" s="423" t="str">
        <f ca="1">IF($B75="", "", IF($BF78, IF('Hulp (CAO''s)'!W$8&lt;&gt;"",'Hulp (CAO''s)'!W$8,""), INDEX('Hulp (CAO''s)'!W$3:W$7, MATCH(TRUE, 'Hulp (CAO''s)'!$D$3:$D$7, 0))))</f>
        <v/>
      </c>
      <c r="T75" s="423" t="str">
        <f ca="1">IF($B75="", "", IF($BF78, IF('Hulp (CAO''s)'!X$8&lt;&gt;"",'Hulp (CAO''s)'!X$8,""), INDEX('Hulp (CAO''s)'!X$3:X$7, MATCH(TRUE, 'Hulp (CAO''s)'!$D$3:$D$7, 0))))</f>
        <v/>
      </c>
      <c r="U75" s="424" t="str">
        <f ca="1">IF($B75="", "", IF($BF78, IF('Hulp (CAO''s)'!Y$8&lt;&gt;"",'Hulp (CAO''s)'!Y$8,""), INDEX('Hulp (CAO''s)'!Y$3:Y$7, MATCH(TRUE, 'Hulp (CAO''s)'!$D$3:$D$7, 0))))</f>
        <v/>
      </c>
      <c r="V75" s="417"/>
      <c r="W75" s="343"/>
      <c r="X75" s="617"/>
      <c r="Y75" s="343"/>
      <c r="Z75" s="329"/>
      <c r="AA75" s="320"/>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9" ht="16.05" customHeight="1" x14ac:dyDescent="0.45">
      <c r="A76" s="289"/>
      <c r="B76" s="343"/>
      <c r="C76" s="325" t="s">
        <v>779</v>
      </c>
      <c r="D76" s="772" t="s">
        <v>772</v>
      </c>
      <c r="E76" s="430" t="e">
        <f ca="1">IF($BF78, "", "% t.o.v. max salaris in de schaal")</f>
        <v>#VALUE!</v>
      </c>
      <c r="F76" s="615"/>
      <c r="G76" s="615"/>
      <c r="H76" s="615"/>
      <c r="I76" s="615"/>
      <c r="J76" s="615"/>
      <c r="K76" s="615"/>
      <c r="L76" s="615"/>
      <c r="M76" s="615"/>
      <c r="N76" s="615"/>
      <c r="O76" s="615"/>
      <c r="P76" s="615"/>
      <c r="Q76" s="615"/>
      <c r="R76" s="615"/>
      <c r="S76" s="615"/>
      <c r="T76" s="615"/>
      <c r="U76" s="616"/>
      <c r="V76" s="774" t="s">
        <v>884</v>
      </c>
      <c r="W76" s="332"/>
      <c r="X76" s="776" t="s">
        <v>882</v>
      </c>
      <c r="Y76" s="778" t="s">
        <v>883</v>
      </c>
      <c r="Z76" s="329"/>
      <c r="AA76" s="771" t="s">
        <v>780</v>
      </c>
      <c r="AB76" s="770" t="s">
        <v>1079</v>
      </c>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9" ht="16.05" customHeight="1" thickBot="1" x14ac:dyDescent="0.5">
      <c r="A77" s="289"/>
      <c r="B77" s="343"/>
      <c r="C77" s="325" t="s">
        <v>779</v>
      </c>
      <c r="D77" s="773"/>
      <c r="E77" s="431" t="e">
        <f ca="1">IF($BF78, "", "Trede (gemiddeld)")</f>
        <v>#VALUE!</v>
      </c>
      <c r="F77" s="737"/>
      <c r="G77" s="737"/>
      <c r="H77" s="737"/>
      <c r="I77" s="737"/>
      <c r="J77" s="737"/>
      <c r="K77" s="737"/>
      <c r="L77" s="737"/>
      <c r="M77" s="737"/>
      <c r="N77" s="737"/>
      <c r="O77" s="737"/>
      <c r="P77" s="737"/>
      <c r="Q77" s="737"/>
      <c r="R77" s="737"/>
      <c r="S77" s="737"/>
      <c r="T77" s="737"/>
      <c r="U77" s="740"/>
      <c r="V77" s="775"/>
      <c r="W77" s="294"/>
      <c r="X77" s="777"/>
      <c r="Y77" s="779"/>
      <c r="Z77" s="329"/>
      <c r="AA77" s="771"/>
      <c r="AB77" s="770"/>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9" ht="16.05" customHeight="1" thickBot="1" x14ac:dyDescent="0.5">
      <c r="A78" s="289"/>
      <c r="B78" s="343"/>
      <c r="C78" s="325" t="s">
        <v>779</v>
      </c>
      <c r="E78" s="432" t="str">
        <f>IFERROR(
   INDEX('Hulp (CAO''s)'!$I$3:$I$7, MATCH(TRUE, 'Hulp (CAO''s)'!$D$3:$D$7, 0)),
"")</f>
        <v>Bruto maandsalaris</v>
      </c>
      <c r="F78" s="425" t="e" cm="1">
        <f t="array" aca="1" ref="F78" ca="1">IF($BF78, IF(F75="","",
   INDEX(
      INDIRECT("'" &amp; 'Hulp (CAO''s)'!$AE$8 &amp; "'!" &amp;
               'Hulp (overig)'!$C$17 &amp; "1:" &amp;
               'Hulp (overig)'!$C$17 &amp; "1000"),
      MATCH(
         F75,
         INDIRECT("'" &amp; 'Hulp (CAO''s)'!$AE$8 &amp; "'!A1:A1000"),
         0
      )
   )
), IF($D76="Gebruik % van maximum salaris",
IF(
    OR(F75="",F76=""),
    "",
    MAX(
        INDIRECT(
            "'" &amp; 'Hulp (overig)'!$C$16 &amp; "'!" &amp;
            'Hulp (overig)'!$C$17 &amp;
            MATCH(F75, INDIRECT("'" &amp; 'Hulp (overig)'!$C$16 &amp; "'!A1:A1000"), 0) &amp;
            ":" &amp;
            'Hulp (overig)'!$C$17 &amp;
LOOKUP(
    2,
    1 / (
        (ROW(INDIRECT("'" &amp; 'Hulp (overig)'!$C$16 &amp; "'!B1:B1000")) &lt;
            IF(G75&lt;&gt;"",
               MATCH(G75, INDIRECT("'" &amp; 'Hulp (overig)'!$C$16 &amp; "'!A1:A1000"),0),
               1000
            )
        ) *
        (LEFT(TRIM(INDIRECT("'" &amp; 'Hulp (overig)'!$C$16 &amp; "'!B1:B1000")),1) &lt;&gt; "u")
    ),
    ROW(INDIRECT("'" &amp; 'Hulp (overig)'!$C$16 &amp; "'!B1:B1000"))
)
        )
    ) * F76
),
IF(F77="","",
IF(
    IFERROR(MIN(
        IF(
            (TRIM(INDIRECT("'" &amp; 'Hulp (overig)'!$C$16 &amp; "'!B1:B1000")) = TEXT(F77,"0")) *
            (ROW(INDIRECT("'" &amp; 'Hulp (overig)'!$C$16 &amp; "'!B1:B1000")) &gt;= MATCH(
                F75,
                INDIRECT("'" &amp; 'Hulp (overig)'!$C$16 &amp; "'!A1:A1000"),
                0
            )) *
            IF(
                G75="",
                1,
                (ROW(INDIRECT("'" &amp; 'Hulp (overig)'!$C$16 &amp; "'!B1:B1000")) &lt; MATCH(
                    G75,
                    INDIRECT("'" &amp; 'Hulp (overig)'!$C$16 &amp; "'!A1:A1000"),
                    0
                ))
            ),
            ROW(INDIRECT("'" &amp; 'Hulp (overig)'!$C$16 &amp; "'!B1:B1000"))
        )
    ),0) &lt; 1,
    "",
    IF(INDEX(
        INDIRECT("'" &amp; 'Hulp (overig)'!$C$16 &amp; "'!" &amp;
        'Hulp (overig)'!$C$17 &amp; "1:" &amp; 'Hulp (overig)'!$C$17 &amp; 1000
        ),
        IFERROR(MIN(
            IF(
                (TRIM(INDIRECT("'" &amp; 'Hulp (overig)'!$C$16 &amp; "'!B1:B1000")) = TEXT(F77,"0")) *
                (ROW(INDIRECT("'" &amp; 'Hulp (overig)'!$C$16 &amp; "'!B1:B1000")) &gt;= MATCH(
                    F75,
                    INDIRECT("'" &amp; 'Hulp (overig)'!$C$16 &amp; "'!A1:A1000"),
                    0
                )) *
                IF(
                    G75="",
                    1,
                    (ROW(INDIRECT("'" &amp; 'Hulp (overig)'!$C$16 &amp; "'!B1:B1000")) &lt; MATCH(
                        G75,
                        INDIRECT("'" &amp; 'Hulp (overig)'!$C$16 &amp; "'!A1:A1000"),
                        0
                    ))
                ),
                ROW(INDIRECT("'" &amp; 'Hulp (overig)'!$C$16 &amp; "'!B1:B1000"))
            )
        ),0)
    )=0,"",
INDEX(
        INDIRECT("'" &amp; 'Hulp (overig)'!$C$16 &amp; "'!" &amp;
        'Hulp (overig)'!$C$17 &amp; "1:" &amp; 'Hulp (overig)'!$C$17 &amp; 1000
        ),
        IFERROR(MIN(
            IF(
                (TRIM(INDIRECT("'" &amp; 'Hulp (overig)'!$C$16 &amp; "'!B1:B1000")) = TEXT(F77,"0")) *
                (ROW(INDIRECT("'" &amp; 'Hulp (overig)'!$C$16 &amp; "'!B1:B1000")) &gt;= MATCH(
                    F75,
                    INDIRECT("'" &amp; 'Hulp (overig)'!$C$16 &amp; "'!A1:A1000"),
                    0
                )) *
                IF(
                    G75="",
                    1,
                    (ROW(INDIRECT("'" &amp; 'Hulp (overig)'!$C$16 &amp; "'!B1:B1000")) &lt; MATCH(
                        G75,
                        INDIRECT("'" &amp; 'Hulp (overig)'!$C$16 &amp; "'!A1:A1000"),
                        0
                    ))
                ),
                ROW(INDIRECT("'" &amp; 'Hulp (overig)'!$C$16 &amp; "'!B1:B1000"))
            )
        ),0)
    ))
))))</f>
        <v>#VALUE!</v>
      </c>
      <c r="G78" s="425" t="e" cm="1">
        <f t="array" aca="1" ref="G78" ca="1">IF($BF78, IF(G75="","",
   INDEX(
      INDIRECT("'" &amp; 'Hulp (CAO''s)'!$AE$8 &amp; "'!" &amp;
               'Hulp (overig)'!$C$17 &amp; "1:" &amp;
               'Hulp (overig)'!$C$17 &amp; "1000"),
      MATCH(
         G75,
         INDIRECT("'" &amp; 'Hulp (CAO''s)'!$AE$8 &amp; "'!A1:A1000"),
         0
      )
   )
), IF($D76="Gebruik % van maximum salaris",
IF(
    OR(G75="",G76=""),
    "",
    MAX(
        INDIRECT(
            "'" &amp; 'Hulp (overig)'!$C$16 &amp; "'!" &amp;
            'Hulp (overig)'!$C$17 &amp;
            MATCH(G75, INDIRECT("'" &amp; 'Hulp (overig)'!$C$16 &amp; "'!A1:A1000"), 0) &amp;
            ":" &amp;
            'Hulp (overig)'!$C$17 &amp;
LOOKUP(
    2,
    1 / (
        (ROW(INDIRECT("'" &amp; 'Hulp (overig)'!$C$16 &amp; "'!B1:B1000")) &lt;
            IF(H75&lt;&gt;"",
               MATCH(H75, INDIRECT("'" &amp; 'Hulp (overig)'!$C$16 &amp; "'!A1:A1000"),0),
               1000
            )
        ) *
        (LEFT(TRIM(INDIRECT("'" &amp; 'Hulp (overig)'!$C$16 &amp; "'!B1:B1000")),1) &lt;&gt; "u")
    ),
    ROW(INDIRECT("'" &amp; 'Hulp (overig)'!$C$16 &amp; "'!B1:B1000"))
)
        )
    ) * G76
),
IF(G77="","",
IF(
    IFERROR(MIN(
        IF(
            (TRIM(INDIRECT("'" &amp; 'Hulp (overig)'!$C$16 &amp; "'!B1:B1000")) = TEXT(G77,"0")) *
            (ROW(INDIRECT("'" &amp; 'Hulp (overig)'!$C$16 &amp; "'!B1:B1000")) &gt;= MATCH(
                G75,
                INDIRECT("'" &amp; 'Hulp (overig)'!$C$16 &amp; "'!A1:A1000"),
                0
            )) *
            IF(
                H75="",
                1,
                (ROW(INDIRECT("'" &amp; 'Hulp (overig)'!$C$16 &amp; "'!B1:B1000")) &lt; MATCH(
                    H75,
                    INDIRECT("'" &amp; 'Hulp (overig)'!$C$16 &amp; "'!A1:A1000"),
                    0
                ))
            ),
            ROW(INDIRECT("'" &amp; 'Hulp (overig)'!$C$16 &amp; "'!B1:B1000"))
        )
    ),0) &lt; 1,
    "",
    IF(INDEX(
        INDIRECT("'" &amp; 'Hulp (overig)'!$C$16 &amp; "'!" &amp;
        'Hulp (overig)'!$C$17 &amp; "1:" &amp; 'Hulp (overig)'!$C$17 &amp; 1000
        ),
        IFERROR(MIN(
            IF(
                (TRIM(INDIRECT("'" &amp; 'Hulp (overig)'!$C$16 &amp; "'!B1:B1000")) = TEXT(G77,"0")) *
                (ROW(INDIRECT("'" &amp; 'Hulp (overig)'!$C$16 &amp; "'!B1:B1000")) &gt;= MATCH(
                    G75,
                    INDIRECT("'" &amp; 'Hulp (overig)'!$C$16 &amp; "'!A1:A1000"),
                    0
                )) *
                IF(
                    H75="",
                    1,
                    (ROW(INDIRECT("'" &amp; 'Hulp (overig)'!$C$16 &amp; "'!B1:B1000")) &lt; MATCH(
                        H75,
                        INDIRECT("'" &amp; 'Hulp (overig)'!$C$16 &amp; "'!A1:A1000"),
                        0
                    ))
                ),
                ROW(INDIRECT("'" &amp; 'Hulp (overig)'!$C$16 &amp; "'!B1:B1000"))
            )
        ),0)
    )=0,"",
INDEX(
        INDIRECT("'" &amp; 'Hulp (overig)'!$C$16 &amp; "'!" &amp;
        'Hulp (overig)'!$C$17 &amp; "1:" &amp; 'Hulp (overig)'!$C$17 &amp; 1000
        ),
        IFERROR(MIN(
            IF(
                (TRIM(INDIRECT("'" &amp; 'Hulp (overig)'!$C$16 &amp; "'!B1:B1000")) = TEXT(G77,"0")) *
                (ROW(INDIRECT("'" &amp; 'Hulp (overig)'!$C$16 &amp; "'!B1:B1000")) &gt;= MATCH(
                    G75,
                    INDIRECT("'" &amp; 'Hulp (overig)'!$C$16 &amp; "'!A1:A1000"),
                    0
                )) *
                IF(
                    H75="",
                    1,
                    (ROW(INDIRECT("'" &amp; 'Hulp (overig)'!$C$16 &amp; "'!B1:B1000")) &lt; MATCH(
                        H75,
                        INDIRECT("'" &amp; 'Hulp (overig)'!$C$16 &amp; "'!A1:A1000"),
                        0
                    ))
                ),
                ROW(INDIRECT("'" &amp; 'Hulp (overig)'!$C$16 &amp; "'!B1:B1000"))
            )
        ),0)
    ))
))))</f>
        <v>#VALUE!</v>
      </c>
      <c r="H78" s="425" t="e" cm="1">
        <f t="array" aca="1" ref="H78" ca="1">IF($BF78, IF(H75="","",
   INDEX(
      INDIRECT("'" &amp; 'Hulp (CAO''s)'!$AE$8 &amp; "'!" &amp;
               'Hulp (overig)'!$C$17 &amp; "1:" &amp;
               'Hulp (overig)'!$C$17 &amp; "1000"),
      MATCH(
         H75,
         INDIRECT("'" &amp; 'Hulp (CAO''s)'!$AE$8 &amp; "'!A1:A1000"),
         0
      )
   )
), IF($D76="Gebruik % van maximum salaris",
IF(
    OR(H75="",H76=""),
    "",
    MAX(
        INDIRECT(
            "'" &amp; 'Hulp (overig)'!$C$16 &amp; "'!" &amp;
            'Hulp (overig)'!$C$17 &amp;
            MATCH(H75, INDIRECT("'" &amp; 'Hulp (overig)'!$C$16 &amp; "'!A1:A1000"), 0) &amp;
            ":" &amp;
            'Hulp (overig)'!$C$17 &amp;
LOOKUP(
    2,
    1 / (
        (ROW(INDIRECT("'" &amp; 'Hulp (overig)'!$C$16 &amp; "'!B1:B1000")) &lt;
            IF(I75&lt;&gt;"",
               MATCH(I75, INDIRECT("'" &amp; 'Hulp (overig)'!$C$16 &amp; "'!A1:A1000"),0),
               1000
            )
        ) *
        (LEFT(TRIM(INDIRECT("'" &amp; 'Hulp (overig)'!$C$16 &amp; "'!B1:B1000")),1) &lt;&gt; "u")
    ),
    ROW(INDIRECT("'" &amp; 'Hulp (overig)'!$C$16 &amp; "'!B1:B1000"))
)
        )
    ) * H76
),
IF(H77="","",
IF(
    IFERROR(MIN(
        IF(
            (TRIM(INDIRECT("'" &amp; 'Hulp (overig)'!$C$16 &amp; "'!B1:B1000")) = TEXT(H77,"0")) *
            (ROW(INDIRECT("'" &amp; 'Hulp (overig)'!$C$16 &amp; "'!B1:B1000")) &gt;= MATCH(
                H75,
                INDIRECT("'" &amp; 'Hulp (overig)'!$C$16 &amp; "'!A1:A1000"),
                0
            )) *
            IF(
                I75="",
                1,
                (ROW(INDIRECT("'" &amp; 'Hulp (overig)'!$C$16 &amp; "'!B1:B1000")) &lt; MATCH(
                    I75,
                    INDIRECT("'" &amp; 'Hulp (overig)'!$C$16 &amp; "'!A1:A1000"),
                    0
                ))
            ),
            ROW(INDIRECT("'" &amp; 'Hulp (overig)'!$C$16 &amp; "'!B1:B1000"))
        )
    ),0) &lt; 1,
    "",
    IF(INDEX(
        INDIRECT("'" &amp; 'Hulp (overig)'!$C$16 &amp; "'!" &amp;
        'Hulp (overig)'!$C$17 &amp; "1:" &amp; 'Hulp (overig)'!$C$17 &amp; 1000
        ),
        IFERROR(MIN(
            IF(
                (TRIM(INDIRECT("'" &amp; 'Hulp (overig)'!$C$16 &amp; "'!B1:B1000")) = TEXT(H77,"0")) *
                (ROW(INDIRECT("'" &amp; 'Hulp (overig)'!$C$16 &amp; "'!B1:B1000")) &gt;= MATCH(
                    H75,
                    INDIRECT("'" &amp; 'Hulp (overig)'!$C$16 &amp; "'!A1:A1000"),
                    0
                )) *
                IF(
                    I75="",
                    1,
                    (ROW(INDIRECT("'" &amp; 'Hulp (overig)'!$C$16 &amp; "'!B1:B1000")) &lt; MATCH(
                        I75,
                        INDIRECT("'" &amp; 'Hulp (overig)'!$C$16 &amp; "'!A1:A1000"),
                        0
                    ))
                ),
                ROW(INDIRECT("'" &amp; 'Hulp (overig)'!$C$16 &amp; "'!B1:B1000"))
            )
        ),0)
    )=0,"",
INDEX(
        INDIRECT("'" &amp; 'Hulp (overig)'!$C$16 &amp; "'!" &amp;
        'Hulp (overig)'!$C$17 &amp; "1:" &amp; 'Hulp (overig)'!$C$17 &amp; 1000
        ),
        IFERROR(MIN(
            IF(
                (TRIM(INDIRECT("'" &amp; 'Hulp (overig)'!$C$16 &amp; "'!B1:B1000")) = TEXT(H77,"0")) *
                (ROW(INDIRECT("'" &amp; 'Hulp (overig)'!$C$16 &amp; "'!B1:B1000")) &gt;= MATCH(
                    H75,
                    INDIRECT("'" &amp; 'Hulp (overig)'!$C$16 &amp; "'!A1:A1000"),
                    0
                )) *
                IF(
                    I75="",
                    1,
                    (ROW(INDIRECT("'" &amp; 'Hulp (overig)'!$C$16 &amp; "'!B1:B1000")) &lt; MATCH(
                        I75,
                        INDIRECT("'" &amp; 'Hulp (overig)'!$C$16 &amp; "'!A1:A1000"),
                        0
                    ))
                ),
                ROW(INDIRECT("'" &amp; 'Hulp (overig)'!$C$16 &amp; "'!B1:B1000"))
            )
        ),0)
    ))
))))</f>
        <v>#VALUE!</v>
      </c>
      <c r="I78" s="425" t="e" cm="1">
        <f t="array" aca="1" ref="I78" ca="1">IF($BF78, IF(I75="","",
   INDEX(
      INDIRECT("'" &amp; 'Hulp (CAO''s)'!$AE$8 &amp; "'!" &amp;
               'Hulp (overig)'!$C$17 &amp; "1:" &amp;
               'Hulp (overig)'!$C$17 &amp; "1000"),
      MATCH(
         I75,
         INDIRECT("'" &amp; 'Hulp (CAO''s)'!$AE$8 &amp; "'!A1:A1000"),
         0
      )
   )
), IF($D76="Gebruik % van maximum salaris",
IF(
    OR(I75="",I76=""),
    "",
    MAX(
        INDIRECT(
            "'" &amp; 'Hulp (overig)'!$C$16 &amp; "'!" &amp;
            'Hulp (overig)'!$C$17 &amp;
            MATCH(I75, INDIRECT("'" &amp; 'Hulp (overig)'!$C$16 &amp; "'!A1:A1000"), 0) &amp;
            ":" &amp;
            'Hulp (overig)'!$C$17 &amp;
LOOKUP(
    2,
    1 / (
        (ROW(INDIRECT("'" &amp; 'Hulp (overig)'!$C$16 &amp; "'!B1:B1000")) &lt;
            IF(J75&lt;&gt;"",
               MATCH(J75, INDIRECT("'" &amp; 'Hulp (overig)'!$C$16 &amp; "'!A1:A1000"),0),
               1000
            )
        ) *
        (LEFT(TRIM(INDIRECT("'" &amp; 'Hulp (overig)'!$C$16 &amp; "'!B1:B1000")),1) &lt;&gt; "u")
    ),
    ROW(INDIRECT("'" &amp; 'Hulp (overig)'!$C$16 &amp; "'!B1:B1000"))
)
        )
    ) * I76
),
IF(I77="","",
IF(
    IFERROR(MIN(
        IF(
            (TRIM(INDIRECT("'" &amp; 'Hulp (overig)'!$C$16 &amp; "'!B1:B1000")) = TEXT(I77,"0")) *
            (ROW(INDIRECT("'" &amp; 'Hulp (overig)'!$C$16 &amp; "'!B1:B1000")) &gt;= MATCH(
                I75,
                INDIRECT("'" &amp; 'Hulp (overig)'!$C$16 &amp; "'!A1:A1000"),
                0
            )) *
            IF(
                J75="",
                1,
                (ROW(INDIRECT("'" &amp; 'Hulp (overig)'!$C$16 &amp; "'!B1:B1000")) &lt; MATCH(
                    J75,
                    INDIRECT("'" &amp; 'Hulp (overig)'!$C$16 &amp; "'!A1:A1000"),
                    0
                ))
            ),
            ROW(INDIRECT("'" &amp; 'Hulp (overig)'!$C$16 &amp; "'!B1:B1000"))
        )
    ),0) &lt; 1,
    "",
    IF(INDEX(
        INDIRECT("'" &amp; 'Hulp (overig)'!$C$16 &amp; "'!" &amp;
        'Hulp (overig)'!$C$17 &amp; "1:" &amp; 'Hulp (overig)'!$C$17 &amp; 1000
        ),
        IFERROR(MIN(
            IF(
                (TRIM(INDIRECT("'" &amp; 'Hulp (overig)'!$C$16 &amp; "'!B1:B1000")) = TEXT(I77,"0")) *
                (ROW(INDIRECT("'" &amp; 'Hulp (overig)'!$C$16 &amp; "'!B1:B1000")) &gt;= MATCH(
                    I75,
                    INDIRECT("'" &amp; 'Hulp (overig)'!$C$16 &amp; "'!A1:A1000"),
                    0
                )) *
                IF(
                    J75="",
                    1,
                    (ROW(INDIRECT("'" &amp; 'Hulp (overig)'!$C$16 &amp; "'!B1:B1000")) &lt; MATCH(
                        J75,
                        INDIRECT("'" &amp; 'Hulp (overig)'!$C$16 &amp; "'!A1:A1000"),
                        0
                    ))
                ),
                ROW(INDIRECT("'" &amp; 'Hulp (overig)'!$C$16 &amp; "'!B1:B1000"))
            )
        ),0)
    )=0,"",
INDEX(
        INDIRECT("'" &amp; 'Hulp (overig)'!$C$16 &amp; "'!" &amp;
        'Hulp (overig)'!$C$17 &amp; "1:" &amp; 'Hulp (overig)'!$C$17 &amp; 1000
        ),
        IFERROR(MIN(
            IF(
                (TRIM(INDIRECT("'" &amp; 'Hulp (overig)'!$C$16 &amp; "'!B1:B1000")) = TEXT(I77,"0")) *
                (ROW(INDIRECT("'" &amp; 'Hulp (overig)'!$C$16 &amp; "'!B1:B1000")) &gt;= MATCH(
                    I75,
                    INDIRECT("'" &amp; 'Hulp (overig)'!$C$16 &amp; "'!A1:A1000"),
                    0
                )) *
                IF(
                    J75="",
                    1,
                    (ROW(INDIRECT("'" &amp; 'Hulp (overig)'!$C$16 &amp; "'!B1:B1000")) &lt; MATCH(
                        J75,
                        INDIRECT("'" &amp; 'Hulp (overig)'!$C$16 &amp; "'!A1:A1000"),
                        0
                    ))
                ),
                ROW(INDIRECT("'" &amp; 'Hulp (overig)'!$C$16 &amp; "'!B1:B1000"))
            )
        ),0)
    ))
))))</f>
        <v>#VALUE!</v>
      </c>
      <c r="J78" s="425" t="e" cm="1">
        <f t="array" aca="1" ref="J78" ca="1">IF($BF78, IF(J75="","",
   INDEX(
      INDIRECT("'" &amp; 'Hulp (CAO''s)'!$AE$8 &amp; "'!" &amp;
               'Hulp (overig)'!$C$17 &amp; "1:" &amp;
               'Hulp (overig)'!$C$17 &amp; "1000"),
      MATCH(
         J75,
         INDIRECT("'" &amp; 'Hulp (CAO''s)'!$AE$8 &amp; "'!A1:A1000"),
         0
      )
   )
), IF($D76="Gebruik % van maximum salaris",
IF(
    OR(J75="",J76=""),
    "",
    MAX(
        INDIRECT(
            "'" &amp; 'Hulp (overig)'!$C$16 &amp; "'!" &amp;
            'Hulp (overig)'!$C$17 &amp;
            MATCH(J75, INDIRECT("'" &amp; 'Hulp (overig)'!$C$16 &amp; "'!A1:A1000"), 0) &amp;
            ":" &amp;
            'Hulp (overig)'!$C$17 &amp;
LOOKUP(
    2,
    1 / (
        (ROW(INDIRECT("'" &amp; 'Hulp (overig)'!$C$16 &amp; "'!B1:B1000")) &lt;
            IF(K75&lt;&gt;"",
               MATCH(K75, INDIRECT("'" &amp; 'Hulp (overig)'!$C$16 &amp; "'!A1:A1000"),0),
               1000
            )
        ) *
        (LEFT(TRIM(INDIRECT("'" &amp; 'Hulp (overig)'!$C$16 &amp; "'!B1:B1000")),1) &lt;&gt; "u")
    ),
    ROW(INDIRECT("'" &amp; 'Hulp (overig)'!$C$16 &amp; "'!B1:B1000"))
)
        )
    ) * J76
),
IF(J77="","",
IF(
    IFERROR(MIN(
        IF(
            (TRIM(INDIRECT("'" &amp; 'Hulp (overig)'!$C$16 &amp; "'!B1:B1000")) = TEXT(J77,"0")) *
            (ROW(INDIRECT("'" &amp; 'Hulp (overig)'!$C$16 &amp; "'!B1:B1000")) &gt;= MATCH(
                J75,
                INDIRECT("'" &amp; 'Hulp (overig)'!$C$16 &amp; "'!A1:A1000"),
                0
            )) *
            IF(
                K75="",
                1,
                (ROW(INDIRECT("'" &amp; 'Hulp (overig)'!$C$16 &amp; "'!B1:B1000")) &lt; MATCH(
                    K75,
                    INDIRECT("'" &amp; 'Hulp (overig)'!$C$16 &amp; "'!A1:A1000"),
                    0
                ))
            ),
            ROW(INDIRECT("'" &amp; 'Hulp (overig)'!$C$16 &amp; "'!B1:B1000"))
        )
    ),0) &lt; 1,
    "",
    IF(INDEX(
        INDIRECT("'" &amp; 'Hulp (overig)'!$C$16 &amp; "'!" &amp;
        'Hulp (overig)'!$C$17 &amp; "1:" &amp; 'Hulp (overig)'!$C$17 &amp; 1000
        ),
        IFERROR(MIN(
            IF(
                (TRIM(INDIRECT("'" &amp; 'Hulp (overig)'!$C$16 &amp; "'!B1:B1000")) = TEXT(J77,"0")) *
                (ROW(INDIRECT("'" &amp; 'Hulp (overig)'!$C$16 &amp; "'!B1:B1000")) &gt;= MATCH(
                    J75,
                    INDIRECT("'" &amp; 'Hulp (overig)'!$C$16 &amp; "'!A1:A1000"),
                    0
                )) *
                IF(
                    K75="",
                    1,
                    (ROW(INDIRECT("'" &amp; 'Hulp (overig)'!$C$16 &amp; "'!B1:B1000")) &lt; MATCH(
                        K75,
                        INDIRECT("'" &amp; 'Hulp (overig)'!$C$16 &amp; "'!A1:A1000"),
                        0
                    ))
                ),
                ROW(INDIRECT("'" &amp; 'Hulp (overig)'!$C$16 &amp; "'!B1:B1000"))
            )
        ),0)
    )=0,"",
INDEX(
        INDIRECT("'" &amp; 'Hulp (overig)'!$C$16 &amp; "'!" &amp;
        'Hulp (overig)'!$C$17 &amp; "1:" &amp; 'Hulp (overig)'!$C$17 &amp; 1000
        ),
        IFERROR(MIN(
            IF(
                (TRIM(INDIRECT("'" &amp; 'Hulp (overig)'!$C$16 &amp; "'!B1:B1000")) = TEXT(J77,"0")) *
                (ROW(INDIRECT("'" &amp; 'Hulp (overig)'!$C$16 &amp; "'!B1:B1000")) &gt;= MATCH(
                    J75,
                    INDIRECT("'" &amp; 'Hulp (overig)'!$C$16 &amp; "'!A1:A1000"),
                    0
                )) *
                IF(
                    K75="",
                    1,
                    (ROW(INDIRECT("'" &amp; 'Hulp (overig)'!$C$16 &amp; "'!B1:B1000")) &lt; MATCH(
                        K75,
                        INDIRECT("'" &amp; 'Hulp (overig)'!$C$16 &amp; "'!A1:A1000"),
                        0
                    ))
                ),
                ROW(INDIRECT("'" &amp; 'Hulp (overig)'!$C$16 &amp; "'!B1:B1000"))
            )
        ),0)
    ))
))))</f>
        <v>#VALUE!</v>
      </c>
      <c r="K78" s="425" t="e" cm="1">
        <f t="array" aca="1" ref="K78" ca="1">IF($BF78, IF(K75="","",
   INDEX(
      INDIRECT("'" &amp; 'Hulp (CAO''s)'!$AE$8 &amp; "'!" &amp;
               'Hulp (overig)'!$C$17 &amp; "1:" &amp;
               'Hulp (overig)'!$C$17 &amp; "1000"),
      MATCH(
         K75,
         INDIRECT("'" &amp; 'Hulp (CAO''s)'!$AE$8 &amp; "'!A1:A1000"),
         0
      )
   )
), IF($D76="Gebruik % van maximum salaris",
IF(
    OR(K75="",K76=""),
    "",
    MAX(
        INDIRECT(
            "'" &amp; 'Hulp (overig)'!$C$16 &amp; "'!" &amp;
            'Hulp (overig)'!$C$17 &amp;
            MATCH(K75, INDIRECT("'" &amp; 'Hulp (overig)'!$C$16 &amp; "'!A1:A1000"), 0) &amp;
            ":" &amp;
            'Hulp (overig)'!$C$17 &amp;
LOOKUP(
    2,
    1 / (
        (ROW(INDIRECT("'" &amp; 'Hulp (overig)'!$C$16 &amp; "'!B1:B1000")) &lt;
            IF(L75&lt;&gt;"",
               MATCH(L75, INDIRECT("'" &amp; 'Hulp (overig)'!$C$16 &amp; "'!A1:A1000"),0),
               1000
            )
        ) *
        (LEFT(TRIM(INDIRECT("'" &amp; 'Hulp (overig)'!$C$16 &amp; "'!B1:B1000")),1) &lt;&gt; "u")
    ),
    ROW(INDIRECT("'" &amp; 'Hulp (overig)'!$C$16 &amp; "'!B1:B1000"))
)
        )
    ) * K76
),
IF(K77="","",
IF(
    IFERROR(MIN(
        IF(
            (TRIM(INDIRECT("'" &amp; 'Hulp (overig)'!$C$16 &amp; "'!B1:B1000")) = TEXT(K77,"0")) *
            (ROW(INDIRECT("'" &amp; 'Hulp (overig)'!$C$16 &amp; "'!B1:B1000")) &gt;= MATCH(
                K75,
                INDIRECT("'" &amp; 'Hulp (overig)'!$C$16 &amp; "'!A1:A1000"),
                0
            )) *
            IF(
                L75="",
                1,
                (ROW(INDIRECT("'" &amp; 'Hulp (overig)'!$C$16 &amp; "'!B1:B1000")) &lt; MATCH(
                    L75,
                    INDIRECT("'" &amp; 'Hulp (overig)'!$C$16 &amp; "'!A1:A1000"),
                    0
                ))
            ),
            ROW(INDIRECT("'" &amp; 'Hulp (overig)'!$C$16 &amp; "'!B1:B1000"))
        )
    ),0) &lt; 1,
    "",
    IF(INDEX(
        INDIRECT("'" &amp; 'Hulp (overig)'!$C$16 &amp; "'!" &amp;
        'Hulp (overig)'!$C$17 &amp; "1:" &amp; 'Hulp (overig)'!$C$17 &amp; 1000
        ),
        IFERROR(MIN(
            IF(
                (TRIM(INDIRECT("'" &amp; 'Hulp (overig)'!$C$16 &amp; "'!B1:B1000")) = TEXT(K77,"0")) *
                (ROW(INDIRECT("'" &amp; 'Hulp (overig)'!$C$16 &amp; "'!B1:B1000")) &gt;= MATCH(
                    K75,
                    INDIRECT("'" &amp; 'Hulp (overig)'!$C$16 &amp; "'!A1:A1000"),
                    0
                )) *
                IF(
                    L75="",
                    1,
                    (ROW(INDIRECT("'" &amp; 'Hulp (overig)'!$C$16 &amp; "'!B1:B1000")) &lt; MATCH(
                        L75,
                        INDIRECT("'" &amp; 'Hulp (overig)'!$C$16 &amp; "'!A1:A1000"),
                        0
                    ))
                ),
                ROW(INDIRECT("'" &amp; 'Hulp (overig)'!$C$16 &amp; "'!B1:B1000"))
            )
        ),0)
    )=0,"",
INDEX(
        INDIRECT("'" &amp; 'Hulp (overig)'!$C$16 &amp; "'!" &amp;
        'Hulp (overig)'!$C$17 &amp; "1:" &amp; 'Hulp (overig)'!$C$17 &amp; 1000
        ),
        IFERROR(MIN(
            IF(
                (TRIM(INDIRECT("'" &amp; 'Hulp (overig)'!$C$16 &amp; "'!B1:B1000")) = TEXT(K77,"0")) *
                (ROW(INDIRECT("'" &amp; 'Hulp (overig)'!$C$16 &amp; "'!B1:B1000")) &gt;= MATCH(
                    K75,
                    INDIRECT("'" &amp; 'Hulp (overig)'!$C$16 &amp; "'!A1:A1000"),
                    0
                )) *
                IF(
                    L75="",
                    1,
                    (ROW(INDIRECT("'" &amp; 'Hulp (overig)'!$C$16 &amp; "'!B1:B1000")) &lt; MATCH(
                        L75,
                        INDIRECT("'" &amp; 'Hulp (overig)'!$C$16 &amp; "'!A1:A1000"),
                        0
                    ))
                ),
                ROW(INDIRECT("'" &amp; 'Hulp (overig)'!$C$16 &amp; "'!B1:B1000"))
            )
        ),0)
    ))
))))</f>
        <v>#VALUE!</v>
      </c>
      <c r="L78" s="425" t="e" cm="1">
        <f t="array" aca="1" ref="L78" ca="1">IF($BF78, IF(L75="","",
   INDEX(
      INDIRECT("'" &amp; 'Hulp (CAO''s)'!$AE$8 &amp; "'!" &amp;
               'Hulp (overig)'!$C$17 &amp; "1:" &amp;
               'Hulp (overig)'!$C$17 &amp; "1000"),
      MATCH(
         L75,
         INDIRECT("'" &amp; 'Hulp (CAO''s)'!$AE$8 &amp; "'!A1:A1000"),
         0
      )
   )
), IF($D76="Gebruik % van maximum salaris",
IF(
    OR(L75="",L76=""),
    "",
    MAX(
        INDIRECT(
            "'" &amp; 'Hulp (overig)'!$C$16 &amp; "'!" &amp;
            'Hulp (overig)'!$C$17 &amp;
            MATCH(L75, INDIRECT("'" &amp; 'Hulp (overig)'!$C$16 &amp; "'!A1:A1000"), 0) &amp;
            ":" &amp;
            'Hulp (overig)'!$C$17 &amp;
LOOKUP(
    2,
    1 / (
        (ROW(INDIRECT("'" &amp; 'Hulp (overig)'!$C$16 &amp; "'!B1:B1000")) &lt;
            IF(M75&lt;&gt;"",
               MATCH(M75, INDIRECT("'" &amp; 'Hulp (overig)'!$C$16 &amp; "'!A1:A1000"),0),
               1000
            )
        ) *
        (LEFT(TRIM(INDIRECT("'" &amp; 'Hulp (overig)'!$C$16 &amp; "'!B1:B1000")),1) &lt;&gt; "u")
    ),
    ROW(INDIRECT("'" &amp; 'Hulp (overig)'!$C$16 &amp; "'!B1:B1000"))
)
        )
    ) * L76
),
IF(L77="","",
IF(
    IFERROR(MIN(
        IF(
            (TRIM(INDIRECT("'" &amp; 'Hulp (overig)'!$C$16 &amp; "'!B1:B1000")) = TEXT(L77,"0")) *
            (ROW(INDIRECT("'" &amp; 'Hulp (overig)'!$C$16 &amp; "'!B1:B1000")) &gt;= MATCH(
                L75,
                INDIRECT("'" &amp; 'Hulp (overig)'!$C$16 &amp; "'!A1:A1000"),
                0
            )) *
            IF(
                M75="",
                1,
                (ROW(INDIRECT("'" &amp; 'Hulp (overig)'!$C$16 &amp; "'!B1:B1000")) &lt; MATCH(
                    M75,
                    INDIRECT("'" &amp; 'Hulp (overig)'!$C$16 &amp; "'!A1:A1000"),
                    0
                ))
            ),
            ROW(INDIRECT("'" &amp; 'Hulp (overig)'!$C$16 &amp; "'!B1:B1000"))
        )
    ),0) &lt; 1,
    "",
    IF(INDEX(
        INDIRECT("'" &amp; 'Hulp (overig)'!$C$16 &amp; "'!" &amp;
        'Hulp (overig)'!$C$17 &amp; "1:" &amp; 'Hulp (overig)'!$C$17 &amp; 1000
        ),
        IFERROR(MIN(
            IF(
                (TRIM(INDIRECT("'" &amp; 'Hulp (overig)'!$C$16 &amp; "'!B1:B1000")) = TEXT(L77,"0")) *
                (ROW(INDIRECT("'" &amp; 'Hulp (overig)'!$C$16 &amp; "'!B1:B1000")) &gt;= MATCH(
                    L75,
                    INDIRECT("'" &amp; 'Hulp (overig)'!$C$16 &amp; "'!A1:A1000"),
                    0
                )) *
                IF(
                    M75="",
                    1,
                    (ROW(INDIRECT("'" &amp; 'Hulp (overig)'!$C$16 &amp; "'!B1:B1000")) &lt; MATCH(
                        M75,
                        INDIRECT("'" &amp; 'Hulp (overig)'!$C$16 &amp; "'!A1:A1000"),
                        0
                    ))
                ),
                ROW(INDIRECT("'" &amp; 'Hulp (overig)'!$C$16 &amp; "'!B1:B1000"))
            )
        ),0)
    )=0,"",
INDEX(
        INDIRECT("'" &amp; 'Hulp (overig)'!$C$16 &amp; "'!" &amp;
        'Hulp (overig)'!$C$17 &amp; "1:" &amp; 'Hulp (overig)'!$C$17 &amp; 1000
        ),
        IFERROR(MIN(
            IF(
                (TRIM(INDIRECT("'" &amp; 'Hulp (overig)'!$C$16 &amp; "'!B1:B1000")) = TEXT(L77,"0")) *
                (ROW(INDIRECT("'" &amp; 'Hulp (overig)'!$C$16 &amp; "'!B1:B1000")) &gt;= MATCH(
                    L75,
                    INDIRECT("'" &amp; 'Hulp (overig)'!$C$16 &amp; "'!A1:A1000"),
                    0
                )) *
                IF(
                    M75="",
                    1,
                    (ROW(INDIRECT("'" &amp; 'Hulp (overig)'!$C$16 &amp; "'!B1:B1000")) &lt; MATCH(
                        M75,
                        INDIRECT("'" &amp; 'Hulp (overig)'!$C$16 &amp; "'!A1:A1000"),
                        0
                    ))
                ),
                ROW(INDIRECT("'" &amp; 'Hulp (overig)'!$C$16 &amp; "'!B1:B1000"))
            )
        ),0)
    ))
))))</f>
        <v>#VALUE!</v>
      </c>
      <c r="M78" s="425" t="e" cm="1">
        <f t="array" aca="1" ref="M78" ca="1">IF($BF78, IF(M75="","",
   INDEX(
      INDIRECT("'" &amp; 'Hulp (CAO''s)'!$AE$8 &amp; "'!" &amp;
               'Hulp (overig)'!$C$17 &amp; "1:" &amp;
               'Hulp (overig)'!$C$17 &amp; "1000"),
      MATCH(
         M75,
         INDIRECT("'" &amp; 'Hulp (CAO''s)'!$AE$8 &amp; "'!A1:A1000"),
         0
      )
   )
), IF($D76="Gebruik % van maximum salaris",
IF(
    OR(M75="",M76=""),
    "",
    MAX(
        INDIRECT(
            "'" &amp; 'Hulp (overig)'!$C$16 &amp; "'!" &amp;
            'Hulp (overig)'!$C$17 &amp;
            MATCH(M75, INDIRECT("'" &amp; 'Hulp (overig)'!$C$16 &amp; "'!A1:A1000"), 0) &amp;
            ":" &amp;
            'Hulp (overig)'!$C$17 &amp;
LOOKUP(
    2,
    1 / (
        (ROW(INDIRECT("'" &amp; 'Hulp (overig)'!$C$16 &amp; "'!B1:B1000")) &lt;
            IF(N75&lt;&gt;"",
               MATCH(N75, INDIRECT("'" &amp; 'Hulp (overig)'!$C$16 &amp; "'!A1:A1000"),0),
               1000
            )
        ) *
        (LEFT(TRIM(INDIRECT("'" &amp; 'Hulp (overig)'!$C$16 &amp; "'!B1:B1000")),1) &lt;&gt; "u")
    ),
    ROW(INDIRECT("'" &amp; 'Hulp (overig)'!$C$16 &amp; "'!B1:B1000"))
)
        )
    ) * M76
),
IF(M77="","",
IF(
    IFERROR(MIN(
        IF(
            (TRIM(INDIRECT("'" &amp; 'Hulp (overig)'!$C$16 &amp; "'!B1:B1000")) = TEXT(M77,"0")) *
            (ROW(INDIRECT("'" &amp; 'Hulp (overig)'!$C$16 &amp; "'!B1:B1000")) &gt;= MATCH(
                M75,
                INDIRECT("'" &amp; 'Hulp (overig)'!$C$16 &amp; "'!A1:A1000"),
                0
            )) *
            IF(
                N75="",
                1,
                (ROW(INDIRECT("'" &amp; 'Hulp (overig)'!$C$16 &amp; "'!B1:B1000")) &lt; MATCH(
                    N75,
                    INDIRECT("'" &amp; 'Hulp (overig)'!$C$16 &amp; "'!A1:A1000"),
                    0
                ))
            ),
            ROW(INDIRECT("'" &amp; 'Hulp (overig)'!$C$16 &amp; "'!B1:B1000"))
        )
    ),0) &lt; 1,
    "",
    IF(INDEX(
        INDIRECT("'" &amp; 'Hulp (overig)'!$C$16 &amp; "'!" &amp;
        'Hulp (overig)'!$C$17 &amp; "1:" &amp; 'Hulp (overig)'!$C$17 &amp; 1000
        ),
        IFERROR(MIN(
            IF(
                (TRIM(INDIRECT("'" &amp; 'Hulp (overig)'!$C$16 &amp; "'!B1:B1000")) = TEXT(M77,"0")) *
                (ROW(INDIRECT("'" &amp; 'Hulp (overig)'!$C$16 &amp; "'!B1:B1000")) &gt;= MATCH(
                    M75,
                    INDIRECT("'" &amp; 'Hulp (overig)'!$C$16 &amp; "'!A1:A1000"),
                    0
                )) *
                IF(
                    N75="",
                    1,
                    (ROW(INDIRECT("'" &amp; 'Hulp (overig)'!$C$16 &amp; "'!B1:B1000")) &lt; MATCH(
                        N75,
                        INDIRECT("'" &amp; 'Hulp (overig)'!$C$16 &amp; "'!A1:A1000"),
                        0
                    ))
                ),
                ROW(INDIRECT("'" &amp; 'Hulp (overig)'!$C$16 &amp; "'!B1:B1000"))
            )
        ),0)
    )=0,"",
INDEX(
        INDIRECT("'" &amp; 'Hulp (overig)'!$C$16 &amp; "'!" &amp;
        'Hulp (overig)'!$C$17 &amp; "1:" &amp; 'Hulp (overig)'!$C$17 &amp; 1000
        ),
        IFERROR(MIN(
            IF(
                (TRIM(INDIRECT("'" &amp; 'Hulp (overig)'!$C$16 &amp; "'!B1:B1000")) = TEXT(M77,"0")) *
                (ROW(INDIRECT("'" &amp; 'Hulp (overig)'!$C$16 &amp; "'!B1:B1000")) &gt;= MATCH(
                    M75,
                    INDIRECT("'" &amp; 'Hulp (overig)'!$C$16 &amp; "'!A1:A1000"),
                    0
                )) *
                IF(
                    N75="",
                    1,
                    (ROW(INDIRECT("'" &amp; 'Hulp (overig)'!$C$16 &amp; "'!B1:B1000")) &lt; MATCH(
                        N75,
                        INDIRECT("'" &amp; 'Hulp (overig)'!$C$16 &amp; "'!A1:A1000"),
                        0
                    ))
                ),
                ROW(INDIRECT("'" &amp; 'Hulp (overig)'!$C$16 &amp; "'!B1:B1000"))
            )
        ),0)
    ))
))))</f>
        <v>#VALUE!</v>
      </c>
      <c r="N78" s="425" t="e" cm="1">
        <f t="array" aca="1" ref="N78" ca="1">IF($BF78, IF(N75="","",
   INDEX(
      INDIRECT("'" &amp; 'Hulp (CAO''s)'!$AE$8 &amp; "'!" &amp;
               'Hulp (overig)'!$C$17 &amp; "1:" &amp;
               'Hulp (overig)'!$C$17 &amp; "1000"),
      MATCH(
         N75,
         INDIRECT("'" &amp; 'Hulp (CAO''s)'!$AE$8 &amp; "'!A1:A1000"),
         0
      )
   )
), IF($D76="Gebruik % van maximum salaris",
IF(
    OR(N75="",N76=""),
    "",
    MAX(
        INDIRECT(
            "'" &amp; 'Hulp (overig)'!$C$16 &amp; "'!" &amp;
            'Hulp (overig)'!$C$17 &amp;
            MATCH(N75, INDIRECT("'" &amp; 'Hulp (overig)'!$C$16 &amp; "'!A1:A1000"), 0) &amp;
            ":" &amp;
            'Hulp (overig)'!$C$17 &amp;
LOOKUP(
    2,
    1 / (
        (ROW(INDIRECT("'" &amp; 'Hulp (overig)'!$C$16 &amp; "'!B1:B1000")) &lt;
            IF(O75&lt;&gt;"",
               MATCH(O75, INDIRECT("'" &amp; 'Hulp (overig)'!$C$16 &amp; "'!A1:A1000"),0),
               1000
            )
        ) *
        (LEFT(TRIM(INDIRECT("'" &amp; 'Hulp (overig)'!$C$16 &amp; "'!B1:B1000")),1) &lt;&gt; "u")
    ),
    ROW(INDIRECT("'" &amp; 'Hulp (overig)'!$C$16 &amp; "'!B1:B1000"))
)
        )
    ) * N76
),
IF(N77="","",
IF(
    IFERROR(MIN(
        IF(
            (TRIM(INDIRECT("'" &amp; 'Hulp (overig)'!$C$16 &amp; "'!B1:B1000")) = TEXT(N77,"0")) *
            (ROW(INDIRECT("'" &amp; 'Hulp (overig)'!$C$16 &amp; "'!B1:B1000")) &gt;= MATCH(
                N75,
                INDIRECT("'" &amp; 'Hulp (overig)'!$C$16 &amp; "'!A1:A1000"),
                0
            )) *
            IF(
                O75="",
                1,
                (ROW(INDIRECT("'" &amp; 'Hulp (overig)'!$C$16 &amp; "'!B1:B1000")) &lt; MATCH(
                    O75,
                    INDIRECT("'" &amp; 'Hulp (overig)'!$C$16 &amp; "'!A1:A1000"),
                    0
                ))
            ),
            ROW(INDIRECT("'" &amp; 'Hulp (overig)'!$C$16 &amp; "'!B1:B1000"))
        )
    ),0) &lt; 1,
    "",
    IF(INDEX(
        INDIRECT("'" &amp; 'Hulp (overig)'!$C$16 &amp; "'!" &amp;
        'Hulp (overig)'!$C$17 &amp; "1:" &amp; 'Hulp (overig)'!$C$17 &amp; 1000
        ),
        IFERROR(MIN(
            IF(
                (TRIM(INDIRECT("'" &amp; 'Hulp (overig)'!$C$16 &amp; "'!B1:B1000")) = TEXT(N77,"0")) *
                (ROW(INDIRECT("'" &amp; 'Hulp (overig)'!$C$16 &amp; "'!B1:B1000")) &gt;= MATCH(
                    N75,
                    INDIRECT("'" &amp; 'Hulp (overig)'!$C$16 &amp; "'!A1:A1000"),
                    0
                )) *
                IF(
                    O75="",
                    1,
                    (ROW(INDIRECT("'" &amp; 'Hulp (overig)'!$C$16 &amp; "'!B1:B1000")) &lt; MATCH(
                        O75,
                        INDIRECT("'" &amp; 'Hulp (overig)'!$C$16 &amp; "'!A1:A1000"),
                        0
                    ))
                ),
                ROW(INDIRECT("'" &amp; 'Hulp (overig)'!$C$16 &amp; "'!B1:B1000"))
            )
        ),0)
    )=0,"",
INDEX(
        INDIRECT("'" &amp; 'Hulp (overig)'!$C$16 &amp; "'!" &amp;
        'Hulp (overig)'!$C$17 &amp; "1:" &amp; 'Hulp (overig)'!$C$17 &amp; 1000
        ),
        IFERROR(MIN(
            IF(
                (TRIM(INDIRECT("'" &amp; 'Hulp (overig)'!$C$16 &amp; "'!B1:B1000")) = TEXT(N77,"0")) *
                (ROW(INDIRECT("'" &amp; 'Hulp (overig)'!$C$16 &amp; "'!B1:B1000")) &gt;= MATCH(
                    N75,
                    INDIRECT("'" &amp; 'Hulp (overig)'!$C$16 &amp; "'!A1:A1000"),
                    0
                )) *
                IF(
                    O75="",
                    1,
                    (ROW(INDIRECT("'" &amp; 'Hulp (overig)'!$C$16 &amp; "'!B1:B1000")) &lt; MATCH(
                        O75,
                        INDIRECT("'" &amp; 'Hulp (overig)'!$C$16 &amp; "'!A1:A1000"),
                        0
                    ))
                ),
                ROW(INDIRECT("'" &amp; 'Hulp (overig)'!$C$16 &amp; "'!B1:B1000"))
            )
        ),0)
    ))
))))</f>
        <v>#VALUE!</v>
      </c>
      <c r="O78" s="425" t="e" cm="1">
        <f t="array" aca="1" ref="O78" ca="1">IF($BF78, IF(O75="","",
   INDEX(
      INDIRECT("'" &amp; 'Hulp (CAO''s)'!$AE$8 &amp; "'!" &amp;
               'Hulp (overig)'!$C$17 &amp; "1:" &amp;
               'Hulp (overig)'!$C$17 &amp; "1000"),
      MATCH(
         O75,
         INDIRECT("'" &amp; 'Hulp (CAO''s)'!$AE$8 &amp; "'!A1:A1000"),
         0
      )
   )
), IF($D76="Gebruik % van maximum salaris",
IF(
    OR(O75="",O76=""),
    "",
    MAX(
        INDIRECT(
            "'" &amp; 'Hulp (overig)'!$C$16 &amp; "'!" &amp;
            'Hulp (overig)'!$C$17 &amp;
            MATCH(O75, INDIRECT("'" &amp; 'Hulp (overig)'!$C$16 &amp; "'!A1:A1000"), 0) &amp;
            ":" &amp;
            'Hulp (overig)'!$C$17 &amp;
LOOKUP(
    2,
    1 / (
        (ROW(INDIRECT("'" &amp; 'Hulp (overig)'!$C$16 &amp; "'!B1:B1000")) &lt;
            IF(P75&lt;&gt;"",
               MATCH(P75, INDIRECT("'" &amp; 'Hulp (overig)'!$C$16 &amp; "'!A1:A1000"),0),
               1000
            )
        ) *
        (LEFT(TRIM(INDIRECT("'" &amp; 'Hulp (overig)'!$C$16 &amp; "'!B1:B1000")),1) &lt;&gt; "u")
    ),
    ROW(INDIRECT("'" &amp; 'Hulp (overig)'!$C$16 &amp; "'!B1:B1000"))
)
        )
    ) * O76
),
IF(O77="","",
IF(
    IFERROR(MIN(
        IF(
            (TRIM(INDIRECT("'" &amp; 'Hulp (overig)'!$C$16 &amp; "'!B1:B1000")) = TEXT(O77,"0")) *
            (ROW(INDIRECT("'" &amp; 'Hulp (overig)'!$C$16 &amp; "'!B1:B1000")) &gt;= MATCH(
                O75,
                INDIRECT("'" &amp; 'Hulp (overig)'!$C$16 &amp; "'!A1:A1000"),
                0
            )) *
            IF(
                P75="",
                1,
                (ROW(INDIRECT("'" &amp; 'Hulp (overig)'!$C$16 &amp; "'!B1:B1000")) &lt; MATCH(
                    P75,
                    INDIRECT("'" &amp; 'Hulp (overig)'!$C$16 &amp; "'!A1:A1000"),
                    0
                ))
            ),
            ROW(INDIRECT("'" &amp; 'Hulp (overig)'!$C$16 &amp; "'!B1:B1000"))
        )
    ),0) &lt; 1,
    "",
    IF(INDEX(
        INDIRECT("'" &amp; 'Hulp (overig)'!$C$16 &amp; "'!" &amp;
        'Hulp (overig)'!$C$17 &amp; "1:" &amp; 'Hulp (overig)'!$C$17 &amp; 1000
        ),
        IFERROR(MIN(
            IF(
                (TRIM(INDIRECT("'" &amp; 'Hulp (overig)'!$C$16 &amp; "'!B1:B1000")) = TEXT(O77,"0")) *
                (ROW(INDIRECT("'" &amp; 'Hulp (overig)'!$C$16 &amp; "'!B1:B1000")) &gt;= MATCH(
                    O75,
                    INDIRECT("'" &amp; 'Hulp (overig)'!$C$16 &amp; "'!A1:A1000"),
                    0
                )) *
                IF(
                    P75="",
                    1,
                    (ROW(INDIRECT("'" &amp; 'Hulp (overig)'!$C$16 &amp; "'!B1:B1000")) &lt; MATCH(
                        P75,
                        INDIRECT("'" &amp; 'Hulp (overig)'!$C$16 &amp; "'!A1:A1000"),
                        0
                    ))
                ),
                ROW(INDIRECT("'" &amp; 'Hulp (overig)'!$C$16 &amp; "'!B1:B1000"))
            )
        ),0)
    )=0,"",
INDEX(
        INDIRECT("'" &amp; 'Hulp (overig)'!$C$16 &amp; "'!" &amp;
        'Hulp (overig)'!$C$17 &amp; "1:" &amp; 'Hulp (overig)'!$C$17 &amp; 1000
        ),
        IFERROR(MIN(
            IF(
                (TRIM(INDIRECT("'" &amp; 'Hulp (overig)'!$C$16 &amp; "'!B1:B1000")) = TEXT(O77,"0")) *
                (ROW(INDIRECT("'" &amp; 'Hulp (overig)'!$C$16 &amp; "'!B1:B1000")) &gt;= MATCH(
                    O75,
                    INDIRECT("'" &amp; 'Hulp (overig)'!$C$16 &amp; "'!A1:A1000"),
                    0
                )) *
                IF(
                    P75="",
                    1,
                    (ROW(INDIRECT("'" &amp; 'Hulp (overig)'!$C$16 &amp; "'!B1:B1000")) &lt; MATCH(
                        P75,
                        INDIRECT("'" &amp; 'Hulp (overig)'!$C$16 &amp; "'!A1:A1000"),
                        0
                    ))
                ),
                ROW(INDIRECT("'" &amp; 'Hulp (overig)'!$C$16 &amp; "'!B1:B1000"))
            )
        ),0)
    ))
))))</f>
        <v>#VALUE!</v>
      </c>
      <c r="P78" s="425" t="e" cm="1">
        <f t="array" aca="1" ref="P78" ca="1">IF($BF78, IF(P75="","",
   INDEX(
      INDIRECT("'" &amp; 'Hulp (CAO''s)'!$AE$8 &amp; "'!" &amp;
               'Hulp (overig)'!$C$17 &amp; "1:" &amp;
               'Hulp (overig)'!$C$17 &amp; "1000"),
      MATCH(
         P75,
         INDIRECT("'" &amp; 'Hulp (CAO''s)'!$AE$8 &amp; "'!A1:A1000"),
         0
      )
   )
), IF($D76="Gebruik % van maximum salaris",
IF(
    OR(P75="",P76=""),
    "",
    MAX(
        INDIRECT(
            "'" &amp; 'Hulp (overig)'!$C$16 &amp; "'!" &amp;
            'Hulp (overig)'!$C$17 &amp;
            MATCH(P75, INDIRECT("'" &amp; 'Hulp (overig)'!$C$16 &amp; "'!A1:A1000"), 0) &amp;
            ":" &amp;
            'Hulp (overig)'!$C$17 &amp;
LOOKUP(
    2,
    1 / (
        (ROW(INDIRECT("'" &amp; 'Hulp (overig)'!$C$16 &amp; "'!B1:B1000")) &lt;
            IF(Q75&lt;&gt;"",
               MATCH(Q75, INDIRECT("'" &amp; 'Hulp (overig)'!$C$16 &amp; "'!A1:A1000"),0),
               1000
            )
        ) *
        (LEFT(TRIM(INDIRECT("'" &amp; 'Hulp (overig)'!$C$16 &amp; "'!B1:B1000")),1) &lt;&gt; "u")
    ),
    ROW(INDIRECT("'" &amp; 'Hulp (overig)'!$C$16 &amp; "'!B1:B1000"))
)
        )
    ) * P76
),
IF(P77="","",
IF(
    IFERROR(MIN(
        IF(
            (TRIM(INDIRECT("'" &amp; 'Hulp (overig)'!$C$16 &amp; "'!B1:B1000")) = TEXT(P77,"0")) *
            (ROW(INDIRECT("'" &amp; 'Hulp (overig)'!$C$16 &amp; "'!B1:B1000")) &gt;= MATCH(
                P75,
                INDIRECT("'" &amp; 'Hulp (overig)'!$C$16 &amp; "'!A1:A1000"),
                0
            )) *
            IF(
                Q75="",
                1,
                (ROW(INDIRECT("'" &amp; 'Hulp (overig)'!$C$16 &amp; "'!B1:B1000")) &lt; MATCH(
                    Q75,
                    INDIRECT("'" &amp; 'Hulp (overig)'!$C$16 &amp; "'!A1:A1000"),
                    0
                ))
            ),
            ROW(INDIRECT("'" &amp; 'Hulp (overig)'!$C$16 &amp; "'!B1:B1000"))
        )
    ),0) &lt; 1,
    "",
    IF(INDEX(
        INDIRECT("'" &amp; 'Hulp (overig)'!$C$16 &amp; "'!" &amp;
        'Hulp (overig)'!$C$17 &amp; "1:" &amp; 'Hulp (overig)'!$C$17 &amp; 1000
        ),
        IFERROR(MIN(
            IF(
                (TRIM(INDIRECT("'" &amp; 'Hulp (overig)'!$C$16 &amp; "'!B1:B1000")) = TEXT(P77,"0")) *
                (ROW(INDIRECT("'" &amp; 'Hulp (overig)'!$C$16 &amp; "'!B1:B1000")) &gt;= MATCH(
                    P75,
                    INDIRECT("'" &amp; 'Hulp (overig)'!$C$16 &amp; "'!A1:A1000"),
                    0
                )) *
                IF(
                    Q75="",
                    1,
                    (ROW(INDIRECT("'" &amp; 'Hulp (overig)'!$C$16 &amp; "'!B1:B1000")) &lt; MATCH(
                        Q75,
                        INDIRECT("'" &amp; 'Hulp (overig)'!$C$16 &amp; "'!A1:A1000"),
                        0
                    ))
                ),
                ROW(INDIRECT("'" &amp; 'Hulp (overig)'!$C$16 &amp; "'!B1:B1000"))
            )
        ),0)
    )=0,"",
INDEX(
        INDIRECT("'" &amp; 'Hulp (overig)'!$C$16 &amp; "'!" &amp;
        'Hulp (overig)'!$C$17 &amp; "1:" &amp; 'Hulp (overig)'!$C$17 &amp; 1000
        ),
        IFERROR(MIN(
            IF(
                (TRIM(INDIRECT("'" &amp; 'Hulp (overig)'!$C$16 &amp; "'!B1:B1000")) = TEXT(P77,"0")) *
                (ROW(INDIRECT("'" &amp; 'Hulp (overig)'!$C$16 &amp; "'!B1:B1000")) &gt;= MATCH(
                    P75,
                    INDIRECT("'" &amp; 'Hulp (overig)'!$C$16 &amp; "'!A1:A1000"),
                    0
                )) *
                IF(
                    Q75="",
                    1,
                    (ROW(INDIRECT("'" &amp; 'Hulp (overig)'!$C$16 &amp; "'!B1:B1000")) &lt; MATCH(
                        Q75,
                        INDIRECT("'" &amp; 'Hulp (overig)'!$C$16 &amp; "'!A1:A1000"),
                        0
                    ))
                ),
                ROW(INDIRECT("'" &amp; 'Hulp (overig)'!$C$16 &amp; "'!B1:B1000"))
            )
        ),0)
    ))
))))</f>
        <v>#VALUE!</v>
      </c>
      <c r="Q78" s="425" t="e" cm="1">
        <f t="array" aca="1" ref="Q78" ca="1">IF($BF78, IF(Q75="","",
   INDEX(
      INDIRECT("'" &amp; 'Hulp (CAO''s)'!$AE$8 &amp; "'!" &amp;
               'Hulp (overig)'!$C$17 &amp; "1:" &amp;
               'Hulp (overig)'!$C$17 &amp; "1000"),
      MATCH(
         Q75,
         INDIRECT("'" &amp; 'Hulp (CAO''s)'!$AE$8 &amp; "'!A1:A1000"),
         0
      )
   )
), IF($D76="Gebruik % van maximum salaris",
IF(
    OR(Q75="",Q76=""),
    "",
    MAX(
        INDIRECT(
            "'" &amp; 'Hulp (overig)'!$C$16 &amp; "'!" &amp;
            'Hulp (overig)'!$C$17 &amp;
            MATCH(Q75, INDIRECT("'" &amp; 'Hulp (overig)'!$C$16 &amp; "'!A1:A1000"), 0) &amp;
            ":" &amp;
            'Hulp (overig)'!$C$17 &amp;
LOOKUP(
    2,
    1 / (
        (ROW(INDIRECT("'" &amp; 'Hulp (overig)'!$C$16 &amp; "'!B1:B1000")) &lt;
            IF(R75&lt;&gt;"",
               MATCH(R75, INDIRECT("'" &amp; 'Hulp (overig)'!$C$16 &amp; "'!A1:A1000"),0),
               1000
            )
        ) *
        (LEFT(TRIM(INDIRECT("'" &amp; 'Hulp (overig)'!$C$16 &amp; "'!B1:B1000")),1) &lt;&gt; "u")
    ),
    ROW(INDIRECT("'" &amp; 'Hulp (overig)'!$C$16 &amp; "'!B1:B1000"))
)
        )
    ) * Q76
),
IF(Q77="","",
IF(
    IFERROR(MIN(
        IF(
            (TRIM(INDIRECT("'" &amp; 'Hulp (overig)'!$C$16 &amp; "'!B1:B1000")) = TEXT(Q77,"0")) *
            (ROW(INDIRECT("'" &amp; 'Hulp (overig)'!$C$16 &amp; "'!B1:B1000")) &gt;= MATCH(
                Q75,
                INDIRECT("'" &amp; 'Hulp (overig)'!$C$16 &amp; "'!A1:A1000"),
                0
            )) *
            IF(
                R75="",
                1,
                (ROW(INDIRECT("'" &amp; 'Hulp (overig)'!$C$16 &amp; "'!B1:B1000")) &lt; MATCH(
                    R75,
                    INDIRECT("'" &amp; 'Hulp (overig)'!$C$16 &amp; "'!A1:A1000"),
                    0
                ))
            ),
            ROW(INDIRECT("'" &amp; 'Hulp (overig)'!$C$16 &amp; "'!B1:B1000"))
        )
    ),0) &lt; 1,
    "",
    IF(INDEX(
        INDIRECT("'" &amp; 'Hulp (overig)'!$C$16 &amp; "'!" &amp;
        'Hulp (overig)'!$C$17 &amp; "1:" &amp; 'Hulp (overig)'!$C$17 &amp; 1000
        ),
        IFERROR(MIN(
            IF(
                (TRIM(INDIRECT("'" &amp; 'Hulp (overig)'!$C$16 &amp; "'!B1:B1000")) = TEXT(Q77,"0")) *
                (ROW(INDIRECT("'" &amp; 'Hulp (overig)'!$C$16 &amp; "'!B1:B1000")) &gt;= MATCH(
                    Q75,
                    INDIRECT("'" &amp; 'Hulp (overig)'!$C$16 &amp; "'!A1:A1000"),
                    0
                )) *
                IF(
                    R75="",
                    1,
                    (ROW(INDIRECT("'" &amp; 'Hulp (overig)'!$C$16 &amp; "'!B1:B1000")) &lt; MATCH(
                        R75,
                        INDIRECT("'" &amp; 'Hulp (overig)'!$C$16 &amp; "'!A1:A1000"),
                        0
                    ))
                ),
                ROW(INDIRECT("'" &amp; 'Hulp (overig)'!$C$16 &amp; "'!B1:B1000"))
            )
        ),0)
    )=0,"",
INDEX(
        INDIRECT("'" &amp; 'Hulp (overig)'!$C$16 &amp; "'!" &amp;
        'Hulp (overig)'!$C$17 &amp; "1:" &amp; 'Hulp (overig)'!$C$17 &amp; 1000
        ),
        IFERROR(MIN(
            IF(
                (TRIM(INDIRECT("'" &amp; 'Hulp (overig)'!$C$16 &amp; "'!B1:B1000")) = TEXT(Q77,"0")) *
                (ROW(INDIRECT("'" &amp; 'Hulp (overig)'!$C$16 &amp; "'!B1:B1000")) &gt;= MATCH(
                    Q75,
                    INDIRECT("'" &amp; 'Hulp (overig)'!$C$16 &amp; "'!A1:A1000"),
                    0
                )) *
                IF(
                    R75="",
                    1,
                    (ROW(INDIRECT("'" &amp; 'Hulp (overig)'!$C$16 &amp; "'!B1:B1000")) &lt; MATCH(
                        R75,
                        INDIRECT("'" &amp; 'Hulp (overig)'!$C$16 &amp; "'!A1:A1000"),
                        0
                    ))
                ),
                ROW(INDIRECT("'" &amp; 'Hulp (overig)'!$C$16 &amp; "'!B1:B1000"))
            )
        ),0)
    ))
))))</f>
        <v>#VALUE!</v>
      </c>
      <c r="R78" s="425" t="e" cm="1">
        <f t="array" aca="1" ref="R78" ca="1">IF($BF78, IF(R75="","",
   INDEX(
      INDIRECT("'" &amp; 'Hulp (CAO''s)'!$AE$8 &amp; "'!" &amp;
               'Hulp (overig)'!$C$17 &amp; "1:" &amp;
               'Hulp (overig)'!$C$17 &amp; "1000"),
      MATCH(
         R75,
         INDIRECT("'" &amp; 'Hulp (CAO''s)'!$AE$8 &amp; "'!A1:A1000"),
         0
      )
   )
), IF($D76="Gebruik % van maximum salaris",
IF(
    OR(R75="",R76=""),
    "",
    MAX(
        INDIRECT(
            "'" &amp; 'Hulp (overig)'!$C$16 &amp; "'!" &amp;
            'Hulp (overig)'!$C$17 &amp;
            MATCH(R75, INDIRECT("'" &amp; 'Hulp (overig)'!$C$16 &amp; "'!A1:A1000"), 0) &amp;
            ":" &amp;
            'Hulp (overig)'!$C$17 &amp;
LOOKUP(
    2,
    1 / (
        (ROW(INDIRECT("'" &amp; 'Hulp (overig)'!$C$16 &amp; "'!B1:B1000")) &lt;
            IF(S75&lt;&gt;"",
               MATCH(S75, INDIRECT("'" &amp; 'Hulp (overig)'!$C$16 &amp; "'!A1:A1000"),0),
               1000
            )
        ) *
        (LEFT(TRIM(INDIRECT("'" &amp; 'Hulp (overig)'!$C$16 &amp; "'!B1:B1000")),1) &lt;&gt; "u")
    ),
    ROW(INDIRECT("'" &amp; 'Hulp (overig)'!$C$16 &amp; "'!B1:B1000"))
)
        )
    ) * R76
),
IF(R77="","",
IF(
    IFERROR(MIN(
        IF(
            (TRIM(INDIRECT("'" &amp; 'Hulp (overig)'!$C$16 &amp; "'!B1:B1000")) = TEXT(R77,"0")) *
            (ROW(INDIRECT("'" &amp; 'Hulp (overig)'!$C$16 &amp; "'!B1:B1000")) &gt;= MATCH(
                R75,
                INDIRECT("'" &amp; 'Hulp (overig)'!$C$16 &amp; "'!A1:A1000"),
                0
            )) *
            IF(
                S75="",
                1,
                (ROW(INDIRECT("'" &amp; 'Hulp (overig)'!$C$16 &amp; "'!B1:B1000")) &lt; MATCH(
                    S75,
                    INDIRECT("'" &amp; 'Hulp (overig)'!$C$16 &amp; "'!A1:A1000"),
                    0
                ))
            ),
            ROW(INDIRECT("'" &amp; 'Hulp (overig)'!$C$16 &amp; "'!B1:B1000"))
        )
    ),0) &lt; 1,
    "",
    IF(INDEX(
        INDIRECT("'" &amp; 'Hulp (overig)'!$C$16 &amp; "'!" &amp;
        'Hulp (overig)'!$C$17 &amp; "1:" &amp; 'Hulp (overig)'!$C$17 &amp; 1000
        ),
        IFERROR(MIN(
            IF(
                (TRIM(INDIRECT("'" &amp; 'Hulp (overig)'!$C$16 &amp; "'!B1:B1000")) = TEXT(R77,"0")) *
                (ROW(INDIRECT("'" &amp; 'Hulp (overig)'!$C$16 &amp; "'!B1:B1000")) &gt;= MATCH(
                    R75,
                    INDIRECT("'" &amp; 'Hulp (overig)'!$C$16 &amp; "'!A1:A1000"),
                    0
                )) *
                IF(
                    S75="",
                    1,
                    (ROW(INDIRECT("'" &amp; 'Hulp (overig)'!$C$16 &amp; "'!B1:B1000")) &lt; MATCH(
                        S75,
                        INDIRECT("'" &amp; 'Hulp (overig)'!$C$16 &amp; "'!A1:A1000"),
                        0
                    ))
                ),
                ROW(INDIRECT("'" &amp; 'Hulp (overig)'!$C$16 &amp; "'!B1:B1000"))
            )
        ),0)
    )=0,"",
INDEX(
        INDIRECT("'" &amp; 'Hulp (overig)'!$C$16 &amp; "'!" &amp;
        'Hulp (overig)'!$C$17 &amp; "1:" &amp; 'Hulp (overig)'!$C$17 &amp; 1000
        ),
        IFERROR(MIN(
            IF(
                (TRIM(INDIRECT("'" &amp; 'Hulp (overig)'!$C$16 &amp; "'!B1:B1000")) = TEXT(R77,"0")) *
                (ROW(INDIRECT("'" &amp; 'Hulp (overig)'!$C$16 &amp; "'!B1:B1000")) &gt;= MATCH(
                    R75,
                    INDIRECT("'" &amp; 'Hulp (overig)'!$C$16 &amp; "'!A1:A1000"),
                    0
                )) *
                IF(
                    S75="",
                    1,
                    (ROW(INDIRECT("'" &amp; 'Hulp (overig)'!$C$16 &amp; "'!B1:B1000")) &lt; MATCH(
                        S75,
                        INDIRECT("'" &amp; 'Hulp (overig)'!$C$16 &amp; "'!A1:A1000"),
                        0
                    ))
                ),
                ROW(INDIRECT("'" &amp; 'Hulp (overig)'!$C$16 &amp; "'!B1:B1000"))
            )
        ),0)
    ))
))))</f>
        <v>#VALUE!</v>
      </c>
      <c r="S78" s="425" t="e" cm="1">
        <f t="array" aca="1" ref="S78" ca="1">IF($BF78, IF(S75="","",
   INDEX(
      INDIRECT("'" &amp; 'Hulp (CAO''s)'!$AE$8 &amp; "'!" &amp;
               'Hulp (overig)'!$C$17 &amp; "1:" &amp;
               'Hulp (overig)'!$C$17 &amp; "1000"),
      MATCH(
         S75,
         INDIRECT("'" &amp; 'Hulp (CAO''s)'!$AE$8 &amp; "'!A1:A1000"),
         0
      )
   )
), IF($D76="Gebruik % van maximum salaris",
IF(
    OR(S75="",S76=""),
    "",
    MAX(
        INDIRECT(
            "'" &amp; 'Hulp (overig)'!$C$16 &amp; "'!" &amp;
            'Hulp (overig)'!$C$17 &amp;
            MATCH(S75, INDIRECT("'" &amp; 'Hulp (overig)'!$C$16 &amp; "'!A1:A1000"), 0) &amp;
            ":" &amp;
            'Hulp (overig)'!$C$17 &amp;
LOOKUP(
    2,
    1 / (
        (ROW(INDIRECT("'" &amp; 'Hulp (overig)'!$C$16 &amp; "'!B1:B1000")) &lt;
            IF(T75&lt;&gt;"",
               MATCH(T75, INDIRECT("'" &amp; 'Hulp (overig)'!$C$16 &amp; "'!A1:A1000"),0),
               1000
            )
        ) *
        (LEFT(TRIM(INDIRECT("'" &amp; 'Hulp (overig)'!$C$16 &amp; "'!B1:B1000")),1) &lt;&gt; "u")
    ),
    ROW(INDIRECT("'" &amp; 'Hulp (overig)'!$C$16 &amp; "'!B1:B1000"))
)
        )
    ) * S76
),
IF(S77="","",
IF(
    IFERROR(MIN(
        IF(
            (TRIM(INDIRECT("'" &amp; 'Hulp (overig)'!$C$16 &amp; "'!B1:B1000")) = TEXT(S77,"0")) *
            (ROW(INDIRECT("'" &amp; 'Hulp (overig)'!$C$16 &amp; "'!B1:B1000")) &gt;= MATCH(
                S75,
                INDIRECT("'" &amp; 'Hulp (overig)'!$C$16 &amp; "'!A1:A1000"),
                0
            )) *
            IF(
                T75="",
                1,
                (ROW(INDIRECT("'" &amp; 'Hulp (overig)'!$C$16 &amp; "'!B1:B1000")) &lt; MATCH(
                    T75,
                    INDIRECT("'" &amp; 'Hulp (overig)'!$C$16 &amp; "'!A1:A1000"),
                    0
                ))
            ),
            ROW(INDIRECT("'" &amp; 'Hulp (overig)'!$C$16 &amp; "'!B1:B1000"))
        )
    ),0) &lt; 1,
    "",
    IF(INDEX(
        INDIRECT("'" &amp; 'Hulp (overig)'!$C$16 &amp; "'!" &amp;
        'Hulp (overig)'!$C$17 &amp; "1:" &amp; 'Hulp (overig)'!$C$17 &amp; 1000
        ),
        IFERROR(MIN(
            IF(
                (TRIM(INDIRECT("'" &amp; 'Hulp (overig)'!$C$16 &amp; "'!B1:B1000")) = TEXT(S77,"0")) *
                (ROW(INDIRECT("'" &amp; 'Hulp (overig)'!$C$16 &amp; "'!B1:B1000")) &gt;= MATCH(
                    S75,
                    INDIRECT("'" &amp; 'Hulp (overig)'!$C$16 &amp; "'!A1:A1000"),
                    0
                )) *
                IF(
                    T75="",
                    1,
                    (ROW(INDIRECT("'" &amp; 'Hulp (overig)'!$C$16 &amp; "'!B1:B1000")) &lt; MATCH(
                        T75,
                        INDIRECT("'" &amp; 'Hulp (overig)'!$C$16 &amp; "'!A1:A1000"),
                        0
                    ))
                ),
                ROW(INDIRECT("'" &amp; 'Hulp (overig)'!$C$16 &amp; "'!B1:B1000"))
            )
        ),0)
    )=0,"",
INDEX(
        INDIRECT("'" &amp; 'Hulp (overig)'!$C$16 &amp; "'!" &amp;
        'Hulp (overig)'!$C$17 &amp; "1:" &amp; 'Hulp (overig)'!$C$17 &amp; 1000
        ),
        IFERROR(MIN(
            IF(
                (TRIM(INDIRECT("'" &amp; 'Hulp (overig)'!$C$16 &amp; "'!B1:B1000")) = TEXT(S77,"0")) *
                (ROW(INDIRECT("'" &amp; 'Hulp (overig)'!$C$16 &amp; "'!B1:B1000")) &gt;= MATCH(
                    S75,
                    INDIRECT("'" &amp; 'Hulp (overig)'!$C$16 &amp; "'!A1:A1000"),
                    0
                )) *
                IF(
                    T75="",
                    1,
                    (ROW(INDIRECT("'" &amp; 'Hulp (overig)'!$C$16 &amp; "'!B1:B1000")) &lt; MATCH(
                        T75,
                        INDIRECT("'" &amp; 'Hulp (overig)'!$C$16 &amp; "'!A1:A1000"),
                        0
                    ))
                ),
                ROW(INDIRECT("'" &amp; 'Hulp (overig)'!$C$16 &amp; "'!B1:B1000"))
            )
        ),0)
    ))
))))</f>
        <v>#VALUE!</v>
      </c>
      <c r="T78" s="425" t="e" cm="1">
        <f t="array" aca="1" ref="T78" ca="1">IF($BF78, IF(T75="","",
   INDEX(
      INDIRECT("'" &amp; 'Hulp (CAO''s)'!$AE$8 &amp; "'!" &amp;
               'Hulp (overig)'!$C$17 &amp; "1:" &amp;
               'Hulp (overig)'!$C$17 &amp; "1000"),
      MATCH(
         T75,
         INDIRECT("'" &amp; 'Hulp (CAO''s)'!$AE$8 &amp; "'!A1:A1000"),
         0
      )
   )
), IF($D76="Gebruik % van maximum salaris",
IF(
    OR(T75="",T76=""),
    "",
    MAX(
        INDIRECT(
            "'" &amp; 'Hulp (overig)'!$C$16 &amp; "'!" &amp;
            'Hulp (overig)'!$C$17 &amp;
            MATCH(T75, INDIRECT("'" &amp; 'Hulp (overig)'!$C$16 &amp; "'!A1:A1000"), 0) &amp;
            ":" &amp;
            'Hulp (overig)'!$C$17 &amp;
LOOKUP(
    2,
    1 / (
        (ROW(INDIRECT("'" &amp; 'Hulp (overig)'!$C$16 &amp; "'!B1:B1000")) &lt;
            IF(U75&lt;&gt;"",
               MATCH(U75, INDIRECT("'" &amp; 'Hulp (overig)'!$C$16 &amp; "'!A1:A1000"),0),
               1000
            )
        ) *
        (LEFT(TRIM(INDIRECT("'" &amp; 'Hulp (overig)'!$C$16 &amp; "'!B1:B1000")),1) &lt;&gt; "u")
    ),
    ROW(INDIRECT("'" &amp; 'Hulp (overig)'!$C$16 &amp; "'!B1:B1000"))
)
        )
    ) * T76
),
IF(T77="","",
IF(
    IFERROR(MIN(
        IF(
            (TRIM(INDIRECT("'" &amp; 'Hulp (overig)'!$C$16 &amp; "'!B1:B1000")) = TEXT(T77,"0")) *
            (ROW(INDIRECT("'" &amp; 'Hulp (overig)'!$C$16 &amp; "'!B1:B1000")) &gt;= MATCH(
                T75,
                INDIRECT("'" &amp; 'Hulp (overig)'!$C$16 &amp; "'!A1:A1000"),
                0
            )) *
            IF(
                U75="",
                1,
                (ROW(INDIRECT("'" &amp; 'Hulp (overig)'!$C$16 &amp; "'!B1:B1000")) &lt; MATCH(
                    U75,
                    INDIRECT("'" &amp; 'Hulp (overig)'!$C$16 &amp; "'!A1:A1000"),
                    0
                ))
            ),
            ROW(INDIRECT("'" &amp; 'Hulp (overig)'!$C$16 &amp; "'!B1:B1000"))
        )
    ),0) &lt; 1,
    "",
    IF(INDEX(
        INDIRECT("'" &amp; 'Hulp (overig)'!$C$16 &amp; "'!" &amp;
        'Hulp (overig)'!$C$17 &amp; "1:" &amp; 'Hulp (overig)'!$C$17 &amp; 1000
        ),
        IFERROR(MIN(
            IF(
                (TRIM(INDIRECT("'" &amp; 'Hulp (overig)'!$C$16 &amp; "'!B1:B1000")) = TEXT(T77,"0")) *
                (ROW(INDIRECT("'" &amp; 'Hulp (overig)'!$C$16 &amp; "'!B1:B1000")) &gt;= MATCH(
                    T75,
                    INDIRECT("'" &amp; 'Hulp (overig)'!$C$16 &amp; "'!A1:A1000"),
                    0
                )) *
                IF(
                    U75="",
                    1,
                    (ROW(INDIRECT("'" &amp; 'Hulp (overig)'!$C$16 &amp; "'!B1:B1000")) &lt; MATCH(
                        U75,
                        INDIRECT("'" &amp; 'Hulp (overig)'!$C$16 &amp; "'!A1:A1000"),
                        0
                    ))
                ),
                ROW(INDIRECT("'" &amp; 'Hulp (overig)'!$C$16 &amp; "'!B1:B1000"))
            )
        ),0)
    )=0,"",
INDEX(
        INDIRECT("'" &amp; 'Hulp (overig)'!$C$16 &amp; "'!" &amp;
        'Hulp (overig)'!$C$17 &amp; "1:" &amp; 'Hulp (overig)'!$C$17 &amp; 1000
        ),
        IFERROR(MIN(
            IF(
                (TRIM(INDIRECT("'" &amp; 'Hulp (overig)'!$C$16 &amp; "'!B1:B1000")) = TEXT(T77,"0")) *
                (ROW(INDIRECT("'" &amp; 'Hulp (overig)'!$C$16 &amp; "'!B1:B1000")) &gt;= MATCH(
                    T75,
                    INDIRECT("'" &amp; 'Hulp (overig)'!$C$16 &amp; "'!A1:A1000"),
                    0
                )) *
                IF(
                    U75="",
                    1,
                    (ROW(INDIRECT("'" &amp; 'Hulp (overig)'!$C$16 &amp; "'!B1:B1000")) &lt; MATCH(
                        U75,
                        INDIRECT("'" &amp; 'Hulp (overig)'!$C$16 &amp; "'!A1:A1000"),
                        0
                    ))
                ),
                ROW(INDIRECT("'" &amp; 'Hulp (overig)'!$C$16 &amp; "'!B1:B1000"))
            )
        ),0)
    ))
))))</f>
        <v>#VALUE!</v>
      </c>
      <c r="U78" s="723" t="e" cm="1">
        <f t="array" aca="1" ref="U78" ca="1">IF($BF78, IF(U75="","",
   INDEX(
      INDIRECT("'" &amp; 'Hulp (CAO''s)'!$AE$8 &amp; "'!" &amp;
               'Hulp (overig)'!$C$17 &amp; "1:" &amp;
               'Hulp (overig)'!$C$17 &amp; "1000"),
      MATCH(
         U75,
         INDIRECT("'" &amp; 'Hulp (CAO''s)'!$AE$8 &amp; "'!A1:A1000"),
         0
      )
   )
), IF($D76="Gebruik % van maximum salaris",
IF(
    OR(U75="",U76=""),
    "",
    MAX(
        INDIRECT(
            "'" &amp; 'Hulp (overig)'!$C$16 &amp; "'!" &amp;
            'Hulp (overig)'!$C$17 &amp;
            MATCH(U75, INDIRECT("'" &amp; 'Hulp (overig)'!$C$16 &amp; "'!A1:A1000"), 0) &amp;
            ":" &amp;
            'Hulp (overig)'!$C$17 &amp;
LOOKUP(
    2,
    1 / (
        (ROW(INDIRECT("'" &amp; 'Hulp (overig)'!$C$16 &amp; "'!B1:B1000")) &lt;
            IF(V75&lt;&gt;"",
               MATCH(V75, INDIRECT("'" &amp; 'Hulp (overig)'!$C$16 &amp; "'!A1:A1000"),0),
               1000
            )
        ) *
        (LEFT(TRIM(INDIRECT("'" &amp; 'Hulp (overig)'!$C$16 &amp; "'!B1:B1000")),1) &lt;&gt; "u")
    ),
    ROW(INDIRECT("'" &amp; 'Hulp (overig)'!$C$16 &amp; "'!B1:B1000"))
)
        )
    ) * U76
),
IF(U77="","",
IF(
    IFERROR(MIN(
        IF(
            (TRIM(INDIRECT("'" &amp; 'Hulp (overig)'!$C$16 &amp; "'!B1:B1000")) = TEXT(U77,"0")) *
            (ROW(INDIRECT("'" &amp; 'Hulp (overig)'!$C$16 &amp; "'!B1:B1000")) &gt;= MATCH(
                U75,
                INDIRECT("'" &amp; 'Hulp (overig)'!$C$16 &amp; "'!A1:A1000"),
                0
            )) *
            IF(
                V75="",
                1,
                (ROW(INDIRECT("'" &amp; 'Hulp (overig)'!$C$16 &amp; "'!B1:B1000")) &lt; MATCH(
                    V75,
                    INDIRECT("'" &amp; 'Hulp (overig)'!$C$16 &amp; "'!A1:A1000"),
                    0
                ))
            ),
            ROW(INDIRECT("'" &amp; 'Hulp (overig)'!$C$16 &amp; "'!B1:B1000"))
        )
    ),0) &lt; 1,
    "",
    IF(INDEX(
        INDIRECT("'" &amp; 'Hulp (overig)'!$C$16 &amp; "'!" &amp;
        'Hulp (overig)'!$C$17 &amp; "1:" &amp; 'Hulp (overig)'!$C$17 &amp; 1000
        ),
        IFERROR(MIN(
            IF(
                (TRIM(INDIRECT("'" &amp; 'Hulp (overig)'!$C$16 &amp; "'!B1:B1000")) = TEXT(U77,"0")) *
                (ROW(INDIRECT("'" &amp; 'Hulp (overig)'!$C$16 &amp; "'!B1:B1000")) &gt;= MATCH(
                    U75,
                    INDIRECT("'" &amp; 'Hulp (overig)'!$C$16 &amp; "'!A1:A1000"),
                    0
                )) *
                IF(
                    V75="",
                    1,
                    (ROW(INDIRECT("'" &amp; 'Hulp (overig)'!$C$16 &amp; "'!B1:B1000")) &lt; MATCH(
                        V75,
                        INDIRECT("'" &amp; 'Hulp (overig)'!$C$16 &amp; "'!A1:A1000"),
                        0
                    ))
                ),
                ROW(INDIRECT("'" &amp; 'Hulp (overig)'!$C$16 &amp; "'!B1:B1000"))
            )
        ),0)
    )=0,"",
INDEX(
        INDIRECT("'" &amp; 'Hulp (overig)'!$C$16 &amp; "'!" &amp;
        'Hulp (overig)'!$C$17 &amp; "1:" &amp; 'Hulp (overig)'!$C$17 &amp; 1000
        ),
        IFERROR(MIN(
            IF(
                (TRIM(INDIRECT("'" &amp; 'Hulp (overig)'!$C$16 &amp; "'!B1:B1000")) = TEXT(U77,"0")) *
                (ROW(INDIRECT("'" &amp; 'Hulp (overig)'!$C$16 &amp; "'!B1:B1000")) &gt;= MATCH(
                    U75,
                    INDIRECT("'" &amp; 'Hulp (overig)'!$C$16 &amp; "'!A1:A1000"),
                    0
                )) *
                IF(
                    V75="",
                    1,
                    (ROW(INDIRECT("'" &amp; 'Hulp (overig)'!$C$16 &amp; "'!B1:B1000")) &lt; MATCH(
                        V75,
                        INDIRECT("'" &amp; 'Hulp (overig)'!$C$16 &amp; "'!A1:A1000"),
                        0
                    ))
                ),
                ROW(INDIRECT("'" &amp; 'Hulp (overig)'!$C$16 &amp; "'!B1:B1000"))
            )
        ),0)
    ))
))))</f>
        <v>#VALUE!</v>
      </c>
      <c r="V78" s="413" t="str" cm="1">
        <f t="array" ref="V78">IF(SUM(F79:U79)=0,"",
IF(SUM(F78:U78)=0,"",
IF(SUMPRODUCT((F79:U79&lt;&gt;0)*(F78:U78=""))&gt;0,"",
(
   SUMPRODUCT(
      IF(F78:U78="",0,F78:U78),
      IF(F79:U79="",0,F79:U79) / SUM(F79:U79)
   )
))))</f>
        <v/>
      </c>
      <c r="W78" s="418"/>
      <c r="X78" s="620"/>
      <c r="Y78" s="419" t="str">
        <f ca="1">IF(B75="","",
        IF(INDIRECT("'Hulp (control forms)'!C" &amp; (13 + INT((ROW()-ROW($B$5))/7))),
            IF(X78="","",X78),
            IF(V78="","",V78)
    )
)</f>
        <v/>
      </c>
      <c r="Z78" s="333"/>
      <c r="AA78" s="771"/>
      <c r="AB78" s="770"/>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c r="BA78" cm="1">
        <f t="array" aca="1" ref="BA78" ca="1">IF(
   SUM(Y78)=0,
   1,
   IF(
      N(INDIRECT("'Hulp (control forms)'!C"&amp;(13+INT((ROW()-ROW($B$5))/7))))&lt;&gt;0,
      MIN(1,
      ('Hulp (overig)'!$C$6/12) /
      (Y78 * BC78 + BD78)),
      MIN(1,
         IF(
            SUM(F78:U78)=0,
            "",
            SUMPRODUCT(
               IF(
                  (IF(F78:U78="",0,F78:U78) * BC78) + BD78
                  &gt; 'Hulp (overig)'!$C$6/12,
                  'Hulp (overig)'!$C$6/12,
                  (IF(F78:U78="",0,F78:U78) * BC78) + BD78
               ),
               IF(F79:U79="",0,F79:U79) / SUM(F79:U79)
            )
         ) /
         ((Y78 * BC78) + BD78)
      )
   )
)</f>
        <v>1</v>
      </c>
      <c r="BB78" cm="1">
        <f t="array" aca="1" ref="BB78" ca="1">IF(
   SUM(Y78)=0,
   1,
   IF(
      N(INDIRECT("'Hulp (control forms)'!C"&amp;(13+INT((ROW()-ROW($B$5))/7))))&lt;&gt;0,
      MIN('Hulp (overig)'!$C$5/12,
      (Y78 * BC78) + BD78) * 12,
         IF(
            SUM(F78:U78)=0,
            "",
            SUMPRODUCT(
               IF(
                  (IF(F78:U78="",0,F78:U78) * BC78) + BD78
                  &gt; 'Hulp (overig)'!$C$5/12,
                  'Hulp (overig)'!$C$5/12,
                  (IF(F78:U78="",0,F78:U78) * BC78) + BD78
               ),
               IF(F79:U79="",0,F79:U79) / SUM(F79:U79)
            )
         ) * 12
   )
)</f>
        <v>1</v>
      </c>
      <c r="BC78" s="287" cm="1">
        <f t="array" aca="1" ref="BC78" ca="1">IFERROR(
   (INDEX('2. Output kostprijs'!$24:$24, 5 + 2*INT((ROW()-8)/7))
    - SUM(INDEX('2. Output kostprijs'!$23:$23, 5 + 2*INT((ROW()-8)/7))))
   / INDEX('2. Output kostprijs'!$19:$19, 5 + 2*INT((ROW()-8)/7)),
   1
)</f>
        <v>1</v>
      </c>
      <c r="BD78" s="287" cm="1">
        <f t="array" aca="1" ref="BD78" ca="1">IFERROR(
   (INDEX('2. Output kostprijs'!$23:$23, 5 + 2*INT((ROW()-8)/7))
    * INDEX('2. Output kostprijs'!$18:$18, 5 + 2*INT((ROW()-8)/7))
   ) / 12,
   0
)</f>
        <v>0</v>
      </c>
      <c r="BE78" t="b">
        <f ca="1">NOT(AND(B75&lt;&gt;"",Y78=""))</f>
        <v>1</v>
      </c>
      <c r="BF78" t="str" cm="1">
        <f t="array" aca="1" ref="BF78" ca="1">INDIRECT("'1a. Input organisatieniveau'!$AD" &amp; 7 + INT((ROW()-ROW($F$8))/7))</f>
        <v/>
      </c>
      <c r="BG78" t="b" cm="1">
        <f t="array" ref="BG78">IFERROR(INDEX('Hulp (control forms)'!C:C, 13 + INT((ROW(A71)-1)/7)),FALSE)</f>
        <v>0</v>
      </c>
    </row>
    <row r="79" spans="1:59" ht="16.05" customHeight="1" thickBot="1" x14ac:dyDescent="0.5">
      <c r="A79" s="289"/>
      <c r="B79" s="343"/>
      <c r="C79" s="325" t="s">
        <v>779</v>
      </c>
      <c r="D79" s="688" t="s">
        <v>60</v>
      </c>
      <c r="E79" s="433" t="s">
        <v>59</v>
      </c>
      <c r="F79" s="624"/>
      <c r="G79" s="624"/>
      <c r="H79" s="624"/>
      <c r="I79" s="624"/>
      <c r="J79" s="624"/>
      <c r="K79" s="624"/>
      <c r="L79" s="624"/>
      <c r="M79" s="624"/>
      <c r="N79" s="624"/>
      <c r="O79" s="624"/>
      <c r="P79" s="624"/>
      <c r="Q79" s="624"/>
      <c r="R79" s="624"/>
      <c r="S79" s="624"/>
      <c r="T79" s="624"/>
      <c r="U79" s="625"/>
      <c r="V79" s="420" t="str">
        <f ca="1">IF($B75="","",IF($D79="Aandeel in %",
   "Totaal: "&amp;SUM(F79:U79)*100&amp;"%",
   "Totaal: "&amp;SUM(F79:U79)&amp;" uur"
))</f>
        <v/>
      </c>
      <c r="W79" s="294"/>
      <c r="X79" s="621"/>
      <c r="Y79" s="328"/>
      <c r="Z79" s="32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9" ht="16.05" customHeight="1" thickBot="1" x14ac:dyDescent="0.5">
      <c r="A80" s="289"/>
      <c r="B80" s="343"/>
      <c r="C80" s="326" t="s">
        <v>779</v>
      </c>
      <c r="D80" s="421"/>
      <c r="E80" s="426"/>
      <c r="F80" s="426"/>
      <c r="G80" s="426"/>
      <c r="H80" s="426"/>
      <c r="I80" s="426"/>
      <c r="J80" s="426"/>
      <c r="K80" s="426"/>
      <c r="L80" s="426"/>
      <c r="M80" s="426"/>
      <c r="N80" s="426"/>
      <c r="O80" s="426"/>
      <c r="P80" s="426"/>
      <c r="Q80" s="426"/>
      <c r="R80" s="426"/>
      <c r="S80" s="426"/>
      <c r="T80" s="427"/>
      <c r="U80" s="427"/>
      <c r="V80" s="421"/>
      <c r="W80" s="421"/>
      <c r="X80" s="622"/>
      <c r="Y80" s="421"/>
      <c r="Z80" s="327"/>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9" ht="16.05" customHeight="1" thickBot="1" x14ac:dyDescent="0.55000000000000004">
      <c r="A81" s="289"/>
      <c r="B81" s="585" t="str">
        <f ca="1">IF(B82="","",
IF(
   OR(
      INDIRECT("'1a. Input organisatieniveau'!AC" &amp; (7 + INT((ROW()-4)/7)))="",
      INDIRECT("'1a. Input organisatieniveau'!AC" &amp; (7 + INT((ROW()-4)/7)))=0
   ),
   "",
   INDIRECT("'1a. Input organisatieniveau'!AC" &amp; (7 + INT((ROW()-4)/7)))
))</f>
        <v/>
      </c>
      <c r="C81" s="324" t="s">
        <v>779</v>
      </c>
      <c r="D81" s="416"/>
      <c r="E81" s="428"/>
      <c r="F81" s="422" t="str">
        <f t="shared" ref="F81:U81" ca="1" si="11">IF($B82="","",
IF($D83="Gebruik % van maximum salaris",
 IF(OR(AND(AND(F82&lt;&gt;"",F83&lt;&gt;""),F85=""),AND(F85="",F86&lt;&gt;"")),"!",""),
 IF(OR(AND(AND(F82&lt;&gt;"",F84&lt;&gt;""),F85=""),AND(F85="",F86&lt;&gt;"")),"!","")))</f>
        <v/>
      </c>
      <c r="G81" s="422" t="str">
        <f t="shared" ca="1" si="11"/>
        <v/>
      </c>
      <c r="H81" s="422" t="str">
        <f t="shared" ca="1" si="11"/>
        <v/>
      </c>
      <c r="I81" s="422" t="str">
        <f t="shared" ca="1" si="11"/>
        <v/>
      </c>
      <c r="J81" s="422" t="str">
        <f t="shared" ca="1" si="11"/>
        <v/>
      </c>
      <c r="K81" s="422" t="str">
        <f t="shared" ca="1" si="11"/>
        <v/>
      </c>
      <c r="L81" s="422" t="str">
        <f t="shared" ca="1" si="11"/>
        <v/>
      </c>
      <c r="M81" s="422" t="str">
        <f t="shared" ca="1" si="11"/>
        <v/>
      </c>
      <c r="N81" s="422" t="str">
        <f t="shared" ca="1" si="11"/>
        <v/>
      </c>
      <c r="O81" s="422" t="str">
        <f t="shared" ca="1" si="11"/>
        <v/>
      </c>
      <c r="P81" s="422" t="str">
        <f t="shared" ca="1" si="11"/>
        <v/>
      </c>
      <c r="Q81" s="422" t="str">
        <f t="shared" ca="1" si="11"/>
        <v/>
      </c>
      <c r="R81" s="422" t="str">
        <f t="shared" ca="1" si="11"/>
        <v/>
      </c>
      <c r="S81" s="422" t="str">
        <f t="shared" ca="1" si="11"/>
        <v/>
      </c>
      <c r="T81" s="422" t="str">
        <f t="shared" ca="1" si="11"/>
        <v/>
      </c>
      <c r="U81" s="422" t="str">
        <f t="shared" ca="1" si="11"/>
        <v/>
      </c>
      <c r="V81" s="416"/>
      <c r="W81" s="416"/>
      <c r="X81" s="619"/>
      <c r="Y81" s="416"/>
      <c r="Z81" s="330"/>
      <c r="AA81" s="354"/>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9" ht="16.05" customHeight="1" thickBot="1" x14ac:dyDescent="0.5">
      <c r="A82" s="289"/>
      <c r="B82" s="586" t="str">
        <f ca="1">IF(
   OR(
      INDIRECT("'1a. Input organisatieniveau'!AA" &amp; (7 + INT((ROW()-4)/7)))="",
      INDIRECT("'1a. Input organisatieniveau'!AA" &amp; (7 + INT((ROW()-4)/7)))=0
   ),
   "",
   INDIRECT("'1a. Input organisatieniveau'!AA" &amp; (7 + INT((ROW()-4)/7)))
)</f>
        <v/>
      </c>
      <c r="C82" s="325" t="s">
        <v>779</v>
      </c>
      <c r="D82" s="434"/>
      <c r="E82" s="429" t="s">
        <v>28</v>
      </c>
      <c r="F82" s="423" t="str">
        <f ca="1">IF($B82="", "", IF($BF85, IF('Hulp (CAO''s)'!J$8&lt;&gt;"",'Hulp (CAO''s)'!J$8,""), INDEX('Hulp (CAO''s)'!J$3:J$7, MATCH(TRUE, 'Hulp (CAO''s)'!$D$3:$D$7, 0))))</f>
        <v/>
      </c>
      <c r="G82" s="423" t="str">
        <f ca="1">IF($B82="", "", IF($BF85, IF('Hulp (CAO''s)'!K$8&lt;&gt;"",'Hulp (CAO''s)'!K$8,""), INDEX('Hulp (CAO''s)'!K$3:K$7, MATCH(TRUE, 'Hulp (CAO''s)'!$D$3:$D$7, 0))))</f>
        <v/>
      </c>
      <c r="H82" s="423" t="str">
        <f ca="1">IF($B82="", "", IF($BF85, IF('Hulp (CAO''s)'!L$8&lt;&gt;"",'Hulp (CAO''s)'!L$8,""), INDEX('Hulp (CAO''s)'!L$3:L$7, MATCH(TRUE, 'Hulp (CAO''s)'!$D$3:$D$7, 0))))</f>
        <v/>
      </c>
      <c r="I82" s="423" t="str">
        <f ca="1">IF($B82="", "", IF($BF85, IF('Hulp (CAO''s)'!M$8&lt;&gt;"",'Hulp (CAO''s)'!M$8,""), INDEX('Hulp (CAO''s)'!M$3:M$7, MATCH(TRUE, 'Hulp (CAO''s)'!$D$3:$D$7, 0))))</f>
        <v/>
      </c>
      <c r="J82" s="423" t="str">
        <f ca="1">IF($B82="", "", IF($BF85, IF('Hulp (CAO''s)'!N$8&lt;&gt;"",'Hulp (CAO''s)'!N$8,""), INDEX('Hulp (CAO''s)'!N$3:N$7, MATCH(TRUE, 'Hulp (CAO''s)'!$D$3:$D$7, 0))))</f>
        <v/>
      </c>
      <c r="K82" s="423" t="str">
        <f ca="1">IF($B82="", "", IF($BF85, IF('Hulp (CAO''s)'!O$8&lt;&gt;"",'Hulp (CAO''s)'!O$8,""), INDEX('Hulp (CAO''s)'!O$3:O$7, MATCH(TRUE, 'Hulp (CAO''s)'!$D$3:$D$7, 0))))</f>
        <v/>
      </c>
      <c r="L82" s="423" t="str">
        <f ca="1">IF($B82="", "", IF($BF85, IF('Hulp (CAO''s)'!P$8&lt;&gt;"",'Hulp (CAO''s)'!P$8,""), INDEX('Hulp (CAO''s)'!P$3:P$7, MATCH(TRUE, 'Hulp (CAO''s)'!$D$3:$D$7, 0))))</f>
        <v/>
      </c>
      <c r="M82" s="423" t="str">
        <f ca="1">IF($B82="", "", IF($BF85, IF('Hulp (CAO''s)'!Q$8&lt;&gt;"",'Hulp (CAO''s)'!Q$8,""), INDEX('Hulp (CAO''s)'!Q$3:Q$7, MATCH(TRUE, 'Hulp (CAO''s)'!$D$3:$D$7, 0))))</f>
        <v/>
      </c>
      <c r="N82" s="423" t="str">
        <f ca="1">IF($B82="", "", IF($BF85, IF('Hulp (CAO''s)'!R$8&lt;&gt;"",'Hulp (CAO''s)'!R$8,""), INDEX('Hulp (CAO''s)'!R$3:R$7, MATCH(TRUE, 'Hulp (CAO''s)'!$D$3:$D$7, 0))))</f>
        <v/>
      </c>
      <c r="O82" s="423" t="str">
        <f ca="1">IF($B82="", "", IF($BF85, IF('Hulp (CAO''s)'!S$8&lt;&gt;"",'Hulp (CAO''s)'!S$8,""), INDEX('Hulp (CAO''s)'!S$3:S$7, MATCH(TRUE, 'Hulp (CAO''s)'!$D$3:$D$7, 0))))</f>
        <v/>
      </c>
      <c r="P82" s="423" t="str">
        <f ca="1">IF($B82="", "", IF($BF85, IF('Hulp (CAO''s)'!T$8&lt;&gt;"",'Hulp (CAO''s)'!T$8,""), INDEX('Hulp (CAO''s)'!T$3:T$7, MATCH(TRUE, 'Hulp (CAO''s)'!$D$3:$D$7, 0))))</f>
        <v/>
      </c>
      <c r="Q82" s="423" t="str">
        <f ca="1">IF($B82="", "", IF($BF85, IF('Hulp (CAO''s)'!U$8&lt;&gt;"",'Hulp (CAO''s)'!U$8,""), INDEX('Hulp (CAO''s)'!U$3:U$7, MATCH(TRUE, 'Hulp (CAO''s)'!$D$3:$D$7, 0))))</f>
        <v/>
      </c>
      <c r="R82" s="423" t="str">
        <f ca="1">IF($B82="", "", IF($BF85, IF('Hulp (CAO''s)'!V$8&lt;&gt;"",'Hulp (CAO''s)'!V$8,""), INDEX('Hulp (CAO''s)'!V$3:V$7, MATCH(TRUE, 'Hulp (CAO''s)'!$D$3:$D$7, 0))))</f>
        <v/>
      </c>
      <c r="S82" s="423" t="str">
        <f ca="1">IF($B82="", "", IF($BF85, IF('Hulp (CAO''s)'!W$8&lt;&gt;"",'Hulp (CAO''s)'!W$8,""), INDEX('Hulp (CAO''s)'!W$3:W$7, MATCH(TRUE, 'Hulp (CAO''s)'!$D$3:$D$7, 0))))</f>
        <v/>
      </c>
      <c r="T82" s="423" t="str">
        <f ca="1">IF($B82="", "", IF($BF85, IF('Hulp (CAO''s)'!X$8&lt;&gt;"",'Hulp (CAO''s)'!X$8,""), INDEX('Hulp (CAO''s)'!X$3:X$7, MATCH(TRUE, 'Hulp (CAO''s)'!$D$3:$D$7, 0))))</f>
        <v/>
      </c>
      <c r="U82" s="424" t="str">
        <f ca="1">IF($B82="", "", IF($BF85, IF('Hulp (CAO''s)'!Y$8&lt;&gt;"",'Hulp (CAO''s)'!Y$8,""), INDEX('Hulp (CAO''s)'!Y$3:Y$7, MATCH(TRUE, 'Hulp (CAO''s)'!$D$3:$D$7, 0))))</f>
        <v/>
      </c>
      <c r="V82" s="417"/>
      <c r="W82" s="343"/>
      <c r="X82" s="617"/>
      <c r="Y82" s="343"/>
      <c r="Z82" s="329"/>
      <c r="AA82" s="320"/>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9" ht="16.05" customHeight="1" x14ac:dyDescent="0.45">
      <c r="A83" s="289"/>
      <c r="B83" s="343"/>
      <c r="C83" s="325" t="s">
        <v>779</v>
      </c>
      <c r="D83" s="772" t="s">
        <v>772</v>
      </c>
      <c r="E83" s="430" t="e">
        <f ca="1">IF($BF85, "", "% t.o.v. max salaris in de schaal")</f>
        <v>#VALUE!</v>
      </c>
      <c r="F83" s="615"/>
      <c r="G83" s="615"/>
      <c r="H83" s="615"/>
      <c r="I83" s="615"/>
      <c r="J83" s="615"/>
      <c r="K83" s="615"/>
      <c r="L83" s="615"/>
      <c r="M83" s="615"/>
      <c r="N83" s="615"/>
      <c r="O83" s="615"/>
      <c r="P83" s="615"/>
      <c r="Q83" s="615"/>
      <c r="R83" s="615"/>
      <c r="S83" s="615"/>
      <c r="T83" s="615"/>
      <c r="U83" s="616"/>
      <c r="V83" s="774" t="s">
        <v>884</v>
      </c>
      <c r="W83" s="332"/>
      <c r="X83" s="776" t="s">
        <v>882</v>
      </c>
      <c r="Y83" s="778" t="s">
        <v>883</v>
      </c>
      <c r="Z83" s="329"/>
      <c r="AA83" s="771" t="s">
        <v>780</v>
      </c>
      <c r="AB83" s="770" t="s">
        <v>1079</v>
      </c>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9" ht="16.05" customHeight="1" thickBot="1" x14ac:dyDescent="0.5">
      <c r="A84" s="289"/>
      <c r="B84" s="343"/>
      <c r="C84" s="325" t="s">
        <v>779</v>
      </c>
      <c r="D84" s="773"/>
      <c r="E84" s="431" t="e">
        <f ca="1">IF($BF85, "", "Trede (gemiddeld)")</f>
        <v>#VALUE!</v>
      </c>
      <c r="F84" s="737"/>
      <c r="G84" s="737"/>
      <c r="H84" s="737"/>
      <c r="I84" s="737"/>
      <c r="J84" s="737"/>
      <c r="K84" s="737"/>
      <c r="L84" s="737"/>
      <c r="M84" s="737"/>
      <c r="N84" s="737"/>
      <c r="O84" s="737"/>
      <c r="P84" s="737"/>
      <c r="Q84" s="737"/>
      <c r="R84" s="737"/>
      <c r="S84" s="737"/>
      <c r="T84" s="737"/>
      <c r="U84" s="740"/>
      <c r="V84" s="775"/>
      <c r="W84" s="294"/>
      <c r="X84" s="777"/>
      <c r="Y84" s="779"/>
      <c r="Z84" s="329"/>
      <c r="AA84" s="771"/>
      <c r="AB84" s="770"/>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9" ht="16.05" customHeight="1" thickBot="1" x14ac:dyDescent="0.5">
      <c r="A85" s="289"/>
      <c r="B85" s="343"/>
      <c r="C85" s="325" t="s">
        <v>779</v>
      </c>
      <c r="E85" s="432" t="str">
        <f>IFERROR(
   INDEX('Hulp (CAO''s)'!$I$3:$I$7, MATCH(TRUE, 'Hulp (CAO''s)'!$D$3:$D$7, 0)),
"")</f>
        <v>Bruto maandsalaris</v>
      </c>
      <c r="F85" s="425" t="e" cm="1">
        <f t="array" aca="1" ref="F85" ca="1">IF($BF85, IF(F82="","",
   INDEX(
      INDIRECT("'" &amp; 'Hulp (CAO''s)'!$AE$8 &amp; "'!" &amp;
               'Hulp (overig)'!$C$17 &amp; "1:" &amp;
               'Hulp (overig)'!$C$17 &amp; "1000"),
      MATCH(
         F82,
         INDIRECT("'" &amp; 'Hulp (CAO''s)'!$AE$8 &amp; "'!A1:A1000"),
         0
      )
   )
), IF($D83="Gebruik % van maximum salaris",
IF(
    OR(F82="",F83=""),
    "",
    MAX(
        INDIRECT(
            "'" &amp; 'Hulp (overig)'!$C$16 &amp; "'!" &amp;
            'Hulp (overig)'!$C$17 &amp;
            MATCH(F82, INDIRECT("'" &amp; 'Hulp (overig)'!$C$16 &amp; "'!A1:A1000"), 0) &amp;
            ":" &amp;
            'Hulp (overig)'!$C$17 &amp;
LOOKUP(
    2,
    1 / (
        (ROW(INDIRECT("'" &amp; 'Hulp (overig)'!$C$16 &amp; "'!B1:B1000")) &lt;
            IF(G82&lt;&gt;"",
               MATCH(G82, INDIRECT("'" &amp; 'Hulp (overig)'!$C$16 &amp; "'!A1:A1000"),0),
               1000
            )
        ) *
        (LEFT(TRIM(INDIRECT("'" &amp; 'Hulp (overig)'!$C$16 &amp; "'!B1:B1000")),1) &lt;&gt; "u")
    ),
    ROW(INDIRECT("'" &amp; 'Hulp (overig)'!$C$16 &amp; "'!B1:B1000"))
)
        )
    ) * F83
),
IF(F84="","",
IF(
    IFERROR(MIN(
        IF(
            (TRIM(INDIRECT("'" &amp; 'Hulp (overig)'!$C$16 &amp; "'!B1:B1000")) = TEXT(F84,"0")) *
            (ROW(INDIRECT("'" &amp; 'Hulp (overig)'!$C$16 &amp; "'!B1:B1000")) &gt;= MATCH(
                F82,
                INDIRECT("'" &amp; 'Hulp (overig)'!$C$16 &amp; "'!A1:A1000"),
                0
            )) *
            IF(
                G82="",
                1,
                (ROW(INDIRECT("'" &amp; 'Hulp (overig)'!$C$16 &amp; "'!B1:B1000")) &lt; MATCH(
                    G82,
                    INDIRECT("'" &amp; 'Hulp (overig)'!$C$16 &amp; "'!A1:A1000"),
                    0
                ))
            ),
            ROW(INDIRECT("'" &amp; 'Hulp (overig)'!$C$16 &amp; "'!B1:B1000"))
        )
    ),0) &lt; 1,
    "",
    IF(INDEX(
        INDIRECT("'" &amp; 'Hulp (overig)'!$C$16 &amp; "'!" &amp;
        'Hulp (overig)'!$C$17 &amp; "1:" &amp; 'Hulp (overig)'!$C$17 &amp; 1000
        ),
        IFERROR(MIN(
            IF(
                (TRIM(INDIRECT("'" &amp; 'Hulp (overig)'!$C$16 &amp; "'!B1:B1000")) = TEXT(F84,"0")) *
                (ROW(INDIRECT("'" &amp; 'Hulp (overig)'!$C$16 &amp; "'!B1:B1000")) &gt;= MATCH(
                    F82,
                    INDIRECT("'" &amp; 'Hulp (overig)'!$C$16 &amp; "'!A1:A1000"),
                    0
                )) *
                IF(
                    G82="",
                    1,
                    (ROW(INDIRECT("'" &amp; 'Hulp (overig)'!$C$16 &amp; "'!B1:B1000")) &lt; MATCH(
                        G82,
                        INDIRECT("'" &amp; 'Hulp (overig)'!$C$16 &amp; "'!A1:A1000"),
                        0
                    ))
                ),
                ROW(INDIRECT("'" &amp; 'Hulp (overig)'!$C$16 &amp; "'!B1:B1000"))
            )
        ),0)
    )=0,"",
INDEX(
        INDIRECT("'" &amp; 'Hulp (overig)'!$C$16 &amp; "'!" &amp;
        'Hulp (overig)'!$C$17 &amp; "1:" &amp; 'Hulp (overig)'!$C$17 &amp; 1000
        ),
        IFERROR(MIN(
            IF(
                (TRIM(INDIRECT("'" &amp; 'Hulp (overig)'!$C$16 &amp; "'!B1:B1000")) = TEXT(F84,"0")) *
                (ROW(INDIRECT("'" &amp; 'Hulp (overig)'!$C$16 &amp; "'!B1:B1000")) &gt;= MATCH(
                    F82,
                    INDIRECT("'" &amp; 'Hulp (overig)'!$C$16 &amp; "'!A1:A1000"),
                    0
                )) *
                IF(
                    G82="",
                    1,
                    (ROW(INDIRECT("'" &amp; 'Hulp (overig)'!$C$16 &amp; "'!B1:B1000")) &lt; MATCH(
                        G82,
                        INDIRECT("'" &amp; 'Hulp (overig)'!$C$16 &amp; "'!A1:A1000"),
                        0
                    ))
                ),
                ROW(INDIRECT("'" &amp; 'Hulp (overig)'!$C$16 &amp; "'!B1:B1000"))
            )
        ),0)
    ))
))))</f>
        <v>#VALUE!</v>
      </c>
      <c r="G85" s="425" t="e" cm="1">
        <f t="array" aca="1" ref="G85" ca="1">IF($BF85, IF(G82="","",
   INDEX(
      INDIRECT("'" &amp; 'Hulp (CAO''s)'!$AE$8 &amp; "'!" &amp;
               'Hulp (overig)'!$C$17 &amp; "1:" &amp;
               'Hulp (overig)'!$C$17 &amp; "1000"),
      MATCH(
         G82,
         INDIRECT("'" &amp; 'Hulp (CAO''s)'!$AE$8 &amp; "'!A1:A1000"),
         0
      )
   )
), IF($D83="Gebruik % van maximum salaris",
IF(
    OR(G82="",G83=""),
    "",
    MAX(
        INDIRECT(
            "'" &amp; 'Hulp (overig)'!$C$16 &amp; "'!" &amp;
            'Hulp (overig)'!$C$17 &amp;
            MATCH(G82, INDIRECT("'" &amp; 'Hulp (overig)'!$C$16 &amp; "'!A1:A1000"), 0) &amp;
            ":" &amp;
            'Hulp (overig)'!$C$17 &amp;
LOOKUP(
    2,
    1 / (
        (ROW(INDIRECT("'" &amp; 'Hulp (overig)'!$C$16 &amp; "'!B1:B1000")) &lt;
            IF(H82&lt;&gt;"",
               MATCH(H82, INDIRECT("'" &amp; 'Hulp (overig)'!$C$16 &amp; "'!A1:A1000"),0),
               1000
            )
        ) *
        (LEFT(TRIM(INDIRECT("'" &amp; 'Hulp (overig)'!$C$16 &amp; "'!B1:B1000")),1) &lt;&gt; "u")
    ),
    ROW(INDIRECT("'" &amp; 'Hulp (overig)'!$C$16 &amp; "'!B1:B1000"))
)
        )
    ) * G83
),
IF(G84="","",
IF(
    IFERROR(MIN(
        IF(
            (TRIM(INDIRECT("'" &amp; 'Hulp (overig)'!$C$16 &amp; "'!B1:B1000")) = TEXT(G84,"0")) *
            (ROW(INDIRECT("'" &amp; 'Hulp (overig)'!$C$16 &amp; "'!B1:B1000")) &gt;= MATCH(
                G82,
                INDIRECT("'" &amp; 'Hulp (overig)'!$C$16 &amp; "'!A1:A1000"),
                0
            )) *
            IF(
                H82="",
                1,
                (ROW(INDIRECT("'" &amp; 'Hulp (overig)'!$C$16 &amp; "'!B1:B1000")) &lt; MATCH(
                    H82,
                    INDIRECT("'" &amp; 'Hulp (overig)'!$C$16 &amp; "'!A1:A1000"),
                    0
                ))
            ),
            ROW(INDIRECT("'" &amp; 'Hulp (overig)'!$C$16 &amp; "'!B1:B1000"))
        )
    ),0) &lt; 1,
    "",
    IF(INDEX(
        INDIRECT("'" &amp; 'Hulp (overig)'!$C$16 &amp; "'!" &amp;
        'Hulp (overig)'!$C$17 &amp; "1:" &amp; 'Hulp (overig)'!$C$17 &amp; 1000
        ),
        IFERROR(MIN(
            IF(
                (TRIM(INDIRECT("'" &amp; 'Hulp (overig)'!$C$16 &amp; "'!B1:B1000")) = TEXT(G84,"0")) *
                (ROW(INDIRECT("'" &amp; 'Hulp (overig)'!$C$16 &amp; "'!B1:B1000")) &gt;= MATCH(
                    G82,
                    INDIRECT("'" &amp; 'Hulp (overig)'!$C$16 &amp; "'!A1:A1000"),
                    0
                )) *
                IF(
                    H82="",
                    1,
                    (ROW(INDIRECT("'" &amp; 'Hulp (overig)'!$C$16 &amp; "'!B1:B1000")) &lt; MATCH(
                        H82,
                        INDIRECT("'" &amp; 'Hulp (overig)'!$C$16 &amp; "'!A1:A1000"),
                        0
                    ))
                ),
                ROW(INDIRECT("'" &amp; 'Hulp (overig)'!$C$16 &amp; "'!B1:B1000"))
            )
        ),0)
    )=0,"",
INDEX(
        INDIRECT("'" &amp; 'Hulp (overig)'!$C$16 &amp; "'!" &amp;
        'Hulp (overig)'!$C$17 &amp; "1:" &amp; 'Hulp (overig)'!$C$17 &amp; 1000
        ),
        IFERROR(MIN(
            IF(
                (TRIM(INDIRECT("'" &amp; 'Hulp (overig)'!$C$16 &amp; "'!B1:B1000")) = TEXT(G84,"0")) *
                (ROW(INDIRECT("'" &amp; 'Hulp (overig)'!$C$16 &amp; "'!B1:B1000")) &gt;= MATCH(
                    G82,
                    INDIRECT("'" &amp; 'Hulp (overig)'!$C$16 &amp; "'!A1:A1000"),
                    0
                )) *
                IF(
                    H82="",
                    1,
                    (ROW(INDIRECT("'" &amp; 'Hulp (overig)'!$C$16 &amp; "'!B1:B1000")) &lt; MATCH(
                        H82,
                        INDIRECT("'" &amp; 'Hulp (overig)'!$C$16 &amp; "'!A1:A1000"),
                        0
                    ))
                ),
                ROW(INDIRECT("'" &amp; 'Hulp (overig)'!$C$16 &amp; "'!B1:B1000"))
            )
        ),0)
    ))
))))</f>
        <v>#VALUE!</v>
      </c>
      <c r="H85" s="425" t="e" cm="1">
        <f t="array" aca="1" ref="H85" ca="1">IF($BF85, IF(H82="","",
   INDEX(
      INDIRECT("'" &amp; 'Hulp (CAO''s)'!$AE$8 &amp; "'!" &amp;
               'Hulp (overig)'!$C$17 &amp; "1:" &amp;
               'Hulp (overig)'!$C$17 &amp; "1000"),
      MATCH(
         H82,
         INDIRECT("'" &amp; 'Hulp (CAO''s)'!$AE$8 &amp; "'!A1:A1000"),
         0
      )
   )
), IF($D83="Gebruik % van maximum salaris",
IF(
    OR(H82="",H83=""),
    "",
    MAX(
        INDIRECT(
            "'" &amp; 'Hulp (overig)'!$C$16 &amp; "'!" &amp;
            'Hulp (overig)'!$C$17 &amp;
            MATCH(H82, INDIRECT("'" &amp; 'Hulp (overig)'!$C$16 &amp; "'!A1:A1000"), 0) &amp;
            ":" &amp;
            'Hulp (overig)'!$C$17 &amp;
LOOKUP(
    2,
    1 / (
        (ROW(INDIRECT("'" &amp; 'Hulp (overig)'!$C$16 &amp; "'!B1:B1000")) &lt;
            IF(I82&lt;&gt;"",
               MATCH(I82, INDIRECT("'" &amp; 'Hulp (overig)'!$C$16 &amp; "'!A1:A1000"),0),
               1000
            )
        ) *
        (LEFT(TRIM(INDIRECT("'" &amp; 'Hulp (overig)'!$C$16 &amp; "'!B1:B1000")),1) &lt;&gt; "u")
    ),
    ROW(INDIRECT("'" &amp; 'Hulp (overig)'!$C$16 &amp; "'!B1:B1000"))
)
        )
    ) * H83
),
IF(H84="","",
IF(
    IFERROR(MIN(
        IF(
            (TRIM(INDIRECT("'" &amp; 'Hulp (overig)'!$C$16 &amp; "'!B1:B1000")) = TEXT(H84,"0")) *
            (ROW(INDIRECT("'" &amp; 'Hulp (overig)'!$C$16 &amp; "'!B1:B1000")) &gt;= MATCH(
                H82,
                INDIRECT("'" &amp; 'Hulp (overig)'!$C$16 &amp; "'!A1:A1000"),
                0
            )) *
            IF(
                I82="",
                1,
                (ROW(INDIRECT("'" &amp; 'Hulp (overig)'!$C$16 &amp; "'!B1:B1000")) &lt; MATCH(
                    I82,
                    INDIRECT("'" &amp; 'Hulp (overig)'!$C$16 &amp; "'!A1:A1000"),
                    0
                ))
            ),
            ROW(INDIRECT("'" &amp; 'Hulp (overig)'!$C$16 &amp; "'!B1:B1000"))
        )
    ),0) &lt; 1,
    "",
    IF(INDEX(
        INDIRECT("'" &amp; 'Hulp (overig)'!$C$16 &amp; "'!" &amp;
        'Hulp (overig)'!$C$17 &amp; "1:" &amp; 'Hulp (overig)'!$C$17 &amp; 1000
        ),
        IFERROR(MIN(
            IF(
                (TRIM(INDIRECT("'" &amp; 'Hulp (overig)'!$C$16 &amp; "'!B1:B1000")) = TEXT(H84,"0")) *
                (ROW(INDIRECT("'" &amp; 'Hulp (overig)'!$C$16 &amp; "'!B1:B1000")) &gt;= MATCH(
                    H82,
                    INDIRECT("'" &amp; 'Hulp (overig)'!$C$16 &amp; "'!A1:A1000"),
                    0
                )) *
                IF(
                    I82="",
                    1,
                    (ROW(INDIRECT("'" &amp; 'Hulp (overig)'!$C$16 &amp; "'!B1:B1000")) &lt; MATCH(
                        I82,
                        INDIRECT("'" &amp; 'Hulp (overig)'!$C$16 &amp; "'!A1:A1000"),
                        0
                    ))
                ),
                ROW(INDIRECT("'" &amp; 'Hulp (overig)'!$C$16 &amp; "'!B1:B1000"))
            )
        ),0)
    )=0,"",
INDEX(
        INDIRECT("'" &amp; 'Hulp (overig)'!$C$16 &amp; "'!" &amp;
        'Hulp (overig)'!$C$17 &amp; "1:" &amp; 'Hulp (overig)'!$C$17 &amp; 1000
        ),
        IFERROR(MIN(
            IF(
                (TRIM(INDIRECT("'" &amp; 'Hulp (overig)'!$C$16 &amp; "'!B1:B1000")) = TEXT(H84,"0")) *
                (ROW(INDIRECT("'" &amp; 'Hulp (overig)'!$C$16 &amp; "'!B1:B1000")) &gt;= MATCH(
                    H82,
                    INDIRECT("'" &amp; 'Hulp (overig)'!$C$16 &amp; "'!A1:A1000"),
                    0
                )) *
                IF(
                    I82="",
                    1,
                    (ROW(INDIRECT("'" &amp; 'Hulp (overig)'!$C$16 &amp; "'!B1:B1000")) &lt; MATCH(
                        I82,
                        INDIRECT("'" &amp; 'Hulp (overig)'!$C$16 &amp; "'!A1:A1000"),
                        0
                    ))
                ),
                ROW(INDIRECT("'" &amp; 'Hulp (overig)'!$C$16 &amp; "'!B1:B1000"))
            )
        ),0)
    ))
))))</f>
        <v>#VALUE!</v>
      </c>
      <c r="I85" s="425" t="e" cm="1">
        <f t="array" aca="1" ref="I85" ca="1">IF($BF85, IF(I82="","",
   INDEX(
      INDIRECT("'" &amp; 'Hulp (CAO''s)'!$AE$8 &amp; "'!" &amp;
               'Hulp (overig)'!$C$17 &amp; "1:" &amp;
               'Hulp (overig)'!$C$17 &amp; "1000"),
      MATCH(
         I82,
         INDIRECT("'" &amp; 'Hulp (CAO''s)'!$AE$8 &amp; "'!A1:A1000"),
         0
      )
   )
), IF($D83="Gebruik % van maximum salaris",
IF(
    OR(I82="",I83=""),
    "",
    MAX(
        INDIRECT(
            "'" &amp; 'Hulp (overig)'!$C$16 &amp; "'!" &amp;
            'Hulp (overig)'!$C$17 &amp;
            MATCH(I82, INDIRECT("'" &amp; 'Hulp (overig)'!$C$16 &amp; "'!A1:A1000"), 0) &amp;
            ":" &amp;
            'Hulp (overig)'!$C$17 &amp;
LOOKUP(
    2,
    1 / (
        (ROW(INDIRECT("'" &amp; 'Hulp (overig)'!$C$16 &amp; "'!B1:B1000")) &lt;
            IF(J82&lt;&gt;"",
               MATCH(J82, INDIRECT("'" &amp; 'Hulp (overig)'!$C$16 &amp; "'!A1:A1000"),0),
               1000
            )
        ) *
        (LEFT(TRIM(INDIRECT("'" &amp; 'Hulp (overig)'!$C$16 &amp; "'!B1:B1000")),1) &lt;&gt; "u")
    ),
    ROW(INDIRECT("'" &amp; 'Hulp (overig)'!$C$16 &amp; "'!B1:B1000"))
)
        )
    ) * I83
),
IF(I84="","",
IF(
    IFERROR(MIN(
        IF(
            (TRIM(INDIRECT("'" &amp; 'Hulp (overig)'!$C$16 &amp; "'!B1:B1000")) = TEXT(I84,"0")) *
            (ROW(INDIRECT("'" &amp; 'Hulp (overig)'!$C$16 &amp; "'!B1:B1000")) &gt;= MATCH(
                I82,
                INDIRECT("'" &amp; 'Hulp (overig)'!$C$16 &amp; "'!A1:A1000"),
                0
            )) *
            IF(
                J82="",
                1,
                (ROW(INDIRECT("'" &amp; 'Hulp (overig)'!$C$16 &amp; "'!B1:B1000")) &lt; MATCH(
                    J82,
                    INDIRECT("'" &amp; 'Hulp (overig)'!$C$16 &amp; "'!A1:A1000"),
                    0
                ))
            ),
            ROW(INDIRECT("'" &amp; 'Hulp (overig)'!$C$16 &amp; "'!B1:B1000"))
        )
    ),0) &lt; 1,
    "",
    IF(INDEX(
        INDIRECT("'" &amp; 'Hulp (overig)'!$C$16 &amp; "'!" &amp;
        'Hulp (overig)'!$C$17 &amp; "1:" &amp; 'Hulp (overig)'!$C$17 &amp; 1000
        ),
        IFERROR(MIN(
            IF(
                (TRIM(INDIRECT("'" &amp; 'Hulp (overig)'!$C$16 &amp; "'!B1:B1000")) = TEXT(I84,"0")) *
                (ROW(INDIRECT("'" &amp; 'Hulp (overig)'!$C$16 &amp; "'!B1:B1000")) &gt;= MATCH(
                    I82,
                    INDIRECT("'" &amp; 'Hulp (overig)'!$C$16 &amp; "'!A1:A1000"),
                    0
                )) *
                IF(
                    J82="",
                    1,
                    (ROW(INDIRECT("'" &amp; 'Hulp (overig)'!$C$16 &amp; "'!B1:B1000")) &lt; MATCH(
                        J82,
                        INDIRECT("'" &amp; 'Hulp (overig)'!$C$16 &amp; "'!A1:A1000"),
                        0
                    ))
                ),
                ROW(INDIRECT("'" &amp; 'Hulp (overig)'!$C$16 &amp; "'!B1:B1000"))
            )
        ),0)
    )=0,"",
INDEX(
        INDIRECT("'" &amp; 'Hulp (overig)'!$C$16 &amp; "'!" &amp;
        'Hulp (overig)'!$C$17 &amp; "1:" &amp; 'Hulp (overig)'!$C$17 &amp; 1000
        ),
        IFERROR(MIN(
            IF(
                (TRIM(INDIRECT("'" &amp; 'Hulp (overig)'!$C$16 &amp; "'!B1:B1000")) = TEXT(I84,"0")) *
                (ROW(INDIRECT("'" &amp; 'Hulp (overig)'!$C$16 &amp; "'!B1:B1000")) &gt;= MATCH(
                    I82,
                    INDIRECT("'" &amp; 'Hulp (overig)'!$C$16 &amp; "'!A1:A1000"),
                    0
                )) *
                IF(
                    J82="",
                    1,
                    (ROW(INDIRECT("'" &amp; 'Hulp (overig)'!$C$16 &amp; "'!B1:B1000")) &lt; MATCH(
                        J82,
                        INDIRECT("'" &amp; 'Hulp (overig)'!$C$16 &amp; "'!A1:A1000"),
                        0
                    ))
                ),
                ROW(INDIRECT("'" &amp; 'Hulp (overig)'!$C$16 &amp; "'!B1:B1000"))
            )
        ),0)
    ))
))))</f>
        <v>#VALUE!</v>
      </c>
      <c r="J85" s="425" t="e" cm="1">
        <f t="array" aca="1" ref="J85" ca="1">IF($BF85, IF(J82="","",
   INDEX(
      INDIRECT("'" &amp; 'Hulp (CAO''s)'!$AE$8 &amp; "'!" &amp;
               'Hulp (overig)'!$C$17 &amp; "1:" &amp;
               'Hulp (overig)'!$C$17 &amp; "1000"),
      MATCH(
         J82,
         INDIRECT("'" &amp; 'Hulp (CAO''s)'!$AE$8 &amp; "'!A1:A1000"),
         0
      )
   )
), IF($D83="Gebruik % van maximum salaris",
IF(
    OR(J82="",J83=""),
    "",
    MAX(
        INDIRECT(
            "'" &amp; 'Hulp (overig)'!$C$16 &amp; "'!" &amp;
            'Hulp (overig)'!$C$17 &amp;
            MATCH(J82, INDIRECT("'" &amp; 'Hulp (overig)'!$C$16 &amp; "'!A1:A1000"), 0) &amp;
            ":" &amp;
            'Hulp (overig)'!$C$17 &amp;
LOOKUP(
    2,
    1 / (
        (ROW(INDIRECT("'" &amp; 'Hulp (overig)'!$C$16 &amp; "'!B1:B1000")) &lt;
            IF(K82&lt;&gt;"",
               MATCH(K82, INDIRECT("'" &amp; 'Hulp (overig)'!$C$16 &amp; "'!A1:A1000"),0),
               1000
            )
        ) *
        (LEFT(TRIM(INDIRECT("'" &amp; 'Hulp (overig)'!$C$16 &amp; "'!B1:B1000")),1) &lt;&gt; "u")
    ),
    ROW(INDIRECT("'" &amp; 'Hulp (overig)'!$C$16 &amp; "'!B1:B1000"))
)
        )
    ) * J83
),
IF(J84="","",
IF(
    IFERROR(MIN(
        IF(
            (TRIM(INDIRECT("'" &amp; 'Hulp (overig)'!$C$16 &amp; "'!B1:B1000")) = TEXT(J84,"0")) *
            (ROW(INDIRECT("'" &amp; 'Hulp (overig)'!$C$16 &amp; "'!B1:B1000")) &gt;= MATCH(
                J82,
                INDIRECT("'" &amp; 'Hulp (overig)'!$C$16 &amp; "'!A1:A1000"),
                0
            )) *
            IF(
                K82="",
                1,
                (ROW(INDIRECT("'" &amp; 'Hulp (overig)'!$C$16 &amp; "'!B1:B1000")) &lt; MATCH(
                    K82,
                    INDIRECT("'" &amp; 'Hulp (overig)'!$C$16 &amp; "'!A1:A1000"),
                    0
                ))
            ),
            ROW(INDIRECT("'" &amp; 'Hulp (overig)'!$C$16 &amp; "'!B1:B1000"))
        )
    ),0) &lt; 1,
    "",
    IF(INDEX(
        INDIRECT("'" &amp; 'Hulp (overig)'!$C$16 &amp; "'!" &amp;
        'Hulp (overig)'!$C$17 &amp; "1:" &amp; 'Hulp (overig)'!$C$17 &amp; 1000
        ),
        IFERROR(MIN(
            IF(
                (TRIM(INDIRECT("'" &amp; 'Hulp (overig)'!$C$16 &amp; "'!B1:B1000")) = TEXT(J84,"0")) *
                (ROW(INDIRECT("'" &amp; 'Hulp (overig)'!$C$16 &amp; "'!B1:B1000")) &gt;= MATCH(
                    J82,
                    INDIRECT("'" &amp; 'Hulp (overig)'!$C$16 &amp; "'!A1:A1000"),
                    0
                )) *
                IF(
                    K82="",
                    1,
                    (ROW(INDIRECT("'" &amp; 'Hulp (overig)'!$C$16 &amp; "'!B1:B1000")) &lt; MATCH(
                        K82,
                        INDIRECT("'" &amp; 'Hulp (overig)'!$C$16 &amp; "'!A1:A1000"),
                        0
                    ))
                ),
                ROW(INDIRECT("'" &amp; 'Hulp (overig)'!$C$16 &amp; "'!B1:B1000"))
            )
        ),0)
    )=0,"",
INDEX(
        INDIRECT("'" &amp; 'Hulp (overig)'!$C$16 &amp; "'!" &amp;
        'Hulp (overig)'!$C$17 &amp; "1:" &amp; 'Hulp (overig)'!$C$17 &amp; 1000
        ),
        IFERROR(MIN(
            IF(
                (TRIM(INDIRECT("'" &amp; 'Hulp (overig)'!$C$16 &amp; "'!B1:B1000")) = TEXT(J84,"0")) *
                (ROW(INDIRECT("'" &amp; 'Hulp (overig)'!$C$16 &amp; "'!B1:B1000")) &gt;= MATCH(
                    J82,
                    INDIRECT("'" &amp; 'Hulp (overig)'!$C$16 &amp; "'!A1:A1000"),
                    0
                )) *
                IF(
                    K82="",
                    1,
                    (ROW(INDIRECT("'" &amp; 'Hulp (overig)'!$C$16 &amp; "'!B1:B1000")) &lt; MATCH(
                        K82,
                        INDIRECT("'" &amp; 'Hulp (overig)'!$C$16 &amp; "'!A1:A1000"),
                        0
                    ))
                ),
                ROW(INDIRECT("'" &amp; 'Hulp (overig)'!$C$16 &amp; "'!B1:B1000"))
            )
        ),0)
    ))
))))</f>
        <v>#VALUE!</v>
      </c>
      <c r="K85" s="425" t="e" cm="1">
        <f t="array" aca="1" ref="K85" ca="1">IF($BF85, IF(K82="","",
   INDEX(
      INDIRECT("'" &amp; 'Hulp (CAO''s)'!$AE$8 &amp; "'!" &amp;
               'Hulp (overig)'!$C$17 &amp; "1:" &amp;
               'Hulp (overig)'!$C$17 &amp; "1000"),
      MATCH(
         K82,
         INDIRECT("'" &amp; 'Hulp (CAO''s)'!$AE$8 &amp; "'!A1:A1000"),
         0
      )
   )
), IF($D83="Gebruik % van maximum salaris",
IF(
    OR(K82="",K83=""),
    "",
    MAX(
        INDIRECT(
            "'" &amp; 'Hulp (overig)'!$C$16 &amp; "'!" &amp;
            'Hulp (overig)'!$C$17 &amp;
            MATCH(K82, INDIRECT("'" &amp; 'Hulp (overig)'!$C$16 &amp; "'!A1:A1000"), 0) &amp;
            ":" &amp;
            'Hulp (overig)'!$C$17 &amp;
LOOKUP(
    2,
    1 / (
        (ROW(INDIRECT("'" &amp; 'Hulp (overig)'!$C$16 &amp; "'!B1:B1000")) &lt;
            IF(L82&lt;&gt;"",
               MATCH(L82, INDIRECT("'" &amp; 'Hulp (overig)'!$C$16 &amp; "'!A1:A1000"),0),
               1000
            )
        ) *
        (LEFT(TRIM(INDIRECT("'" &amp; 'Hulp (overig)'!$C$16 &amp; "'!B1:B1000")),1) &lt;&gt; "u")
    ),
    ROW(INDIRECT("'" &amp; 'Hulp (overig)'!$C$16 &amp; "'!B1:B1000"))
)
        )
    ) * K83
),
IF(K84="","",
IF(
    IFERROR(MIN(
        IF(
            (TRIM(INDIRECT("'" &amp; 'Hulp (overig)'!$C$16 &amp; "'!B1:B1000")) = TEXT(K84,"0")) *
            (ROW(INDIRECT("'" &amp; 'Hulp (overig)'!$C$16 &amp; "'!B1:B1000")) &gt;= MATCH(
                K82,
                INDIRECT("'" &amp; 'Hulp (overig)'!$C$16 &amp; "'!A1:A1000"),
                0
            )) *
            IF(
                L82="",
                1,
                (ROW(INDIRECT("'" &amp; 'Hulp (overig)'!$C$16 &amp; "'!B1:B1000")) &lt; MATCH(
                    L82,
                    INDIRECT("'" &amp; 'Hulp (overig)'!$C$16 &amp; "'!A1:A1000"),
                    0
                ))
            ),
            ROW(INDIRECT("'" &amp; 'Hulp (overig)'!$C$16 &amp; "'!B1:B1000"))
        )
    ),0) &lt; 1,
    "",
    IF(INDEX(
        INDIRECT("'" &amp; 'Hulp (overig)'!$C$16 &amp; "'!" &amp;
        'Hulp (overig)'!$C$17 &amp; "1:" &amp; 'Hulp (overig)'!$C$17 &amp; 1000
        ),
        IFERROR(MIN(
            IF(
                (TRIM(INDIRECT("'" &amp; 'Hulp (overig)'!$C$16 &amp; "'!B1:B1000")) = TEXT(K84,"0")) *
                (ROW(INDIRECT("'" &amp; 'Hulp (overig)'!$C$16 &amp; "'!B1:B1000")) &gt;= MATCH(
                    K82,
                    INDIRECT("'" &amp; 'Hulp (overig)'!$C$16 &amp; "'!A1:A1000"),
                    0
                )) *
                IF(
                    L82="",
                    1,
                    (ROW(INDIRECT("'" &amp; 'Hulp (overig)'!$C$16 &amp; "'!B1:B1000")) &lt; MATCH(
                        L82,
                        INDIRECT("'" &amp; 'Hulp (overig)'!$C$16 &amp; "'!A1:A1000"),
                        0
                    ))
                ),
                ROW(INDIRECT("'" &amp; 'Hulp (overig)'!$C$16 &amp; "'!B1:B1000"))
            )
        ),0)
    )=0,"",
INDEX(
        INDIRECT("'" &amp; 'Hulp (overig)'!$C$16 &amp; "'!" &amp;
        'Hulp (overig)'!$C$17 &amp; "1:" &amp; 'Hulp (overig)'!$C$17 &amp; 1000
        ),
        IFERROR(MIN(
            IF(
                (TRIM(INDIRECT("'" &amp; 'Hulp (overig)'!$C$16 &amp; "'!B1:B1000")) = TEXT(K84,"0")) *
                (ROW(INDIRECT("'" &amp; 'Hulp (overig)'!$C$16 &amp; "'!B1:B1000")) &gt;= MATCH(
                    K82,
                    INDIRECT("'" &amp; 'Hulp (overig)'!$C$16 &amp; "'!A1:A1000"),
                    0
                )) *
                IF(
                    L82="",
                    1,
                    (ROW(INDIRECT("'" &amp; 'Hulp (overig)'!$C$16 &amp; "'!B1:B1000")) &lt; MATCH(
                        L82,
                        INDIRECT("'" &amp; 'Hulp (overig)'!$C$16 &amp; "'!A1:A1000"),
                        0
                    ))
                ),
                ROW(INDIRECT("'" &amp; 'Hulp (overig)'!$C$16 &amp; "'!B1:B1000"))
            )
        ),0)
    ))
))))</f>
        <v>#VALUE!</v>
      </c>
      <c r="L85" s="425" t="e" cm="1">
        <f t="array" aca="1" ref="L85" ca="1">IF($BF85, IF(L82="","",
   INDEX(
      INDIRECT("'" &amp; 'Hulp (CAO''s)'!$AE$8 &amp; "'!" &amp;
               'Hulp (overig)'!$C$17 &amp; "1:" &amp;
               'Hulp (overig)'!$C$17 &amp; "1000"),
      MATCH(
         L82,
         INDIRECT("'" &amp; 'Hulp (CAO''s)'!$AE$8 &amp; "'!A1:A1000"),
         0
      )
   )
), IF($D83="Gebruik % van maximum salaris",
IF(
    OR(L82="",L83=""),
    "",
    MAX(
        INDIRECT(
            "'" &amp; 'Hulp (overig)'!$C$16 &amp; "'!" &amp;
            'Hulp (overig)'!$C$17 &amp;
            MATCH(L82, INDIRECT("'" &amp; 'Hulp (overig)'!$C$16 &amp; "'!A1:A1000"), 0) &amp;
            ":" &amp;
            'Hulp (overig)'!$C$17 &amp;
LOOKUP(
    2,
    1 / (
        (ROW(INDIRECT("'" &amp; 'Hulp (overig)'!$C$16 &amp; "'!B1:B1000")) &lt;
            IF(M82&lt;&gt;"",
               MATCH(M82, INDIRECT("'" &amp; 'Hulp (overig)'!$C$16 &amp; "'!A1:A1000"),0),
               1000
            )
        ) *
        (LEFT(TRIM(INDIRECT("'" &amp; 'Hulp (overig)'!$C$16 &amp; "'!B1:B1000")),1) &lt;&gt; "u")
    ),
    ROW(INDIRECT("'" &amp; 'Hulp (overig)'!$C$16 &amp; "'!B1:B1000"))
)
        )
    ) * L83
),
IF(L84="","",
IF(
    IFERROR(MIN(
        IF(
            (TRIM(INDIRECT("'" &amp; 'Hulp (overig)'!$C$16 &amp; "'!B1:B1000")) = TEXT(L84,"0")) *
            (ROW(INDIRECT("'" &amp; 'Hulp (overig)'!$C$16 &amp; "'!B1:B1000")) &gt;= MATCH(
                L82,
                INDIRECT("'" &amp; 'Hulp (overig)'!$C$16 &amp; "'!A1:A1000"),
                0
            )) *
            IF(
                M82="",
                1,
                (ROW(INDIRECT("'" &amp; 'Hulp (overig)'!$C$16 &amp; "'!B1:B1000")) &lt; MATCH(
                    M82,
                    INDIRECT("'" &amp; 'Hulp (overig)'!$C$16 &amp; "'!A1:A1000"),
                    0
                ))
            ),
            ROW(INDIRECT("'" &amp; 'Hulp (overig)'!$C$16 &amp; "'!B1:B1000"))
        )
    ),0) &lt; 1,
    "",
    IF(INDEX(
        INDIRECT("'" &amp; 'Hulp (overig)'!$C$16 &amp; "'!" &amp;
        'Hulp (overig)'!$C$17 &amp; "1:" &amp; 'Hulp (overig)'!$C$17 &amp; 1000
        ),
        IFERROR(MIN(
            IF(
                (TRIM(INDIRECT("'" &amp; 'Hulp (overig)'!$C$16 &amp; "'!B1:B1000")) = TEXT(L84,"0")) *
                (ROW(INDIRECT("'" &amp; 'Hulp (overig)'!$C$16 &amp; "'!B1:B1000")) &gt;= MATCH(
                    L82,
                    INDIRECT("'" &amp; 'Hulp (overig)'!$C$16 &amp; "'!A1:A1000"),
                    0
                )) *
                IF(
                    M82="",
                    1,
                    (ROW(INDIRECT("'" &amp; 'Hulp (overig)'!$C$16 &amp; "'!B1:B1000")) &lt; MATCH(
                        M82,
                        INDIRECT("'" &amp; 'Hulp (overig)'!$C$16 &amp; "'!A1:A1000"),
                        0
                    ))
                ),
                ROW(INDIRECT("'" &amp; 'Hulp (overig)'!$C$16 &amp; "'!B1:B1000"))
            )
        ),0)
    )=0,"",
INDEX(
        INDIRECT("'" &amp; 'Hulp (overig)'!$C$16 &amp; "'!" &amp;
        'Hulp (overig)'!$C$17 &amp; "1:" &amp; 'Hulp (overig)'!$C$17 &amp; 1000
        ),
        IFERROR(MIN(
            IF(
                (TRIM(INDIRECT("'" &amp; 'Hulp (overig)'!$C$16 &amp; "'!B1:B1000")) = TEXT(L84,"0")) *
                (ROW(INDIRECT("'" &amp; 'Hulp (overig)'!$C$16 &amp; "'!B1:B1000")) &gt;= MATCH(
                    L82,
                    INDIRECT("'" &amp; 'Hulp (overig)'!$C$16 &amp; "'!A1:A1000"),
                    0
                )) *
                IF(
                    M82="",
                    1,
                    (ROW(INDIRECT("'" &amp; 'Hulp (overig)'!$C$16 &amp; "'!B1:B1000")) &lt; MATCH(
                        M82,
                        INDIRECT("'" &amp; 'Hulp (overig)'!$C$16 &amp; "'!A1:A1000"),
                        0
                    ))
                ),
                ROW(INDIRECT("'" &amp; 'Hulp (overig)'!$C$16 &amp; "'!B1:B1000"))
            )
        ),0)
    ))
))))</f>
        <v>#VALUE!</v>
      </c>
      <c r="M85" s="425" t="e" cm="1">
        <f t="array" aca="1" ref="M85" ca="1">IF($BF85, IF(M82="","",
   INDEX(
      INDIRECT("'" &amp; 'Hulp (CAO''s)'!$AE$8 &amp; "'!" &amp;
               'Hulp (overig)'!$C$17 &amp; "1:" &amp;
               'Hulp (overig)'!$C$17 &amp; "1000"),
      MATCH(
         M82,
         INDIRECT("'" &amp; 'Hulp (CAO''s)'!$AE$8 &amp; "'!A1:A1000"),
         0
      )
   )
), IF($D83="Gebruik % van maximum salaris",
IF(
    OR(M82="",M83=""),
    "",
    MAX(
        INDIRECT(
            "'" &amp; 'Hulp (overig)'!$C$16 &amp; "'!" &amp;
            'Hulp (overig)'!$C$17 &amp;
            MATCH(M82, INDIRECT("'" &amp; 'Hulp (overig)'!$C$16 &amp; "'!A1:A1000"), 0) &amp;
            ":" &amp;
            'Hulp (overig)'!$C$17 &amp;
LOOKUP(
    2,
    1 / (
        (ROW(INDIRECT("'" &amp; 'Hulp (overig)'!$C$16 &amp; "'!B1:B1000")) &lt;
            IF(N82&lt;&gt;"",
               MATCH(N82, INDIRECT("'" &amp; 'Hulp (overig)'!$C$16 &amp; "'!A1:A1000"),0),
               1000
            )
        ) *
        (LEFT(TRIM(INDIRECT("'" &amp; 'Hulp (overig)'!$C$16 &amp; "'!B1:B1000")),1) &lt;&gt; "u")
    ),
    ROW(INDIRECT("'" &amp; 'Hulp (overig)'!$C$16 &amp; "'!B1:B1000"))
)
        )
    ) * M83
),
IF(M84="","",
IF(
    IFERROR(MIN(
        IF(
            (TRIM(INDIRECT("'" &amp; 'Hulp (overig)'!$C$16 &amp; "'!B1:B1000")) = TEXT(M84,"0")) *
            (ROW(INDIRECT("'" &amp; 'Hulp (overig)'!$C$16 &amp; "'!B1:B1000")) &gt;= MATCH(
                M82,
                INDIRECT("'" &amp; 'Hulp (overig)'!$C$16 &amp; "'!A1:A1000"),
                0
            )) *
            IF(
                N82="",
                1,
                (ROW(INDIRECT("'" &amp; 'Hulp (overig)'!$C$16 &amp; "'!B1:B1000")) &lt; MATCH(
                    N82,
                    INDIRECT("'" &amp; 'Hulp (overig)'!$C$16 &amp; "'!A1:A1000"),
                    0
                ))
            ),
            ROW(INDIRECT("'" &amp; 'Hulp (overig)'!$C$16 &amp; "'!B1:B1000"))
        )
    ),0) &lt; 1,
    "",
    IF(INDEX(
        INDIRECT("'" &amp; 'Hulp (overig)'!$C$16 &amp; "'!" &amp;
        'Hulp (overig)'!$C$17 &amp; "1:" &amp; 'Hulp (overig)'!$C$17 &amp; 1000
        ),
        IFERROR(MIN(
            IF(
                (TRIM(INDIRECT("'" &amp; 'Hulp (overig)'!$C$16 &amp; "'!B1:B1000")) = TEXT(M84,"0")) *
                (ROW(INDIRECT("'" &amp; 'Hulp (overig)'!$C$16 &amp; "'!B1:B1000")) &gt;= MATCH(
                    M82,
                    INDIRECT("'" &amp; 'Hulp (overig)'!$C$16 &amp; "'!A1:A1000"),
                    0
                )) *
                IF(
                    N82="",
                    1,
                    (ROW(INDIRECT("'" &amp; 'Hulp (overig)'!$C$16 &amp; "'!B1:B1000")) &lt; MATCH(
                        N82,
                        INDIRECT("'" &amp; 'Hulp (overig)'!$C$16 &amp; "'!A1:A1000"),
                        0
                    ))
                ),
                ROW(INDIRECT("'" &amp; 'Hulp (overig)'!$C$16 &amp; "'!B1:B1000"))
            )
        ),0)
    )=0,"",
INDEX(
        INDIRECT("'" &amp; 'Hulp (overig)'!$C$16 &amp; "'!" &amp;
        'Hulp (overig)'!$C$17 &amp; "1:" &amp; 'Hulp (overig)'!$C$17 &amp; 1000
        ),
        IFERROR(MIN(
            IF(
                (TRIM(INDIRECT("'" &amp; 'Hulp (overig)'!$C$16 &amp; "'!B1:B1000")) = TEXT(M84,"0")) *
                (ROW(INDIRECT("'" &amp; 'Hulp (overig)'!$C$16 &amp; "'!B1:B1000")) &gt;= MATCH(
                    M82,
                    INDIRECT("'" &amp; 'Hulp (overig)'!$C$16 &amp; "'!A1:A1000"),
                    0
                )) *
                IF(
                    N82="",
                    1,
                    (ROW(INDIRECT("'" &amp; 'Hulp (overig)'!$C$16 &amp; "'!B1:B1000")) &lt; MATCH(
                        N82,
                        INDIRECT("'" &amp; 'Hulp (overig)'!$C$16 &amp; "'!A1:A1000"),
                        0
                    ))
                ),
                ROW(INDIRECT("'" &amp; 'Hulp (overig)'!$C$16 &amp; "'!B1:B1000"))
            )
        ),0)
    ))
))))</f>
        <v>#VALUE!</v>
      </c>
      <c r="N85" s="425" t="e" cm="1">
        <f t="array" aca="1" ref="N85" ca="1">IF($BF85, IF(N82="","",
   INDEX(
      INDIRECT("'" &amp; 'Hulp (CAO''s)'!$AE$8 &amp; "'!" &amp;
               'Hulp (overig)'!$C$17 &amp; "1:" &amp;
               'Hulp (overig)'!$C$17 &amp; "1000"),
      MATCH(
         N82,
         INDIRECT("'" &amp; 'Hulp (CAO''s)'!$AE$8 &amp; "'!A1:A1000"),
         0
      )
   )
), IF($D83="Gebruik % van maximum salaris",
IF(
    OR(N82="",N83=""),
    "",
    MAX(
        INDIRECT(
            "'" &amp; 'Hulp (overig)'!$C$16 &amp; "'!" &amp;
            'Hulp (overig)'!$C$17 &amp;
            MATCH(N82, INDIRECT("'" &amp; 'Hulp (overig)'!$C$16 &amp; "'!A1:A1000"), 0) &amp;
            ":" &amp;
            'Hulp (overig)'!$C$17 &amp;
LOOKUP(
    2,
    1 / (
        (ROW(INDIRECT("'" &amp; 'Hulp (overig)'!$C$16 &amp; "'!B1:B1000")) &lt;
            IF(O82&lt;&gt;"",
               MATCH(O82, INDIRECT("'" &amp; 'Hulp (overig)'!$C$16 &amp; "'!A1:A1000"),0),
               1000
            )
        ) *
        (LEFT(TRIM(INDIRECT("'" &amp; 'Hulp (overig)'!$C$16 &amp; "'!B1:B1000")),1) &lt;&gt; "u")
    ),
    ROW(INDIRECT("'" &amp; 'Hulp (overig)'!$C$16 &amp; "'!B1:B1000"))
)
        )
    ) * N83
),
IF(N84="","",
IF(
    IFERROR(MIN(
        IF(
            (TRIM(INDIRECT("'" &amp; 'Hulp (overig)'!$C$16 &amp; "'!B1:B1000")) = TEXT(N84,"0")) *
            (ROW(INDIRECT("'" &amp; 'Hulp (overig)'!$C$16 &amp; "'!B1:B1000")) &gt;= MATCH(
                N82,
                INDIRECT("'" &amp; 'Hulp (overig)'!$C$16 &amp; "'!A1:A1000"),
                0
            )) *
            IF(
                O82="",
                1,
                (ROW(INDIRECT("'" &amp; 'Hulp (overig)'!$C$16 &amp; "'!B1:B1000")) &lt; MATCH(
                    O82,
                    INDIRECT("'" &amp; 'Hulp (overig)'!$C$16 &amp; "'!A1:A1000"),
                    0
                ))
            ),
            ROW(INDIRECT("'" &amp; 'Hulp (overig)'!$C$16 &amp; "'!B1:B1000"))
        )
    ),0) &lt; 1,
    "",
    IF(INDEX(
        INDIRECT("'" &amp; 'Hulp (overig)'!$C$16 &amp; "'!" &amp;
        'Hulp (overig)'!$C$17 &amp; "1:" &amp; 'Hulp (overig)'!$C$17 &amp; 1000
        ),
        IFERROR(MIN(
            IF(
                (TRIM(INDIRECT("'" &amp; 'Hulp (overig)'!$C$16 &amp; "'!B1:B1000")) = TEXT(N84,"0")) *
                (ROW(INDIRECT("'" &amp; 'Hulp (overig)'!$C$16 &amp; "'!B1:B1000")) &gt;= MATCH(
                    N82,
                    INDIRECT("'" &amp; 'Hulp (overig)'!$C$16 &amp; "'!A1:A1000"),
                    0
                )) *
                IF(
                    O82="",
                    1,
                    (ROW(INDIRECT("'" &amp; 'Hulp (overig)'!$C$16 &amp; "'!B1:B1000")) &lt; MATCH(
                        O82,
                        INDIRECT("'" &amp; 'Hulp (overig)'!$C$16 &amp; "'!A1:A1000"),
                        0
                    ))
                ),
                ROW(INDIRECT("'" &amp; 'Hulp (overig)'!$C$16 &amp; "'!B1:B1000"))
            )
        ),0)
    )=0,"",
INDEX(
        INDIRECT("'" &amp; 'Hulp (overig)'!$C$16 &amp; "'!" &amp;
        'Hulp (overig)'!$C$17 &amp; "1:" &amp; 'Hulp (overig)'!$C$17 &amp; 1000
        ),
        IFERROR(MIN(
            IF(
                (TRIM(INDIRECT("'" &amp; 'Hulp (overig)'!$C$16 &amp; "'!B1:B1000")) = TEXT(N84,"0")) *
                (ROW(INDIRECT("'" &amp; 'Hulp (overig)'!$C$16 &amp; "'!B1:B1000")) &gt;= MATCH(
                    N82,
                    INDIRECT("'" &amp; 'Hulp (overig)'!$C$16 &amp; "'!A1:A1000"),
                    0
                )) *
                IF(
                    O82="",
                    1,
                    (ROW(INDIRECT("'" &amp; 'Hulp (overig)'!$C$16 &amp; "'!B1:B1000")) &lt; MATCH(
                        O82,
                        INDIRECT("'" &amp; 'Hulp (overig)'!$C$16 &amp; "'!A1:A1000"),
                        0
                    ))
                ),
                ROW(INDIRECT("'" &amp; 'Hulp (overig)'!$C$16 &amp; "'!B1:B1000"))
            )
        ),0)
    ))
))))</f>
        <v>#VALUE!</v>
      </c>
      <c r="O85" s="425" t="e" cm="1">
        <f t="array" aca="1" ref="O85" ca="1">IF($BF85, IF(O82="","",
   INDEX(
      INDIRECT("'" &amp; 'Hulp (CAO''s)'!$AE$8 &amp; "'!" &amp;
               'Hulp (overig)'!$C$17 &amp; "1:" &amp;
               'Hulp (overig)'!$C$17 &amp; "1000"),
      MATCH(
         O82,
         INDIRECT("'" &amp; 'Hulp (CAO''s)'!$AE$8 &amp; "'!A1:A1000"),
         0
      )
   )
), IF($D83="Gebruik % van maximum salaris",
IF(
    OR(O82="",O83=""),
    "",
    MAX(
        INDIRECT(
            "'" &amp; 'Hulp (overig)'!$C$16 &amp; "'!" &amp;
            'Hulp (overig)'!$C$17 &amp;
            MATCH(O82, INDIRECT("'" &amp; 'Hulp (overig)'!$C$16 &amp; "'!A1:A1000"), 0) &amp;
            ":" &amp;
            'Hulp (overig)'!$C$17 &amp;
LOOKUP(
    2,
    1 / (
        (ROW(INDIRECT("'" &amp; 'Hulp (overig)'!$C$16 &amp; "'!B1:B1000")) &lt;
            IF(P82&lt;&gt;"",
               MATCH(P82, INDIRECT("'" &amp; 'Hulp (overig)'!$C$16 &amp; "'!A1:A1000"),0),
               1000
            )
        ) *
        (LEFT(TRIM(INDIRECT("'" &amp; 'Hulp (overig)'!$C$16 &amp; "'!B1:B1000")),1) &lt;&gt; "u")
    ),
    ROW(INDIRECT("'" &amp; 'Hulp (overig)'!$C$16 &amp; "'!B1:B1000"))
)
        )
    ) * O83
),
IF(O84="","",
IF(
    IFERROR(MIN(
        IF(
            (TRIM(INDIRECT("'" &amp; 'Hulp (overig)'!$C$16 &amp; "'!B1:B1000")) = TEXT(O84,"0")) *
            (ROW(INDIRECT("'" &amp; 'Hulp (overig)'!$C$16 &amp; "'!B1:B1000")) &gt;= MATCH(
                O82,
                INDIRECT("'" &amp; 'Hulp (overig)'!$C$16 &amp; "'!A1:A1000"),
                0
            )) *
            IF(
                P82="",
                1,
                (ROW(INDIRECT("'" &amp; 'Hulp (overig)'!$C$16 &amp; "'!B1:B1000")) &lt; MATCH(
                    P82,
                    INDIRECT("'" &amp; 'Hulp (overig)'!$C$16 &amp; "'!A1:A1000"),
                    0
                ))
            ),
            ROW(INDIRECT("'" &amp; 'Hulp (overig)'!$C$16 &amp; "'!B1:B1000"))
        )
    ),0) &lt; 1,
    "",
    IF(INDEX(
        INDIRECT("'" &amp; 'Hulp (overig)'!$C$16 &amp; "'!" &amp;
        'Hulp (overig)'!$C$17 &amp; "1:" &amp; 'Hulp (overig)'!$C$17 &amp; 1000
        ),
        IFERROR(MIN(
            IF(
                (TRIM(INDIRECT("'" &amp; 'Hulp (overig)'!$C$16 &amp; "'!B1:B1000")) = TEXT(O84,"0")) *
                (ROW(INDIRECT("'" &amp; 'Hulp (overig)'!$C$16 &amp; "'!B1:B1000")) &gt;= MATCH(
                    O82,
                    INDIRECT("'" &amp; 'Hulp (overig)'!$C$16 &amp; "'!A1:A1000"),
                    0
                )) *
                IF(
                    P82="",
                    1,
                    (ROW(INDIRECT("'" &amp; 'Hulp (overig)'!$C$16 &amp; "'!B1:B1000")) &lt; MATCH(
                        P82,
                        INDIRECT("'" &amp; 'Hulp (overig)'!$C$16 &amp; "'!A1:A1000"),
                        0
                    ))
                ),
                ROW(INDIRECT("'" &amp; 'Hulp (overig)'!$C$16 &amp; "'!B1:B1000"))
            )
        ),0)
    )=0,"",
INDEX(
        INDIRECT("'" &amp; 'Hulp (overig)'!$C$16 &amp; "'!" &amp;
        'Hulp (overig)'!$C$17 &amp; "1:" &amp; 'Hulp (overig)'!$C$17 &amp; 1000
        ),
        IFERROR(MIN(
            IF(
                (TRIM(INDIRECT("'" &amp; 'Hulp (overig)'!$C$16 &amp; "'!B1:B1000")) = TEXT(O84,"0")) *
                (ROW(INDIRECT("'" &amp; 'Hulp (overig)'!$C$16 &amp; "'!B1:B1000")) &gt;= MATCH(
                    O82,
                    INDIRECT("'" &amp; 'Hulp (overig)'!$C$16 &amp; "'!A1:A1000"),
                    0
                )) *
                IF(
                    P82="",
                    1,
                    (ROW(INDIRECT("'" &amp; 'Hulp (overig)'!$C$16 &amp; "'!B1:B1000")) &lt; MATCH(
                        P82,
                        INDIRECT("'" &amp; 'Hulp (overig)'!$C$16 &amp; "'!A1:A1000"),
                        0
                    ))
                ),
                ROW(INDIRECT("'" &amp; 'Hulp (overig)'!$C$16 &amp; "'!B1:B1000"))
            )
        ),0)
    ))
))))</f>
        <v>#VALUE!</v>
      </c>
      <c r="P85" s="425" t="e" cm="1">
        <f t="array" aca="1" ref="P85" ca="1">IF($BF85, IF(P82="","",
   INDEX(
      INDIRECT("'" &amp; 'Hulp (CAO''s)'!$AE$8 &amp; "'!" &amp;
               'Hulp (overig)'!$C$17 &amp; "1:" &amp;
               'Hulp (overig)'!$C$17 &amp; "1000"),
      MATCH(
         P82,
         INDIRECT("'" &amp; 'Hulp (CAO''s)'!$AE$8 &amp; "'!A1:A1000"),
         0
      )
   )
), IF($D83="Gebruik % van maximum salaris",
IF(
    OR(P82="",P83=""),
    "",
    MAX(
        INDIRECT(
            "'" &amp; 'Hulp (overig)'!$C$16 &amp; "'!" &amp;
            'Hulp (overig)'!$C$17 &amp;
            MATCH(P82, INDIRECT("'" &amp; 'Hulp (overig)'!$C$16 &amp; "'!A1:A1000"), 0) &amp;
            ":" &amp;
            'Hulp (overig)'!$C$17 &amp;
LOOKUP(
    2,
    1 / (
        (ROW(INDIRECT("'" &amp; 'Hulp (overig)'!$C$16 &amp; "'!B1:B1000")) &lt;
            IF(Q82&lt;&gt;"",
               MATCH(Q82, INDIRECT("'" &amp; 'Hulp (overig)'!$C$16 &amp; "'!A1:A1000"),0),
               1000
            )
        ) *
        (LEFT(TRIM(INDIRECT("'" &amp; 'Hulp (overig)'!$C$16 &amp; "'!B1:B1000")),1) &lt;&gt; "u")
    ),
    ROW(INDIRECT("'" &amp; 'Hulp (overig)'!$C$16 &amp; "'!B1:B1000"))
)
        )
    ) * P83
),
IF(P84="","",
IF(
    IFERROR(MIN(
        IF(
            (TRIM(INDIRECT("'" &amp; 'Hulp (overig)'!$C$16 &amp; "'!B1:B1000")) = TEXT(P84,"0")) *
            (ROW(INDIRECT("'" &amp; 'Hulp (overig)'!$C$16 &amp; "'!B1:B1000")) &gt;= MATCH(
                P82,
                INDIRECT("'" &amp; 'Hulp (overig)'!$C$16 &amp; "'!A1:A1000"),
                0
            )) *
            IF(
                Q82="",
                1,
                (ROW(INDIRECT("'" &amp; 'Hulp (overig)'!$C$16 &amp; "'!B1:B1000")) &lt; MATCH(
                    Q82,
                    INDIRECT("'" &amp; 'Hulp (overig)'!$C$16 &amp; "'!A1:A1000"),
                    0
                ))
            ),
            ROW(INDIRECT("'" &amp; 'Hulp (overig)'!$C$16 &amp; "'!B1:B1000"))
        )
    ),0) &lt; 1,
    "",
    IF(INDEX(
        INDIRECT("'" &amp; 'Hulp (overig)'!$C$16 &amp; "'!" &amp;
        'Hulp (overig)'!$C$17 &amp; "1:" &amp; 'Hulp (overig)'!$C$17 &amp; 1000
        ),
        IFERROR(MIN(
            IF(
                (TRIM(INDIRECT("'" &amp; 'Hulp (overig)'!$C$16 &amp; "'!B1:B1000")) = TEXT(P84,"0")) *
                (ROW(INDIRECT("'" &amp; 'Hulp (overig)'!$C$16 &amp; "'!B1:B1000")) &gt;= MATCH(
                    P82,
                    INDIRECT("'" &amp; 'Hulp (overig)'!$C$16 &amp; "'!A1:A1000"),
                    0
                )) *
                IF(
                    Q82="",
                    1,
                    (ROW(INDIRECT("'" &amp; 'Hulp (overig)'!$C$16 &amp; "'!B1:B1000")) &lt; MATCH(
                        Q82,
                        INDIRECT("'" &amp; 'Hulp (overig)'!$C$16 &amp; "'!A1:A1000"),
                        0
                    ))
                ),
                ROW(INDIRECT("'" &amp; 'Hulp (overig)'!$C$16 &amp; "'!B1:B1000"))
            )
        ),0)
    )=0,"",
INDEX(
        INDIRECT("'" &amp; 'Hulp (overig)'!$C$16 &amp; "'!" &amp;
        'Hulp (overig)'!$C$17 &amp; "1:" &amp; 'Hulp (overig)'!$C$17 &amp; 1000
        ),
        IFERROR(MIN(
            IF(
                (TRIM(INDIRECT("'" &amp; 'Hulp (overig)'!$C$16 &amp; "'!B1:B1000")) = TEXT(P84,"0")) *
                (ROW(INDIRECT("'" &amp; 'Hulp (overig)'!$C$16 &amp; "'!B1:B1000")) &gt;= MATCH(
                    P82,
                    INDIRECT("'" &amp; 'Hulp (overig)'!$C$16 &amp; "'!A1:A1000"),
                    0
                )) *
                IF(
                    Q82="",
                    1,
                    (ROW(INDIRECT("'" &amp; 'Hulp (overig)'!$C$16 &amp; "'!B1:B1000")) &lt; MATCH(
                        Q82,
                        INDIRECT("'" &amp; 'Hulp (overig)'!$C$16 &amp; "'!A1:A1000"),
                        0
                    ))
                ),
                ROW(INDIRECT("'" &amp; 'Hulp (overig)'!$C$16 &amp; "'!B1:B1000"))
            )
        ),0)
    ))
))))</f>
        <v>#VALUE!</v>
      </c>
      <c r="Q85" s="425" t="e" cm="1">
        <f t="array" aca="1" ref="Q85" ca="1">IF($BF85, IF(Q82="","",
   INDEX(
      INDIRECT("'" &amp; 'Hulp (CAO''s)'!$AE$8 &amp; "'!" &amp;
               'Hulp (overig)'!$C$17 &amp; "1:" &amp;
               'Hulp (overig)'!$C$17 &amp; "1000"),
      MATCH(
         Q82,
         INDIRECT("'" &amp; 'Hulp (CAO''s)'!$AE$8 &amp; "'!A1:A1000"),
         0
      )
   )
), IF($D83="Gebruik % van maximum salaris",
IF(
    OR(Q82="",Q83=""),
    "",
    MAX(
        INDIRECT(
            "'" &amp; 'Hulp (overig)'!$C$16 &amp; "'!" &amp;
            'Hulp (overig)'!$C$17 &amp;
            MATCH(Q82, INDIRECT("'" &amp; 'Hulp (overig)'!$C$16 &amp; "'!A1:A1000"), 0) &amp;
            ":" &amp;
            'Hulp (overig)'!$C$17 &amp;
LOOKUP(
    2,
    1 / (
        (ROW(INDIRECT("'" &amp; 'Hulp (overig)'!$C$16 &amp; "'!B1:B1000")) &lt;
            IF(R82&lt;&gt;"",
               MATCH(R82, INDIRECT("'" &amp; 'Hulp (overig)'!$C$16 &amp; "'!A1:A1000"),0),
               1000
            )
        ) *
        (LEFT(TRIM(INDIRECT("'" &amp; 'Hulp (overig)'!$C$16 &amp; "'!B1:B1000")),1) &lt;&gt; "u")
    ),
    ROW(INDIRECT("'" &amp; 'Hulp (overig)'!$C$16 &amp; "'!B1:B1000"))
)
        )
    ) * Q83
),
IF(Q84="","",
IF(
    IFERROR(MIN(
        IF(
            (TRIM(INDIRECT("'" &amp; 'Hulp (overig)'!$C$16 &amp; "'!B1:B1000")) = TEXT(Q84,"0")) *
            (ROW(INDIRECT("'" &amp; 'Hulp (overig)'!$C$16 &amp; "'!B1:B1000")) &gt;= MATCH(
                Q82,
                INDIRECT("'" &amp; 'Hulp (overig)'!$C$16 &amp; "'!A1:A1000"),
                0
            )) *
            IF(
                R82="",
                1,
                (ROW(INDIRECT("'" &amp; 'Hulp (overig)'!$C$16 &amp; "'!B1:B1000")) &lt; MATCH(
                    R82,
                    INDIRECT("'" &amp; 'Hulp (overig)'!$C$16 &amp; "'!A1:A1000"),
                    0
                ))
            ),
            ROW(INDIRECT("'" &amp; 'Hulp (overig)'!$C$16 &amp; "'!B1:B1000"))
        )
    ),0) &lt; 1,
    "",
    IF(INDEX(
        INDIRECT("'" &amp; 'Hulp (overig)'!$C$16 &amp; "'!" &amp;
        'Hulp (overig)'!$C$17 &amp; "1:" &amp; 'Hulp (overig)'!$C$17 &amp; 1000
        ),
        IFERROR(MIN(
            IF(
                (TRIM(INDIRECT("'" &amp; 'Hulp (overig)'!$C$16 &amp; "'!B1:B1000")) = TEXT(Q84,"0")) *
                (ROW(INDIRECT("'" &amp; 'Hulp (overig)'!$C$16 &amp; "'!B1:B1000")) &gt;= MATCH(
                    Q82,
                    INDIRECT("'" &amp; 'Hulp (overig)'!$C$16 &amp; "'!A1:A1000"),
                    0
                )) *
                IF(
                    R82="",
                    1,
                    (ROW(INDIRECT("'" &amp; 'Hulp (overig)'!$C$16 &amp; "'!B1:B1000")) &lt; MATCH(
                        R82,
                        INDIRECT("'" &amp; 'Hulp (overig)'!$C$16 &amp; "'!A1:A1000"),
                        0
                    ))
                ),
                ROW(INDIRECT("'" &amp; 'Hulp (overig)'!$C$16 &amp; "'!B1:B1000"))
            )
        ),0)
    )=0,"",
INDEX(
        INDIRECT("'" &amp; 'Hulp (overig)'!$C$16 &amp; "'!" &amp;
        'Hulp (overig)'!$C$17 &amp; "1:" &amp; 'Hulp (overig)'!$C$17 &amp; 1000
        ),
        IFERROR(MIN(
            IF(
                (TRIM(INDIRECT("'" &amp; 'Hulp (overig)'!$C$16 &amp; "'!B1:B1000")) = TEXT(Q84,"0")) *
                (ROW(INDIRECT("'" &amp; 'Hulp (overig)'!$C$16 &amp; "'!B1:B1000")) &gt;= MATCH(
                    Q82,
                    INDIRECT("'" &amp; 'Hulp (overig)'!$C$16 &amp; "'!A1:A1000"),
                    0
                )) *
                IF(
                    R82="",
                    1,
                    (ROW(INDIRECT("'" &amp; 'Hulp (overig)'!$C$16 &amp; "'!B1:B1000")) &lt; MATCH(
                        R82,
                        INDIRECT("'" &amp; 'Hulp (overig)'!$C$16 &amp; "'!A1:A1000"),
                        0
                    ))
                ),
                ROW(INDIRECT("'" &amp; 'Hulp (overig)'!$C$16 &amp; "'!B1:B1000"))
            )
        ),0)
    ))
))))</f>
        <v>#VALUE!</v>
      </c>
      <c r="R85" s="425" t="e" cm="1">
        <f t="array" aca="1" ref="R85" ca="1">IF($BF85, IF(R82="","",
   INDEX(
      INDIRECT("'" &amp; 'Hulp (CAO''s)'!$AE$8 &amp; "'!" &amp;
               'Hulp (overig)'!$C$17 &amp; "1:" &amp;
               'Hulp (overig)'!$C$17 &amp; "1000"),
      MATCH(
         R82,
         INDIRECT("'" &amp; 'Hulp (CAO''s)'!$AE$8 &amp; "'!A1:A1000"),
         0
      )
   )
), IF($D83="Gebruik % van maximum salaris",
IF(
    OR(R82="",R83=""),
    "",
    MAX(
        INDIRECT(
            "'" &amp; 'Hulp (overig)'!$C$16 &amp; "'!" &amp;
            'Hulp (overig)'!$C$17 &amp;
            MATCH(R82, INDIRECT("'" &amp; 'Hulp (overig)'!$C$16 &amp; "'!A1:A1000"), 0) &amp;
            ":" &amp;
            'Hulp (overig)'!$C$17 &amp;
LOOKUP(
    2,
    1 / (
        (ROW(INDIRECT("'" &amp; 'Hulp (overig)'!$C$16 &amp; "'!B1:B1000")) &lt;
            IF(S82&lt;&gt;"",
               MATCH(S82, INDIRECT("'" &amp; 'Hulp (overig)'!$C$16 &amp; "'!A1:A1000"),0),
               1000
            )
        ) *
        (LEFT(TRIM(INDIRECT("'" &amp; 'Hulp (overig)'!$C$16 &amp; "'!B1:B1000")),1) &lt;&gt; "u")
    ),
    ROW(INDIRECT("'" &amp; 'Hulp (overig)'!$C$16 &amp; "'!B1:B1000"))
)
        )
    ) * R83
),
IF(R84="","",
IF(
    IFERROR(MIN(
        IF(
            (TRIM(INDIRECT("'" &amp; 'Hulp (overig)'!$C$16 &amp; "'!B1:B1000")) = TEXT(R84,"0")) *
            (ROW(INDIRECT("'" &amp; 'Hulp (overig)'!$C$16 &amp; "'!B1:B1000")) &gt;= MATCH(
                R82,
                INDIRECT("'" &amp; 'Hulp (overig)'!$C$16 &amp; "'!A1:A1000"),
                0
            )) *
            IF(
                S82="",
                1,
                (ROW(INDIRECT("'" &amp; 'Hulp (overig)'!$C$16 &amp; "'!B1:B1000")) &lt; MATCH(
                    S82,
                    INDIRECT("'" &amp; 'Hulp (overig)'!$C$16 &amp; "'!A1:A1000"),
                    0
                ))
            ),
            ROW(INDIRECT("'" &amp; 'Hulp (overig)'!$C$16 &amp; "'!B1:B1000"))
        )
    ),0) &lt; 1,
    "",
    IF(INDEX(
        INDIRECT("'" &amp; 'Hulp (overig)'!$C$16 &amp; "'!" &amp;
        'Hulp (overig)'!$C$17 &amp; "1:" &amp; 'Hulp (overig)'!$C$17 &amp; 1000
        ),
        IFERROR(MIN(
            IF(
                (TRIM(INDIRECT("'" &amp; 'Hulp (overig)'!$C$16 &amp; "'!B1:B1000")) = TEXT(R84,"0")) *
                (ROW(INDIRECT("'" &amp; 'Hulp (overig)'!$C$16 &amp; "'!B1:B1000")) &gt;= MATCH(
                    R82,
                    INDIRECT("'" &amp; 'Hulp (overig)'!$C$16 &amp; "'!A1:A1000"),
                    0
                )) *
                IF(
                    S82="",
                    1,
                    (ROW(INDIRECT("'" &amp; 'Hulp (overig)'!$C$16 &amp; "'!B1:B1000")) &lt; MATCH(
                        S82,
                        INDIRECT("'" &amp; 'Hulp (overig)'!$C$16 &amp; "'!A1:A1000"),
                        0
                    ))
                ),
                ROW(INDIRECT("'" &amp; 'Hulp (overig)'!$C$16 &amp; "'!B1:B1000"))
            )
        ),0)
    )=0,"",
INDEX(
        INDIRECT("'" &amp; 'Hulp (overig)'!$C$16 &amp; "'!" &amp;
        'Hulp (overig)'!$C$17 &amp; "1:" &amp; 'Hulp (overig)'!$C$17 &amp; 1000
        ),
        IFERROR(MIN(
            IF(
                (TRIM(INDIRECT("'" &amp; 'Hulp (overig)'!$C$16 &amp; "'!B1:B1000")) = TEXT(R84,"0")) *
                (ROW(INDIRECT("'" &amp; 'Hulp (overig)'!$C$16 &amp; "'!B1:B1000")) &gt;= MATCH(
                    R82,
                    INDIRECT("'" &amp; 'Hulp (overig)'!$C$16 &amp; "'!A1:A1000"),
                    0
                )) *
                IF(
                    S82="",
                    1,
                    (ROW(INDIRECT("'" &amp; 'Hulp (overig)'!$C$16 &amp; "'!B1:B1000")) &lt; MATCH(
                        S82,
                        INDIRECT("'" &amp; 'Hulp (overig)'!$C$16 &amp; "'!A1:A1000"),
                        0
                    ))
                ),
                ROW(INDIRECT("'" &amp; 'Hulp (overig)'!$C$16 &amp; "'!B1:B1000"))
            )
        ),0)
    ))
))))</f>
        <v>#VALUE!</v>
      </c>
      <c r="S85" s="425" t="e" cm="1">
        <f t="array" aca="1" ref="S85" ca="1">IF($BF85, IF(S82="","",
   INDEX(
      INDIRECT("'" &amp; 'Hulp (CAO''s)'!$AE$8 &amp; "'!" &amp;
               'Hulp (overig)'!$C$17 &amp; "1:" &amp;
               'Hulp (overig)'!$C$17 &amp; "1000"),
      MATCH(
         S82,
         INDIRECT("'" &amp; 'Hulp (CAO''s)'!$AE$8 &amp; "'!A1:A1000"),
         0
      )
   )
), IF($D83="Gebruik % van maximum salaris",
IF(
    OR(S82="",S83=""),
    "",
    MAX(
        INDIRECT(
            "'" &amp; 'Hulp (overig)'!$C$16 &amp; "'!" &amp;
            'Hulp (overig)'!$C$17 &amp;
            MATCH(S82, INDIRECT("'" &amp; 'Hulp (overig)'!$C$16 &amp; "'!A1:A1000"), 0) &amp;
            ":" &amp;
            'Hulp (overig)'!$C$17 &amp;
LOOKUP(
    2,
    1 / (
        (ROW(INDIRECT("'" &amp; 'Hulp (overig)'!$C$16 &amp; "'!B1:B1000")) &lt;
            IF(T82&lt;&gt;"",
               MATCH(T82, INDIRECT("'" &amp; 'Hulp (overig)'!$C$16 &amp; "'!A1:A1000"),0),
               1000
            )
        ) *
        (LEFT(TRIM(INDIRECT("'" &amp; 'Hulp (overig)'!$C$16 &amp; "'!B1:B1000")),1) &lt;&gt; "u")
    ),
    ROW(INDIRECT("'" &amp; 'Hulp (overig)'!$C$16 &amp; "'!B1:B1000"))
)
        )
    ) * S83
),
IF(S84="","",
IF(
    IFERROR(MIN(
        IF(
            (TRIM(INDIRECT("'" &amp; 'Hulp (overig)'!$C$16 &amp; "'!B1:B1000")) = TEXT(S84,"0")) *
            (ROW(INDIRECT("'" &amp; 'Hulp (overig)'!$C$16 &amp; "'!B1:B1000")) &gt;= MATCH(
                S82,
                INDIRECT("'" &amp; 'Hulp (overig)'!$C$16 &amp; "'!A1:A1000"),
                0
            )) *
            IF(
                T82="",
                1,
                (ROW(INDIRECT("'" &amp; 'Hulp (overig)'!$C$16 &amp; "'!B1:B1000")) &lt; MATCH(
                    T82,
                    INDIRECT("'" &amp; 'Hulp (overig)'!$C$16 &amp; "'!A1:A1000"),
                    0
                ))
            ),
            ROW(INDIRECT("'" &amp; 'Hulp (overig)'!$C$16 &amp; "'!B1:B1000"))
        )
    ),0) &lt; 1,
    "",
    IF(INDEX(
        INDIRECT("'" &amp; 'Hulp (overig)'!$C$16 &amp; "'!" &amp;
        'Hulp (overig)'!$C$17 &amp; "1:" &amp; 'Hulp (overig)'!$C$17 &amp; 1000
        ),
        IFERROR(MIN(
            IF(
                (TRIM(INDIRECT("'" &amp; 'Hulp (overig)'!$C$16 &amp; "'!B1:B1000")) = TEXT(S84,"0")) *
                (ROW(INDIRECT("'" &amp; 'Hulp (overig)'!$C$16 &amp; "'!B1:B1000")) &gt;= MATCH(
                    S82,
                    INDIRECT("'" &amp; 'Hulp (overig)'!$C$16 &amp; "'!A1:A1000"),
                    0
                )) *
                IF(
                    T82="",
                    1,
                    (ROW(INDIRECT("'" &amp; 'Hulp (overig)'!$C$16 &amp; "'!B1:B1000")) &lt; MATCH(
                        T82,
                        INDIRECT("'" &amp; 'Hulp (overig)'!$C$16 &amp; "'!A1:A1000"),
                        0
                    ))
                ),
                ROW(INDIRECT("'" &amp; 'Hulp (overig)'!$C$16 &amp; "'!B1:B1000"))
            )
        ),0)
    )=0,"",
INDEX(
        INDIRECT("'" &amp; 'Hulp (overig)'!$C$16 &amp; "'!" &amp;
        'Hulp (overig)'!$C$17 &amp; "1:" &amp; 'Hulp (overig)'!$C$17 &amp; 1000
        ),
        IFERROR(MIN(
            IF(
                (TRIM(INDIRECT("'" &amp; 'Hulp (overig)'!$C$16 &amp; "'!B1:B1000")) = TEXT(S84,"0")) *
                (ROW(INDIRECT("'" &amp; 'Hulp (overig)'!$C$16 &amp; "'!B1:B1000")) &gt;= MATCH(
                    S82,
                    INDIRECT("'" &amp; 'Hulp (overig)'!$C$16 &amp; "'!A1:A1000"),
                    0
                )) *
                IF(
                    T82="",
                    1,
                    (ROW(INDIRECT("'" &amp; 'Hulp (overig)'!$C$16 &amp; "'!B1:B1000")) &lt; MATCH(
                        T82,
                        INDIRECT("'" &amp; 'Hulp (overig)'!$C$16 &amp; "'!A1:A1000"),
                        0
                    ))
                ),
                ROW(INDIRECT("'" &amp; 'Hulp (overig)'!$C$16 &amp; "'!B1:B1000"))
            )
        ),0)
    ))
))))</f>
        <v>#VALUE!</v>
      </c>
      <c r="T85" s="425" t="e" cm="1">
        <f t="array" aca="1" ref="T85" ca="1">IF($BF85, IF(T82="","",
   INDEX(
      INDIRECT("'" &amp; 'Hulp (CAO''s)'!$AE$8 &amp; "'!" &amp;
               'Hulp (overig)'!$C$17 &amp; "1:" &amp;
               'Hulp (overig)'!$C$17 &amp; "1000"),
      MATCH(
         T82,
         INDIRECT("'" &amp; 'Hulp (CAO''s)'!$AE$8 &amp; "'!A1:A1000"),
         0
      )
   )
), IF($D83="Gebruik % van maximum salaris",
IF(
    OR(T82="",T83=""),
    "",
    MAX(
        INDIRECT(
            "'" &amp; 'Hulp (overig)'!$C$16 &amp; "'!" &amp;
            'Hulp (overig)'!$C$17 &amp;
            MATCH(T82, INDIRECT("'" &amp; 'Hulp (overig)'!$C$16 &amp; "'!A1:A1000"), 0) &amp;
            ":" &amp;
            'Hulp (overig)'!$C$17 &amp;
LOOKUP(
    2,
    1 / (
        (ROW(INDIRECT("'" &amp; 'Hulp (overig)'!$C$16 &amp; "'!B1:B1000")) &lt;
            IF(U82&lt;&gt;"",
               MATCH(U82, INDIRECT("'" &amp; 'Hulp (overig)'!$C$16 &amp; "'!A1:A1000"),0),
               1000
            )
        ) *
        (LEFT(TRIM(INDIRECT("'" &amp; 'Hulp (overig)'!$C$16 &amp; "'!B1:B1000")),1) &lt;&gt; "u")
    ),
    ROW(INDIRECT("'" &amp; 'Hulp (overig)'!$C$16 &amp; "'!B1:B1000"))
)
        )
    ) * T83
),
IF(T84="","",
IF(
    IFERROR(MIN(
        IF(
            (TRIM(INDIRECT("'" &amp; 'Hulp (overig)'!$C$16 &amp; "'!B1:B1000")) = TEXT(T84,"0")) *
            (ROW(INDIRECT("'" &amp; 'Hulp (overig)'!$C$16 &amp; "'!B1:B1000")) &gt;= MATCH(
                T82,
                INDIRECT("'" &amp; 'Hulp (overig)'!$C$16 &amp; "'!A1:A1000"),
                0
            )) *
            IF(
                U82="",
                1,
                (ROW(INDIRECT("'" &amp; 'Hulp (overig)'!$C$16 &amp; "'!B1:B1000")) &lt; MATCH(
                    U82,
                    INDIRECT("'" &amp; 'Hulp (overig)'!$C$16 &amp; "'!A1:A1000"),
                    0
                ))
            ),
            ROW(INDIRECT("'" &amp; 'Hulp (overig)'!$C$16 &amp; "'!B1:B1000"))
        )
    ),0) &lt; 1,
    "",
    IF(INDEX(
        INDIRECT("'" &amp; 'Hulp (overig)'!$C$16 &amp; "'!" &amp;
        'Hulp (overig)'!$C$17 &amp; "1:" &amp; 'Hulp (overig)'!$C$17 &amp; 1000
        ),
        IFERROR(MIN(
            IF(
                (TRIM(INDIRECT("'" &amp; 'Hulp (overig)'!$C$16 &amp; "'!B1:B1000")) = TEXT(T84,"0")) *
                (ROW(INDIRECT("'" &amp; 'Hulp (overig)'!$C$16 &amp; "'!B1:B1000")) &gt;= MATCH(
                    T82,
                    INDIRECT("'" &amp; 'Hulp (overig)'!$C$16 &amp; "'!A1:A1000"),
                    0
                )) *
                IF(
                    U82="",
                    1,
                    (ROW(INDIRECT("'" &amp; 'Hulp (overig)'!$C$16 &amp; "'!B1:B1000")) &lt; MATCH(
                        U82,
                        INDIRECT("'" &amp; 'Hulp (overig)'!$C$16 &amp; "'!A1:A1000"),
                        0
                    ))
                ),
                ROW(INDIRECT("'" &amp; 'Hulp (overig)'!$C$16 &amp; "'!B1:B1000"))
            )
        ),0)
    )=0,"",
INDEX(
        INDIRECT("'" &amp; 'Hulp (overig)'!$C$16 &amp; "'!" &amp;
        'Hulp (overig)'!$C$17 &amp; "1:" &amp; 'Hulp (overig)'!$C$17 &amp; 1000
        ),
        IFERROR(MIN(
            IF(
                (TRIM(INDIRECT("'" &amp; 'Hulp (overig)'!$C$16 &amp; "'!B1:B1000")) = TEXT(T84,"0")) *
                (ROW(INDIRECT("'" &amp; 'Hulp (overig)'!$C$16 &amp; "'!B1:B1000")) &gt;= MATCH(
                    T82,
                    INDIRECT("'" &amp; 'Hulp (overig)'!$C$16 &amp; "'!A1:A1000"),
                    0
                )) *
                IF(
                    U82="",
                    1,
                    (ROW(INDIRECT("'" &amp; 'Hulp (overig)'!$C$16 &amp; "'!B1:B1000")) &lt; MATCH(
                        U82,
                        INDIRECT("'" &amp; 'Hulp (overig)'!$C$16 &amp; "'!A1:A1000"),
                        0
                    ))
                ),
                ROW(INDIRECT("'" &amp; 'Hulp (overig)'!$C$16 &amp; "'!B1:B1000"))
            )
        ),0)
    ))
))))</f>
        <v>#VALUE!</v>
      </c>
      <c r="U85" s="723" t="e" cm="1">
        <f t="array" aca="1" ref="U85" ca="1">IF($BF85, IF(U82="","",
   INDEX(
      INDIRECT("'" &amp; 'Hulp (CAO''s)'!$AE$8 &amp; "'!" &amp;
               'Hulp (overig)'!$C$17 &amp; "1:" &amp;
               'Hulp (overig)'!$C$17 &amp; "1000"),
      MATCH(
         U82,
         INDIRECT("'" &amp; 'Hulp (CAO''s)'!$AE$8 &amp; "'!A1:A1000"),
         0
      )
   )
), IF($D83="Gebruik % van maximum salaris",
IF(
    OR(U82="",U83=""),
    "",
    MAX(
        INDIRECT(
            "'" &amp; 'Hulp (overig)'!$C$16 &amp; "'!" &amp;
            'Hulp (overig)'!$C$17 &amp;
            MATCH(U82, INDIRECT("'" &amp; 'Hulp (overig)'!$C$16 &amp; "'!A1:A1000"), 0) &amp;
            ":" &amp;
            'Hulp (overig)'!$C$17 &amp;
LOOKUP(
    2,
    1 / (
        (ROW(INDIRECT("'" &amp; 'Hulp (overig)'!$C$16 &amp; "'!B1:B1000")) &lt;
            IF(V82&lt;&gt;"",
               MATCH(V82, INDIRECT("'" &amp; 'Hulp (overig)'!$C$16 &amp; "'!A1:A1000"),0),
               1000
            )
        ) *
        (LEFT(TRIM(INDIRECT("'" &amp; 'Hulp (overig)'!$C$16 &amp; "'!B1:B1000")),1) &lt;&gt; "u")
    ),
    ROW(INDIRECT("'" &amp; 'Hulp (overig)'!$C$16 &amp; "'!B1:B1000"))
)
        )
    ) * U83
),
IF(U84="","",
IF(
    IFERROR(MIN(
        IF(
            (TRIM(INDIRECT("'" &amp; 'Hulp (overig)'!$C$16 &amp; "'!B1:B1000")) = TEXT(U84,"0")) *
            (ROW(INDIRECT("'" &amp; 'Hulp (overig)'!$C$16 &amp; "'!B1:B1000")) &gt;= MATCH(
                U82,
                INDIRECT("'" &amp; 'Hulp (overig)'!$C$16 &amp; "'!A1:A1000"),
                0
            )) *
            IF(
                V82="",
                1,
                (ROW(INDIRECT("'" &amp; 'Hulp (overig)'!$C$16 &amp; "'!B1:B1000")) &lt; MATCH(
                    V82,
                    INDIRECT("'" &amp; 'Hulp (overig)'!$C$16 &amp; "'!A1:A1000"),
                    0
                ))
            ),
            ROW(INDIRECT("'" &amp; 'Hulp (overig)'!$C$16 &amp; "'!B1:B1000"))
        )
    ),0) &lt; 1,
    "",
    IF(INDEX(
        INDIRECT("'" &amp; 'Hulp (overig)'!$C$16 &amp; "'!" &amp;
        'Hulp (overig)'!$C$17 &amp; "1:" &amp; 'Hulp (overig)'!$C$17 &amp; 1000
        ),
        IFERROR(MIN(
            IF(
                (TRIM(INDIRECT("'" &amp; 'Hulp (overig)'!$C$16 &amp; "'!B1:B1000")) = TEXT(U84,"0")) *
                (ROW(INDIRECT("'" &amp; 'Hulp (overig)'!$C$16 &amp; "'!B1:B1000")) &gt;= MATCH(
                    U82,
                    INDIRECT("'" &amp; 'Hulp (overig)'!$C$16 &amp; "'!A1:A1000"),
                    0
                )) *
                IF(
                    V82="",
                    1,
                    (ROW(INDIRECT("'" &amp; 'Hulp (overig)'!$C$16 &amp; "'!B1:B1000")) &lt; MATCH(
                        V82,
                        INDIRECT("'" &amp; 'Hulp (overig)'!$C$16 &amp; "'!A1:A1000"),
                        0
                    ))
                ),
                ROW(INDIRECT("'" &amp; 'Hulp (overig)'!$C$16 &amp; "'!B1:B1000"))
            )
        ),0)
    )=0,"",
INDEX(
        INDIRECT("'" &amp; 'Hulp (overig)'!$C$16 &amp; "'!" &amp;
        'Hulp (overig)'!$C$17 &amp; "1:" &amp; 'Hulp (overig)'!$C$17 &amp; 1000
        ),
        IFERROR(MIN(
            IF(
                (TRIM(INDIRECT("'" &amp; 'Hulp (overig)'!$C$16 &amp; "'!B1:B1000")) = TEXT(U84,"0")) *
                (ROW(INDIRECT("'" &amp; 'Hulp (overig)'!$C$16 &amp; "'!B1:B1000")) &gt;= MATCH(
                    U82,
                    INDIRECT("'" &amp; 'Hulp (overig)'!$C$16 &amp; "'!A1:A1000"),
                    0
                )) *
                IF(
                    V82="",
                    1,
                    (ROW(INDIRECT("'" &amp; 'Hulp (overig)'!$C$16 &amp; "'!B1:B1000")) &lt; MATCH(
                        V82,
                        INDIRECT("'" &amp; 'Hulp (overig)'!$C$16 &amp; "'!A1:A1000"),
                        0
                    ))
                ),
                ROW(INDIRECT("'" &amp; 'Hulp (overig)'!$C$16 &amp; "'!B1:B1000"))
            )
        ),0)
    ))
))))</f>
        <v>#VALUE!</v>
      </c>
      <c r="V85" s="413" t="str" cm="1">
        <f t="array" ref="V85">IF(SUM(F86:U86)=0,"",
IF(SUM(F85:U85)=0,"",
IF(SUMPRODUCT((F86:U86&lt;&gt;0)*(F85:U85=""))&gt;0,"",
(
   SUMPRODUCT(
      IF(F85:U85="",0,F85:U85),
      IF(F86:U86="",0,F86:U86) / SUM(F86:U86)
   )
))))</f>
        <v/>
      </c>
      <c r="W85" s="418"/>
      <c r="X85" s="620"/>
      <c r="Y85" s="419" t="str">
        <f ca="1">IF(B82="","",
        IF(INDIRECT("'Hulp (control forms)'!C" &amp; (13 + INT((ROW()-ROW($B$5))/7))),
            IF(X85="","",X85),
            IF(V85="","",V85)
    )
)</f>
        <v/>
      </c>
      <c r="Z85" s="333"/>
      <c r="AA85" s="771"/>
      <c r="AB85" s="770"/>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c r="BA85" cm="1">
        <f t="array" aca="1" ref="BA85" ca="1">IF(
   SUM(Y85)=0,
   1,
   IF(
      N(INDIRECT("'Hulp (control forms)'!C"&amp;(13+INT((ROW()-ROW($B$5))/7))))&lt;&gt;0,
      MIN(1,
      ('Hulp (overig)'!$C$6/12) /
      (Y85 * BC85 + BD85)),
      MIN(1,
         IF(
            SUM(F85:U85)=0,
            "",
            SUMPRODUCT(
               IF(
                  (IF(F85:U85="",0,F85:U85) * BC85) + BD85
                  &gt; 'Hulp (overig)'!$C$6/12,
                  'Hulp (overig)'!$C$6/12,
                  (IF(F85:U85="",0,F85:U85) * BC85) + BD85
               ),
               IF(F86:U86="",0,F86:U86) / SUM(F86:U86)
            )
         ) /
         ((Y85 * BC85) + BD85)
      )
   )
)</f>
        <v>1</v>
      </c>
      <c r="BB85" cm="1">
        <f t="array" aca="1" ref="BB85" ca="1">IF(
   SUM(Y85)=0,
   1,
   IF(
      N(INDIRECT("'Hulp (control forms)'!C"&amp;(13+INT((ROW()-ROW($B$5))/7))))&lt;&gt;0,
      MIN('Hulp (overig)'!$C$5/12,
      (Y85 * BC85) + BD85) * 12,
         IF(
            SUM(F85:U85)=0,
            "",
            SUMPRODUCT(
               IF(
                  (IF(F85:U85="",0,F85:U85) * BC85) + BD85
                  &gt; 'Hulp (overig)'!$C$5/12,
                  'Hulp (overig)'!$C$5/12,
                  (IF(F85:U85="",0,F85:U85) * BC85) + BD85
               ),
               IF(F86:U86="",0,F86:U86) / SUM(F86:U86)
            )
         ) * 12
   )
)</f>
        <v>1</v>
      </c>
      <c r="BC85" s="287" cm="1">
        <f t="array" aca="1" ref="BC85" ca="1">IFERROR(
   (INDEX('2. Output kostprijs'!$24:$24, 5 + 2*INT((ROW()-8)/7))
    - SUM(INDEX('2. Output kostprijs'!$23:$23, 5 + 2*INT((ROW()-8)/7))))
   / INDEX('2. Output kostprijs'!$19:$19, 5 + 2*INT((ROW()-8)/7)),
   1
)</f>
        <v>1</v>
      </c>
      <c r="BD85" s="287" cm="1">
        <f t="array" aca="1" ref="BD85" ca="1">IFERROR(
   (INDEX('2. Output kostprijs'!$23:$23, 5 + 2*INT((ROW()-8)/7))
    * INDEX('2. Output kostprijs'!$18:$18, 5 + 2*INT((ROW()-8)/7))
   ) / 12,
   0
)</f>
        <v>0</v>
      </c>
      <c r="BE85" t="b">
        <f ca="1">NOT(AND(B82&lt;&gt;"",Y85=""))</f>
        <v>1</v>
      </c>
      <c r="BF85" t="str" cm="1">
        <f t="array" aca="1" ref="BF85" ca="1">INDIRECT("'1a. Input organisatieniveau'!$AD" &amp; 7 + INT((ROW()-ROW($F$8))/7))</f>
        <v/>
      </c>
      <c r="BG85" t="b" cm="1">
        <f t="array" ref="BG85">IFERROR(INDEX('Hulp (control forms)'!C:C, 13 + INT((ROW(A78)-1)/7)),FALSE)</f>
        <v>0</v>
      </c>
    </row>
    <row r="86" spans="1:59" ht="16.05" customHeight="1" thickBot="1" x14ac:dyDescent="0.5">
      <c r="A86" s="289"/>
      <c r="B86" s="343"/>
      <c r="C86" s="325" t="s">
        <v>779</v>
      </c>
      <c r="D86" s="688" t="s">
        <v>60</v>
      </c>
      <c r="E86" s="433" t="s">
        <v>59</v>
      </c>
      <c r="F86" s="624"/>
      <c r="G86" s="624"/>
      <c r="H86" s="624"/>
      <c r="I86" s="624"/>
      <c r="J86" s="624"/>
      <c r="K86" s="624"/>
      <c r="L86" s="624"/>
      <c r="M86" s="624"/>
      <c r="N86" s="624"/>
      <c r="O86" s="624"/>
      <c r="P86" s="624"/>
      <c r="Q86" s="624"/>
      <c r="R86" s="624"/>
      <c r="S86" s="624"/>
      <c r="T86" s="624"/>
      <c r="U86" s="625"/>
      <c r="V86" s="420" t="str">
        <f ca="1">IF($B82="","",IF($D86="Aandeel in %",
   "Totaal: "&amp;SUM(F86:U86)*100&amp;"%",
   "Totaal: "&amp;SUM(F86:U86)&amp;" uur"
))</f>
        <v/>
      </c>
      <c r="W86" s="294"/>
      <c r="X86" s="621"/>
      <c r="Y86" s="328"/>
      <c r="Z86" s="32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9" ht="16.05" customHeight="1" thickBot="1" x14ac:dyDescent="0.5">
      <c r="A87" s="289"/>
      <c r="B87" s="343"/>
      <c r="C87" s="326" t="s">
        <v>779</v>
      </c>
      <c r="D87" s="421"/>
      <c r="E87" s="426"/>
      <c r="F87" s="426"/>
      <c r="G87" s="426"/>
      <c r="H87" s="426"/>
      <c r="I87" s="426"/>
      <c r="J87" s="426"/>
      <c r="K87" s="426"/>
      <c r="L87" s="426"/>
      <c r="M87" s="426"/>
      <c r="N87" s="426"/>
      <c r="O87" s="426"/>
      <c r="P87" s="426"/>
      <c r="Q87" s="426"/>
      <c r="R87" s="426"/>
      <c r="S87" s="426"/>
      <c r="T87" s="427"/>
      <c r="U87" s="427"/>
      <c r="V87" s="421"/>
      <c r="W87" s="421"/>
      <c r="X87" s="622"/>
      <c r="Y87" s="421"/>
      <c r="Z87" s="327"/>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9" ht="16.05" customHeight="1" thickBot="1" x14ac:dyDescent="0.55000000000000004">
      <c r="A88" s="289"/>
      <c r="B88" s="585" t="str">
        <f ca="1">IF(B89="","",
IF(
   OR(
      INDIRECT("'1a. Input organisatieniveau'!AC" &amp; (7 + INT((ROW()-4)/7)))="",
      INDIRECT("'1a. Input organisatieniveau'!AC" &amp; (7 + INT((ROW()-4)/7)))=0
   ),
   "",
   INDIRECT("'1a. Input organisatieniveau'!AC" &amp; (7 + INT((ROW()-4)/7)))
))</f>
        <v/>
      </c>
      <c r="C88" s="324" t="s">
        <v>779</v>
      </c>
      <c r="D88" s="416"/>
      <c r="E88" s="428"/>
      <c r="F88" s="422" t="str">
        <f t="shared" ref="F88:U88" ca="1" si="12">IF($B89="","",
IF($D90="Gebruik % van maximum salaris",
 IF(OR(AND(AND(F89&lt;&gt;"",F90&lt;&gt;""),F92=""),AND(F92="",F93&lt;&gt;"")),"!",""),
 IF(OR(AND(AND(F89&lt;&gt;"",F91&lt;&gt;""),F92=""),AND(F92="",F93&lt;&gt;"")),"!","")))</f>
        <v/>
      </c>
      <c r="G88" s="422" t="str">
        <f t="shared" ca="1" si="12"/>
        <v/>
      </c>
      <c r="H88" s="422" t="str">
        <f t="shared" ca="1" si="12"/>
        <v/>
      </c>
      <c r="I88" s="422" t="str">
        <f t="shared" ca="1" si="12"/>
        <v/>
      </c>
      <c r="J88" s="422" t="str">
        <f t="shared" ca="1" si="12"/>
        <v/>
      </c>
      <c r="K88" s="422" t="str">
        <f t="shared" ca="1" si="12"/>
        <v/>
      </c>
      <c r="L88" s="422" t="str">
        <f t="shared" ca="1" si="12"/>
        <v/>
      </c>
      <c r="M88" s="422" t="str">
        <f t="shared" ca="1" si="12"/>
        <v/>
      </c>
      <c r="N88" s="422" t="str">
        <f t="shared" ca="1" si="12"/>
        <v/>
      </c>
      <c r="O88" s="422" t="str">
        <f t="shared" ca="1" si="12"/>
        <v/>
      </c>
      <c r="P88" s="422" t="str">
        <f t="shared" ca="1" si="12"/>
        <v/>
      </c>
      <c r="Q88" s="422" t="str">
        <f t="shared" ca="1" si="12"/>
        <v/>
      </c>
      <c r="R88" s="422" t="str">
        <f t="shared" ca="1" si="12"/>
        <v/>
      </c>
      <c r="S88" s="422" t="str">
        <f t="shared" ca="1" si="12"/>
        <v/>
      </c>
      <c r="T88" s="422" t="str">
        <f t="shared" ca="1" si="12"/>
        <v/>
      </c>
      <c r="U88" s="422" t="str">
        <f t="shared" ca="1" si="12"/>
        <v/>
      </c>
      <c r="V88" s="416"/>
      <c r="W88" s="416"/>
      <c r="X88" s="619"/>
      <c r="Y88" s="416"/>
      <c r="Z88" s="330"/>
      <c r="AA88" s="354"/>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9" ht="16.05" customHeight="1" thickBot="1" x14ac:dyDescent="0.5">
      <c r="A89" s="289"/>
      <c r="B89" s="586" t="str">
        <f ca="1">IF(
   OR(
      INDIRECT("'1a. Input organisatieniveau'!AA" &amp; (7 + INT((ROW()-4)/7)))="",
      INDIRECT("'1a. Input organisatieniveau'!AA" &amp; (7 + INT((ROW()-4)/7)))=0
   ),
   "",
   INDIRECT("'1a. Input organisatieniveau'!AA" &amp; (7 + INT((ROW()-4)/7)))
)</f>
        <v/>
      </c>
      <c r="C89" s="325" t="s">
        <v>779</v>
      </c>
      <c r="D89" s="434"/>
      <c r="E89" s="429" t="s">
        <v>28</v>
      </c>
      <c r="F89" s="423" t="str">
        <f ca="1">IF($B89="", "", IF($BF92, IF('Hulp (CAO''s)'!J$8&lt;&gt;"",'Hulp (CAO''s)'!J$8,""), INDEX('Hulp (CAO''s)'!J$3:J$7, MATCH(TRUE, 'Hulp (CAO''s)'!$D$3:$D$7, 0))))</f>
        <v/>
      </c>
      <c r="G89" s="423" t="str">
        <f ca="1">IF($B89="", "", IF($BF92, IF('Hulp (CAO''s)'!K$8&lt;&gt;"",'Hulp (CAO''s)'!K$8,""), INDEX('Hulp (CAO''s)'!K$3:K$7, MATCH(TRUE, 'Hulp (CAO''s)'!$D$3:$D$7, 0))))</f>
        <v/>
      </c>
      <c r="H89" s="423" t="str">
        <f ca="1">IF($B89="", "", IF($BF92, IF('Hulp (CAO''s)'!L$8&lt;&gt;"",'Hulp (CAO''s)'!L$8,""), INDEX('Hulp (CAO''s)'!L$3:L$7, MATCH(TRUE, 'Hulp (CAO''s)'!$D$3:$D$7, 0))))</f>
        <v/>
      </c>
      <c r="I89" s="423" t="str">
        <f ca="1">IF($B89="", "", IF($BF92, IF('Hulp (CAO''s)'!M$8&lt;&gt;"",'Hulp (CAO''s)'!M$8,""), INDEX('Hulp (CAO''s)'!M$3:M$7, MATCH(TRUE, 'Hulp (CAO''s)'!$D$3:$D$7, 0))))</f>
        <v/>
      </c>
      <c r="J89" s="423" t="str">
        <f ca="1">IF($B89="", "", IF($BF92, IF('Hulp (CAO''s)'!N$8&lt;&gt;"",'Hulp (CAO''s)'!N$8,""), INDEX('Hulp (CAO''s)'!N$3:N$7, MATCH(TRUE, 'Hulp (CAO''s)'!$D$3:$D$7, 0))))</f>
        <v/>
      </c>
      <c r="K89" s="423" t="str">
        <f ca="1">IF($B89="", "", IF($BF92, IF('Hulp (CAO''s)'!O$8&lt;&gt;"",'Hulp (CAO''s)'!O$8,""), INDEX('Hulp (CAO''s)'!O$3:O$7, MATCH(TRUE, 'Hulp (CAO''s)'!$D$3:$D$7, 0))))</f>
        <v/>
      </c>
      <c r="L89" s="423" t="str">
        <f ca="1">IF($B89="", "", IF($BF92, IF('Hulp (CAO''s)'!P$8&lt;&gt;"",'Hulp (CAO''s)'!P$8,""), INDEX('Hulp (CAO''s)'!P$3:P$7, MATCH(TRUE, 'Hulp (CAO''s)'!$D$3:$D$7, 0))))</f>
        <v/>
      </c>
      <c r="M89" s="423" t="str">
        <f ca="1">IF($B89="", "", IF($BF92, IF('Hulp (CAO''s)'!Q$8&lt;&gt;"",'Hulp (CAO''s)'!Q$8,""), INDEX('Hulp (CAO''s)'!Q$3:Q$7, MATCH(TRUE, 'Hulp (CAO''s)'!$D$3:$D$7, 0))))</f>
        <v/>
      </c>
      <c r="N89" s="423" t="str">
        <f ca="1">IF($B89="", "", IF($BF92, IF('Hulp (CAO''s)'!R$8&lt;&gt;"",'Hulp (CAO''s)'!R$8,""), INDEX('Hulp (CAO''s)'!R$3:R$7, MATCH(TRUE, 'Hulp (CAO''s)'!$D$3:$D$7, 0))))</f>
        <v/>
      </c>
      <c r="O89" s="423" t="str">
        <f ca="1">IF($B89="", "", IF($BF92, IF('Hulp (CAO''s)'!S$8&lt;&gt;"",'Hulp (CAO''s)'!S$8,""), INDEX('Hulp (CAO''s)'!S$3:S$7, MATCH(TRUE, 'Hulp (CAO''s)'!$D$3:$D$7, 0))))</f>
        <v/>
      </c>
      <c r="P89" s="423" t="str">
        <f ca="1">IF($B89="", "", IF($BF92, IF('Hulp (CAO''s)'!T$8&lt;&gt;"",'Hulp (CAO''s)'!T$8,""), INDEX('Hulp (CAO''s)'!T$3:T$7, MATCH(TRUE, 'Hulp (CAO''s)'!$D$3:$D$7, 0))))</f>
        <v/>
      </c>
      <c r="Q89" s="423" t="str">
        <f ca="1">IF($B89="", "", IF($BF92, IF('Hulp (CAO''s)'!U$8&lt;&gt;"",'Hulp (CAO''s)'!U$8,""), INDEX('Hulp (CAO''s)'!U$3:U$7, MATCH(TRUE, 'Hulp (CAO''s)'!$D$3:$D$7, 0))))</f>
        <v/>
      </c>
      <c r="R89" s="423" t="str">
        <f ca="1">IF($B89="", "", IF($BF92, IF('Hulp (CAO''s)'!V$8&lt;&gt;"",'Hulp (CAO''s)'!V$8,""), INDEX('Hulp (CAO''s)'!V$3:V$7, MATCH(TRUE, 'Hulp (CAO''s)'!$D$3:$D$7, 0))))</f>
        <v/>
      </c>
      <c r="S89" s="423" t="str">
        <f ca="1">IF($B89="", "", IF($BF92, IF('Hulp (CAO''s)'!W$8&lt;&gt;"",'Hulp (CAO''s)'!W$8,""), INDEX('Hulp (CAO''s)'!W$3:W$7, MATCH(TRUE, 'Hulp (CAO''s)'!$D$3:$D$7, 0))))</f>
        <v/>
      </c>
      <c r="T89" s="423" t="str">
        <f ca="1">IF($B89="", "", IF($BF92, IF('Hulp (CAO''s)'!X$8&lt;&gt;"",'Hulp (CAO''s)'!X$8,""), INDEX('Hulp (CAO''s)'!X$3:X$7, MATCH(TRUE, 'Hulp (CAO''s)'!$D$3:$D$7, 0))))</f>
        <v/>
      </c>
      <c r="U89" s="424" t="str">
        <f ca="1">IF($B89="", "", IF($BF92, IF('Hulp (CAO''s)'!Y$8&lt;&gt;"",'Hulp (CAO''s)'!Y$8,""), INDEX('Hulp (CAO''s)'!Y$3:Y$7, MATCH(TRUE, 'Hulp (CAO''s)'!$D$3:$D$7, 0))))</f>
        <v/>
      </c>
      <c r="V89" s="417"/>
      <c r="W89" s="343"/>
      <c r="X89" s="617"/>
      <c r="Y89" s="343"/>
      <c r="Z89" s="329"/>
      <c r="AA89" s="320"/>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9" ht="16.05" customHeight="1" x14ac:dyDescent="0.45">
      <c r="A90" s="289"/>
      <c r="B90" s="343"/>
      <c r="C90" s="325" t="s">
        <v>779</v>
      </c>
      <c r="D90" s="772" t="s">
        <v>772</v>
      </c>
      <c r="E90" s="430" t="e">
        <f ca="1">IF($BF92, "", "% t.o.v. max salaris in de schaal")</f>
        <v>#VALUE!</v>
      </c>
      <c r="F90" s="615"/>
      <c r="G90" s="615"/>
      <c r="H90" s="615"/>
      <c r="I90" s="615"/>
      <c r="J90" s="615"/>
      <c r="K90" s="615"/>
      <c r="L90" s="615"/>
      <c r="M90" s="615"/>
      <c r="N90" s="615"/>
      <c r="O90" s="615"/>
      <c r="P90" s="615"/>
      <c r="Q90" s="615"/>
      <c r="R90" s="615"/>
      <c r="S90" s="615"/>
      <c r="T90" s="615"/>
      <c r="U90" s="616"/>
      <c r="V90" s="774" t="s">
        <v>884</v>
      </c>
      <c r="W90" s="332"/>
      <c r="X90" s="776" t="s">
        <v>882</v>
      </c>
      <c r="Y90" s="778" t="s">
        <v>883</v>
      </c>
      <c r="Z90" s="329"/>
      <c r="AA90" s="771" t="s">
        <v>780</v>
      </c>
      <c r="AB90" s="770" t="s">
        <v>1079</v>
      </c>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9" ht="16.05" customHeight="1" thickBot="1" x14ac:dyDescent="0.5">
      <c r="A91" s="289"/>
      <c r="B91" s="343"/>
      <c r="C91" s="325" t="s">
        <v>779</v>
      </c>
      <c r="D91" s="773"/>
      <c r="E91" s="431" t="e">
        <f ca="1">IF($BF92, "", "Trede (gemiddeld)")</f>
        <v>#VALUE!</v>
      </c>
      <c r="F91" s="737"/>
      <c r="G91" s="737"/>
      <c r="H91" s="737"/>
      <c r="I91" s="737"/>
      <c r="J91" s="737"/>
      <c r="K91" s="737"/>
      <c r="L91" s="737"/>
      <c r="M91" s="737"/>
      <c r="N91" s="737"/>
      <c r="O91" s="737"/>
      <c r="P91" s="737"/>
      <c r="Q91" s="737"/>
      <c r="R91" s="737"/>
      <c r="S91" s="737"/>
      <c r="T91" s="737"/>
      <c r="U91" s="740"/>
      <c r="V91" s="775"/>
      <c r="W91" s="294"/>
      <c r="X91" s="777"/>
      <c r="Y91" s="779"/>
      <c r="Z91" s="329"/>
      <c r="AA91" s="771"/>
      <c r="AB91" s="770"/>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9" ht="16.05" customHeight="1" thickBot="1" x14ac:dyDescent="0.5">
      <c r="A92" s="289"/>
      <c r="B92" s="343"/>
      <c r="C92" s="325" t="s">
        <v>779</v>
      </c>
      <c r="E92" s="432" t="str">
        <f>IFERROR(
   INDEX('Hulp (CAO''s)'!$I$3:$I$7, MATCH(TRUE, 'Hulp (CAO''s)'!$D$3:$D$7, 0)),
"")</f>
        <v>Bruto maandsalaris</v>
      </c>
      <c r="F92" s="425" t="e" cm="1">
        <f t="array" aca="1" ref="F92" ca="1">IF($BF92, IF(F89="","",
   INDEX(
      INDIRECT("'" &amp; 'Hulp (CAO''s)'!$AE$8 &amp; "'!" &amp;
               'Hulp (overig)'!$C$17 &amp; "1:" &amp;
               'Hulp (overig)'!$C$17 &amp; "1000"),
      MATCH(
         F89,
         INDIRECT("'" &amp; 'Hulp (CAO''s)'!$AE$8 &amp; "'!A1:A1000"),
         0
      )
   )
), IF($D90="Gebruik % van maximum salaris",
IF(
    OR(F89="",F90=""),
    "",
    MAX(
        INDIRECT(
            "'" &amp; 'Hulp (overig)'!$C$16 &amp; "'!" &amp;
            'Hulp (overig)'!$C$17 &amp;
            MATCH(F89, INDIRECT("'" &amp; 'Hulp (overig)'!$C$16 &amp; "'!A1:A1000"), 0) &amp;
            ":" &amp;
            'Hulp (overig)'!$C$17 &amp;
LOOKUP(
    2,
    1 / (
        (ROW(INDIRECT("'" &amp; 'Hulp (overig)'!$C$16 &amp; "'!B1:B1000")) &lt;
            IF(G89&lt;&gt;"",
               MATCH(G89, INDIRECT("'" &amp; 'Hulp (overig)'!$C$16 &amp; "'!A1:A1000"),0),
               1000
            )
        ) *
        (LEFT(TRIM(INDIRECT("'" &amp; 'Hulp (overig)'!$C$16 &amp; "'!B1:B1000")),1) &lt;&gt; "u")
    ),
    ROW(INDIRECT("'" &amp; 'Hulp (overig)'!$C$16 &amp; "'!B1:B1000"))
)
        )
    ) * F90
),
IF(F91="","",
IF(
    IFERROR(MIN(
        IF(
            (TRIM(INDIRECT("'" &amp; 'Hulp (overig)'!$C$16 &amp; "'!B1:B1000")) = TEXT(F91,"0")) *
            (ROW(INDIRECT("'" &amp; 'Hulp (overig)'!$C$16 &amp; "'!B1:B1000")) &gt;= MATCH(
                F89,
                INDIRECT("'" &amp; 'Hulp (overig)'!$C$16 &amp; "'!A1:A1000"),
                0
            )) *
            IF(
                G89="",
                1,
                (ROW(INDIRECT("'" &amp; 'Hulp (overig)'!$C$16 &amp; "'!B1:B1000")) &lt; MATCH(
                    G89,
                    INDIRECT("'" &amp; 'Hulp (overig)'!$C$16 &amp; "'!A1:A1000"),
                    0
                ))
            ),
            ROW(INDIRECT("'" &amp; 'Hulp (overig)'!$C$16 &amp; "'!B1:B1000"))
        )
    ),0) &lt; 1,
    "",
    IF(INDEX(
        INDIRECT("'" &amp; 'Hulp (overig)'!$C$16 &amp; "'!" &amp;
        'Hulp (overig)'!$C$17 &amp; "1:" &amp; 'Hulp (overig)'!$C$17 &amp; 1000
        ),
        IFERROR(MIN(
            IF(
                (TRIM(INDIRECT("'" &amp; 'Hulp (overig)'!$C$16 &amp; "'!B1:B1000")) = TEXT(F91,"0")) *
                (ROW(INDIRECT("'" &amp; 'Hulp (overig)'!$C$16 &amp; "'!B1:B1000")) &gt;= MATCH(
                    F89,
                    INDIRECT("'" &amp; 'Hulp (overig)'!$C$16 &amp; "'!A1:A1000"),
                    0
                )) *
                IF(
                    G89="",
                    1,
                    (ROW(INDIRECT("'" &amp; 'Hulp (overig)'!$C$16 &amp; "'!B1:B1000")) &lt; MATCH(
                        G89,
                        INDIRECT("'" &amp; 'Hulp (overig)'!$C$16 &amp; "'!A1:A1000"),
                        0
                    ))
                ),
                ROW(INDIRECT("'" &amp; 'Hulp (overig)'!$C$16 &amp; "'!B1:B1000"))
            )
        ),0)
    )=0,"",
INDEX(
        INDIRECT("'" &amp; 'Hulp (overig)'!$C$16 &amp; "'!" &amp;
        'Hulp (overig)'!$C$17 &amp; "1:" &amp; 'Hulp (overig)'!$C$17 &amp; 1000
        ),
        IFERROR(MIN(
            IF(
                (TRIM(INDIRECT("'" &amp; 'Hulp (overig)'!$C$16 &amp; "'!B1:B1000")) = TEXT(F91,"0")) *
                (ROW(INDIRECT("'" &amp; 'Hulp (overig)'!$C$16 &amp; "'!B1:B1000")) &gt;= MATCH(
                    F89,
                    INDIRECT("'" &amp; 'Hulp (overig)'!$C$16 &amp; "'!A1:A1000"),
                    0
                )) *
                IF(
                    G89="",
                    1,
                    (ROW(INDIRECT("'" &amp; 'Hulp (overig)'!$C$16 &amp; "'!B1:B1000")) &lt; MATCH(
                        G89,
                        INDIRECT("'" &amp; 'Hulp (overig)'!$C$16 &amp; "'!A1:A1000"),
                        0
                    ))
                ),
                ROW(INDIRECT("'" &amp; 'Hulp (overig)'!$C$16 &amp; "'!B1:B1000"))
            )
        ),0)
    ))
))))</f>
        <v>#VALUE!</v>
      </c>
      <c r="G92" s="425" t="e" cm="1">
        <f t="array" aca="1" ref="G92" ca="1">IF($BF92, IF(G89="","",
   INDEX(
      INDIRECT("'" &amp; 'Hulp (CAO''s)'!$AE$8 &amp; "'!" &amp;
               'Hulp (overig)'!$C$17 &amp; "1:" &amp;
               'Hulp (overig)'!$C$17 &amp; "1000"),
      MATCH(
         G89,
         INDIRECT("'" &amp; 'Hulp (CAO''s)'!$AE$8 &amp; "'!A1:A1000"),
         0
      )
   )
), IF($D90="Gebruik % van maximum salaris",
IF(
    OR(G89="",G90=""),
    "",
    MAX(
        INDIRECT(
            "'" &amp; 'Hulp (overig)'!$C$16 &amp; "'!" &amp;
            'Hulp (overig)'!$C$17 &amp;
            MATCH(G89, INDIRECT("'" &amp; 'Hulp (overig)'!$C$16 &amp; "'!A1:A1000"), 0) &amp;
            ":" &amp;
            'Hulp (overig)'!$C$17 &amp;
LOOKUP(
    2,
    1 / (
        (ROW(INDIRECT("'" &amp; 'Hulp (overig)'!$C$16 &amp; "'!B1:B1000")) &lt;
            IF(H89&lt;&gt;"",
               MATCH(H89, INDIRECT("'" &amp; 'Hulp (overig)'!$C$16 &amp; "'!A1:A1000"),0),
               1000
            )
        ) *
        (LEFT(TRIM(INDIRECT("'" &amp; 'Hulp (overig)'!$C$16 &amp; "'!B1:B1000")),1) &lt;&gt; "u")
    ),
    ROW(INDIRECT("'" &amp; 'Hulp (overig)'!$C$16 &amp; "'!B1:B1000"))
)
        )
    ) * G90
),
IF(G91="","",
IF(
    IFERROR(MIN(
        IF(
            (TRIM(INDIRECT("'" &amp; 'Hulp (overig)'!$C$16 &amp; "'!B1:B1000")) = TEXT(G91,"0")) *
            (ROW(INDIRECT("'" &amp; 'Hulp (overig)'!$C$16 &amp; "'!B1:B1000")) &gt;= MATCH(
                G89,
                INDIRECT("'" &amp; 'Hulp (overig)'!$C$16 &amp; "'!A1:A1000"),
                0
            )) *
            IF(
                H89="",
                1,
                (ROW(INDIRECT("'" &amp; 'Hulp (overig)'!$C$16 &amp; "'!B1:B1000")) &lt; MATCH(
                    H89,
                    INDIRECT("'" &amp; 'Hulp (overig)'!$C$16 &amp; "'!A1:A1000"),
                    0
                ))
            ),
            ROW(INDIRECT("'" &amp; 'Hulp (overig)'!$C$16 &amp; "'!B1:B1000"))
        )
    ),0) &lt; 1,
    "",
    IF(INDEX(
        INDIRECT("'" &amp; 'Hulp (overig)'!$C$16 &amp; "'!" &amp;
        'Hulp (overig)'!$C$17 &amp; "1:" &amp; 'Hulp (overig)'!$C$17 &amp; 1000
        ),
        IFERROR(MIN(
            IF(
                (TRIM(INDIRECT("'" &amp; 'Hulp (overig)'!$C$16 &amp; "'!B1:B1000")) = TEXT(G91,"0")) *
                (ROW(INDIRECT("'" &amp; 'Hulp (overig)'!$C$16 &amp; "'!B1:B1000")) &gt;= MATCH(
                    G89,
                    INDIRECT("'" &amp; 'Hulp (overig)'!$C$16 &amp; "'!A1:A1000"),
                    0
                )) *
                IF(
                    H89="",
                    1,
                    (ROW(INDIRECT("'" &amp; 'Hulp (overig)'!$C$16 &amp; "'!B1:B1000")) &lt; MATCH(
                        H89,
                        INDIRECT("'" &amp; 'Hulp (overig)'!$C$16 &amp; "'!A1:A1000"),
                        0
                    ))
                ),
                ROW(INDIRECT("'" &amp; 'Hulp (overig)'!$C$16 &amp; "'!B1:B1000"))
            )
        ),0)
    )=0,"",
INDEX(
        INDIRECT("'" &amp; 'Hulp (overig)'!$C$16 &amp; "'!" &amp;
        'Hulp (overig)'!$C$17 &amp; "1:" &amp; 'Hulp (overig)'!$C$17 &amp; 1000
        ),
        IFERROR(MIN(
            IF(
                (TRIM(INDIRECT("'" &amp; 'Hulp (overig)'!$C$16 &amp; "'!B1:B1000")) = TEXT(G91,"0")) *
                (ROW(INDIRECT("'" &amp; 'Hulp (overig)'!$C$16 &amp; "'!B1:B1000")) &gt;= MATCH(
                    G89,
                    INDIRECT("'" &amp; 'Hulp (overig)'!$C$16 &amp; "'!A1:A1000"),
                    0
                )) *
                IF(
                    H89="",
                    1,
                    (ROW(INDIRECT("'" &amp; 'Hulp (overig)'!$C$16 &amp; "'!B1:B1000")) &lt; MATCH(
                        H89,
                        INDIRECT("'" &amp; 'Hulp (overig)'!$C$16 &amp; "'!A1:A1000"),
                        0
                    ))
                ),
                ROW(INDIRECT("'" &amp; 'Hulp (overig)'!$C$16 &amp; "'!B1:B1000"))
            )
        ),0)
    ))
))))</f>
        <v>#VALUE!</v>
      </c>
      <c r="H92" s="425" t="e" cm="1">
        <f t="array" aca="1" ref="H92" ca="1">IF($BF92, IF(H89="","",
   INDEX(
      INDIRECT("'" &amp; 'Hulp (CAO''s)'!$AE$8 &amp; "'!" &amp;
               'Hulp (overig)'!$C$17 &amp; "1:" &amp;
               'Hulp (overig)'!$C$17 &amp; "1000"),
      MATCH(
         H89,
         INDIRECT("'" &amp; 'Hulp (CAO''s)'!$AE$8 &amp; "'!A1:A1000"),
         0
      )
   )
), IF($D90="Gebruik % van maximum salaris",
IF(
    OR(H89="",H90=""),
    "",
    MAX(
        INDIRECT(
            "'" &amp; 'Hulp (overig)'!$C$16 &amp; "'!" &amp;
            'Hulp (overig)'!$C$17 &amp;
            MATCH(H89, INDIRECT("'" &amp; 'Hulp (overig)'!$C$16 &amp; "'!A1:A1000"), 0) &amp;
            ":" &amp;
            'Hulp (overig)'!$C$17 &amp;
LOOKUP(
    2,
    1 / (
        (ROW(INDIRECT("'" &amp; 'Hulp (overig)'!$C$16 &amp; "'!B1:B1000")) &lt;
            IF(I89&lt;&gt;"",
               MATCH(I89, INDIRECT("'" &amp; 'Hulp (overig)'!$C$16 &amp; "'!A1:A1000"),0),
               1000
            )
        ) *
        (LEFT(TRIM(INDIRECT("'" &amp; 'Hulp (overig)'!$C$16 &amp; "'!B1:B1000")),1) &lt;&gt; "u")
    ),
    ROW(INDIRECT("'" &amp; 'Hulp (overig)'!$C$16 &amp; "'!B1:B1000"))
)
        )
    ) * H90
),
IF(H91="","",
IF(
    IFERROR(MIN(
        IF(
            (TRIM(INDIRECT("'" &amp; 'Hulp (overig)'!$C$16 &amp; "'!B1:B1000")) = TEXT(H91,"0")) *
            (ROW(INDIRECT("'" &amp; 'Hulp (overig)'!$C$16 &amp; "'!B1:B1000")) &gt;= MATCH(
                H89,
                INDIRECT("'" &amp; 'Hulp (overig)'!$C$16 &amp; "'!A1:A1000"),
                0
            )) *
            IF(
                I89="",
                1,
                (ROW(INDIRECT("'" &amp; 'Hulp (overig)'!$C$16 &amp; "'!B1:B1000")) &lt; MATCH(
                    I89,
                    INDIRECT("'" &amp; 'Hulp (overig)'!$C$16 &amp; "'!A1:A1000"),
                    0
                ))
            ),
            ROW(INDIRECT("'" &amp; 'Hulp (overig)'!$C$16 &amp; "'!B1:B1000"))
        )
    ),0) &lt; 1,
    "",
    IF(INDEX(
        INDIRECT("'" &amp; 'Hulp (overig)'!$C$16 &amp; "'!" &amp;
        'Hulp (overig)'!$C$17 &amp; "1:" &amp; 'Hulp (overig)'!$C$17 &amp; 1000
        ),
        IFERROR(MIN(
            IF(
                (TRIM(INDIRECT("'" &amp; 'Hulp (overig)'!$C$16 &amp; "'!B1:B1000")) = TEXT(H91,"0")) *
                (ROW(INDIRECT("'" &amp; 'Hulp (overig)'!$C$16 &amp; "'!B1:B1000")) &gt;= MATCH(
                    H89,
                    INDIRECT("'" &amp; 'Hulp (overig)'!$C$16 &amp; "'!A1:A1000"),
                    0
                )) *
                IF(
                    I89="",
                    1,
                    (ROW(INDIRECT("'" &amp; 'Hulp (overig)'!$C$16 &amp; "'!B1:B1000")) &lt; MATCH(
                        I89,
                        INDIRECT("'" &amp; 'Hulp (overig)'!$C$16 &amp; "'!A1:A1000"),
                        0
                    ))
                ),
                ROW(INDIRECT("'" &amp; 'Hulp (overig)'!$C$16 &amp; "'!B1:B1000"))
            )
        ),0)
    )=0,"",
INDEX(
        INDIRECT("'" &amp; 'Hulp (overig)'!$C$16 &amp; "'!" &amp;
        'Hulp (overig)'!$C$17 &amp; "1:" &amp; 'Hulp (overig)'!$C$17 &amp; 1000
        ),
        IFERROR(MIN(
            IF(
                (TRIM(INDIRECT("'" &amp; 'Hulp (overig)'!$C$16 &amp; "'!B1:B1000")) = TEXT(H91,"0")) *
                (ROW(INDIRECT("'" &amp; 'Hulp (overig)'!$C$16 &amp; "'!B1:B1000")) &gt;= MATCH(
                    H89,
                    INDIRECT("'" &amp; 'Hulp (overig)'!$C$16 &amp; "'!A1:A1000"),
                    0
                )) *
                IF(
                    I89="",
                    1,
                    (ROW(INDIRECT("'" &amp; 'Hulp (overig)'!$C$16 &amp; "'!B1:B1000")) &lt; MATCH(
                        I89,
                        INDIRECT("'" &amp; 'Hulp (overig)'!$C$16 &amp; "'!A1:A1000"),
                        0
                    ))
                ),
                ROW(INDIRECT("'" &amp; 'Hulp (overig)'!$C$16 &amp; "'!B1:B1000"))
            )
        ),0)
    ))
))))</f>
        <v>#VALUE!</v>
      </c>
      <c r="I92" s="425" t="e" cm="1">
        <f t="array" aca="1" ref="I92" ca="1">IF($BF92, IF(I89="","",
   INDEX(
      INDIRECT("'" &amp; 'Hulp (CAO''s)'!$AE$8 &amp; "'!" &amp;
               'Hulp (overig)'!$C$17 &amp; "1:" &amp;
               'Hulp (overig)'!$C$17 &amp; "1000"),
      MATCH(
         I89,
         INDIRECT("'" &amp; 'Hulp (CAO''s)'!$AE$8 &amp; "'!A1:A1000"),
         0
      )
   )
), IF($D90="Gebruik % van maximum salaris",
IF(
    OR(I89="",I90=""),
    "",
    MAX(
        INDIRECT(
            "'" &amp; 'Hulp (overig)'!$C$16 &amp; "'!" &amp;
            'Hulp (overig)'!$C$17 &amp;
            MATCH(I89, INDIRECT("'" &amp; 'Hulp (overig)'!$C$16 &amp; "'!A1:A1000"), 0) &amp;
            ":" &amp;
            'Hulp (overig)'!$C$17 &amp;
LOOKUP(
    2,
    1 / (
        (ROW(INDIRECT("'" &amp; 'Hulp (overig)'!$C$16 &amp; "'!B1:B1000")) &lt;
            IF(J89&lt;&gt;"",
               MATCH(J89, INDIRECT("'" &amp; 'Hulp (overig)'!$C$16 &amp; "'!A1:A1000"),0),
               1000
            )
        ) *
        (LEFT(TRIM(INDIRECT("'" &amp; 'Hulp (overig)'!$C$16 &amp; "'!B1:B1000")),1) &lt;&gt; "u")
    ),
    ROW(INDIRECT("'" &amp; 'Hulp (overig)'!$C$16 &amp; "'!B1:B1000"))
)
        )
    ) * I90
),
IF(I91="","",
IF(
    IFERROR(MIN(
        IF(
            (TRIM(INDIRECT("'" &amp; 'Hulp (overig)'!$C$16 &amp; "'!B1:B1000")) = TEXT(I91,"0")) *
            (ROW(INDIRECT("'" &amp; 'Hulp (overig)'!$C$16 &amp; "'!B1:B1000")) &gt;= MATCH(
                I89,
                INDIRECT("'" &amp; 'Hulp (overig)'!$C$16 &amp; "'!A1:A1000"),
                0
            )) *
            IF(
                J89="",
                1,
                (ROW(INDIRECT("'" &amp; 'Hulp (overig)'!$C$16 &amp; "'!B1:B1000")) &lt; MATCH(
                    J89,
                    INDIRECT("'" &amp; 'Hulp (overig)'!$C$16 &amp; "'!A1:A1000"),
                    0
                ))
            ),
            ROW(INDIRECT("'" &amp; 'Hulp (overig)'!$C$16 &amp; "'!B1:B1000"))
        )
    ),0) &lt; 1,
    "",
    IF(INDEX(
        INDIRECT("'" &amp; 'Hulp (overig)'!$C$16 &amp; "'!" &amp;
        'Hulp (overig)'!$C$17 &amp; "1:" &amp; 'Hulp (overig)'!$C$17 &amp; 1000
        ),
        IFERROR(MIN(
            IF(
                (TRIM(INDIRECT("'" &amp; 'Hulp (overig)'!$C$16 &amp; "'!B1:B1000")) = TEXT(I91,"0")) *
                (ROW(INDIRECT("'" &amp; 'Hulp (overig)'!$C$16 &amp; "'!B1:B1000")) &gt;= MATCH(
                    I89,
                    INDIRECT("'" &amp; 'Hulp (overig)'!$C$16 &amp; "'!A1:A1000"),
                    0
                )) *
                IF(
                    J89="",
                    1,
                    (ROW(INDIRECT("'" &amp; 'Hulp (overig)'!$C$16 &amp; "'!B1:B1000")) &lt; MATCH(
                        J89,
                        INDIRECT("'" &amp; 'Hulp (overig)'!$C$16 &amp; "'!A1:A1000"),
                        0
                    ))
                ),
                ROW(INDIRECT("'" &amp; 'Hulp (overig)'!$C$16 &amp; "'!B1:B1000"))
            )
        ),0)
    )=0,"",
INDEX(
        INDIRECT("'" &amp; 'Hulp (overig)'!$C$16 &amp; "'!" &amp;
        'Hulp (overig)'!$C$17 &amp; "1:" &amp; 'Hulp (overig)'!$C$17 &amp; 1000
        ),
        IFERROR(MIN(
            IF(
                (TRIM(INDIRECT("'" &amp; 'Hulp (overig)'!$C$16 &amp; "'!B1:B1000")) = TEXT(I91,"0")) *
                (ROW(INDIRECT("'" &amp; 'Hulp (overig)'!$C$16 &amp; "'!B1:B1000")) &gt;= MATCH(
                    I89,
                    INDIRECT("'" &amp; 'Hulp (overig)'!$C$16 &amp; "'!A1:A1000"),
                    0
                )) *
                IF(
                    J89="",
                    1,
                    (ROW(INDIRECT("'" &amp; 'Hulp (overig)'!$C$16 &amp; "'!B1:B1000")) &lt; MATCH(
                        J89,
                        INDIRECT("'" &amp; 'Hulp (overig)'!$C$16 &amp; "'!A1:A1000"),
                        0
                    ))
                ),
                ROW(INDIRECT("'" &amp; 'Hulp (overig)'!$C$16 &amp; "'!B1:B1000"))
            )
        ),0)
    ))
))))</f>
        <v>#VALUE!</v>
      </c>
      <c r="J92" s="425" t="e" cm="1">
        <f t="array" aca="1" ref="J92" ca="1">IF($BF92, IF(J89="","",
   INDEX(
      INDIRECT("'" &amp; 'Hulp (CAO''s)'!$AE$8 &amp; "'!" &amp;
               'Hulp (overig)'!$C$17 &amp; "1:" &amp;
               'Hulp (overig)'!$C$17 &amp; "1000"),
      MATCH(
         J89,
         INDIRECT("'" &amp; 'Hulp (CAO''s)'!$AE$8 &amp; "'!A1:A1000"),
         0
      )
   )
), IF($D90="Gebruik % van maximum salaris",
IF(
    OR(J89="",J90=""),
    "",
    MAX(
        INDIRECT(
            "'" &amp; 'Hulp (overig)'!$C$16 &amp; "'!" &amp;
            'Hulp (overig)'!$C$17 &amp;
            MATCH(J89, INDIRECT("'" &amp; 'Hulp (overig)'!$C$16 &amp; "'!A1:A1000"), 0) &amp;
            ":" &amp;
            'Hulp (overig)'!$C$17 &amp;
LOOKUP(
    2,
    1 / (
        (ROW(INDIRECT("'" &amp; 'Hulp (overig)'!$C$16 &amp; "'!B1:B1000")) &lt;
            IF(K89&lt;&gt;"",
               MATCH(K89, INDIRECT("'" &amp; 'Hulp (overig)'!$C$16 &amp; "'!A1:A1000"),0),
               1000
            )
        ) *
        (LEFT(TRIM(INDIRECT("'" &amp; 'Hulp (overig)'!$C$16 &amp; "'!B1:B1000")),1) &lt;&gt; "u")
    ),
    ROW(INDIRECT("'" &amp; 'Hulp (overig)'!$C$16 &amp; "'!B1:B1000"))
)
        )
    ) * J90
),
IF(J91="","",
IF(
    IFERROR(MIN(
        IF(
            (TRIM(INDIRECT("'" &amp; 'Hulp (overig)'!$C$16 &amp; "'!B1:B1000")) = TEXT(J91,"0")) *
            (ROW(INDIRECT("'" &amp; 'Hulp (overig)'!$C$16 &amp; "'!B1:B1000")) &gt;= MATCH(
                J89,
                INDIRECT("'" &amp; 'Hulp (overig)'!$C$16 &amp; "'!A1:A1000"),
                0
            )) *
            IF(
                K89="",
                1,
                (ROW(INDIRECT("'" &amp; 'Hulp (overig)'!$C$16 &amp; "'!B1:B1000")) &lt; MATCH(
                    K89,
                    INDIRECT("'" &amp; 'Hulp (overig)'!$C$16 &amp; "'!A1:A1000"),
                    0
                ))
            ),
            ROW(INDIRECT("'" &amp; 'Hulp (overig)'!$C$16 &amp; "'!B1:B1000"))
        )
    ),0) &lt; 1,
    "",
    IF(INDEX(
        INDIRECT("'" &amp; 'Hulp (overig)'!$C$16 &amp; "'!" &amp;
        'Hulp (overig)'!$C$17 &amp; "1:" &amp; 'Hulp (overig)'!$C$17 &amp; 1000
        ),
        IFERROR(MIN(
            IF(
                (TRIM(INDIRECT("'" &amp; 'Hulp (overig)'!$C$16 &amp; "'!B1:B1000")) = TEXT(J91,"0")) *
                (ROW(INDIRECT("'" &amp; 'Hulp (overig)'!$C$16 &amp; "'!B1:B1000")) &gt;= MATCH(
                    J89,
                    INDIRECT("'" &amp; 'Hulp (overig)'!$C$16 &amp; "'!A1:A1000"),
                    0
                )) *
                IF(
                    K89="",
                    1,
                    (ROW(INDIRECT("'" &amp; 'Hulp (overig)'!$C$16 &amp; "'!B1:B1000")) &lt; MATCH(
                        K89,
                        INDIRECT("'" &amp; 'Hulp (overig)'!$C$16 &amp; "'!A1:A1000"),
                        0
                    ))
                ),
                ROW(INDIRECT("'" &amp; 'Hulp (overig)'!$C$16 &amp; "'!B1:B1000"))
            )
        ),0)
    )=0,"",
INDEX(
        INDIRECT("'" &amp; 'Hulp (overig)'!$C$16 &amp; "'!" &amp;
        'Hulp (overig)'!$C$17 &amp; "1:" &amp; 'Hulp (overig)'!$C$17 &amp; 1000
        ),
        IFERROR(MIN(
            IF(
                (TRIM(INDIRECT("'" &amp; 'Hulp (overig)'!$C$16 &amp; "'!B1:B1000")) = TEXT(J91,"0")) *
                (ROW(INDIRECT("'" &amp; 'Hulp (overig)'!$C$16 &amp; "'!B1:B1000")) &gt;= MATCH(
                    J89,
                    INDIRECT("'" &amp; 'Hulp (overig)'!$C$16 &amp; "'!A1:A1000"),
                    0
                )) *
                IF(
                    K89="",
                    1,
                    (ROW(INDIRECT("'" &amp; 'Hulp (overig)'!$C$16 &amp; "'!B1:B1000")) &lt; MATCH(
                        K89,
                        INDIRECT("'" &amp; 'Hulp (overig)'!$C$16 &amp; "'!A1:A1000"),
                        0
                    ))
                ),
                ROW(INDIRECT("'" &amp; 'Hulp (overig)'!$C$16 &amp; "'!B1:B1000"))
            )
        ),0)
    ))
))))</f>
        <v>#VALUE!</v>
      </c>
      <c r="K92" s="425" t="e" cm="1">
        <f t="array" aca="1" ref="K92" ca="1">IF($BF92, IF(K89="","",
   INDEX(
      INDIRECT("'" &amp; 'Hulp (CAO''s)'!$AE$8 &amp; "'!" &amp;
               'Hulp (overig)'!$C$17 &amp; "1:" &amp;
               'Hulp (overig)'!$C$17 &amp; "1000"),
      MATCH(
         K89,
         INDIRECT("'" &amp; 'Hulp (CAO''s)'!$AE$8 &amp; "'!A1:A1000"),
         0
      )
   )
), IF($D90="Gebruik % van maximum salaris",
IF(
    OR(K89="",K90=""),
    "",
    MAX(
        INDIRECT(
            "'" &amp; 'Hulp (overig)'!$C$16 &amp; "'!" &amp;
            'Hulp (overig)'!$C$17 &amp;
            MATCH(K89, INDIRECT("'" &amp; 'Hulp (overig)'!$C$16 &amp; "'!A1:A1000"), 0) &amp;
            ":" &amp;
            'Hulp (overig)'!$C$17 &amp;
LOOKUP(
    2,
    1 / (
        (ROW(INDIRECT("'" &amp; 'Hulp (overig)'!$C$16 &amp; "'!B1:B1000")) &lt;
            IF(L89&lt;&gt;"",
               MATCH(L89, INDIRECT("'" &amp; 'Hulp (overig)'!$C$16 &amp; "'!A1:A1000"),0),
               1000
            )
        ) *
        (LEFT(TRIM(INDIRECT("'" &amp; 'Hulp (overig)'!$C$16 &amp; "'!B1:B1000")),1) &lt;&gt; "u")
    ),
    ROW(INDIRECT("'" &amp; 'Hulp (overig)'!$C$16 &amp; "'!B1:B1000"))
)
        )
    ) * K90
),
IF(K91="","",
IF(
    IFERROR(MIN(
        IF(
            (TRIM(INDIRECT("'" &amp; 'Hulp (overig)'!$C$16 &amp; "'!B1:B1000")) = TEXT(K91,"0")) *
            (ROW(INDIRECT("'" &amp; 'Hulp (overig)'!$C$16 &amp; "'!B1:B1000")) &gt;= MATCH(
                K89,
                INDIRECT("'" &amp; 'Hulp (overig)'!$C$16 &amp; "'!A1:A1000"),
                0
            )) *
            IF(
                L89="",
                1,
                (ROW(INDIRECT("'" &amp; 'Hulp (overig)'!$C$16 &amp; "'!B1:B1000")) &lt; MATCH(
                    L89,
                    INDIRECT("'" &amp; 'Hulp (overig)'!$C$16 &amp; "'!A1:A1000"),
                    0
                ))
            ),
            ROW(INDIRECT("'" &amp; 'Hulp (overig)'!$C$16 &amp; "'!B1:B1000"))
        )
    ),0) &lt; 1,
    "",
    IF(INDEX(
        INDIRECT("'" &amp; 'Hulp (overig)'!$C$16 &amp; "'!" &amp;
        'Hulp (overig)'!$C$17 &amp; "1:" &amp; 'Hulp (overig)'!$C$17 &amp; 1000
        ),
        IFERROR(MIN(
            IF(
                (TRIM(INDIRECT("'" &amp; 'Hulp (overig)'!$C$16 &amp; "'!B1:B1000")) = TEXT(K91,"0")) *
                (ROW(INDIRECT("'" &amp; 'Hulp (overig)'!$C$16 &amp; "'!B1:B1000")) &gt;= MATCH(
                    K89,
                    INDIRECT("'" &amp; 'Hulp (overig)'!$C$16 &amp; "'!A1:A1000"),
                    0
                )) *
                IF(
                    L89="",
                    1,
                    (ROW(INDIRECT("'" &amp; 'Hulp (overig)'!$C$16 &amp; "'!B1:B1000")) &lt; MATCH(
                        L89,
                        INDIRECT("'" &amp; 'Hulp (overig)'!$C$16 &amp; "'!A1:A1000"),
                        0
                    ))
                ),
                ROW(INDIRECT("'" &amp; 'Hulp (overig)'!$C$16 &amp; "'!B1:B1000"))
            )
        ),0)
    )=0,"",
INDEX(
        INDIRECT("'" &amp; 'Hulp (overig)'!$C$16 &amp; "'!" &amp;
        'Hulp (overig)'!$C$17 &amp; "1:" &amp; 'Hulp (overig)'!$C$17 &amp; 1000
        ),
        IFERROR(MIN(
            IF(
                (TRIM(INDIRECT("'" &amp; 'Hulp (overig)'!$C$16 &amp; "'!B1:B1000")) = TEXT(K91,"0")) *
                (ROW(INDIRECT("'" &amp; 'Hulp (overig)'!$C$16 &amp; "'!B1:B1000")) &gt;= MATCH(
                    K89,
                    INDIRECT("'" &amp; 'Hulp (overig)'!$C$16 &amp; "'!A1:A1000"),
                    0
                )) *
                IF(
                    L89="",
                    1,
                    (ROW(INDIRECT("'" &amp; 'Hulp (overig)'!$C$16 &amp; "'!B1:B1000")) &lt; MATCH(
                        L89,
                        INDIRECT("'" &amp; 'Hulp (overig)'!$C$16 &amp; "'!A1:A1000"),
                        0
                    ))
                ),
                ROW(INDIRECT("'" &amp; 'Hulp (overig)'!$C$16 &amp; "'!B1:B1000"))
            )
        ),0)
    ))
))))</f>
        <v>#VALUE!</v>
      </c>
      <c r="L92" s="425" t="e" cm="1">
        <f t="array" aca="1" ref="L92" ca="1">IF($BF92, IF(L89="","",
   INDEX(
      INDIRECT("'" &amp; 'Hulp (CAO''s)'!$AE$8 &amp; "'!" &amp;
               'Hulp (overig)'!$C$17 &amp; "1:" &amp;
               'Hulp (overig)'!$C$17 &amp; "1000"),
      MATCH(
         L89,
         INDIRECT("'" &amp; 'Hulp (CAO''s)'!$AE$8 &amp; "'!A1:A1000"),
         0
      )
   )
), IF($D90="Gebruik % van maximum salaris",
IF(
    OR(L89="",L90=""),
    "",
    MAX(
        INDIRECT(
            "'" &amp; 'Hulp (overig)'!$C$16 &amp; "'!" &amp;
            'Hulp (overig)'!$C$17 &amp;
            MATCH(L89, INDIRECT("'" &amp; 'Hulp (overig)'!$C$16 &amp; "'!A1:A1000"), 0) &amp;
            ":" &amp;
            'Hulp (overig)'!$C$17 &amp;
LOOKUP(
    2,
    1 / (
        (ROW(INDIRECT("'" &amp; 'Hulp (overig)'!$C$16 &amp; "'!B1:B1000")) &lt;
            IF(M89&lt;&gt;"",
               MATCH(M89, INDIRECT("'" &amp; 'Hulp (overig)'!$C$16 &amp; "'!A1:A1000"),0),
               1000
            )
        ) *
        (LEFT(TRIM(INDIRECT("'" &amp; 'Hulp (overig)'!$C$16 &amp; "'!B1:B1000")),1) &lt;&gt; "u")
    ),
    ROW(INDIRECT("'" &amp; 'Hulp (overig)'!$C$16 &amp; "'!B1:B1000"))
)
        )
    ) * L90
),
IF(L91="","",
IF(
    IFERROR(MIN(
        IF(
            (TRIM(INDIRECT("'" &amp; 'Hulp (overig)'!$C$16 &amp; "'!B1:B1000")) = TEXT(L91,"0")) *
            (ROW(INDIRECT("'" &amp; 'Hulp (overig)'!$C$16 &amp; "'!B1:B1000")) &gt;= MATCH(
                L89,
                INDIRECT("'" &amp; 'Hulp (overig)'!$C$16 &amp; "'!A1:A1000"),
                0
            )) *
            IF(
                M89="",
                1,
                (ROW(INDIRECT("'" &amp; 'Hulp (overig)'!$C$16 &amp; "'!B1:B1000")) &lt; MATCH(
                    M89,
                    INDIRECT("'" &amp; 'Hulp (overig)'!$C$16 &amp; "'!A1:A1000"),
                    0
                ))
            ),
            ROW(INDIRECT("'" &amp; 'Hulp (overig)'!$C$16 &amp; "'!B1:B1000"))
        )
    ),0) &lt; 1,
    "",
    IF(INDEX(
        INDIRECT("'" &amp; 'Hulp (overig)'!$C$16 &amp; "'!" &amp;
        'Hulp (overig)'!$C$17 &amp; "1:" &amp; 'Hulp (overig)'!$C$17 &amp; 1000
        ),
        IFERROR(MIN(
            IF(
                (TRIM(INDIRECT("'" &amp; 'Hulp (overig)'!$C$16 &amp; "'!B1:B1000")) = TEXT(L91,"0")) *
                (ROW(INDIRECT("'" &amp; 'Hulp (overig)'!$C$16 &amp; "'!B1:B1000")) &gt;= MATCH(
                    L89,
                    INDIRECT("'" &amp; 'Hulp (overig)'!$C$16 &amp; "'!A1:A1000"),
                    0
                )) *
                IF(
                    M89="",
                    1,
                    (ROW(INDIRECT("'" &amp; 'Hulp (overig)'!$C$16 &amp; "'!B1:B1000")) &lt; MATCH(
                        M89,
                        INDIRECT("'" &amp; 'Hulp (overig)'!$C$16 &amp; "'!A1:A1000"),
                        0
                    ))
                ),
                ROW(INDIRECT("'" &amp; 'Hulp (overig)'!$C$16 &amp; "'!B1:B1000"))
            )
        ),0)
    )=0,"",
INDEX(
        INDIRECT("'" &amp; 'Hulp (overig)'!$C$16 &amp; "'!" &amp;
        'Hulp (overig)'!$C$17 &amp; "1:" &amp; 'Hulp (overig)'!$C$17 &amp; 1000
        ),
        IFERROR(MIN(
            IF(
                (TRIM(INDIRECT("'" &amp; 'Hulp (overig)'!$C$16 &amp; "'!B1:B1000")) = TEXT(L91,"0")) *
                (ROW(INDIRECT("'" &amp; 'Hulp (overig)'!$C$16 &amp; "'!B1:B1000")) &gt;= MATCH(
                    L89,
                    INDIRECT("'" &amp; 'Hulp (overig)'!$C$16 &amp; "'!A1:A1000"),
                    0
                )) *
                IF(
                    M89="",
                    1,
                    (ROW(INDIRECT("'" &amp; 'Hulp (overig)'!$C$16 &amp; "'!B1:B1000")) &lt; MATCH(
                        M89,
                        INDIRECT("'" &amp; 'Hulp (overig)'!$C$16 &amp; "'!A1:A1000"),
                        0
                    ))
                ),
                ROW(INDIRECT("'" &amp; 'Hulp (overig)'!$C$16 &amp; "'!B1:B1000"))
            )
        ),0)
    ))
))))</f>
        <v>#VALUE!</v>
      </c>
      <c r="M92" s="425" t="e" cm="1">
        <f t="array" aca="1" ref="M92" ca="1">IF($BF92, IF(M89="","",
   INDEX(
      INDIRECT("'" &amp; 'Hulp (CAO''s)'!$AE$8 &amp; "'!" &amp;
               'Hulp (overig)'!$C$17 &amp; "1:" &amp;
               'Hulp (overig)'!$C$17 &amp; "1000"),
      MATCH(
         M89,
         INDIRECT("'" &amp; 'Hulp (CAO''s)'!$AE$8 &amp; "'!A1:A1000"),
         0
      )
   )
), IF($D90="Gebruik % van maximum salaris",
IF(
    OR(M89="",M90=""),
    "",
    MAX(
        INDIRECT(
            "'" &amp; 'Hulp (overig)'!$C$16 &amp; "'!" &amp;
            'Hulp (overig)'!$C$17 &amp;
            MATCH(M89, INDIRECT("'" &amp; 'Hulp (overig)'!$C$16 &amp; "'!A1:A1000"), 0) &amp;
            ":" &amp;
            'Hulp (overig)'!$C$17 &amp;
LOOKUP(
    2,
    1 / (
        (ROW(INDIRECT("'" &amp; 'Hulp (overig)'!$C$16 &amp; "'!B1:B1000")) &lt;
            IF(N89&lt;&gt;"",
               MATCH(N89, INDIRECT("'" &amp; 'Hulp (overig)'!$C$16 &amp; "'!A1:A1000"),0),
               1000
            )
        ) *
        (LEFT(TRIM(INDIRECT("'" &amp; 'Hulp (overig)'!$C$16 &amp; "'!B1:B1000")),1) &lt;&gt; "u")
    ),
    ROW(INDIRECT("'" &amp; 'Hulp (overig)'!$C$16 &amp; "'!B1:B1000"))
)
        )
    ) * M90
),
IF(M91="","",
IF(
    IFERROR(MIN(
        IF(
            (TRIM(INDIRECT("'" &amp; 'Hulp (overig)'!$C$16 &amp; "'!B1:B1000")) = TEXT(M91,"0")) *
            (ROW(INDIRECT("'" &amp; 'Hulp (overig)'!$C$16 &amp; "'!B1:B1000")) &gt;= MATCH(
                M89,
                INDIRECT("'" &amp; 'Hulp (overig)'!$C$16 &amp; "'!A1:A1000"),
                0
            )) *
            IF(
                N89="",
                1,
                (ROW(INDIRECT("'" &amp; 'Hulp (overig)'!$C$16 &amp; "'!B1:B1000")) &lt; MATCH(
                    N89,
                    INDIRECT("'" &amp; 'Hulp (overig)'!$C$16 &amp; "'!A1:A1000"),
                    0
                ))
            ),
            ROW(INDIRECT("'" &amp; 'Hulp (overig)'!$C$16 &amp; "'!B1:B1000"))
        )
    ),0) &lt; 1,
    "",
    IF(INDEX(
        INDIRECT("'" &amp; 'Hulp (overig)'!$C$16 &amp; "'!" &amp;
        'Hulp (overig)'!$C$17 &amp; "1:" &amp; 'Hulp (overig)'!$C$17 &amp; 1000
        ),
        IFERROR(MIN(
            IF(
                (TRIM(INDIRECT("'" &amp; 'Hulp (overig)'!$C$16 &amp; "'!B1:B1000")) = TEXT(M91,"0")) *
                (ROW(INDIRECT("'" &amp; 'Hulp (overig)'!$C$16 &amp; "'!B1:B1000")) &gt;= MATCH(
                    M89,
                    INDIRECT("'" &amp; 'Hulp (overig)'!$C$16 &amp; "'!A1:A1000"),
                    0
                )) *
                IF(
                    N89="",
                    1,
                    (ROW(INDIRECT("'" &amp; 'Hulp (overig)'!$C$16 &amp; "'!B1:B1000")) &lt; MATCH(
                        N89,
                        INDIRECT("'" &amp; 'Hulp (overig)'!$C$16 &amp; "'!A1:A1000"),
                        0
                    ))
                ),
                ROW(INDIRECT("'" &amp; 'Hulp (overig)'!$C$16 &amp; "'!B1:B1000"))
            )
        ),0)
    )=0,"",
INDEX(
        INDIRECT("'" &amp; 'Hulp (overig)'!$C$16 &amp; "'!" &amp;
        'Hulp (overig)'!$C$17 &amp; "1:" &amp; 'Hulp (overig)'!$C$17 &amp; 1000
        ),
        IFERROR(MIN(
            IF(
                (TRIM(INDIRECT("'" &amp; 'Hulp (overig)'!$C$16 &amp; "'!B1:B1000")) = TEXT(M91,"0")) *
                (ROW(INDIRECT("'" &amp; 'Hulp (overig)'!$C$16 &amp; "'!B1:B1000")) &gt;= MATCH(
                    M89,
                    INDIRECT("'" &amp; 'Hulp (overig)'!$C$16 &amp; "'!A1:A1000"),
                    0
                )) *
                IF(
                    N89="",
                    1,
                    (ROW(INDIRECT("'" &amp; 'Hulp (overig)'!$C$16 &amp; "'!B1:B1000")) &lt; MATCH(
                        N89,
                        INDIRECT("'" &amp; 'Hulp (overig)'!$C$16 &amp; "'!A1:A1000"),
                        0
                    ))
                ),
                ROW(INDIRECT("'" &amp; 'Hulp (overig)'!$C$16 &amp; "'!B1:B1000"))
            )
        ),0)
    ))
))))</f>
        <v>#VALUE!</v>
      </c>
      <c r="N92" s="425" t="e" cm="1">
        <f t="array" aca="1" ref="N92" ca="1">IF($BF92, IF(N89="","",
   INDEX(
      INDIRECT("'" &amp; 'Hulp (CAO''s)'!$AE$8 &amp; "'!" &amp;
               'Hulp (overig)'!$C$17 &amp; "1:" &amp;
               'Hulp (overig)'!$C$17 &amp; "1000"),
      MATCH(
         N89,
         INDIRECT("'" &amp; 'Hulp (CAO''s)'!$AE$8 &amp; "'!A1:A1000"),
         0
      )
   )
), IF($D90="Gebruik % van maximum salaris",
IF(
    OR(N89="",N90=""),
    "",
    MAX(
        INDIRECT(
            "'" &amp; 'Hulp (overig)'!$C$16 &amp; "'!" &amp;
            'Hulp (overig)'!$C$17 &amp;
            MATCH(N89, INDIRECT("'" &amp; 'Hulp (overig)'!$C$16 &amp; "'!A1:A1000"), 0) &amp;
            ":" &amp;
            'Hulp (overig)'!$C$17 &amp;
LOOKUP(
    2,
    1 / (
        (ROW(INDIRECT("'" &amp; 'Hulp (overig)'!$C$16 &amp; "'!B1:B1000")) &lt;
            IF(O89&lt;&gt;"",
               MATCH(O89, INDIRECT("'" &amp; 'Hulp (overig)'!$C$16 &amp; "'!A1:A1000"),0),
               1000
            )
        ) *
        (LEFT(TRIM(INDIRECT("'" &amp; 'Hulp (overig)'!$C$16 &amp; "'!B1:B1000")),1) &lt;&gt; "u")
    ),
    ROW(INDIRECT("'" &amp; 'Hulp (overig)'!$C$16 &amp; "'!B1:B1000"))
)
        )
    ) * N90
),
IF(N91="","",
IF(
    IFERROR(MIN(
        IF(
            (TRIM(INDIRECT("'" &amp; 'Hulp (overig)'!$C$16 &amp; "'!B1:B1000")) = TEXT(N91,"0")) *
            (ROW(INDIRECT("'" &amp; 'Hulp (overig)'!$C$16 &amp; "'!B1:B1000")) &gt;= MATCH(
                N89,
                INDIRECT("'" &amp; 'Hulp (overig)'!$C$16 &amp; "'!A1:A1000"),
                0
            )) *
            IF(
                O89="",
                1,
                (ROW(INDIRECT("'" &amp; 'Hulp (overig)'!$C$16 &amp; "'!B1:B1000")) &lt; MATCH(
                    O89,
                    INDIRECT("'" &amp; 'Hulp (overig)'!$C$16 &amp; "'!A1:A1000"),
                    0
                ))
            ),
            ROW(INDIRECT("'" &amp; 'Hulp (overig)'!$C$16 &amp; "'!B1:B1000"))
        )
    ),0) &lt; 1,
    "",
    IF(INDEX(
        INDIRECT("'" &amp; 'Hulp (overig)'!$C$16 &amp; "'!" &amp;
        'Hulp (overig)'!$C$17 &amp; "1:" &amp; 'Hulp (overig)'!$C$17 &amp; 1000
        ),
        IFERROR(MIN(
            IF(
                (TRIM(INDIRECT("'" &amp; 'Hulp (overig)'!$C$16 &amp; "'!B1:B1000")) = TEXT(N91,"0")) *
                (ROW(INDIRECT("'" &amp; 'Hulp (overig)'!$C$16 &amp; "'!B1:B1000")) &gt;= MATCH(
                    N89,
                    INDIRECT("'" &amp; 'Hulp (overig)'!$C$16 &amp; "'!A1:A1000"),
                    0
                )) *
                IF(
                    O89="",
                    1,
                    (ROW(INDIRECT("'" &amp; 'Hulp (overig)'!$C$16 &amp; "'!B1:B1000")) &lt; MATCH(
                        O89,
                        INDIRECT("'" &amp; 'Hulp (overig)'!$C$16 &amp; "'!A1:A1000"),
                        0
                    ))
                ),
                ROW(INDIRECT("'" &amp; 'Hulp (overig)'!$C$16 &amp; "'!B1:B1000"))
            )
        ),0)
    )=0,"",
INDEX(
        INDIRECT("'" &amp; 'Hulp (overig)'!$C$16 &amp; "'!" &amp;
        'Hulp (overig)'!$C$17 &amp; "1:" &amp; 'Hulp (overig)'!$C$17 &amp; 1000
        ),
        IFERROR(MIN(
            IF(
                (TRIM(INDIRECT("'" &amp; 'Hulp (overig)'!$C$16 &amp; "'!B1:B1000")) = TEXT(N91,"0")) *
                (ROW(INDIRECT("'" &amp; 'Hulp (overig)'!$C$16 &amp; "'!B1:B1000")) &gt;= MATCH(
                    N89,
                    INDIRECT("'" &amp; 'Hulp (overig)'!$C$16 &amp; "'!A1:A1000"),
                    0
                )) *
                IF(
                    O89="",
                    1,
                    (ROW(INDIRECT("'" &amp; 'Hulp (overig)'!$C$16 &amp; "'!B1:B1000")) &lt; MATCH(
                        O89,
                        INDIRECT("'" &amp; 'Hulp (overig)'!$C$16 &amp; "'!A1:A1000"),
                        0
                    ))
                ),
                ROW(INDIRECT("'" &amp; 'Hulp (overig)'!$C$16 &amp; "'!B1:B1000"))
            )
        ),0)
    ))
))))</f>
        <v>#VALUE!</v>
      </c>
      <c r="O92" s="425" t="e" cm="1">
        <f t="array" aca="1" ref="O92" ca="1">IF($BF92, IF(O89="","",
   INDEX(
      INDIRECT("'" &amp; 'Hulp (CAO''s)'!$AE$8 &amp; "'!" &amp;
               'Hulp (overig)'!$C$17 &amp; "1:" &amp;
               'Hulp (overig)'!$C$17 &amp; "1000"),
      MATCH(
         O89,
         INDIRECT("'" &amp; 'Hulp (CAO''s)'!$AE$8 &amp; "'!A1:A1000"),
         0
      )
   )
), IF($D90="Gebruik % van maximum salaris",
IF(
    OR(O89="",O90=""),
    "",
    MAX(
        INDIRECT(
            "'" &amp; 'Hulp (overig)'!$C$16 &amp; "'!" &amp;
            'Hulp (overig)'!$C$17 &amp;
            MATCH(O89, INDIRECT("'" &amp; 'Hulp (overig)'!$C$16 &amp; "'!A1:A1000"), 0) &amp;
            ":" &amp;
            'Hulp (overig)'!$C$17 &amp;
LOOKUP(
    2,
    1 / (
        (ROW(INDIRECT("'" &amp; 'Hulp (overig)'!$C$16 &amp; "'!B1:B1000")) &lt;
            IF(P89&lt;&gt;"",
               MATCH(P89, INDIRECT("'" &amp; 'Hulp (overig)'!$C$16 &amp; "'!A1:A1000"),0),
               1000
            )
        ) *
        (LEFT(TRIM(INDIRECT("'" &amp; 'Hulp (overig)'!$C$16 &amp; "'!B1:B1000")),1) &lt;&gt; "u")
    ),
    ROW(INDIRECT("'" &amp; 'Hulp (overig)'!$C$16 &amp; "'!B1:B1000"))
)
        )
    ) * O90
),
IF(O91="","",
IF(
    IFERROR(MIN(
        IF(
            (TRIM(INDIRECT("'" &amp; 'Hulp (overig)'!$C$16 &amp; "'!B1:B1000")) = TEXT(O91,"0")) *
            (ROW(INDIRECT("'" &amp; 'Hulp (overig)'!$C$16 &amp; "'!B1:B1000")) &gt;= MATCH(
                O89,
                INDIRECT("'" &amp; 'Hulp (overig)'!$C$16 &amp; "'!A1:A1000"),
                0
            )) *
            IF(
                P89="",
                1,
                (ROW(INDIRECT("'" &amp; 'Hulp (overig)'!$C$16 &amp; "'!B1:B1000")) &lt; MATCH(
                    P89,
                    INDIRECT("'" &amp; 'Hulp (overig)'!$C$16 &amp; "'!A1:A1000"),
                    0
                ))
            ),
            ROW(INDIRECT("'" &amp; 'Hulp (overig)'!$C$16 &amp; "'!B1:B1000"))
        )
    ),0) &lt; 1,
    "",
    IF(INDEX(
        INDIRECT("'" &amp; 'Hulp (overig)'!$C$16 &amp; "'!" &amp;
        'Hulp (overig)'!$C$17 &amp; "1:" &amp; 'Hulp (overig)'!$C$17 &amp; 1000
        ),
        IFERROR(MIN(
            IF(
                (TRIM(INDIRECT("'" &amp; 'Hulp (overig)'!$C$16 &amp; "'!B1:B1000")) = TEXT(O91,"0")) *
                (ROW(INDIRECT("'" &amp; 'Hulp (overig)'!$C$16 &amp; "'!B1:B1000")) &gt;= MATCH(
                    O89,
                    INDIRECT("'" &amp; 'Hulp (overig)'!$C$16 &amp; "'!A1:A1000"),
                    0
                )) *
                IF(
                    P89="",
                    1,
                    (ROW(INDIRECT("'" &amp; 'Hulp (overig)'!$C$16 &amp; "'!B1:B1000")) &lt; MATCH(
                        P89,
                        INDIRECT("'" &amp; 'Hulp (overig)'!$C$16 &amp; "'!A1:A1000"),
                        0
                    ))
                ),
                ROW(INDIRECT("'" &amp; 'Hulp (overig)'!$C$16 &amp; "'!B1:B1000"))
            )
        ),0)
    )=0,"",
INDEX(
        INDIRECT("'" &amp; 'Hulp (overig)'!$C$16 &amp; "'!" &amp;
        'Hulp (overig)'!$C$17 &amp; "1:" &amp; 'Hulp (overig)'!$C$17 &amp; 1000
        ),
        IFERROR(MIN(
            IF(
                (TRIM(INDIRECT("'" &amp; 'Hulp (overig)'!$C$16 &amp; "'!B1:B1000")) = TEXT(O91,"0")) *
                (ROW(INDIRECT("'" &amp; 'Hulp (overig)'!$C$16 &amp; "'!B1:B1000")) &gt;= MATCH(
                    O89,
                    INDIRECT("'" &amp; 'Hulp (overig)'!$C$16 &amp; "'!A1:A1000"),
                    0
                )) *
                IF(
                    P89="",
                    1,
                    (ROW(INDIRECT("'" &amp; 'Hulp (overig)'!$C$16 &amp; "'!B1:B1000")) &lt; MATCH(
                        P89,
                        INDIRECT("'" &amp; 'Hulp (overig)'!$C$16 &amp; "'!A1:A1000"),
                        0
                    ))
                ),
                ROW(INDIRECT("'" &amp; 'Hulp (overig)'!$C$16 &amp; "'!B1:B1000"))
            )
        ),0)
    ))
))))</f>
        <v>#VALUE!</v>
      </c>
      <c r="P92" s="425" t="e" cm="1">
        <f t="array" aca="1" ref="P92" ca="1">IF($BF92, IF(P89="","",
   INDEX(
      INDIRECT("'" &amp; 'Hulp (CAO''s)'!$AE$8 &amp; "'!" &amp;
               'Hulp (overig)'!$C$17 &amp; "1:" &amp;
               'Hulp (overig)'!$C$17 &amp; "1000"),
      MATCH(
         P89,
         INDIRECT("'" &amp; 'Hulp (CAO''s)'!$AE$8 &amp; "'!A1:A1000"),
         0
      )
   )
), IF($D90="Gebruik % van maximum salaris",
IF(
    OR(P89="",P90=""),
    "",
    MAX(
        INDIRECT(
            "'" &amp; 'Hulp (overig)'!$C$16 &amp; "'!" &amp;
            'Hulp (overig)'!$C$17 &amp;
            MATCH(P89, INDIRECT("'" &amp; 'Hulp (overig)'!$C$16 &amp; "'!A1:A1000"), 0) &amp;
            ":" &amp;
            'Hulp (overig)'!$C$17 &amp;
LOOKUP(
    2,
    1 / (
        (ROW(INDIRECT("'" &amp; 'Hulp (overig)'!$C$16 &amp; "'!B1:B1000")) &lt;
            IF(Q89&lt;&gt;"",
               MATCH(Q89, INDIRECT("'" &amp; 'Hulp (overig)'!$C$16 &amp; "'!A1:A1000"),0),
               1000
            )
        ) *
        (LEFT(TRIM(INDIRECT("'" &amp; 'Hulp (overig)'!$C$16 &amp; "'!B1:B1000")),1) &lt;&gt; "u")
    ),
    ROW(INDIRECT("'" &amp; 'Hulp (overig)'!$C$16 &amp; "'!B1:B1000"))
)
        )
    ) * P90
),
IF(P91="","",
IF(
    IFERROR(MIN(
        IF(
            (TRIM(INDIRECT("'" &amp; 'Hulp (overig)'!$C$16 &amp; "'!B1:B1000")) = TEXT(P91,"0")) *
            (ROW(INDIRECT("'" &amp; 'Hulp (overig)'!$C$16 &amp; "'!B1:B1000")) &gt;= MATCH(
                P89,
                INDIRECT("'" &amp; 'Hulp (overig)'!$C$16 &amp; "'!A1:A1000"),
                0
            )) *
            IF(
                Q89="",
                1,
                (ROW(INDIRECT("'" &amp; 'Hulp (overig)'!$C$16 &amp; "'!B1:B1000")) &lt; MATCH(
                    Q89,
                    INDIRECT("'" &amp; 'Hulp (overig)'!$C$16 &amp; "'!A1:A1000"),
                    0
                ))
            ),
            ROW(INDIRECT("'" &amp; 'Hulp (overig)'!$C$16 &amp; "'!B1:B1000"))
        )
    ),0) &lt; 1,
    "",
    IF(INDEX(
        INDIRECT("'" &amp; 'Hulp (overig)'!$C$16 &amp; "'!" &amp;
        'Hulp (overig)'!$C$17 &amp; "1:" &amp; 'Hulp (overig)'!$C$17 &amp; 1000
        ),
        IFERROR(MIN(
            IF(
                (TRIM(INDIRECT("'" &amp; 'Hulp (overig)'!$C$16 &amp; "'!B1:B1000")) = TEXT(P91,"0")) *
                (ROW(INDIRECT("'" &amp; 'Hulp (overig)'!$C$16 &amp; "'!B1:B1000")) &gt;= MATCH(
                    P89,
                    INDIRECT("'" &amp; 'Hulp (overig)'!$C$16 &amp; "'!A1:A1000"),
                    0
                )) *
                IF(
                    Q89="",
                    1,
                    (ROW(INDIRECT("'" &amp; 'Hulp (overig)'!$C$16 &amp; "'!B1:B1000")) &lt; MATCH(
                        Q89,
                        INDIRECT("'" &amp; 'Hulp (overig)'!$C$16 &amp; "'!A1:A1000"),
                        0
                    ))
                ),
                ROW(INDIRECT("'" &amp; 'Hulp (overig)'!$C$16 &amp; "'!B1:B1000"))
            )
        ),0)
    )=0,"",
INDEX(
        INDIRECT("'" &amp; 'Hulp (overig)'!$C$16 &amp; "'!" &amp;
        'Hulp (overig)'!$C$17 &amp; "1:" &amp; 'Hulp (overig)'!$C$17 &amp; 1000
        ),
        IFERROR(MIN(
            IF(
                (TRIM(INDIRECT("'" &amp; 'Hulp (overig)'!$C$16 &amp; "'!B1:B1000")) = TEXT(P91,"0")) *
                (ROW(INDIRECT("'" &amp; 'Hulp (overig)'!$C$16 &amp; "'!B1:B1000")) &gt;= MATCH(
                    P89,
                    INDIRECT("'" &amp; 'Hulp (overig)'!$C$16 &amp; "'!A1:A1000"),
                    0
                )) *
                IF(
                    Q89="",
                    1,
                    (ROW(INDIRECT("'" &amp; 'Hulp (overig)'!$C$16 &amp; "'!B1:B1000")) &lt; MATCH(
                        Q89,
                        INDIRECT("'" &amp; 'Hulp (overig)'!$C$16 &amp; "'!A1:A1000"),
                        0
                    ))
                ),
                ROW(INDIRECT("'" &amp; 'Hulp (overig)'!$C$16 &amp; "'!B1:B1000"))
            )
        ),0)
    ))
))))</f>
        <v>#VALUE!</v>
      </c>
      <c r="Q92" s="425" t="e" cm="1">
        <f t="array" aca="1" ref="Q92" ca="1">IF($BF92, IF(Q89="","",
   INDEX(
      INDIRECT("'" &amp; 'Hulp (CAO''s)'!$AE$8 &amp; "'!" &amp;
               'Hulp (overig)'!$C$17 &amp; "1:" &amp;
               'Hulp (overig)'!$C$17 &amp; "1000"),
      MATCH(
         Q89,
         INDIRECT("'" &amp; 'Hulp (CAO''s)'!$AE$8 &amp; "'!A1:A1000"),
         0
      )
   )
), IF($D90="Gebruik % van maximum salaris",
IF(
    OR(Q89="",Q90=""),
    "",
    MAX(
        INDIRECT(
            "'" &amp; 'Hulp (overig)'!$C$16 &amp; "'!" &amp;
            'Hulp (overig)'!$C$17 &amp;
            MATCH(Q89, INDIRECT("'" &amp; 'Hulp (overig)'!$C$16 &amp; "'!A1:A1000"), 0) &amp;
            ":" &amp;
            'Hulp (overig)'!$C$17 &amp;
LOOKUP(
    2,
    1 / (
        (ROW(INDIRECT("'" &amp; 'Hulp (overig)'!$C$16 &amp; "'!B1:B1000")) &lt;
            IF(R89&lt;&gt;"",
               MATCH(R89, INDIRECT("'" &amp; 'Hulp (overig)'!$C$16 &amp; "'!A1:A1000"),0),
               1000
            )
        ) *
        (LEFT(TRIM(INDIRECT("'" &amp; 'Hulp (overig)'!$C$16 &amp; "'!B1:B1000")),1) &lt;&gt; "u")
    ),
    ROW(INDIRECT("'" &amp; 'Hulp (overig)'!$C$16 &amp; "'!B1:B1000"))
)
        )
    ) * Q90
),
IF(Q91="","",
IF(
    IFERROR(MIN(
        IF(
            (TRIM(INDIRECT("'" &amp; 'Hulp (overig)'!$C$16 &amp; "'!B1:B1000")) = TEXT(Q91,"0")) *
            (ROW(INDIRECT("'" &amp; 'Hulp (overig)'!$C$16 &amp; "'!B1:B1000")) &gt;= MATCH(
                Q89,
                INDIRECT("'" &amp; 'Hulp (overig)'!$C$16 &amp; "'!A1:A1000"),
                0
            )) *
            IF(
                R89="",
                1,
                (ROW(INDIRECT("'" &amp; 'Hulp (overig)'!$C$16 &amp; "'!B1:B1000")) &lt; MATCH(
                    R89,
                    INDIRECT("'" &amp; 'Hulp (overig)'!$C$16 &amp; "'!A1:A1000"),
                    0
                ))
            ),
            ROW(INDIRECT("'" &amp; 'Hulp (overig)'!$C$16 &amp; "'!B1:B1000"))
        )
    ),0) &lt; 1,
    "",
    IF(INDEX(
        INDIRECT("'" &amp; 'Hulp (overig)'!$C$16 &amp; "'!" &amp;
        'Hulp (overig)'!$C$17 &amp; "1:" &amp; 'Hulp (overig)'!$C$17 &amp; 1000
        ),
        IFERROR(MIN(
            IF(
                (TRIM(INDIRECT("'" &amp; 'Hulp (overig)'!$C$16 &amp; "'!B1:B1000")) = TEXT(Q91,"0")) *
                (ROW(INDIRECT("'" &amp; 'Hulp (overig)'!$C$16 &amp; "'!B1:B1000")) &gt;= MATCH(
                    Q89,
                    INDIRECT("'" &amp; 'Hulp (overig)'!$C$16 &amp; "'!A1:A1000"),
                    0
                )) *
                IF(
                    R89="",
                    1,
                    (ROW(INDIRECT("'" &amp; 'Hulp (overig)'!$C$16 &amp; "'!B1:B1000")) &lt; MATCH(
                        R89,
                        INDIRECT("'" &amp; 'Hulp (overig)'!$C$16 &amp; "'!A1:A1000"),
                        0
                    ))
                ),
                ROW(INDIRECT("'" &amp; 'Hulp (overig)'!$C$16 &amp; "'!B1:B1000"))
            )
        ),0)
    )=0,"",
INDEX(
        INDIRECT("'" &amp; 'Hulp (overig)'!$C$16 &amp; "'!" &amp;
        'Hulp (overig)'!$C$17 &amp; "1:" &amp; 'Hulp (overig)'!$C$17 &amp; 1000
        ),
        IFERROR(MIN(
            IF(
                (TRIM(INDIRECT("'" &amp; 'Hulp (overig)'!$C$16 &amp; "'!B1:B1000")) = TEXT(Q91,"0")) *
                (ROW(INDIRECT("'" &amp; 'Hulp (overig)'!$C$16 &amp; "'!B1:B1000")) &gt;= MATCH(
                    Q89,
                    INDIRECT("'" &amp; 'Hulp (overig)'!$C$16 &amp; "'!A1:A1000"),
                    0
                )) *
                IF(
                    R89="",
                    1,
                    (ROW(INDIRECT("'" &amp; 'Hulp (overig)'!$C$16 &amp; "'!B1:B1000")) &lt; MATCH(
                        R89,
                        INDIRECT("'" &amp; 'Hulp (overig)'!$C$16 &amp; "'!A1:A1000"),
                        0
                    ))
                ),
                ROW(INDIRECT("'" &amp; 'Hulp (overig)'!$C$16 &amp; "'!B1:B1000"))
            )
        ),0)
    ))
))))</f>
        <v>#VALUE!</v>
      </c>
      <c r="R92" s="425" t="e" cm="1">
        <f t="array" aca="1" ref="R92" ca="1">IF($BF92, IF(R89="","",
   INDEX(
      INDIRECT("'" &amp; 'Hulp (CAO''s)'!$AE$8 &amp; "'!" &amp;
               'Hulp (overig)'!$C$17 &amp; "1:" &amp;
               'Hulp (overig)'!$C$17 &amp; "1000"),
      MATCH(
         R89,
         INDIRECT("'" &amp; 'Hulp (CAO''s)'!$AE$8 &amp; "'!A1:A1000"),
         0
      )
   )
), IF($D90="Gebruik % van maximum salaris",
IF(
    OR(R89="",R90=""),
    "",
    MAX(
        INDIRECT(
            "'" &amp; 'Hulp (overig)'!$C$16 &amp; "'!" &amp;
            'Hulp (overig)'!$C$17 &amp;
            MATCH(R89, INDIRECT("'" &amp; 'Hulp (overig)'!$C$16 &amp; "'!A1:A1000"), 0) &amp;
            ":" &amp;
            'Hulp (overig)'!$C$17 &amp;
LOOKUP(
    2,
    1 / (
        (ROW(INDIRECT("'" &amp; 'Hulp (overig)'!$C$16 &amp; "'!B1:B1000")) &lt;
            IF(S89&lt;&gt;"",
               MATCH(S89, INDIRECT("'" &amp; 'Hulp (overig)'!$C$16 &amp; "'!A1:A1000"),0),
               1000
            )
        ) *
        (LEFT(TRIM(INDIRECT("'" &amp; 'Hulp (overig)'!$C$16 &amp; "'!B1:B1000")),1) &lt;&gt; "u")
    ),
    ROW(INDIRECT("'" &amp; 'Hulp (overig)'!$C$16 &amp; "'!B1:B1000"))
)
        )
    ) * R90
),
IF(R91="","",
IF(
    IFERROR(MIN(
        IF(
            (TRIM(INDIRECT("'" &amp; 'Hulp (overig)'!$C$16 &amp; "'!B1:B1000")) = TEXT(R91,"0")) *
            (ROW(INDIRECT("'" &amp; 'Hulp (overig)'!$C$16 &amp; "'!B1:B1000")) &gt;= MATCH(
                R89,
                INDIRECT("'" &amp; 'Hulp (overig)'!$C$16 &amp; "'!A1:A1000"),
                0
            )) *
            IF(
                S89="",
                1,
                (ROW(INDIRECT("'" &amp; 'Hulp (overig)'!$C$16 &amp; "'!B1:B1000")) &lt; MATCH(
                    S89,
                    INDIRECT("'" &amp; 'Hulp (overig)'!$C$16 &amp; "'!A1:A1000"),
                    0
                ))
            ),
            ROW(INDIRECT("'" &amp; 'Hulp (overig)'!$C$16 &amp; "'!B1:B1000"))
        )
    ),0) &lt; 1,
    "",
    IF(INDEX(
        INDIRECT("'" &amp; 'Hulp (overig)'!$C$16 &amp; "'!" &amp;
        'Hulp (overig)'!$C$17 &amp; "1:" &amp; 'Hulp (overig)'!$C$17 &amp; 1000
        ),
        IFERROR(MIN(
            IF(
                (TRIM(INDIRECT("'" &amp; 'Hulp (overig)'!$C$16 &amp; "'!B1:B1000")) = TEXT(R91,"0")) *
                (ROW(INDIRECT("'" &amp; 'Hulp (overig)'!$C$16 &amp; "'!B1:B1000")) &gt;= MATCH(
                    R89,
                    INDIRECT("'" &amp; 'Hulp (overig)'!$C$16 &amp; "'!A1:A1000"),
                    0
                )) *
                IF(
                    S89="",
                    1,
                    (ROW(INDIRECT("'" &amp; 'Hulp (overig)'!$C$16 &amp; "'!B1:B1000")) &lt; MATCH(
                        S89,
                        INDIRECT("'" &amp; 'Hulp (overig)'!$C$16 &amp; "'!A1:A1000"),
                        0
                    ))
                ),
                ROW(INDIRECT("'" &amp; 'Hulp (overig)'!$C$16 &amp; "'!B1:B1000"))
            )
        ),0)
    )=0,"",
INDEX(
        INDIRECT("'" &amp; 'Hulp (overig)'!$C$16 &amp; "'!" &amp;
        'Hulp (overig)'!$C$17 &amp; "1:" &amp; 'Hulp (overig)'!$C$17 &amp; 1000
        ),
        IFERROR(MIN(
            IF(
                (TRIM(INDIRECT("'" &amp; 'Hulp (overig)'!$C$16 &amp; "'!B1:B1000")) = TEXT(R91,"0")) *
                (ROW(INDIRECT("'" &amp; 'Hulp (overig)'!$C$16 &amp; "'!B1:B1000")) &gt;= MATCH(
                    R89,
                    INDIRECT("'" &amp; 'Hulp (overig)'!$C$16 &amp; "'!A1:A1000"),
                    0
                )) *
                IF(
                    S89="",
                    1,
                    (ROW(INDIRECT("'" &amp; 'Hulp (overig)'!$C$16 &amp; "'!B1:B1000")) &lt; MATCH(
                        S89,
                        INDIRECT("'" &amp; 'Hulp (overig)'!$C$16 &amp; "'!A1:A1000"),
                        0
                    ))
                ),
                ROW(INDIRECT("'" &amp; 'Hulp (overig)'!$C$16 &amp; "'!B1:B1000"))
            )
        ),0)
    ))
))))</f>
        <v>#VALUE!</v>
      </c>
      <c r="S92" s="425" t="e" cm="1">
        <f t="array" aca="1" ref="S92" ca="1">IF($BF92, IF(S89="","",
   INDEX(
      INDIRECT("'" &amp; 'Hulp (CAO''s)'!$AE$8 &amp; "'!" &amp;
               'Hulp (overig)'!$C$17 &amp; "1:" &amp;
               'Hulp (overig)'!$C$17 &amp; "1000"),
      MATCH(
         S89,
         INDIRECT("'" &amp; 'Hulp (CAO''s)'!$AE$8 &amp; "'!A1:A1000"),
         0
      )
   )
), IF($D90="Gebruik % van maximum salaris",
IF(
    OR(S89="",S90=""),
    "",
    MAX(
        INDIRECT(
            "'" &amp; 'Hulp (overig)'!$C$16 &amp; "'!" &amp;
            'Hulp (overig)'!$C$17 &amp;
            MATCH(S89, INDIRECT("'" &amp; 'Hulp (overig)'!$C$16 &amp; "'!A1:A1000"), 0) &amp;
            ":" &amp;
            'Hulp (overig)'!$C$17 &amp;
LOOKUP(
    2,
    1 / (
        (ROW(INDIRECT("'" &amp; 'Hulp (overig)'!$C$16 &amp; "'!B1:B1000")) &lt;
            IF(T89&lt;&gt;"",
               MATCH(T89, INDIRECT("'" &amp; 'Hulp (overig)'!$C$16 &amp; "'!A1:A1000"),0),
               1000
            )
        ) *
        (LEFT(TRIM(INDIRECT("'" &amp; 'Hulp (overig)'!$C$16 &amp; "'!B1:B1000")),1) &lt;&gt; "u")
    ),
    ROW(INDIRECT("'" &amp; 'Hulp (overig)'!$C$16 &amp; "'!B1:B1000"))
)
        )
    ) * S90
),
IF(S91="","",
IF(
    IFERROR(MIN(
        IF(
            (TRIM(INDIRECT("'" &amp; 'Hulp (overig)'!$C$16 &amp; "'!B1:B1000")) = TEXT(S91,"0")) *
            (ROW(INDIRECT("'" &amp; 'Hulp (overig)'!$C$16 &amp; "'!B1:B1000")) &gt;= MATCH(
                S89,
                INDIRECT("'" &amp; 'Hulp (overig)'!$C$16 &amp; "'!A1:A1000"),
                0
            )) *
            IF(
                T89="",
                1,
                (ROW(INDIRECT("'" &amp; 'Hulp (overig)'!$C$16 &amp; "'!B1:B1000")) &lt; MATCH(
                    T89,
                    INDIRECT("'" &amp; 'Hulp (overig)'!$C$16 &amp; "'!A1:A1000"),
                    0
                ))
            ),
            ROW(INDIRECT("'" &amp; 'Hulp (overig)'!$C$16 &amp; "'!B1:B1000"))
        )
    ),0) &lt; 1,
    "",
    IF(INDEX(
        INDIRECT("'" &amp; 'Hulp (overig)'!$C$16 &amp; "'!" &amp;
        'Hulp (overig)'!$C$17 &amp; "1:" &amp; 'Hulp (overig)'!$C$17 &amp; 1000
        ),
        IFERROR(MIN(
            IF(
                (TRIM(INDIRECT("'" &amp; 'Hulp (overig)'!$C$16 &amp; "'!B1:B1000")) = TEXT(S91,"0")) *
                (ROW(INDIRECT("'" &amp; 'Hulp (overig)'!$C$16 &amp; "'!B1:B1000")) &gt;= MATCH(
                    S89,
                    INDIRECT("'" &amp; 'Hulp (overig)'!$C$16 &amp; "'!A1:A1000"),
                    0
                )) *
                IF(
                    T89="",
                    1,
                    (ROW(INDIRECT("'" &amp; 'Hulp (overig)'!$C$16 &amp; "'!B1:B1000")) &lt; MATCH(
                        T89,
                        INDIRECT("'" &amp; 'Hulp (overig)'!$C$16 &amp; "'!A1:A1000"),
                        0
                    ))
                ),
                ROW(INDIRECT("'" &amp; 'Hulp (overig)'!$C$16 &amp; "'!B1:B1000"))
            )
        ),0)
    )=0,"",
INDEX(
        INDIRECT("'" &amp; 'Hulp (overig)'!$C$16 &amp; "'!" &amp;
        'Hulp (overig)'!$C$17 &amp; "1:" &amp; 'Hulp (overig)'!$C$17 &amp; 1000
        ),
        IFERROR(MIN(
            IF(
                (TRIM(INDIRECT("'" &amp; 'Hulp (overig)'!$C$16 &amp; "'!B1:B1000")) = TEXT(S91,"0")) *
                (ROW(INDIRECT("'" &amp; 'Hulp (overig)'!$C$16 &amp; "'!B1:B1000")) &gt;= MATCH(
                    S89,
                    INDIRECT("'" &amp; 'Hulp (overig)'!$C$16 &amp; "'!A1:A1000"),
                    0
                )) *
                IF(
                    T89="",
                    1,
                    (ROW(INDIRECT("'" &amp; 'Hulp (overig)'!$C$16 &amp; "'!B1:B1000")) &lt; MATCH(
                        T89,
                        INDIRECT("'" &amp; 'Hulp (overig)'!$C$16 &amp; "'!A1:A1000"),
                        0
                    ))
                ),
                ROW(INDIRECT("'" &amp; 'Hulp (overig)'!$C$16 &amp; "'!B1:B1000"))
            )
        ),0)
    ))
))))</f>
        <v>#VALUE!</v>
      </c>
      <c r="T92" s="425" t="e" cm="1">
        <f t="array" aca="1" ref="T92" ca="1">IF($BF92, IF(T89="","",
   INDEX(
      INDIRECT("'" &amp; 'Hulp (CAO''s)'!$AE$8 &amp; "'!" &amp;
               'Hulp (overig)'!$C$17 &amp; "1:" &amp;
               'Hulp (overig)'!$C$17 &amp; "1000"),
      MATCH(
         T89,
         INDIRECT("'" &amp; 'Hulp (CAO''s)'!$AE$8 &amp; "'!A1:A1000"),
         0
      )
   )
), IF($D90="Gebruik % van maximum salaris",
IF(
    OR(T89="",T90=""),
    "",
    MAX(
        INDIRECT(
            "'" &amp; 'Hulp (overig)'!$C$16 &amp; "'!" &amp;
            'Hulp (overig)'!$C$17 &amp;
            MATCH(T89, INDIRECT("'" &amp; 'Hulp (overig)'!$C$16 &amp; "'!A1:A1000"), 0) &amp;
            ":" &amp;
            'Hulp (overig)'!$C$17 &amp;
LOOKUP(
    2,
    1 / (
        (ROW(INDIRECT("'" &amp; 'Hulp (overig)'!$C$16 &amp; "'!B1:B1000")) &lt;
            IF(U89&lt;&gt;"",
               MATCH(U89, INDIRECT("'" &amp; 'Hulp (overig)'!$C$16 &amp; "'!A1:A1000"),0),
               1000
            )
        ) *
        (LEFT(TRIM(INDIRECT("'" &amp; 'Hulp (overig)'!$C$16 &amp; "'!B1:B1000")),1) &lt;&gt; "u")
    ),
    ROW(INDIRECT("'" &amp; 'Hulp (overig)'!$C$16 &amp; "'!B1:B1000"))
)
        )
    ) * T90
),
IF(T91="","",
IF(
    IFERROR(MIN(
        IF(
            (TRIM(INDIRECT("'" &amp; 'Hulp (overig)'!$C$16 &amp; "'!B1:B1000")) = TEXT(T91,"0")) *
            (ROW(INDIRECT("'" &amp; 'Hulp (overig)'!$C$16 &amp; "'!B1:B1000")) &gt;= MATCH(
                T89,
                INDIRECT("'" &amp; 'Hulp (overig)'!$C$16 &amp; "'!A1:A1000"),
                0
            )) *
            IF(
                U89="",
                1,
                (ROW(INDIRECT("'" &amp; 'Hulp (overig)'!$C$16 &amp; "'!B1:B1000")) &lt; MATCH(
                    U89,
                    INDIRECT("'" &amp; 'Hulp (overig)'!$C$16 &amp; "'!A1:A1000"),
                    0
                ))
            ),
            ROW(INDIRECT("'" &amp; 'Hulp (overig)'!$C$16 &amp; "'!B1:B1000"))
        )
    ),0) &lt; 1,
    "",
    IF(INDEX(
        INDIRECT("'" &amp; 'Hulp (overig)'!$C$16 &amp; "'!" &amp;
        'Hulp (overig)'!$C$17 &amp; "1:" &amp; 'Hulp (overig)'!$C$17 &amp; 1000
        ),
        IFERROR(MIN(
            IF(
                (TRIM(INDIRECT("'" &amp; 'Hulp (overig)'!$C$16 &amp; "'!B1:B1000")) = TEXT(T91,"0")) *
                (ROW(INDIRECT("'" &amp; 'Hulp (overig)'!$C$16 &amp; "'!B1:B1000")) &gt;= MATCH(
                    T89,
                    INDIRECT("'" &amp; 'Hulp (overig)'!$C$16 &amp; "'!A1:A1000"),
                    0
                )) *
                IF(
                    U89="",
                    1,
                    (ROW(INDIRECT("'" &amp; 'Hulp (overig)'!$C$16 &amp; "'!B1:B1000")) &lt; MATCH(
                        U89,
                        INDIRECT("'" &amp; 'Hulp (overig)'!$C$16 &amp; "'!A1:A1000"),
                        0
                    ))
                ),
                ROW(INDIRECT("'" &amp; 'Hulp (overig)'!$C$16 &amp; "'!B1:B1000"))
            )
        ),0)
    )=0,"",
INDEX(
        INDIRECT("'" &amp; 'Hulp (overig)'!$C$16 &amp; "'!" &amp;
        'Hulp (overig)'!$C$17 &amp; "1:" &amp; 'Hulp (overig)'!$C$17 &amp; 1000
        ),
        IFERROR(MIN(
            IF(
                (TRIM(INDIRECT("'" &amp; 'Hulp (overig)'!$C$16 &amp; "'!B1:B1000")) = TEXT(T91,"0")) *
                (ROW(INDIRECT("'" &amp; 'Hulp (overig)'!$C$16 &amp; "'!B1:B1000")) &gt;= MATCH(
                    T89,
                    INDIRECT("'" &amp; 'Hulp (overig)'!$C$16 &amp; "'!A1:A1000"),
                    0
                )) *
                IF(
                    U89="",
                    1,
                    (ROW(INDIRECT("'" &amp; 'Hulp (overig)'!$C$16 &amp; "'!B1:B1000")) &lt; MATCH(
                        U89,
                        INDIRECT("'" &amp; 'Hulp (overig)'!$C$16 &amp; "'!A1:A1000"),
                        0
                    ))
                ),
                ROW(INDIRECT("'" &amp; 'Hulp (overig)'!$C$16 &amp; "'!B1:B1000"))
            )
        ),0)
    ))
))))</f>
        <v>#VALUE!</v>
      </c>
      <c r="U92" s="723" t="e" cm="1">
        <f t="array" aca="1" ref="U92" ca="1">IF($BF92, IF(U89="","",
   INDEX(
      INDIRECT("'" &amp; 'Hulp (CAO''s)'!$AE$8 &amp; "'!" &amp;
               'Hulp (overig)'!$C$17 &amp; "1:" &amp;
               'Hulp (overig)'!$C$17 &amp; "1000"),
      MATCH(
         U89,
         INDIRECT("'" &amp; 'Hulp (CAO''s)'!$AE$8 &amp; "'!A1:A1000"),
         0
      )
   )
), IF($D90="Gebruik % van maximum salaris",
IF(
    OR(U89="",U90=""),
    "",
    MAX(
        INDIRECT(
            "'" &amp; 'Hulp (overig)'!$C$16 &amp; "'!" &amp;
            'Hulp (overig)'!$C$17 &amp;
            MATCH(U89, INDIRECT("'" &amp; 'Hulp (overig)'!$C$16 &amp; "'!A1:A1000"), 0) &amp;
            ":" &amp;
            'Hulp (overig)'!$C$17 &amp;
LOOKUP(
    2,
    1 / (
        (ROW(INDIRECT("'" &amp; 'Hulp (overig)'!$C$16 &amp; "'!B1:B1000")) &lt;
            IF(V89&lt;&gt;"",
               MATCH(V89, INDIRECT("'" &amp; 'Hulp (overig)'!$C$16 &amp; "'!A1:A1000"),0),
               1000
            )
        ) *
        (LEFT(TRIM(INDIRECT("'" &amp; 'Hulp (overig)'!$C$16 &amp; "'!B1:B1000")),1) &lt;&gt; "u")
    ),
    ROW(INDIRECT("'" &amp; 'Hulp (overig)'!$C$16 &amp; "'!B1:B1000"))
)
        )
    ) * U90
),
IF(U91="","",
IF(
    IFERROR(MIN(
        IF(
            (TRIM(INDIRECT("'" &amp; 'Hulp (overig)'!$C$16 &amp; "'!B1:B1000")) = TEXT(U91,"0")) *
            (ROW(INDIRECT("'" &amp; 'Hulp (overig)'!$C$16 &amp; "'!B1:B1000")) &gt;= MATCH(
                U89,
                INDIRECT("'" &amp; 'Hulp (overig)'!$C$16 &amp; "'!A1:A1000"),
                0
            )) *
            IF(
                V89="",
                1,
                (ROW(INDIRECT("'" &amp; 'Hulp (overig)'!$C$16 &amp; "'!B1:B1000")) &lt; MATCH(
                    V89,
                    INDIRECT("'" &amp; 'Hulp (overig)'!$C$16 &amp; "'!A1:A1000"),
                    0
                ))
            ),
            ROW(INDIRECT("'" &amp; 'Hulp (overig)'!$C$16 &amp; "'!B1:B1000"))
        )
    ),0) &lt; 1,
    "",
    IF(INDEX(
        INDIRECT("'" &amp; 'Hulp (overig)'!$C$16 &amp; "'!" &amp;
        'Hulp (overig)'!$C$17 &amp; "1:" &amp; 'Hulp (overig)'!$C$17 &amp; 1000
        ),
        IFERROR(MIN(
            IF(
                (TRIM(INDIRECT("'" &amp; 'Hulp (overig)'!$C$16 &amp; "'!B1:B1000")) = TEXT(U91,"0")) *
                (ROW(INDIRECT("'" &amp; 'Hulp (overig)'!$C$16 &amp; "'!B1:B1000")) &gt;= MATCH(
                    U89,
                    INDIRECT("'" &amp; 'Hulp (overig)'!$C$16 &amp; "'!A1:A1000"),
                    0
                )) *
                IF(
                    V89="",
                    1,
                    (ROW(INDIRECT("'" &amp; 'Hulp (overig)'!$C$16 &amp; "'!B1:B1000")) &lt; MATCH(
                        V89,
                        INDIRECT("'" &amp; 'Hulp (overig)'!$C$16 &amp; "'!A1:A1000"),
                        0
                    ))
                ),
                ROW(INDIRECT("'" &amp; 'Hulp (overig)'!$C$16 &amp; "'!B1:B1000"))
            )
        ),0)
    )=0,"",
INDEX(
        INDIRECT("'" &amp; 'Hulp (overig)'!$C$16 &amp; "'!" &amp;
        'Hulp (overig)'!$C$17 &amp; "1:" &amp; 'Hulp (overig)'!$C$17 &amp; 1000
        ),
        IFERROR(MIN(
            IF(
                (TRIM(INDIRECT("'" &amp; 'Hulp (overig)'!$C$16 &amp; "'!B1:B1000")) = TEXT(U91,"0")) *
                (ROW(INDIRECT("'" &amp; 'Hulp (overig)'!$C$16 &amp; "'!B1:B1000")) &gt;= MATCH(
                    U89,
                    INDIRECT("'" &amp; 'Hulp (overig)'!$C$16 &amp; "'!A1:A1000"),
                    0
                )) *
                IF(
                    V89="",
                    1,
                    (ROW(INDIRECT("'" &amp; 'Hulp (overig)'!$C$16 &amp; "'!B1:B1000")) &lt; MATCH(
                        V89,
                        INDIRECT("'" &amp; 'Hulp (overig)'!$C$16 &amp; "'!A1:A1000"),
                        0
                    ))
                ),
                ROW(INDIRECT("'" &amp; 'Hulp (overig)'!$C$16 &amp; "'!B1:B1000"))
            )
        ),0)
    ))
))))</f>
        <v>#VALUE!</v>
      </c>
      <c r="V92" s="413" t="str" cm="1">
        <f t="array" ref="V92">IF(SUM(F93:U93)=0,"",
IF(SUM(F92:U92)=0,"",
IF(SUMPRODUCT((F93:U93&lt;&gt;0)*(F92:U92=""))&gt;0,"",
(
   SUMPRODUCT(
      IF(F92:U92="",0,F92:U92),
      IF(F93:U93="",0,F93:U93) / SUM(F93:U93)
   )
))))</f>
        <v/>
      </c>
      <c r="W92" s="418"/>
      <c r="X92" s="620"/>
      <c r="Y92" s="419" t="str">
        <f ca="1">IF(B89="","",
        IF(INDIRECT("'Hulp (control forms)'!C" &amp; (13 + INT((ROW()-ROW($B$5))/7))),
            IF(X92="","",X92),
            IF(V92="","",V92)
    )
)</f>
        <v/>
      </c>
      <c r="Z92" s="333"/>
      <c r="AA92" s="771"/>
      <c r="AB92" s="770"/>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c r="BA92" cm="1">
        <f t="array" aca="1" ref="BA92" ca="1">IF(
   SUM(Y92)=0,
   1,
   IF(
      N(INDIRECT("'Hulp (control forms)'!C"&amp;(13+INT((ROW()-ROW($B$5))/7))))&lt;&gt;0,
      MIN(1,
      ('Hulp (overig)'!$C$6/12) /
      (Y92 * BC92 + BD92)),
      MIN(1,
         IF(
            SUM(F92:U92)=0,
            "",
            SUMPRODUCT(
               IF(
                  (IF(F92:U92="",0,F92:U92) * BC92) + BD92
                  &gt; 'Hulp (overig)'!$C$6/12,
                  'Hulp (overig)'!$C$6/12,
                  (IF(F92:U92="",0,F92:U92) * BC92) + BD92
               ),
               IF(F93:U93="",0,F93:U93) / SUM(F93:U93)
            )
         ) /
         ((Y92 * BC92) + BD92)
      )
   )
)</f>
        <v>1</v>
      </c>
      <c r="BB92" cm="1">
        <f t="array" aca="1" ref="BB92" ca="1">IF(
   SUM(Y92)=0,
   1,
   IF(
      N(INDIRECT("'Hulp (control forms)'!C"&amp;(13+INT((ROW()-ROW($B$5))/7))))&lt;&gt;0,
      MIN('Hulp (overig)'!$C$5/12,
      (Y92 * BC92) + BD92) * 12,
         IF(
            SUM(F92:U92)=0,
            "",
            SUMPRODUCT(
               IF(
                  (IF(F92:U92="",0,F92:U92) * BC92) + BD92
                  &gt; 'Hulp (overig)'!$C$5/12,
                  'Hulp (overig)'!$C$5/12,
                  (IF(F92:U92="",0,F92:U92) * BC92) + BD92
               ),
               IF(F93:U93="",0,F93:U93) / SUM(F93:U93)
            )
         ) * 12
   )
)</f>
        <v>1</v>
      </c>
      <c r="BC92" s="287" cm="1">
        <f t="array" aca="1" ref="BC92" ca="1">IFERROR(
   (INDEX('2. Output kostprijs'!$24:$24, 5 + 2*INT((ROW()-8)/7))
    - SUM(INDEX('2. Output kostprijs'!$23:$23, 5 + 2*INT((ROW()-8)/7))))
   / INDEX('2. Output kostprijs'!$19:$19, 5 + 2*INT((ROW()-8)/7)),
   1
)</f>
        <v>1</v>
      </c>
      <c r="BD92" s="287" cm="1">
        <f t="array" aca="1" ref="BD92" ca="1">IFERROR(
   (INDEX('2. Output kostprijs'!$23:$23, 5 + 2*INT((ROW()-8)/7))
    * INDEX('2. Output kostprijs'!$18:$18, 5 + 2*INT((ROW()-8)/7))
   ) / 12,
   0
)</f>
        <v>0</v>
      </c>
      <c r="BE92" t="b">
        <f ca="1">NOT(AND(B89&lt;&gt;"",Y92=""))</f>
        <v>1</v>
      </c>
      <c r="BF92" t="str" cm="1">
        <f t="array" aca="1" ref="BF92" ca="1">INDIRECT("'1a. Input organisatieniveau'!$AD" &amp; 7 + INT((ROW()-ROW($F$8))/7))</f>
        <v/>
      </c>
      <c r="BG92" t="b" cm="1">
        <f t="array" ref="BG92">IFERROR(INDEX('Hulp (control forms)'!C:C, 13 + INT((ROW(A85)-1)/7)),FALSE)</f>
        <v>0</v>
      </c>
    </row>
    <row r="93" spans="1:59" ht="16.05" customHeight="1" thickBot="1" x14ac:dyDescent="0.5">
      <c r="A93" s="289"/>
      <c r="B93" s="343"/>
      <c r="C93" s="325" t="s">
        <v>779</v>
      </c>
      <c r="D93" s="688" t="s">
        <v>60</v>
      </c>
      <c r="E93" s="433" t="s">
        <v>59</v>
      </c>
      <c r="F93" s="624"/>
      <c r="G93" s="624"/>
      <c r="H93" s="624"/>
      <c r="I93" s="624"/>
      <c r="J93" s="624"/>
      <c r="K93" s="624"/>
      <c r="L93" s="624"/>
      <c r="M93" s="624"/>
      <c r="N93" s="624"/>
      <c r="O93" s="624"/>
      <c r="P93" s="624"/>
      <c r="Q93" s="624"/>
      <c r="R93" s="624"/>
      <c r="S93" s="624"/>
      <c r="T93" s="624"/>
      <c r="U93" s="625"/>
      <c r="V93" s="420" t="str">
        <f ca="1">IF($B89="","",IF($D93="Aandeel in %",
   "Totaal: "&amp;SUM(F93:U93)*100&amp;"%",
   "Totaal: "&amp;SUM(F93:U93)&amp;" uur"
))</f>
        <v/>
      </c>
      <c r="W93" s="294"/>
      <c r="X93" s="621"/>
      <c r="Y93" s="328"/>
      <c r="Z93" s="32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9" ht="16.05" customHeight="1" thickBot="1" x14ac:dyDescent="0.5">
      <c r="A94" s="289"/>
      <c r="B94" s="343"/>
      <c r="C94" s="326" t="s">
        <v>779</v>
      </c>
      <c r="D94" s="421"/>
      <c r="E94" s="426"/>
      <c r="F94" s="426"/>
      <c r="G94" s="426"/>
      <c r="H94" s="426"/>
      <c r="I94" s="426"/>
      <c r="J94" s="426"/>
      <c r="K94" s="426"/>
      <c r="L94" s="426"/>
      <c r="M94" s="426"/>
      <c r="N94" s="426"/>
      <c r="O94" s="426"/>
      <c r="P94" s="426"/>
      <c r="Q94" s="426"/>
      <c r="R94" s="426"/>
      <c r="S94" s="426"/>
      <c r="T94" s="427"/>
      <c r="U94" s="427"/>
      <c r="V94" s="421"/>
      <c r="W94" s="421"/>
      <c r="X94" s="622"/>
      <c r="Y94" s="421"/>
      <c r="Z94" s="327"/>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9" ht="16.05" customHeight="1" thickBot="1" x14ac:dyDescent="0.55000000000000004">
      <c r="A95" s="289"/>
      <c r="B95" s="585" t="str">
        <f ca="1">IF(B96="","",
IF(
   OR(
      INDIRECT("'1a. Input organisatieniveau'!AC" &amp; (7 + INT((ROW()-4)/7)))="",
      INDIRECT("'1a. Input organisatieniveau'!AC" &amp; (7 + INT((ROW()-4)/7)))=0
   ),
   "",
   INDIRECT("'1a. Input organisatieniveau'!AC" &amp; (7 + INT((ROW()-4)/7)))
))</f>
        <v/>
      </c>
      <c r="C95" s="324" t="s">
        <v>779</v>
      </c>
      <c r="D95" s="416"/>
      <c r="E95" s="428"/>
      <c r="F95" s="422" t="str">
        <f t="shared" ref="F95:U95" ca="1" si="13">IF($B96="","",
IF($D97="Gebruik % van maximum salaris",
 IF(OR(AND(AND(F96&lt;&gt;"",F97&lt;&gt;""),F99=""),AND(F99="",F100&lt;&gt;"")),"!",""),
 IF(OR(AND(AND(F96&lt;&gt;"",F98&lt;&gt;""),F99=""),AND(F99="",F100&lt;&gt;"")),"!","")))</f>
        <v/>
      </c>
      <c r="G95" s="422" t="str">
        <f t="shared" ca="1" si="13"/>
        <v/>
      </c>
      <c r="H95" s="422" t="str">
        <f t="shared" ca="1" si="13"/>
        <v/>
      </c>
      <c r="I95" s="422" t="str">
        <f t="shared" ca="1" si="13"/>
        <v/>
      </c>
      <c r="J95" s="422" t="str">
        <f t="shared" ca="1" si="13"/>
        <v/>
      </c>
      <c r="K95" s="422" t="str">
        <f t="shared" ca="1" si="13"/>
        <v/>
      </c>
      <c r="L95" s="422" t="str">
        <f t="shared" ca="1" si="13"/>
        <v/>
      </c>
      <c r="M95" s="422" t="str">
        <f t="shared" ca="1" si="13"/>
        <v/>
      </c>
      <c r="N95" s="422" t="str">
        <f t="shared" ca="1" si="13"/>
        <v/>
      </c>
      <c r="O95" s="422" t="str">
        <f t="shared" ca="1" si="13"/>
        <v/>
      </c>
      <c r="P95" s="422" t="str">
        <f t="shared" ca="1" si="13"/>
        <v/>
      </c>
      <c r="Q95" s="422" t="str">
        <f t="shared" ca="1" si="13"/>
        <v/>
      </c>
      <c r="R95" s="422" t="str">
        <f t="shared" ca="1" si="13"/>
        <v/>
      </c>
      <c r="S95" s="422" t="str">
        <f t="shared" ca="1" si="13"/>
        <v/>
      </c>
      <c r="T95" s="422" t="str">
        <f t="shared" ca="1" si="13"/>
        <v/>
      </c>
      <c r="U95" s="422" t="str">
        <f t="shared" ca="1" si="13"/>
        <v/>
      </c>
      <c r="V95" s="416"/>
      <c r="W95" s="416"/>
      <c r="X95" s="619"/>
      <c r="Y95" s="416"/>
      <c r="Z95" s="330"/>
      <c r="AA95" s="354"/>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9" ht="16.05" customHeight="1" thickBot="1" x14ac:dyDescent="0.5">
      <c r="A96" s="289"/>
      <c r="B96" s="586" t="str">
        <f ca="1">IF(
   OR(
      INDIRECT("'1a. Input organisatieniveau'!AA" &amp; (7 + INT((ROW()-4)/7)))="",
      INDIRECT("'1a. Input organisatieniveau'!AA" &amp; (7 + INT((ROW()-4)/7)))=0
   ),
   "",
   INDIRECT("'1a. Input organisatieniveau'!AA" &amp; (7 + INT((ROW()-4)/7)))
)</f>
        <v/>
      </c>
      <c r="C96" s="325" t="s">
        <v>779</v>
      </c>
      <c r="D96" s="434"/>
      <c r="E96" s="429" t="s">
        <v>28</v>
      </c>
      <c r="F96" s="423" t="str">
        <f ca="1">IF($B96="", "", IF($BF99, IF('Hulp (CAO''s)'!J$8&lt;&gt;"",'Hulp (CAO''s)'!J$8,""), INDEX('Hulp (CAO''s)'!J$3:J$7, MATCH(TRUE, 'Hulp (CAO''s)'!$D$3:$D$7, 0))))</f>
        <v/>
      </c>
      <c r="G96" s="423" t="str">
        <f ca="1">IF($B96="", "", IF($BF99, IF('Hulp (CAO''s)'!K$8&lt;&gt;"",'Hulp (CAO''s)'!K$8,""), INDEX('Hulp (CAO''s)'!K$3:K$7, MATCH(TRUE, 'Hulp (CAO''s)'!$D$3:$D$7, 0))))</f>
        <v/>
      </c>
      <c r="H96" s="423" t="str">
        <f ca="1">IF($B96="", "", IF($BF99, IF('Hulp (CAO''s)'!L$8&lt;&gt;"",'Hulp (CAO''s)'!L$8,""), INDEX('Hulp (CAO''s)'!L$3:L$7, MATCH(TRUE, 'Hulp (CAO''s)'!$D$3:$D$7, 0))))</f>
        <v/>
      </c>
      <c r="I96" s="423" t="str">
        <f ca="1">IF($B96="", "", IF($BF99, IF('Hulp (CAO''s)'!M$8&lt;&gt;"",'Hulp (CAO''s)'!M$8,""), INDEX('Hulp (CAO''s)'!M$3:M$7, MATCH(TRUE, 'Hulp (CAO''s)'!$D$3:$D$7, 0))))</f>
        <v/>
      </c>
      <c r="J96" s="423" t="str">
        <f ca="1">IF($B96="", "", IF($BF99, IF('Hulp (CAO''s)'!N$8&lt;&gt;"",'Hulp (CAO''s)'!N$8,""), INDEX('Hulp (CAO''s)'!N$3:N$7, MATCH(TRUE, 'Hulp (CAO''s)'!$D$3:$D$7, 0))))</f>
        <v/>
      </c>
      <c r="K96" s="423" t="str">
        <f ca="1">IF($B96="", "", IF($BF99, IF('Hulp (CAO''s)'!O$8&lt;&gt;"",'Hulp (CAO''s)'!O$8,""), INDEX('Hulp (CAO''s)'!O$3:O$7, MATCH(TRUE, 'Hulp (CAO''s)'!$D$3:$D$7, 0))))</f>
        <v/>
      </c>
      <c r="L96" s="423" t="str">
        <f ca="1">IF($B96="", "", IF($BF99, IF('Hulp (CAO''s)'!P$8&lt;&gt;"",'Hulp (CAO''s)'!P$8,""), INDEX('Hulp (CAO''s)'!P$3:P$7, MATCH(TRUE, 'Hulp (CAO''s)'!$D$3:$D$7, 0))))</f>
        <v/>
      </c>
      <c r="M96" s="423" t="str">
        <f ca="1">IF($B96="", "", IF($BF99, IF('Hulp (CAO''s)'!Q$8&lt;&gt;"",'Hulp (CAO''s)'!Q$8,""), INDEX('Hulp (CAO''s)'!Q$3:Q$7, MATCH(TRUE, 'Hulp (CAO''s)'!$D$3:$D$7, 0))))</f>
        <v/>
      </c>
      <c r="N96" s="423" t="str">
        <f ca="1">IF($B96="", "", IF($BF99, IF('Hulp (CAO''s)'!R$8&lt;&gt;"",'Hulp (CAO''s)'!R$8,""), INDEX('Hulp (CAO''s)'!R$3:R$7, MATCH(TRUE, 'Hulp (CAO''s)'!$D$3:$D$7, 0))))</f>
        <v/>
      </c>
      <c r="O96" s="423" t="str">
        <f ca="1">IF($B96="", "", IF($BF99, IF('Hulp (CAO''s)'!S$8&lt;&gt;"",'Hulp (CAO''s)'!S$8,""), INDEX('Hulp (CAO''s)'!S$3:S$7, MATCH(TRUE, 'Hulp (CAO''s)'!$D$3:$D$7, 0))))</f>
        <v/>
      </c>
      <c r="P96" s="423" t="str">
        <f ca="1">IF($B96="", "", IF($BF99, IF('Hulp (CAO''s)'!T$8&lt;&gt;"",'Hulp (CAO''s)'!T$8,""), INDEX('Hulp (CAO''s)'!T$3:T$7, MATCH(TRUE, 'Hulp (CAO''s)'!$D$3:$D$7, 0))))</f>
        <v/>
      </c>
      <c r="Q96" s="423" t="str">
        <f ca="1">IF($B96="", "", IF($BF99, IF('Hulp (CAO''s)'!U$8&lt;&gt;"",'Hulp (CAO''s)'!U$8,""), INDEX('Hulp (CAO''s)'!U$3:U$7, MATCH(TRUE, 'Hulp (CAO''s)'!$D$3:$D$7, 0))))</f>
        <v/>
      </c>
      <c r="R96" s="423" t="str">
        <f ca="1">IF($B96="", "", IF($BF99, IF('Hulp (CAO''s)'!V$8&lt;&gt;"",'Hulp (CAO''s)'!V$8,""), INDEX('Hulp (CAO''s)'!V$3:V$7, MATCH(TRUE, 'Hulp (CAO''s)'!$D$3:$D$7, 0))))</f>
        <v/>
      </c>
      <c r="S96" s="423" t="str">
        <f ca="1">IF($B96="", "", IF($BF99, IF('Hulp (CAO''s)'!W$8&lt;&gt;"",'Hulp (CAO''s)'!W$8,""), INDEX('Hulp (CAO''s)'!W$3:W$7, MATCH(TRUE, 'Hulp (CAO''s)'!$D$3:$D$7, 0))))</f>
        <v/>
      </c>
      <c r="T96" s="423" t="str">
        <f ca="1">IF($B96="", "", IF($BF99, IF('Hulp (CAO''s)'!X$8&lt;&gt;"",'Hulp (CAO''s)'!X$8,""), INDEX('Hulp (CAO''s)'!X$3:X$7, MATCH(TRUE, 'Hulp (CAO''s)'!$D$3:$D$7, 0))))</f>
        <v/>
      </c>
      <c r="U96" s="424" t="str">
        <f ca="1">IF($B96="", "", IF($BF99, IF('Hulp (CAO''s)'!Y$8&lt;&gt;"",'Hulp (CAO''s)'!Y$8,""), INDEX('Hulp (CAO''s)'!Y$3:Y$7, MATCH(TRUE, 'Hulp (CAO''s)'!$D$3:$D$7, 0))))</f>
        <v/>
      </c>
      <c r="V96" s="417"/>
      <c r="W96" s="343"/>
      <c r="X96" s="617"/>
      <c r="Y96" s="343"/>
      <c r="Z96" s="329"/>
      <c r="AA96" s="320"/>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9" ht="16.05" customHeight="1" x14ac:dyDescent="0.45">
      <c r="A97" s="289"/>
      <c r="B97" s="343"/>
      <c r="C97" s="325" t="s">
        <v>779</v>
      </c>
      <c r="D97" s="772" t="s">
        <v>772</v>
      </c>
      <c r="E97" s="430" t="e">
        <f ca="1">IF($BF99, "", "% t.o.v. max salaris in de schaal")</f>
        <v>#VALUE!</v>
      </c>
      <c r="F97" s="615"/>
      <c r="G97" s="615"/>
      <c r="H97" s="615"/>
      <c r="I97" s="615"/>
      <c r="J97" s="615"/>
      <c r="K97" s="615"/>
      <c r="L97" s="615"/>
      <c r="M97" s="615"/>
      <c r="N97" s="615"/>
      <c r="O97" s="615"/>
      <c r="P97" s="615"/>
      <c r="Q97" s="615"/>
      <c r="R97" s="615"/>
      <c r="S97" s="615"/>
      <c r="T97" s="615"/>
      <c r="U97" s="616"/>
      <c r="V97" s="774" t="s">
        <v>884</v>
      </c>
      <c r="W97" s="332"/>
      <c r="X97" s="776" t="s">
        <v>882</v>
      </c>
      <c r="Y97" s="778" t="s">
        <v>883</v>
      </c>
      <c r="Z97" s="329"/>
      <c r="AA97" s="771" t="s">
        <v>780</v>
      </c>
      <c r="AB97" s="770" t="s">
        <v>1079</v>
      </c>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9" ht="16.05" customHeight="1" thickBot="1" x14ac:dyDescent="0.5">
      <c r="A98" s="289"/>
      <c r="B98" s="343"/>
      <c r="C98" s="325" t="s">
        <v>779</v>
      </c>
      <c r="D98" s="773"/>
      <c r="E98" s="431" t="e">
        <f ca="1">IF($BF99, "", "Trede (gemiddeld)")</f>
        <v>#VALUE!</v>
      </c>
      <c r="F98" s="737"/>
      <c r="G98" s="737"/>
      <c r="H98" s="737"/>
      <c r="I98" s="737"/>
      <c r="J98" s="737"/>
      <c r="K98" s="737"/>
      <c r="L98" s="737"/>
      <c r="M98" s="737"/>
      <c r="N98" s="737"/>
      <c r="O98" s="737"/>
      <c r="P98" s="737"/>
      <c r="Q98" s="737"/>
      <c r="R98" s="737"/>
      <c r="S98" s="737"/>
      <c r="T98" s="737"/>
      <c r="U98" s="740"/>
      <c r="V98" s="775"/>
      <c r="W98" s="294"/>
      <c r="X98" s="777"/>
      <c r="Y98" s="779"/>
      <c r="Z98" s="329"/>
      <c r="AA98" s="771"/>
      <c r="AB98" s="770"/>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9" ht="16.05" customHeight="1" thickBot="1" x14ac:dyDescent="0.5">
      <c r="A99" s="289"/>
      <c r="B99" s="343"/>
      <c r="C99" s="325" t="s">
        <v>779</v>
      </c>
      <c r="E99" s="432" t="str">
        <f>IFERROR(
   INDEX('Hulp (CAO''s)'!$I$3:$I$7, MATCH(TRUE, 'Hulp (CAO''s)'!$D$3:$D$7, 0)),
"")</f>
        <v>Bruto maandsalaris</v>
      </c>
      <c r="F99" s="425" t="e" cm="1">
        <f t="array" aca="1" ref="F99" ca="1">IF($BF99, IF(F96="","",
   INDEX(
      INDIRECT("'" &amp; 'Hulp (CAO''s)'!$AE$8 &amp; "'!" &amp;
               'Hulp (overig)'!$C$17 &amp; "1:" &amp;
               'Hulp (overig)'!$C$17 &amp; "1000"),
      MATCH(
         F96,
         INDIRECT("'" &amp; 'Hulp (CAO''s)'!$AE$8 &amp; "'!A1:A1000"),
         0
      )
   )
), IF($D97="Gebruik % van maximum salaris",
IF(
    OR(F96="",F97=""),
    "",
    MAX(
        INDIRECT(
            "'" &amp; 'Hulp (overig)'!$C$16 &amp; "'!" &amp;
            'Hulp (overig)'!$C$17 &amp;
            MATCH(F96, INDIRECT("'" &amp; 'Hulp (overig)'!$C$16 &amp; "'!A1:A1000"), 0) &amp;
            ":" &amp;
            'Hulp (overig)'!$C$17 &amp;
LOOKUP(
    2,
    1 / (
        (ROW(INDIRECT("'" &amp; 'Hulp (overig)'!$C$16 &amp; "'!B1:B1000")) &lt;
            IF(G96&lt;&gt;"",
               MATCH(G96, INDIRECT("'" &amp; 'Hulp (overig)'!$C$16 &amp; "'!A1:A1000"),0),
               1000
            )
        ) *
        (LEFT(TRIM(INDIRECT("'" &amp; 'Hulp (overig)'!$C$16 &amp; "'!B1:B1000")),1) &lt;&gt; "u")
    ),
    ROW(INDIRECT("'" &amp; 'Hulp (overig)'!$C$16 &amp; "'!B1:B1000"))
)
        )
    ) * F97
),
IF(F98="","",
IF(
    IFERROR(MIN(
        IF(
            (TRIM(INDIRECT("'" &amp; 'Hulp (overig)'!$C$16 &amp; "'!B1:B1000")) = TEXT(F98,"0")) *
            (ROW(INDIRECT("'" &amp; 'Hulp (overig)'!$C$16 &amp; "'!B1:B1000")) &gt;= MATCH(
                F96,
                INDIRECT("'" &amp; 'Hulp (overig)'!$C$16 &amp; "'!A1:A1000"),
                0
            )) *
            IF(
                G96="",
                1,
                (ROW(INDIRECT("'" &amp; 'Hulp (overig)'!$C$16 &amp; "'!B1:B1000")) &lt; MATCH(
                    G96,
                    INDIRECT("'" &amp; 'Hulp (overig)'!$C$16 &amp; "'!A1:A1000"),
                    0
                ))
            ),
            ROW(INDIRECT("'" &amp; 'Hulp (overig)'!$C$16 &amp; "'!B1:B1000"))
        )
    ),0) &lt; 1,
    "",
    IF(INDEX(
        INDIRECT("'" &amp; 'Hulp (overig)'!$C$16 &amp; "'!" &amp;
        'Hulp (overig)'!$C$17 &amp; "1:" &amp; 'Hulp (overig)'!$C$17 &amp; 1000
        ),
        IFERROR(MIN(
            IF(
                (TRIM(INDIRECT("'" &amp; 'Hulp (overig)'!$C$16 &amp; "'!B1:B1000")) = TEXT(F98,"0")) *
                (ROW(INDIRECT("'" &amp; 'Hulp (overig)'!$C$16 &amp; "'!B1:B1000")) &gt;= MATCH(
                    F96,
                    INDIRECT("'" &amp; 'Hulp (overig)'!$C$16 &amp; "'!A1:A1000"),
                    0
                )) *
                IF(
                    G96="",
                    1,
                    (ROW(INDIRECT("'" &amp; 'Hulp (overig)'!$C$16 &amp; "'!B1:B1000")) &lt; MATCH(
                        G96,
                        INDIRECT("'" &amp; 'Hulp (overig)'!$C$16 &amp; "'!A1:A1000"),
                        0
                    ))
                ),
                ROW(INDIRECT("'" &amp; 'Hulp (overig)'!$C$16 &amp; "'!B1:B1000"))
            )
        ),0)
    )=0,"",
INDEX(
        INDIRECT("'" &amp; 'Hulp (overig)'!$C$16 &amp; "'!" &amp;
        'Hulp (overig)'!$C$17 &amp; "1:" &amp; 'Hulp (overig)'!$C$17 &amp; 1000
        ),
        IFERROR(MIN(
            IF(
                (TRIM(INDIRECT("'" &amp; 'Hulp (overig)'!$C$16 &amp; "'!B1:B1000")) = TEXT(F98,"0")) *
                (ROW(INDIRECT("'" &amp; 'Hulp (overig)'!$C$16 &amp; "'!B1:B1000")) &gt;= MATCH(
                    F96,
                    INDIRECT("'" &amp; 'Hulp (overig)'!$C$16 &amp; "'!A1:A1000"),
                    0
                )) *
                IF(
                    G96="",
                    1,
                    (ROW(INDIRECT("'" &amp; 'Hulp (overig)'!$C$16 &amp; "'!B1:B1000")) &lt; MATCH(
                        G96,
                        INDIRECT("'" &amp; 'Hulp (overig)'!$C$16 &amp; "'!A1:A1000"),
                        0
                    ))
                ),
                ROW(INDIRECT("'" &amp; 'Hulp (overig)'!$C$16 &amp; "'!B1:B1000"))
            )
        ),0)
    ))
))))</f>
        <v>#VALUE!</v>
      </c>
      <c r="G99" s="425" t="e" cm="1">
        <f t="array" aca="1" ref="G99" ca="1">IF($BF99, IF(G96="","",
   INDEX(
      INDIRECT("'" &amp; 'Hulp (CAO''s)'!$AE$8 &amp; "'!" &amp;
               'Hulp (overig)'!$C$17 &amp; "1:" &amp;
               'Hulp (overig)'!$C$17 &amp; "1000"),
      MATCH(
         G96,
         INDIRECT("'" &amp; 'Hulp (CAO''s)'!$AE$8 &amp; "'!A1:A1000"),
         0
      )
   )
), IF($D97="Gebruik % van maximum salaris",
IF(
    OR(G96="",G97=""),
    "",
    MAX(
        INDIRECT(
            "'" &amp; 'Hulp (overig)'!$C$16 &amp; "'!" &amp;
            'Hulp (overig)'!$C$17 &amp;
            MATCH(G96, INDIRECT("'" &amp; 'Hulp (overig)'!$C$16 &amp; "'!A1:A1000"), 0) &amp;
            ":" &amp;
            'Hulp (overig)'!$C$17 &amp;
LOOKUP(
    2,
    1 / (
        (ROW(INDIRECT("'" &amp; 'Hulp (overig)'!$C$16 &amp; "'!B1:B1000")) &lt;
            IF(H96&lt;&gt;"",
               MATCH(H96, INDIRECT("'" &amp; 'Hulp (overig)'!$C$16 &amp; "'!A1:A1000"),0),
               1000
            )
        ) *
        (LEFT(TRIM(INDIRECT("'" &amp; 'Hulp (overig)'!$C$16 &amp; "'!B1:B1000")),1) &lt;&gt; "u")
    ),
    ROW(INDIRECT("'" &amp; 'Hulp (overig)'!$C$16 &amp; "'!B1:B1000"))
)
        )
    ) * G97
),
IF(G98="","",
IF(
    IFERROR(MIN(
        IF(
            (TRIM(INDIRECT("'" &amp; 'Hulp (overig)'!$C$16 &amp; "'!B1:B1000")) = TEXT(G98,"0")) *
            (ROW(INDIRECT("'" &amp; 'Hulp (overig)'!$C$16 &amp; "'!B1:B1000")) &gt;= MATCH(
                G96,
                INDIRECT("'" &amp; 'Hulp (overig)'!$C$16 &amp; "'!A1:A1000"),
                0
            )) *
            IF(
                H96="",
                1,
                (ROW(INDIRECT("'" &amp; 'Hulp (overig)'!$C$16 &amp; "'!B1:B1000")) &lt; MATCH(
                    H96,
                    INDIRECT("'" &amp; 'Hulp (overig)'!$C$16 &amp; "'!A1:A1000"),
                    0
                ))
            ),
            ROW(INDIRECT("'" &amp; 'Hulp (overig)'!$C$16 &amp; "'!B1:B1000"))
        )
    ),0) &lt; 1,
    "",
    IF(INDEX(
        INDIRECT("'" &amp; 'Hulp (overig)'!$C$16 &amp; "'!" &amp;
        'Hulp (overig)'!$C$17 &amp; "1:" &amp; 'Hulp (overig)'!$C$17 &amp; 1000
        ),
        IFERROR(MIN(
            IF(
                (TRIM(INDIRECT("'" &amp; 'Hulp (overig)'!$C$16 &amp; "'!B1:B1000")) = TEXT(G98,"0")) *
                (ROW(INDIRECT("'" &amp; 'Hulp (overig)'!$C$16 &amp; "'!B1:B1000")) &gt;= MATCH(
                    G96,
                    INDIRECT("'" &amp; 'Hulp (overig)'!$C$16 &amp; "'!A1:A1000"),
                    0
                )) *
                IF(
                    H96="",
                    1,
                    (ROW(INDIRECT("'" &amp; 'Hulp (overig)'!$C$16 &amp; "'!B1:B1000")) &lt; MATCH(
                        H96,
                        INDIRECT("'" &amp; 'Hulp (overig)'!$C$16 &amp; "'!A1:A1000"),
                        0
                    ))
                ),
                ROW(INDIRECT("'" &amp; 'Hulp (overig)'!$C$16 &amp; "'!B1:B1000"))
            )
        ),0)
    )=0,"",
INDEX(
        INDIRECT("'" &amp; 'Hulp (overig)'!$C$16 &amp; "'!" &amp;
        'Hulp (overig)'!$C$17 &amp; "1:" &amp; 'Hulp (overig)'!$C$17 &amp; 1000
        ),
        IFERROR(MIN(
            IF(
                (TRIM(INDIRECT("'" &amp; 'Hulp (overig)'!$C$16 &amp; "'!B1:B1000")) = TEXT(G98,"0")) *
                (ROW(INDIRECT("'" &amp; 'Hulp (overig)'!$C$16 &amp; "'!B1:B1000")) &gt;= MATCH(
                    G96,
                    INDIRECT("'" &amp; 'Hulp (overig)'!$C$16 &amp; "'!A1:A1000"),
                    0
                )) *
                IF(
                    H96="",
                    1,
                    (ROW(INDIRECT("'" &amp; 'Hulp (overig)'!$C$16 &amp; "'!B1:B1000")) &lt; MATCH(
                        H96,
                        INDIRECT("'" &amp; 'Hulp (overig)'!$C$16 &amp; "'!A1:A1000"),
                        0
                    ))
                ),
                ROW(INDIRECT("'" &amp; 'Hulp (overig)'!$C$16 &amp; "'!B1:B1000"))
            )
        ),0)
    ))
))))</f>
        <v>#VALUE!</v>
      </c>
      <c r="H99" s="425" t="e" cm="1">
        <f t="array" aca="1" ref="H99" ca="1">IF($BF99, IF(H96="","",
   INDEX(
      INDIRECT("'" &amp; 'Hulp (CAO''s)'!$AE$8 &amp; "'!" &amp;
               'Hulp (overig)'!$C$17 &amp; "1:" &amp;
               'Hulp (overig)'!$C$17 &amp; "1000"),
      MATCH(
         H96,
         INDIRECT("'" &amp; 'Hulp (CAO''s)'!$AE$8 &amp; "'!A1:A1000"),
         0
      )
   )
), IF($D97="Gebruik % van maximum salaris",
IF(
    OR(H96="",H97=""),
    "",
    MAX(
        INDIRECT(
            "'" &amp; 'Hulp (overig)'!$C$16 &amp; "'!" &amp;
            'Hulp (overig)'!$C$17 &amp;
            MATCH(H96, INDIRECT("'" &amp; 'Hulp (overig)'!$C$16 &amp; "'!A1:A1000"), 0) &amp;
            ":" &amp;
            'Hulp (overig)'!$C$17 &amp;
LOOKUP(
    2,
    1 / (
        (ROW(INDIRECT("'" &amp; 'Hulp (overig)'!$C$16 &amp; "'!B1:B1000")) &lt;
            IF(I96&lt;&gt;"",
               MATCH(I96, INDIRECT("'" &amp; 'Hulp (overig)'!$C$16 &amp; "'!A1:A1000"),0),
               1000
            )
        ) *
        (LEFT(TRIM(INDIRECT("'" &amp; 'Hulp (overig)'!$C$16 &amp; "'!B1:B1000")),1) &lt;&gt; "u")
    ),
    ROW(INDIRECT("'" &amp; 'Hulp (overig)'!$C$16 &amp; "'!B1:B1000"))
)
        )
    ) * H97
),
IF(H98="","",
IF(
    IFERROR(MIN(
        IF(
            (TRIM(INDIRECT("'" &amp; 'Hulp (overig)'!$C$16 &amp; "'!B1:B1000")) = TEXT(H98,"0")) *
            (ROW(INDIRECT("'" &amp; 'Hulp (overig)'!$C$16 &amp; "'!B1:B1000")) &gt;= MATCH(
                H96,
                INDIRECT("'" &amp; 'Hulp (overig)'!$C$16 &amp; "'!A1:A1000"),
                0
            )) *
            IF(
                I96="",
                1,
                (ROW(INDIRECT("'" &amp; 'Hulp (overig)'!$C$16 &amp; "'!B1:B1000")) &lt; MATCH(
                    I96,
                    INDIRECT("'" &amp; 'Hulp (overig)'!$C$16 &amp; "'!A1:A1000"),
                    0
                ))
            ),
            ROW(INDIRECT("'" &amp; 'Hulp (overig)'!$C$16 &amp; "'!B1:B1000"))
        )
    ),0) &lt; 1,
    "",
    IF(INDEX(
        INDIRECT("'" &amp; 'Hulp (overig)'!$C$16 &amp; "'!" &amp;
        'Hulp (overig)'!$C$17 &amp; "1:" &amp; 'Hulp (overig)'!$C$17 &amp; 1000
        ),
        IFERROR(MIN(
            IF(
                (TRIM(INDIRECT("'" &amp; 'Hulp (overig)'!$C$16 &amp; "'!B1:B1000")) = TEXT(H98,"0")) *
                (ROW(INDIRECT("'" &amp; 'Hulp (overig)'!$C$16 &amp; "'!B1:B1000")) &gt;= MATCH(
                    H96,
                    INDIRECT("'" &amp; 'Hulp (overig)'!$C$16 &amp; "'!A1:A1000"),
                    0
                )) *
                IF(
                    I96="",
                    1,
                    (ROW(INDIRECT("'" &amp; 'Hulp (overig)'!$C$16 &amp; "'!B1:B1000")) &lt; MATCH(
                        I96,
                        INDIRECT("'" &amp; 'Hulp (overig)'!$C$16 &amp; "'!A1:A1000"),
                        0
                    ))
                ),
                ROW(INDIRECT("'" &amp; 'Hulp (overig)'!$C$16 &amp; "'!B1:B1000"))
            )
        ),0)
    )=0,"",
INDEX(
        INDIRECT("'" &amp; 'Hulp (overig)'!$C$16 &amp; "'!" &amp;
        'Hulp (overig)'!$C$17 &amp; "1:" &amp; 'Hulp (overig)'!$C$17 &amp; 1000
        ),
        IFERROR(MIN(
            IF(
                (TRIM(INDIRECT("'" &amp; 'Hulp (overig)'!$C$16 &amp; "'!B1:B1000")) = TEXT(H98,"0")) *
                (ROW(INDIRECT("'" &amp; 'Hulp (overig)'!$C$16 &amp; "'!B1:B1000")) &gt;= MATCH(
                    H96,
                    INDIRECT("'" &amp; 'Hulp (overig)'!$C$16 &amp; "'!A1:A1000"),
                    0
                )) *
                IF(
                    I96="",
                    1,
                    (ROW(INDIRECT("'" &amp; 'Hulp (overig)'!$C$16 &amp; "'!B1:B1000")) &lt; MATCH(
                        I96,
                        INDIRECT("'" &amp; 'Hulp (overig)'!$C$16 &amp; "'!A1:A1000"),
                        0
                    ))
                ),
                ROW(INDIRECT("'" &amp; 'Hulp (overig)'!$C$16 &amp; "'!B1:B1000"))
            )
        ),0)
    ))
))))</f>
        <v>#VALUE!</v>
      </c>
      <c r="I99" s="425" t="e" cm="1">
        <f t="array" aca="1" ref="I99" ca="1">IF($BF99, IF(I96="","",
   INDEX(
      INDIRECT("'" &amp; 'Hulp (CAO''s)'!$AE$8 &amp; "'!" &amp;
               'Hulp (overig)'!$C$17 &amp; "1:" &amp;
               'Hulp (overig)'!$C$17 &amp; "1000"),
      MATCH(
         I96,
         INDIRECT("'" &amp; 'Hulp (CAO''s)'!$AE$8 &amp; "'!A1:A1000"),
         0
      )
   )
), IF($D97="Gebruik % van maximum salaris",
IF(
    OR(I96="",I97=""),
    "",
    MAX(
        INDIRECT(
            "'" &amp; 'Hulp (overig)'!$C$16 &amp; "'!" &amp;
            'Hulp (overig)'!$C$17 &amp;
            MATCH(I96, INDIRECT("'" &amp; 'Hulp (overig)'!$C$16 &amp; "'!A1:A1000"), 0) &amp;
            ":" &amp;
            'Hulp (overig)'!$C$17 &amp;
LOOKUP(
    2,
    1 / (
        (ROW(INDIRECT("'" &amp; 'Hulp (overig)'!$C$16 &amp; "'!B1:B1000")) &lt;
            IF(J96&lt;&gt;"",
               MATCH(J96, INDIRECT("'" &amp; 'Hulp (overig)'!$C$16 &amp; "'!A1:A1000"),0),
               1000
            )
        ) *
        (LEFT(TRIM(INDIRECT("'" &amp; 'Hulp (overig)'!$C$16 &amp; "'!B1:B1000")),1) &lt;&gt; "u")
    ),
    ROW(INDIRECT("'" &amp; 'Hulp (overig)'!$C$16 &amp; "'!B1:B1000"))
)
        )
    ) * I97
),
IF(I98="","",
IF(
    IFERROR(MIN(
        IF(
            (TRIM(INDIRECT("'" &amp; 'Hulp (overig)'!$C$16 &amp; "'!B1:B1000")) = TEXT(I98,"0")) *
            (ROW(INDIRECT("'" &amp; 'Hulp (overig)'!$C$16 &amp; "'!B1:B1000")) &gt;= MATCH(
                I96,
                INDIRECT("'" &amp; 'Hulp (overig)'!$C$16 &amp; "'!A1:A1000"),
                0
            )) *
            IF(
                J96="",
                1,
                (ROW(INDIRECT("'" &amp; 'Hulp (overig)'!$C$16 &amp; "'!B1:B1000")) &lt; MATCH(
                    J96,
                    INDIRECT("'" &amp; 'Hulp (overig)'!$C$16 &amp; "'!A1:A1000"),
                    0
                ))
            ),
            ROW(INDIRECT("'" &amp; 'Hulp (overig)'!$C$16 &amp; "'!B1:B1000"))
        )
    ),0) &lt; 1,
    "",
    IF(INDEX(
        INDIRECT("'" &amp; 'Hulp (overig)'!$C$16 &amp; "'!" &amp;
        'Hulp (overig)'!$C$17 &amp; "1:" &amp; 'Hulp (overig)'!$C$17 &amp; 1000
        ),
        IFERROR(MIN(
            IF(
                (TRIM(INDIRECT("'" &amp; 'Hulp (overig)'!$C$16 &amp; "'!B1:B1000")) = TEXT(I98,"0")) *
                (ROW(INDIRECT("'" &amp; 'Hulp (overig)'!$C$16 &amp; "'!B1:B1000")) &gt;= MATCH(
                    I96,
                    INDIRECT("'" &amp; 'Hulp (overig)'!$C$16 &amp; "'!A1:A1000"),
                    0
                )) *
                IF(
                    J96="",
                    1,
                    (ROW(INDIRECT("'" &amp; 'Hulp (overig)'!$C$16 &amp; "'!B1:B1000")) &lt; MATCH(
                        J96,
                        INDIRECT("'" &amp; 'Hulp (overig)'!$C$16 &amp; "'!A1:A1000"),
                        0
                    ))
                ),
                ROW(INDIRECT("'" &amp; 'Hulp (overig)'!$C$16 &amp; "'!B1:B1000"))
            )
        ),0)
    )=0,"",
INDEX(
        INDIRECT("'" &amp; 'Hulp (overig)'!$C$16 &amp; "'!" &amp;
        'Hulp (overig)'!$C$17 &amp; "1:" &amp; 'Hulp (overig)'!$C$17 &amp; 1000
        ),
        IFERROR(MIN(
            IF(
                (TRIM(INDIRECT("'" &amp; 'Hulp (overig)'!$C$16 &amp; "'!B1:B1000")) = TEXT(I98,"0")) *
                (ROW(INDIRECT("'" &amp; 'Hulp (overig)'!$C$16 &amp; "'!B1:B1000")) &gt;= MATCH(
                    I96,
                    INDIRECT("'" &amp; 'Hulp (overig)'!$C$16 &amp; "'!A1:A1000"),
                    0
                )) *
                IF(
                    J96="",
                    1,
                    (ROW(INDIRECT("'" &amp; 'Hulp (overig)'!$C$16 &amp; "'!B1:B1000")) &lt; MATCH(
                        J96,
                        INDIRECT("'" &amp; 'Hulp (overig)'!$C$16 &amp; "'!A1:A1000"),
                        0
                    ))
                ),
                ROW(INDIRECT("'" &amp; 'Hulp (overig)'!$C$16 &amp; "'!B1:B1000"))
            )
        ),0)
    ))
))))</f>
        <v>#VALUE!</v>
      </c>
      <c r="J99" s="425" t="e" cm="1">
        <f t="array" aca="1" ref="J99" ca="1">IF($BF99, IF(J96="","",
   INDEX(
      INDIRECT("'" &amp; 'Hulp (CAO''s)'!$AE$8 &amp; "'!" &amp;
               'Hulp (overig)'!$C$17 &amp; "1:" &amp;
               'Hulp (overig)'!$C$17 &amp; "1000"),
      MATCH(
         J96,
         INDIRECT("'" &amp; 'Hulp (CAO''s)'!$AE$8 &amp; "'!A1:A1000"),
         0
      )
   )
), IF($D97="Gebruik % van maximum salaris",
IF(
    OR(J96="",J97=""),
    "",
    MAX(
        INDIRECT(
            "'" &amp; 'Hulp (overig)'!$C$16 &amp; "'!" &amp;
            'Hulp (overig)'!$C$17 &amp;
            MATCH(J96, INDIRECT("'" &amp; 'Hulp (overig)'!$C$16 &amp; "'!A1:A1000"), 0) &amp;
            ":" &amp;
            'Hulp (overig)'!$C$17 &amp;
LOOKUP(
    2,
    1 / (
        (ROW(INDIRECT("'" &amp; 'Hulp (overig)'!$C$16 &amp; "'!B1:B1000")) &lt;
            IF(K96&lt;&gt;"",
               MATCH(K96, INDIRECT("'" &amp; 'Hulp (overig)'!$C$16 &amp; "'!A1:A1000"),0),
               1000
            )
        ) *
        (LEFT(TRIM(INDIRECT("'" &amp; 'Hulp (overig)'!$C$16 &amp; "'!B1:B1000")),1) &lt;&gt; "u")
    ),
    ROW(INDIRECT("'" &amp; 'Hulp (overig)'!$C$16 &amp; "'!B1:B1000"))
)
        )
    ) * J97
),
IF(J98="","",
IF(
    IFERROR(MIN(
        IF(
            (TRIM(INDIRECT("'" &amp; 'Hulp (overig)'!$C$16 &amp; "'!B1:B1000")) = TEXT(J98,"0")) *
            (ROW(INDIRECT("'" &amp; 'Hulp (overig)'!$C$16 &amp; "'!B1:B1000")) &gt;= MATCH(
                J96,
                INDIRECT("'" &amp; 'Hulp (overig)'!$C$16 &amp; "'!A1:A1000"),
                0
            )) *
            IF(
                K96="",
                1,
                (ROW(INDIRECT("'" &amp; 'Hulp (overig)'!$C$16 &amp; "'!B1:B1000")) &lt; MATCH(
                    K96,
                    INDIRECT("'" &amp; 'Hulp (overig)'!$C$16 &amp; "'!A1:A1000"),
                    0
                ))
            ),
            ROW(INDIRECT("'" &amp; 'Hulp (overig)'!$C$16 &amp; "'!B1:B1000"))
        )
    ),0) &lt; 1,
    "",
    IF(INDEX(
        INDIRECT("'" &amp; 'Hulp (overig)'!$C$16 &amp; "'!" &amp;
        'Hulp (overig)'!$C$17 &amp; "1:" &amp; 'Hulp (overig)'!$C$17 &amp; 1000
        ),
        IFERROR(MIN(
            IF(
                (TRIM(INDIRECT("'" &amp; 'Hulp (overig)'!$C$16 &amp; "'!B1:B1000")) = TEXT(J98,"0")) *
                (ROW(INDIRECT("'" &amp; 'Hulp (overig)'!$C$16 &amp; "'!B1:B1000")) &gt;= MATCH(
                    J96,
                    INDIRECT("'" &amp; 'Hulp (overig)'!$C$16 &amp; "'!A1:A1000"),
                    0
                )) *
                IF(
                    K96="",
                    1,
                    (ROW(INDIRECT("'" &amp; 'Hulp (overig)'!$C$16 &amp; "'!B1:B1000")) &lt; MATCH(
                        K96,
                        INDIRECT("'" &amp; 'Hulp (overig)'!$C$16 &amp; "'!A1:A1000"),
                        0
                    ))
                ),
                ROW(INDIRECT("'" &amp; 'Hulp (overig)'!$C$16 &amp; "'!B1:B1000"))
            )
        ),0)
    )=0,"",
INDEX(
        INDIRECT("'" &amp; 'Hulp (overig)'!$C$16 &amp; "'!" &amp;
        'Hulp (overig)'!$C$17 &amp; "1:" &amp; 'Hulp (overig)'!$C$17 &amp; 1000
        ),
        IFERROR(MIN(
            IF(
                (TRIM(INDIRECT("'" &amp; 'Hulp (overig)'!$C$16 &amp; "'!B1:B1000")) = TEXT(J98,"0")) *
                (ROW(INDIRECT("'" &amp; 'Hulp (overig)'!$C$16 &amp; "'!B1:B1000")) &gt;= MATCH(
                    J96,
                    INDIRECT("'" &amp; 'Hulp (overig)'!$C$16 &amp; "'!A1:A1000"),
                    0
                )) *
                IF(
                    K96="",
                    1,
                    (ROW(INDIRECT("'" &amp; 'Hulp (overig)'!$C$16 &amp; "'!B1:B1000")) &lt; MATCH(
                        K96,
                        INDIRECT("'" &amp; 'Hulp (overig)'!$C$16 &amp; "'!A1:A1000"),
                        0
                    ))
                ),
                ROW(INDIRECT("'" &amp; 'Hulp (overig)'!$C$16 &amp; "'!B1:B1000"))
            )
        ),0)
    ))
))))</f>
        <v>#VALUE!</v>
      </c>
      <c r="K99" s="425" t="e" cm="1">
        <f t="array" aca="1" ref="K99" ca="1">IF($BF99, IF(K96="","",
   INDEX(
      INDIRECT("'" &amp; 'Hulp (CAO''s)'!$AE$8 &amp; "'!" &amp;
               'Hulp (overig)'!$C$17 &amp; "1:" &amp;
               'Hulp (overig)'!$C$17 &amp; "1000"),
      MATCH(
         K96,
         INDIRECT("'" &amp; 'Hulp (CAO''s)'!$AE$8 &amp; "'!A1:A1000"),
         0
      )
   )
), IF($D97="Gebruik % van maximum salaris",
IF(
    OR(K96="",K97=""),
    "",
    MAX(
        INDIRECT(
            "'" &amp; 'Hulp (overig)'!$C$16 &amp; "'!" &amp;
            'Hulp (overig)'!$C$17 &amp;
            MATCH(K96, INDIRECT("'" &amp; 'Hulp (overig)'!$C$16 &amp; "'!A1:A1000"), 0) &amp;
            ":" &amp;
            'Hulp (overig)'!$C$17 &amp;
LOOKUP(
    2,
    1 / (
        (ROW(INDIRECT("'" &amp; 'Hulp (overig)'!$C$16 &amp; "'!B1:B1000")) &lt;
            IF(L96&lt;&gt;"",
               MATCH(L96, INDIRECT("'" &amp; 'Hulp (overig)'!$C$16 &amp; "'!A1:A1000"),0),
               1000
            )
        ) *
        (LEFT(TRIM(INDIRECT("'" &amp; 'Hulp (overig)'!$C$16 &amp; "'!B1:B1000")),1) &lt;&gt; "u")
    ),
    ROW(INDIRECT("'" &amp; 'Hulp (overig)'!$C$16 &amp; "'!B1:B1000"))
)
        )
    ) * K97
),
IF(K98="","",
IF(
    IFERROR(MIN(
        IF(
            (TRIM(INDIRECT("'" &amp; 'Hulp (overig)'!$C$16 &amp; "'!B1:B1000")) = TEXT(K98,"0")) *
            (ROW(INDIRECT("'" &amp; 'Hulp (overig)'!$C$16 &amp; "'!B1:B1000")) &gt;= MATCH(
                K96,
                INDIRECT("'" &amp; 'Hulp (overig)'!$C$16 &amp; "'!A1:A1000"),
                0
            )) *
            IF(
                L96="",
                1,
                (ROW(INDIRECT("'" &amp; 'Hulp (overig)'!$C$16 &amp; "'!B1:B1000")) &lt; MATCH(
                    L96,
                    INDIRECT("'" &amp; 'Hulp (overig)'!$C$16 &amp; "'!A1:A1000"),
                    0
                ))
            ),
            ROW(INDIRECT("'" &amp; 'Hulp (overig)'!$C$16 &amp; "'!B1:B1000"))
        )
    ),0) &lt; 1,
    "",
    IF(INDEX(
        INDIRECT("'" &amp; 'Hulp (overig)'!$C$16 &amp; "'!" &amp;
        'Hulp (overig)'!$C$17 &amp; "1:" &amp; 'Hulp (overig)'!$C$17 &amp; 1000
        ),
        IFERROR(MIN(
            IF(
                (TRIM(INDIRECT("'" &amp; 'Hulp (overig)'!$C$16 &amp; "'!B1:B1000")) = TEXT(K98,"0")) *
                (ROW(INDIRECT("'" &amp; 'Hulp (overig)'!$C$16 &amp; "'!B1:B1000")) &gt;= MATCH(
                    K96,
                    INDIRECT("'" &amp; 'Hulp (overig)'!$C$16 &amp; "'!A1:A1000"),
                    0
                )) *
                IF(
                    L96="",
                    1,
                    (ROW(INDIRECT("'" &amp; 'Hulp (overig)'!$C$16 &amp; "'!B1:B1000")) &lt; MATCH(
                        L96,
                        INDIRECT("'" &amp; 'Hulp (overig)'!$C$16 &amp; "'!A1:A1000"),
                        0
                    ))
                ),
                ROW(INDIRECT("'" &amp; 'Hulp (overig)'!$C$16 &amp; "'!B1:B1000"))
            )
        ),0)
    )=0,"",
INDEX(
        INDIRECT("'" &amp; 'Hulp (overig)'!$C$16 &amp; "'!" &amp;
        'Hulp (overig)'!$C$17 &amp; "1:" &amp; 'Hulp (overig)'!$C$17 &amp; 1000
        ),
        IFERROR(MIN(
            IF(
                (TRIM(INDIRECT("'" &amp; 'Hulp (overig)'!$C$16 &amp; "'!B1:B1000")) = TEXT(K98,"0")) *
                (ROW(INDIRECT("'" &amp; 'Hulp (overig)'!$C$16 &amp; "'!B1:B1000")) &gt;= MATCH(
                    K96,
                    INDIRECT("'" &amp; 'Hulp (overig)'!$C$16 &amp; "'!A1:A1000"),
                    0
                )) *
                IF(
                    L96="",
                    1,
                    (ROW(INDIRECT("'" &amp; 'Hulp (overig)'!$C$16 &amp; "'!B1:B1000")) &lt; MATCH(
                        L96,
                        INDIRECT("'" &amp; 'Hulp (overig)'!$C$16 &amp; "'!A1:A1000"),
                        0
                    ))
                ),
                ROW(INDIRECT("'" &amp; 'Hulp (overig)'!$C$16 &amp; "'!B1:B1000"))
            )
        ),0)
    ))
))))</f>
        <v>#VALUE!</v>
      </c>
      <c r="L99" s="425" t="e" cm="1">
        <f t="array" aca="1" ref="L99" ca="1">IF($BF99, IF(L96="","",
   INDEX(
      INDIRECT("'" &amp; 'Hulp (CAO''s)'!$AE$8 &amp; "'!" &amp;
               'Hulp (overig)'!$C$17 &amp; "1:" &amp;
               'Hulp (overig)'!$C$17 &amp; "1000"),
      MATCH(
         L96,
         INDIRECT("'" &amp; 'Hulp (CAO''s)'!$AE$8 &amp; "'!A1:A1000"),
         0
      )
   )
), IF($D97="Gebruik % van maximum salaris",
IF(
    OR(L96="",L97=""),
    "",
    MAX(
        INDIRECT(
            "'" &amp; 'Hulp (overig)'!$C$16 &amp; "'!" &amp;
            'Hulp (overig)'!$C$17 &amp;
            MATCH(L96, INDIRECT("'" &amp; 'Hulp (overig)'!$C$16 &amp; "'!A1:A1000"), 0) &amp;
            ":" &amp;
            'Hulp (overig)'!$C$17 &amp;
LOOKUP(
    2,
    1 / (
        (ROW(INDIRECT("'" &amp; 'Hulp (overig)'!$C$16 &amp; "'!B1:B1000")) &lt;
            IF(M96&lt;&gt;"",
               MATCH(M96, INDIRECT("'" &amp; 'Hulp (overig)'!$C$16 &amp; "'!A1:A1000"),0),
               1000
            )
        ) *
        (LEFT(TRIM(INDIRECT("'" &amp; 'Hulp (overig)'!$C$16 &amp; "'!B1:B1000")),1) &lt;&gt; "u")
    ),
    ROW(INDIRECT("'" &amp; 'Hulp (overig)'!$C$16 &amp; "'!B1:B1000"))
)
        )
    ) * L97
),
IF(L98="","",
IF(
    IFERROR(MIN(
        IF(
            (TRIM(INDIRECT("'" &amp; 'Hulp (overig)'!$C$16 &amp; "'!B1:B1000")) = TEXT(L98,"0")) *
            (ROW(INDIRECT("'" &amp; 'Hulp (overig)'!$C$16 &amp; "'!B1:B1000")) &gt;= MATCH(
                L96,
                INDIRECT("'" &amp; 'Hulp (overig)'!$C$16 &amp; "'!A1:A1000"),
                0
            )) *
            IF(
                M96="",
                1,
                (ROW(INDIRECT("'" &amp; 'Hulp (overig)'!$C$16 &amp; "'!B1:B1000")) &lt; MATCH(
                    M96,
                    INDIRECT("'" &amp; 'Hulp (overig)'!$C$16 &amp; "'!A1:A1000"),
                    0
                ))
            ),
            ROW(INDIRECT("'" &amp; 'Hulp (overig)'!$C$16 &amp; "'!B1:B1000"))
        )
    ),0) &lt; 1,
    "",
    IF(INDEX(
        INDIRECT("'" &amp; 'Hulp (overig)'!$C$16 &amp; "'!" &amp;
        'Hulp (overig)'!$C$17 &amp; "1:" &amp; 'Hulp (overig)'!$C$17 &amp; 1000
        ),
        IFERROR(MIN(
            IF(
                (TRIM(INDIRECT("'" &amp; 'Hulp (overig)'!$C$16 &amp; "'!B1:B1000")) = TEXT(L98,"0")) *
                (ROW(INDIRECT("'" &amp; 'Hulp (overig)'!$C$16 &amp; "'!B1:B1000")) &gt;= MATCH(
                    L96,
                    INDIRECT("'" &amp; 'Hulp (overig)'!$C$16 &amp; "'!A1:A1000"),
                    0
                )) *
                IF(
                    M96="",
                    1,
                    (ROW(INDIRECT("'" &amp; 'Hulp (overig)'!$C$16 &amp; "'!B1:B1000")) &lt; MATCH(
                        M96,
                        INDIRECT("'" &amp; 'Hulp (overig)'!$C$16 &amp; "'!A1:A1000"),
                        0
                    ))
                ),
                ROW(INDIRECT("'" &amp; 'Hulp (overig)'!$C$16 &amp; "'!B1:B1000"))
            )
        ),0)
    )=0,"",
INDEX(
        INDIRECT("'" &amp; 'Hulp (overig)'!$C$16 &amp; "'!" &amp;
        'Hulp (overig)'!$C$17 &amp; "1:" &amp; 'Hulp (overig)'!$C$17 &amp; 1000
        ),
        IFERROR(MIN(
            IF(
                (TRIM(INDIRECT("'" &amp; 'Hulp (overig)'!$C$16 &amp; "'!B1:B1000")) = TEXT(L98,"0")) *
                (ROW(INDIRECT("'" &amp; 'Hulp (overig)'!$C$16 &amp; "'!B1:B1000")) &gt;= MATCH(
                    L96,
                    INDIRECT("'" &amp; 'Hulp (overig)'!$C$16 &amp; "'!A1:A1000"),
                    0
                )) *
                IF(
                    M96="",
                    1,
                    (ROW(INDIRECT("'" &amp; 'Hulp (overig)'!$C$16 &amp; "'!B1:B1000")) &lt; MATCH(
                        M96,
                        INDIRECT("'" &amp; 'Hulp (overig)'!$C$16 &amp; "'!A1:A1000"),
                        0
                    ))
                ),
                ROW(INDIRECT("'" &amp; 'Hulp (overig)'!$C$16 &amp; "'!B1:B1000"))
            )
        ),0)
    ))
))))</f>
        <v>#VALUE!</v>
      </c>
      <c r="M99" s="425" t="e" cm="1">
        <f t="array" aca="1" ref="M99" ca="1">IF($BF99, IF(M96="","",
   INDEX(
      INDIRECT("'" &amp; 'Hulp (CAO''s)'!$AE$8 &amp; "'!" &amp;
               'Hulp (overig)'!$C$17 &amp; "1:" &amp;
               'Hulp (overig)'!$C$17 &amp; "1000"),
      MATCH(
         M96,
         INDIRECT("'" &amp; 'Hulp (CAO''s)'!$AE$8 &amp; "'!A1:A1000"),
         0
      )
   )
), IF($D97="Gebruik % van maximum salaris",
IF(
    OR(M96="",M97=""),
    "",
    MAX(
        INDIRECT(
            "'" &amp; 'Hulp (overig)'!$C$16 &amp; "'!" &amp;
            'Hulp (overig)'!$C$17 &amp;
            MATCH(M96, INDIRECT("'" &amp; 'Hulp (overig)'!$C$16 &amp; "'!A1:A1000"), 0) &amp;
            ":" &amp;
            'Hulp (overig)'!$C$17 &amp;
LOOKUP(
    2,
    1 / (
        (ROW(INDIRECT("'" &amp; 'Hulp (overig)'!$C$16 &amp; "'!B1:B1000")) &lt;
            IF(N96&lt;&gt;"",
               MATCH(N96, INDIRECT("'" &amp; 'Hulp (overig)'!$C$16 &amp; "'!A1:A1000"),0),
               1000
            )
        ) *
        (LEFT(TRIM(INDIRECT("'" &amp; 'Hulp (overig)'!$C$16 &amp; "'!B1:B1000")),1) &lt;&gt; "u")
    ),
    ROW(INDIRECT("'" &amp; 'Hulp (overig)'!$C$16 &amp; "'!B1:B1000"))
)
        )
    ) * M97
),
IF(M98="","",
IF(
    IFERROR(MIN(
        IF(
            (TRIM(INDIRECT("'" &amp; 'Hulp (overig)'!$C$16 &amp; "'!B1:B1000")) = TEXT(M98,"0")) *
            (ROW(INDIRECT("'" &amp; 'Hulp (overig)'!$C$16 &amp; "'!B1:B1000")) &gt;= MATCH(
                M96,
                INDIRECT("'" &amp; 'Hulp (overig)'!$C$16 &amp; "'!A1:A1000"),
                0
            )) *
            IF(
                N96="",
                1,
                (ROW(INDIRECT("'" &amp; 'Hulp (overig)'!$C$16 &amp; "'!B1:B1000")) &lt; MATCH(
                    N96,
                    INDIRECT("'" &amp; 'Hulp (overig)'!$C$16 &amp; "'!A1:A1000"),
                    0
                ))
            ),
            ROW(INDIRECT("'" &amp; 'Hulp (overig)'!$C$16 &amp; "'!B1:B1000"))
        )
    ),0) &lt; 1,
    "",
    IF(INDEX(
        INDIRECT("'" &amp; 'Hulp (overig)'!$C$16 &amp; "'!" &amp;
        'Hulp (overig)'!$C$17 &amp; "1:" &amp; 'Hulp (overig)'!$C$17 &amp; 1000
        ),
        IFERROR(MIN(
            IF(
                (TRIM(INDIRECT("'" &amp; 'Hulp (overig)'!$C$16 &amp; "'!B1:B1000")) = TEXT(M98,"0")) *
                (ROW(INDIRECT("'" &amp; 'Hulp (overig)'!$C$16 &amp; "'!B1:B1000")) &gt;= MATCH(
                    M96,
                    INDIRECT("'" &amp; 'Hulp (overig)'!$C$16 &amp; "'!A1:A1000"),
                    0
                )) *
                IF(
                    N96="",
                    1,
                    (ROW(INDIRECT("'" &amp; 'Hulp (overig)'!$C$16 &amp; "'!B1:B1000")) &lt; MATCH(
                        N96,
                        INDIRECT("'" &amp; 'Hulp (overig)'!$C$16 &amp; "'!A1:A1000"),
                        0
                    ))
                ),
                ROW(INDIRECT("'" &amp; 'Hulp (overig)'!$C$16 &amp; "'!B1:B1000"))
            )
        ),0)
    )=0,"",
INDEX(
        INDIRECT("'" &amp; 'Hulp (overig)'!$C$16 &amp; "'!" &amp;
        'Hulp (overig)'!$C$17 &amp; "1:" &amp; 'Hulp (overig)'!$C$17 &amp; 1000
        ),
        IFERROR(MIN(
            IF(
                (TRIM(INDIRECT("'" &amp; 'Hulp (overig)'!$C$16 &amp; "'!B1:B1000")) = TEXT(M98,"0")) *
                (ROW(INDIRECT("'" &amp; 'Hulp (overig)'!$C$16 &amp; "'!B1:B1000")) &gt;= MATCH(
                    M96,
                    INDIRECT("'" &amp; 'Hulp (overig)'!$C$16 &amp; "'!A1:A1000"),
                    0
                )) *
                IF(
                    N96="",
                    1,
                    (ROW(INDIRECT("'" &amp; 'Hulp (overig)'!$C$16 &amp; "'!B1:B1000")) &lt; MATCH(
                        N96,
                        INDIRECT("'" &amp; 'Hulp (overig)'!$C$16 &amp; "'!A1:A1000"),
                        0
                    ))
                ),
                ROW(INDIRECT("'" &amp; 'Hulp (overig)'!$C$16 &amp; "'!B1:B1000"))
            )
        ),0)
    ))
))))</f>
        <v>#VALUE!</v>
      </c>
      <c r="N99" s="425" t="e" cm="1">
        <f t="array" aca="1" ref="N99" ca="1">IF($BF99, IF(N96="","",
   INDEX(
      INDIRECT("'" &amp; 'Hulp (CAO''s)'!$AE$8 &amp; "'!" &amp;
               'Hulp (overig)'!$C$17 &amp; "1:" &amp;
               'Hulp (overig)'!$C$17 &amp; "1000"),
      MATCH(
         N96,
         INDIRECT("'" &amp; 'Hulp (CAO''s)'!$AE$8 &amp; "'!A1:A1000"),
         0
      )
   )
), IF($D97="Gebruik % van maximum salaris",
IF(
    OR(N96="",N97=""),
    "",
    MAX(
        INDIRECT(
            "'" &amp; 'Hulp (overig)'!$C$16 &amp; "'!" &amp;
            'Hulp (overig)'!$C$17 &amp;
            MATCH(N96, INDIRECT("'" &amp; 'Hulp (overig)'!$C$16 &amp; "'!A1:A1000"), 0) &amp;
            ":" &amp;
            'Hulp (overig)'!$C$17 &amp;
LOOKUP(
    2,
    1 / (
        (ROW(INDIRECT("'" &amp; 'Hulp (overig)'!$C$16 &amp; "'!B1:B1000")) &lt;
            IF(O96&lt;&gt;"",
               MATCH(O96, INDIRECT("'" &amp; 'Hulp (overig)'!$C$16 &amp; "'!A1:A1000"),0),
               1000
            )
        ) *
        (LEFT(TRIM(INDIRECT("'" &amp; 'Hulp (overig)'!$C$16 &amp; "'!B1:B1000")),1) &lt;&gt; "u")
    ),
    ROW(INDIRECT("'" &amp; 'Hulp (overig)'!$C$16 &amp; "'!B1:B1000"))
)
        )
    ) * N97
),
IF(N98="","",
IF(
    IFERROR(MIN(
        IF(
            (TRIM(INDIRECT("'" &amp; 'Hulp (overig)'!$C$16 &amp; "'!B1:B1000")) = TEXT(N98,"0")) *
            (ROW(INDIRECT("'" &amp; 'Hulp (overig)'!$C$16 &amp; "'!B1:B1000")) &gt;= MATCH(
                N96,
                INDIRECT("'" &amp; 'Hulp (overig)'!$C$16 &amp; "'!A1:A1000"),
                0
            )) *
            IF(
                O96="",
                1,
                (ROW(INDIRECT("'" &amp; 'Hulp (overig)'!$C$16 &amp; "'!B1:B1000")) &lt; MATCH(
                    O96,
                    INDIRECT("'" &amp; 'Hulp (overig)'!$C$16 &amp; "'!A1:A1000"),
                    0
                ))
            ),
            ROW(INDIRECT("'" &amp; 'Hulp (overig)'!$C$16 &amp; "'!B1:B1000"))
        )
    ),0) &lt; 1,
    "",
    IF(INDEX(
        INDIRECT("'" &amp; 'Hulp (overig)'!$C$16 &amp; "'!" &amp;
        'Hulp (overig)'!$C$17 &amp; "1:" &amp; 'Hulp (overig)'!$C$17 &amp; 1000
        ),
        IFERROR(MIN(
            IF(
                (TRIM(INDIRECT("'" &amp; 'Hulp (overig)'!$C$16 &amp; "'!B1:B1000")) = TEXT(N98,"0")) *
                (ROW(INDIRECT("'" &amp; 'Hulp (overig)'!$C$16 &amp; "'!B1:B1000")) &gt;= MATCH(
                    N96,
                    INDIRECT("'" &amp; 'Hulp (overig)'!$C$16 &amp; "'!A1:A1000"),
                    0
                )) *
                IF(
                    O96="",
                    1,
                    (ROW(INDIRECT("'" &amp; 'Hulp (overig)'!$C$16 &amp; "'!B1:B1000")) &lt; MATCH(
                        O96,
                        INDIRECT("'" &amp; 'Hulp (overig)'!$C$16 &amp; "'!A1:A1000"),
                        0
                    ))
                ),
                ROW(INDIRECT("'" &amp; 'Hulp (overig)'!$C$16 &amp; "'!B1:B1000"))
            )
        ),0)
    )=0,"",
INDEX(
        INDIRECT("'" &amp; 'Hulp (overig)'!$C$16 &amp; "'!" &amp;
        'Hulp (overig)'!$C$17 &amp; "1:" &amp; 'Hulp (overig)'!$C$17 &amp; 1000
        ),
        IFERROR(MIN(
            IF(
                (TRIM(INDIRECT("'" &amp; 'Hulp (overig)'!$C$16 &amp; "'!B1:B1000")) = TEXT(N98,"0")) *
                (ROW(INDIRECT("'" &amp; 'Hulp (overig)'!$C$16 &amp; "'!B1:B1000")) &gt;= MATCH(
                    N96,
                    INDIRECT("'" &amp; 'Hulp (overig)'!$C$16 &amp; "'!A1:A1000"),
                    0
                )) *
                IF(
                    O96="",
                    1,
                    (ROW(INDIRECT("'" &amp; 'Hulp (overig)'!$C$16 &amp; "'!B1:B1000")) &lt; MATCH(
                        O96,
                        INDIRECT("'" &amp; 'Hulp (overig)'!$C$16 &amp; "'!A1:A1000"),
                        0
                    ))
                ),
                ROW(INDIRECT("'" &amp; 'Hulp (overig)'!$C$16 &amp; "'!B1:B1000"))
            )
        ),0)
    ))
))))</f>
        <v>#VALUE!</v>
      </c>
      <c r="O99" s="425" t="e" cm="1">
        <f t="array" aca="1" ref="O99" ca="1">IF($BF99, IF(O96="","",
   INDEX(
      INDIRECT("'" &amp; 'Hulp (CAO''s)'!$AE$8 &amp; "'!" &amp;
               'Hulp (overig)'!$C$17 &amp; "1:" &amp;
               'Hulp (overig)'!$C$17 &amp; "1000"),
      MATCH(
         O96,
         INDIRECT("'" &amp; 'Hulp (CAO''s)'!$AE$8 &amp; "'!A1:A1000"),
         0
      )
   )
), IF($D97="Gebruik % van maximum salaris",
IF(
    OR(O96="",O97=""),
    "",
    MAX(
        INDIRECT(
            "'" &amp; 'Hulp (overig)'!$C$16 &amp; "'!" &amp;
            'Hulp (overig)'!$C$17 &amp;
            MATCH(O96, INDIRECT("'" &amp; 'Hulp (overig)'!$C$16 &amp; "'!A1:A1000"), 0) &amp;
            ":" &amp;
            'Hulp (overig)'!$C$17 &amp;
LOOKUP(
    2,
    1 / (
        (ROW(INDIRECT("'" &amp; 'Hulp (overig)'!$C$16 &amp; "'!B1:B1000")) &lt;
            IF(P96&lt;&gt;"",
               MATCH(P96, INDIRECT("'" &amp; 'Hulp (overig)'!$C$16 &amp; "'!A1:A1000"),0),
               1000
            )
        ) *
        (LEFT(TRIM(INDIRECT("'" &amp; 'Hulp (overig)'!$C$16 &amp; "'!B1:B1000")),1) &lt;&gt; "u")
    ),
    ROW(INDIRECT("'" &amp; 'Hulp (overig)'!$C$16 &amp; "'!B1:B1000"))
)
        )
    ) * O97
),
IF(O98="","",
IF(
    IFERROR(MIN(
        IF(
            (TRIM(INDIRECT("'" &amp; 'Hulp (overig)'!$C$16 &amp; "'!B1:B1000")) = TEXT(O98,"0")) *
            (ROW(INDIRECT("'" &amp; 'Hulp (overig)'!$C$16 &amp; "'!B1:B1000")) &gt;= MATCH(
                O96,
                INDIRECT("'" &amp; 'Hulp (overig)'!$C$16 &amp; "'!A1:A1000"),
                0
            )) *
            IF(
                P96="",
                1,
                (ROW(INDIRECT("'" &amp; 'Hulp (overig)'!$C$16 &amp; "'!B1:B1000")) &lt; MATCH(
                    P96,
                    INDIRECT("'" &amp; 'Hulp (overig)'!$C$16 &amp; "'!A1:A1000"),
                    0
                ))
            ),
            ROW(INDIRECT("'" &amp; 'Hulp (overig)'!$C$16 &amp; "'!B1:B1000"))
        )
    ),0) &lt; 1,
    "",
    IF(INDEX(
        INDIRECT("'" &amp; 'Hulp (overig)'!$C$16 &amp; "'!" &amp;
        'Hulp (overig)'!$C$17 &amp; "1:" &amp; 'Hulp (overig)'!$C$17 &amp; 1000
        ),
        IFERROR(MIN(
            IF(
                (TRIM(INDIRECT("'" &amp; 'Hulp (overig)'!$C$16 &amp; "'!B1:B1000")) = TEXT(O98,"0")) *
                (ROW(INDIRECT("'" &amp; 'Hulp (overig)'!$C$16 &amp; "'!B1:B1000")) &gt;= MATCH(
                    O96,
                    INDIRECT("'" &amp; 'Hulp (overig)'!$C$16 &amp; "'!A1:A1000"),
                    0
                )) *
                IF(
                    P96="",
                    1,
                    (ROW(INDIRECT("'" &amp; 'Hulp (overig)'!$C$16 &amp; "'!B1:B1000")) &lt; MATCH(
                        P96,
                        INDIRECT("'" &amp; 'Hulp (overig)'!$C$16 &amp; "'!A1:A1000"),
                        0
                    ))
                ),
                ROW(INDIRECT("'" &amp; 'Hulp (overig)'!$C$16 &amp; "'!B1:B1000"))
            )
        ),0)
    )=0,"",
INDEX(
        INDIRECT("'" &amp; 'Hulp (overig)'!$C$16 &amp; "'!" &amp;
        'Hulp (overig)'!$C$17 &amp; "1:" &amp; 'Hulp (overig)'!$C$17 &amp; 1000
        ),
        IFERROR(MIN(
            IF(
                (TRIM(INDIRECT("'" &amp; 'Hulp (overig)'!$C$16 &amp; "'!B1:B1000")) = TEXT(O98,"0")) *
                (ROW(INDIRECT("'" &amp; 'Hulp (overig)'!$C$16 &amp; "'!B1:B1000")) &gt;= MATCH(
                    O96,
                    INDIRECT("'" &amp; 'Hulp (overig)'!$C$16 &amp; "'!A1:A1000"),
                    0
                )) *
                IF(
                    P96="",
                    1,
                    (ROW(INDIRECT("'" &amp; 'Hulp (overig)'!$C$16 &amp; "'!B1:B1000")) &lt; MATCH(
                        P96,
                        INDIRECT("'" &amp; 'Hulp (overig)'!$C$16 &amp; "'!A1:A1000"),
                        0
                    ))
                ),
                ROW(INDIRECT("'" &amp; 'Hulp (overig)'!$C$16 &amp; "'!B1:B1000"))
            )
        ),0)
    ))
))))</f>
        <v>#VALUE!</v>
      </c>
      <c r="P99" s="425" t="e" cm="1">
        <f t="array" aca="1" ref="P99" ca="1">IF($BF99, IF(P96="","",
   INDEX(
      INDIRECT("'" &amp; 'Hulp (CAO''s)'!$AE$8 &amp; "'!" &amp;
               'Hulp (overig)'!$C$17 &amp; "1:" &amp;
               'Hulp (overig)'!$C$17 &amp; "1000"),
      MATCH(
         P96,
         INDIRECT("'" &amp; 'Hulp (CAO''s)'!$AE$8 &amp; "'!A1:A1000"),
         0
      )
   )
), IF($D97="Gebruik % van maximum salaris",
IF(
    OR(P96="",P97=""),
    "",
    MAX(
        INDIRECT(
            "'" &amp; 'Hulp (overig)'!$C$16 &amp; "'!" &amp;
            'Hulp (overig)'!$C$17 &amp;
            MATCH(P96, INDIRECT("'" &amp; 'Hulp (overig)'!$C$16 &amp; "'!A1:A1000"), 0) &amp;
            ":" &amp;
            'Hulp (overig)'!$C$17 &amp;
LOOKUP(
    2,
    1 / (
        (ROW(INDIRECT("'" &amp; 'Hulp (overig)'!$C$16 &amp; "'!B1:B1000")) &lt;
            IF(Q96&lt;&gt;"",
               MATCH(Q96, INDIRECT("'" &amp; 'Hulp (overig)'!$C$16 &amp; "'!A1:A1000"),0),
               1000
            )
        ) *
        (LEFT(TRIM(INDIRECT("'" &amp; 'Hulp (overig)'!$C$16 &amp; "'!B1:B1000")),1) &lt;&gt; "u")
    ),
    ROW(INDIRECT("'" &amp; 'Hulp (overig)'!$C$16 &amp; "'!B1:B1000"))
)
        )
    ) * P97
),
IF(P98="","",
IF(
    IFERROR(MIN(
        IF(
            (TRIM(INDIRECT("'" &amp; 'Hulp (overig)'!$C$16 &amp; "'!B1:B1000")) = TEXT(P98,"0")) *
            (ROW(INDIRECT("'" &amp; 'Hulp (overig)'!$C$16 &amp; "'!B1:B1000")) &gt;= MATCH(
                P96,
                INDIRECT("'" &amp; 'Hulp (overig)'!$C$16 &amp; "'!A1:A1000"),
                0
            )) *
            IF(
                Q96="",
                1,
                (ROW(INDIRECT("'" &amp; 'Hulp (overig)'!$C$16 &amp; "'!B1:B1000")) &lt; MATCH(
                    Q96,
                    INDIRECT("'" &amp; 'Hulp (overig)'!$C$16 &amp; "'!A1:A1000"),
                    0
                ))
            ),
            ROW(INDIRECT("'" &amp; 'Hulp (overig)'!$C$16 &amp; "'!B1:B1000"))
        )
    ),0) &lt; 1,
    "",
    IF(INDEX(
        INDIRECT("'" &amp; 'Hulp (overig)'!$C$16 &amp; "'!" &amp;
        'Hulp (overig)'!$C$17 &amp; "1:" &amp; 'Hulp (overig)'!$C$17 &amp; 1000
        ),
        IFERROR(MIN(
            IF(
                (TRIM(INDIRECT("'" &amp; 'Hulp (overig)'!$C$16 &amp; "'!B1:B1000")) = TEXT(P98,"0")) *
                (ROW(INDIRECT("'" &amp; 'Hulp (overig)'!$C$16 &amp; "'!B1:B1000")) &gt;= MATCH(
                    P96,
                    INDIRECT("'" &amp; 'Hulp (overig)'!$C$16 &amp; "'!A1:A1000"),
                    0
                )) *
                IF(
                    Q96="",
                    1,
                    (ROW(INDIRECT("'" &amp; 'Hulp (overig)'!$C$16 &amp; "'!B1:B1000")) &lt; MATCH(
                        Q96,
                        INDIRECT("'" &amp; 'Hulp (overig)'!$C$16 &amp; "'!A1:A1000"),
                        0
                    ))
                ),
                ROW(INDIRECT("'" &amp; 'Hulp (overig)'!$C$16 &amp; "'!B1:B1000"))
            )
        ),0)
    )=0,"",
INDEX(
        INDIRECT("'" &amp; 'Hulp (overig)'!$C$16 &amp; "'!" &amp;
        'Hulp (overig)'!$C$17 &amp; "1:" &amp; 'Hulp (overig)'!$C$17 &amp; 1000
        ),
        IFERROR(MIN(
            IF(
                (TRIM(INDIRECT("'" &amp; 'Hulp (overig)'!$C$16 &amp; "'!B1:B1000")) = TEXT(P98,"0")) *
                (ROW(INDIRECT("'" &amp; 'Hulp (overig)'!$C$16 &amp; "'!B1:B1000")) &gt;= MATCH(
                    P96,
                    INDIRECT("'" &amp; 'Hulp (overig)'!$C$16 &amp; "'!A1:A1000"),
                    0
                )) *
                IF(
                    Q96="",
                    1,
                    (ROW(INDIRECT("'" &amp; 'Hulp (overig)'!$C$16 &amp; "'!B1:B1000")) &lt; MATCH(
                        Q96,
                        INDIRECT("'" &amp; 'Hulp (overig)'!$C$16 &amp; "'!A1:A1000"),
                        0
                    ))
                ),
                ROW(INDIRECT("'" &amp; 'Hulp (overig)'!$C$16 &amp; "'!B1:B1000"))
            )
        ),0)
    ))
))))</f>
        <v>#VALUE!</v>
      </c>
      <c r="Q99" s="425" t="e" cm="1">
        <f t="array" aca="1" ref="Q99" ca="1">IF($BF99, IF(Q96="","",
   INDEX(
      INDIRECT("'" &amp; 'Hulp (CAO''s)'!$AE$8 &amp; "'!" &amp;
               'Hulp (overig)'!$C$17 &amp; "1:" &amp;
               'Hulp (overig)'!$C$17 &amp; "1000"),
      MATCH(
         Q96,
         INDIRECT("'" &amp; 'Hulp (CAO''s)'!$AE$8 &amp; "'!A1:A1000"),
         0
      )
   )
), IF($D97="Gebruik % van maximum salaris",
IF(
    OR(Q96="",Q97=""),
    "",
    MAX(
        INDIRECT(
            "'" &amp; 'Hulp (overig)'!$C$16 &amp; "'!" &amp;
            'Hulp (overig)'!$C$17 &amp;
            MATCH(Q96, INDIRECT("'" &amp; 'Hulp (overig)'!$C$16 &amp; "'!A1:A1000"), 0) &amp;
            ":" &amp;
            'Hulp (overig)'!$C$17 &amp;
LOOKUP(
    2,
    1 / (
        (ROW(INDIRECT("'" &amp; 'Hulp (overig)'!$C$16 &amp; "'!B1:B1000")) &lt;
            IF(R96&lt;&gt;"",
               MATCH(R96, INDIRECT("'" &amp; 'Hulp (overig)'!$C$16 &amp; "'!A1:A1000"),0),
               1000
            )
        ) *
        (LEFT(TRIM(INDIRECT("'" &amp; 'Hulp (overig)'!$C$16 &amp; "'!B1:B1000")),1) &lt;&gt; "u")
    ),
    ROW(INDIRECT("'" &amp; 'Hulp (overig)'!$C$16 &amp; "'!B1:B1000"))
)
        )
    ) * Q97
),
IF(Q98="","",
IF(
    IFERROR(MIN(
        IF(
            (TRIM(INDIRECT("'" &amp; 'Hulp (overig)'!$C$16 &amp; "'!B1:B1000")) = TEXT(Q98,"0")) *
            (ROW(INDIRECT("'" &amp; 'Hulp (overig)'!$C$16 &amp; "'!B1:B1000")) &gt;= MATCH(
                Q96,
                INDIRECT("'" &amp; 'Hulp (overig)'!$C$16 &amp; "'!A1:A1000"),
                0
            )) *
            IF(
                R96="",
                1,
                (ROW(INDIRECT("'" &amp; 'Hulp (overig)'!$C$16 &amp; "'!B1:B1000")) &lt; MATCH(
                    R96,
                    INDIRECT("'" &amp; 'Hulp (overig)'!$C$16 &amp; "'!A1:A1000"),
                    0
                ))
            ),
            ROW(INDIRECT("'" &amp; 'Hulp (overig)'!$C$16 &amp; "'!B1:B1000"))
        )
    ),0) &lt; 1,
    "",
    IF(INDEX(
        INDIRECT("'" &amp; 'Hulp (overig)'!$C$16 &amp; "'!" &amp;
        'Hulp (overig)'!$C$17 &amp; "1:" &amp; 'Hulp (overig)'!$C$17 &amp; 1000
        ),
        IFERROR(MIN(
            IF(
                (TRIM(INDIRECT("'" &amp; 'Hulp (overig)'!$C$16 &amp; "'!B1:B1000")) = TEXT(Q98,"0")) *
                (ROW(INDIRECT("'" &amp; 'Hulp (overig)'!$C$16 &amp; "'!B1:B1000")) &gt;= MATCH(
                    Q96,
                    INDIRECT("'" &amp; 'Hulp (overig)'!$C$16 &amp; "'!A1:A1000"),
                    0
                )) *
                IF(
                    R96="",
                    1,
                    (ROW(INDIRECT("'" &amp; 'Hulp (overig)'!$C$16 &amp; "'!B1:B1000")) &lt; MATCH(
                        R96,
                        INDIRECT("'" &amp; 'Hulp (overig)'!$C$16 &amp; "'!A1:A1000"),
                        0
                    ))
                ),
                ROW(INDIRECT("'" &amp; 'Hulp (overig)'!$C$16 &amp; "'!B1:B1000"))
            )
        ),0)
    )=0,"",
INDEX(
        INDIRECT("'" &amp; 'Hulp (overig)'!$C$16 &amp; "'!" &amp;
        'Hulp (overig)'!$C$17 &amp; "1:" &amp; 'Hulp (overig)'!$C$17 &amp; 1000
        ),
        IFERROR(MIN(
            IF(
                (TRIM(INDIRECT("'" &amp; 'Hulp (overig)'!$C$16 &amp; "'!B1:B1000")) = TEXT(Q98,"0")) *
                (ROW(INDIRECT("'" &amp; 'Hulp (overig)'!$C$16 &amp; "'!B1:B1000")) &gt;= MATCH(
                    Q96,
                    INDIRECT("'" &amp; 'Hulp (overig)'!$C$16 &amp; "'!A1:A1000"),
                    0
                )) *
                IF(
                    R96="",
                    1,
                    (ROW(INDIRECT("'" &amp; 'Hulp (overig)'!$C$16 &amp; "'!B1:B1000")) &lt; MATCH(
                        R96,
                        INDIRECT("'" &amp; 'Hulp (overig)'!$C$16 &amp; "'!A1:A1000"),
                        0
                    ))
                ),
                ROW(INDIRECT("'" &amp; 'Hulp (overig)'!$C$16 &amp; "'!B1:B1000"))
            )
        ),0)
    ))
))))</f>
        <v>#VALUE!</v>
      </c>
      <c r="R99" s="425" t="e" cm="1">
        <f t="array" aca="1" ref="R99" ca="1">IF($BF99, IF(R96="","",
   INDEX(
      INDIRECT("'" &amp; 'Hulp (CAO''s)'!$AE$8 &amp; "'!" &amp;
               'Hulp (overig)'!$C$17 &amp; "1:" &amp;
               'Hulp (overig)'!$C$17 &amp; "1000"),
      MATCH(
         R96,
         INDIRECT("'" &amp; 'Hulp (CAO''s)'!$AE$8 &amp; "'!A1:A1000"),
         0
      )
   )
), IF($D97="Gebruik % van maximum salaris",
IF(
    OR(R96="",R97=""),
    "",
    MAX(
        INDIRECT(
            "'" &amp; 'Hulp (overig)'!$C$16 &amp; "'!" &amp;
            'Hulp (overig)'!$C$17 &amp;
            MATCH(R96, INDIRECT("'" &amp; 'Hulp (overig)'!$C$16 &amp; "'!A1:A1000"), 0) &amp;
            ":" &amp;
            'Hulp (overig)'!$C$17 &amp;
LOOKUP(
    2,
    1 / (
        (ROW(INDIRECT("'" &amp; 'Hulp (overig)'!$C$16 &amp; "'!B1:B1000")) &lt;
            IF(S96&lt;&gt;"",
               MATCH(S96, INDIRECT("'" &amp; 'Hulp (overig)'!$C$16 &amp; "'!A1:A1000"),0),
               1000
            )
        ) *
        (LEFT(TRIM(INDIRECT("'" &amp; 'Hulp (overig)'!$C$16 &amp; "'!B1:B1000")),1) &lt;&gt; "u")
    ),
    ROW(INDIRECT("'" &amp; 'Hulp (overig)'!$C$16 &amp; "'!B1:B1000"))
)
        )
    ) * R97
),
IF(R98="","",
IF(
    IFERROR(MIN(
        IF(
            (TRIM(INDIRECT("'" &amp; 'Hulp (overig)'!$C$16 &amp; "'!B1:B1000")) = TEXT(R98,"0")) *
            (ROW(INDIRECT("'" &amp; 'Hulp (overig)'!$C$16 &amp; "'!B1:B1000")) &gt;= MATCH(
                R96,
                INDIRECT("'" &amp; 'Hulp (overig)'!$C$16 &amp; "'!A1:A1000"),
                0
            )) *
            IF(
                S96="",
                1,
                (ROW(INDIRECT("'" &amp; 'Hulp (overig)'!$C$16 &amp; "'!B1:B1000")) &lt; MATCH(
                    S96,
                    INDIRECT("'" &amp; 'Hulp (overig)'!$C$16 &amp; "'!A1:A1000"),
                    0
                ))
            ),
            ROW(INDIRECT("'" &amp; 'Hulp (overig)'!$C$16 &amp; "'!B1:B1000"))
        )
    ),0) &lt; 1,
    "",
    IF(INDEX(
        INDIRECT("'" &amp; 'Hulp (overig)'!$C$16 &amp; "'!" &amp;
        'Hulp (overig)'!$C$17 &amp; "1:" &amp; 'Hulp (overig)'!$C$17 &amp; 1000
        ),
        IFERROR(MIN(
            IF(
                (TRIM(INDIRECT("'" &amp; 'Hulp (overig)'!$C$16 &amp; "'!B1:B1000")) = TEXT(R98,"0")) *
                (ROW(INDIRECT("'" &amp; 'Hulp (overig)'!$C$16 &amp; "'!B1:B1000")) &gt;= MATCH(
                    R96,
                    INDIRECT("'" &amp; 'Hulp (overig)'!$C$16 &amp; "'!A1:A1000"),
                    0
                )) *
                IF(
                    S96="",
                    1,
                    (ROW(INDIRECT("'" &amp; 'Hulp (overig)'!$C$16 &amp; "'!B1:B1000")) &lt; MATCH(
                        S96,
                        INDIRECT("'" &amp; 'Hulp (overig)'!$C$16 &amp; "'!A1:A1000"),
                        0
                    ))
                ),
                ROW(INDIRECT("'" &amp; 'Hulp (overig)'!$C$16 &amp; "'!B1:B1000"))
            )
        ),0)
    )=0,"",
INDEX(
        INDIRECT("'" &amp; 'Hulp (overig)'!$C$16 &amp; "'!" &amp;
        'Hulp (overig)'!$C$17 &amp; "1:" &amp; 'Hulp (overig)'!$C$17 &amp; 1000
        ),
        IFERROR(MIN(
            IF(
                (TRIM(INDIRECT("'" &amp; 'Hulp (overig)'!$C$16 &amp; "'!B1:B1000")) = TEXT(R98,"0")) *
                (ROW(INDIRECT("'" &amp; 'Hulp (overig)'!$C$16 &amp; "'!B1:B1000")) &gt;= MATCH(
                    R96,
                    INDIRECT("'" &amp; 'Hulp (overig)'!$C$16 &amp; "'!A1:A1000"),
                    0
                )) *
                IF(
                    S96="",
                    1,
                    (ROW(INDIRECT("'" &amp; 'Hulp (overig)'!$C$16 &amp; "'!B1:B1000")) &lt; MATCH(
                        S96,
                        INDIRECT("'" &amp; 'Hulp (overig)'!$C$16 &amp; "'!A1:A1000"),
                        0
                    ))
                ),
                ROW(INDIRECT("'" &amp; 'Hulp (overig)'!$C$16 &amp; "'!B1:B1000"))
            )
        ),0)
    ))
))))</f>
        <v>#VALUE!</v>
      </c>
      <c r="S99" s="425" t="e" cm="1">
        <f t="array" aca="1" ref="S99" ca="1">IF($BF99, IF(S96="","",
   INDEX(
      INDIRECT("'" &amp; 'Hulp (CAO''s)'!$AE$8 &amp; "'!" &amp;
               'Hulp (overig)'!$C$17 &amp; "1:" &amp;
               'Hulp (overig)'!$C$17 &amp; "1000"),
      MATCH(
         S96,
         INDIRECT("'" &amp; 'Hulp (CAO''s)'!$AE$8 &amp; "'!A1:A1000"),
         0
      )
   )
), IF($D97="Gebruik % van maximum salaris",
IF(
    OR(S96="",S97=""),
    "",
    MAX(
        INDIRECT(
            "'" &amp; 'Hulp (overig)'!$C$16 &amp; "'!" &amp;
            'Hulp (overig)'!$C$17 &amp;
            MATCH(S96, INDIRECT("'" &amp; 'Hulp (overig)'!$C$16 &amp; "'!A1:A1000"), 0) &amp;
            ":" &amp;
            'Hulp (overig)'!$C$17 &amp;
LOOKUP(
    2,
    1 / (
        (ROW(INDIRECT("'" &amp; 'Hulp (overig)'!$C$16 &amp; "'!B1:B1000")) &lt;
            IF(T96&lt;&gt;"",
               MATCH(T96, INDIRECT("'" &amp; 'Hulp (overig)'!$C$16 &amp; "'!A1:A1000"),0),
               1000
            )
        ) *
        (LEFT(TRIM(INDIRECT("'" &amp; 'Hulp (overig)'!$C$16 &amp; "'!B1:B1000")),1) &lt;&gt; "u")
    ),
    ROW(INDIRECT("'" &amp; 'Hulp (overig)'!$C$16 &amp; "'!B1:B1000"))
)
        )
    ) * S97
),
IF(S98="","",
IF(
    IFERROR(MIN(
        IF(
            (TRIM(INDIRECT("'" &amp; 'Hulp (overig)'!$C$16 &amp; "'!B1:B1000")) = TEXT(S98,"0")) *
            (ROW(INDIRECT("'" &amp; 'Hulp (overig)'!$C$16 &amp; "'!B1:B1000")) &gt;= MATCH(
                S96,
                INDIRECT("'" &amp; 'Hulp (overig)'!$C$16 &amp; "'!A1:A1000"),
                0
            )) *
            IF(
                T96="",
                1,
                (ROW(INDIRECT("'" &amp; 'Hulp (overig)'!$C$16 &amp; "'!B1:B1000")) &lt; MATCH(
                    T96,
                    INDIRECT("'" &amp; 'Hulp (overig)'!$C$16 &amp; "'!A1:A1000"),
                    0
                ))
            ),
            ROW(INDIRECT("'" &amp; 'Hulp (overig)'!$C$16 &amp; "'!B1:B1000"))
        )
    ),0) &lt; 1,
    "",
    IF(INDEX(
        INDIRECT("'" &amp; 'Hulp (overig)'!$C$16 &amp; "'!" &amp;
        'Hulp (overig)'!$C$17 &amp; "1:" &amp; 'Hulp (overig)'!$C$17 &amp; 1000
        ),
        IFERROR(MIN(
            IF(
                (TRIM(INDIRECT("'" &amp; 'Hulp (overig)'!$C$16 &amp; "'!B1:B1000")) = TEXT(S98,"0")) *
                (ROW(INDIRECT("'" &amp; 'Hulp (overig)'!$C$16 &amp; "'!B1:B1000")) &gt;= MATCH(
                    S96,
                    INDIRECT("'" &amp; 'Hulp (overig)'!$C$16 &amp; "'!A1:A1000"),
                    0
                )) *
                IF(
                    T96="",
                    1,
                    (ROW(INDIRECT("'" &amp; 'Hulp (overig)'!$C$16 &amp; "'!B1:B1000")) &lt; MATCH(
                        T96,
                        INDIRECT("'" &amp; 'Hulp (overig)'!$C$16 &amp; "'!A1:A1000"),
                        0
                    ))
                ),
                ROW(INDIRECT("'" &amp; 'Hulp (overig)'!$C$16 &amp; "'!B1:B1000"))
            )
        ),0)
    )=0,"",
INDEX(
        INDIRECT("'" &amp; 'Hulp (overig)'!$C$16 &amp; "'!" &amp;
        'Hulp (overig)'!$C$17 &amp; "1:" &amp; 'Hulp (overig)'!$C$17 &amp; 1000
        ),
        IFERROR(MIN(
            IF(
                (TRIM(INDIRECT("'" &amp; 'Hulp (overig)'!$C$16 &amp; "'!B1:B1000")) = TEXT(S98,"0")) *
                (ROW(INDIRECT("'" &amp; 'Hulp (overig)'!$C$16 &amp; "'!B1:B1000")) &gt;= MATCH(
                    S96,
                    INDIRECT("'" &amp; 'Hulp (overig)'!$C$16 &amp; "'!A1:A1000"),
                    0
                )) *
                IF(
                    T96="",
                    1,
                    (ROW(INDIRECT("'" &amp; 'Hulp (overig)'!$C$16 &amp; "'!B1:B1000")) &lt; MATCH(
                        T96,
                        INDIRECT("'" &amp; 'Hulp (overig)'!$C$16 &amp; "'!A1:A1000"),
                        0
                    ))
                ),
                ROW(INDIRECT("'" &amp; 'Hulp (overig)'!$C$16 &amp; "'!B1:B1000"))
            )
        ),0)
    ))
))))</f>
        <v>#VALUE!</v>
      </c>
      <c r="T99" s="425" t="e" cm="1">
        <f t="array" aca="1" ref="T99" ca="1">IF($BF99, IF(T96="","",
   INDEX(
      INDIRECT("'" &amp; 'Hulp (CAO''s)'!$AE$8 &amp; "'!" &amp;
               'Hulp (overig)'!$C$17 &amp; "1:" &amp;
               'Hulp (overig)'!$C$17 &amp; "1000"),
      MATCH(
         T96,
         INDIRECT("'" &amp; 'Hulp (CAO''s)'!$AE$8 &amp; "'!A1:A1000"),
         0
      )
   )
), IF($D97="Gebruik % van maximum salaris",
IF(
    OR(T96="",T97=""),
    "",
    MAX(
        INDIRECT(
            "'" &amp; 'Hulp (overig)'!$C$16 &amp; "'!" &amp;
            'Hulp (overig)'!$C$17 &amp;
            MATCH(T96, INDIRECT("'" &amp; 'Hulp (overig)'!$C$16 &amp; "'!A1:A1000"), 0) &amp;
            ":" &amp;
            'Hulp (overig)'!$C$17 &amp;
LOOKUP(
    2,
    1 / (
        (ROW(INDIRECT("'" &amp; 'Hulp (overig)'!$C$16 &amp; "'!B1:B1000")) &lt;
            IF(U96&lt;&gt;"",
               MATCH(U96, INDIRECT("'" &amp; 'Hulp (overig)'!$C$16 &amp; "'!A1:A1000"),0),
               1000
            )
        ) *
        (LEFT(TRIM(INDIRECT("'" &amp; 'Hulp (overig)'!$C$16 &amp; "'!B1:B1000")),1) &lt;&gt; "u")
    ),
    ROW(INDIRECT("'" &amp; 'Hulp (overig)'!$C$16 &amp; "'!B1:B1000"))
)
        )
    ) * T97
),
IF(T98="","",
IF(
    IFERROR(MIN(
        IF(
            (TRIM(INDIRECT("'" &amp; 'Hulp (overig)'!$C$16 &amp; "'!B1:B1000")) = TEXT(T98,"0")) *
            (ROW(INDIRECT("'" &amp; 'Hulp (overig)'!$C$16 &amp; "'!B1:B1000")) &gt;= MATCH(
                T96,
                INDIRECT("'" &amp; 'Hulp (overig)'!$C$16 &amp; "'!A1:A1000"),
                0
            )) *
            IF(
                U96="",
                1,
                (ROW(INDIRECT("'" &amp; 'Hulp (overig)'!$C$16 &amp; "'!B1:B1000")) &lt; MATCH(
                    U96,
                    INDIRECT("'" &amp; 'Hulp (overig)'!$C$16 &amp; "'!A1:A1000"),
                    0
                ))
            ),
            ROW(INDIRECT("'" &amp; 'Hulp (overig)'!$C$16 &amp; "'!B1:B1000"))
        )
    ),0) &lt; 1,
    "",
    IF(INDEX(
        INDIRECT("'" &amp; 'Hulp (overig)'!$C$16 &amp; "'!" &amp;
        'Hulp (overig)'!$C$17 &amp; "1:" &amp; 'Hulp (overig)'!$C$17 &amp; 1000
        ),
        IFERROR(MIN(
            IF(
                (TRIM(INDIRECT("'" &amp; 'Hulp (overig)'!$C$16 &amp; "'!B1:B1000")) = TEXT(T98,"0")) *
                (ROW(INDIRECT("'" &amp; 'Hulp (overig)'!$C$16 &amp; "'!B1:B1000")) &gt;= MATCH(
                    T96,
                    INDIRECT("'" &amp; 'Hulp (overig)'!$C$16 &amp; "'!A1:A1000"),
                    0
                )) *
                IF(
                    U96="",
                    1,
                    (ROW(INDIRECT("'" &amp; 'Hulp (overig)'!$C$16 &amp; "'!B1:B1000")) &lt; MATCH(
                        U96,
                        INDIRECT("'" &amp; 'Hulp (overig)'!$C$16 &amp; "'!A1:A1000"),
                        0
                    ))
                ),
                ROW(INDIRECT("'" &amp; 'Hulp (overig)'!$C$16 &amp; "'!B1:B1000"))
            )
        ),0)
    )=0,"",
INDEX(
        INDIRECT("'" &amp; 'Hulp (overig)'!$C$16 &amp; "'!" &amp;
        'Hulp (overig)'!$C$17 &amp; "1:" &amp; 'Hulp (overig)'!$C$17 &amp; 1000
        ),
        IFERROR(MIN(
            IF(
                (TRIM(INDIRECT("'" &amp; 'Hulp (overig)'!$C$16 &amp; "'!B1:B1000")) = TEXT(T98,"0")) *
                (ROW(INDIRECT("'" &amp; 'Hulp (overig)'!$C$16 &amp; "'!B1:B1000")) &gt;= MATCH(
                    T96,
                    INDIRECT("'" &amp; 'Hulp (overig)'!$C$16 &amp; "'!A1:A1000"),
                    0
                )) *
                IF(
                    U96="",
                    1,
                    (ROW(INDIRECT("'" &amp; 'Hulp (overig)'!$C$16 &amp; "'!B1:B1000")) &lt; MATCH(
                        U96,
                        INDIRECT("'" &amp; 'Hulp (overig)'!$C$16 &amp; "'!A1:A1000"),
                        0
                    ))
                ),
                ROW(INDIRECT("'" &amp; 'Hulp (overig)'!$C$16 &amp; "'!B1:B1000"))
            )
        ),0)
    ))
))))</f>
        <v>#VALUE!</v>
      </c>
      <c r="U99" s="723" t="e" cm="1">
        <f t="array" aca="1" ref="U99" ca="1">IF($BF99, IF(U96="","",
   INDEX(
      INDIRECT("'" &amp; 'Hulp (CAO''s)'!$AE$8 &amp; "'!" &amp;
               'Hulp (overig)'!$C$17 &amp; "1:" &amp;
               'Hulp (overig)'!$C$17 &amp; "1000"),
      MATCH(
         U96,
         INDIRECT("'" &amp; 'Hulp (CAO''s)'!$AE$8 &amp; "'!A1:A1000"),
         0
      )
   )
), IF($D97="Gebruik % van maximum salaris",
IF(
    OR(U96="",U97=""),
    "",
    MAX(
        INDIRECT(
            "'" &amp; 'Hulp (overig)'!$C$16 &amp; "'!" &amp;
            'Hulp (overig)'!$C$17 &amp;
            MATCH(U96, INDIRECT("'" &amp; 'Hulp (overig)'!$C$16 &amp; "'!A1:A1000"), 0) &amp;
            ":" &amp;
            'Hulp (overig)'!$C$17 &amp;
LOOKUP(
    2,
    1 / (
        (ROW(INDIRECT("'" &amp; 'Hulp (overig)'!$C$16 &amp; "'!B1:B1000")) &lt;
            IF(V96&lt;&gt;"",
               MATCH(V96, INDIRECT("'" &amp; 'Hulp (overig)'!$C$16 &amp; "'!A1:A1000"),0),
               1000
            )
        ) *
        (LEFT(TRIM(INDIRECT("'" &amp; 'Hulp (overig)'!$C$16 &amp; "'!B1:B1000")),1) &lt;&gt; "u")
    ),
    ROW(INDIRECT("'" &amp; 'Hulp (overig)'!$C$16 &amp; "'!B1:B1000"))
)
        )
    ) * U97
),
IF(U98="","",
IF(
    IFERROR(MIN(
        IF(
            (TRIM(INDIRECT("'" &amp; 'Hulp (overig)'!$C$16 &amp; "'!B1:B1000")) = TEXT(U98,"0")) *
            (ROW(INDIRECT("'" &amp; 'Hulp (overig)'!$C$16 &amp; "'!B1:B1000")) &gt;= MATCH(
                U96,
                INDIRECT("'" &amp; 'Hulp (overig)'!$C$16 &amp; "'!A1:A1000"),
                0
            )) *
            IF(
                V96="",
                1,
                (ROW(INDIRECT("'" &amp; 'Hulp (overig)'!$C$16 &amp; "'!B1:B1000")) &lt; MATCH(
                    V96,
                    INDIRECT("'" &amp; 'Hulp (overig)'!$C$16 &amp; "'!A1:A1000"),
                    0
                ))
            ),
            ROW(INDIRECT("'" &amp; 'Hulp (overig)'!$C$16 &amp; "'!B1:B1000"))
        )
    ),0) &lt; 1,
    "",
    IF(INDEX(
        INDIRECT("'" &amp; 'Hulp (overig)'!$C$16 &amp; "'!" &amp;
        'Hulp (overig)'!$C$17 &amp; "1:" &amp; 'Hulp (overig)'!$C$17 &amp; 1000
        ),
        IFERROR(MIN(
            IF(
                (TRIM(INDIRECT("'" &amp; 'Hulp (overig)'!$C$16 &amp; "'!B1:B1000")) = TEXT(U98,"0")) *
                (ROW(INDIRECT("'" &amp; 'Hulp (overig)'!$C$16 &amp; "'!B1:B1000")) &gt;= MATCH(
                    U96,
                    INDIRECT("'" &amp; 'Hulp (overig)'!$C$16 &amp; "'!A1:A1000"),
                    0
                )) *
                IF(
                    V96="",
                    1,
                    (ROW(INDIRECT("'" &amp; 'Hulp (overig)'!$C$16 &amp; "'!B1:B1000")) &lt; MATCH(
                        V96,
                        INDIRECT("'" &amp; 'Hulp (overig)'!$C$16 &amp; "'!A1:A1000"),
                        0
                    ))
                ),
                ROW(INDIRECT("'" &amp; 'Hulp (overig)'!$C$16 &amp; "'!B1:B1000"))
            )
        ),0)
    )=0,"",
INDEX(
        INDIRECT("'" &amp; 'Hulp (overig)'!$C$16 &amp; "'!" &amp;
        'Hulp (overig)'!$C$17 &amp; "1:" &amp; 'Hulp (overig)'!$C$17 &amp; 1000
        ),
        IFERROR(MIN(
            IF(
                (TRIM(INDIRECT("'" &amp; 'Hulp (overig)'!$C$16 &amp; "'!B1:B1000")) = TEXT(U98,"0")) *
                (ROW(INDIRECT("'" &amp; 'Hulp (overig)'!$C$16 &amp; "'!B1:B1000")) &gt;= MATCH(
                    U96,
                    INDIRECT("'" &amp; 'Hulp (overig)'!$C$16 &amp; "'!A1:A1000"),
                    0
                )) *
                IF(
                    V96="",
                    1,
                    (ROW(INDIRECT("'" &amp; 'Hulp (overig)'!$C$16 &amp; "'!B1:B1000")) &lt; MATCH(
                        V96,
                        INDIRECT("'" &amp; 'Hulp (overig)'!$C$16 &amp; "'!A1:A1000"),
                        0
                    ))
                ),
                ROW(INDIRECT("'" &amp; 'Hulp (overig)'!$C$16 &amp; "'!B1:B1000"))
            )
        ),0)
    ))
))))</f>
        <v>#VALUE!</v>
      </c>
      <c r="V99" s="413" t="str" cm="1">
        <f t="array" ref="V99">IF(SUM(F100:U100)=0,"",
IF(SUM(F99:U99)=0,"",
IF(SUMPRODUCT((F100:U100&lt;&gt;0)*(F99:U99=""))&gt;0,"",
(
   SUMPRODUCT(
      IF(F99:U99="",0,F99:U99),
      IF(F100:U100="",0,F100:U100) / SUM(F100:U100)
   )
))))</f>
        <v/>
      </c>
      <c r="W99" s="418"/>
      <c r="X99" s="620"/>
      <c r="Y99" s="419" t="str">
        <f ca="1">IF(B96="","",
        IF(INDIRECT("'Hulp (control forms)'!C" &amp; (13 + INT((ROW()-ROW($B$5))/7))),
            IF(X99="","",X99),
            IF(V99="","",V99)
    )
)</f>
        <v/>
      </c>
      <c r="Z99" s="333"/>
      <c r="AA99" s="771"/>
      <c r="AB99" s="770"/>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cm="1">
        <f t="array" aca="1" ref="BA99" ca="1">IF(
   SUM(Y99)=0,
   1,
   IF(
      N(INDIRECT("'Hulp (control forms)'!C"&amp;(13+INT((ROW()-ROW($B$5))/7))))&lt;&gt;0,
      MIN(1,
      ('Hulp (overig)'!$C$6/12) /
      (Y99 * BC99 + BD99)),
      MIN(1,
         IF(
            SUM(F99:U99)=0,
            "",
            SUMPRODUCT(
               IF(
                  (IF(F99:U99="",0,F99:U99) * BC99) + BD99
                  &gt; 'Hulp (overig)'!$C$6/12,
                  'Hulp (overig)'!$C$6/12,
                  (IF(F99:U99="",0,F99:U99) * BC99) + BD99
               ),
               IF(F100:U100="",0,F100:U100) / SUM(F100:U100)
            )
         ) /
         ((Y99 * BC99) + BD99)
      )
   )
)</f>
        <v>1</v>
      </c>
      <c r="BB99" cm="1">
        <f t="array" aca="1" ref="BB99" ca="1">IF(
   SUM(Y99)=0,
   1,
   IF(
      N(INDIRECT("'Hulp (control forms)'!C"&amp;(13+INT((ROW()-ROW($B$5))/7))))&lt;&gt;0,
      MIN('Hulp (overig)'!$C$5/12,
      (Y99 * BC99) + BD99) * 12,
         IF(
            SUM(F99:U99)=0,
            "",
            SUMPRODUCT(
               IF(
                  (IF(F99:U99="",0,F99:U99) * BC99) + BD99
                  &gt; 'Hulp (overig)'!$C$5/12,
                  'Hulp (overig)'!$C$5/12,
                  (IF(F99:U99="",0,F99:U99) * BC99) + BD99
               ),
               IF(F100:U100="",0,F100:U100) / SUM(F100:U100)
            )
         ) * 12
   )
)</f>
        <v>1</v>
      </c>
      <c r="BC99" s="287" cm="1">
        <f t="array" aca="1" ref="BC99" ca="1">IFERROR(
   (INDEX('2. Output kostprijs'!$24:$24, 5 + 2*INT((ROW()-8)/7))
    - SUM(INDEX('2. Output kostprijs'!$23:$23, 5 + 2*INT((ROW()-8)/7))))
   / INDEX('2. Output kostprijs'!$19:$19, 5 + 2*INT((ROW()-8)/7)),
   1
)</f>
        <v>1</v>
      </c>
      <c r="BD99" s="287" cm="1">
        <f t="array" aca="1" ref="BD99" ca="1">IFERROR(
   (INDEX('2. Output kostprijs'!$23:$23, 5 + 2*INT((ROW()-8)/7))
    * INDEX('2. Output kostprijs'!$18:$18, 5 + 2*INT((ROW()-8)/7))
   ) / 12,
   0
)</f>
        <v>0</v>
      </c>
      <c r="BE99" t="b">
        <f ca="1">NOT(AND(B96&lt;&gt;"",Y99=""))</f>
        <v>1</v>
      </c>
      <c r="BF99" t="str" cm="1">
        <f t="array" aca="1" ref="BF99" ca="1">INDIRECT("'1a. Input organisatieniveau'!$AD" &amp; 7 + INT((ROW()-ROW($F$8))/7))</f>
        <v/>
      </c>
      <c r="BG99" t="b" cm="1">
        <f t="array" ref="BG99">IFERROR(INDEX('Hulp (control forms)'!C:C, 13 + INT((ROW(A92)-1)/7)),FALSE)</f>
        <v>0</v>
      </c>
    </row>
    <row r="100" spans="1:59" ht="16.05" customHeight="1" thickBot="1" x14ac:dyDescent="0.5">
      <c r="A100" s="289"/>
      <c r="B100" s="343"/>
      <c r="C100" s="325" t="s">
        <v>779</v>
      </c>
      <c r="D100" s="688" t="s">
        <v>60</v>
      </c>
      <c r="E100" s="433" t="s">
        <v>59</v>
      </c>
      <c r="F100" s="624"/>
      <c r="G100" s="624"/>
      <c r="H100" s="624"/>
      <c r="I100" s="624"/>
      <c r="J100" s="624"/>
      <c r="K100" s="624"/>
      <c r="L100" s="624"/>
      <c r="M100" s="624"/>
      <c r="N100" s="624"/>
      <c r="O100" s="624"/>
      <c r="P100" s="624"/>
      <c r="Q100" s="624"/>
      <c r="R100" s="624"/>
      <c r="S100" s="624"/>
      <c r="T100" s="624"/>
      <c r="U100" s="625"/>
      <c r="V100" s="420" t="str">
        <f ca="1">IF($B96="","",IF($D100="Aandeel in %",
   "Totaal: "&amp;SUM(F100:U100)*100&amp;"%",
   "Totaal: "&amp;SUM(F100:U100)&amp;" uur"
))</f>
        <v/>
      </c>
      <c r="W100" s="294"/>
      <c r="X100" s="621"/>
      <c r="Y100" s="328"/>
      <c r="Z100" s="32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row r="101" spans="1:59" ht="16.05" customHeight="1" thickBot="1" x14ac:dyDescent="0.5">
      <c r="A101" s="289"/>
      <c r="B101" s="343"/>
      <c r="C101" s="326" t="s">
        <v>779</v>
      </c>
      <c r="D101" s="421"/>
      <c r="E101" s="426"/>
      <c r="F101" s="426"/>
      <c r="G101" s="426"/>
      <c r="H101" s="426"/>
      <c r="I101" s="426"/>
      <c r="J101" s="426"/>
      <c r="K101" s="426"/>
      <c r="L101" s="426"/>
      <c r="M101" s="426"/>
      <c r="N101" s="426"/>
      <c r="O101" s="426"/>
      <c r="P101" s="426"/>
      <c r="Q101" s="426"/>
      <c r="R101" s="426"/>
      <c r="S101" s="426"/>
      <c r="T101" s="427"/>
      <c r="U101" s="427"/>
      <c r="V101" s="421"/>
      <c r="W101" s="421"/>
      <c r="X101" s="622"/>
      <c r="Y101" s="421"/>
      <c r="Z101" s="327"/>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row>
    <row r="102" spans="1:59" ht="16.05" customHeight="1" thickBot="1" x14ac:dyDescent="0.55000000000000004">
      <c r="A102" s="289"/>
      <c r="B102" s="585" t="str">
        <f ca="1">IF(B103="","",
IF(
   OR(
      INDIRECT("'1a. Input organisatieniveau'!AC" &amp; (7 + INT((ROW()-4)/7)))="",
      INDIRECT("'1a. Input organisatieniveau'!AC" &amp; (7 + INT((ROW()-4)/7)))=0
   ),
   "",
   INDIRECT("'1a. Input organisatieniveau'!AC" &amp; (7 + INT((ROW()-4)/7)))
))</f>
        <v/>
      </c>
      <c r="C102" s="324" t="s">
        <v>779</v>
      </c>
      <c r="D102" s="416"/>
      <c r="E102" s="428"/>
      <c r="F102" s="422" t="str">
        <f t="shared" ref="F102:U102" ca="1" si="14">IF($B103="","",
IF($D104="Gebruik % van maximum salaris",
 IF(OR(AND(AND(F103&lt;&gt;"",F104&lt;&gt;""),F106=""),AND(F106="",F107&lt;&gt;"")),"!",""),
 IF(OR(AND(AND(F103&lt;&gt;"",F105&lt;&gt;""),F106=""),AND(F106="",F107&lt;&gt;"")),"!","")))</f>
        <v/>
      </c>
      <c r="G102" s="422" t="str">
        <f t="shared" ca="1" si="14"/>
        <v/>
      </c>
      <c r="H102" s="422" t="str">
        <f t="shared" ca="1" si="14"/>
        <v/>
      </c>
      <c r="I102" s="422" t="str">
        <f t="shared" ca="1" si="14"/>
        <v/>
      </c>
      <c r="J102" s="422" t="str">
        <f t="shared" ca="1" si="14"/>
        <v/>
      </c>
      <c r="K102" s="422" t="str">
        <f t="shared" ca="1" si="14"/>
        <v/>
      </c>
      <c r="L102" s="422" t="str">
        <f t="shared" ca="1" si="14"/>
        <v/>
      </c>
      <c r="M102" s="422" t="str">
        <f t="shared" ca="1" si="14"/>
        <v/>
      </c>
      <c r="N102" s="422" t="str">
        <f t="shared" ca="1" si="14"/>
        <v/>
      </c>
      <c r="O102" s="422" t="str">
        <f t="shared" ca="1" si="14"/>
        <v/>
      </c>
      <c r="P102" s="422" t="str">
        <f t="shared" ca="1" si="14"/>
        <v/>
      </c>
      <c r="Q102" s="422" t="str">
        <f t="shared" ca="1" si="14"/>
        <v/>
      </c>
      <c r="R102" s="422" t="str">
        <f t="shared" ca="1" si="14"/>
        <v/>
      </c>
      <c r="S102" s="422" t="str">
        <f t="shared" ca="1" si="14"/>
        <v/>
      </c>
      <c r="T102" s="422" t="str">
        <f t="shared" ca="1" si="14"/>
        <v/>
      </c>
      <c r="U102" s="422" t="str">
        <f t="shared" ca="1" si="14"/>
        <v/>
      </c>
      <c r="V102" s="416"/>
      <c r="W102" s="416"/>
      <c r="X102" s="619"/>
      <c r="Y102" s="416"/>
      <c r="Z102" s="330"/>
      <c r="AA102" s="354"/>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row>
    <row r="103" spans="1:59" ht="16.05" customHeight="1" thickBot="1" x14ac:dyDescent="0.5">
      <c r="A103" s="289"/>
      <c r="B103" s="586" t="str">
        <f ca="1">IF(
   OR(
      INDIRECT("'1a. Input organisatieniveau'!AA" &amp; (7 + INT((ROW()-4)/7)))="",
      INDIRECT("'1a. Input organisatieniveau'!AA" &amp; (7 + INT((ROW()-4)/7)))=0
   ),
   "",
   INDIRECT("'1a. Input organisatieniveau'!AA" &amp; (7 + INT((ROW()-4)/7)))
)</f>
        <v/>
      </c>
      <c r="C103" s="325" t="s">
        <v>779</v>
      </c>
      <c r="D103" s="434"/>
      <c r="E103" s="429" t="s">
        <v>28</v>
      </c>
      <c r="F103" s="423" t="str">
        <f ca="1">IF($B103="", "", IF($BF106, IF('Hulp (CAO''s)'!J$8&lt;&gt;"",'Hulp (CAO''s)'!J$8,""), INDEX('Hulp (CAO''s)'!J$3:J$7, MATCH(TRUE, 'Hulp (CAO''s)'!$D$3:$D$7, 0))))</f>
        <v/>
      </c>
      <c r="G103" s="423" t="str">
        <f ca="1">IF($B103="", "", IF($BF106, IF('Hulp (CAO''s)'!K$8&lt;&gt;"",'Hulp (CAO''s)'!K$8,""), INDEX('Hulp (CAO''s)'!K$3:K$7, MATCH(TRUE, 'Hulp (CAO''s)'!$D$3:$D$7, 0))))</f>
        <v/>
      </c>
      <c r="H103" s="423" t="str">
        <f ca="1">IF($B103="", "", IF($BF106, IF('Hulp (CAO''s)'!L$8&lt;&gt;"",'Hulp (CAO''s)'!L$8,""), INDEX('Hulp (CAO''s)'!L$3:L$7, MATCH(TRUE, 'Hulp (CAO''s)'!$D$3:$D$7, 0))))</f>
        <v/>
      </c>
      <c r="I103" s="423" t="str">
        <f ca="1">IF($B103="", "", IF($BF106, IF('Hulp (CAO''s)'!M$8&lt;&gt;"",'Hulp (CAO''s)'!M$8,""), INDEX('Hulp (CAO''s)'!M$3:M$7, MATCH(TRUE, 'Hulp (CAO''s)'!$D$3:$D$7, 0))))</f>
        <v/>
      </c>
      <c r="J103" s="423" t="str">
        <f ca="1">IF($B103="", "", IF($BF106, IF('Hulp (CAO''s)'!N$8&lt;&gt;"",'Hulp (CAO''s)'!N$8,""), INDEX('Hulp (CAO''s)'!N$3:N$7, MATCH(TRUE, 'Hulp (CAO''s)'!$D$3:$D$7, 0))))</f>
        <v/>
      </c>
      <c r="K103" s="423" t="str">
        <f ca="1">IF($B103="", "", IF($BF106, IF('Hulp (CAO''s)'!O$8&lt;&gt;"",'Hulp (CAO''s)'!O$8,""), INDEX('Hulp (CAO''s)'!O$3:O$7, MATCH(TRUE, 'Hulp (CAO''s)'!$D$3:$D$7, 0))))</f>
        <v/>
      </c>
      <c r="L103" s="423" t="str">
        <f ca="1">IF($B103="", "", IF($BF106, IF('Hulp (CAO''s)'!P$8&lt;&gt;"",'Hulp (CAO''s)'!P$8,""), INDEX('Hulp (CAO''s)'!P$3:P$7, MATCH(TRUE, 'Hulp (CAO''s)'!$D$3:$D$7, 0))))</f>
        <v/>
      </c>
      <c r="M103" s="423" t="str">
        <f ca="1">IF($B103="", "", IF($BF106, IF('Hulp (CAO''s)'!Q$8&lt;&gt;"",'Hulp (CAO''s)'!Q$8,""), INDEX('Hulp (CAO''s)'!Q$3:Q$7, MATCH(TRUE, 'Hulp (CAO''s)'!$D$3:$D$7, 0))))</f>
        <v/>
      </c>
      <c r="N103" s="423" t="str">
        <f ca="1">IF($B103="", "", IF($BF106, IF('Hulp (CAO''s)'!R$8&lt;&gt;"",'Hulp (CAO''s)'!R$8,""), INDEX('Hulp (CAO''s)'!R$3:R$7, MATCH(TRUE, 'Hulp (CAO''s)'!$D$3:$D$7, 0))))</f>
        <v/>
      </c>
      <c r="O103" s="423" t="str">
        <f ca="1">IF($B103="", "", IF($BF106, IF('Hulp (CAO''s)'!S$8&lt;&gt;"",'Hulp (CAO''s)'!S$8,""), INDEX('Hulp (CAO''s)'!S$3:S$7, MATCH(TRUE, 'Hulp (CAO''s)'!$D$3:$D$7, 0))))</f>
        <v/>
      </c>
      <c r="P103" s="423" t="str">
        <f ca="1">IF($B103="", "", IF($BF106, IF('Hulp (CAO''s)'!T$8&lt;&gt;"",'Hulp (CAO''s)'!T$8,""), INDEX('Hulp (CAO''s)'!T$3:T$7, MATCH(TRUE, 'Hulp (CAO''s)'!$D$3:$D$7, 0))))</f>
        <v/>
      </c>
      <c r="Q103" s="423" t="str">
        <f ca="1">IF($B103="", "", IF($BF106, IF('Hulp (CAO''s)'!U$8&lt;&gt;"",'Hulp (CAO''s)'!U$8,""), INDEX('Hulp (CAO''s)'!U$3:U$7, MATCH(TRUE, 'Hulp (CAO''s)'!$D$3:$D$7, 0))))</f>
        <v/>
      </c>
      <c r="R103" s="423" t="str">
        <f ca="1">IF($B103="", "", IF($BF106, IF('Hulp (CAO''s)'!V$8&lt;&gt;"",'Hulp (CAO''s)'!V$8,""), INDEX('Hulp (CAO''s)'!V$3:V$7, MATCH(TRUE, 'Hulp (CAO''s)'!$D$3:$D$7, 0))))</f>
        <v/>
      </c>
      <c r="S103" s="423" t="str">
        <f ca="1">IF($B103="", "", IF($BF106, IF('Hulp (CAO''s)'!W$8&lt;&gt;"",'Hulp (CAO''s)'!W$8,""), INDEX('Hulp (CAO''s)'!W$3:W$7, MATCH(TRUE, 'Hulp (CAO''s)'!$D$3:$D$7, 0))))</f>
        <v/>
      </c>
      <c r="T103" s="423" t="str">
        <f ca="1">IF($B103="", "", IF($BF106, IF('Hulp (CAO''s)'!X$8&lt;&gt;"",'Hulp (CAO''s)'!X$8,""), INDEX('Hulp (CAO''s)'!X$3:X$7, MATCH(TRUE, 'Hulp (CAO''s)'!$D$3:$D$7, 0))))</f>
        <v/>
      </c>
      <c r="U103" s="424" t="str">
        <f ca="1">IF($B103="", "", IF($BF106, IF('Hulp (CAO''s)'!Y$8&lt;&gt;"",'Hulp (CAO''s)'!Y$8,""), INDEX('Hulp (CAO''s)'!Y$3:Y$7, MATCH(TRUE, 'Hulp (CAO''s)'!$D$3:$D$7, 0))))</f>
        <v/>
      </c>
      <c r="V103" s="417"/>
      <c r="W103" s="343"/>
      <c r="X103" s="617"/>
      <c r="Y103" s="343"/>
      <c r="Z103" s="329"/>
      <c r="AA103" s="320"/>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row>
    <row r="104" spans="1:59" ht="16.05" customHeight="1" x14ac:dyDescent="0.45">
      <c r="A104" s="289"/>
      <c r="B104" s="343"/>
      <c r="C104" s="325" t="s">
        <v>779</v>
      </c>
      <c r="D104" s="772" t="s">
        <v>772</v>
      </c>
      <c r="E104" s="430" t="e">
        <f ca="1">IF($BF106, "", "% t.o.v. max salaris in de schaal")</f>
        <v>#VALUE!</v>
      </c>
      <c r="F104" s="615"/>
      <c r="G104" s="615"/>
      <c r="H104" s="615"/>
      <c r="I104" s="615"/>
      <c r="J104" s="615"/>
      <c r="K104" s="615"/>
      <c r="L104" s="615"/>
      <c r="M104" s="615"/>
      <c r="N104" s="615"/>
      <c r="O104" s="615"/>
      <c r="P104" s="615"/>
      <c r="Q104" s="615"/>
      <c r="R104" s="615"/>
      <c r="S104" s="615"/>
      <c r="T104" s="615"/>
      <c r="U104" s="616"/>
      <c r="V104" s="774" t="s">
        <v>884</v>
      </c>
      <c r="W104" s="332"/>
      <c r="X104" s="776" t="s">
        <v>882</v>
      </c>
      <c r="Y104" s="778" t="s">
        <v>883</v>
      </c>
      <c r="Z104" s="329"/>
      <c r="AA104" s="771" t="s">
        <v>780</v>
      </c>
      <c r="AB104" s="770" t="s">
        <v>1079</v>
      </c>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row>
    <row r="105" spans="1:59" ht="16.05" customHeight="1" thickBot="1" x14ac:dyDescent="0.5">
      <c r="A105" s="289"/>
      <c r="B105" s="343"/>
      <c r="C105" s="325" t="s">
        <v>779</v>
      </c>
      <c r="D105" s="773"/>
      <c r="E105" s="431" t="e">
        <f ca="1">IF($BF106, "", "Trede (gemiddeld)")</f>
        <v>#VALUE!</v>
      </c>
      <c r="F105" s="737"/>
      <c r="G105" s="737"/>
      <c r="H105" s="737"/>
      <c r="I105" s="737"/>
      <c r="J105" s="737"/>
      <c r="K105" s="737"/>
      <c r="L105" s="737"/>
      <c r="M105" s="737"/>
      <c r="N105" s="737"/>
      <c r="O105" s="737"/>
      <c r="P105" s="737"/>
      <c r="Q105" s="737"/>
      <c r="R105" s="737"/>
      <c r="S105" s="737"/>
      <c r="T105" s="737"/>
      <c r="U105" s="740"/>
      <c r="V105" s="775"/>
      <c r="W105" s="294"/>
      <c r="X105" s="777"/>
      <c r="Y105" s="779"/>
      <c r="Z105" s="329"/>
      <c r="AA105" s="771"/>
      <c r="AB105" s="770"/>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row>
    <row r="106" spans="1:59" ht="16.05" customHeight="1" thickBot="1" x14ac:dyDescent="0.5">
      <c r="A106" s="289"/>
      <c r="B106" s="343"/>
      <c r="C106" s="325" t="s">
        <v>779</v>
      </c>
      <c r="E106" s="432" t="str">
        <f>IFERROR(
   INDEX('Hulp (CAO''s)'!$I$3:$I$7, MATCH(TRUE, 'Hulp (CAO''s)'!$D$3:$D$7, 0)),
"")</f>
        <v>Bruto maandsalaris</v>
      </c>
      <c r="F106" s="425" t="e" cm="1">
        <f t="array" aca="1" ref="F106" ca="1">IF($BF106, IF(F103="","",
   INDEX(
      INDIRECT("'" &amp; 'Hulp (CAO''s)'!$AE$8 &amp; "'!" &amp;
               'Hulp (overig)'!$C$17 &amp; "1:" &amp;
               'Hulp (overig)'!$C$17 &amp; "1000"),
      MATCH(
         F103,
         INDIRECT("'" &amp; 'Hulp (CAO''s)'!$AE$8 &amp; "'!A1:A1000"),
         0
      )
   )
), IF($D104="Gebruik % van maximum salaris",
IF(
    OR(F103="",F104=""),
    "",
    MAX(
        INDIRECT(
            "'" &amp; 'Hulp (overig)'!$C$16 &amp; "'!" &amp;
            'Hulp (overig)'!$C$17 &amp;
            MATCH(F103, INDIRECT("'" &amp; 'Hulp (overig)'!$C$16 &amp; "'!A1:A1000"), 0) &amp;
            ":" &amp;
            'Hulp (overig)'!$C$17 &amp;
LOOKUP(
    2,
    1 / (
        (ROW(INDIRECT("'" &amp; 'Hulp (overig)'!$C$16 &amp; "'!B1:B1000")) &lt;
            IF(G103&lt;&gt;"",
               MATCH(G103, INDIRECT("'" &amp; 'Hulp (overig)'!$C$16 &amp; "'!A1:A1000"),0),
               1000
            )
        ) *
        (LEFT(TRIM(INDIRECT("'" &amp; 'Hulp (overig)'!$C$16 &amp; "'!B1:B1000")),1) &lt;&gt; "u")
    ),
    ROW(INDIRECT("'" &amp; 'Hulp (overig)'!$C$16 &amp; "'!B1:B1000"))
)
        )
    ) * F104
),
IF(F105="","",
IF(
    IFERROR(MIN(
        IF(
            (TRIM(INDIRECT("'" &amp; 'Hulp (overig)'!$C$16 &amp; "'!B1:B1000")) = TEXT(F105,"0")) *
            (ROW(INDIRECT("'" &amp; 'Hulp (overig)'!$C$16 &amp; "'!B1:B1000")) &gt;= MATCH(
                F103,
                INDIRECT("'" &amp; 'Hulp (overig)'!$C$16 &amp; "'!A1:A1000"),
                0
            )) *
            IF(
                G103="",
                1,
                (ROW(INDIRECT("'" &amp; 'Hulp (overig)'!$C$16 &amp; "'!B1:B1000")) &lt; MATCH(
                    G103,
                    INDIRECT("'" &amp; 'Hulp (overig)'!$C$16 &amp; "'!A1:A1000"),
                    0
                ))
            ),
            ROW(INDIRECT("'" &amp; 'Hulp (overig)'!$C$16 &amp; "'!B1:B1000"))
        )
    ),0) &lt; 1,
    "",
    IF(INDEX(
        INDIRECT("'" &amp; 'Hulp (overig)'!$C$16 &amp; "'!" &amp;
        'Hulp (overig)'!$C$17 &amp; "1:" &amp; 'Hulp (overig)'!$C$17 &amp; 1000
        ),
        IFERROR(MIN(
            IF(
                (TRIM(INDIRECT("'" &amp; 'Hulp (overig)'!$C$16 &amp; "'!B1:B1000")) = TEXT(F105,"0")) *
                (ROW(INDIRECT("'" &amp; 'Hulp (overig)'!$C$16 &amp; "'!B1:B1000")) &gt;= MATCH(
                    F103,
                    INDIRECT("'" &amp; 'Hulp (overig)'!$C$16 &amp; "'!A1:A1000"),
                    0
                )) *
                IF(
                    G103="",
                    1,
                    (ROW(INDIRECT("'" &amp; 'Hulp (overig)'!$C$16 &amp; "'!B1:B1000")) &lt; MATCH(
                        G103,
                        INDIRECT("'" &amp; 'Hulp (overig)'!$C$16 &amp; "'!A1:A1000"),
                        0
                    ))
                ),
                ROW(INDIRECT("'" &amp; 'Hulp (overig)'!$C$16 &amp; "'!B1:B1000"))
            )
        ),0)
    )=0,"",
INDEX(
        INDIRECT("'" &amp; 'Hulp (overig)'!$C$16 &amp; "'!" &amp;
        'Hulp (overig)'!$C$17 &amp; "1:" &amp; 'Hulp (overig)'!$C$17 &amp; 1000
        ),
        IFERROR(MIN(
            IF(
                (TRIM(INDIRECT("'" &amp; 'Hulp (overig)'!$C$16 &amp; "'!B1:B1000")) = TEXT(F105,"0")) *
                (ROW(INDIRECT("'" &amp; 'Hulp (overig)'!$C$16 &amp; "'!B1:B1000")) &gt;= MATCH(
                    F103,
                    INDIRECT("'" &amp; 'Hulp (overig)'!$C$16 &amp; "'!A1:A1000"),
                    0
                )) *
                IF(
                    G103="",
                    1,
                    (ROW(INDIRECT("'" &amp; 'Hulp (overig)'!$C$16 &amp; "'!B1:B1000")) &lt; MATCH(
                        G103,
                        INDIRECT("'" &amp; 'Hulp (overig)'!$C$16 &amp; "'!A1:A1000"),
                        0
                    ))
                ),
                ROW(INDIRECT("'" &amp; 'Hulp (overig)'!$C$16 &amp; "'!B1:B1000"))
            )
        ),0)
    ))
))))</f>
        <v>#VALUE!</v>
      </c>
      <c r="G106" s="425" t="e" cm="1">
        <f t="array" aca="1" ref="G106" ca="1">IF($BF106, IF(G103="","",
   INDEX(
      INDIRECT("'" &amp; 'Hulp (CAO''s)'!$AE$8 &amp; "'!" &amp;
               'Hulp (overig)'!$C$17 &amp; "1:" &amp;
               'Hulp (overig)'!$C$17 &amp; "1000"),
      MATCH(
         G103,
         INDIRECT("'" &amp; 'Hulp (CAO''s)'!$AE$8 &amp; "'!A1:A1000"),
         0
      )
   )
), IF($D104="Gebruik % van maximum salaris",
IF(
    OR(G103="",G104=""),
    "",
    MAX(
        INDIRECT(
            "'" &amp; 'Hulp (overig)'!$C$16 &amp; "'!" &amp;
            'Hulp (overig)'!$C$17 &amp;
            MATCH(G103, INDIRECT("'" &amp; 'Hulp (overig)'!$C$16 &amp; "'!A1:A1000"), 0) &amp;
            ":" &amp;
            'Hulp (overig)'!$C$17 &amp;
LOOKUP(
    2,
    1 / (
        (ROW(INDIRECT("'" &amp; 'Hulp (overig)'!$C$16 &amp; "'!B1:B1000")) &lt;
            IF(H103&lt;&gt;"",
               MATCH(H103, INDIRECT("'" &amp; 'Hulp (overig)'!$C$16 &amp; "'!A1:A1000"),0),
               1000
            )
        ) *
        (LEFT(TRIM(INDIRECT("'" &amp; 'Hulp (overig)'!$C$16 &amp; "'!B1:B1000")),1) &lt;&gt; "u")
    ),
    ROW(INDIRECT("'" &amp; 'Hulp (overig)'!$C$16 &amp; "'!B1:B1000"))
)
        )
    ) * G104
),
IF(G105="","",
IF(
    IFERROR(MIN(
        IF(
            (TRIM(INDIRECT("'" &amp; 'Hulp (overig)'!$C$16 &amp; "'!B1:B1000")) = TEXT(G105,"0")) *
            (ROW(INDIRECT("'" &amp; 'Hulp (overig)'!$C$16 &amp; "'!B1:B1000")) &gt;= MATCH(
                G103,
                INDIRECT("'" &amp; 'Hulp (overig)'!$C$16 &amp; "'!A1:A1000"),
                0
            )) *
            IF(
                H103="",
                1,
                (ROW(INDIRECT("'" &amp; 'Hulp (overig)'!$C$16 &amp; "'!B1:B1000")) &lt; MATCH(
                    H103,
                    INDIRECT("'" &amp; 'Hulp (overig)'!$C$16 &amp; "'!A1:A1000"),
                    0
                ))
            ),
            ROW(INDIRECT("'" &amp; 'Hulp (overig)'!$C$16 &amp; "'!B1:B1000"))
        )
    ),0) &lt; 1,
    "",
    IF(INDEX(
        INDIRECT("'" &amp; 'Hulp (overig)'!$C$16 &amp; "'!" &amp;
        'Hulp (overig)'!$C$17 &amp; "1:" &amp; 'Hulp (overig)'!$C$17 &amp; 1000
        ),
        IFERROR(MIN(
            IF(
                (TRIM(INDIRECT("'" &amp; 'Hulp (overig)'!$C$16 &amp; "'!B1:B1000")) = TEXT(G105,"0")) *
                (ROW(INDIRECT("'" &amp; 'Hulp (overig)'!$C$16 &amp; "'!B1:B1000")) &gt;= MATCH(
                    G103,
                    INDIRECT("'" &amp; 'Hulp (overig)'!$C$16 &amp; "'!A1:A1000"),
                    0
                )) *
                IF(
                    H103="",
                    1,
                    (ROW(INDIRECT("'" &amp; 'Hulp (overig)'!$C$16 &amp; "'!B1:B1000")) &lt; MATCH(
                        H103,
                        INDIRECT("'" &amp; 'Hulp (overig)'!$C$16 &amp; "'!A1:A1000"),
                        0
                    ))
                ),
                ROW(INDIRECT("'" &amp; 'Hulp (overig)'!$C$16 &amp; "'!B1:B1000"))
            )
        ),0)
    )=0,"",
INDEX(
        INDIRECT("'" &amp; 'Hulp (overig)'!$C$16 &amp; "'!" &amp;
        'Hulp (overig)'!$C$17 &amp; "1:" &amp; 'Hulp (overig)'!$C$17 &amp; 1000
        ),
        IFERROR(MIN(
            IF(
                (TRIM(INDIRECT("'" &amp; 'Hulp (overig)'!$C$16 &amp; "'!B1:B1000")) = TEXT(G105,"0")) *
                (ROW(INDIRECT("'" &amp; 'Hulp (overig)'!$C$16 &amp; "'!B1:B1000")) &gt;= MATCH(
                    G103,
                    INDIRECT("'" &amp; 'Hulp (overig)'!$C$16 &amp; "'!A1:A1000"),
                    0
                )) *
                IF(
                    H103="",
                    1,
                    (ROW(INDIRECT("'" &amp; 'Hulp (overig)'!$C$16 &amp; "'!B1:B1000")) &lt; MATCH(
                        H103,
                        INDIRECT("'" &amp; 'Hulp (overig)'!$C$16 &amp; "'!A1:A1000"),
                        0
                    ))
                ),
                ROW(INDIRECT("'" &amp; 'Hulp (overig)'!$C$16 &amp; "'!B1:B1000"))
            )
        ),0)
    ))
))))</f>
        <v>#VALUE!</v>
      </c>
      <c r="H106" s="425" t="e" cm="1">
        <f t="array" aca="1" ref="H106" ca="1">IF($BF106, IF(H103="","",
   INDEX(
      INDIRECT("'" &amp; 'Hulp (CAO''s)'!$AE$8 &amp; "'!" &amp;
               'Hulp (overig)'!$C$17 &amp; "1:" &amp;
               'Hulp (overig)'!$C$17 &amp; "1000"),
      MATCH(
         H103,
         INDIRECT("'" &amp; 'Hulp (CAO''s)'!$AE$8 &amp; "'!A1:A1000"),
         0
      )
   )
), IF($D104="Gebruik % van maximum salaris",
IF(
    OR(H103="",H104=""),
    "",
    MAX(
        INDIRECT(
            "'" &amp; 'Hulp (overig)'!$C$16 &amp; "'!" &amp;
            'Hulp (overig)'!$C$17 &amp;
            MATCH(H103, INDIRECT("'" &amp; 'Hulp (overig)'!$C$16 &amp; "'!A1:A1000"), 0) &amp;
            ":" &amp;
            'Hulp (overig)'!$C$17 &amp;
LOOKUP(
    2,
    1 / (
        (ROW(INDIRECT("'" &amp; 'Hulp (overig)'!$C$16 &amp; "'!B1:B1000")) &lt;
            IF(I103&lt;&gt;"",
               MATCH(I103, INDIRECT("'" &amp; 'Hulp (overig)'!$C$16 &amp; "'!A1:A1000"),0),
               1000
            )
        ) *
        (LEFT(TRIM(INDIRECT("'" &amp; 'Hulp (overig)'!$C$16 &amp; "'!B1:B1000")),1) &lt;&gt; "u")
    ),
    ROW(INDIRECT("'" &amp; 'Hulp (overig)'!$C$16 &amp; "'!B1:B1000"))
)
        )
    ) * H104
),
IF(H105="","",
IF(
    IFERROR(MIN(
        IF(
            (TRIM(INDIRECT("'" &amp; 'Hulp (overig)'!$C$16 &amp; "'!B1:B1000")) = TEXT(H105,"0")) *
            (ROW(INDIRECT("'" &amp; 'Hulp (overig)'!$C$16 &amp; "'!B1:B1000")) &gt;= MATCH(
                H103,
                INDIRECT("'" &amp; 'Hulp (overig)'!$C$16 &amp; "'!A1:A1000"),
                0
            )) *
            IF(
                I103="",
                1,
                (ROW(INDIRECT("'" &amp; 'Hulp (overig)'!$C$16 &amp; "'!B1:B1000")) &lt; MATCH(
                    I103,
                    INDIRECT("'" &amp; 'Hulp (overig)'!$C$16 &amp; "'!A1:A1000"),
                    0
                ))
            ),
            ROW(INDIRECT("'" &amp; 'Hulp (overig)'!$C$16 &amp; "'!B1:B1000"))
        )
    ),0) &lt; 1,
    "",
    IF(INDEX(
        INDIRECT("'" &amp; 'Hulp (overig)'!$C$16 &amp; "'!" &amp;
        'Hulp (overig)'!$C$17 &amp; "1:" &amp; 'Hulp (overig)'!$C$17 &amp; 1000
        ),
        IFERROR(MIN(
            IF(
                (TRIM(INDIRECT("'" &amp; 'Hulp (overig)'!$C$16 &amp; "'!B1:B1000")) = TEXT(H105,"0")) *
                (ROW(INDIRECT("'" &amp; 'Hulp (overig)'!$C$16 &amp; "'!B1:B1000")) &gt;= MATCH(
                    H103,
                    INDIRECT("'" &amp; 'Hulp (overig)'!$C$16 &amp; "'!A1:A1000"),
                    0
                )) *
                IF(
                    I103="",
                    1,
                    (ROW(INDIRECT("'" &amp; 'Hulp (overig)'!$C$16 &amp; "'!B1:B1000")) &lt; MATCH(
                        I103,
                        INDIRECT("'" &amp; 'Hulp (overig)'!$C$16 &amp; "'!A1:A1000"),
                        0
                    ))
                ),
                ROW(INDIRECT("'" &amp; 'Hulp (overig)'!$C$16 &amp; "'!B1:B1000"))
            )
        ),0)
    )=0,"",
INDEX(
        INDIRECT("'" &amp; 'Hulp (overig)'!$C$16 &amp; "'!" &amp;
        'Hulp (overig)'!$C$17 &amp; "1:" &amp; 'Hulp (overig)'!$C$17 &amp; 1000
        ),
        IFERROR(MIN(
            IF(
                (TRIM(INDIRECT("'" &amp; 'Hulp (overig)'!$C$16 &amp; "'!B1:B1000")) = TEXT(H105,"0")) *
                (ROW(INDIRECT("'" &amp; 'Hulp (overig)'!$C$16 &amp; "'!B1:B1000")) &gt;= MATCH(
                    H103,
                    INDIRECT("'" &amp; 'Hulp (overig)'!$C$16 &amp; "'!A1:A1000"),
                    0
                )) *
                IF(
                    I103="",
                    1,
                    (ROW(INDIRECT("'" &amp; 'Hulp (overig)'!$C$16 &amp; "'!B1:B1000")) &lt; MATCH(
                        I103,
                        INDIRECT("'" &amp; 'Hulp (overig)'!$C$16 &amp; "'!A1:A1000"),
                        0
                    ))
                ),
                ROW(INDIRECT("'" &amp; 'Hulp (overig)'!$C$16 &amp; "'!B1:B1000"))
            )
        ),0)
    ))
))))</f>
        <v>#VALUE!</v>
      </c>
      <c r="I106" s="425" t="e" cm="1">
        <f t="array" aca="1" ref="I106" ca="1">IF($BF106, IF(I103="","",
   INDEX(
      INDIRECT("'" &amp; 'Hulp (CAO''s)'!$AE$8 &amp; "'!" &amp;
               'Hulp (overig)'!$C$17 &amp; "1:" &amp;
               'Hulp (overig)'!$C$17 &amp; "1000"),
      MATCH(
         I103,
         INDIRECT("'" &amp; 'Hulp (CAO''s)'!$AE$8 &amp; "'!A1:A1000"),
         0
      )
   )
), IF($D104="Gebruik % van maximum salaris",
IF(
    OR(I103="",I104=""),
    "",
    MAX(
        INDIRECT(
            "'" &amp; 'Hulp (overig)'!$C$16 &amp; "'!" &amp;
            'Hulp (overig)'!$C$17 &amp;
            MATCH(I103, INDIRECT("'" &amp; 'Hulp (overig)'!$C$16 &amp; "'!A1:A1000"), 0) &amp;
            ":" &amp;
            'Hulp (overig)'!$C$17 &amp;
LOOKUP(
    2,
    1 / (
        (ROW(INDIRECT("'" &amp; 'Hulp (overig)'!$C$16 &amp; "'!B1:B1000")) &lt;
            IF(J103&lt;&gt;"",
               MATCH(J103, INDIRECT("'" &amp; 'Hulp (overig)'!$C$16 &amp; "'!A1:A1000"),0),
               1000
            )
        ) *
        (LEFT(TRIM(INDIRECT("'" &amp; 'Hulp (overig)'!$C$16 &amp; "'!B1:B1000")),1) &lt;&gt; "u")
    ),
    ROW(INDIRECT("'" &amp; 'Hulp (overig)'!$C$16 &amp; "'!B1:B1000"))
)
        )
    ) * I104
),
IF(I105="","",
IF(
    IFERROR(MIN(
        IF(
            (TRIM(INDIRECT("'" &amp; 'Hulp (overig)'!$C$16 &amp; "'!B1:B1000")) = TEXT(I105,"0")) *
            (ROW(INDIRECT("'" &amp; 'Hulp (overig)'!$C$16 &amp; "'!B1:B1000")) &gt;= MATCH(
                I103,
                INDIRECT("'" &amp; 'Hulp (overig)'!$C$16 &amp; "'!A1:A1000"),
                0
            )) *
            IF(
                J103="",
                1,
                (ROW(INDIRECT("'" &amp; 'Hulp (overig)'!$C$16 &amp; "'!B1:B1000")) &lt; MATCH(
                    J103,
                    INDIRECT("'" &amp; 'Hulp (overig)'!$C$16 &amp; "'!A1:A1000"),
                    0
                ))
            ),
            ROW(INDIRECT("'" &amp; 'Hulp (overig)'!$C$16 &amp; "'!B1:B1000"))
        )
    ),0) &lt; 1,
    "",
    IF(INDEX(
        INDIRECT("'" &amp; 'Hulp (overig)'!$C$16 &amp; "'!" &amp;
        'Hulp (overig)'!$C$17 &amp; "1:" &amp; 'Hulp (overig)'!$C$17 &amp; 1000
        ),
        IFERROR(MIN(
            IF(
                (TRIM(INDIRECT("'" &amp; 'Hulp (overig)'!$C$16 &amp; "'!B1:B1000")) = TEXT(I105,"0")) *
                (ROW(INDIRECT("'" &amp; 'Hulp (overig)'!$C$16 &amp; "'!B1:B1000")) &gt;= MATCH(
                    I103,
                    INDIRECT("'" &amp; 'Hulp (overig)'!$C$16 &amp; "'!A1:A1000"),
                    0
                )) *
                IF(
                    J103="",
                    1,
                    (ROW(INDIRECT("'" &amp; 'Hulp (overig)'!$C$16 &amp; "'!B1:B1000")) &lt; MATCH(
                        J103,
                        INDIRECT("'" &amp; 'Hulp (overig)'!$C$16 &amp; "'!A1:A1000"),
                        0
                    ))
                ),
                ROW(INDIRECT("'" &amp; 'Hulp (overig)'!$C$16 &amp; "'!B1:B1000"))
            )
        ),0)
    )=0,"",
INDEX(
        INDIRECT("'" &amp; 'Hulp (overig)'!$C$16 &amp; "'!" &amp;
        'Hulp (overig)'!$C$17 &amp; "1:" &amp; 'Hulp (overig)'!$C$17 &amp; 1000
        ),
        IFERROR(MIN(
            IF(
                (TRIM(INDIRECT("'" &amp; 'Hulp (overig)'!$C$16 &amp; "'!B1:B1000")) = TEXT(I105,"0")) *
                (ROW(INDIRECT("'" &amp; 'Hulp (overig)'!$C$16 &amp; "'!B1:B1000")) &gt;= MATCH(
                    I103,
                    INDIRECT("'" &amp; 'Hulp (overig)'!$C$16 &amp; "'!A1:A1000"),
                    0
                )) *
                IF(
                    J103="",
                    1,
                    (ROW(INDIRECT("'" &amp; 'Hulp (overig)'!$C$16 &amp; "'!B1:B1000")) &lt; MATCH(
                        J103,
                        INDIRECT("'" &amp; 'Hulp (overig)'!$C$16 &amp; "'!A1:A1000"),
                        0
                    ))
                ),
                ROW(INDIRECT("'" &amp; 'Hulp (overig)'!$C$16 &amp; "'!B1:B1000"))
            )
        ),0)
    ))
))))</f>
        <v>#VALUE!</v>
      </c>
      <c r="J106" s="425" t="e" cm="1">
        <f t="array" aca="1" ref="J106" ca="1">IF($BF106, IF(J103="","",
   INDEX(
      INDIRECT("'" &amp; 'Hulp (CAO''s)'!$AE$8 &amp; "'!" &amp;
               'Hulp (overig)'!$C$17 &amp; "1:" &amp;
               'Hulp (overig)'!$C$17 &amp; "1000"),
      MATCH(
         J103,
         INDIRECT("'" &amp; 'Hulp (CAO''s)'!$AE$8 &amp; "'!A1:A1000"),
         0
      )
   )
), IF($D104="Gebruik % van maximum salaris",
IF(
    OR(J103="",J104=""),
    "",
    MAX(
        INDIRECT(
            "'" &amp; 'Hulp (overig)'!$C$16 &amp; "'!" &amp;
            'Hulp (overig)'!$C$17 &amp;
            MATCH(J103, INDIRECT("'" &amp; 'Hulp (overig)'!$C$16 &amp; "'!A1:A1000"), 0) &amp;
            ":" &amp;
            'Hulp (overig)'!$C$17 &amp;
LOOKUP(
    2,
    1 / (
        (ROW(INDIRECT("'" &amp; 'Hulp (overig)'!$C$16 &amp; "'!B1:B1000")) &lt;
            IF(K103&lt;&gt;"",
               MATCH(K103, INDIRECT("'" &amp; 'Hulp (overig)'!$C$16 &amp; "'!A1:A1000"),0),
               1000
            )
        ) *
        (LEFT(TRIM(INDIRECT("'" &amp; 'Hulp (overig)'!$C$16 &amp; "'!B1:B1000")),1) &lt;&gt; "u")
    ),
    ROW(INDIRECT("'" &amp; 'Hulp (overig)'!$C$16 &amp; "'!B1:B1000"))
)
        )
    ) * J104
),
IF(J105="","",
IF(
    IFERROR(MIN(
        IF(
            (TRIM(INDIRECT("'" &amp; 'Hulp (overig)'!$C$16 &amp; "'!B1:B1000")) = TEXT(J105,"0")) *
            (ROW(INDIRECT("'" &amp; 'Hulp (overig)'!$C$16 &amp; "'!B1:B1000")) &gt;= MATCH(
                J103,
                INDIRECT("'" &amp; 'Hulp (overig)'!$C$16 &amp; "'!A1:A1000"),
                0
            )) *
            IF(
                K103="",
                1,
                (ROW(INDIRECT("'" &amp; 'Hulp (overig)'!$C$16 &amp; "'!B1:B1000")) &lt; MATCH(
                    K103,
                    INDIRECT("'" &amp; 'Hulp (overig)'!$C$16 &amp; "'!A1:A1000"),
                    0
                ))
            ),
            ROW(INDIRECT("'" &amp; 'Hulp (overig)'!$C$16 &amp; "'!B1:B1000"))
        )
    ),0) &lt; 1,
    "",
    IF(INDEX(
        INDIRECT("'" &amp; 'Hulp (overig)'!$C$16 &amp; "'!" &amp;
        'Hulp (overig)'!$C$17 &amp; "1:" &amp; 'Hulp (overig)'!$C$17 &amp; 1000
        ),
        IFERROR(MIN(
            IF(
                (TRIM(INDIRECT("'" &amp; 'Hulp (overig)'!$C$16 &amp; "'!B1:B1000")) = TEXT(J105,"0")) *
                (ROW(INDIRECT("'" &amp; 'Hulp (overig)'!$C$16 &amp; "'!B1:B1000")) &gt;= MATCH(
                    J103,
                    INDIRECT("'" &amp; 'Hulp (overig)'!$C$16 &amp; "'!A1:A1000"),
                    0
                )) *
                IF(
                    K103="",
                    1,
                    (ROW(INDIRECT("'" &amp; 'Hulp (overig)'!$C$16 &amp; "'!B1:B1000")) &lt; MATCH(
                        K103,
                        INDIRECT("'" &amp; 'Hulp (overig)'!$C$16 &amp; "'!A1:A1000"),
                        0
                    ))
                ),
                ROW(INDIRECT("'" &amp; 'Hulp (overig)'!$C$16 &amp; "'!B1:B1000"))
            )
        ),0)
    )=0,"",
INDEX(
        INDIRECT("'" &amp; 'Hulp (overig)'!$C$16 &amp; "'!" &amp;
        'Hulp (overig)'!$C$17 &amp; "1:" &amp; 'Hulp (overig)'!$C$17 &amp; 1000
        ),
        IFERROR(MIN(
            IF(
                (TRIM(INDIRECT("'" &amp; 'Hulp (overig)'!$C$16 &amp; "'!B1:B1000")) = TEXT(J105,"0")) *
                (ROW(INDIRECT("'" &amp; 'Hulp (overig)'!$C$16 &amp; "'!B1:B1000")) &gt;= MATCH(
                    J103,
                    INDIRECT("'" &amp; 'Hulp (overig)'!$C$16 &amp; "'!A1:A1000"),
                    0
                )) *
                IF(
                    K103="",
                    1,
                    (ROW(INDIRECT("'" &amp; 'Hulp (overig)'!$C$16 &amp; "'!B1:B1000")) &lt; MATCH(
                        K103,
                        INDIRECT("'" &amp; 'Hulp (overig)'!$C$16 &amp; "'!A1:A1000"),
                        0
                    ))
                ),
                ROW(INDIRECT("'" &amp; 'Hulp (overig)'!$C$16 &amp; "'!B1:B1000"))
            )
        ),0)
    ))
))))</f>
        <v>#VALUE!</v>
      </c>
      <c r="K106" s="425" t="e" cm="1">
        <f t="array" aca="1" ref="K106" ca="1">IF($BF106, IF(K103="","",
   INDEX(
      INDIRECT("'" &amp; 'Hulp (CAO''s)'!$AE$8 &amp; "'!" &amp;
               'Hulp (overig)'!$C$17 &amp; "1:" &amp;
               'Hulp (overig)'!$C$17 &amp; "1000"),
      MATCH(
         K103,
         INDIRECT("'" &amp; 'Hulp (CAO''s)'!$AE$8 &amp; "'!A1:A1000"),
         0
      )
   )
), IF($D104="Gebruik % van maximum salaris",
IF(
    OR(K103="",K104=""),
    "",
    MAX(
        INDIRECT(
            "'" &amp; 'Hulp (overig)'!$C$16 &amp; "'!" &amp;
            'Hulp (overig)'!$C$17 &amp;
            MATCH(K103, INDIRECT("'" &amp; 'Hulp (overig)'!$C$16 &amp; "'!A1:A1000"), 0) &amp;
            ":" &amp;
            'Hulp (overig)'!$C$17 &amp;
LOOKUP(
    2,
    1 / (
        (ROW(INDIRECT("'" &amp; 'Hulp (overig)'!$C$16 &amp; "'!B1:B1000")) &lt;
            IF(L103&lt;&gt;"",
               MATCH(L103, INDIRECT("'" &amp; 'Hulp (overig)'!$C$16 &amp; "'!A1:A1000"),0),
               1000
            )
        ) *
        (LEFT(TRIM(INDIRECT("'" &amp; 'Hulp (overig)'!$C$16 &amp; "'!B1:B1000")),1) &lt;&gt; "u")
    ),
    ROW(INDIRECT("'" &amp; 'Hulp (overig)'!$C$16 &amp; "'!B1:B1000"))
)
        )
    ) * K104
),
IF(K105="","",
IF(
    IFERROR(MIN(
        IF(
            (TRIM(INDIRECT("'" &amp; 'Hulp (overig)'!$C$16 &amp; "'!B1:B1000")) = TEXT(K105,"0")) *
            (ROW(INDIRECT("'" &amp; 'Hulp (overig)'!$C$16 &amp; "'!B1:B1000")) &gt;= MATCH(
                K103,
                INDIRECT("'" &amp; 'Hulp (overig)'!$C$16 &amp; "'!A1:A1000"),
                0
            )) *
            IF(
                L103="",
                1,
                (ROW(INDIRECT("'" &amp; 'Hulp (overig)'!$C$16 &amp; "'!B1:B1000")) &lt; MATCH(
                    L103,
                    INDIRECT("'" &amp; 'Hulp (overig)'!$C$16 &amp; "'!A1:A1000"),
                    0
                ))
            ),
            ROW(INDIRECT("'" &amp; 'Hulp (overig)'!$C$16 &amp; "'!B1:B1000"))
        )
    ),0) &lt; 1,
    "",
    IF(INDEX(
        INDIRECT("'" &amp; 'Hulp (overig)'!$C$16 &amp; "'!" &amp;
        'Hulp (overig)'!$C$17 &amp; "1:" &amp; 'Hulp (overig)'!$C$17 &amp; 1000
        ),
        IFERROR(MIN(
            IF(
                (TRIM(INDIRECT("'" &amp; 'Hulp (overig)'!$C$16 &amp; "'!B1:B1000")) = TEXT(K105,"0")) *
                (ROW(INDIRECT("'" &amp; 'Hulp (overig)'!$C$16 &amp; "'!B1:B1000")) &gt;= MATCH(
                    K103,
                    INDIRECT("'" &amp; 'Hulp (overig)'!$C$16 &amp; "'!A1:A1000"),
                    0
                )) *
                IF(
                    L103="",
                    1,
                    (ROW(INDIRECT("'" &amp; 'Hulp (overig)'!$C$16 &amp; "'!B1:B1000")) &lt; MATCH(
                        L103,
                        INDIRECT("'" &amp; 'Hulp (overig)'!$C$16 &amp; "'!A1:A1000"),
                        0
                    ))
                ),
                ROW(INDIRECT("'" &amp; 'Hulp (overig)'!$C$16 &amp; "'!B1:B1000"))
            )
        ),0)
    )=0,"",
INDEX(
        INDIRECT("'" &amp; 'Hulp (overig)'!$C$16 &amp; "'!" &amp;
        'Hulp (overig)'!$C$17 &amp; "1:" &amp; 'Hulp (overig)'!$C$17 &amp; 1000
        ),
        IFERROR(MIN(
            IF(
                (TRIM(INDIRECT("'" &amp; 'Hulp (overig)'!$C$16 &amp; "'!B1:B1000")) = TEXT(K105,"0")) *
                (ROW(INDIRECT("'" &amp; 'Hulp (overig)'!$C$16 &amp; "'!B1:B1000")) &gt;= MATCH(
                    K103,
                    INDIRECT("'" &amp; 'Hulp (overig)'!$C$16 &amp; "'!A1:A1000"),
                    0
                )) *
                IF(
                    L103="",
                    1,
                    (ROW(INDIRECT("'" &amp; 'Hulp (overig)'!$C$16 &amp; "'!B1:B1000")) &lt; MATCH(
                        L103,
                        INDIRECT("'" &amp; 'Hulp (overig)'!$C$16 &amp; "'!A1:A1000"),
                        0
                    ))
                ),
                ROW(INDIRECT("'" &amp; 'Hulp (overig)'!$C$16 &amp; "'!B1:B1000"))
            )
        ),0)
    ))
))))</f>
        <v>#VALUE!</v>
      </c>
      <c r="L106" s="425" t="e" cm="1">
        <f t="array" aca="1" ref="L106" ca="1">IF($BF106, IF(L103="","",
   INDEX(
      INDIRECT("'" &amp; 'Hulp (CAO''s)'!$AE$8 &amp; "'!" &amp;
               'Hulp (overig)'!$C$17 &amp; "1:" &amp;
               'Hulp (overig)'!$C$17 &amp; "1000"),
      MATCH(
         L103,
         INDIRECT("'" &amp; 'Hulp (CAO''s)'!$AE$8 &amp; "'!A1:A1000"),
         0
      )
   )
), IF($D104="Gebruik % van maximum salaris",
IF(
    OR(L103="",L104=""),
    "",
    MAX(
        INDIRECT(
            "'" &amp; 'Hulp (overig)'!$C$16 &amp; "'!" &amp;
            'Hulp (overig)'!$C$17 &amp;
            MATCH(L103, INDIRECT("'" &amp; 'Hulp (overig)'!$C$16 &amp; "'!A1:A1000"), 0) &amp;
            ":" &amp;
            'Hulp (overig)'!$C$17 &amp;
LOOKUP(
    2,
    1 / (
        (ROW(INDIRECT("'" &amp; 'Hulp (overig)'!$C$16 &amp; "'!B1:B1000")) &lt;
            IF(M103&lt;&gt;"",
               MATCH(M103, INDIRECT("'" &amp; 'Hulp (overig)'!$C$16 &amp; "'!A1:A1000"),0),
               1000
            )
        ) *
        (LEFT(TRIM(INDIRECT("'" &amp; 'Hulp (overig)'!$C$16 &amp; "'!B1:B1000")),1) &lt;&gt; "u")
    ),
    ROW(INDIRECT("'" &amp; 'Hulp (overig)'!$C$16 &amp; "'!B1:B1000"))
)
        )
    ) * L104
),
IF(L105="","",
IF(
    IFERROR(MIN(
        IF(
            (TRIM(INDIRECT("'" &amp; 'Hulp (overig)'!$C$16 &amp; "'!B1:B1000")) = TEXT(L105,"0")) *
            (ROW(INDIRECT("'" &amp; 'Hulp (overig)'!$C$16 &amp; "'!B1:B1000")) &gt;= MATCH(
                L103,
                INDIRECT("'" &amp; 'Hulp (overig)'!$C$16 &amp; "'!A1:A1000"),
                0
            )) *
            IF(
                M103="",
                1,
                (ROW(INDIRECT("'" &amp; 'Hulp (overig)'!$C$16 &amp; "'!B1:B1000")) &lt; MATCH(
                    M103,
                    INDIRECT("'" &amp; 'Hulp (overig)'!$C$16 &amp; "'!A1:A1000"),
                    0
                ))
            ),
            ROW(INDIRECT("'" &amp; 'Hulp (overig)'!$C$16 &amp; "'!B1:B1000"))
        )
    ),0) &lt; 1,
    "",
    IF(INDEX(
        INDIRECT("'" &amp; 'Hulp (overig)'!$C$16 &amp; "'!" &amp;
        'Hulp (overig)'!$C$17 &amp; "1:" &amp; 'Hulp (overig)'!$C$17 &amp; 1000
        ),
        IFERROR(MIN(
            IF(
                (TRIM(INDIRECT("'" &amp; 'Hulp (overig)'!$C$16 &amp; "'!B1:B1000")) = TEXT(L105,"0")) *
                (ROW(INDIRECT("'" &amp; 'Hulp (overig)'!$C$16 &amp; "'!B1:B1000")) &gt;= MATCH(
                    L103,
                    INDIRECT("'" &amp; 'Hulp (overig)'!$C$16 &amp; "'!A1:A1000"),
                    0
                )) *
                IF(
                    M103="",
                    1,
                    (ROW(INDIRECT("'" &amp; 'Hulp (overig)'!$C$16 &amp; "'!B1:B1000")) &lt; MATCH(
                        M103,
                        INDIRECT("'" &amp; 'Hulp (overig)'!$C$16 &amp; "'!A1:A1000"),
                        0
                    ))
                ),
                ROW(INDIRECT("'" &amp; 'Hulp (overig)'!$C$16 &amp; "'!B1:B1000"))
            )
        ),0)
    )=0,"",
INDEX(
        INDIRECT("'" &amp; 'Hulp (overig)'!$C$16 &amp; "'!" &amp;
        'Hulp (overig)'!$C$17 &amp; "1:" &amp; 'Hulp (overig)'!$C$17 &amp; 1000
        ),
        IFERROR(MIN(
            IF(
                (TRIM(INDIRECT("'" &amp; 'Hulp (overig)'!$C$16 &amp; "'!B1:B1000")) = TEXT(L105,"0")) *
                (ROW(INDIRECT("'" &amp; 'Hulp (overig)'!$C$16 &amp; "'!B1:B1000")) &gt;= MATCH(
                    L103,
                    INDIRECT("'" &amp; 'Hulp (overig)'!$C$16 &amp; "'!A1:A1000"),
                    0
                )) *
                IF(
                    M103="",
                    1,
                    (ROW(INDIRECT("'" &amp; 'Hulp (overig)'!$C$16 &amp; "'!B1:B1000")) &lt; MATCH(
                        M103,
                        INDIRECT("'" &amp; 'Hulp (overig)'!$C$16 &amp; "'!A1:A1000"),
                        0
                    ))
                ),
                ROW(INDIRECT("'" &amp; 'Hulp (overig)'!$C$16 &amp; "'!B1:B1000"))
            )
        ),0)
    ))
))))</f>
        <v>#VALUE!</v>
      </c>
      <c r="M106" s="425" t="e" cm="1">
        <f t="array" aca="1" ref="M106" ca="1">IF($BF106, IF(M103="","",
   INDEX(
      INDIRECT("'" &amp; 'Hulp (CAO''s)'!$AE$8 &amp; "'!" &amp;
               'Hulp (overig)'!$C$17 &amp; "1:" &amp;
               'Hulp (overig)'!$C$17 &amp; "1000"),
      MATCH(
         M103,
         INDIRECT("'" &amp; 'Hulp (CAO''s)'!$AE$8 &amp; "'!A1:A1000"),
         0
      )
   )
), IF($D104="Gebruik % van maximum salaris",
IF(
    OR(M103="",M104=""),
    "",
    MAX(
        INDIRECT(
            "'" &amp; 'Hulp (overig)'!$C$16 &amp; "'!" &amp;
            'Hulp (overig)'!$C$17 &amp;
            MATCH(M103, INDIRECT("'" &amp; 'Hulp (overig)'!$C$16 &amp; "'!A1:A1000"), 0) &amp;
            ":" &amp;
            'Hulp (overig)'!$C$17 &amp;
LOOKUP(
    2,
    1 / (
        (ROW(INDIRECT("'" &amp; 'Hulp (overig)'!$C$16 &amp; "'!B1:B1000")) &lt;
            IF(N103&lt;&gt;"",
               MATCH(N103, INDIRECT("'" &amp; 'Hulp (overig)'!$C$16 &amp; "'!A1:A1000"),0),
               1000
            )
        ) *
        (LEFT(TRIM(INDIRECT("'" &amp; 'Hulp (overig)'!$C$16 &amp; "'!B1:B1000")),1) &lt;&gt; "u")
    ),
    ROW(INDIRECT("'" &amp; 'Hulp (overig)'!$C$16 &amp; "'!B1:B1000"))
)
        )
    ) * M104
),
IF(M105="","",
IF(
    IFERROR(MIN(
        IF(
            (TRIM(INDIRECT("'" &amp; 'Hulp (overig)'!$C$16 &amp; "'!B1:B1000")) = TEXT(M105,"0")) *
            (ROW(INDIRECT("'" &amp; 'Hulp (overig)'!$C$16 &amp; "'!B1:B1000")) &gt;= MATCH(
                M103,
                INDIRECT("'" &amp; 'Hulp (overig)'!$C$16 &amp; "'!A1:A1000"),
                0
            )) *
            IF(
                N103="",
                1,
                (ROW(INDIRECT("'" &amp; 'Hulp (overig)'!$C$16 &amp; "'!B1:B1000")) &lt; MATCH(
                    N103,
                    INDIRECT("'" &amp; 'Hulp (overig)'!$C$16 &amp; "'!A1:A1000"),
                    0
                ))
            ),
            ROW(INDIRECT("'" &amp; 'Hulp (overig)'!$C$16 &amp; "'!B1:B1000"))
        )
    ),0) &lt; 1,
    "",
    IF(INDEX(
        INDIRECT("'" &amp; 'Hulp (overig)'!$C$16 &amp; "'!" &amp;
        'Hulp (overig)'!$C$17 &amp; "1:" &amp; 'Hulp (overig)'!$C$17 &amp; 1000
        ),
        IFERROR(MIN(
            IF(
                (TRIM(INDIRECT("'" &amp; 'Hulp (overig)'!$C$16 &amp; "'!B1:B1000")) = TEXT(M105,"0")) *
                (ROW(INDIRECT("'" &amp; 'Hulp (overig)'!$C$16 &amp; "'!B1:B1000")) &gt;= MATCH(
                    M103,
                    INDIRECT("'" &amp; 'Hulp (overig)'!$C$16 &amp; "'!A1:A1000"),
                    0
                )) *
                IF(
                    N103="",
                    1,
                    (ROW(INDIRECT("'" &amp; 'Hulp (overig)'!$C$16 &amp; "'!B1:B1000")) &lt; MATCH(
                        N103,
                        INDIRECT("'" &amp; 'Hulp (overig)'!$C$16 &amp; "'!A1:A1000"),
                        0
                    ))
                ),
                ROW(INDIRECT("'" &amp; 'Hulp (overig)'!$C$16 &amp; "'!B1:B1000"))
            )
        ),0)
    )=0,"",
INDEX(
        INDIRECT("'" &amp; 'Hulp (overig)'!$C$16 &amp; "'!" &amp;
        'Hulp (overig)'!$C$17 &amp; "1:" &amp; 'Hulp (overig)'!$C$17 &amp; 1000
        ),
        IFERROR(MIN(
            IF(
                (TRIM(INDIRECT("'" &amp; 'Hulp (overig)'!$C$16 &amp; "'!B1:B1000")) = TEXT(M105,"0")) *
                (ROW(INDIRECT("'" &amp; 'Hulp (overig)'!$C$16 &amp; "'!B1:B1000")) &gt;= MATCH(
                    M103,
                    INDIRECT("'" &amp; 'Hulp (overig)'!$C$16 &amp; "'!A1:A1000"),
                    0
                )) *
                IF(
                    N103="",
                    1,
                    (ROW(INDIRECT("'" &amp; 'Hulp (overig)'!$C$16 &amp; "'!B1:B1000")) &lt; MATCH(
                        N103,
                        INDIRECT("'" &amp; 'Hulp (overig)'!$C$16 &amp; "'!A1:A1000"),
                        0
                    ))
                ),
                ROW(INDIRECT("'" &amp; 'Hulp (overig)'!$C$16 &amp; "'!B1:B1000"))
            )
        ),0)
    ))
))))</f>
        <v>#VALUE!</v>
      </c>
      <c r="N106" s="425" t="e" cm="1">
        <f t="array" aca="1" ref="N106" ca="1">IF($BF106, IF(N103="","",
   INDEX(
      INDIRECT("'" &amp; 'Hulp (CAO''s)'!$AE$8 &amp; "'!" &amp;
               'Hulp (overig)'!$C$17 &amp; "1:" &amp;
               'Hulp (overig)'!$C$17 &amp; "1000"),
      MATCH(
         N103,
         INDIRECT("'" &amp; 'Hulp (CAO''s)'!$AE$8 &amp; "'!A1:A1000"),
         0
      )
   )
), IF($D104="Gebruik % van maximum salaris",
IF(
    OR(N103="",N104=""),
    "",
    MAX(
        INDIRECT(
            "'" &amp; 'Hulp (overig)'!$C$16 &amp; "'!" &amp;
            'Hulp (overig)'!$C$17 &amp;
            MATCH(N103, INDIRECT("'" &amp; 'Hulp (overig)'!$C$16 &amp; "'!A1:A1000"), 0) &amp;
            ":" &amp;
            'Hulp (overig)'!$C$17 &amp;
LOOKUP(
    2,
    1 / (
        (ROW(INDIRECT("'" &amp; 'Hulp (overig)'!$C$16 &amp; "'!B1:B1000")) &lt;
            IF(O103&lt;&gt;"",
               MATCH(O103, INDIRECT("'" &amp; 'Hulp (overig)'!$C$16 &amp; "'!A1:A1000"),0),
               1000
            )
        ) *
        (LEFT(TRIM(INDIRECT("'" &amp; 'Hulp (overig)'!$C$16 &amp; "'!B1:B1000")),1) &lt;&gt; "u")
    ),
    ROW(INDIRECT("'" &amp; 'Hulp (overig)'!$C$16 &amp; "'!B1:B1000"))
)
        )
    ) * N104
),
IF(N105="","",
IF(
    IFERROR(MIN(
        IF(
            (TRIM(INDIRECT("'" &amp; 'Hulp (overig)'!$C$16 &amp; "'!B1:B1000")) = TEXT(N105,"0")) *
            (ROW(INDIRECT("'" &amp; 'Hulp (overig)'!$C$16 &amp; "'!B1:B1000")) &gt;= MATCH(
                N103,
                INDIRECT("'" &amp; 'Hulp (overig)'!$C$16 &amp; "'!A1:A1000"),
                0
            )) *
            IF(
                O103="",
                1,
                (ROW(INDIRECT("'" &amp; 'Hulp (overig)'!$C$16 &amp; "'!B1:B1000")) &lt; MATCH(
                    O103,
                    INDIRECT("'" &amp; 'Hulp (overig)'!$C$16 &amp; "'!A1:A1000"),
                    0
                ))
            ),
            ROW(INDIRECT("'" &amp; 'Hulp (overig)'!$C$16 &amp; "'!B1:B1000"))
        )
    ),0) &lt; 1,
    "",
    IF(INDEX(
        INDIRECT("'" &amp; 'Hulp (overig)'!$C$16 &amp; "'!" &amp;
        'Hulp (overig)'!$C$17 &amp; "1:" &amp; 'Hulp (overig)'!$C$17 &amp; 1000
        ),
        IFERROR(MIN(
            IF(
                (TRIM(INDIRECT("'" &amp; 'Hulp (overig)'!$C$16 &amp; "'!B1:B1000")) = TEXT(N105,"0")) *
                (ROW(INDIRECT("'" &amp; 'Hulp (overig)'!$C$16 &amp; "'!B1:B1000")) &gt;= MATCH(
                    N103,
                    INDIRECT("'" &amp; 'Hulp (overig)'!$C$16 &amp; "'!A1:A1000"),
                    0
                )) *
                IF(
                    O103="",
                    1,
                    (ROW(INDIRECT("'" &amp; 'Hulp (overig)'!$C$16 &amp; "'!B1:B1000")) &lt; MATCH(
                        O103,
                        INDIRECT("'" &amp; 'Hulp (overig)'!$C$16 &amp; "'!A1:A1000"),
                        0
                    ))
                ),
                ROW(INDIRECT("'" &amp; 'Hulp (overig)'!$C$16 &amp; "'!B1:B1000"))
            )
        ),0)
    )=0,"",
INDEX(
        INDIRECT("'" &amp; 'Hulp (overig)'!$C$16 &amp; "'!" &amp;
        'Hulp (overig)'!$C$17 &amp; "1:" &amp; 'Hulp (overig)'!$C$17 &amp; 1000
        ),
        IFERROR(MIN(
            IF(
                (TRIM(INDIRECT("'" &amp; 'Hulp (overig)'!$C$16 &amp; "'!B1:B1000")) = TEXT(N105,"0")) *
                (ROW(INDIRECT("'" &amp; 'Hulp (overig)'!$C$16 &amp; "'!B1:B1000")) &gt;= MATCH(
                    N103,
                    INDIRECT("'" &amp; 'Hulp (overig)'!$C$16 &amp; "'!A1:A1000"),
                    0
                )) *
                IF(
                    O103="",
                    1,
                    (ROW(INDIRECT("'" &amp; 'Hulp (overig)'!$C$16 &amp; "'!B1:B1000")) &lt; MATCH(
                        O103,
                        INDIRECT("'" &amp; 'Hulp (overig)'!$C$16 &amp; "'!A1:A1000"),
                        0
                    ))
                ),
                ROW(INDIRECT("'" &amp; 'Hulp (overig)'!$C$16 &amp; "'!B1:B1000"))
            )
        ),0)
    ))
))))</f>
        <v>#VALUE!</v>
      </c>
      <c r="O106" s="425" t="e" cm="1">
        <f t="array" aca="1" ref="O106" ca="1">IF($BF106, IF(O103="","",
   INDEX(
      INDIRECT("'" &amp; 'Hulp (CAO''s)'!$AE$8 &amp; "'!" &amp;
               'Hulp (overig)'!$C$17 &amp; "1:" &amp;
               'Hulp (overig)'!$C$17 &amp; "1000"),
      MATCH(
         O103,
         INDIRECT("'" &amp; 'Hulp (CAO''s)'!$AE$8 &amp; "'!A1:A1000"),
         0
      )
   )
), IF($D104="Gebruik % van maximum salaris",
IF(
    OR(O103="",O104=""),
    "",
    MAX(
        INDIRECT(
            "'" &amp; 'Hulp (overig)'!$C$16 &amp; "'!" &amp;
            'Hulp (overig)'!$C$17 &amp;
            MATCH(O103, INDIRECT("'" &amp; 'Hulp (overig)'!$C$16 &amp; "'!A1:A1000"), 0) &amp;
            ":" &amp;
            'Hulp (overig)'!$C$17 &amp;
LOOKUP(
    2,
    1 / (
        (ROW(INDIRECT("'" &amp; 'Hulp (overig)'!$C$16 &amp; "'!B1:B1000")) &lt;
            IF(P103&lt;&gt;"",
               MATCH(P103, INDIRECT("'" &amp; 'Hulp (overig)'!$C$16 &amp; "'!A1:A1000"),0),
               1000
            )
        ) *
        (LEFT(TRIM(INDIRECT("'" &amp; 'Hulp (overig)'!$C$16 &amp; "'!B1:B1000")),1) &lt;&gt; "u")
    ),
    ROW(INDIRECT("'" &amp; 'Hulp (overig)'!$C$16 &amp; "'!B1:B1000"))
)
        )
    ) * O104
),
IF(O105="","",
IF(
    IFERROR(MIN(
        IF(
            (TRIM(INDIRECT("'" &amp; 'Hulp (overig)'!$C$16 &amp; "'!B1:B1000")) = TEXT(O105,"0")) *
            (ROW(INDIRECT("'" &amp; 'Hulp (overig)'!$C$16 &amp; "'!B1:B1000")) &gt;= MATCH(
                O103,
                INDIRECT("'" &amp; 'Hulp (overig)'!$C$16 &amp; "'!A1:A1000"),
                0
            )) *
            IF(
                P103="",
                1,
                (ROW(INDIRECT("'" &amp; 'Hulp (overig)'!$C$16 &amp; "'!B1:B1000")) &lt; MATCH(
                    P103,
                    INDIRECT("'" &amp; 'Hulp (overig)'!$C$16 &amp; "'!A1:A1000"),
                    0
                ))
            ),
            ROW(INDIRECT("'" &amp; 'Hulp (overig)'!$C$16 &amp; "'!B1:B1000"))
        )
    ),0) &lt; 1,
    "",
    IF(INDEX(
        INDIRECT("'" &amp; 'Hulp (overig)'!$C$16 &amp; "'!" &amp;
        'Hulp (overig)'!$C$17 &amp; "1:" &amp; 'Hulp (overig)'!$C$17 &amp; 1000
        ),
        IFERROR(MIN(
            IF(
                (TRIM(INDIRECT("'" &amp; 'Hulp (overig)'!$C$16 &amp; "'!B1:B1000")) = TEXT(O105,"0")) *
                (ROW(INDIRECT("'" &amp; 'Hulp (overig)'!$C$16 &amp; "'!B1:B1000")) &gt;= MATCH(
                    O103,
                    INDIRECT("'" &amp; 'Hulp (overig)'!$C$16 &amp; "'!A1:A1000"),
                    0
                )) *
                IF(
                    P103="",
                    1,
                    (ROW(INDIRECT("'" &amp; 'Hulp (overig)'!$C$16 &amp; "'!B1:B1000")) &lt; MATCH(
                        P103,
                        INDIRECT("'" &amp; 'Hulp (overig)'!$C$16 &amp; "'!A1:A1000"),
                        0
                    ))
                ),
                ROW(INDIRECT("'" &amp; 'Hulp (overig)'!$C$16 &amp; "'!B1:B1000"))
            )
        ),0)
    )=0,"",
INDEX(
        INDIRECT("'" &amp; 'Hulp (overig)'!$C$16 &amp; "'!" &amp;
        'Hulp (overig)'!$C$17 &amp; "1:" &amp; 'Hulp (overig)'!$C$17 &amp; 1000
        ),
        IFERROR(MIN(
            IF(
                (TRIM(INDIRECT("'" &amp; 'Hulp (overig)'!$C$16 &amp; "'!B1:B1000")) = TEXT(O105,"0")) *
                (ROW(INDIRECT("'" &amp; 'Hulp (overig)'!$C$16 &amp; "'!B1:B1000")) &gt;= MATCH(
                    O103,
                    INDIRECT("'" &amp; 'Hulp (overig)'!$C$16 &amp; "'!A1:A1000"),
                    0
                )) *
                IF(
                    P103="",
                    1,
                    (ROW(INDIRECT("'" &amp; 'Hulp (overig)'!$C$16 &amp; "'!B1:B1000")) &lt; MATCH(
                        P103,
                        INDIRECT("'" &amp; 'Hulp (overig)'!$C$16 &amp; "'!A1:A1000"),
                        0
                    ))
                ),
                ROW(INDIRECT("'" &amp; 'Hulp (overig)'!$C$16 &amp; "'!B1:B1000"))
            )
        ),0)
    ))
))))</f>
        <v>#VALUE!</v>
      </c>
      <c r="P106" s="425" t="e" cm="1">
        <f t="array" aca="1" ref="P106" ca="1">IF($BF106, IF(P103="","",
   INDEX(
      INDIRECT("'" &amp; 'Hulp (CAO''s)'!$AE$8 &amp; "'!" &amp;
               'Hulp (overig)'!$C$17 &amp; "1:" &amp;
               'Hulp (overig)'!$C$17 &amp; "1000"),
      MATCH(
         P103,
         INDIRECT("'" &amp; 'Hulp (CAO''s)'!$AE$8 &amp; "'!A1:A1000"),
         0
      )
   )
), IF($D104="Gebruik % van maximum salaris",
IF(
    OR(P103="",P104=""),
    "",
    MAX(
        INDIRECT(
            "'" &amp; 'Hulp (overig)'!$C$16 &amp; "'!" &amp;
            'Hulp (overig)'!$C$17 &amp;
            MATCH(P103, INDIRECT("'" &amp; 'Hulp (overig)'!$C$16 &amp; "'!A1:A1000"), 0) &amp;
            ":" &amp;
            'Hulp (overig)'!$C$17 &amp;
LOOKUP(
    2,
    1 / (
        (ROW(INDIRECT("'" &amp; 'Hulp (overig)'!$C$16 &amp; "'!B1:B1000")) &lt;
            IF(Q103&lt;&gt;"",
               MATCH(Q103, INDIRECT("'" &amp; 'Hulp (overig)'!$C$16 &amp; "'!A1:A1000"),0),
               1000
            )
        ) *
        (LEFT(TRIM(INDIRECT("'" &amp; 'Hulp (overig)'!$C$16 &amp; "'!B1:B1000")),1) &lt;&gt; "u")
    ),
    ROW(INDIRECT("'" &amp; 'Hulp (overig)'!$C$16 &amp; "'!B1:B1000"))
)
        )
    ) * P104
),
IF(P105="","",
IF(
    IFERROR(MIN(
        IF(
            (TRIM(INDIRECT("'" &amp; 'Hulp (overig)'!$C$16 &amp; "'!B1:B1000")) = TEXT(P105,"0")) *
            (ROW(INDIRECT("'" &amp; 'Hulp (overig)'!$C$16 &amp; "'!B1:B1000")) &gt;= MATCH(
                P103,
                INDIRECT("'" &amp; 'Hulp (overig)'!$C$16 &amp; "'!A1:A1000"),
                0
            )) *
            IF(
                Q103="",
                1,
                (ROW(INDIRECT("'" &amp; 'Hulp (overig)'!$C$16 &amp; "'!B1:B1000")) &lt; MATCH(
                    Q103,
                    INDIRECT("'" &amp; 'Hulp (overig)'!$C$16 &amp; "'!A1:A1000"),
                    0
                ))
            ),
            ROW(INDIRECT("'" &amp; 'Hulp (overig)'!$C$16 &amp; "'!B1:B1000"))
        )
    ),0) &lt; 1,
    "",
    IF(INDEX(
        INDIRECT("'" &amp; 'Hulp (overig)'!$C$16 &amp; "'!" &amp;
        'Hulp (overig)'!$C$17 &amp; "1:" &amp; 'Hulp (overig)'!$C$17 &amp; 1000
        ),
        IFERROR(MIN(
            IF(
                (TRIM(INDIRECT("'" &amp; 'Hulp (overig)'!$C$16 &amp; "'!B1:B1000")) = TEXT(P105,"0")) *
                (ROW(INDIRECT("'" &amp; 'Hulp (overig)'!$C$16 &amp; "'!B1:B1000")) &gt;= MATCH(
                    P103,
                    INDIRECT("'" &amp; 'Hulp (overig)'!$C$16 &amp; "'!A1:A1000"),
                    0
                )) *
                IF(
                    Q103="",
                    1,
                    (ROW(INDIRECT("'" &amp; 'Hulp (overig)'!$C$16 &amp; "'!B1:B1000")) &lt; MATCH(
                        Q103,
                        INDIRECT("'" &amp; 'Hulp (overig)'!$C$16 &amp; "'!A1:A1000"),
                        0
                    ))
                ),
                ROW(INDIRECT("'" &amp; 'Hulp (overig)'!$C$16 &amp; "'!B1:B1000"))
            )
        ),0)
    )=0,"",
INDEX(
        INDIRECT("'" &amp; 'Hulp (overig)'!$C$16 &amp; "'!" &amp;
        'Hulp (overig)'!$C$17 &amp; "1:" &amp; 'Hulp (overig)'!$C$17 &amp; 1000
        ),
        IFERROR(MIN(
            IF(
                (TRIM(INDIRECT("'" &amp; 'Hulp (overig)'!$C$16 &amp; "'!B1:B1000")) = TEXT(P105,"0")) *
                (ROW(INDIRECT("'" &amp; 'Hulp (overig)'!$C$16 &amp; "'!B1:B1000")) &gt;= MATCH(
                    P103,
                    INDIRECT("'" &amp; 'Hulp (overig)'!$C$16 &amp; "'!A1:A1000"),
                    0
                )) *
                IF(
                    Q103="",
                    1,
                    (ROW(INDIRECT("'" &amp; 'Hulp (overig)'!$C$16 &amp; "'!B1:B1000")) &lt; MATCH(
                        Q103,
                        INDIRECT("'" &amp; 'Hulp (overig)'!$C$16 &amp; "'!A1:A1000"),
                        0
                    ))
                ),
                ROW(INDIRECT("'" &amp; 'Hulp (overig)'!$C$16 &amp; "'!B1:B1000"))
            )
        ),0)
    ))
))))</f>
        <v>#VALUE!</v>
      </c>
      <c r="Q106" s="425" t="e" cm="1">
        <f t="array" aca="1" ref="Q106" ca="1">IF($BF106, IF(Q103="","",
   INDEX(
      INDIRECT("'" &amp; 'Hulp (CAO''s)'!$AE$8 &amp; "'!" &amp;
               'Hulp (overig)'!$C$17 &amp; "1:" &amp;
               'Hulp (overig)'!$C$17 &amp; "1000"),
      MATCH(
         Q103,
         INDIRECT("'" &amp; 'Hulp (CAO''s)'!$AE$8 &amp; "'!A1:A1000"),
         0
      )
   )
), IF($D104="Gebruik % van maximum salaris",
IF(
    OR(Q103="",Q104=""),
    "",
    MAX(
        INDIRECT(
            "'" &amp; 'Hulp (overig)'!$C$16 &amp; "'!" &amp;
            'Hulp (overig)'!$C$17 &amp;
            MATCH(Q103, INDIRECT("'" &amp; 'Hulp (overig)'!$C$16 &amp; "'!A1:A1000"), 0) &amp;
            ":" &amp;
            'Hulp (overig)'!$C$17 &amp;
LOOKUP(
    2,
    1 / (
        (ROW(INDIRECT("'" &amp; 'Hulp (overig)'!$C$16 &amp; "'!B1:B1000")) &lt;
            IF(R103&lt;&gt;"",
               MATCH(R103, INDIRECT("'" &amp; 'Hulp (overig)'!$C$16 &amp; "'!A1:A1000"),0),
               1000
            )
        ) *
        (LEFT(TRIM(INDIRECT("'" &amp; 'Hulp (overig)'!$C$16 &amp; "'!B1:B1000")),1) &lt;&gt; "u")
    ),
    ROW(INDIRECT("'" &amp; 'Hulp (overig)'!$C$16 &amp; "'!B1:B1000"))
)
        )
    ) * Q104
),
IF(Q105="","",
IF(
    IFERROR(MIN(
        IF(
            (TRIM(INDIRECT("'" &amp; 'Hulp (overig)'!$C$16 &amp; "'!B1:B1000")) = TEXT(Q105,"0")) *
            (ROW(INDIRECT("'" &amp; 'Hulp (overig)'!$C$16 &amp; "'!B1:B1000")) &gt;= MATCH(
                Q103,
                INDIRECT("'" &amp; 'Hulp (overig)'!$C$16 &amp; "'!A1:A1000"),
                0
            )) *
            IF(
                R103="",
                1,
                (ROW(INDIRECT("'" &amp; 'Hulp (overig)'!$C$16 &amp; "'!B1:B1000")) &lt; MATCH(
                    R103,
                    INDIRECT("'" &amp; 'Hulp (overig)'!$C$16 &amp; "'!A1:A1000"),
                    0
                ))
            ),
            ROW(INDIRECT("'" &amp; 'Hulp (overig)'!$C$16 &amp; "'!B1:B1000"))
        )
    ),0) &lt; 1,
    "",
    IF(INDEX(
        INDIRECT("'" &amp; 'Hulp (overig)'!$C$16 &amp; "'!" &amp;
        'Hulp (overig)'!$C$17 &amp; "1:" &amp; 'Hulp (overig)'!$C$17 &amp; 1000
        ),
        IFERROR(MIN(
            IF(
                (TRIM(INDIRECT("'" &amp; 'Hulp (overig)'!$C$16 &amp; "'!B1:B1000")) = TEXT(Q105,"0")) *
                (ROW(INDIRECT("'" &amp; 'Hulp (overig)'!$C$16 &amp; "'!B1:B1000")) &gt;= MATCH(
                    Q103,
                    INDIRECT("'" &amp; 'Hulp (overig)'!$C$16 &amp; "'!A1:A1000"),
                    0
                )) *
                IF(
                    R103="",
                    1,
                    (ROW(INDIRECT("'" &amp; 'Hulp (overig)'!$C$16 &amp; "'!B1:B1000")) &lt; MATCH(
                        R103,
                        INDIRECT("'" &amp; 'Hulp (overig)'!$C$16 &amp; "'!A1:A1000"),
                        0
                    ))
                ),
                ROW(INDIRECT("'" &amp; 'Hulp (overig)'!$C$16 &amp; "'!B1:B1000"))
            )
        ),0)
    )=0,"",
INDEX(
        INDIRECT("'" &amp; 'Hulp (overig)'!$C$16 &amp; "'!" &amp;
        'Hulp (overig)'!$C$17 &amp; "1:" &amp; 'Hulp (overig)'!$C$17 &amp; 1000
        ),
        IFERROR(MIN(
            IF(
                (TRIM(INDIRECT("'" &amp; 'Hulp (overig)'!$C$16 &amp; "'!B1:B1000")) = TEXT(Q105,"0")) *
                (ROW(INDIRECT("'" &amp; 'Hulp (overig)'!$C$16 &amp; "'!B1:B1000")) &gt;= MATCH(
                    Q103,
                    INDIRECT("'" &amp; 'Hulp (overig)'!$C$16 &amp; "'!A1:A1000"),
                    0
                )) *
                IF(
                    R103="",
                    1,
                    (ROW(INDIRECT("'" &amp; 'Hulp (overig)'!$C$16 &amp; "'!B1:B1000")) &lt; MATCH(
                        R103,
                        INDIRECT("'" &amp; 'Hulp (overig)'!$C$16 &amp; "'!A1:A1000"),
                        0
                    ))
                ),
                ROW(INDIRECT("'" &amp; 'Hulp (overig)'!$C$16 &amp; "'!B1:B1000"))
            )
        ),0)
    ))
))))</f>
        <v>#VALUE!</v>
      </c>
      <c r="R106" s="425" t="e" cm="1">
        <f t="array" aca="1" ref="R106" ca="1">IF($BF106, IF(R103="","",
   INDEX(
      INDIRECT("'" &amp; 'Hulp (CAO''s)'!$AE$8 &amp; "'!" &amp;
               'Hulp (overig)'!$C$17 &amp; "1:" &amp;
               'Hulp (overig)'!$C$17 &amp; "1000"),
      MATCH(
         R103,
         INDIRECT("'" &amp; 'Hulp (CAO''s)'!$AE$8 &amp; "'!A1:A1000"),
         0
      )
   )
), IF($D104="Gebruik % van maximum salaris",
IF(
    OR(R103="",R104=""),
    "",
    MAX(
        INDIRECT(
            "'" &amp; 'Hulp (overig)'!$C$16 &amp; "'!" &amp;
            'Hulp (overig)'!$C$17 &amp;
            MATCH(R103, INDIRECT("'" &amp; 'Hulp (overig)'!$C$16 &amp; "'!A1:A1000"), 0) &amp;
            ":" &amp;
            'Hulp (overig)'!$C$17 &amp;
LOOKUP(
    2,
    1 / (
        (ROW(INDIRECT("'" &amp; 'Hulp (overig)'!$C$16 &amp; "'!B1:B1000")) &lt;
            IF(S103&lt;&gt;"",
               MATCH(S103, INDIRECT("'" &amp; 'Hulp (overig)'!$C$16 &amp; "'!A1:A1000"),0),
               1000
            )
        ) *
        (LEFT(TRIM(INDIRECT("'" &amp; 'Hulp (overig)'!$C$16 &amp; "'!B1:B1000")),1) &lt;&gt; "u")
    ),
    ROW(INDIRECT("'" &amp; 'Hulp (overig)'!$C$16 &amp; "'!B1:B1000"))
)
        )
    ) * R104
),
IF(R105="","",
IF(
    IFERROR(MIN(
        IF(
            (TRIM(INDIRECT("'" &amp; 'Hulp (overig)'!$C$16 &amp; "'!B1:B1000")) = TEXT(R105,"0")) *
            (ROW(INDIRECT("'" &amp; 'Hulp (overig)'!$C$16 &amp; "'!B1:B1000")) &gt;= MATCH(
                R103,
                INDIRECT("'" &amp; 'Hulp (overig)'!$C$16 &amp; "'!A1:A1000"),
                0
            )) *
            IF(
                S103="",
                1,
                (ROW(INDIRECT("'" &amp; 'Hulp (overig)'!$C$16 &amp; "'!B1:B1000")) &lt; MATCH(
                    S103,
                    INDIRECT("'" &amp; 'Hulp (overig)'!$C$16 &amp; "'!A1:A1000"),
                    0
                ))
            ),
            ROW(INDIRECT("'" &amp; 'Hulp (overig)'!$C$16 &amp; "'!B1:B1000"))
        )
    ),0) &lt; 1,
    "",
    IF(INDEX(
        INDIRECT("'" &amp; 'Hulp (overig)'!$C$16 &amp; "'!" &amp;
        'Hulp (overig)'!$C$17 &amp; "1:" &amp; 'Hulp (overig)'!$C$17 &amp; 1000
        ),
        IFERROR(MIN(
            IF(
                (TRIM(INDIRECT("'" &amp; 'Hulp (overig)'!$C$16 &amp; "'!B1:B1000")) = TEXT(R105,"0")) *
                (ROW(INDIRECT("'" &amp; 'Hulp (overig)'!$C$16 &amp; "'!B1:B1000")) &gt;= MATCH(
                    R103,
                    INDIRECT("'" &amp; 'Hulp (overig)'!$C$16 &amp; "'!A1:A1000"),
                    0
                )) *
                IF(
                    S103="",
                    1,
                    (ROW(INDIRECT("'" &amp; 'Hulp (overig)'!$C$16 &amp; "'!B1:B1000")) &lt; MATCH(
                        S103,
                        INDIRECT("'" &amp; 'Hulp (overig)'!$C$16 &amp; "'!A1:A1000"),
                        0
                    ))
                ),
                ROW(INDIRECT("'" &amp; 'Hulp (overig)'!$C$16 &amp; "'!B1:B1000"))
            )
        ),0)
    )=0,"",
INDEX(
        INDIRECT("'" &amp; 'Hulp (overig)'!$C$16 &amp; "'!" &amp;
        'Hulp (overig)'!$C$17 &amp; "1:" &amp; 'Hulp (overig)'!$C$17 &amp; 1000
        ),
        IFERROR(MIN(
            IF(
                (TRIM(INDIRECT("'" &amp; 'Hulp (overig)'!$C$16 &amp; "'!B1:B1000")) = TEXT(R105,"0")) *
                (ROW(INDIRECT("'" &amp; 'Hulp (overig)'!$C$16 &amp; "'!B1:B1000")) &gt;= MATCH(
                    R103,
                    INDIRECT("'" &amp; 'Hulp (overig)'!$C$16 &amp; "'!A1:A1000"),
                    0
                )) *
                IF(
                    S103="",
                    1,
                    (ROW(INDIRECT("'" &amp; 'Hulp (overig)'!$C$16 &amp; "'!B1:B1000")) &lt; MATCH(
                        S103,
                        INDIRECT("'" &amp; 'Hulp (overig)'!$C$16 &amp; "'!A1:A1000"),
                        0
                    ))
                ),
                ROW(INDIRECT("'" &amp; 'Hulp (overig)'!$C$16 &amp; "'!B1:B1000"))
            )
        ),0)
    ))
))))</f>
        <v>#VALUE!</v>
      </c>
      <c r="S106" s="425" t="e" cm="1">
        <f t="array" aca="1" ref="S106" ca="1">IF($BF106, IF(S103="","",
   INDEX(
      INDIRECT("'" &amp; 'Hulp (CAO''s)'!$AE$8 &amp; "'!" &amp;
               'Hulp (overig)'!$C$17 &amp; "1:" &amp;
               'Hulp (overig)'!$C$17 &amp; "1000"),
      MATCH(
         S103,
         INDIRECT("'" &amp; 'Hulp (CAO''s)'!$AE$8 &amp; "'!A1:A1000"),
         0
      )
   )
), IF($D104="Gebruik % van maximum salaris",
IF(
    OR(S103="",S104=""),
    "",
    MAX(
        INDIRECT(
            "'" &amp; 'Hulp (overig)'!$C$16 &amp; "'!" &amp;
            'Hulp (overig)'!$C$17 &amp;
            MATCH(S103, INDIRECT("'" &amp; 'Hulp (overig)'!$C$16 &amp; "'!A1:A1000"), 0) &amp;
            ":" &amp;
            'Hulp (overig)'!$C$17 &amp;
LOOKUP(
    2,
    1 / (
        (ROW(INDIRECT("'" &amp; 'Hulp (overig)'!$C$16 &amp; "'!B1:B1000")) &lt;
            IF(T103&lt;&gt;"",
               MATCH(T103, INDIRECT("'" &amp; 'Hulp (overig)'!$C$16 &amp; "'!A1:A1000"),0),
               1000
            )
        ) *
        (LEFT(TRIM(INDIRECT("'" &amp; 'Hulp (overig)'!$C$16 &amp; "'!B1:B1000")),1) &lt;&gt; "u")
    ),
    ROW(INDIRECT("'" &amp; 'Hulp (overig)'!$C$16 &amp; "'!B1:B1000"))
)
        )
    ) * S104
),
IF(S105="","",
IF(
    IFERROR(MIN(
        IF(
            (TRIM(INDIRECT("'" &amp; 'Hulp (overig)'!$C$16 &amp; "'!B1:B1000")) = TEXT(S105,"0")) *
            (ROW(INDIRECT("'" &amp; 'Hulp (overig)'!$C$16 &amp; "'!B1:B1000")) &gt;= MATCH(
                S103,
                INDIRECT("'" &amp; 'Hulp (overig)'!$C$16 &amp; "'!A1:A1000"),
                0
            )) *
            IF(
                T103="",
                1,
                (ROW(INDIRECT("'" &amp; 'Hulp (overig)'!$C$16 &amp; "'!B1:B1000")) &lt; MATCH(
                    T103,
                    INDIRECT("'" &amp; 'Hulp (overig)'!$C$16 &amp; "'!A1:A1000"),
                    0
                ))
            ),
            ROW(INDIRECT("'" &amp; 'Hulp (overig)'!$C$16 &amp; "'!B1:B1000"))
        )
    ),0) &lt; 1,
    "",
    IF(INDEX(
        INDIRECT("'" &amp; 'Hulp (overig)'!$C$16 &amp; "'!" &amp;
        'Hulp (overig)'!$C$17 &amp; "1:" &amp; 'Hulp (overig)'!$C$17 &amp; 1000
        ),
        IFERROR(MIN(
            IF(
                (TRIM(INDIRECT("'" &amp; 'Hulp (overig)'!$C$16 &amp; "'!B1:B1000")) = TEXT(S105,"0")) *
                (ROW(INDIRECT("'" &amp; 'Hulp (overig)'!$C$16 &amp; "'!B1:B1000")) &gt;= MATCH(
                    S103,
                    INDIRECT("'" &amp; 'Hulp (overig)'!$C$16 &amp; "'!A1:A1000"),
                    0
                )) *
                IF(
                    T103="",
                    1,
                    (ROW(INDIRECT("'" &amp; 'Hulp (overig)'!$C$16 &amp; "'!B1:B1000")) &lt; MATCH(
                        T103,
                        INDIRECT("'" &amp; 'Hulp (overig)'!$C$16 &amp; "'!A1:A1000"),
                        0
                    ))
                ),
                ROW(INDIRECT("'" &amp; 'Hulp (overig)'!$C$16 &amp; "'!B1:B1000"))
            )
        ),0)
    )=0,"",
INDEX(
        INDIRECT("'" &amp; 'Hulp (overig)'!$C$16 &amp; "'!" &amp;
        'Hulp (overig)'!$C$17 &amp; "1:" &amp; 'Hulp (overig)'!$C$17 &amp; 1000
        ),
        IFERROR(MIN(
            IF(
                (TRIM(INDIRECT("'" &amp; 'Hulp (overig)'!$C$16 &amp; "'!B1:B1000")) = TEXT(S105,"0")) *
                (ROW(INDIRECT("'" &amp; 'Hulp (overig)'!$C$16 &amp; "'!B1:B1000")) &gt;= MATCH(
                    S103,
                    INDIRECT("'" &amp; 'Hulp (overig)'!$C$16 &amp; "'!A1:A1000"),
                    0
                )) *
                IF(
                    T103="",
                    1,
                    (ROW(INDIRECT("'" &amp; 'Hulp (overig)'!$C$16 &amp; "'!B1:B1000")) &lt; MATCH(
                        T103,
                        INDIRECT("'" &amp; 'Hulp (overig)'!$C$16 &amp; "'!A1:A1000"),
                        0
                    ))
                ),
                ROW(INDIRECT("'" &amp; 'Hulp (overig)'!$C$16 &amp; "'!B1:B1000"))
            )
        ),0)
    ))
))))</f>
        <v>#VALUE!</v>
      </c>
      <c r="T106" s="425" t="e" cm="1">
        <f t="array" aca="1" ref="T106" ca="1">IF($BF106, IF(T103="","",
   INDEX(
      INDIRECT("'" &amp; 'Hulp (CAO''s)'!$AE$8 &amp; "'!" &amp;
               'Hulp (overig)'!$C$17 &amp; "1:" &amp;
               'Hulp (overig)'!$C$17 &amp; "1000"),
      MATCH(
         T103,
         INDIRECT("'" &amp; 'Hulp (CAO''s)'!$AE$8 &amp; "'!A1:A1000"),
         0
      )
   )
), IF($D104="Gebruik % van maximum salaris",
IF(
    OR(T103="",T104=""),
    "",
    MAX(
        INDIRECT(
            "'" &amp; 'Hulp (overig)'!$C$16 &amp; "'!" &amp;
            'Hulp (overig)'!$C$17 &amp;
            MATCH(T103, INDIRECT("'" &amp; 'Hulp (overig)'!$C$16 &amp; "'!A1:A1000"), 0) &amp;
            ":" &amp;
            'Hulp (overig)'!$C$17 &amp;
LOOKUP(
    2,
    1 / (
        (ROW(INDIRECT("'" &amp; 'Hulp (overig)'!$C$16 &amp; "'!B1:B1000")) &lt;
            IF(U103&lt;&gt;"",
               MATCH(U103, INDIRECT("'" &amp; 'Hulp (overig)'!$C$16 &amp; "'!A1:A1000"),0),
               1000
            )
        ) *
        (LEFT(TRIM(INDIRECT("'" &amp; 'Hulp (overig)'!$C$16 &amp; "'!B1:B1000")),1) &lt;&gt; "u")
    ),
    ROW(INDIRECT("'" &amp; 'Hulp (overig)'!$C$16 &amp; "'!B1:B1000"))
)
        )
    ) * T104
),
IF(T105="","",
IF(
    IFERROR(MIN(
        IF(
            (TRIM(INDIRECT("'" &amp; 'Hulp (overig)'!$C$16 &amp; "'!B1:B1000")) = TEXT(T105,"0")) *
            (ROW(INDIRECT("'" &amp; 'Hulp (overig)'!$C$16 &amp; "'!B1:B1000")) &gt;= MATCH(
                T103,
                INDIRECT("'" &amp; 'Hulp (overig)'!$C$16 &amp; "'!A1:A1000"),
                0
            )) *
            IF(
                U103="",
                1,
                (ROW(INDIRECT("'" &amp; 'Hulp (overig)'!$C$16 &amp; "'!B1:B1000")) &lt; MATCH(
                    U103,
                    INDIRECT("'" &amp; 'Hulp (overig)'!$C$16 &amp; "'!A1:A1000"),
                    0
                ))
            ),
            ROW(INDIRECT("'" &amp; 'Hulp (overig)'!$C$16 &amp; "'!B1:B1000"))
        )
    ),0) &lt; 1,
    "",
    IF(INDEX(
        INDIRECT("'" &amp; 'Hulp (overig)'!$C$16 &amp; "'!" &amp;
        'Hulp (overig)'!$C$17 &amp; "1:" &amp; 'Hulp (overig)'!$C$17 &amp; 1000
        ),
        IFERROR(MIN(
            IF(
                (TRIM(INDIRECT("'" &amp; 'Hulp (overig)'!$C$16 &amp; "'!B1:B1000")) = TEXT(T105,"0")) *
                (ROW(INDIRECT("'" &amp; 'Hulp (overig)'!$C$16 &amp; "'!B1:B1000")) &gt;= MATCH(
                    T103,
                    INDIRECT("'" &amp; 'Hulp (overig)'!$C$16 &amp; "'!A1:A1000"),
                    0
                )) *
                IF(
                    U103="",
                    1,
                    (ROW(INDIRECT("'" &amp; 'Hulp (overig)'!$C$16 &amp; "'!B1:B1000")) &lt; MATCH(
                        U103,
                        INDIRECT("'" &amp; 'Hulp (overig)'!$C$16 &amp; "'!A1:A1000"),
                        0
                    ))
                ),
                ROW(INDIRECT("'" &amp; 'Hulp (overig)'!$C$16 &amp; "'!B1:B1000"))
            )
        ),0)
    )=0,"",
INDEX(
        INDIRECT("'" &amp; 'Hulp (overig)'!$C$16 &amp; "'!" &amp;
        'Hulp (overig)'!$C$17 &amp; "1:" &amp; 'Hulp (overig)'!$C$17 &amp; 1000
        ),
        IFERROR(MIN(
            IF(
                (TRIM(INDIRECT("'" &amp; 'Hulp (overig)'!$C$16 &amp; "'!B1:B1000")) = TEXT(T105,"0")) *
                (ROW(INDIRECT("'" &amp; 'Hulp (overig)'!$C$16 &amp; "'!B1:B1000")) &gt;= MATCH(
                    T103,
                    INDIRECT("'" &amp; 'Hulp (overig)'!$C$16 &amp; "'!A1:A1000"),
                    0
                )) *
                IF(
                    U103="",
                    1,
                    (ROW(INDIRECT("'" &amp; 'Hulp (overig)'!$C$16 &amp; "'!B1:B1000")) &lt; MATCH(
                        U103,
                        INDIRECT("'" &amp; 'Hulp (overig)'!$C$16 &amp; "'!A1:A1000"),
                        0
                    ))
                ),
                ROW(INDIRECT("'" &amp; 'Hulp (overig)'!$C$16 &amp; "'!B1:B1000"))
            )
        ),0)
    ))
))))</f>
        <v>#VALUE!</v>
      </c>
      <c r="U106" s="723" t="e" cm="1">
        <f t="array" aca="1" ref="U106" ca="1">IF($BF106, IF(U103="","",
   INDEX(
      INDIRECT("'" &amp; 'Hulp (CAO''s)'!$AE$8 &amp; "'!" &amp;
               'Hulp (overig)'!$C$17 &amp; "1:" &amp;
               'Hulp (overig)'!$C$17 &amp; "1000"),
      MATCH(
         U103,
         INDIRECT("'" &amp; 'Hulp (CAO''s)'!$AE$8 &amp; "'!A1:A1000"),
         0
      )
   )
), IF($D104="Gebruik % van maximum salaris",
IF(
    OR(U103="",U104=""),
    "",
    MAX(
        INDIRECT(
            "'" &amp; 'Hulp (overig)'!$C$16 &amp; "'!" &amp;
            'Hulp (overig)'!$C$17 &amp;
            MATCH(U103, INDIRECT("'" &amp; 'Hulp (overig)'!$C$16 &amp; "'!A1:A1000"), 0) &amp;
            ":" &amp;
            'Hulp (overig)'!$C$17 &amp;
LOOKUP(
    2,
    1 / (
        (ROW(INDIRECT("'" &amp; 'Hulp (overig)'!$C$16 &amp; "'!B1:B1000")) &lt;
            IF(V103&lt;&gt;"",
               MATCH(V103, INDIRECT("'" &amp; 'Hulp (overig)'!$C$16 &amp; "'!A1:A1000"),0),
               1000
            )
        ) *
        (LEFT(TRIM(INDIRECT("'" &amp; 'Hulp (overig)'!$C$16 &amp; "'!B1:B1000")),1) &lt;&gt; "u")
    ),
    ROW(INDIRECT("'" &amp; 'Hulp (overig)'!$C$16 &amp; "'!B1:B1000"))
)
        )
    ) * U104
),
IF(U105="","",
IF(
    IFERROR(MIN(
        IF(
            (TRIM(INDIRECT("'" &amp; 'Hulp (overig)'!$C$16 &amp; "'!B1:B1000")) = TEXT(U105,"0")) *
            (ROW(INDIRECT("'" &amp; 'Hulp (overig)'!$C$16 &amp; "'!B1:B1000")) &gt;= MATCH(
                U103,
                INDIRECT("'" &amp; 'Hulp (overig)'!$C$16 &amp; "'!A1:A1000"),
                0
            )) *
            IF(
                V103="",
                1,
                (ROW(INDIRECT("'" &amp; 'Hulp (overig)'!$C$16 &amp; "'!B1:B1000")) &lt; MATCH(
                    V103,
                    INDIRECT("'" &amp; 'Hulp (overig)'!$C$16 &amp; "'!A1:A1000"),
                    0
                ))
            ),
            ROW(INDIRECT("'" &amp; 'Hulp (overig)'!$C$16 &amp; "'!B1:B1000"))
        )
    ),0) &lt; 1,
    "",
    IF(INDEX(
        INDIRECT("'" &amp; 'Hulp (overig)'!$C$16 &amp; "'!" &amp;
        'Hulp (overig)'!$C$17 &amp; "1:" &amp; 'Hulp (overig)'!$C$17 &amp; 1000
        ),
        IFERROR(MIN(
            IF(
                (TRIM(INDIRECT("'" &amp; 'Hulp (overig)'!$C$16 &amp; "'!B1:B1000")) = TEXT(U105,"0")) *
                (ROW(INDIRECT("'" &amp; 'Hulp (overig)'!$C$16 &amp; "'!B1:B1000")) &gt;= MATCH(
                    U103,
                    INDIRECT("'" &amp; 'Hulp (overig)'!$C$16 &amp; "'!A1:A1000"),
                    0
                )) *
                IF(
                    V103="",
                    1,
                    (ROW(INDIRECT("'" &amp; 'Hulp (overig)'!$C$16 &amp; "'!B1:B1000")) &lt; MATCH(
                        V103,
                        INDIRECT("'" &amp; 'Hulp (overig)'!$C$16 &amp; "'!A1:A1000"),
                        0
                    ))
                ),
                ROW(INDIRECT("'" &amp; 'Hulp (overig)'!$C$16 &amp; "'!B1:B1000"))
            )
        ),0)
    )=0,"",
INDEX(
        INDIRECT("'" &amp; 'Hulp (overig)'!$C$16 &amp; "'!" &amp;
        'Hulp (overig)'!$C$17 &amp; "1:" &amp; 'Hulp (overig)'!$C$17 &amp; 1000
        ),
        IFERROR(MIN(
            IF(
                (TRIM(INDIRECT("'" &amp; 'Hulp (overig)'!$C$16 &amp; "'!B1:B1000")) = TEXT(U105,"0")) *
                (ROW(INDIRECT("'" &amp; 'Hulp (overig)'!$C$16 &amp; "'!B1:B1000")) &gt;= MATCH(
                    U103,
                    INDIRECT("'" &amp; 'Hulp (overig)'!$C$16 &amp; "'!A1:A1000"),
                    0
                )) *
                IF(
                    V103="",
                    1,
                    (ROW(INDIRECT("'" &amp; 'Hulp (overig)'!$C$16 &amp; "'!B1:B1000")) &lt; MATCH(
                        V103,
                        INDIRECT("'" &amp; 'Hulp (overig)'!$C$16 &amp; "'!A1:A1000"),
                        0
                    ))
                ),
                ROW(INDIRECT("'" &amp; 'Hulp (overig)'!$C$16 &amp; "'!B1:B1000"))
            )
        ),0)
    ))
))))</f>
        <v>#VALUE!</v>
      </c>
      <c r="V106" s="413" t="str" cm="1">
        <f t="array" ref="V106">IF(SUM(F107:U107)=0,"",
IF(SUM(F106:U106)=0,"",
IF(SUMPRODUCT((F107:U107&lt;&gt;0)*(F106:U106=""))&gt;0,"",
(
   SUMPRODUCT(
      IF(F106:U106="",0,F106:U106),
      IF(F107:U107="",0,F107:U107) / SUM(F107:U107)
   )
))))</f>
        <v/>
      </c>
      <c r="W106" s="418"/>
      <c r="X106" s="620"/>
      <c r="Y106" s="419" t="str">
        <f ca="1">IF(B103="","",
        IF(INDIRECT("'Hulp (control forms)'!C" &amp; (13 + INT((ROW()-ROW($B$5))/7))),
            IF(X106="","",X106),
            IF(V106="","",V106)
    )
)</f>
        <v/>
      </c>
      <c r="Z106" s="333"/>
      <c r="AA106" s="771"/>
      <c r="AB106" s="770"/>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c r="BA106" cm="1">
        <f t="array" aca="1" ref="BA106" ca="1">IF(
   SUM(Y106)=0,
   1,
   IF(
      N(INDIRECT("'Hulp (control forms)'!C"&amp;(13+INT((ROW()-ROW($B$5))/7))))&lt;&gt;0,
      MIN(1,
      ('Hulp (overig)'!$C$6/12) /
      (Y106 * BC106 + BD106)),
      MIN(1,
         IF(
            SUM(F106:U106)=0,
            "",
            SUMPRODUCT(
               IF(
                  (IF(F106:U106="",0,F106:U106) * BC106) + BD106
                  &gt; 'Hulp (overig)'!$C$6/12,
                  'Hulp (overig)'!$C$6/12,
                  (IF(F106:U106="",0,F106:U106) * BC106) + BD106
               ),
               IF(F107:U107="",0,F107:U107) / SUM(F107:U107)
            )
         ) /
         ((Y106 * BC106) + BD106)
      )
   )
)</f>
        <v>1</v>
      </c>
      <c r="BB106" cm="1">
        <f t="array" aca="1" ref="BB106" ca="1">IF(
   SUM(Y106)=0,
   1,
   IF(
      N(INDIRECT("'Hulp (control forms)'!C"&amp;(13+INT((ROW()-ROW($B$5))/7))))&lt;&gt;0,
      MIN('Hulp (overig)'!$C$5/12,
      (Y106 * BC106) + BD106) * 12,
         IF(
            SUM(F106:U106)=0,
            "",
            SUMPRODUCT(
               IF(
                  (IF(F106:U106="",0,F106:U106) * BC106) + BD106
                  &gt; 'Hulp (overig)'!$C$5/12,
                  'Hulp (overig)'!$C$5/12,
                  (IF(F106:U106="",0,F106:U106) * BC106) + BD106
               ),
               IF(F107:U107="",0,F107:U107) / SUM(F107:U107)
            )
         ) * 12
   )
)</f>
        <v>1</v>
      </c>
      <c r="BC106" s="287" cm="1">
        <f t="array" aca="1" ref="BC106" ca="1">IFERROR(
   (INDEX('2. Output kostprijs'!$24:$24, 5 + 2*INT((ROW()-8)/7))
    - SUM(INDEX('2. Output kostprijs'!$23:$23, 5 + 2*INT((ROW()-8)/7))))
   / INDEX('2. Output kostprijs'!$19:$19, 5 + 2*INT((ROW()-8)/7)),
   1
)</f>
        <v>1</v>
      </c>
      <c r="BD106" s="287" cm="1">
        <f t="array" aca="1" ref="BD106" ca="1">IFERROR(
   (INDEX('2. Output kostprijs'!$23:$23, 5 + 2*INT((ROW()-8)/7))
    * INDEX('2. Output kostprijs'!$18:$18, 5 + 2*INT((ROW()-8)/7))
   ) / 12,
   0
)</f>
        <v>0</v>
      </c>
      <c r="BE106" t="b">
        <f ca="1">NOT(AND(B103&lt;&gt;"",Y106=""))</f>
        <v>1</v>
      </c>
      <c r="BF106" t="str" cm="1">
        <f t="array" aca="1" ref="BF106" ca="1">INDIRECT("'1a. Input organisatieniveau'!$AD" &amp; 7 + INT((ROW()-ROW($F$8))/7))</f>
        <v/>
      </c>
      <c r="BG106" t="b" cm="1">
        <f t="array" ref="BG106">IFERROR(INDEX('Hulp (control forms)'!C:C, 13 + INT((ROW(A99)-1)/7)),FALSE)</f>
        <v>0</v>
      </c>
    </row>
    <row r="107" spans="1:59" ht="16.05" customHeight="1" thickBot="1" x14ac:dyDescent="0.5">
      <c r="A107" s="289"/>
      <c r="B107" s="343"/>
      <c r="C107" s="325" t="s">
        <v>779</v>
      </c>
      <c r="D107" s="688" t="s">
        <v>60</v>
      </c>
      <c r="E107" s="433" t="s">
        <v>59</v>
      </c>
      <c r="F107" s="624"/>
      <c r="G107" s="624"/>
      <c r="H107" s="624"/>
      <c r="I107" s="624"/>
      <c r="J107" s="624"/>
      <c r="K107" s="624"/>
      <c r="L107" s="624"/>
      <c r="M107" s="624"/>
      <c r="N107" s="624"/>
      <c r="O107" s="624"/>
      <c r="P107" s="624"/>
      <c r="Q107" s="624"/>
      <c r="R107" s="624"/>
      <c r="S107" s="624"/>
      <c r="T107" s="624"/>
      <c r="U107" s="625"/>
      <c r="V107" s="420" t="str">
        <f ca="1">IF($B103="","",IF($D107="Aandeel in %",
   "Totaal: "&amp;SUM(F107:U107)*100&amp;"%",
   "Totaal: "&amp;SUM(F107:U107)&amp;" uur"
))</f>
        <v/>
      </c>
      <c r="W107" s="294"/>
      <c r="X107" s="621"/>
      <c r="Y107" s="328"/>
      <c r="Z107" s="32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row>
    <row r="108" spans="1:59" ht="16.05" customHeight="1" thickBot="1" x14ac:dyDescent="0.5">
      <c r="A108" s="289"/>
      <c r="B108" s="343"/>
      <c r="C108" s="326" t="s">
        <v>779</v>
      </c>
      <c r="D108" s="421"/>
      <c r="E108" s="426"/>
      <c r="F108" s="426"/>
      <c r="G108" s="426"/>
      <c r="H108" s="426"/>
      <c r="I108" s="426"/>
      <c r="J108" s="426"/>
      <c r="K108" s="426"/>
      <c r="L108" s="426"/>
      <c r="M108" s="426"/>
      <c r="N108" s="426"/>
      <c r="O108" s="426"/>
      <c r="P108" s="426"/>
      <c r="Q108" s="426"/>
      <c r="R108" s="426"/>
      <c r="S108" s="426"/>
      <c r="T108" s="427"/>
      <c r="U108" s="427"/>
      <c r="V108" s="421"/>
      <c r="W108" s="421"/>
      <c r="X108" s="622"/>
      <c r="Y108" s="421"/>
      <c r="Z108" s="327"/>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row>
    <row r="109" spans="1:59" ht="16.05" customHeight="1" thickBot="1" x14ac:dyDescent="0.55000000000000004">
      <c r="A109" s="289"/>
      <c r="B109" s="585" t="str">
        <f ca="1">IF(B110="","",
IF(
   OR(
      INDIRECT("'1a. Input organisatieniveau'!AC" &amp; (7 + INT((ROW()-4)/7)))="",
      INDIRECT("'1a. Input organisatieniveau'!AC" &amp; (7 + INT((ROW()-4)/7)))=0
   ),
   "",
   INDIRECT("'1a. Input organisatieniveau'!AC" &amp; (7 + INT((ROW()-4)/7)))
))</f>
        <v/>
      </c>
      <c r="C109" s="324" t="s">
        <v>779</v>
      </c>
      <c r="D109" s="416"/>
      <c r="E109" s="428"/>
      <c r="F109" s="422" t="str">
        <f t="shared" ref="F109:U109" ca="1" si="15">IF($B110="","",
IF($D111="Gebruik % van maximum salaris",
 IF(OR(AND(AND(F110&lt;&gt;"",F111&lt;&gt;""),F113=""),AND(F113="",F114&lt;&gt;"")),"!",""),
 IF(OR(AND(AND(F110&lt;&gt;"",F112&lt;&gt;""),F113=""),AND(F113="",F114&lt;&gt;"")),"!","")))</f>
        <v/>
      </c>
      <c r="G109" s="422" t="str">
        <f t="shared" ca="1" si="15"/>
        <v/>
      </c>
      <c r="H109" s="422" t="str">
        <f t="shared" ca="1" si="15"/>
        <v/>
      </c>
      <c r="I109" s="422" t="str">
        <f t="shared" ca="1" si="15"/>
        <v/>
      </c>
      <c r="J109" s="422" t="str">
        <f t="shared" ca="1" si="15"/>
        <v/>
      </c>
      <c r="K109" s="422" t="str">
        <f t="shared" ca="1" si="15"/>
        <v/>
      </c>
      <c r="L109" s="422" t="str">
        <f t="shared" ca="1" si="15"/>
        <v/>
      </c>
      <c r="M109" s="422" t="str">
        <f t="shared" ca="1" si="15"/>
        <v/>
      </c>
      <c r="N109" s="422" t="str">
        <f t="shared" ca="1" si="15"/>
        <v/>
      </c>
      <c r="O109" s="422" t="str">
        <f t="shared" ca="1" si="15"/>
        <v/>
      </c>
      <c r="P109" s="422" t="str">
        <f t="shared" ca="1" si="15"/>
        <v/>
      </c>
      <c r="Q109" s="422" t="str">
        <f t="shared" ca="1" si="15"/>
        <v/>
      </c>
      <c r="R109" s="422" t="str">
        <f t="shared" ca="1" si="15"/>
        <v/>
      </c>
      <c r="S109" s="422" t="str">
        <f t="shared" ca="1" si="15"/>
        <v/>
      </c>
      <c r="T109" s="422" t="str">
        <f t="shared" ca="1" si="15"/>
        <v/>
      </c>
      <c r="U109" s="422" t="str">
        <f t="shared" ca="1" si="15"/>
        <v/>
      </c>
      <c r="V109" s="416"/>
      <c r="W109" s="416"/>
      <c r="X109" s="619"/>
      <c r="Y109" s="416"/>
      <c r="Z109" s="330"/>
      <c r="AA109" s="354"/>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row>
    <row r="110" spans="1:59" ht="16.05" customHeight="1" thickBot="1" x14ac:dyDescent="0.5">
      <c r="A110" s="289"/>
      <c r="B110" s="586" t="str">
        <f ca="1">IF(
   OR(
      INDIRECT("'1a. Input organisatieniveau'!AA" &amp; (7 + INT((ROW()-4)/7)))="",
      INDIRECT("'1a. Input organisatieniveau'!AA" &amp; (7 + INT((ROW()-4)/7)))=0
   ),
   "",
   INDIRECT("'1a. Input organisatieniveau'!AA" &amp; (7 + INT((ROW()-4)/7)))
)</f>
        <v/>
      </c>
      <c r="C110" s="325" t="s">
        <v>779</v>
      </c>
      <c r="D110" s="434"/>
      <c r="E110" s="429" t="s">
        <v>28</v>
      </c>
      <c r="F110" s="423" t="str">
        <f ca="1">IF($B110="", "", IF($BF113, IF('Hulp (CAO''s)'!J$8&lt;&gt;"",'Hulp (CAO''s)'!J$8,""), INDEX('Hulp (CAO''s)'!J$3:J$7, MATCH(TRUE, 'Hulp (CAO''s)'!$D$3:$D$7, 0))))</f>
        <v/>
      </c>
      <c r="G110" s="423" t="str">
        <f ca="1">IF($B110="", "", IF($BF113, IF('Hulp (CAO''s)'!K$8&lt;&gt;"",'Hulp (CAO''s)'!K$8,""), INDEX('Hulp (CAO''s)'!K$3:K$7, MATCH(TRUE, 'Hulp (CAO''s)'!$D$3:$D$7, 0))))</f>
        <v/>
      </c>
      <c r="H110" s="423" t="str">
        <f ca="1">IF($B110="", "", IF($BF113, IF('Hulp (CAO''s)'!L$8&lt;&gt;"",'Hulp (CAO''s)'!L$8,""), INDEX('Hulp (CAO''s)'!L$3:L$7, MATCH(TRUE, 'Hulp (CAO''s)'!$D$3:$D$7, 0))))</f>
        <v/>
      </c>
      <c r="I110" s="423" t="str">
        <f ca="1">IF($B110="", "", IF($BF113, IF('Hulp (CAO''s)'!M$8&lt;&gt;"",'Hulp (CAO''s)'!M$8,""), INDEX('Hulp (CAO''s)'!M$3:M$7, MATCH(TRUE, 'Hulp (CAO''s)'!$D$3:$D$7, 0))))</f>
        <v/>
      </c>
      <c r="J110" s="423" t="str">
        <f ca="1">IF($B110="", "", IF($BF113, IF('Hulp (CAO''s)'!N$8&lt;&gt;"",'Hulp (CAO''s)'!N$8,""), INDEX('Hulp (CAO''s)'!N$3:N$7, MATCH(TRUE, 'Hulp (CAO''s)'!$D$3:$D$7, 0))))</f>
        <v/>
      </c>
      <c r="K110" s="423" t="str">
        <f ca="1">IF($B110="", "", IF($BF113, IF('Hulp (CAO''s)'!O$8&lt;&gt;"",'Hulp (CAO''s)'!O$8,""), INDEX('Hulp (CAO''s)'!O$3:O$7, MATCH(TRUE, 'Hulp (CAO''s)'!$D$3:$D$7, 0))))</f>
        <v/>
      </c>
      <c r="L110" s="423" t="str">
        <f ca="1">IF($B110="", "", IF($BF113, IF('Hulp (CAO''s)'!P$8&lt;&gt;"",'Hulp (CAO''s)'!P$8,""), INDEX('Hulp (CAO''s)'!P$3:P$7, MATCH(TRUE, 'Hulp (CAO''s)'!$D$3:$D$7, 0))))</f>
        <v/>
      </c>
      <c r="M110" s="423" t="str">
        <f ca="1">IF($B110="", "", IF($BF113, IF('Hulp (CAO''s)'!Q$8&lt;&gt;"",'Hulp (CAO''s)'!Q$8,""), INDEX('Hulp (CAO''s)'!Q$3:Q$7, MATCH(TRUE, 'Hulp (CAO''s)'!$D$3:$D$7, 0))))</f>
        <v/>
      </c>
      <c r="N110" s="423" t="str">
        <f ca="1">IF($B110="", "", IF($BF113, IF('Hulp (CAO''s)'!R$8&lt;&gt;"",'Hulp (CAO''s)'!R$8,""), INDEX('Hulp (CAO''s)'!R$3:R$7, MATCH(TRUE, 'Hulp (CAO''s)'!$D$3:$D$7, 0))))</f>
        <v/>
      </c>
      <c r="O110" s="423" t="str">
        <f ca="1">IF($B110="", "", IF($BF113, IF('Hulp (CAO''s)'!S$8&lt;&gt;"",'Hulp (CAO''s)'!S$8,""), INDEX('Hulp (CAO''s)'!S$3:S$7, MATCH(TRUE, 'Hulp (CAO''s)'!$D$3:$D$7, 0))))</f>
        <v/>
      </c>
      <c r="P110" s="423" t="str">
        <f ca="1">IF($B110="", "", IF($BF113, IF('Hulp (CAO''s)'!T$8&lt;&gt;"",'Hulp (CAO''s)'!T$8,""), INDEX('Hulp (CAO''s)'!T$3:T$7, MATCH(TRUE, 'Hulp (CAO''s)'!$D$3:$D$7, 0))))</f>
        <v/>
      </c>
      <c r="Q110" s="423" t="str">
        <f ca="1">IF($B110="", "", IF($BF113, IF('Hulp (CAO''s)'!U$8&lt;&gt;"",'Hulp (CAO''s)'!U$8,""), INDEX('Hulp (CAO''s)'!U$3:U$7, MATCH(TRUE, 'Hulp (CAO''s)'!$D$3:$D$7, 0))))</f>
        <v/>
      </c>
      <c r="R110" s="423" t="str">
        <f ca="1">IF($B110="", "", IF($BF113, IF('Hulp (CAO''s)'!V$8&lt;&gt;"",'Hulp (CAO''s)'!V$8,""), INDEX('Hulp (CAO''s)'!V$3:V$7, MATCH(TRUE, 'Hulp (CAO''s)'!$D$3:$D$7, 0))))</f>
        <v/>
      </c>
      <c r="S110" s="423" t="str">
        <f ca="1">IF($B110="", "", IF($BF113, IF('Hulp (CAO''s)'!W$8&lt;&gt;"",'Hulp (CAO''s)'!W$8,""), INDEX('Hulp (CAO''s)'!W$3:W$7, MATCH(TRUE, 'Hulp (CAO''s)'!$D$3:$D$7, 0))))</f>
        <v/>
      </c>
      <c r="T110" s="423" t="str">
        <f ca="1">IF($B110="", "", IF($BF113, IF('Hulp (CAO''s)'!X$8&lt;&gt;"",'Hulp (CAO''s)'!X$8,""), INDEX('Hulp (CAO''s)'!X$3:X$7, MATCH(TRUE, 'Hulp (CAO''s)'!$D$3:$D$7, 0))))</f>
        <v/>
      </c>
      <c r="U110" s="424" t="str">
        <f ca="1">IF($B110="", "", IF($BF113, IF('Hulp (CAO''s)'!Y$8&lt;&gt;"",'Hulp (CAO''s)'!Y$8,""), INDEX('Hulp (CAO''s)'!Y$3:Y$7, MATCH(TRUE, 'Hulp (CAO''s)'!$D$3:$D$7, 0))))</f>
        <v/>
      </c>
      <c r="V110" s="417"/>
      <c r="W110" s="343"/>
      <c r="X110" s="617"/>
      <c r="Y110" s="343"/>
      <c r="Z110" s="329"/>
      <c r="AA110" s="320"/>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row>
    <row r="111" spans="1:59" ht="16.05" customHeight="1" x14ac:dyDescent="0.45">
      <c r="A111" s="289"/>
      <c r="B111" s="343"/>
      <c r="C111" s="325" t="s">
        <v>779</v>
      </c>
      <c r="D111" s="772" t="s">
        <v>772</v>
      </c>
      <c r="E111" s="430" t="e">
        <f ca="1">IF($BF113, "", "% t.o.v. max salaris in de schaal")</f>
        <v>#VALUE!</v>
      </c>
      <c r="F111" s="615"/>
      <c r="G111" s="615"/>
      <c r="H111" s="615"/>
      <c r="I111" s="615"/>
      <c r="J111" s="615"/>
      <c r="K111" s="615"/>
      <c r="L111" s="615"/>
      <c r="M111" s="615"/>
      <c r="N111" s="615"/>
      <c r="O111" s="615"/>
      <c r="P111" s="615"/>
      <c r="Q111" s="615"/>
      <c r="R111" s="615"/>
      <c r="S111" s="615"/>
      <c r="T111" s="615"/>
      <c r="U111" s="616"/>
      <c r="V111" s="774" t="s">
        <v>884</v>
      </c>
      <c r="W111" s="332"/>
      <c r="X111" s="776" t="s">
        <v>882</v>
      </c>
      <c r="Y111" s="778" t="s">
        <v>883</v>
      </c>
      <c r="Z111" s="329"/>
      <c r="AA111" s="771" t="s">
        <v>780</v>
      </c>
      <c r="AB111" s="770" t="s">
        <v>1079</v>
      </c>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row>
    <row r="112" spans="1:59" ht="16.05" customHeight="1" thickBot="1" x14ac:dyDescent="0.5">
      <c r="A112" s="289"/>
      <c r="B112" s="343"/>
      <c r="C112" s="325" t="s">
        <v>779</v>
      </c>
      <c r="D112" s="773"/>
      <c r="E112" s="431" t="e">
        <f ca="1">IF($BF113, "", "Trede (gemiddeld)")</f>
        <v>#VALUE!</v>
      </c>
      <c r="F112" s="737"/>
      <c r="G112" s="737"/>
      <c r="H112" s="737"/>
      <c r="I112" s="737"/>
      <c r="J112" s="737"/>
      <c r="K112" s="737"/>
      <c r="L112" s="737"/>
      <c r="M112" s="737"/>
      <c r="N112" s="737"/>
      <c r="O112" s="737"/>
      <c r="P112" s="737"/>
      <c r="Q112" s="737"/>
      <c r="R112" s="737"/>
      <c r="S112" s="737"/>
      <c r="T112" s="737"/>
      <c r="U112" s="740"/>
      <c r="V112" s="775"/>
      <c r="W112" s="294"/>
      <c r="X112" s="777"/>
      <c r="Y112" s="779"/>
      <c r="Z112" s="329"/>
      <c r="AA112" s="771"/>
      <c r="AB112" s="770"/>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row>
    <row r="113" spans="1:59" ht="16.05" customHeight="1" thickBot="1" x14ac:dyDescent="0.5">
      <c r="A113" s="289"/>
      <c r="B113" s="343"/>
      <c r="C113" s="325" t="s">
        <v>779</v>
      </c>
      <c r="E113" s="432" t="str">
        <f>IFERROR(
   INDEX('Hulp (CAO''s)'!$I$3:$I$7, MATCH(TRUE, 'Hulp (CAO''s)'!$D$3:$D$7, 0)),
"")</f>
        <v>Bruto maandsalaris</v>
      </c>
      <c r="F113" s="425" t="e" cm="1">
        <f t="array" aca="1" ref="F113" ca="1">IF($BF113, IF(F110="","",
   INDEX(
      INDIRECT("'" &amp; 'Hulp (CAO''s)'!$AE$8 &amp; "'!" &amp;
               'Hulp (overig)'!$C$17 &amp; "1:" &amp;
               'Hulp (overig)'!$C$17 &amp; "1000"),
      MATCH(
         F110,
         INDIRECT("'" &amp; 'Hulp (CAO''s)'!$AE$8 &amp; "'!A1:A1000"),
         0
      )
   )
), IF($D111="Gebruik % van maximum salaris",
IF(
    OR(F110="",F111=""),
    "",
    MAX(
        INDIRECT(
            "'" &amp; 'Hulp (overig)'!$C$16 &amp; "'!" &amp;
            'Hulp (overig)'!$C$17 &amp;
            MATCH(F110, INDIRECT("'" &amp; 'Hulp (overig)'!$C$16 &amp; "'!A1:A1000"), 0) &amp;
            ":" &amp;
            'Hulp (overig)'!$C$17 &amp;
LOOKUP(
    2,
    1 / (
        (ROW(INDIRECT("'" &amp; 'Hulp (overig)'!$C$16 &amp; "'!B1:B1000")) &lt;
            IF(G110&lt;&gt;"",
               MATCH(G110, INDIRECT("'" &amp; 'Hulp (overig)'!$C$16 &amp; "'!A1:A1000"),0),
               1000
            )
        ) *
        (LEFT(TRIM(INDIRECT("'" &amp; 'Hulp (overig)'!$C$16 &amp; "'!B1:B1000")),1) &lt;&gt; "u")
    ),
    ROW(INDIRECT("'" &amp; 'Hulp (overig)'!$C$16 &amp; "'!B1:B1000"))
)
        )
    ) * F111
),
IF(F112="","",
IF(
    IFERROR(MIN(
        IF(
            (TRIM(INDIRECT("'" &amp; 'Hulp (overig)'!$C$16 &amp; "'!B1:B1000")) = TEXT(F112,"0")) *
            (ROW(INDIRECT("'" &amp; 'Hulp (overig)'!$C$16 &amp; "'!B1:B1000")) &gt;= MATCH(
                F110,
                INDIRECT("'" &amp; 'Hulp (overig)'!$C$16 &amp; "'!A1:A1000"),
                0
            )) *
            IF(
                G110="",
                1,
                (ROW(INDIRECT("'" &amp; 'Hulp (overig)'!$C$16 &amp; "'!B1:B1000")) &lt; MATCH(
                    G110,
                    INDIRECT("'" &amp; 'Hulp (overig)'!$C$16 &amp; "'!A1:A1000"),
                    0
                ))
            ),
            ROW(INDIRECT("'" &amp; 'Hulp (overig)'!$C$16 &amp; "'!B1:B1000"))
        )
    ),0) &lt; 1,
    "",
    IF(INDEX(
        INDIRECT("'" &amp; 'Hulp (overig)'!$C$16 &amp; "'!" &amp;
        'Hulp (overig)'!$C$17 &amp; "1:" &amp; 'Hulp (overig)'!$C$17 &amp; 1000
        ),
        IFERROR(MIN(
            IF(
                (TRIM(INDIRECT("'" &amp; 'Hulp (overig)'!$C$16 &amp; "'!B1:B1000")) = TEXT(F112,"0")) *
                (ROW(INDIRECT("'" &amp; 'Hulp (overig)'!$C$16 &amp; "'!B1:B1000")) &gt;= MATCH(
                    F110,
                    INDIRECT("'" &amp; 'Hulp (overig)'!$C$16 &amp; "'!A1:A1000"),
                    0
                )) *
                IF(
                    G110="",
                    1,
                    (ROW(INDIRECT("'" &amp; 'Hulp (overig)'!$C$16 &amp; "'!B1:B1000")) &lt; MATCH(
                        G110,
                        INDIRECT("'" &amp; 'Hulp (overig)'!$C$16 &amp; "'!A1:A1000"),
                        0
                    ))
                ),
                ROW(INDIRECT("'" &amp; 'Hulp (overig)'!$C$16 &amp; "'!B1:B1000"))
            )
        ),0)
    )=0,"",
INDEX(
        INDIRECT("'" &amp; 'Hulp (overig)'!$C$16 &amp; "'!" &amp;
        'Hulp (overig)'!$C$17 &amp; "1:" &amp; 'Hulp (overig)'!$C$17 &amp; 1000
        ),
        IFERROR(MIN(
            IF(
                (TRIM(INDIRECT("'" &amp; 'Hulp (overig)'!$C$16 &amp; "'!B1:B1000")) = TEXT(F112,"0")) *
                (ROW(INDIRECT("'" &amp; 'Hulp (overig)'!$C$16 &amp; "'!B1:B1000")) &gt;= MATCH(
                    F110,
                    INDIRECT("'" &amp; 'Hulp (overig)'!$C$16 &amp; "'!A1:A1000"),
                    0
                )) *
                IF(
                    G110="",
                    1,
                    (ROW(INDIRECT("'" &amp; 'Hulp (overig)'!$C$16 &amp; "'!B1:B1000")) &lt; MATCH(
                        G110,
                        INDIRECT("'" &amp; 'Hulp (overig)'!$C$16 &amp; "'!A1:A1000"),
                        0
                    ))
                ),
                ROW(INDIRECT("'" &amp; 'Hulp (overig)'!$C$16 &amp; "'!B1:B1000"))
            )
        ),0)
    ))
))))</f>
        <v>#VALUE!</v>
      </c>
      <c r="G113" s="425" t="e" cm="1">
        <f t="array" aca="1" ref="G113" ca="1">IF($BF113, IF(G110="","",
   INDEX(
      INDIRECT("'" &amp; 'Hulp (CAO''s)'!$AE$8 &amp; "'!" &amp;
               'Hulp (overig)'!$C$17 &amp; "1:" &amp;
               'Hulp (overig)'!$C$17 &amp; "1000"),
      MATCH(
         G110,
         INDIRECT("'" &amp; 'Hulp (CAO''s)'!$AE$8 &amp; "'!A1:A1000"),
         0
      )
   )
), IF($D111="Gebruik % van maximum salaris",
IF(
    OR(G110="",G111=""),
    "",
    MAX(
        INDIRECT(
            "'" &amp; 'Hulp (overig)'!$C$16 &amp; "'!" &amp;
            'Hulp (overig)'!$C$17 &amp;
            MATCH(G110, INDIRECT("'" &amp; 'Hulp (overig)'!$C$16 &amp; "'!A1:A1000"), 0) &amp;
            ":" &amp;
            'Hulp (overig)'!$C$17 &amp;
LOOKUP(
    2,
    1 / (
        (ROW(INDIRECT("'" &amp; 'Hulp (overig)'!$C$16 &amp; "'!B1:B1000")) &lt;
            IF(H110&lt;&gt;"",
               MATCH(H110, INDIRECT("'" &amp; 'Hulp (overig)'!$C$16 &amp; "'!A1:A1000"),0),
               1000
            )
        ) *
        (LEFT(TRIM(INDIRECT("'" &amp; 'Hulp (overig)'!$C$16 &amp; "'!B1:B1000")),1) &lt;&gt; "u")
    ),
    ROW(INDIRECT("'" &amp; 'Hulp (overig)'!$C$16 &amp; "'!B1:B1000"))
)
        )
    ) * G111
),
IF(G112="","",
IF(
    IFERROR(MIN(
        IF(
            (TRIM(INDIRECT("'" &amp; 'Hulp (overig)'!$C$16 &amp; "'!B1:B1000")) = TEXT(G112,"0")) *
            (ROW(INDIRECT("'" &amp; 'Hulp (overig)'!$C$16 &amp; "'!B1:B1000")) &gt;= MATCH(
                G110,
                INDIRECT("'" &amp; 'Hulp (overig)'!$C$16 &amp; "'!A1:A1000"),
                0
            )) *
            IF(
                H110="",
                1,
                (ROW(INDIRECT("'" &amp; 'Hulp (overig)'!$C$16 &amp; "'!B1:B1000")) &lt; MATCH(
                    H110,
                    INDIRECT("'" &amp; 'Hulp (overig)'!$C$16 &amp; "'!A1:A1000"),
                    0
                ))
            ),
            ROW(INDIRECT("'" &amp; 'Hulp (overig)'!$C$16 &amp; "'!B1:B1000"))
        )
    ),0) &lt; 1,
    "",
    IF(INDEX(
        INDIRECT("'" &amp; 'Hulp (overig)'!$C$16 &amp; "'!" &amp;
        'Hulp (overig)'!$C$17 &amp; "1:" &amp; 'Hulp (overig)'!$C$17 &amp; 1000
        ),
        IFERROR(MIN(
            IF(
                (TRIM(INDIRECT("'" &amp; 'Hulp (overig)'!$C$16 &amp; "'!B1:B1000")) = TEXT(G112,"0")) *
                (ROW(INDIRECT("'" &amp; 'Hulp (overig)'!$C$16 &amp; "'!B1:B1000")) &gt;= MATCH(
                    G110,
                    INDIRECT("'" &amp; 'Hulp (overig)'!$C$16 &amp; "'!A1:A1000"),
                    0
                )) *
                IF(
                    H110="",
                    1,
                    (ROW(INDIRECT("'" &amp; 'Hulp (overig)'!$C$16 &amp; "'!B1:B1000")) &lt; MATCH(
                        H110,
                        INDIRECT("'" &amp; 'Hulp (overig)'!$C$16 &amp; "'!A1:A1000"),
                        0
                    ))
                ),
                ROW(INDIRECT("'" &amp; 'Hulp (overig)'!$C$16 &amp; "'!B1:B1000"))
            )
        ),0)
    )=0,"",
INDEX(
        INDIRECT("'" &amp; 'Hulp (overig)'!$C$16 &amp; "'!" &amp;
        'Hulp (overig)'!$C$17 &amp; "1:" &amp; 'Hulp (overig)'!$C$17 &amp; 1000
        ),
        IFERROR(MIN(
            IF(
                (TRIM(INDIRECT("'" &amp; 'Hulp (overig)'!$C$16 &amp; "'!B1:B1000")) = TEXT(G112,"0")) *
                (ROW(INDIRECT("'" &amp; 'Hulp (overig)'!$C$16 &amp; "'!B1:B1000")) &gt;= MATCH(
                    G110,
                    INDIRECT("'" &amp; 'Hulp (overig)'!$C$16 &amp; "'!A1:A1000"),
                    0
                )) *
                IF(
                    H110="",
                    1,
                    (ROW(INDIRECT("'" &amp; 'Hulp (overig)'!$C$16 &amp; "'!B1:B1000")) &lt; MATCH(
                        H110,
                        INDIRECT("'" &amp; 'Hulp (overig)'!$C$16 &amp; "'!A1:A1000"),
                        0
                    ))
                ),
                ROW(INDIRECT("'" &amp; 'Hulp (overig)'!$C$16 &amp; "'!B1:B1000"))
            )
        ),0)
    ))
))))</f>
        <v>#VALUE!</v>
      </c>
      <c r="H113" s="425" t="e" cm="1">
        <f t="array" aca="1" ref="H113" ca="1">IF($BF113, IF(H110="","",
   INDEX(
      INDIRECT("'" &amp; 'Hulp (CAO''s)'!$AE$8 &amp; "'!" &amp;
               'Hulp (overig)'!$C$17 &amp; "1:" &amp;
               'Hulp (overig)'!$C$17 &amp; "1000"),
      MATCH(
         H110,
         INDIRECT("'" &amp; 'Hulp (CAO''s)'!$AE$8 &amp; "'!A1:A1000"),
         0
      )
   )
), IF($D111="Gebruik % van maximum salaris",
IF(
    OR(H110="",H111=""),
    "",
    MAX(
        INDIRECT(
            "'" &amp; 'Hulp (overig)'!$C$16 &amp; "'!" &amp;
            'Hulp (overig)'!$C$17 &amp;
            MATCH(H110, INDIRECT("'" &amp; 'Hulp (overig)'!$C$16 &amp; "'!A1:A1000"), 0) &amp;
            ":" &amp;
            'Hulp (overig)'!$C$17 &amp;
LOOKUP(
    2,
    1 / (
        (ROW(INDIRECT("'" &amp; 'Hulp (overig)'!$C$16 &amp; "'!B1:B1000")) &lt;
            IF(I110&lt;&gt;"",
               MATCH(I110, INDIRECT("'" &amp; 'Hulp (overig)'!$C$16 &amp; "'!A1:A1000"),0),
               1000
            )
        ) *
        (LEFT(TRIM(INDIRECT("'" &amp; 'Hulp (overig)'!$C$16 &amp; "'!B1:B1000")),1) &lt;&gt; "u")
    ),
    ROW(INDIRECT("'" &amp; 'Hulp (overig)'!$C$16 &amp; "'!B1:B1000"))
)
        )
    ) * H111
),
IF(H112="","",
IF(
    IFERROR(MIN(
        IF(
            (TRIM(INDIRECT("'" &amp; 'Hulp (overig)'!$C$16 &amp; "'!B1:B1000")) = TEXT(H112,"0")) *
            (ROW(INDIRECT("'" &amp; 'Hulp (overig)'!$C$16 &amp; "'!B1:B1000")) &gt;= MATCH(
                H110,
                INDIRECT("'" &amp; 'Hulp (overig)'!$C$16 &amp; "'!A1:A1000"),
                0
            )) *
            IF(
                I110="",
                1,
                (ROW(INDIRECT("'" &amp; 'Hulp (overig)'!$C$16 &amp; "'!B1:B1000")) &lt; MATCH(
                    I110,
                    INDIRECT("'" &amp; 'Hulp (overig)'!$C$16 &amp; "'!A1:A1000"),
                    0
                ))
            ),
            ROW(INDIRECT("'" &amp; 'Hulp (overig)'!$C$16 &amp; "'!B1:B1000"))
        )
    ),0) &lt; 1,
    "",
    IF(INDEX(
        INDIRECT("'" &amp; 'Hulp (overig)'!$C$16 &amp; "'!" &amp;
        'Hulp (overig)'!$C$17 &amp; "1:" &amp; 'Hulp (overig)'!$C$17 &amp; 1000
        ),
        IFERROR(MIN(
            IF(
                (TRIM(INDIRECT("'" &amp; 'Hulp (overig)'!$C$16 &amp; "'!B1:B1000")) = TEXT(H112,"0")) *
                (ROW(INDIRECT("'" &amp; 'Hulp (overig)'!$C$16 &amp; "'!B1:B1000")) &gt;= MATCH(
                    H110,
                    INDIRECT("'" &amp; 'Hulp (overig)'!$C$16 &amp; "'!A1:A1000"),
                    0
                )) *
                IF(
                    I110="",
                    1,
                    (ROW(INDIRECT("'" &amp; 'Hulp (overig)'!$C$16 &amp; "'!B1:B1000")) &lt; MATCH(
                        I110,
                        INDIRECT("'" &amp; 'Hulp (overig)'!$C$16 &amp; "'!A1:A1000"),
                        0
                    ))
                ),
                ROW(INDIRECT("'" &amp; 'Hulp (overig)'!$C$16 &amp; "'!B1:B1000"))
            )
        ),0)
    )=0,"",
INDEX(
        INDIRECT("'" &amp; 'Hulp (overig)'!$C$16 &amp; "'!" &amp;
        'Hulp (overig)'!$C$17 &amp; "1:" &amp; 'Hulp (overig)'!$C$17 &amp; 1000
        ),
        IFERROR(MIN(
            IF(
                (TRIM(INDIRECT("'" &amp; 'Hulp (overig)'!$C$16 &amp; "'!B1:B1000")) = TEXT(H112,"0")) *
                (ROW(INDIRECT("'" &amp; 'Hulp (overig)'!$C$16 &amp; "'!B1:B1000")) &gt;= MATCH(
                    H110,
                    INDIRECT("'" &amp; 'Hulp (overig)'!$C$16 &amp; "'!A1:A1000"),
                    0
                )) *
                IF(
                    I110="",
                    1,
                    (ROW(INDIRECT("'" &amp; 'Hulp (overig)'!$C$16 &amp; "'!B1:B1000")) &lt; MATCH(
                        I110,
                        INDIRECT("'" &amp; 'Hulp (overig)'!$C$16 &amp; "'!A1:A1000"),
                        0
                    ))
                ),
                ROW(INDIRECT("'" &amp; 'Hulp (overig)'!$C$16 &amp; "'!B1:B1000"))
            )
        ),0)
    ))
))))</f>
        <v>#VALUE!</v>
      </c>
      <c r="I113" s="425" t="e" cm="1">
        <f t="array" aca="1" ref="I113" ca="1">IF($BF113, IF(I110="","",
   INDEX(
      INDIRECT("'" &amp; 'Hulp (CAO''s)'!$AE$8 &amp; "'!" &amp;
               'Hulp (overig)'!$C$17 &amp; "1:" &amp;
               'Hulp (overig)'!$C$17 &amp; "1000"),
      MATCH(
         I110,
         INDIRECT("'" &amp; 'Hulp (CAO''s)'!$AE$8 &amp; "'!A1:A1000"),
         0
      )
   )
), IF($D111="Gebruik % van maximum salaris",
IF(
    OR(I110="",I111=""),
    "",
    MAX(
        INDIRECT(
            "'" &amp; 'Hulp (overig)'!$C$16 &amp; "'!" &amp;
            'Hulp (overig)'!$C$17 &amp;
            MATCH(I110, INDIRECT("'" &amp; 'Hulp (overig)'!$C$16 &amp; "'!A1:A1000"), 0) &amp;
            ":" &amp;
            'Hulp (overig)'!$C$17 &amp;
LOOKUP(
    2,
    1 / (
        (ROW(INDIRECT("'" &amp; 'Hulp (overig)'!$C$16 &amp; "'!B1:B1000")) &lt;
            IF(J110&lt;&gt;"",
               MATCH(J110, INDIRECT("'" &amp; 'Hulp (overig)'!$C$16 &amp; "'!A1:A1000"),0),
               1000
            )
        ) *
        (LEFT(TRIM(INDIRECT("'" &amp; 'Hulp (overig)'!$C$16 &amp; "'!B1:B1000")),1) &lt;&gt; "u")
    ),
    ROW(INDIRECT("'" &amp; 'Hulp (overig)'!$C$16 &amp; "'!B1:B1000"))
)
        )
    ) * I111
),
IF(I112="","",
IF(
    IFERROR(MIN(
        IF(
            (TRIM(INDIRECT("'" &amp; 'Hulp (overig)'!$C$16 &amp; "'!B1:B1000")) = TEXT(I112,"0")) *
            (ROW(INDIRECT("'" &amp; 'Hulp (overig)'!$C$16 &amp; "'!B1:B1000")) &gt;= MATCH(
                I110,
                INDIRECT("'" &amp; 'Hulp (overig)'!$C$16 &amp; "'!A1:A1000"),
                0
            )) *
            IF(
                J110="",
                1,
                (ROW(INDIRECT("'" &amp; 'Hulp (overig)'!$C$16 &amp; "'!B1:B1000")) &lt; MATCH(
                    J110,
                    INDIRECT("'" &amp; 'Hulp (overig)'!$C$16 &amp; "'!A1:A1000"),
                    0
                ))
            ),
            ROW(INDIRECT("'" &amp; 'Hulp (overig)'!$C$16 &amp; "'!B1:B1000"))
        )
    ),0) &lt; 1,
    "",
    IF(INDEX(
        INDIRECT("'" &amp; 'Hulp (overig)'!$C$16 &amp; "'!" &amp;
        'Hulp (overig)'!$C$17 &amp; "1:" &amp; 'Hulp (overig)'!$C$17 &amp; 1000
        ),
        IFERROR(MIN(
            IF(
                (TRIM(INDIRECT("'" &amp; 'Hulp (overig)'!$C$16 &amp; "'!B1:B1000")) = TEXT(I112,"0")) *
                (ROW(INDIRECT("'" &amp; 'Hulp (overig)'!$C$16 &amp; "'!B1:B1000")) &gt;= MATCH(
                    I110,
                    INDIRECT("'" &amp; 'Hulp (overig)'!$C$16 &amp; "'!A1:A1000"),
                    0
                )) *
                IF(
                    J110="",
                    1,
                    (ROW(INDIRECT("'" &amp; 'Hulp (overig)'!$C$16 &amp; "'!B1:B1000")) &lt; MATCH(
                        J110,
                        INDIRECT("'" &amp; 'Hulp (overig)'!$C$16 &amp; "'!A1:A1000"),
                        0
                    ))
                ),
                ROW(INDIRECT("'" &amp; 'Hulp (overig)'!$C$16 &amp; "'!B1:B1000"))
            )
        ),0)
    )=0,"",
INDEX(
        INDIRECT("'" &amp; 'Hulp (overig)'!$C$16 &amp; "'!" &amp;
        'Hulp (overig)'!$C$17 &amp; "1:" &amp; 'Hulp (overig)'!$C$17 &amp; 1000
        ),
        IFERROR(MIN(
            IF(
                (TRIM(INDIRECT("'" &amp; 'Hulp (overig)'!$C$16 &amp; "'!B1:B1000")) = TEXT(I112,"0")) *
                (ROW(INDIRECT("'" &amp; 'Hulp (overig)'!$C$16 &amp; "'!B1:B1000")) &gt;= MATCH(
                    I110,
                    INDIRECT("'" &amp; 'Hulp (overig)'!$C$16 &amp; "'!A1:A1000"),
                    0
                )) *
                IF(
                    J110="",
                    1,
                    (ROW(INDIRECT("'" &amp; 'Hulp (overig)'!$C$16 &amp; "'!B1:B1000")) &lt; MATCH(
                        J110,
                        INDIRECT("'" &amp; 'Hulp (overig)'!$C$16 &amp; "'!A1:A1000"),
                        0
                    ))
                ),
                ROW(INDIRECT("'" &amp; 'Hulp (overig)'!$C$16 &amp; "'!B1:B1000"))
            )
        ),0)
    ))
))))</f>
        <v>#VALUE!</v>
      </c>
      <c r="J113" s="425" t="e" cm="1">
        <f t="array" aca="1" ref="J113" ca="1">IF($BF113, IF(J110="","",
   INDEX(
      INDIRECT("'" &amp; 'Hulp (CAO''s)'!$AE$8 &amp; "'!" &amp;
               'Hulp (overig)'!$C$17 &amp; "1:" &amp;
               'Hulp (overig)'!$C$17 &amp; "1000"),
      MATCH(
         J110,
         INDIRECT("'" &amp; 'Hulp (CAO''s)'!$AE$8 &amp; "'!A1:A1000"),
         0
      )
   )
), IF($D111="Gebruik % van maximum salaris",
IF(
    OR(J110="",J111=""),
    "",
    MAX(
        INDIRECT(
            "'" &amp; 'Hulp (overig)'!$C$16 &amp; "'!" &amp;
            'Hulp (overig)'!$C$17 &amp;
            MATCH(J110, INDIRECT("'" &amp; 'Hulp (overig)'!$C$16 &amp; "'!A1:A1000"), 0) &amp;
            ":" &amp;
            'Hulp (overig)'!$C$17 &amp;
LOOKUP(
    2,
    1 / (
        (ROW(INDIRECT("'" &amp; 'Hulp (overig)'!$C$16 &amp; "'!B1:B1000")) &lt;
            IF(K110&lt;&gt;"",
               MATCH(K110, INDIRECT("'" &amp; 'Hulp (overig)'!$C$16 &amp; "'!A1:A1000"),0),
               1000
            )
        ) *
        (LEFT(TRIM(INDIRECT("'" &amp; 'Hulp (overig)'!$C$16 &amp; "'!B1:B1000")),1) &lt;&gt; "u")
    ),
    ROW(INDIRECT("'" &amp; 'Hulp (overig)'!$C$16 &amp; "'!B1:B1000"))
)
        )
    ) * J111
),
IF(J112="","",
IF(
    IFERROR(MIN(
        IF(
            (TRIM(INDIRECT("'" &amp; 'Hulp (overig)'!$C$16 &amp; "'!B1:B1000")) = TEXT(J112,"0")) *
            (ROW(INDIRECT("'" &amp; 'Hulp (overig)'!$C$16 &amp; "'!B1:B1000")) &gt;= MATCH(
                J110,
                INDIRECT("'" &amp; 'Hulp (overig)'!$C$16 &amp; "'!A1:A1000"),
                0
            )) *
            IF(
                K110="",
                1,
                (ROW(INDIRECT("'" &amp; 'Hulp (overig)'!$C$16 &amp; "'!B1:B1000")) &lt; MATCH(
                    K110,
                    INDIRECT("'" &amp; 'Hulp (overig)'!$C$16 &amp; "'!A1:A1000"),
                    0
                ))
            ),
            ROW(INDIRECT("'" &amp; 'Hulp (overig)'!$C$16 &amp; "'!B1:B1000"))
        )
    ),0) &lt; 1,
    "",
    IF(INDEX(
        INDIRECT("'" &amp; 'Hulp (overig)'!$C$16 &amp; "'!" &amp;
        'Hulp (overig)'!$C$17 &amp; "1:" &amp; 'Hulp (overig)'!$C$17 &amp; 1000
        ),
        IFERROR(MIN(
            IF(
                (TRIM(INDIRECT("'" &amp; 'Hulp (overig)'!$C$16 &amp; "'!B1:B1000")) = TEXT(J112,"0")) *
                (ROW(INDIRECT("'" &amp; 'Hulp (overig)'!$C$16 &amp; "'!B1:B1000")) &gt;= MATCH(
                    J110,
                    INDIRECT("'" &amp; 'Hulp (overig)'!$C$16 &amp; "'!A1:A1000"),
                    0
                )) *
                IF(
                    K110="",
                    1,
                    (ROW(INDIRECT("'" &amp; 'Hulp (overig)'!$C$16 &amp; "'!B1:B1000")) &lt; MATCH(
                        K110,
                        INDIRECT("'" &amp; 'Hulp (overig)'!$C$16 &amp; "'!A1:A1000"),
                        0
                    ))
                ),
                ROW(INDIRECT("'" &amp; 'Hulp (overig)'!$C$16 &amp; "'!B1:B1000"))
            )
        ),0)
    )=0,"",
INDEX(
        INDIRECT("'" &amp; 'Hulp (overig)'!$C$16 &amp; "'!" &amp;
        'Hulp (overig)'!$C$17 &amp; "1:" &amp; 'Hulp (overig)'!$C$17 &amp; 1000
        ),
        IFERROR(MIN(
            IF(
                (TRIM(INDIRECT("'" &amp; 'Hulp (overig)'!$C$16 &amp; "'!B1:B1000")) = TEXT(J112,"0")) *
                (ROW(INDIRECT("'" &amp; 'Hulp (overig)'!$C$16 &amp; "'!B1:B1000")) &gt;= MATCH(
                    J110,
                    INDIRECT("'" &amp; 'Hulp (overig)'!$C$16 &amp; "'!A1:A1000"),
                    0
                )) *
                IF(
                    K110="",
                    1,
                    (ROW(INDIRECT("'" &amp; 'Hulp (overig)'!$C$16 &amp; "'!B1:B1000")) &lt; MATCH(
                        K110,
                        INDIRECT("'" &amp; 'Hulp (overig)'!$C$16 &amp; "'!A1:A1000"),
                        0
                    ))
                ),
                ROW(INDIRECT("'" &amp; 'Hulp (overig)'!$C$16 &amp; "'!B1:B1000"))
            )
        ),0)
    ))
))))</f>
        <v>#VALUE!</v>
      </c>
      <c r="K113" s="425" t="e" cm="1">
        <f t="array" aca="1" ref="K113" ca="1">IF($BF113, IF(K110="","",
   INDEX(
      INDIRECT("'" &amp; 'Hulp (CAO''s)'!$AE$8 &amp; "'!" &amp;
               'Hulp (overig)'!$C$17 &amp; "1:" &amp;
               'Hulp (overig)'!$C$17 &amp; "1000"),
      MATCH(
         K110,
         INDIRECT("'" &amp; 'Hulp (CAO''s)'!$AE$8 &amp; "'!A1:A1000"),
         0
      )
   )
), IF($D111="Gebruik % van maximum salaris",
IF(
    OR(K110="",K111=""),
    "",
    MAX(
        INDIRECT(
            "'" &amp; 'Hulp (overig)'!$C$16 &amp; "'!" &amp;
            'Hulp (overig)'!$C$17 &amp;
            MATCH(K110, INDIRECT("'" &amp; 'Hulp (overig)'!$C$16 &amp; "'!A1:A1000"), 0) &amp;
            ":" &amp;
            'Hulp (overig)'!$C$17 &amp;
LOOKUP(
    2,
    1 / (
        (ROW(INDIRECT("'" &amp; 'Hulp (overig)'!$C$16 &amp; "'!B1:B1000")) &lt;
            IF(L110&lt;&gt;"",
               MATCH(L110, INDIRECT("'" &amp; 'Hulp (overig)'!$C$16 &amp; "'!A1:A1000"),0),
               1000
            )
        ) *
        (LEFT(TRIM(INDIRECT("'" &amp; 'Hulp (overig)'!$C$16 &amp; "'!B1:B1000")),1) &lt;&gt; "u")
    ),
    ROW(INDIRECT("'" &amp; 'Hulp (overig)'!$C$16 &amp; "'!B1:B1000"))
)
        )
    ) * K111
),
IF(K112="","",
IF(
    IFERROR(MIN(
        IF(
            (TRIM(INDIRECT("'" &amp; 'Hulp (overig)'!$C$16 &amp; "'!B1:B1000")) = TEXT(K112,"0")) *
            (ROW(INDIRECT("'" &amp; 'Hulp (overig)'!$C$16 &amp; "'!B1:B1000")) &gt;= MATCH(
                K110,
                INDIRECT("'" &amp; 'Hulp (overig)'!$C$16 &amp; "'!A1:A1000"),
                0
            )) *
            IF(
                L110="",
                1,
                (ROW(INDIRECT("'" &amp; 'Hulp (overig)'!$C$16 &amp; "'!B1:B1000")) &lt; MATCH(
                    L110,
                    INDIRECT("'" &amp; 'Hulp (overig)'!$C$16 &amp; "'!A1:A1000"),
                    0
                ))
            ),
            ROW(INDIRECT("'" &amp; 'Hulp (overig)'!$C$16 &amp; "'!B1:B1000"))
        )
    ),0) &lt; 1,
    "",
    IF(INDEX(
        INDIRECT("'" &amp; 'Hulp (overig)'!$C$16 &amp; "'!" &amp;
        'Hulp (overig)'!$C$17 &amp; "1:" &amp; 'Hulp (overig)'!$C$17 &amp; 1000
        ),
        IFERROR(MIN(
            IF(
                (TRIM(INDIRECT("'" &amp; 'Hulp (overig)'!$C$16 &amp; "'!B1:B1000")) = TEXT(K112,"0")) *
                (ROW(INDIRECT("'" &amp; 'Hulp (overig)'!$C$16 &amp; "'!B1:B1000")) &gt;= MATCH(
                    K110,
                    INDIRECT("'" &amp; 'Hulp (overig)'!$C$16 &amp; "'!A1:A1000"),
                    0
                )) *
                IF(
                    L110="",
                    1,
                    (ROW(INDIRECT("'" &amp; 'Hulp (overig)'!$C$16 &amp; "'!B1:B1000")) &lt; MATCH(
                        L110,
                        INDIRECT("'" &amp; 'Hulp (overig)'!$C$16 &amp; "'!A1:A1000"),
                        0
                    ))
                ),
                ROW(INDIRECT("'" &amp; 'Hulp (overig)'!$C$16 &amp; "'!B1:B1000"))
            )
        ),0)
    )=0,"",
INDEX(
        INDIRECT("'" &amp; 'Hulp (overig)'!$C$16 &amp; "'!" &amp;
        'Hulp (overig)'!$C$17 &amp; "1:" &amp; 'Hulp (overig)'!$C$17 &amp; 1000
        ),
        IFERROR(MIN(
            IF(
                (TRIM(INDIRECT("'" &amp; 'Hulp (overig)'!$C$16 &amp; "'!B1:B1000")) = TEXT(K112,"0")) *
                (ROW(INDIRECT("'" &amp; 'Hulp (overig)'!$C$16 &amp; "'!B1:B1000")) &gt;= MATCH(
                    K110,
                    INDIRECT("'" &amp; 'Hulp (overig)'!$C$16 &amp; "'!A1:A1000"),
                    0
                )) *
                IF(
                    L110="",
                    1,
                    (ROW(INDIRECT("'" &amp; 'Hulp (overig)'!$C$16 &amp; "'!B1:B1000")) &lt; MATCH(
                        L110,
                        INDIRECT("'" &amp; 'Hulp (overig)'!$C$16 &amp; "'!A1:A1000"),
                        0
                    ))
                ),
                ROW(INDIRECT("'" &amp; 'Hulp (overig)'!$C$16 &amp; "'!B1:B1000"))
            )
        ),0)
    ))
))))</f>
        <v>#VALUE!</v>
      </c>
      <c r="L113" s="425" t="e" cm="1">
        <f t="array" aca="1" ref="L113" ca="1">IF($BF113, IF(L110="","",
   INDEX(
      INDIRECT("'" &amp; 'Hulp (CAO''s)'!$AE$8 &amp; "'!" &amp;
               'Hulp (overig)'!$C$17 &amp; "1:" &amp;
               'Hulp (overig)'!$C$17 &amp; "1000"),
      MATCH(
         L110,
         INDIRECT("'" &amp; 'Hulp (CAO''s)'!$AE$8 &amp; "'!A1:A1000"),
         0
      )
   )
), IF($D111="Gebruik % van maximum salaris",
IF(
    OR(L110="",L111=""),
    "",
    MAX(
        INDIRECT(
            "'" &amp; 'Hulp (overig)'!$C$16 &amp; "'!" &amp;
            'Hulp (overig)'!$C$17 &amp;
            MATCH(L110, INDIRECT("'" &amp; 'Hulp (overig)'!$C$16 &amp; "'!A1:A1000"), 0) &amp;
            ":" &amp;
            'Hulp (overig)'!$C$17 &amp;
LOOKUP(
    2,
    1 / (
        (ROW(INDIRECT("'" &amp; 'Hulp (overig)'!$C$16 &amp; "'!B1:B1000")) &lt;
            IF(M110&lt;&gt;"",
               MATCH(M110, INDIRECT("'" &amp; 'Hulp (overig)'!$C$16 &amp; "'!A1:A1000"),0),
               1000
            )
        ) *
        (LEFT(TRIM(INDIRECT("'" &amp; 'Hulp (overig)'!$C$16 &amp; "'!B1:B1000")),1) &lt;&gt; "u")
    ),
    ROW(INDIRECT("'" &amp; 'Hulp (overig)'!$C$16 &amp; "'!B1:B1000"))
)
        )
    ) * L111
),
IF(L112="","",
IF(
    IFERROR(MIN(
        IF(
            (TRIM(INDIRECT("'" &amp; 'Hulp (overig)'!$C$16 &amp; "'!B1:B1000")) = TEXT(L112,"0")) *
            (ROW(INDIRECT("'" &amp; 'Hulp (overig)'!$C$16 &amp; "'!B1:B1000")) &gt;= MATCH(
                L110,
                INDIRECT("'" &amp; 'Hulp (overig)'!$C$16 &amp; "'!A1:A1000"),
                0
            )) *
            IF(
                M110="",
                1,
                (ROW(INDIRECT("'" &amp; 'Hulp (overig)'!$C$16 &amp; "'!B1:B1000")) &lt; MATCH(
                    M110,
                    INDIRECT("'" &amp; 'Hulp (overig)'!$C$16 &amp; "'!A1:A1000"),
                    0
                ))
            ),
            ROW(INDIRECT("'" &amp; 'Hulp (overig)'!$C$16 &amp; "'!B1:B1000"))
        )
    ),0) &lt; 1,
    "",
    IF(INDEX(
        INDIRECT("'" &amp; 'Hulp (overig)'!$C$16 &amp; "'!" &amp;
        'Hulp (overig)'!$C$17 &amp; "1:" &amp; 'Hulp (overig)'!$C$17 &amp; 1000
        ),
        IFERROR(MIN(
            IF(
                (TRIM(INDIRECT("'" &amp; 'Hulp (overig)'!$C$16 &amp; "'!B1:B1000")) = TEXT(L112,"0")) *
                (ROW(INDIRECT("'" &amp; 'Hulp (overig)'!$C$16 &amp; "'!B1:B1000")) &gt;= MATCH(
                    L110,
                    INDIRECT("'" &amp; 'Hulp (overig)'!$C$16 &amp; "'!A1:A1000"),
                    0
                )) *
                IF(
                    M110="",
                    1,
                    (ROW(INDIRECT("'" &amp; 'Hulp (overig)'!$C$16 &amp; "'!B1:B1000")) &lt; MATCH(
                        M110,
                        INDIRECT("'" &amp; 'Hulp (overig)'!$C$16 &amp; "'!A1:A1000"),
                        0
                    ))
                ),
                ROW(INDIRECT("'" &amp; 'Hulp (overig)'!$C$16 &amp; "'!B1:B1000"))
            )
        ),0)
    )=0,"",
INDEX(
        INDIRECT("'" &amp; 'Hulp (overig)'!$C$16 &amp; "'!" &amp;
        'Hulp (overig)'!$C$17 &amp; "1:" &amp; 'Hulp (overig)'!$C$17 &amp; 1000
        ),
        IFERROR(MIN(
            IF(
                (TRIM(INDIRECT("'" &amp; 'Hulp (overig)'!$C$16 &amp; "'!B1:B1000")) = TEXT(L112,"0")) *
                (ROW(INDIRECT("'" &amp; 'Hulp (overig)'!$C$16 &amp; "'!B1:B1000")) &gt;= MATCH(
                    L110,
                    INDIRECT("'" &amp; 'Hulp (overig)'!$C$16 &amp; "'!A1:A1000"),
                    0
                )) *
                IF(
                    M110="",
                    1,
                    (ROW(INDIRECT("'" &amp; 'Hulp (overig)'!$C$16 &amp; "'!B1:B1000")) &lt; MATCH(
                        M110,
                        INDIRECT("'" &amp; 'Hulp (overig)'!$C$16 &amp; "'!A1:A1000"),
                        0
                    ))
                ),
                ROW(INDIRECT("'" &amp; 'Hulp (overig)'!$C$16 &amp; "'!B1:B1000"))
            )
        ),0)
    ))
))))</f>
        <v>#VALUE!</v>
      </c>
      <c r="M113" s="425" t="e" cm="1">
        <f t="array" aca="1" ref="M113" ca="1">IF($BF113, IF(M110="","",
   INDEX(
      INDIRECT("'" &amp; 'Hulp (CAO''s)'!$AE$8 &amp; "'!" &amp;
               'Hulp (overig)'!$C$17 &amp; "1:" &amp;
               'Hulp (overig)'!$C$17 &amp; "1000"),
      MATCH(
         M110,
         INDIRECT("'" &amp; 'Hulp (CAO''s)'!$AE$8 &amp; "'!A1:A1000"),
         0
      )
   )
), IF($D111="Gebruik % van maximum salaris",
IF(
    OR(M110="",M111=""),
    "",
    MAX(
        INDIRECT(
            "'" &amp; 'Hulp (overig)'!$C$16 &amp; "'!" &amp;
            'Hulp (overig)'!$C$17 &amp;
            MATCH(M110, INDIRECT("'" &amp; 'Hulp (overig)'!$C$16 &amp; "'!A1:A1000"), 0) &amp;
            ":" &amp;
            'Hulp (overig)'!$C$17 &amp;
LOOKUP(
    2,
    1 / (
        (ROW(INDIRECT("'" &amp; 'Hulp (overig)'!$C$16 &amp; "'!B1:B1000")) &lt;
            IF(N110&lt;&gt;"",
               MATCH(N110, INDIRECT("'" &amp; 'Hulp (overig)'!$C$16 &amp; "'!A1:A1000"),0),
               1000
            )
        ) *
        (LEFT(TRIM(INDIRECT("'" &amp; 'Hulp (overig)'!$C$16 &amp; "'!B1:B1000")),1) &lt;&gt; "u")
    ),
    ROW(INDIRECT("'" &amp; 'Hulp (overig)'!$C$16 &amp; "'!B1:B1000"))
)
        )
    ) * M111
),
IF(M112="","",
IF(
    IFERROR(MIN(
        IF(
            (TRIM(INDIRECT("'" &amp; 'Hulp (overig)'!$C$16 &amp; "'!B1:B1000")) = TEXT(M112,"0")) *
            (ROW(INDIRECT("'" &amp; 'Hulp (overig)'!$C$16 &amp; "'!B1:B1000")) &gt;= MATCH(
                M110,
                INDIRECT("'" &amp; 'Hulp (overig)'!$C$16 &amp; "'!A1:A1000"),
                0
            )) *
            IF(
                N110="",
                1,
                (ROW(INDIRECT("'" &amp; 'Hulp (overig)'!$C$16 &amp; "'!B1:B1000")) &lt; MATCH(
                    N110,
                    INDIRECT("'" &amp; 'Hulp (overig)'!$C$16 &amp; "'!A1:A1000"),
                    0
                ))
            ),
            ROW(INDIRECT("'" &amp; 'Hulp (overig)'!$C$16 &amp; "'!B1:B1000"))
        )
    ),0) &lt; 1,
    "",
    IF(INDEX(
        INDIRECT("'" &amp; 'Hulp (overig)'!$C$16 &amp; "'!" &amp;
        'Hulp (overig)'!$C$17 &amp; "1:" &amp; 'Hulp (overig)'!$C$17 &amp; 1000
        ),
        IFERROR(MIN(
            IF(
                (TRIM(INDIRECT("'" &amp; 'Hulp (overig)'!$C$16 &amp; "'!B1:B1000")) = TEXT(M112,"0")) *
                (ROW(INDIRECT("'" &amp; 'Hulp (overig)'!$C$16 &amp; "'!B1:B1000")) &gt;= MATCH(
                    M110,
                    INDIRECT("'" &amp; 'Hulp (overig)'!$C$16 &amp; "'!A1:A1000"),
                    0
                )) *
                IF(
                    N110="",
                    1,
                    (ROW(INDIRECT("'" &amp; 'Hulp (overig)'!$C$16 &amp; "'!B1:B1000")) &lt; MATCH(
                        N110,
                        INDIRECT("'" &amp; 'Hulp (overig)'!$C$16 &amp; "'!A1:A1000"),
                        0
                    ))
                ),
                ROW(INDIRECT("'" &amp; 'Hulp (overig)'!$C$16 &amp; "'!B1:B1000"))
            )
        ),0)
    )=0,"",
INDEX(
        INDIRECT("'" &amp; 'Hulp (overig)'!$C$16 &amp; "'!" &amp;
        'Hulp (overig)'!$C$17 &amp; "1:" &amp; 'Hulp (overig)'!$C$17 &amp; 1000
        ),
        IFERROR(MIN(
            IF(
                (TRIM(INDIRECT("'" &amp; 'Hulp (overig)'!$C$16 &amp; "'!B1:B1000")) = TEXT(M112,"0")) *
                (ROW(INDIRECT("'" &amp; 'Hulp (overig)'!$C$16 &amp; "'!B1:B1000")) &gt;= MATCH(
                    M110,
                    INDIRECT("'" &amp; 'Hulp (overig)'!$C$16 &amp; "'!A1:A1000"),
                    0
                )) *
                IF(
                    N110="",
                    1,
                    (ROW(INDIRECT("'" &amp; 'Hulp (overig)'!$C$16 &amp; "'!B1:B1000")) &lt; MATCH(
                        N110,
                        INDIRECT("'" &amp; 'Hulp (overig)'!$C$16 &amp; "'!A1:A1000"),
                        0
                    ))
                ),
                ROW(INDIRECT("'" &amp; 'Hulp (overig)'!$C$16 &amp; "'!B1:B1000"))
            )
        ),0)
    ))
))))</f>
        <v>#VALUE!</v>
      </c>
      <c r="N113" s="425" t="e" cm="1">
        <f t="array" aca="1" ref="N113" ca="1">IF($BF113, IF(N110="","",
   INDEX(
      INDIRECT("'" &amp; 'Hulp (CAO''s)'!$AE$8 &amp; "'!" &amp;
               'Hulp (overig)'!$C$17 &amp; "1:" &amp;
               'Hulp (overig)'!$C$17 &amp; "1000"),
      MATCH(
         N110,
         INDIRECT("'" &amp; 'Hulp (CAO''s)'!$AE$8 &amp; "'!A1:A1000"),
         0
      )
   )
), IF($D111="Gebruik % van maximum salaris",
IF(
    OR(N110="",N111=""),
    "",
    MAX(
        INDIRECT(
            "'" &amp; 'Hulp (overig)'!$C$16 &amp; "'!" &amp;
            'Hulp (overig)'!$C$17 &amp;
            MATCH(N110, INDIRECT("'" &amp; 'Hulp (overig)'!$C$16 &amp; "'!A1:A1000"), 0) &amp;
            ":" &amp;
            'Hulp (overig)'!$C$17 &amp;
LOOKUP(
    2,
    1 / (
        (ROW(INDIRECT("'" &amp; 'Hulp (overig)'!$C$16 &amp; "'!B1:B1000")) &lt;
            IF(O110&lt;&gt;"",
               MATCH(O110, INDIRECT("'" &amp; 'Hulp (overig)'!$C$16 &amp; "'!A1:A1000"),0),
               1000
            )
        ) *
        (LEFT(TRIM(INDIRECT("'" &amp; 'Hulp (overig)'!$C$16 &amp; "'!B1:B1000")),1) &lt;&gt; "u")
    ),
    ROW(INDIRECT("'" &amp; 'Hulp (overig)'!$C$16 &amp; "'!B1:B1000"))
)
        )
    ) * N111
),
IF(N112="","",
IF(
    IFERROR(MIN(
        IF(
            (TRIM(INDIRECT("'" &amp; 'Hulp (overig)'!$C$16 &amp; "'!B1:B1000")) = TEXT(N112,"0")) *
            (ROW(INDIRECT("'" &amp; 'Hulp (overig)'!$C$16 &amp; "'!B1:B1000")) &gt;= MATCH(
                N110,
                INDIRECT("'" &amp; 'Hulp (overig)'!$C$16 &amp; "'!A1:A1000"),
                0
            )) *
            IF(
                O110="",
                1,
                (ROW(INDIRECT("'" &amp; 'Hulp (overig)'!$C$16 &amp; "'!B1:B1000")) &lt; MATCH(
                    O110,
                    INDIRECT("'" &amp; 'Hulp (overig)'!$C$16 &amp; "'!A1:A1000"),
                    0
                ))
            ),
            ROW(INDIRECT("'" &amp; 'Hulp (overig)'!$C$16 &amp; "'!B1:B1000"))
        )
    ),0) &lt; 1,
    "",
    IF(INDEX(
        INDIRECT("'" &amp; 'Hulp (overig)'!$C$16 &amp; "'!" &amp;
        'Hulp (overig)'!$C$17 &amp; "1:" &amp; 'Hulp (overig)'!$C$17 &amp; 1000
        ),
        IFERROR(MIN(
            IF(
                (TRIM(INDIRECT("'" &amp; 'Hulp (overig)'!$C$16 &amp; "'!B1:B1000")) = TEXT(N112,"0")) *
                (ROW(INDIRECT("'" &amp; 'Hulp (overig)'!$C$16 &amp; "'!B1:B1000")) &gt;= MATCH(
                    N110,
                    INDIRECT("'" &amp; 'Hulp (overig)'!$C$16 &amp; "'!A1:A1000"),
                    0
                )) *
                IF(
                    O110="",
                    1,
                    (ROW(INDIRECT("'" &amp; 'Hulp (overig)'!$C$16 &amp; "'!B1:B1000")) &lt; MATCH(
                        O110,
                        INDIRECT("'" &amp; 'Hulp (overig)'!$C$16 &amp; "'!A1:A1000"),
                        0
                    ))
                ),
                ROW(INDIRECT("'" &amp; 'Hulp (overig)'!$C$16 &amp; "'!B1:B1000"))
            )
        ),0)
    )=0,"",
INDEX(
        INDIRECT("'" &amp; 'Hulp (overig)'!$C$16 &amp; "'!" &amp;
        'Hulp (overig)'!$C$17 &amp; "1:" &amp; 'Hulp (overig)'!$C$17 &amp; 1000
        ),
        IFERROR(MIN(
            IF(
                (TRIM(INDIRECT("'" &amp; 'Hulp (overig)'!$C$16 &amp; "'!B1:B1000")) = TEXT(N112,"0")) *
                (ROW(INDIRECT("'" &amp; 'Hulp (overig)'!$C$16 &amp; "'!B1:B1000")) &gt;= MATCH(
                    N110,
                    INDIRECT("'" &amp; 'Hulp (overig)'!$C$16 &amp; "'!A1:A1000"),
                    0
                )) *
                IF(
                    O110="",
                    1,
                    (ROW(INDIRECT("'" &amp; 'Hulp (overig)'!$C$16 &amp; "'!B1:B1000")) &lt; MATCH(
                        O110,
                        INDIRECT("'" &amp; 'Hulp (overig)'!$C$16 &amp; "'!A1:A1000"),
                        0
                    ))
                ),
                ROW(INDIRECT("'" &amp; 'Hulp (overig)'!$C$16 &amp; "'!B1:B1000"))
            )
        ),0)
    ))
))))</f>
        <v>#VALUE!</v>
      </c>
      <c r="O113" s="425" t="e" cm="1">
        <f t="array" aca="1" ref="O113" ca="1">IF($BF113, IF(O110="","",
   INDEX(
      INDIRECT("'" &amp; 'Hulp (CAO''s)'!$AE$8 &amp; "'!" &amp;
               'Hulp (overig)'!$C$17 &amp; "1:" &amp;
               'Hulp (overig)'!$C$17 &amp; "1000"),
      MATCH(
         O110,
         INDIRECT("'" &amp; 'Hulp (CAO''s)'!$AE$8 &amp; "'!A1:A1000"),
         0
      )
   )
), IF($D111="Gebruik % van maximum salaris",
IF(
    OR(O110="",O111=""),
    "",
    MAX(
        INDIRECT(
            "'" &amp; 'Hulp (overig)'!$C$16 &amp; "'!" &amp;
            'Hulp (overig)'!$C$17 &amp;
            MATCH(O110, INDIRECT("'" &amp; 'Hulp (overig)'!$C$16 &amp; "'!A1:A1000"), 0) &amp;
            ":" &amp;
            'Hulp (overig)'!$C$17 &amp;
LOOKUP(
    2,
    1 / (
        (ROW(INDIRECT("'" &amp; 'Hulp (overig)'!$C$16 &amp; "'!B1:B1000")) &lt;
            IF(P110&lt;&gt;"",
               MATCH(P110, INDIRECT("'" &amp; 'Hulp (overig)'!$C$16 &amp; "'!A1:A1000"),0),
               1000
            )
        ) *
        (LEFT(TRIM(INDIRECT("'" &amp; 'Hulp (overig)'!$C$16 &amp; "'!B1:B1000")),1) &lt;&gt; "u")
    ),
    ROW(INDIRECT("'" &amp; 'Hulp (overig)'!$C$16 &amp; "'!B1:B1000"))
)
        )
    ) * O111
),
IF(O112="","",
IF(
    IFERROR(MIN(
        IF(
            (TRIM(INDIRECT("'" &amp; 'Hulp (overig)'!$C$16 &amp; "'!B1:B1000")) = TEXT(O112,"0")) *
            (ROW(INDIRECT("'" &amp; 'Hulp (overig)'!$C$16 &amp; "'!B1:B1000")) &gt;= MATCH(
                O110,
                INDIRECT("'" &amp; 'Hulp (overig)'!$C$16 &amp; "'!A1:A1000"),
                0
            )) *
            IF(
                P110="",
                1,
                (ROW(INDIRECT("'" &amp; 'Hulp (overig)'!$C$16 &amp; "'!B1:B1000")) &lt; MATCH(
                    P110,
                    INDIRECT("'" &amp; 'Hulp (overig)'!$C$16 &amp; "'!A1:A1000"),
                    0
                ))
            ),
            ROW(INDIRECT("'" &amp; 'Hulp (overig)'!$C$16 &amp; "'!B1:B1000"))
        )
    ),0) &lt; 1,
    "",
    IF(INDEX(
        INDIRECT("'" &amp; 'Hulp (overig)'!$C$16 &amp; "'!" &amp;
        'Hulp (overig)'!$C$17 &amp; "1:" &amp; 'Hulp (overig)'!$C$17 &amp; 1000
        ),
        IFERROR(MIN(
            IF(
                (TRIM(INDIRECT("'" &amp; 'Hulp (overig)'!$C$16 &amp; "'!B1:B1000")) = TEXT(O112,"0")) *
                (ROW(INDIRECT("'" &amp; 'Hulp (overig)'!$C$16 &amp; "'!B1:B1000")) &gt;= MATCH(
                    O110,
                    INDIRECT("'" &amp; 'Hulp (overig)'!$C$16 &amp; "'!A1:A1000"),
                    0
                )) *
                IF(
                    P110="",
                    1,
                    (ROW(INDIRECT("'" &amp; 'Hulp (overig)'!$C$16 &amp; "'!B1:B1000")) &lt; MATCH(
                        P110,
                        INDIRECT("'" &amp; 'Hulp (overig)'!$C$16 &amp; "'!A1:A1000"),
                        0
                    ))
                ),
                ROW(INDIRECT("'" &amp; 'Hulp (overig)'!$C$16 &amp; "'!B1:B1000"))
            )
        ),0)
    )=0,"",
INDEX(
        INDIRECT("'" &amp; 'Hulp (overig)'!$C$16 &amp; "'!" &amp;
        'Hulp (overig)'!$C$17 &amp; "1:" &amp; 'Hulp (overig)'!$C$17 &amp; 1000
        ),
        IFERROR(MIN(
            IF(
                (TRIM(INDIRECT("'" &amp; 'Hulp (overig)'!$C$16 &amp; "'!B1:B1000")) = TEXT(O112,"0")) *
                (ROW(INDIRECT("'" &amp; 'Hulp (overig)'!$C$16 &amp; "'!B1:B1000")) &gt;= MATCH(
                    O110,
                    INDIRECT("'" &amp; 'Hulp (overig)'!$C$16 &amp; "'!A1:A1000"),
                    0
                )) *
                IF(
                    P110="",
                    1,
                    (ROW(INDIRECT("'" &amp; 'Hulp (overig)'!$C$16 &amp; "'!B1:B1000")) &lt; MATCH(
                        P110,
                        INDIRECT("'" &amp; 'Hulp (overig)'!$C$16 &amp; "'!A1:A1000"),
                        0
                    ))
                ),
                ROW(INDIRECT("'" &amp; 'Hulp (overig)'!$C$16 &amp; "'!B1:B1000"))
            )
        ),0)
    ))
))))</f>
        <v>#VALUE!</v>
      </c>
      <c r="P113" s="425" t="e" cm="1">
        <f t="array" aca="1" ref="P113" ca="1">IF($BF113, IF(P110="","",
   INDEX(
      INDIRECT("'" &amp; 'Hulp (CAO''s)'!$AE$8 &amp; "'!" &amp;
               'Hulp (overig)'!$C$17 &amp; "1:" &amp;
               'Hulp (overig)'!$C$17 &amp; "1000"),
      MATCH(
         P110,
         INDIRECT("'" &amp; 'Hulp (CAO''s)'!$AE$8 &amp; "'!A1:A1000"),
         0
      )
   )
), IF($D111="Gebruik % van maximum salaris",
IF(
    OR(P110="",P111=""),
    "",
    MAX(
        INDIRECT(
            "'" &amp; 'Hulp (overig)'!$C$16 &amp; "'!" &amp;
            'Hulp (overig)'!$C$17 &amp;
            MATCH(P110, INDIRECT("'" &amp; 'Hulp (overig)'!$C$16 &amp; "'!A1:A1000"), 0) &amp;
            ":" &amp;
            'Hulp (overig)'!$C$17 &amp;
LOOKUP(
    2,
    1 / (
        (ROW(INDIRECT("'" &amp; 'Hulp (overig)'!$C$16 &amp; "'!B1:B1000")) &lt;
            IF(Q110&lt;&gt;"",
               MATCH(Q110, INDIRECT("'" &amp; 'Hulp (overig)'!$C$16 &amp; "'!A1:A1000"),0),
               1000
            )
        ) *
        (LEFT(TRIM(INDIRECT("'" &amp; 'Hulp (overig)'!$C$16 &amp; "'!B1:B1000")),1) &lt;&gt; "u")
    ),
    ROW(INDIRECT("'" &amp; 'Hulp (overig)'!$C$16 &amp; "'!B1:B1000"))
)
        )
    ) * P111
),
IF(P112="","",
IF(
    IFERROR(MIN(
        IF(
            (TRIM(INDIRECT("'" &amp; 'Hulp (overig)'!$C$16 &amp; "'!B1:B1000")) = TEXT(P112,"0")) *
            (ROW(INDIRECT("'" &amp; 'Hulp (overig)'!$C$16 &amp; "'!B1:B1000")) &gt;= MATCH(
                P110,
                INDIRECT("'" &amp; 'Hulp (overig)'!$C$16 &amp; "'!A1:A1000"),
                0
            )) *
            IF(
                Q110="",
                1,
                (ROW(INDIRECT("'" &amp; 'Hulp (overig)'!$C$16 &amp; "'!B1:B1000")) &lt; MATCH(
                    Q110,
                    INDIRECT("'" &amp; 'Hulp (overig)'!$C$16 &amp; "'!A1:A1000"),
                    0
                ))
            ),
            ROW(INDIRECT("'" &amp; 'Hulp (overig)'!$C$16 &amp; "'!B1:B1000"))
        )
    ),0) &lt; 1,
    "",
    IF(INDEX(
        INDIRECT("'" &amp; 'Hulp (overig)'!$C$16 &amp; "'!" &amp;
        'Hulp (overig)'!$C$17 &amp; "1:" &amp; 'Hulp (overig)'!$C$17 &amp; 1000
        ),
        IFERROR(MIN(
            IF(
                (TRIM(INDIRECT("'" &amp; 'Hulp (overig)'!$C$16 &amp; "'!B1:B1000")) = TEXT(P112,"0")) *
                (ROW(INDIRECT("'" &amp; 'Hulp (overig)'!$C$16 &amp; "'!B1:B1000")) &gt;= MATCH(
                    P110,
                    INDIRECT("'" &amp; 'Hulp (overig)'!$C$16 &amp; "'!A1:A1000"),
                    0
                )) *
                IF(
                    Q110="",
                    1,
                    (ROW(INDIRECT("'" &amp; 'Hulp (overig)'!$C$16 &amp; "'!B1:B1000")) &lt; MATCH(
                        Q110,
                        INDIRECT("'" &amp; 'Hulp (overig)'!$C$16 &amp; "'!A1:A1000"),
                        0
                    ))
                ),
                ROW(INDIRECT("'" &amp; 'Hulp (overig)'!$C$16 &amp; "'!B1:B1000"))
            )
        ),0)
    )=0,"",
INDEX(
        INDIRECT("'" &amp; 'Hulp (overig)'!$C$16 &amp; "'!" &amp;
        'Hulp (overig)'!$C$17 &amp; "1:" &amp; 'Hulp (overig)'!$C$17 &amp; 1000
        ),
        IFERROR(MIN(
            IF(
                (TRIM(INDIRECT("'" &amp; 'Hulp (overig)'!$C$16 &amp; "'!B1:B1000")) = TEXT(P112,"0")) *
                (ROW(INDIRECT("'" &amp; 'Hulp (overig)'!$C$16 &amp; "'!B1:B1000")) &gt;= MATCH(
                    P110,
                    INDIRECT("'" &amp; 'Hulp (overig)'!$C$16 &amp; "'!A1:A1000"),
                    0
                )) *
                IF(
                    Q110="",
                    1,
                    (ROW(INDIRECT("'" &amp; 'Hulp (overig)'!$C$16 &amp; "'!B1:B1000")) &lt; MATCH(
                        Q110,
                        INDIRECT("'" &amp; 'Hulp (overig)'!$C$16 &amp; "'!A1:A1000"),
                        0
                    ))
                ),
                ROW(INDIRECT("'" &amp; 'Hulp (overig)'!$C$16 &amp; "'!B1:B1000"))
            )
        ),0)
    ))
))))</f>
        <v>#VALUE!</v>
      </c>
      <c r="Q113" s="425" t="e" cm="1">
        <f t="array" aca="1" ref="Q113" ca="1">IF($BF113, IF(Q110="","",
   INDEX(
      INDIRECT("'" &amp; 'Hulp (CAO''s)'!$AE$8 &amp; "'!" &amp;
               'Hulp (overig)'!$C$17 &amp; "1:" &amp;
               'Hulp (overig)'!$C$17 &amp; "1000"),
      MATCH(
         Q110,
         INDIRECT("'" &amp; 'Hulp (CAO''s)'!$AE$8 &amp; "'!A1:A1000"),
         0
      )
   )
), IF($D111="Gebruik % van maximum salaris",
IF(
    OR(Q110="",Q111=""),
    "",
    MAX(
        INDIRECT(
            "'" &amp; 'Hulp (overig)'!$C$16 &amp; "'!" &amp;
            'Hulp (overig)'!$C$17 &amp;
            MATCH(Q110, INDIRECT("'" &amp; 'Hulp (overig)'!$C$16 &amp; "'!A1:A1000"), 0) &amp;
            ":" &amp;
            'Hulp (overig)'!$C$17 &amp;
LOOKUP(
    2,
    1 / (
        (ROW(INDIRECT("'" &amp; 'Hulp (overig)'!$C$16 &amp; "'!B1:B1000")) &lt;
            IF(R110&lt;&gt;"",
               MATCH(R110, INDIRECT("'" &amp; 'Hulp (overig)'!$C$16 &amp; "'!A1:A1000"),0),
               1000
            )
        ) *
        (LEFT(TRIM(INDIRECT("'" &amp; 'Hulp (overig)'!$C$16 &amp; "'!B1:B1000")),1) &lt;&gt; "u")
    ),
    ROW(INDIRECT("'" &amp; 'Hulp (overig)'!$C$16 &amp; "'!B1:B1000"))
)
        )
    ) * Q111
),
IF(Q112="","",
IF(
    IFERROR(MIN(
        IF(
            (TRIM(INDIRECT("'" &amp; 'Hulp (overig)'!$C$16 &amp; "'!B1:B1000")) = TEXT(Q112,"0")) *
            (ROW(INDIRECT("'" &amp; 'Hulp (overig)'!$C$16 &amp; "'!B1:B1000")) &gt;= MATCH(
                Q110,
                INDIRECT("'" &amp; 'Hulp (overig)'!$C$16 &amp; "'!A1:A1000"),
                0
            )) *
            IF(
                R110="",
                1,
                (ROW(INDIRECT("'" &amp; 'Hulp (overig)'!$C$16 &amp; "'!B1:B1000")) &lt; MATCH(
                    R110,
                    INDIRECT("'" &amp; 'Hulp (overig)'!$C$16 &amp; "'!A1:A1000"),
                    0
                ))
            ),
            ROW(INDIRECT("'" &amp; 'Hulp (overig)'!$C$16 &amp; "'!B1:B1000"))
        )
    ),0) &lt; 1,
    "",
    IF(INDEX(
        INDIRECT("'" &amp; 'Hulp (overig)'!$C$16 &amp; "'!" &amp;
        'Hulp (overig)'!$C$17 &amp; "1:" &amp; 'Hulp (overig)'!$C$17 &amp; 1000
        ),
        IFERROR(MIN(
            IF(
                (TRIM(INDIRECT("'" &amp; 'Hulp (overig)'!$C$16 &amp; "'!B1:B1000")) = TEXT(Q112,"0")) *
                (ROW(INDIRECT("'" &amp; 'Hulp (overig)'!$C$16 &amp; "'!B1:B1000")) &gt;= MATCH(
                    Q110,
                    INDIRECT("'" &amp; 'Hulp (overig)'!$C$16 &amp; "'!A1:A1000"),
                    0
                )) *
                IF(
                    R110="",
                    1,
                    (ROW(INDIRECT("'" &amp; 'Hulp (overig)'!$C$16 &amp; "'!B1:B1000")) &lt; MATCH(
                        R110,
                        INDIRECT("'" &amp; 'Hulp (overig)'!$C$16 &amp; "'!A1:A1000"),
                        0
                    ))
                ),
                ROW(INDIRECT("'" &amp; 'Hulp (overig)'!$C$16 &amp; "'!B1:B1000"))
            )
        ),0)
    )=0,"",
INDEX(
        INDIRECT("'" &amp; 'Hulp (overig)'!$C$16 &amp; "'!" &amp;
        'Hulp (overig)'!$C$17 &amp; "1:" &amp; 'Hulp (overig)'!$C$17 &amp; 1000
        ),
        IFERROR(MIN(
            IF(
                (TRIM(INDIRECT("'" &amp; 'Hulp (overig)'!$C$16 &amp; "'!B1:B1000")) = TEXT(Q112,"0")) *
                (ROW(INDIRECT("'" &amp; 'Hulp (overig)'!$C$16 &amp; "'!B1:B1000")) &gt;= MATCH(
                    Q110,
                    INDIRECT("'" &amp; 'Hulp (overig)'!$C$16 &amp; "'!A1:A1000"),
                    0
                )) *
                IF(
                    R110="",
                    1,
                    (ROW(INDIRECT("'" &amp; 'Hulp (overig)'!$C$16 &amp; "'!B1:B1000")) &lt; MATCH(
                        R110,
                        INDIRECT("'" &amp; 'Hulp (overig)'!$C$16 &amp; "'!A1:A1000"),
                        0
                    ))
                ),
                ROW(INDIRECT("'" &amp; 'Hulp (overig)'!$C$16 &amp; "'!B1:B1000"))
            )
        ),0)
    ))
))))</f>
        <v>#VALUE!</v>
      </c>
      <c r="R113" s="425" t="e" cm="1">
        <f t="array" aca="1" ref="R113" ca="1">IF($BF113, IF(R110="","",
   INDEX(
      INDIRECT("'" &amp; 'Hulp (CAO''s)'!$AE$8 &amp; "'!" &amp;
               'Hulp (overig)'!$C$17 &amp; "1:" &amp;
               'Hulp (overig)'!$C$17 &amp; "1000"),
      MATCH(
         R110,
         INDIRECT("'" &amp; 'Hulp (CAO''s)'!$AE$8 &amp; "'!A1:A1000"),
         0
      )
   )
), IF($D111="Gebruik % van maximum salaris",
IF(
    OR(R110="",R111=""),
    "",
    MAX(
        INDIRECT(
            "'" &amp; 'Hulp (overig)'!$C$16 &amp; "'!" &amp;
            'Hulp (overig)'!$C$17 &amp;
            MATCH(R110, INDIRECT("'" &amp; 'Hulp (overig)'!$C$16 &amp; "'!A1:A1000"), 0) &amp;
            ":" &amp;
            'Hulp (overig)'!$C$17 &amp;
LOOKUP(
    2,
    1 / (
        (ROW(INDIRECT("'" &amp; 'Hulp (overig)'!$C$16 &amp; "'!B1:B1000")) &lt;
            IF(S110&lt;&gt;"",
               MATCH(S110, INDIRECT("'" &amp; 'Hulp (overig)'!$C$16 &amp; "'!A1:A1000"),0),
               1000
            )
        ) *
        (LEFT(TRIM(INDIRECT("'" &amp; 'Hulp (overig)'!$C$16 &amp; "'!B1:B1000")),1) &lt;&gt; "u")
    ),
    ROW(INDIRECT("'" &amp; 'Hulp (overig)'!$C$16 &amp; "'!B1:B1000"))
)
        )
    ) * R111
),
IF(R112="","",
IF(
    IFERROR(MIN(
        IF(
            (TRIM(INDIRECT("'" &amp; 'Hulp (overig)'!$C$16 &amp; "'!B1:B1000")) = TEXT(R112,"0")) *
            (ROW(INDIRECT("'" &amp; 'Hulp (overig)'!$C$16 &amp; "'!B1:B1000")) &gt;= MATCH(
                R110,
                INDIRECT("'" &amp; 'Hulp (overig)'!$C$16 &amp; "'!A1:A1000"),
                0
            )) *
            IF(
                S110="",
                1,
                (ROW(INDIRECT("'" &amp; 'Hulp (overig)'!$C$16 &amp; "'!B1:B1000")) &lt; MATCH(
                    S110,
                    INDIRECT("'" &amp; 'Hulp (overig)'!$C$16 &amp; "'!A1:A1000"),
                    0
                ))
            ),
            ROW(INDIRECT("'" &amp; 'Hulp (overig)'!$C$16 &amp; "'!B1:B1000"))
        )
    ),0) &lt; 1,
    "",
    IF(INDEX(
        INDIRECT("'" &amp; 'Hulp (overig)'!$C$16 &amp; "'!" &amp;
        'Hulp (overig)'!$C$17 &amp; "1:" &amp; 'Hulp (overig)'!$C$17 &amp; 1000
        ),
        IFERROR(MIN(
            IF(
                (TRIM(INDIRECT("'" &amp; 'Hulp (overig)'!$C$16 &amp; "'!B1:B1000")) = TEXT(R112,"0")) *
                (ROW(INDIRECT("'" &amp; 'Hulp (overig)'!$C$16 &amp; "'!B1:B1000")) &gt;= MATCH(
                    R110,
                    INDIRECT("'" &amp; 'Hulp (overig)'!$C$16 &amp; "'!A1:A1000"),
                    0
                )) *
                IF(
                    S110="",
                    1,
                    (ROW(INDIRECT("'" &amp; 'Hulp (overig)'!$C$16 &amp; "'!B1:B1000")) &lt; MATCH(
                        S110,
                        INDIRECT("'" &amp; 'Hulp (overig)'!$C$16 &amp; "'!A1:A1000"),
                        0
                    ))
                ),
                ROW(INDIRECT("'" &amp; 'Hulp (overig)'!$C$16 &amp; "'!B1:B1000"))
            )
        ),0)
    )=0,"",
INDEX(
        INDIRECT("'" &amp; 'Hulp (overig)'!$C$16 &amp; "'!" &amp;
        'Hulp (overig)'!$C$17 &amp; "1:" &amp; 'Hulp (overig)'!$C$17 &amp; 1000
        ),
        IFERROR(MIN(
            IF(
                (TRIM(INDIRECT("'" &amp; 'Hulp (overig)'!$C$16 &amp; "'!B1:B1000")) = TEXT(R112,"0")) *
                (ROW(INDIRECT("'" &amp; 'Hulp (overig)'!$C$16 &amp; "'!B1:B1000")) &gt;= MATCH(
                    R110,
                    INDIRECT("'" &amp; 'Hulp (overig)'!$C$16 &amp; "'!A1:A1000"),
                    0
                )) *
                IF(
                    S110="",
                    1,
                    (ROW(INDIRECT("'" &amp; 'Hulp (overig)'!$C$16 &amp; "'!B1:B1000")) &lt; MATCH(
                        S110,
                        INDIRECT("'" &amp; 'Hulp (overig)'!$C$16 &amp; "'!A1:A1000"),
                        0
                    ))
                ),
                ROW(INDIRECT("'" &amp; 'Hulp (overig)'!$C$16 &amp; "'!B1:B1000"))
            )
        ),0)
    ))
))))</f>
        <v>#VALUE!</v>
      </c>
      <c r="S113" s="425" t="e" cm="1">
        <f t="array" aca="1" ref="S113" ca="1">IF($BF113, IF(S110="","",
   INDEX(
      INDIRECT("'" &amp; 'Hulp (CAO''s)'!$AE$8 &amp; "'!" &amp;
               'Hulp (overig)'!$C$17 &amp; "1:" &amp;
               'Hulp (overig)'!$C$17 &amp; "1000"),
      MATCH(
         S110,
         INDIRECT("'" &amp; 'Hulp (CAO''s)'!$AE$8 &amp; "'!A1:A1000"),
         0
      )
   )
), IF($D111="Gebruik % van maximum salaris",
IF(
    OR(S110="",S111=""),
    "",
    MAX(
        INDIRECT(
            "'" &amp; 'Hulp (overig)'!$C$16 &amp; "'!" &amp;
            'Hulp (overig)'!$C$17 &amp;
            MATCH(S110, INDIRECT("'" &amp; 'Hulp (overig)'!$C$16 &amp; "'!A1:A1000"), 0) &amp;
            ":" &amp;
            'Hulp (overig)'!$C$17 &amp;
LOOKUP(
    2,
    1 / (
        (ROW(INDIRECT("'" &amp; 'Hulp (overig)'!$C$16 &amp; "'!B1:B1000")) &lt;
            IF(T110&lt;&gt;"",
               MATCH(T110, INDIRECT("'" &amp; 'Hulp (overig)'!$C$16 &amp; "'!A1:A1000"),0),
               1000
            )
        ) *
        (LEFT(TRIM(INDIRECT("'" &amp; 'Hulp (overig)'!$C$16 &amp; "'!B1:B1000")),1) &lt;&gt; "u")
    ),
    ROW(INDIRECT("'" &amp; 'Hulp (overig)'!$C$16 &amp; "'!B1:B1000"))
)
        )
    ) * S111
),
IF(S112="","",
IF(
    IFERROR(MIN(
        IF(
            (TRIM(INDIRECT("'" &amp; 'Hulp (overig)'!$C$16 &amp; "'!B1:B1000")) = TEXT(S112,"0")) *
            (ROW(INDIRECT("'" &amp; 'Hulp (overig)'!$C$16 &amp; "'!B1:B1000")) &gt;= MATCH(
                S110,
                INDIRECT("'" &amp; 'Hulp (overig)'!$C$16 &amp; "'!A1:A1000"),
                0
            )) *
            IF(
                T110="",
                1,
                (ROW(INDIRECT("'" &amp; 'Hulp (overig)'!$C$16 &amp; "'!B1:B1000")) &lt; MATCH(
                    T110,
                    INDIRECT("'" &amp; 'Hulp (overig)'!$C$16 &amp; "'!A1:A1000"),
                    0
                ))
            ),
            ROW(INDIRECT("'" &amp; 'Hulp (overig)'!$C$16 &amp; "'!B1:B1000"))
        )
    ),0) &lt; 1,
    "",
    IF(INDEX(
        INDIRECT("'" &amp; 'Hulp (overig)'!$C$16 &amp; "'!" &amp;
        'Hulp (overig)'!$C$17 &amp; "1:" &amp; 'Hulp (overig)'!$C$17 &amp; 1000
        ),
        IFERROR(MIN(
            IF(
                (TRIM(INDIRECT("'" &amp; 'Hulp (overig)'!$C$16 &amp; "'!B1:B1000")) = TEXT(S112,"0")) *
                (ROW(INDIRECT("'" &amp; 'Hulp (overig)'!$C$16 &amp; "'!B1:B1000")) &gt;= MATCH(
                    S110,
                    INDIRECT("'" &amp; 'Hulp (overig)'!$C$16 &amp; "'!A1:A1000"),
                    0
                )) *
                IF(
                    T110="",
                    1,
                    (ROW(INDIRECT("'" &amp; 'Hulp (overig)'!$C$16 &amp; "'!B1:B1000")) &lt; MATCH(
                        T110,
                        INDIRECT("'" &amp; 'Hulp (overig)'!$C$16 &amp; "'!A1:A1000"),
                        0
                    ))
                ),
                ROW(INDIRECT("'" &amp; 'Hulp (overig)'!$C$16 &amp; "'!B1:B1000"))
            )
        ),0)
    )=0,"",
INDEX(
        INDIRECT("'" &amp; 'Hulp (overig)'!$C$16 &amp; "'!" &amp;
        'Hulp (overig)'!$C$17 &amp; "1:" &amp; 'Hulp (overig)'!$C$17 &amp; 1000
        ),
        IFERROR(MIN(
            IF(
                (TRIM(INDIRECT("'" &amp; 'Hulp (overig)'!$C$16 &amp; "'!B1:B1000")) = TEXT(S112,"0")) *
                (ROW(INDIRECT("'" &amp; 'Hulp (overig)'!$C$16 &amp; "'!B1:B1000")) &gt;= MATCH(
                    S110,
                    INDIRECT("'" &amp; 'Hulp (overig)'!$C$16 &amp; "'!A1:A1000"),
                    0
                )) *
                IF(
                    T110="",
                    1,
                    (ROW(INDIRECT("'" &amp; 'Hulp (overig)'!$C$16 &amp; "'!B1:B1000")) &lt; MATCH(
                        T110,
                        INDIRECT("'" &amp; 'Hulp (overig)'!$C$16 &amp; "'!A1:A1000"),
                        0
                    ))
                ),
                ROW(INDIRECT("'" &amp; 'Hulp (overig)'!$C$16 &amp; "'!B1:B1000"))
            )
        ),0)
    ))
))))</f>
        <v>#VALUE!</v>
      </c>
      <c r="T113" s="425" t="e" cm="1">
        <f t="array" aca="1" ref="T113" ca="1">IF($BF113, IF(T110="","",
   INDEX(
      INDIRECT("'" &amp; 'Hulp (CAO''s)'!$AE$8 &amp; "'!" &amp;
               'Hulp (overig)'!$C$17 &amp; "1:" &amp;
               'Hulp (overig)'!$C$17 &amp; "1000"),
      MATCH(
         T110,
         INDIRECT("'" &amp; 'Hulp (CAO''s)'!$AE$8 &amp; "'!A1:A1000"),
         0
      )
   )
), IF($D111="Gebruik % van maximum salaris",
IF(
    OR(T110="",T111=""),
    "",
    MAX(
        INDIRECT(
            "'" &amp; 'Hulp (overig)'!$C$16 &amp; "'!" &amp;
            'Hulp (overig)'!$C$17 &amp;
            MATCH(T110, INDIRECT("'" &amp; 'Hulp (overig)'!$C$16 &amp; "'!A1:A1000"), 0) &amp;
            ":" &amp;
            'Hulp (overig)'!$C$17 &amp;
LOOKUP(
    2,
    1 / (
        (ROW(INDIRECT("'" &amp; 'Hulp (overig)'!$C$16 &amp; "'!B1:B1000")) &lt;
            IF(U110&lt;&gt;"",
               MATCH(U110, INDIRECT("'" &amp; 'Hulp (overig)'!$C$16 &amp; "'!A1:A1000"),0),
               1000
            )
        ) *
        (LEFT(TRIM(INDIRECT("'" &amp; 'Hulp (overig)'!$C$16 &amp; "'!B1:B1000")),1) &lt;&gt; "u")
    ),
    ROW(INDIRECT("'" &amp; 'Hulp (overig)'!$C$16 &amp; "'!B1:B1000"))
)
        )
    ) * T111
),
IF(T112="","",
IF(
    IFERROR(MIN(
        IF(
            (TRIM(INDIRECT("'" &amp; 'Hulp (overig)'!$C$16 &amp; "'!B1:B1000")) = TEXT(T112,"0")) *
            (ROW(INDIRECT("'" &amp; 'Hulp (overig)'!$C$16 &amp; "'!B1:B1000")) &gt;= MATCH(
                T110,
                INDIRECT("'" &amp; 'Hulp (overig)'!$C$16 &amp; "'!A1:A1000"),
                0
            )) *
            IF(
                U110="",
                1,
                (ROW(INDIRECT("'" &amp; 'Hulp (overig)'!$C$16 &amp; "'!B1:B1000")) &lt; MATCH(
                    U110,
                    INDIRECT("'" &amp; 'Hulp (overig)'!$C$16 &amp; "'!A1:A1000"),
                    0
                ))
            ),
            ROW(INDIRECT("'" &amp; 'Hulp (overig)'!$C$16 &amp; "'!B1:B1000"))
        )
    ),0) &lt; 1,
    "",
    IF(INDEX(
        INDIRECT("'" &amp; 'Hulp (overig)'!$C$16 &amp; "'!" &amp;
        'Hulp (overig)'!$C$17 &amp; "1:" &amp; 'Hulp (overig)'!$C$17 &amp; 1000
        ),
        IFERROR(MIN(
            IF(
                (TRIM(INDIRECT("'" &amp; 'Hulp (overig)'!$C$16 &amp; "'!B1:B1000")) = TEXT(T112,"0")) *
                (ROW(INDIRECT("'" &amp; 'Hulp (overig)'!$C$16 &amp; "'!B1:B1000")) &gt;= MATCH(
                    T110,
                    INDIRECT("'" &amp; 'Hulp (overig)'!$C$16 &amp; "'!A1:A1000"),
                    0
                )) *
                IF(
                    U110="",
                    1,
                    (ROW(INDIRECT("'" &amp; 'Hulp (overig)'!$C$16 &amp; "'!B1:B1000")) &lt; MATCH(
                        U110,
                        INDIRECT("'" &amp; 'Hulp (overig)'!$C$16 &amp; "'!A1:A1000"),
                        0
                    ))
                ),
                ROW(INDIRECT("'" &amp; 'Hulp (overig)'!$C$16 &amp; "'!B1:B1000"))
            )
        ),0)
    )=0,"",
INDEX(
        INDIRECT("'" &amp; 'Hulp (overig)'!$C$16 &amp; "'!" &amp;
        'Hulp (overig)'!$C$17 &amp; "1:" &amp; 'Hulp (overig)'!$C$17 &amp; 1000
        ),
        IFERROR(MIN(
            IF(
                (TRIM(INDIRECT("'" &amp; 'Hulp (overig)'!$C$16 &amp; "'!B1:B1000")) = TEXT(T112,"0")) *
                (ROW(INDIRECT("'" &amp; 'Hulp (overig)'!$C$16 &amp; "'!B1:B1000")) &gt;= MATCH(
                    T110,
                    INDIRECT("'" &amp; 'Hulp (overig)'!$C$16 &amp; "'!A1:A1000"),
                    0
                )) *
                IF(
                    U110="",
                    1,
                    (ROW(INDIRECT("'" &amp; 'Hulp (overig)'!$C$16 &amp; "'!B1:B1000")) &lt; MATCH(
                        U110,
                        INDIRECT("'" &amp; 'Hulp (overig)'!$C$16 &amp; "'!A1:A1000"),
                        0
                    ))
                ),
                ROW(INDIRECT("'" &amp; 'Hulp (overig)'!$C$16 &amp; "'!B1:B1000"))
            )
        ),0)
    ))
))))</f>
        <v>#VALUE!</v>
      </c>
      <c r="U113" s="723" t="e" cm="1">
        <f t="array" aca="1" ref="U113" ca="1">IF($BF113, IF(U110="","",
   INDEX(
      INDIRECT("'" &amp; 'Hulp (CAO''s)'!$AE$8 &amp; "'!" &amp;
               'Hulp (overig)'!$C$17 &amp; "1:" &amp;
               'Hulp (overig)'!$C$17 &amp; "1000"),
      MATCH(
         U110,
         INDIRECT("'" &amp; 'Hulp (CAO''s)'!$AE$8 &amp; "'!A1:A1000"),
         0
      )
   )
), IF($D111="Gebruik % van maximum salaris",
IF(
    OR(U110="",U111=""),
    "",
    MAX(
        INDIRECT(
            "'" &amp; 'Hulp (overig)'!$C$16 &amp; "'!" &amp;
            'Hulp (overig)'!$C$17 &amp;
            MATCH(U110, INDIRECT("'" &amp; 'Hulp (overig)'!$C$16 &amp; "'!A1:A1000"), 0) &amp;
            ":" &amp;
            'Hulp (overig)'!$C$17 &amp;
LOOKUP(
    2,
    1 / (
        (ROW(INDIRECT("'" &amp; 'Hulp (overig)'!$C$16 &amp; "'!B1:B1000")) &lt;
            IF(V110&lt;&gt;"",
               MATCH(V110, INDIRECT("'" &amp; 'Hulp (overig)'!$C$16 &amp; "'!A1:A1000"),0),
               1000
            )
        ) *
        (LEFT(TRIM(INDIRECT("'" &amp; 'Hulp (overig)'!$C$16 &amp; "'!B1:B1000")),1) &lt;&gt; "u")
    ),
    ROW(INDIRECT("'" &amp; 'Hulp (overig)'!$C$16 &amp; "'!B1:B1000"))
)
        )
    ) * U111
),
IF(U112="","",
IF(
    IFERROR(MIN(
        IF(
            (TRIM(INDIRECT("'" &amp; 'Hulp (overig)'!$C$16 &amp; "'!B1:B1000")) = TEXT(U112,"0")) *
            (ROW(INDIRECT("'" &amp; 'Hulp (overig)'!$C$16 &amp; "'!B1:B1000")) &gt;= MATCH(
                U110,
                INDIRECT("'" &amp; 'Hulp (overig)'!$C$16 &amp; "'!A1:A1000"),
                0
            )) *
            IF(
                V110="",
                1,
                (ROW(INDIRECT("'" &amp; 'Hulp (overig)'!$C$16 &amp; "'!B1:B1000")) &lt; MATCH(
                    V110,
                    INDIRECT("'" &amp; 'Hulp (overig)'!$C$16 &amp; "'!A1:A1000"),
                    0
                ))
            ),
            ROW(INDIRECT("'" &amp; 'Hulp (overig)'!$C$16 &amp; "'!B1:B1000"))
        )
    ),0) &lt; 1,
    "",
    IF(INDEX(
        INDIRECT("'" &amp; 'Hulp (overig)'!$C$16 &amp; "'!" &amp;
        'Hulp (overig)'!$C$17 &amp; "1:" &amp; 'Hulp (overig)'!$C$17 &amp; 1000
        ),
        IFERROR(MIN(
            IF(
                (TRIM(INDIRECT("'" &amp; 'Hulp (overig)'!$C$16 &amp; "'!B1:B1000")) = TEXT(U112,"0")) *
                (ROW(INDIRECT("'" &amp; 'Hulp (overig)'!$C$16 &amp; "'!B1:B1000")) &gt;= MATCH(
                    U110,
                    INDIRECT("'" &amp; 'Hulp (overig)'!$C$16 &amp; "'!A1:A1000"),
                    0
                )) *
                IF(
                    V110="",
                    1,
                    (ROW(INDIRECT("'" &amp; 'Hulp (overig)'!$C$16 &amp; "'!B1:B1000")) &lt; MATCH(
                        V110,
                        INDIRECT("'" &amp; 'Hulp (overig)'!$C$16 &amp; "'!A1:A1000"),
                        0
                    ))
                ),
                ROW(INDIRECT("'" &amp; 'Hulp (overig)'!$C$16 &amp; "'!B1:B1000"))
            )
        ),0)
    )=0,"",
INDEX(
        INDIRECT("'" &amp; 'Hulp (overig)'!$C$16 &amp; "'!" &amp;
        'Hulp (overig)'!$C$17 &amp; "1:" &amp; 'Hulp (overig)'!$C$17 &amp; 1000
        ),
        IFERROR(MIN(
            IF(
                (TRIM(INDIRECT("'" &amp; 'Hulp (overig)'!$C$16 &amp; "'!B1:B1000")) = TEXT(U112,"0")) *
                (ROW(INDIRECT("'" &amp; 'Hulp (overig)'!$C$16 &amp; "'!B1:B1000")) &gt;= MATCH(
                    U110,
                    INDIRECT("'" &amp; 'Hulp (overig)'!$C$16 &amp; "'!A1:A1000"),
                    0
                )) *
                IF(
                    V110="",
                    1,
                    (ROW(INDIRECT("'" &amp; 'Hulp (overig)'!$C$16 &amp; "'!B1:B1000")) &lt; MATCH(
                        V110,
                        INDIRECT("'" &amp; 'Hulp (overig)'!$C$16 &amp; "'!A1:A1000"),
                        0
                    ))
                ),
                ROW(INDIRECT("'" &amp; 'Hulp (overig)'!$C$16 &amp; "'!B1:B1000"))
            )
        ),0)
    ))
))))</f>
        <v>#VALUE!</v>
      </c>
      <c r="V113" s="413" t="str" cm="1">
        <f t="array" ref="V113">IF(SUM(F114:U114)=0,"",
IF(SUM(F113:U113)=0,"",
IF(SUMPRODUCT((F114:U114&lt;&gt;0)*(F113:U113=""))&gt;0,"",
(
   SUMPRODUCT(
      IF(F113:U113="",0,F113:U113),
      IF(F114:U114="",0,F114:U114) / SUM(F114:U114)
   )
))))</f>
        <v/>
      </c>
      <c r="W113" s="418"/>
      <c r="X113" s="620"/>
      <c r="Y113" s="419" t="str">
        <f ca="1">IF(B110="","",
        IF(INDIRECT("'Hulp (control forms)'!C" &amp; (13 + INT((ROW()-ROW($B$5))/7))),
            IF(X113="","",X113),
            IF(V113="","",V113)
    )
)</f>
        <v/>
      </c>
      <c r="Z113" s="333"/>
      <c r="AA113" s="771"/>
      <c r="AB113" s="770"/>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cm="1">
        <f t="array" aca="1" ref="BA113" ca="1">IF(
   SUM(Y113)=0,
   1,
   IF(
      N(INDIRECT("'Hulp (control forms)'!C"&amp;(13+INT((ROW()-ROW($B$5))/7))))&lt;&gt;0,
      MIN(1,
      ('Hulp (overig)'!$C$6/12) /
      (Y113 * BC113 + BD113)),
      MIN(1,
         IF(
            SUM(F113:U113)=0,
            "",
            SUMPRODUCT(
               IF(
                  (IF(F113:U113="",0,F113:U113) * BC113) + BD113
                  &gt; 'Hulp (overig)'!$C$6/12,
                  'Hulp (overig)'!$C$6/12,
                  (IF(F113:U113="",0,F113:U113) * BC113) + BD113
               ),
               IF(F114:U114="",0,F114:U114) / SUM(F114:U114)
            )
         ) /
         ((Y113 * BC113) + BD113)
      )
   )
)</f>
        <v>1</v>
      </c>
      <c r="BB113" cm="1">
        <f t="array" aca="1" ref="BB113" ca="1">IF(
   SUM(Y113)=0,
   1,
   IF(
      N(INDIRECT("'Hulp (control forms)'!C"&amp;(13+INT((ROW()-ROW($B$5))/7))))&lt;&gt;0,
      MIN('Hulp (overig)'!$C$5/12,
      (Y113 * BC113) + BD113) * 12,
         IF(
            SUM(F113:U113)=0,
            "",
            SUMPRODUCT(
               IF(
                  (IF(F113:U113="",0,F113:U113) * BC113) + BD113
                  &gt; 'Hulp (overig)'!$C$5/12,
                  'Hulp (overig)'!$C$5/12,
                  (IF(F113:U113="",0,F113:U113) * BC113) + BD113
               ),
               IF(F114:U114="",0,F114:U114) / SUM(F114:U114)
            )
         ) * 12
   )
)</f>
        <v>1</v>
      </c>
      <c r="BC113" s="287" cm="1">
        <f t="array" aca="1" ref="BC113" ca="1">IFERROR(
   (INDEX('2. Output kostprijs'!$24:$24, 5 + 2*INT((ROW()-8)/7))
    - SUM(INDEX('2. Output kostprijs'!$23:$23, 5 + 2*INT((ROW()-8)/7))))
   / INDEX('2. Output kostprijs'!$19:$19, 5 + 2*INT((ROW()-8)/7)),
   1
)</f>
        <v>1</v>
      </c>
      <c r="BD113" s="287" cm="1">
        <f t="array" aca="1" ref="BD113" ca="1">IFERROR(
   (INDEX('2. Output kostprijs'!$23:$23, 5 + 2*INT((ROW()-8)/7))
    * INDEX('2. Output kostprijs'!$18:$18, 5 + 2*INT((ROW()-8)/7))
   ) / 12,
   0
)</f>
        <v>0</v>
      </c>
      <c r="BE113" t="b">
        <f ca="1">NOT(AND(B110&lt;&gt;"",Y113=""))</f>
        <v>1</v>
      </c>
      <c r="BF113" t="str" cm="1">
        <f t="array" aca="1" ref="BF113" ca="1">INDIRECT("'1a. Input organisatieniveau'!$AD" &amp; 7 + INT((ROW()-ROW($F$8))/7))</f>
        <v/>
      </c>
      <c r="BG113" t="b" cm="1">
        <f t="array" ref="BG113">IFERROR(INDEX('Hulp (control forms)'!C:C, 13 + INT((ROW(A106)-1)/7)),FALSE)</f>
        <v>0</v>
      </c>
    </row>
    <row r="114" spans="1:59" ht="16.05" customHeight="1" thickBot="1" x14ac:dyDescent="0.5">
      <c r="A114" s="289"/>
      <c r="B114" s="343"/>
      <c r="C114" s="325" t="s">
        <v>779</v>
      </c>
      <c r="D114" s="688" t="s">
        <v>60</v>
      </c>
      <c r="E114" s="433" t="s">
        <v>59</v>
      </c>
      <c r="F114" s="624"/>
      <c r="G114" s="624"/>
      <c r="H114" s="624"/>
      <c r="I114" s="624"/>
      <c r="J114" s="624"/>
      <c r="K114" s="624"/>
      <c r="L114" s="624"/>
      <c r="M114" s="624"/>
      <c r="N114" s="624"/>
      <c r="O114" s="624"/>
      <c r="P114" s="624"/>
      <c r="Q114" s="624"/>
      <c r="R114" s="624"/>
      <c r="S114" s="624"/>
      <c r="T114" s="624"/>
      <c r="U114" s="625"/>
      <c r="V114" s="420" t="str">
        <f ca="1">IF($B110="","",IF($D114="Aandeel in %",
   "Totaal: "&amp;SUM(F114:U114)*100&amp;"%",
   "Totaal: "&amp;SUM(F114:U114)&amp;" uur"
))</f>
        <v/>
      </c>
      <c r="W114" s="294"/>
      <c r="X114" s="621"/>
      <c r="Y114" s="328"/>
      <c r="Z114" s="32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row>
    <row r="115" spans="1:59" ht="16.05" customHeight="1" thickBot="1" x14ac:dyDescent="0.5">
      <c r="A115" s="289"/>
      <c r="B115" s="343"/>
      <c r="C115" s="326" t="s">
        <v>779</v>
      </c>
      <c r="D115" s="421"/>
      <c r="E115" s="426"/>
      <c r="F115" s="426"/>
      <c r="G115" s="426"/>
      <c r="H115" s="426"/>
      <c r="I115" s="426"/>
      <c r="J115" s="426"/>
      <c r="K115" s="426"/>
      <c r="L115" s="426"/>
      <c r="M115" s="426"/>
      <c r="N115" s="426"/>
      <c r="O115" s="426"/>
      <c r="P115" s="426"/>
      <c r="Q115" s="426"/>
      <c r="R115" s="426"/>
      <c r="S115" s="426"/>
      <c r="T115" s="427"/>
      <c r="U115" s="427"/>
      <c r="V115" s="421"/>
      <c r="W115" s="421"/>
      <c r="X115" s="622"/>
      <c r="Y115" s="421"/>
      <c r="Z115" s="327"/>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row>
    <row r="116" spans="1:59" ht="16.05" customHeight="1" thickBot="1" x14ac:dyDescent="0.55000000000000004">
      <c r="A116" s="289"/>
      <c r="B116" s="585" t="str">
        <f ca="1">IF(B117="","",
IF(
   OR(
      INDIRECT("'1a. Input organisatieniveau'!AC" &amp; (7 + INT((ROW()-4)/7)))="",
      INDIRECT("'1a. Input organisatieniveau'!AC" &amp; (7 + INT((ROW()-4)/7)))=0
   ),
   "",
   INDIRECT("'1a. Input organisatieniveau'!AC" &amp; (7 + INT((ROW()-4)/7)))
))</f>
        <v/>
      </c>
      <c r="C116" s="324" t="s">
        <v>779</v>
      </c>
      <c r="D116" s="416"/>
      <c r="E116" s="428"/>
      <c r="F116" s="422" t="str">
        <f t="shared" ref="F116:U116" ca="1" si="16">IF($B117="","",
IF($D118="Gebruik % van maximum salaris",
 IF(OR(AND(AND(F117&lt;&gt;"",F118&lt;&gt;""),F120=""),AND(F120="",F121&lt;&gt;"")),"!",""),
 IF(OR(AND(AND(F117&lt;&gt;"",F119&lt;&gt;""),F120=""),AND(F120="",F121&lt;&gt;"")),"!","")))</f>
        <v/>
      </c>
      <c r="G116" s="422" t="str">
        <f t="shared" ca="1" si="16"/>
        <v/>
      </c>
      <c r="H116" s="422" t="str">
        <f t="shared" ca="1" si="16"/>
        <v/>
      </c>
      <c r="I116" s="422" t="str">
        <f t="shared" ca="1" si="16"/>
        <v/>
      </c>
      <c r="J116" s="422" t="str">
        <f t="shared" ca="1" si="16"/>
        <v/>
      </c>
      <c r="K116" s="422" t="str">
        <f t="shared" ca="1" si="16"/>
        <v/>
      </c>
      <c r="L116" s="422" t="str">
        <f t="shared" ca="1" si="16"/>
        <v/>
      </c>
      <c r="M116" s="422" t="str">
        <f t="shared" ca="1" si="16"/>
        <v/>
      </c>
      <c r="N116" s="422" t="str">
        <f t="shared" ca="1" si="16"/>
        <v/>
      </c>
      <c r="O116" s="422" t="str">
        <f t="shared" ca="1" si="16"/>
        <v/>
      </c>
      <c r="P116" s="422" t="str">
        <f t="shared" ca="1" si="16"/>
        <v/>
      </c>
      <c r="Q116" s="422" t="str">
        <f t="shared" ca="1" si="16"/>
        <v/>
      </c>
      <c r="R116" s="422" t="str">
        <f t="shared" ca="1" si="16"/>
        <v/>
      </c>
      <c r="S116" s="422" t="str">
        <f t="shared" ca="1" si="16"/>
        <v/>
      </c>
      <c r="T116" s="422" t="str">
        <f t="shared" ca="1" si="16"/>
        <v/>
      </c>
      <c r="U116" s="422" t="str">
        <f t="shared" ca="1" si="16"/>
        <v/>
      </c>
      <c r="V116" s="416"/>
      <c r="W116" s="416"/>
      <c r="X116" s="619"/>
      <c r="Y116" s="416"/>
      <c r="Z116" s="330"/>
      <c r="AA116" s="354"/>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row>
    <row r="117" spans="1:59" ht="16.05" customHeight="1" thickBot="1" x14ac:dyDescent="0.5">
      <c r="A117" s="289"/>
      <c r="B117" s="586" t="str">
        <f ca="1">IF(
   OR(
      INDIRECT("'1a. Input organisatieniveau'!AA" &amp; (7 + INT((ROW()-4)/7)))="",
      INDIRECT("'1a. Input organisatieniveau'!AA" &amp; (7 + INT((ROW()-4)/7)))=0
   ),
   "",
   INDIRECT("'1a. Input organisatieniveau'!AA" &amp; (7 + INT((ROW()-4)/7)))
)</f>
        <v/>
      </c>
      <c r="C117" s="325" t="s">
        <v>779</v>
      </c>
      <c r="D117" s="434"/>
      <c r="E117" s="429" t="s">
        <v>28</v>
      </c>
      <c r="F117" s="423" t="str">
        <f ca="1">IF($B117="", "", IF($BF120, IF('Hulp (CAO''s)'!J$8&lt;&gt;"",'Hulp (CAO''s)'!J$8,""), INDEX('Hulp (CAO''s)'!J$3:J$7, MATCH(TRUE, 'Hulp (CAO''s)'!$D$3:$D$7, 0))))</f>
        <v/>
      </c>
      <c r="G117" s="423" t="str">
        <f ca="1">IF($B117="", "", IF($BF120, IF('Hulp (CAO''s)'!K$8&lt;&gt;"",'Hulp (CAO''s)'!K$8,""), INDEX('Hulp (CAO''s)'!K$3:K$7, MATCH(TRUE, 'Hulp (CAO''s)'!$D$3:$D$7, 0))))</f>
        <v/>
      </c>
      <c r="H117" s="423" t="str">
        <f ca="1">IF($B117="", "", IF($BF120, IF('Hulp (CAO''s)'!L$8&lt;&gt;"",'Hulp (CAO''s)'!L$8,""), INDEX('Hulp (CAO''s)'!L$3:L$7, MATCH(TRUE, 'Hulp (CAO''s)'!$D$3:$D$7, 0))))</f>
        <v/>
      </c>
      <c r="I117" s="423" t="str">
        <f ca="1">IF($B117="", "", IF($BF120, IF('Hulp (CAO''s)'!M$8&lt;&gt;"",'Hulp (CAO''s)'!M$8,""), INDEX('Hulp (CAO''s)'!M$3:M$7, MATCH(TRUE, 'Hulp (CAO''s)'!$D$3:$D$7, 0))))</f>
        <v/>
      </c>
      <c r="J117" s="423" t="str">
        <f ca="1">IF($B117="", "", IF($BF120, IF('Hulp (CAO''s)'!N$8&lt;&gt;"",'Hulp (CAO''s)'!N$8,""), INDEX('Hulp (CAO''s)'!N$3:N$7, MATCH(TRUE, 'Hulp (CAO''s)'!$D$3:$D$7, 0))))</f>
        <v/>
      </c>
      <c r="K117" s="423" t="str">
        <f ca="1">IF($B117="", "", IF($BF120, IF('Hulp (CAO''s)'!O$8&lt;&gt;"",'Hulp (CAO''s)'!O$8,""), INDEX('Hulp (CAO''s)'!O$3:O$7, MATCH(TRUE, 'Hulp (CAO''s)'!$D$3:$D$7, 0))))</f>
        <v/>
      </c>
      <c r="L117" s="423" t="str">
        <f ca="1">IF($B117="", "", IF($BF120, IF('Hulp (CAO''s)'!P$8&lt;&gt;"",'Hulp (CAO''s)'!P$8,""), INDEX('Hulp (CAO''s)'!P$3:P$7, MATCH(TRUE, 'Hulp (CAO''s)'!$D$3:$D$7, 0))))</f>
        <v/>
      </c>
      <c r="M117" s="423" t="str">
        <f ca="1">IF($B117="", "", IF($BF120, IF('Hulp (CAO''s)'!Q$8&lt;&gt;"",'Hulp (CAO''s)'!Q$8,""), INDEX('Hulp (CAO''s)'!Q$3:Q$7, MATCH(TRUE, 'Hulp (CAO''s)'!$D$3:$D$7, 0))))</f>
        <v/>
      </c>
      <c r="N117" s="423" t="str">
        <f ca="1">IF($B117="", "", IF($BF120, IF('Hulp (CAO''s)'!R$8&lt;&gt;"",'Hulp (CAO''s)'!R$8,""), INDEX('Hulp (CAO''s)'!R$3:R$7, MATCH(TRUE, 'Hulp (CAO''s)'!$D$3:$D$7, 0))))</f>
        <v/>
      </c>
      <c r="O117" s="423" t="str">
        <f ca="1">IF($B117="", "", IF($BF120, IF('Hulp (CAO''s)'!S$8&lt;&gt;"",'Hulp (CAO''s)'!S$8,""), INDEX('Hulp (CAO''s)'!S$3:S$7, MATCH(TRUE, 'Hulp (CAO''s)'!$D$3:$D$7, 0))))</f>
        <v/>
      </c>
      <c r="P117" s="423" t="str">
        <f ca="1">IF($B117="", "", IF($BF120, IF('Hulp (CAO''s)'!T$8&lt;&gt;"",'Hulp (CAO''s)'!T$8,""), INDEX('Hulp (CAO''s)'!T$3:T$7, MATCH(TRUE, 'Hulp (CAO''s)'!$D$3:$D$7, 0))))</f>
        <v/>
      </c>
      <c r="Q117" s="423" t="str">
        <f ca="1">IF($B117="", "", IF($BF120, IF('Hulp (CAO''s)'!U$8&lt;&gt;"",'Hulp (CAO''s)'!U$8,""), INDEX('Hulp (CAO''s)'!U$3:U$7, MATCH(TRUE, 'Hulp (CAO''s)'!$D$3:$D$7, 0))))</f>
        <v/>
      </c>
      <c r="R117" s="423" t="str">
        <f ca="1">IF($B117="", "", IF($BF120, IF('Hulp (CAO''s)'!V$8&lt;&gt;"",'Hulp (CAO''s)'!V$8,""), INDEX('Hulp (CAO''s)'!V$3:V$7, MATCH(TRUE, 'Hulp (CAO''s)'!$D$3:$D$7, 0))))</f>
        <v/>
      </c>
      <c r="S117" s="423" t="str">
        <f ca="1">IF($B117="", "", IF($BF120, IF('Hulp (CAO''s)'!W$8&lt;&gt;"",'Hulp (CAO''s)'!W$8,""), INDEX('Hulp (CAO''s)'!W$3:W$7, MATCH(TRUE, 'Hulp (CAO''s)'!$D$3:$D$7, 0))))</f>
        <v/>
      </c>
      <c r="T117" s="423" t="str">
        <f ca="1">IF($B117="", "", IF($BF120, IF('Hulp (CAO''s)'!X$8&lt;&gt;"",'Hulp (CAO''s)'!X$8,""), INDEX('Hulp (CAO''s)'!X$3:X$7, MATCH(TRUE, 'Hulp (CAO''s)'!$D$3:$D$7, 0))))</f>
        <v/>
      </c>
      <c r="U117" s="424" t="str">
        <f ca="1">IF($B117="", "", IF($BF120, IF('Hulp (CAO''s)'!Y$8&lt;&gt;"",'Hulp (CAO''s)'!Y$8,""), INDEX('Hulp (CAO''s)'!Y$3:Y$7, MATCH(TRUE, 'Hulp (CAO''s)'!$D$3:$D$7, 0))))</f>
        <v/>
      </c>
      <c r="V117" s="417"/>
      <c r="W117" s="343"/>
      <c r="X117" s="617"/>
      <c r="Y117" s="343"/>
      <c r="Z117" s="329"/>
      <c r="AA117" s="320"/>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row>
    <row r="118" spans="1:59" ht="16.05" customHeight="1" x14ac:dyDescent="0.45">
      <c r="A118" s="289"/>
      <c r="B118" s="343"/>
      <c r="C118" s="325" t="s">
        <v>779</v>
      </c>
      <c r="D118" s="772" t="s">
        <v>772</v>
      </c>
      <c r="E118" s="430" t="e">
        <f ca="1">IF($BF120, "", "% t.o.v. max salaris in de schaal")</f>
        <v>#VALUE!</v>
      </c>
      <c r="F118" s="615"/>
      <c r="G118" s="615"/>
      <c r="H118" s="615"/>
      <c r="I118" s="615"/>
      <c r="J118" s="615"/>
      <c r="K118" s="615"/>
      <c r="L118" s="615"/>
      <c r="M118" s="615"/>
      <c r="N118" s="615"/>
      <c r="O118" s="615"/>
      <c r="P118" s="615"/>
      <c r="Q118" s="615"/>
      <c r="R118" s="615"/>
      <c r="S118" s="615"/>
      <c r="T118" s="615"/>
      <c r="U118" s="616"/>
      <c r="V118" s="774" t="s">
        <v>884</v>
      </c>
      <c r="W118" s="332"/>
      <c r="X118" s="776" t="s">
        <v>882</v>
      </c>
      <c r="Y118" s="778" t="s">
        <v>883</v>
      </c>
      <c r="Z118" s="329"/>
      <c r="AA118" s="771" t="s">
        <v>780</v>
      </c>
      <c r="AB118" s="770" t="s">
        <v>1079</v>
      </c>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row>
    <row r="119" spans="1:59" ht="16.05" customHeight="1" thickBot="1" x14ac:dyDescent="0.5">
      <c r="A119" s="289"/>
      <c r="B119" s="343"/>
      <c r="C119" s="325" t="s">
        <v>779</v>
      </c>
      <c r="D119" s="773"/>
      <c r="E119" s="431" t="e">
        <f ca="1">IF($BF120, "", "Trede (gemiddeld)")</f>
        <v>#VALUE!</v>
      </c>
      <c r="F119" s="737"/>
      <c r="G119" s="737"/>
      <c r="H119" s="737"/>
      <c r="I119" s="737"/>
      <c r="J119" s="737"/>
      <c r="K119" s="737"/>
      <c r="L119" s="737"/>
      <c r="M119" s="737"/>
      <c r="N119" s="737"/>
      <c r="O119" s="737"/>
      <c r="P119" s="737"/>
      <c r="Q119" s="737"/>
      <c r="R119" s="737"/>
      <c r="S119" s="737"/>
      <c r="T119" s="737"/>
      <c r="U119" s="740"/>
      <c r="V119" s="775"/>
      <c r="W119" s="294"/>
      <c r="X119" s="777"/>
      <c r="Y119" s="779"/>
      <c r="Z119" s="329"/>
      <c r="AA119" s="771"/>
      <c r="AB119" s="770"/>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row>
    <row r="120" spans="1:59" ht="16.05" customHeight="1" thickBot="1" x14ac:dyDescent="0.5">
      <c r="A120" s="289"/>
      <c r="B120" s="343"/>
      <c r="C120" s="325" t="s">
        <v>779</v>
      </c>
      <c r="E120" s="432" t="str">
        <f>IFERROR(
   INDEX('Hulp (CAO''s)'!$I$3:$I$7, MATCH(TRUE, 'Hulp (CAO''s)'!$D$3:$D$7, 0)),
"")</f>
        <v>Bruto maandsalaris</v>
      </c>
      <c r="F120" s="425" t="e" cm="1">
        <f t="array" aca="1" ref="F120" ca="1">IF($BF120, IF(F117="","",
   INDEX(
      INDIRECT("'" &amp; 'Hulp (CAO''s)'!$AE$8 &amp; "'!" &amp;
               'Hulp (overig)'!$C$17 &amp; "1:" &amp;
               'Hulp (overig)'!$C$17 &amp; "1000"),
      MATCH(
         F117,
         INDIRECT("'" &amp; 'Hulp (CAO''s)'!$AE$8 &amp; "'!A1:A1000"),
         0
      )
   )
), IF($D118="Gebruik % van maximum salaris",
IF(
    OR(F117="",F118=""),
    "",
    MAX(
        INDIRECT(
            "'" &amp; 'Hulp (overig)'!$C$16 &amp; "'!" &amp;
            'Hulp (overig)'!$C$17 &amp;
            MATCH(F117, INDIRECT("'" &amp; 'Hulp (overig)'!$C$16 &amp; "'!A1:A1000"), 0) &amp;
            ":" &amp;
            'Hulp (overig)'!$C$17 &amp;
LOOKUP(
    2,
    1 / (
        (ROW(INDIRECT("'" &amp; 'Hulp (overig)'!$C$16 &amp; "'!B1:B1000")) &lt;
            IF(G117&lt;&gt;"",
               MATCH(G117, INDIRECT("'" &amp; 'Hulp (overig)'!$C$16 &amp; "'!A1:A1000"),0),
               1000
            )
        ) *
        (LEFT(TRIM(INDIRECT("'" &amp; 'Hulp (overig)'!$C$16 &amp; "'!B1:B1000")),1) &lt;&gt; "u")
    ),
    ROW(INDIRECT("'" &amp; 'Hulp (overig)'!$C$16 &amp; "'!B1:B1000"))
)
        )
    ) * F118
),
IF(F119="","",
IF(
    IFERROR(MIN(
        IF(
            (TRIM(INDIRECT("'" &amp; 'Hulp (overig)'!$C$16 &amp; "'!B1:B1000")) = TEXT(F119,"0")) *
            (ROW(INDIRECT("'" &amp; 'Hulp (overig)'!$C$16 &amp; "'!B1:B1000")) &gt;= MATCH(
                F117,
                INDIRECT("'" &amp; 'Hulp (overig)'!$C$16 &amp; "'!A1:A1000"),
                0
            )) *
            IF(
                G117="",
                1,
                (ROW(INDIRECT("'" &amp; 'Hulp (overig)'!$C$16 &amp; "'!B1:B1000")) &lt; MATCH(
                    G117,
                    INDIRECT("'" &amp; 'Hulp (overig)'!$C$16 &amp; "'!A1:A1000"),
                    0
                ))
            ),
            ROW(INDIRECT("'" &amp; 'Hulp (overig)'!$C$16 &amp; "'!B1:B1000"))
        )
    ),0) &lt; 1,
    "",
    IF(INDEX(
        INDIRECT("'" &amp; 'Hulp (overig)'!$C$16 &amp; "'!" &amp;
        'Hulp (overig)'!$C$17 &amp; "1:" &amp; 'Hulp (overig)'!$C$17 &amp; 1000
        ),
        IFERROR(MIN(
            IF(
                (TRIM(INDIRECT("'" &amp; 'Hulp (overig)'!$C$16 &amp; "'!B1:B1000")) = TEXT(F119,"0")) *
                (ROW(INDIRECT("'" &amp; 'Hulp (overig)'!$C$16 &amp; "'!B1:B1000")) &gt;= MATCH(
                    F117,
                    INDIRECT("'" &amp; 'Hulp (overig)'!$C$16 &amp; "'!A1:A1000"),
                    0
                )) *
                IF(
                    G117="",
                    1,
                    (ROW(INDIRECT("'" &amp; 'Hulp (overig)'!$C$16 &amp; "'!B1:B1000")) &lt; MATCH(
                        G117,
                        INDIRECT("'" &amp; 'Hulp (overig)'!$C$16 &amp; "'!A1:A1000"),
                        0
                    ))
                ),
                ROW(INDIRECT("'" &amp; 'Hulp (overig)'!$C$16 &amp; "'!B1:B1000"))
            )
        ),0)
    )=0,"",
INDEX(
        INDIRECT("'" &amp; 'Hulp (overig)'!$C$16 &amp; "'!" &amp;
        'Hulp (overig)'!$C$17 &amp; "1:" &amp; 'Hulp (overig)'!$C$17 &amp; 1000
        ),
        IFERROR(MIN(
            IF(
                (TRIM(INDIRECT("'" &amp; 'Hulp (overig)'!$C$16 &amp; "'!B1:B1000")) = TEXT(F119,"0")) *
                (ROW(INDIRECT("'" &amp; 'Hulp (overig)'!$C$16 &amp; "'!B1:B1000")) &gt;= MATCH(
                    F117,
                    INDIRECT("'" &amp; 'Hulp (overig)'!$C$16 &amp; "'!A1:A1000"),
                    0
                )) *
                IF(
                    G117="",
                    1,
                    (ROW(INDIRECT("'" &amp; 'Hulp (overig)'!$C$16 &amp; "'!B1:B1000")) &lt; MATCH(
                        G117,
                        INDIRECT("'" &amp; 'Hulp (overig)'!$C$16 &amp; "'!A1:A1000"),
                        0
                    ))
                ),
                ROW(INDIRECT("'" &amp; 'Hulp (overig)'!$C$16 &amp; "'!B1:B1000"))
            )
        ),0)
    ))
))))</f>
        <v>#VALUE!</v>
      </c>
      <c r="G120" s="425" t="e" cm="1">
        <f t="array" aca="1" ref="G120" ca="1">IF($BF120, IF(G117="","",
   INDEX(
      INDIRECT("'" &amp; 'Hulp (CAO''s)'!$AE$8 &amp; "'!" &amp;
               'Hulp (overig)'!$C$17 &amp; "1:" &amp;
               'Hulp (overig)'!$C$17 &amp; "1000"),
      MATCH(
         G117,
         INDIRECT("'" &amp; 'Hulp (CAO''s)'!$AE$8 &amp; "'!A1:A1000"),
         0
      )
   )
), IF($D118="Gebruik % van maximum salaris",
IF(
    OR(G117="",G118=""),
    "",
    MAX(
        INDIRECT(
            "'" &amp; 'Hulp (overig)'!$C$16 &amp; "'!" &amp;
            'Hulp (overig)'!$C$17 &amp;
            MATCH(G117, INDIRECT("'" &amp; 'Hulp (overig)'!$C$16 &amp; "'!A1:A1000"), 0) &amp;
            ":" &amp;
            'Hulp (overig)'!$C$17 &amp;
LOOKUP(
    2,
    1 / (
        (ROW(INDIRECT("'" &amp; 'Hulp (overig)'!$C$16 &amp; "'!B1:B1000")) &lt;
            IF(H117&lt;&gt;"",
               MATCH(H117, INDIRECT("'" &amp; 'Hulp (overig)'!$C$16 &amp; "'!A1:A1000"),0),
               1000
            )
        ) *
        (LEFT(TRIM(INDIRECT("'" &amp; 'Hulp (overig)'!$C$16 &amp; "'!B1:B1000")),1) &lt;&gt; "u")
    ),
    ROW(INDIRECT("'" &amp; 'Hulp (overig)'!$C$16 &amp; "'!B1:B1000"))
)
        )
    ) * G118
),
IF(G119="","",
IF(
    IFERROR(MIN(
        IF(
            (TRIM(INDIRECT("'" &amp; 'Hulp (overig)'!$C$16 &amp; "'!B1:B1000")) = TEXT(G119,"0")) *
            (ROW(INDIRECT("'" &amp; 'Hulp (overig)'!$C$16 &amp; "'!B1:B1000")) &gt;= MATCH(
                G117,
                INDIRECT("'" &amp; 'Hulp (overig)'!$C$16 &amp; "'!A1:A1000"),
                0
            )) *
            IF(
                H117="",
                1,
                (ROW(INDIRECT("'" &amp; 'Hulp (overig)'!$C$16 &amp; "'!B1:B1000")) &lt; MATCH(
                    H117,
                    INDIRECT("'" &amp; 'Hulp (overig)'!$C$16 &amp; "'!A1:A1000"),
                    0
                ))
            ),
            ROW(INDIRECT("'" &amp; 'Hulp (overig)'!$C$16 &amp; "'!B1:B1000"))
        )
    ),0) &lt; 1,
    "",
    IF(INDEX(
        INDIRECT("'" &amp; 'Hulp (overig)'!$C$16 &amp; "'!" &amp;
        'Hulp (overig)'!$C$17 &amp; "1:" &amp; 'Hulp (overig)'!$C$17 &amp; 1000
        ),
        IFERROR(MIN(
            IF(
                (TRIM(INDIRECT("'" &amp; 'Hulp (overig)'!$C$16 &amp; "'!B1:B1000")) = TEXT(G119,"0")) *
                (ROW(INDIRECT("'" &amp; 'Hulp (overig)'!$C$16 &amp; "'!B1:B1000")) &gt;= MATCH(
                    G117,
                    INDIRECT("'" &amp; 'Hulp (overig)'!$C$16 &amp; "'!A1:A1000"),
                    0
                )) *
                IF(
                    H117="",
                    1,
                    (ROW(INDIRECT("'" &amp; 'Hulp (overig)'!$C$16 &amp; "'!B1:B1000")) &lt; MATCH(
                        H117,
                        INDIRECT("'" &amp; 'Hulp (overig)'!$C$16 &amp; "'!A1:A1000"),
                        0
                    ))
                ),
                ROW(INDIRECT("'" &amp; 'Hulp (overig)'!$C$16 &amp; "'!B1:B1000"))
            )
        ),0)
    )=0,"",
INDEX(
        INDIRECT("'" &amp; 'Hulp (overig)'!$C$16 &amp; "'!" &amp;
        'Hulp (overig)'!$C$17 &amp; "1:" &amp; 'Hulp (overig)'!$C$17 &amp; 1000
        ),
        IFERROR(MIN(
            IF(
                (TRIM(INDIRECT("'" &amp; 'Hulp (overig)'!$C$16 &amp; "'!B1:B1000")) = TEXT(G119,"0")) *
                (ROW(INDIRECT("'" &amp; 'Hulp (overig)'!$C$16 &amp; "'!B1:B1000")) &gt;= MATCH(
                    G117,
                    INDIRECT("'" &amp; 'Hulp (overig)'!$C$16 &amp; "'!A1:A1000"),
                    0
                )) *
                IF(
                    H117="",
                    1,
                    (ROW(INDIRECT("'" &amp; 'Hulp (overig)'!$C$16 &amp; "'!B1:B1000")) &lt; MATCH(
                        H117,
                        INDIRECT("'" &amp; 'Hulp (overig)'!$C$16 &amp; "'!A1:A1000"),
                        0
                    ))
                ),
                ROW(INDIRECT("'" &amp; 'Hulp (overig)'!$C$16 &amp; "'!B1:B1000"))
            )
        ),0)
    ))
))))</f>
        <v>#VALUE!</v>
      </c>
      <c r="H120" s="425" t="e" cm="1">
        <f t="array" aca="1" ref="H120" ca="1">IF($BF120, IF(H117="","",
   INDEX(
      INDIRECT("'" &amp; 'Hulp (CAO''s)'!$AE$8 &amp; "'!" &amp;
               'Hulp (overig)'!$C$17 &amp; "1:" &amp;
               'Hulp (overig)'!$C$17 &amp; "1000"),
      MATCH(
         H117,
         INDIRECT("'" &amp; 'Hulp (CAO''s)'!$AE$8 &amp; "'!A1:A1000"),
         0
      )
   )
), IF($D118="Gebruik % van maximum salaris",
IF(
    OR(H117="",H118=""),
    "",
    MAX(
        INDIRECT(
            "'" &amp; 'Hulp (overig)'!$C$16 &amp; "'!" &amp;
            'Hulp (overig)'!$C$17 &amp;
            MATCH(H117, INDIRECT("'" &amp; 'Hulp (overig)'!$C$16 &amp; "'!A1:A1000"), 0) &amp;
            ":" &amp;
            'Hulp (overig)'!$C$17 &amp;
LOOKUP(
    2,
    1 / (
        (ROW(INDIRECT("'" &amp; 'Hulp (overig)'!$C$16 &amp; "'!B1:B1000")) &lt;
            IF(I117&lt;&gt;"",
               MATCH(I117, INDIRECT("'" &amp; 'Hulp (overig)'!$C$16 &amp; "'!A1:A1000"),0),
               1000
            )
        ) *
        (LEFT(TRIM(INDIRECT("'" &amp; 'Hulp (overig)'!$C$16 &amp; "'!B1:B1000")),1) &lt;&gt; "u")
    ),
    ROW(INDIRECT("'" &amp; 'Hulp (overig)'!$C$16 &amp; "'!B1:B1000"))
)
        )
    ) * H118
),
IF(H119="","",
IF(
    IFERROR(MIN(
        IF(
            (TRIM(INDIRECT("'" &amp; 'Hulp (overig)'!$C$16 &amp; "'!B1:B1000")) = TEXT(H119,"0")) *
            (ROW(INDIRECT("'" &amp; 'Hulp (overig)'!$C$16 &amp; "'!B1:B1000")) &gt;= MATCH(
                H117,
                INDIRECT("'" &amp; 'Hulp (overig)'!$C$16 &amp; "'!A1:A1000"),
                0
            )) *
            IF(
                I117="",
                1,
                (ROW(INDIRECT("'" &amp; 'Hulp (overig)'!$C$16 &amp; "'!B1:B1000")) &lt; MATCH(
                    I117,
                    INDIRECT("'" &amp; 'Hulp (overig)'!$C$16 &amp; "'!A1:A1000"),
                    0
                ))
            ),
            ROW(INDIRECT("'" &amp; 'Hulp (overig)'!$C$16 &amp; "'!B1:B1000"))
        )
    ),0) &lt; 1,
    "",
    IF(INDEX(
        INDIRECT("'" &amp; 'Hulp (overig)'!$C$16 &amp; "'!" &amp;
        'Hulp (overig)'!$C$17 &amp; "1:" &amp; 'Hulp (overig)'!$C$17 &amp; 1000
        ),
        IFERROR(MIN(
            IF(
                (TRIM(INDIRECT("'" &amp; 'Hulp (overig)'!$C$16 &amp; "'!B1:B1000")) = TEXT(H119,"0")) *
                (ROW(INDIRECT("'" &amp; 'Hulp (overig)'!$C$16 &amp; "'!B1:B1000")) &gt;= MATCH(
                    H117,
                    INDIRECT("'" &amp; 'Hulp (overig)'!$C$16 &amp; "'!A1:A1000"),
                    0
                )) *
                IF(
                    I117="",
                    1,
                    (ROW(INDIRECT("'" &amp; 'Hulp (overig)'!$C$16 &amp; "'!B1:B1000")) &lt; MATCH(
                        I117,
                        INDIRECT("'" &amp; 'Hulp (overig)'!$C$16 &amp; "'!A1:A1000"),
                        0
                    ))
                ),
                ROW(INDIRECT("'" &amp; 'Hulp (overig)'!$C$16 &amp; "'!B1:B1000"))
            )
        ),0)
    )=0,"",
INDEX(
        INDIRECT("'" &amp; 'Hulp (overig)'!$C$16 &amp; "'!" &amp;
        'Hulp (overig)'!$C$17 &amp; "1:" &amp; 'Hulp (overig)'!$C$17 &amp; 1000
        ),
        IFERROR(MIN(
            IF(
                (TRIM(INDIRECT("'" &amp; 'Hulp (overig)'!$C$16 &amp; "'!B1:B1000")) = TEXT(H119,"0")) *
                (ROW(INDIRECT("'" &amp; 'Hulp (overig)'!$C$16 &amp; "'!B1:B1000")) &gt;= MATCH(
                    H117,
                    INDIRECT("'" &amp; 'Hulp (overig)'!$C$16 &amp; "'!A1:A1000"),
                    0
                )) *
                IF(
                    I117="",
                    1,
                    (ROW(INDIRECT("'" &amp; 'Hulp (overig)'!$C$16 &amp; "'!B1:B1000")) &lt; MATCH(
                        I117,
                        INDIRECT("'" &amp; 'Hulp (overig)'!$C$16 &amp; "'!A1:A1000"),
                        0
                    ))
                ),
                ROW(INDIRECT("'" &amp; 'Hulp (overig)'!$C$16 &amp; "'!B1:B1000"))
            )
        ),0)
    ))
))))</f>
        <v>#VALUE!</v>
      </c>
      <c r="I120" s="425" t="e" cm="1">
        <f t="array" aca="1" ref="I120" ca="1">IF($BF120, IF(I117="","",
   INDEX(
      INDIRECT("'" &amp; 'Hulp (CAO''s)'!$AE$8 &amp; "'!" &amp;
               'Hulp (overig)'!$C$17 &amp; "1:" &amp;
               'Hulp (overig)'!$C$17 &amp; "1000"),
      MATCH(
         I117,
         INDIRECT("'" &amp; 'Hulp (CAO''s)'!$AE$8 &amp; "'!A1:A1000"),
         0
      )
   )
), IF($D118="Gebruik % van maximum salaris",
IF(
    OR(I117="",I118=""),
    "",
    MAX(
        INDIRECT(
            "'" &amp; 'Hulp (overig)'!$C$16 &amp; "'!" &amp;
            'Hulp (overig)'!$C$17 &amp;
            MATCH(I117, INDIRECT("'" &amp; 'Hulp (overig)'!$C$16 &amp; "'!A1:A1000"), 0) &amp;
            ":" &amp;
            'Hulp (overig)'!$C$17 &amp;
LOOKUP(
    2,
    1 / (
        (ROW(INDIRECT("'" &amp; 'Hulp (overig)'!$C$16 &amp; "'!B1:B1000")) &lt;
            IF(J117&lt;&gt;"",
               MATCH(J117, INDIRECT("'" &amp; 'Hulp (overig)'!$C$16 &amp; "'!A1:A1000"),0),
               1000
            )
        ) *
        (LEFT(TRIM(INDIRECT("'" &amp; 'Hulp (overig)'!$C$16 &amp; "'!B1:B1000")),1) &lt;&gt; "u")
    ),
    ROW(INDIRECT("'" &amp; 'Hulp (overig)'!$C$16 &amp; "'!B1:B1000"))
)
        )
    ) * I118
),
IF(I119="","",
IF(
    IFERROR(MIN(
        IF(
            (TRIM(INDIRECT("'" &amp; 'Hulp (overig)'!$C$16 &amp; "'!B1:B1000")) = TEXT(I119,"0")) *
            (ROW(INDIRECT("'" &amp; 'Hulp (overig)'!$C$16 &amp; "'!B1:B1000")) &gt;= MATCH(
                I117,
                INDIRECT("'" &amp; 'Hulp (overig)'!$C$16 &amp; "'!A1:A1000"),
                0
            )) *
            IF(
                J117="",
                1,
                (ROW(INDIRECT("'" &amp; 'Hulp (overig)'!$C$16 &amp; "'!B1:B1000")) &lt; MATCH(
                    J117,
                    INDIRECT("'" &amp; 'Hulp (overig)'!$C$16 &amp; "'!A1:A1000"),
                    0
                ))
            ),
            ROW(INDIRECT("'" &amp; 'Hulp (overig)'!$C$16 &amp; "'!B1:B1000"))
        )
    ),0) &lt; 1,
    "",
    IF(INDEX(
        INDIRECT("'" &amp; 'Hulp (overig)'!$C$16 &amp; "'!" &amp;
        'Hulp (overig)'!$C$17 &amp; "1:" &amp; 'Hulp (overig)'!$C$17 &amp; 1000
        ),
        IFERROR(MIN(
            IF(
                (TRIM(INDIRECT("'" &amp; 'Hulp (overig)'!$C$16 &amp; "'!B1:B1000")) = TEXT(I119,"0")) *
                (ROW(INDIRECT("'" &amp; 'Hulp (overig)'!$C$16 &amp; "'!B1:B1000")) &gt;= MATCH(
                    I117,
                    INDIRECT("'" &amp; 'Hulp (overig)'!$C$16 &amp; "'!A1:A1000"),
                    0
                )) *
                IF(
                    J117="",
                    1,
                    (ROW(INDIRECT("'" &amp; 'Hulp (overig)'!$C$16 &amp; "'!B1:B1000")) &lt; MATCH(
                        J117,
                        INDIRECT("'" &amp; 'Hulp (overig)'!$C$16 &amp; "'!A1:A1000"),
                        0
                    ))
                ),
                ROW(INDIRECT("'" &amp; 'Hulp (overig)'!$C$16 &amp; "'!B1:B1000"))
            )
        ),0)
    )=0,"",
INDEX(
        INDIRECT("'" &amp; 'Hulp (overig)'!$C$16 &amp; "'!" &amp;
        'Hulp (overig)'!$C$17 &amp; "1:" &amp; 'Hulp (overig)'!$C$17 &amp; 1000
        ),
        IFERROR(MIN(
            IF(
                (TRIM(INDIRECT("'" &amp; 'Hulp (overig)'!$C$16 &amp; "'!B1:B1000")) = TEXT(I119,"0")) *
                (ROW(INDIRECT("'" &amp; 'Hulp (overig)'!$C$16 &amp; "'!B1:B1000")) &gt;= MATCH(
                    I117,
                    INDIRECT("'" &amp; 'Hulp (overig)'!$C$16 &amp; "'!A1:A1000"),
                    0
                )) *
                IF(
                    J117="",
                    1,
                    (ROW(INDIRECT("'" &amp; 'Hulp (overig)'!$C$16 &amp; "'!B1:B1000")) &lt; MATCH(
                        J117,
                        INDIRECT("'" &amp; 'Hulp (overig)'!$C$16 &amp; "'!A1:A1000"),
                        0
                    ))
                ),
                ROW(INDIRECT("'" &amp; 'Hulp (overig)'!$C$16 &amp; "'!B1:B1000"))
            )
        ),0)
    ))
))))</f>
        <v>#VALUE!</v>
      </c>
      <c r="J120" s="425" t="e" cm="1">
        <f t="array" aca="1" ref="J120" ca="1">IF($BF120, IF(J117="","",
   INDEX(
      INDIRECT("'" &amp; 'Hulp (CAO''s)'!$AE$8 &amp; "'!" &amp;
               'Hulp (overig)'!$C$17 &amp; "1:" &amp;
               'Hulp (overig)'!$C$17 &amp; "1000"),
      MATCH(
         J117,
         INDIRECT("'" &amp; 'Hulp (CAO''s)'!$AE$8 &amp; "'!A1:A1000"),
         0
      )
   )
), IF($D118="Gebruik % van maximum salaris",
IF(
    OR(J117="",J118=""),
    "",
    MAX(
        INDIRECT(
            "'" &amp; 'Hulp (overig)'!$C$16 &amp; "'!" &amp;
            'Hulp (overig)'!$C$17 &amp;
            MATCH(J117, INDIRECT("'" &amp; 'Hulp (overig)'!$C$16 &amp; "'!A1:A1000"), 0) &amp;
            ":" &amp;
            'Hulp (overig)'!$C$17 &amp;
LOOKUP(
    2,
    1 / (
        (ROW(INDIRECT("'" &amp; 'Hulp (overig)'!$C$16 &amp; "'!B1:B1000")) &lt;
            IF(K117&lt;&gt;"",
               MATCH(K117, INDIRECT("'" &amp; 'Hulp (overig)'!$C$16 &amp; "'!A1:A1000"),0),
               1000
            )
        ) *
        (LEFT(TRIM(INDIRECT("'" &amp; 'Hulp (overig)'!$C$16 &amp; "'!B1:B1000")),1) &lt;&gt; "u")
    ),
    ROW(INDIRECT("'" &amp; 'Hulp (overig)'!$C$16 &amp; "'!B1:B1000"))
)
        )
    ) * J118
),
IF(J119="","",
IF(
    IFERROR(MIN(
        IF(
            (TRIM(INDIRECT("'" &amp; 'Hulp (overig)'!$C$16 &amp; "'!B1:B1000")) = TEXT(J119,"0")) *
            (ROW(INDIRECT("'" &amp; 'Hulp (overig)'!$C$16 &amp; "'!B1:B1000")) &gt;= MATCH(
                J117,
                INDIRECT("'" &amp; 'Hulp (overig)'!$C$16 &amp; "'!A1:A1000"),
                0
            )) *
            IF(
                K117="",
                1,
                (ROW(INDIRECT("'" &amp; 'Hulp (overig)'!$C$16 &amp; "'!B1:B1000")) &lt; MATCH(
                    K117,
                    INDIRECT("'" &amp; 'Hulp (overig)'!$C$16 &amp; "'!A1:A1000"),
                    0
                ))
            ),
            ROW(INDIRECT("'" &amp; 'Hulp (overig)'!$C$16 &amp; "'!B1:B1000"))
        )
    ),0) &lt; 1,
    "",
    IF(INDEX(
        INDIRECT("'" &amp; 'Hulp (overig)'!$C$16 &amp; "'!" &amp;
        'Hulp (overig)'!$C$17 &amp; "1:" &amp; 'Hulp (overig)'!$C$17 &amp; 1000
        ),
        IFERROR(MIN(
            IF(
                (TRIM(INDIRECT("'" &amp; 'Hulp (overig)'!$C$16 &amp; "'!B1:B1000")) = TEXT(J119,"0")) *
                (ROW(INDIRECT("'" &amp; 'Hulp (overig)'!$C$16 &amp; "'!B1:B1000")) &gt;= MATCH(
                    J117,
                    INDIRECT("'" &amp; 'Hulp (overig)'!$C$16 &amp; "'!A1:A1000"),
                    0
                )) *
                IF(
                    K117="",
                    1,
                    (ROW(INDIRECT("'" &amp; 'Hulp (overig)'!$C$16 &amp; "'!B1:B1000")) &lt; MATCH(
                        K117,
                        INDIRECT("'" &amp; 'Hulp (overig)'!$C$16 &amp; "'!A1:A1000"),
                        0
                    ))
                ),
                ROW(INDIRECT("'" &amp; 'Hulp (overig)'!$C$16 &amp; "'!B1:B1000"))
            )
        ),0)
    )=0,"",
INDEX(
        INDIRECT("'" &amp; 'Hulp (overig)'!$C$16 &amp; "'!" &amp;
        'Hulp (overig)'!$C$17 &amp; "1:" &amp; 'Hulp (overig)'!$C$17 &amp; 1000
        ),
        IFERROR(MIN(
            IF(
                (TRIM(INDIRECT("'" &amp; 'Hulp (overig)'!$C$16 &amp; "'!B1:B1000")) = TEXT(J119,"0")) *
                (ROW(INDIRECT("'" &amp; 'Hulp (overig)'!$C$16 &amp; "'!B1:B1000")) &gt;= MATCH(
                    J117,
                    INDIRECT("'" &amp; 'Hulp (overig)'!$C$16 &amp; "'!A1:A1000"),
                    0
                )) *
                IF(
                    K117="",
                    1,
                    (ROW(INDIRECT("'" &amp; 'Hulp (overig)'!$C$16 &amp; "'!B1:B1000")) &lt; MATCH(
                        K117,
                        INDIRECT("'" &amp; 'Hulp (overig)'!$C$16 &amp; "'!A1:A1000"),
                        0
                    ))
                ),
                ROW(INDIRECT("'" &amp; 'Hulp (overig)'!$C$16 &amp; "'!B1:B1000"))
            )
        ),0)
    ))
))))</f>
        <v>#VALUE!</v>
      </c>
      <c r="K120" s="425" t="e" cm="1">
        <f t="array" aca="1" ref="K120" ca="1">IF($BF120, IF(K117="","",
   INDEX(
      INDIRECT("'" &amp; 'Hulp (CAO''s)'!$AE$8 &amp; "'!" &amp;
               'Hulp (overig)'!$C$17 &amp; "1:" &amp;
               'Hulp (overig)'!$C$17 &amp; "1000"),
      MATCH(
         K117,
         INDIRECT("'" &amp; 'Hulp (CAO''s)'!$AE$8 &amp; "'!A1:A1000"),
         0
      )
   )
), IF($D118="Gebruik % van maximum salaris",
IF(
    OR(K117="",K118=""),
    "",
    MAX(
        INDIRECT(
            "'" &amp; 'Hulp (overig)'!$C$16 &amp; "'!" &amp;
            'Hulp (overig)'!$C$17 &amp;
            MATCH(K117, INDIRECT("'" &amp; 'Hulp (overig)'!$C$16 &amp; "'!A1:A1000"), 0) &amp;
            ":" &amp;
            'Hulp (overig)'!$C$17 &amp;
LOOKUP(
    2,
    1 / (
        (ROW(INDIRECT("'" &amp; 'Hulp (overig)'!$C$16 &amp; "'!B1:B1000")) &lt;
            IF(L117&lt;&gt;"",
               MATCH(L117, INDIRECT("'" &amp; 'Hulp (overig)'!$C$16 &amp; "'!A1:A1000"),0),
               1000
            )
        ) *
        (LEFT(TRIM(INDIRECT("'" &amp; 'Hulp (overig)'!$C$16 &amp; "'!B1:B1000")),1) &lt;&gt; "u")
    ),
    ROW(INDIRECT("'" &amp; 'Hulp (overig)'!$C$16 &amp; "'!B1:B1000"))
)
        )
    ) * K118
),
IF(K119="","",
IF(
    IFERROR(MIN(
        IF(
            (TRIM(INDIRECT("'" &amp; 'Hulp (overig)'!$C$16 &amp; "'!B1:B1000")) = TEXT(K119,"0")) *
            (ROW(INDIRECT("'" &amp; 'Hulp (overig)'!$C$16 &amp; "'!B1:B1000")) &gt;= MATCH(
                K117,
                INDIRECT("'" &amp; 'Hulp (overig)'!$C$16 &amp; "'!A1:A1000"),
                0
            )) *
            IF(
                L117="",
                1,
                (ROW(INDIRECT("'" &amp; 'Hulp (overig)'!$C$16 &amp; "'!B1:B1000")) &lt; MATCH(
                    L117,
                    INDIRECT("'" &amp; 'Hulp (overig)'!$C$16 &amp; "'!A1:A1000"),
                    0
                ))
            ),
            ROW(INDIRECT("'" &amp; 'Hulp (overig)'!$C$16 &amp; "'!B1:B1000"))
        )
    ),0) &lt; 1,
    "",
    IF(INDEX(
        INDIRECT("'" &amp; 'Hulp (overig)'!$C$16 &amp; "'!" &amp;
        'Hulp (overig)'!$C$17 &amp; "1:" &amp; 'Hulp (overig)'!$C$17 &amp; 1000
        ),
        IFERROR(MIN(
            IF(
                (TRIM(INDIRECT("'" &amp; 'Hulp (overig)'!$C$16 &amp; "'!B1:B1000")) = TEXT(K119,"0")) *
                (ROW(INDIRECT("'" &amp; 'Hulp (overig)'!$C$16 &amp; "'!B1:B1000")) &gt;= MATCH(
                    K117,
                    INDIRECT("'" &amp; 'Hulp (overig)'!$C$16 &amp; "'!A1:A1000"),
                    0
                )) *
                IF(
                    L117="",
                    1,
                    (ROW(INDIRECT("'" &amp; 'Hulp (overig)'!$C$16 &amp; "'!B1:B1000")) &lt; MATCH(
                        L117,
                        INDIRECT("'" &amp; 'Hulp (overig)'!$C$16 &amp; "'!A1:A1000"),
                        0
                    ))
                ),
                ROW(INDIRECT("'" &amp; 'Hulp (overig)'!$C$16 &amp; "'!B1:B1000"))
            )
        ),0)
    )=0,"",
INDEX(
        INDIRECT("'" &amp; 'Hulp (overig)'!$C$16 &amp; "'!" &amp;
        'Hulp (overig)'!$C$17 &amp; "1:" &amp; 'Hulp (overig)'!$C$17 &amp; 1000
        ),
        IFERROR(MIN(
            IF(
                (TRIM(INDIRECT("'" &amp; 'Hulp (overig)'!$C$16 &amp; "'!B1:B1000")) = TEXT(K119,"0")) *
                (ROW(INDIRECT("'" &amp; 'Hulp (overig)'!$C$16 &amp; "'!B1:B1000")) &gt;= MATCH(
                    K117,
                    INDIRECT("'" &amp; 'Hulp (overig)'!$C$16 &amp; "'!A1:A1000"),
                    0
                )) *
                IF(
                    L117="",
                    1,
                    (ROW(INDIRECT("'" &amp; 'Hulp (overig)'!$C$16 &amp; "'!B1:B1000")) &lt; MATCH(
                        L117,
                        INDIRECT("'" &amp; 'Hulp (overig)'!$C$16 &amp; "'!A1:A1000"),
                        0
                    ))
                ),
                ROW(INDIRECT("'" &amp; 'Hulp (overig)'!$C$16 &amp; "'!B1:B1000"))
            )
        ),0)
    ))
))))</f>
        <v>#VALUE!</v>
      </c>
      <c r="L120" s="425" t="e" cm="1">
        <f t="array" aca="1" ref="L120" ca="1">IF($BF120, IF(L117="","",
   INDEX(
      INDIRECT("'" &amp; 'Hulp (CAO''s)'!$AE$8 &amp; "'!" &amp;
               'Hulp (overig)'!$C$17 &amp; "1:" &amp;
               'Hulp (overig)'!$C$17 &amp; "1000"),
      MATCH(
         L117,
         INDIRECT("'" &amp; 'Hulp (CAO''s)'!$AE$8 &amp; "'!A1:A1000"),
         0
      )
   )
), IF($D118="Gebruik % van maximum salaris",
IF(
    OR(L117="",L118=""),
    "",
    MAX(
        INDIRECT(
            "'" &amp; 'Hulp (overig)'!$C$16 &amp; "'!" &amp;
            'Hulp (overig)'!$C$17 &amp;
            MATCH(L117, INDIRECT("'" &amp; 'Hulp (overig)'!$C$16 &amp; "'!A1:A1000"), 0) &amp;
            ":" &amp;
            'Hulp (overig)'!$C$17 &amp;
LOOKUP(
    2,
    1 / (
        (ROW(INDIRECT("'" &amp; 'Hulp (overig)'!$C$16 &amp; "'!B1:B1000")) &lt;
            IF(M117&lt;&gt;"",
               MATCH(M117, INDIRECT("'" &amp; 'Hulp (overig)'!$C$16 &amp; "'!A1:A1000"),0),
               1000
            )
        ) *
        (LEFT(TRIM(INDIRECT("'" &amp; 'Hulp (overig)'!$C$16 &amp; "'!B1:B1000")),1) &lt;&gt; "u")
    ),
    ROW(INDIRECT("'" &amp; 'Hulp (overig)'!$C$16 &amp; "'!B1:B1000"))
)
        )
    ) * L118
),
IF(L119="","",
IF(
    IFERROR(MIN(
        IF(
            (TRIM(INDIRECT("'" &amp; 'Hulp (overig)'!$C$16 &amp; "'!B1:B1000")) = TEXT(L119,"0")) *
            (ROW(INDIRECT("'" &amp; 'Hulp (overig)'!$C$16 &amp; "'!B1:B1000")) &gt;= MATCH(
                L117,
                INDIRECT("'" &amp; 'Hulp (overig)'!$C$16 &amp; "'!A1:A1000"),
                0
            )) *
            IF(
                M117="",
                1,
                (ROW(INDIRECT("'" &amp; 'Hulp (overig)'!$C$16 &amp; "'!B1:B1000")) &lt; MATCH(
                    M117,
                    INDIRECT("'" &amp; 'Hulp (overig)'!$C$16 &amp; "'!A1:A1000"),
                    0
                ))
            ),
            ROW(INDIRECT("'" &amp; 'Hulp (overig)'!$C$16 &amp; "'!B1:B1000"))
        )
    ),0) &lt; 1,
    "",
    IF(INDEX(
        INDIRECT("'" &amp; 'Hulp (overig)'!$C$16 &amp; "'!" &amp;
        'Hulp (overig)'!$C$17 &amp; "1:" &amp; 'Hulp (overig)'!$C$17 &amp; 1000
        ),
        IFERROR(MIN(
            IF(
                (TRIM(INDIRECT("'" &amp; 'Hulp (overig)'!$C$16 &amp; "'!B1:B1000")) = TEXT(L119,"0")) *
                (ROW(INDIRECT("'" &amp; 'Hulp (overig)'!$C$16 &amp; "'!B1:B1000")) &gt;= MATCH(
                    L117,
                    INDIRECT("'" &amp; 'Hulp (overig)'!$C$16 &amp; "'!A1:A1000"),
                    0
                )) *
                IF(
                    M117="",
                    1,
                    (ROW(INDIRECT("'" &amp; 'Hulp (overig)'!$C$16 &amp; "'!B1:B1000")) &lt; MATCH(
                        M117,
                        INDIRECT("'" &amp; 'Hulp (overig)'!$C$16 &amp; "'!A1:A1000"),
                        0
                    ))
                ),
                ROW(INDIRECT("'" &amp; 'Hulp (overig)'!$C$16 &amp; "'!B1:B1000"))
            )
        ),0)
    )=0,"",
INDEX(
        INDIRECT("'" &amp; 'Hulp (overig)'!$C$16 &amp; "'!" &amp;
        'Hulp (overig)'!$C$17 &amp; "1:" &amp; 'Hulp (overig)'!$C$17 &amp; 1000
        ),
        IFERROR(MIN(
            IF(
                (TRIM(INDIRECT("'" &amp; 'Hulp (overig)'!$C$16 &amp; "'!B1:B1000")) = TEXT(L119,"0")) *
                (ROW(INDIRECT("'" &amp; 'Hulp (overig)'!$C$16 &amp; "'!B1:B1000")) &gt;= MATCH(
                    L117,
                    INDIRECT("'" &amp; 'Hulp (overig)'!$C$16 &amp; "'!A1:A1000"),
                    0
                )) *
                IF(
                    M117="",
                    1,
                    (ROW(INDIRECT("'" &amp; 'Hulp (overig)'!$C$16 &amp; "'!B1:B1000")) &lt; MATCH(
                        M117,
                        INDIRECT("'" &amp; 'Hulp (overig)'!$C$16 &amp; "'!A1:A1000"),
                        0
                    ))
                ),
                ROW(INDIRECT("'" &amp; 'Hulp (overig)'!$C$16 &amp; "'!B1:B1000"))
            )
        ),0)
    ))
))))</f>
        <v>#VALUE!</v>
      </c>
      <c r="M120" s="425" t="e" cm="1">
        <f t="array" aca="1" ref="M120" ca="1">IF($BF120, IF(M117="","",
   INDEX(
      INDIRECT("'" &amp; 'Hulp (CAO''s)'!$AE$8 &amp; "'!" &amp;
               'Hulp (overig)'!$C$17 &amp; "1:" &amp;
               'Hulp (overig)'!$C$17 &amp; "1000"),
      MATCH(
         M117,
         INDIRECT("'" &amp; 'Hulp (CAO''s)'!$AE$8 &amp; "'!A1:A1000"),
         0
      )
   )
), IF($D118="Gebruik % van maximum salaris",
IF(
    OR(M117="",M118=""),
    "",
    MAX(
        INDIRECT(
            "'" &amp; 'Hulp (overig)'!$C$16 &amp; "'!" &amp;
            'Hulp (overig)'!$C$17 &amp;
            MATCH(M117, INDIRECT("'" &amp; 'Hulp (overig)'!$C$16 &amp; "'!A1:A1000"), 0) &amp;
            ":" &amp;
            'Hulp (overig)'!$C$17 &amp;
LOOKUP(
    2,
    1 / (
        (ROW(INDIRECT("'" &amp; 'Hulp (overig)'!$C$16 &amp; "'!B1:B1000")) &lt;
            IF(N117&lt;&gt;"",
               MATCH(N117, INDIRECT("'" &amp; 'Hulp (overig)'!$C$16 &amp; "'!A1:A1000"),0),
               1000
            )
        ) *
        (LEFT(TRIM(INDIRECT("'" &amp; 'Hulp (overig)'!$C$16 &amp; "'!B1:B1000")),1) &lt;&gt; "u")
    ),
    ROW(INDIRECT("'" &amp; 'Hulp (overig)'!$C$16 &amp; "'!B1:B1000"))
)
        )
    ) * M118
),
IF(M119="","",
IF(
    IFERROR(MIN(
        IF(
            (TRIM(INDIRECT("'" &amp; 'Hulp (overig)'!$C$16 &amp; "'!B1:B1000")) = TEXT(M119,"0")) *
            (ROW(INDIRECT("'" &amp; 'Hulp (overig)'!$C$16 &amp; "'!B1:B1000")) &gt;= MATCH(
                M117,
                INDIRECT("'" &amp; 'Hulp (overig)'!$C$16 &amp; "'!A1:A1000"),
                0
            )) *
            IF(
                N117="",
                1,
                (ROW(INDIRECT("'" &amp; 'Hulp (overig)'!$C$16 &amp; "'!B1:B1000")) &lt; MATCH(
                    N117,
                    INDIRECT("'" &amp; 'Hulp (overig)'!$C$16 &amp; "'!A1:A1000"),
                    0
                ))
            ),
            ROW(INDIRECT("'" &amp; 'Hulp (overig)'!$C$16 &amp; "'!B1:B1000"))
        )
    ),0) &lt; 1,
    "",
    IF(INDEX(
        INDIRECT("'" &amp; 'Hulp (overig)'!$C$16 &amp; "'!" &amp;
        'Hulp (overig)'!$C$17 &amp; "1:" &amp; 'Hulp (overig)'!$C$17 &amp; 1000
        ),
        IFERROR(MIN(
            IF(
                (TRIM(INDIRECT("'" &amp; 'Hulp (overig)'!$C$16 &amp; "'!B1:B1000")) = TEXT(M119,"0")) *
                (ROW(INDIRECT("'" &amp; 'Hulp (overig)'!$C$16 &amp; "'!B1:B1000")) &gt;= MATCH(
                    M117,
                    INDIRECT("'" &amp; 'Hulp (overig)'!$C$16 &amp; "'!A1:A1000"),
                    0
                )) *
                IF(
                    N117="",
                    1,
                    (ROW(INDIRECT("'" &amp; 'Hulp (overig)'!$C$16 &amp; "'!B1:B1000")) &lt; MATCH(
                        N117,
                        INDIRECT("'" &amp; 'Hulp (overig)'!$C$16 &amp; "'!A1:A1000"),
                        0
                    ))
                ),
                ROW(INDIRECT("'" &amp; 'Hulp (overig)'!$C$16 &amp; "'!B1:B1000"))
            )
        ),0)
    )=0,"",
INDEX(
        INDIRECT("'" &amp; 'Hulp (overig)'!$C$16 &amp; "'!" &amp;
        'Hulp (overig)'!$C$17 &amp; "1:" &amp; 'Hulp (overig)'!$C$17 &amp; 1000
        ),
        IFERROR(MIN(
            IF(
                (TRIM(INDIRECT("'" &amp; 'Hulp (overig)'!$C$16 &amp; "'!B1:B1000")) = TEXT(M119,"0")) *
                (ROW(INDIRECT("'" &amp; 'Hulp (overig)'!$C$16 &amp; "'!B1:B1000")) &gt;= MATCH(
                    M117,
                    INDIRECT("'" &amp; 'Hulp (overig)'!$C$16 &amp; "'!A1:A1000"),
                    0
                )) *
                IF(
                    N117="",
                    1,
                    (ROW(INDIRECT("'" &amp; 'Hulp (overig)'!$C$16 &amp; "'!B1:B1000")) &lt; MATCH(
                        N117,
                        INDIRECT("'" &amp; 'Hulp (overig)'!$C$16 &amp; "'!A1:A1000"),
                        0
                    ))
                ),
                ROW(INDIRECT("'" &amp; 'Hulp (overig)'!$C$16 &amp; "'!B1:B1000"))
            )
        ),0)
    ))
))))</f>
        <v>#VALUE!</v>
      </c>
      <c r="N120" s="425" t="e" cm="1">
        <f t="array" aca="1" ref="N120" ca="1">IF($BF120, IF(N117="","",
   INDEX(
      INDIRECT("'" &amp; 'Hulp (CAO''s)'!$AE$8 &amp; "'!" &amp;
               'Hulp (overig)'!$C$17 &amp; "1:" &amp;
               'Hulp (overig)'!$C$17 &amp; "1000"),
      MATCH(
         N117,
         INDIRECT("'" &amp; 'Hulp (CAO''s)'!$AE$8 &amp; "'!A1:A1000"),
         0
      )
   )
), IF($D118="Gebruik % van maximum salaris",
IF(
    OR(N117="",N118=""),
    "",
    MAX(
        INDIRECT(
            "'" &amp; 'Hulp (overig)'!$C$16 &amp; "'!" &amp;
            'Hulp (overig)'!$C$17 &amp;
            MATCH(N117, INDIRECT("'" &amp; 'Hulp (overig)'!$C$16 &amp; "'!A1:A1000"), 0) &amp;
            ":" &amp;
            'Hulp (overig)'!$C$17 &amp;
LOOKUP(
    2,
    1 / (
        (ROW(INDIRECT("'" &amp; 'Hulp (overig)'!$C$16 &amp; "'!B1:B1000")) &lt;
            IF(O117&lt;&gt;"",
               MATCH(O117, INDIRECT("'" &amp; 'Hulp (overig)'!$C$16 &amp; "'!A1:A1000"),0),
               1000
            )
        ) *
        (LEFT(TRIM(INDIRECT("'" &amp; 'Hulp (overig)'!$C$16 &amp; "'!B1:B1000")),1) &lt;&gt; "u")
    ),
    ROW(INDIRECT("'" &amp; 'Hulp (overig)'!$C$16 &amp; "'!B1:B1000"))
)
        )
    ) * N118
),
IF(N119="","",
IF(
    IFERROR(MIN(
        IF(
            (TRIM(INDIRECT("'" &amp; 'Hulp (overig)'!$C$16 &amp; "'!B1:B1000")) = TEXT(N119,"0")) *
            (ROW(INDIRECT("'" &amp; 'Hulp (overig)'!$C$16 &amp; "'!B1:B1000")) &gt;= MATCH(
                N117,
                INDIRECT("'" &amp; 'Hulp (overig)'!$C$16 &amp; "'!A1:A1000"),
                0
            )) *
            IF(
                O117="",
                1,
                (ROW(INDIRECT("'" &amp; 'Hulp (overig)'!$C$16 &amp; "'!B1:B1000")) &lt; MATCH(
                    O117,
                    INDIRECT("'" &amp; 'Hulp (overig)'!$C$16 &amp; "'!A1:A1000"),
                    0
                ))
            ),
            ROW(INDIRECT("'" &amp; 'Hulp (overig)'!$C$16 &amp; "'!B1:B1000"))
        )
    ),0) &lt; 1,
    "",
    IF(INDEX(
        INDIRECT("'" &amp; 'Hulp (overig)'!$C$16 &amp; "'!" &amp;
        'Hulp (overig)'!$C$17 &amp; "1:" &amp; 'Hulp (overig)'!$C$17 &amp; 1000
        ),
        IFERROR(MIN(
            IF(
                (TRIM(INDIRECT("'" &amp; 'Hulp (overig)'!$C$16 &amp; "'!B1:B1000")) = TEXT(N119,"0")) *
                (ROW(INDIRECT("'" &amp; 'Hulp (overig)'!$C$16 &amp; "'!B1:B1000")) &gt;= MATCH(
                    N117,
                    INDIRECT("'" &amp; 'Hulp (overig)'!$C$16 &amp; "'!A1:A1000"),
                    0
                )) *
                IF(
                    O117="",
                    1,
                    (ROW(INDIRECT("'" &amp; 'Hulp (overig)'!$C$16 &amp; "'!B1:B1000")) &lt; MATCH(
                        O117,
                        INDIRECT("'" &amp; 'Hulp (overig)'!$C$16 &amp; "'!A1:A1000"),
                        0
                    ))
                ),
                ROW(INDIRECT("'" &amp; 'Hulp (overig)'!$C$16 &amp; "'!B1:B1000"))
            )
        ),0)
    )=0,"",
INDEX(
        INDIRECT("'" &amp; 'Hulp (overig)'!$C$16 &amp; "'!" &amp;
        'Hulp (overig)'!$C$17 &amp; "1:" &amp; 'Hulp (overig)'!$C$17 &amp; 1000
        ),
        IFERROR(MIN(
            IF(
                (TRIM(INDIRECT("'" &amp; 'Hulp (overig)'!$C$16 &amp; "'!B1:B1000")) = TEXT(N119,"0")) *
                (ROW(INDIRECT("'" &amp; 'Hulp (overig)'!$C$16 &amp; "'!B1:B1000")) &gt;= MATCH(
                    N117,
                    INDIRECT("'" &amp; 'Hulp (overig)'!$C$16 &amp; "'!A1:A1000"),
                    0
                )) *
                IF(
                    O117="",
                    1,
                    (ROW(INDIRECT("'" &amp; 'Hulp (overig)'!$C$16 &amp; "'!B1:B1000")) &lt; MATCH(
                        O117,
                        INDIRECT("'" &amp; 'Hulp (overig)'!$C$16 &amp; "'!A1:A1000"),
                        0
                    ))
                ),
                ROW(INDIRECT("'" &amp; 'Hulp (overig)'!$C$16 &amp; "'!B1:B1000"))
            )
        ),0)
    ))
))))</f>
        <v>#VALUE!</v>
      </c>
      <c r="O120" s="425" t="e" cm="1">
        <f t="array" aca="1" ref="O120" ca="1">IF($BF120, IF(O117="","",
   INDEX(
      INDIRECT("'" &amp; 'Hulp (CAO''s)'!$AE$8 &amp; "'!" &amp;
               'Hulp (overig)'!$C$17 &amp; "1:" &amp;
               'Hulp (overig)'!$C$17 &amp; "1000"),
      MATCH(
         O117,
         INDIRECT("'" &amp; 'Hulp (CAO''s)'!$AE$8 &amp; "'!A1:A1000"),
         0
      )
   )
), IF($D118="Gebruik % van maximum salaris",
IF(
    OR(O117="",O118=""),
    "",
    MAX(
        INDIRECT(
            "'" &amp; 'Hulp (overig)'!$C$16 &amp; "'!" &amp;
            'Hulp (overig)'!$C$17 &amp;
            MATCH(O117, INDIRECT("'" &amp; 'Hulp (overig)'!$C$16 &amp; "'!A1:A1000"), 0) &amp;
            ":" &amp;
            'Hulp (overig)'!$C$17 &amp;
LOOKUP(
    2,
    1 / (
        (ROW(INDIRECT("'" &amp; 'Hulp (overig)'!$C$16 &amp; "'!B1:B1000")) &lt;
            IF(P117&lt;&gt;"",
               MATCH(P117, INDIRECT("'" &amp; 'Hulp (overig)'!$C$16 &amp; "'!A1:A1000"),0),
               1000
            )
        ) *
        (LEFT(TRIM(INDIRECT("'" &amp; 'Hulp (overig)'!$C$16 &amp; "'!B1:B1000")),1) &lt;&gt; "u")
    ),
    ROW(INDIRECT("'" &amp; 'Hulp (overig)'!$C$16 &amp; "'!B1:B1000"))
)
        )
    ) * O118
),
IF(O119="","",
IF(
    IFERROR(MIN(
        IF(
            (TRIM(INDIRECT("'" &amp; 'Hulp (overig)'!$C$16 &amp; "'!B1:B1000")) = TEXT(O119,"0")) *
            (ROW(INDIRECT("'" &amp; 'Hulp (overig)'!$C$16 &amp; "'!B1:B1000")) &gt;= MATCH(
                O117,
                INDIRECT("'" &amp; 'Hulp (overig)'!$C$16 &amp; "'!A1:A1000"),
                0
            )) *
            IF(
                P117="",
                1,
                (ROW(INDIRECT("'" &amp; 'Hulp (overig)'!$C$16 &amp; "'!B1:B1000")) &lt; MATCH(
                    P117,
                    INDIRECT("'" &amp; 'Hulp (overig)'!$C$16 &amp; "'!A1:A1000"),
                    0
                ))
            ),
            ROW(INDIRECT("'" &amp; 'Hulp (overig)'!$C$16 &amp; "'!B1:B1000"))
        )
    ),0) &lt; 1,
    "",
    IF(INDEX(
        INDIRECT("'" &amp; 'Hulp (overig)'!$C$16 &amp; "'!" &amp;
        'Hulp (overig)'!$C$17 &amp; "1:" &amp; 'Hulp (overig)'!$C$17 &amp; 1000
        ),
        IFERROR(MIN(
            IF(
                (TRIM(INDIRECT("'" &amp; 'Hulp (overig)'!$C$16 &amp; "'!B1:B1000")) = TEXT(O119,"0")) *
                (ROW(INDIRECT("'" &amp; 'Hulp (overig)'!$C$16 &amp; "'!B1:B1000")) &gt;= MATCH(
                    O117,
                    INDIRECT("'" &amp; 'Hulp (overig)'!$C$16 &amp; "'!A1:A1000"),
                    0
                )) *
                IF(
                    P117="",
                    1,
                    (ROW(INDIRECT("'" &amp; 'Hulp (overig)'!$C$16 &amp; "'!B1:B1000")) &lt; MATCH(
                        P117,
                        INDIRECT("'" &amp; 'Hulp (overig)'!$C$16 &amp; "'!A1:A1000"),
                        0
                    ))
                ),
                ROW(INDIRECT("'" &amp; 'Hulp (overig)'!$C$16 &amp; "'!B1:B1000"))
            )
        ),0)
    )=0,"",
INDEX(
        INDIRECT("'" &amp; 'Hulp (overig)'!$C$16 &amp; "'!" &amp;
        'Hulp (overig)'!$C$17 &amp; "1:" &amp; 'Hulp (overig)'!$C$17 &amp; 1000
        ),
        IFERROR(MIN(
            IF(
                (TRIM(INDIRECT("'" &amp; 'Hulp (overig)'!$C$16 &amp; "'!B1:B1000")) = TEXT(O119,"0")) *
                (ROW(INDIRECT("'" &amp; 'Hulp (overig)'!$C$16 &amp; "'!B1:B1000")) &gt;= MATCH(
                    O117,
                    INDIRECT("'" &amp; 'Hulp (overig)'!$C$16 &amp; "'!A1:A1000"),
                    0
                )) *
                IF(
                    P117="",
                    1,
                    (ROW(INDIRECT("'" &amp; 'Hulp (overig)'!$C$16 &amp; "'!B1:B1000")) &lt; MATCH(
                        P117,
                        INDIRECT("'" &amp; 'Hulp (overig)'!$C$16 &amp; "'!A1:A1000"),
                        0
                    ))
                ),
                ROW(INDIRECT("'" &amp; 'Hulp (overig)'!$C$16 &amp; "'!B1:B1000"))
            )
        ),0)
    ))
))))</f>
        <v>#VALUE!</v>
      </c>
      <c r="P120" s="425" t="e" cm="1">
        <f t="array" aca="1" ref="P120" ca="1">IF($BF120, IF(P117="","",
   INDEX(
      INDIRECT("'" &amp; 'Hulp (CAO''s)'!$AE$8 &amp; "'!" &amp;
               'Hulp (overig)'!$C$17 &amp; "1:" &amp;
               'Hulp (overig)'!$C$17 &amp; "1000"),
      MATCH(
         P117,
         INDIRECT("'" &amp; 'Hulp (CAO''s)'!$AE$8 &amp; "'!A1:A1000"),
         0
      )
   )
), IF($D118="Gebruik % van maximum salaris",
IF(
    OR(P117="",P118=""),
    "",
    MAX(
        INDIRECT(
            "'" &amp; 'Hulp (overig)'!$C$16 &amp; "'!" &amp;
            'Hulp (overig)'!$C$17 &amp;
            MATCH(P117, INDIRECT("'" &amp; 'Hulp (overig)'!$C$16 &amp; "'!A1:A1000"), 0) &amp;
            ":" &amp;
            'Hulp (overig)'!$C$17 &amp;
LOOKUP(
    2,
    1 / (
        (ROW(INDIRECT("'" &amp; 'Hulp (overig)'!$C$16 &amp; "'!B1:B1000")) &lt;
            IF(Q117&lt;&gt;"",
               MATCH(Q117, INDIRECT("'" &amp; 'Hulp (overig)'!$C$16 &amp; "'!A1:A1000"),0),
               1000
            )
        ) *
        (LEFT(TRIM(INDIRECT("'" &amp; 'Hulp (overig)'!$C$16 &amp; "'!B1:B1000")),1) &lt;&gt; "u")
    ),
    ROW(INDIRECT("'" &amp; 'Hulp (overig)'!$C$16 &amp; "'!B1:B1000"))
)
        )
    ) * P118
),
IF(P119="","",
IF(
    IFERROR(MIN(
        IF(
            (TRIM(INDIRECT("'" &amp; 'Hulp (overig)'!$C$16 &amp; "'!B1:B1000")) = TEXT(P119,"0")) *
            (ROW(INDIRECT("'" &amp; 'Hulp (overig)'!$C$16 &amp; "'!B1:B1000")) &gt;= MATCH(
                P117,
                INDIRECT("'" &amp; 'Hulp (overig)'!$C$16 &amp; "'!A1:A1000"),
                0
            )) *
            IF(
                Q117="",
                1,
                (ROW(INDIRECT("'" &amp; 'Hulp (overig)'!$C$16 &amp; "'!B1:B1000")) &lt; MATCH(
                    Q117,
                    INDIRECT("'" &amp; 'Hulp (overig)'!$C$16 &amp; "'!A1:A1000"),
                    0
                ))
            ),
            ROW(INDIRECT("'" &amp; 'Hulp (overig)'!$C$16 &amp; "'!B1:B1000"))
        )
    ),0) &lt; 1,
    "",
    IF(INDEX(
        INDIRECT("'" &amp; 'Hulp (overig)'!$C$16 &amp; "'!" &amp;
        'Hulp (overig)'!$C$17 &amp; "1:" &amp; 'Hulp (overig)'!$C$17 &amp; 1000
        ),
        IFERROR(MIN(
            IF(
                (TRIM(INDIRECT("'" &amp; 'Hulp (overig)'!$C$16 &amp; "'!B1:B1000")) = TEXT(P119,"0")) *
                (ROW(INDIRECT("'" &amp; 'Hulp (overig)'!$C$16 &amp; "'!B1:B1000")) &gt;= MATCH(
                    P117,
                    INDIRECT("'" &amp; 'Hulp (overig)'!$C$16 &amp; "'!A1:A1000"),
                    0
                )) *
                IF(
                    Q117="",
                    1,
                    (ROW(INDIRECT("'" &amp; 'Hulp (overig)'!$C$16 &amp; "'!B1:B1000")) &lt; MATCH(
                        Q117,
                        INDIRECT("'" &amp; 'Hulp (overig)'!$C$16 &amp; "'!A1:A1000"),
                        0
                    ))
                ),
                ROW(INDIRECT("'" &amp; 'Hulp (overig)'!$C$16 &amp; "'!B1:B1000"))
            )
        ),0)
    )=0,"",
INDEX(
        INDIRECT("'" &amp; 'Hulp (overig)'!$C$16 &amp; "'!" &amp;
        'Hulp (overig)'!$C$17 &amp; "1:" &amp; 'Hulp (overig)'!$C$17 &amp; 1000
        ),
        IFERROR(MIN(
            IF(
                (TRIM(INDIRECT("'" &amp; 'Hulp (overig)'!$C$16 &amp; "'!B1:B1000")) = TEXT(P119,"0")) *
                (ROW(INDIRECT("'" &amp; 'Hulp (overig)'!$C$16 &amp; "'!B1:B1000")) &gt;= MATCH(
                    P117,
                    INDIRECT("'" &amp; 'Hulp (overig)'!$C$16 &amp; "'!A1:A1000"),
                    0
                )) *
                IF(
                    Q117="",
                    1,
                    (ROW(INDIRECT("'" &amp; 'Hulp (overig)'!$C$16 &amp; "'!B1:B1000")) &lt; MATCH(
                        Q117,
                        INDIRECT("'" &amp; 'Hulp (overig)'!$C$16 &amp; "'!A1:A1000"),
                        0
                    ))
                ),
                ROW(INDIRECT("'" &amp; 'Hulp (overig)'!$C$16 &amp; "'!B1:B1000"))
            )
        ),0)
    ))
))))</f>
        <v>#VALUE!</v>
      </c>
      <c r="Q120" s="425" t="e" cm="1">
        <f t="array" aca="1" ref="Q120" ca="1">IF($BF120, IF(Q117="","",
   INDEX(
      INDIRECT("'" &amp; 'Hulp (CAO''s)'!$AE$8 &amp; "'!" &amp;
               'Hulp (overig)'!$C$17 &amp; "1:" &amp;
               'Hulp (overig)'!$C$17 &amp; "1000"),
      MATCH(
         Q117,
         INDIRECT("'" &amp; 'Hulp (CAO''s)'!$AE$8 &amp; "'!A1:A1000"),
         0
      )
   )
), IF($D118="Gebruik % van maximum salaris",
IF(
    OR(Q117="",Q118=""),
    "",
    MAX(
        INDIRECT(
            "'" &amp; 'Hulp (overig)'!$C$16 &amp; "'!" &amp;
            'Hulp (overig)'!$C$17 &amp;
            MATCH(Q117, INDIRECT("'" &amp; 'Hulp (overig)'!$C$16 &amp; "'!A1:A1000"), 0) &amp;
            ":" &amp;
            'Hulp (overig)'!$C$17 &amp;
LOOKUP(
    2,
    1 / (
        (ROW(INDIRECT("'" &amp; 'Hulp (overig)'!$C$16 &amp; "'!B1:B1000")) &lt;
            IF(R117&lt;&gt;"",
               MATCH(R117, INDIRECT("'" &amp; 'Hulp (overig)'!$C$16 &amp; "'!A1:A1000"),0),
               1000
            )
        ) *
        (LEFT(TRIM(INDIRECT("'" &amp; 'Hulp (overig)'!$C$16 &amp; "'!B1:B1000")),1) &lt;&gt; "u")
    ),
    ROW(INDIRECT("'" &amp; 'Hulp (overig)'!$C$16 &amp; "'!B1:B1000"))
)
        )
    ) * Q118
),
IF(Q119="","",
IF(
    IFERROR(MIN(
        IF(
            (TRIM(INDIRECT("'" &amp; 'Hulp (overig)'!$C$16 &amp; "'!B1:B1000")) = TEXT(Q119,"0")) *
            (ROW(INDIRECT("'" &amp; 'Hulp (overig)'!$C$16 &amp; "'!B1:B1000")) &gt;= MATCH(
                Q117,
                INDIRECT("'" &amp; 'Hulp (overig)'!$C$16 &amp; "'!A1:A1000"),
                0
            )) *
            IF(
                R117="",
                1,
                (ROW(INDIRECT("'" &amp; 'Hulp (overig)'!$C$16 &amp; "'!B1:B1000")) &lt; MATCH(
                    R117,
                    INDIRECT("'" &amp; 'Hulp (overig)'!$C$16 &amp; "'!A1:A1000"),
                    0
                ))
            ),
            ROW(INDIRECT("'" &amp; 'Hulp (overig)'!$C$16 &amp; "'!B1:B1000"))
        )
    ),0) &lt; 1,
    "",
    IF(INDEX(
        INDIRECT("'" &amp; 'Hulp (overig)'!$C$16 &amp; "'!" &amp;
        'Hulp (overig)'!$C$17 &amp; "1:" &amp; 'Hulp (overig)'!$C$17 &amp; 1000
        ),
        IFERROR(MIN(
            IF(
                (TRIM(INDIRECT("'" &amp; 'Hulp (overig)'!$C$16 &amp; "'!B1:B1000")) = TEXT(Q119,"0")) *
                (ROW(INDIRECT("'" &amp; 'Hulp (overig)'!$C$16 &amp; "'!B1:B1000")) &gt;= MATCH(
                    Q117,
                    INDIRECT("'" &amp; 'Hulp (overig)'!$C$16 &amp; "'!A1:A1000"),
                    0
                )) *
                IF(
                    R117="",
                    1,
                    (ROW(INDIRECT("'" &amp; 'Hulp (overig)'!$C$16 &amp; "'!B1:B1000")) &lt; MATCH(
                        R117,
                        INDIRECT("'" &amp; 'Hulp (overig)'!$C$16 &amp; "'!A1:A1000"),
                        0
                    ))
                ),
                ROW(INDIRECT("'" &amp; 'Hulp (overig)'!$C$16 &amp; "'!B1:B1000"))
            )
        ),0)
    )=0,"",
INDEX(
        INDIRECT("'" &amp; 'Hulp (overig)'!$C$16 &amp; "'!" &amp;
        'Hulp (overig)'!$C$17 &amp; "1:" &amp; 'Hulp (overig)'!$C$17 &amp; 1000
        ),
        IFERROR(MIN(
            IF(
                (TRIM(INDIRECT("'" &amp; 'Hulp (overig)'!$C$16 &amp; "'!B1:B1000")) = TEXT(Q119,"0")) *
                (ROW(INDIRECT("'" &amp; 'Hulp (overig)'!$C$16 &amp; "'!B1:B1000")) &gt;= MATCH(
                    Q117,
                    INDIRECT("'" &amp; 'Hulp (overig)'!$C$16 &amp; "'!A1:A1000"),
                    0
                )) *
                IF(
                    R117="",
                    1,
                    (ROW(INDIRECT("'" &amp; 'Hulp (overig)'!$C$16 &amp; "'!B1:B1000")) &lt; MATCH(
                        R117,
                        INDIRECT("'" &amp; 'Hulp (overig)'!$C$16 &amp; "'!A1:A1000"),
                        0
                    ))
                ),
                ROW(INDIRECT("'" &amp; 'Hulp (overig)'!$C$16 &amp; "'!B1:B1000"))
            )
        ),0)
    ))
))))</f>
        <v>#VALUE!</v>
      </c>
      <c r="R120" s="425" t="e" cm="1">
        <f t="array" aca="1" ref="R120" ca="1">IF($BF120, IF(R117="","",
   INDEX(
      INDIRECT("'" &amp; 'Hulp (CAO''s)'!$AE$8 &amp; "'!" &amp;
               'Hulp (overig)'!$C$17 &amp; "1:" &amp;
               'Hulp (overig)'!$C$17 &amp; "1000"),
      MATCH(
         R117,
         INDIRECT("'" &amp; 'Hulp (CAO''s)'!$AE$8 &amp; "'!A1:A1000"),
         0
      )
   )
), IF($D118="Gebruik % van maximum salaris",
IF(
    OR(R117="",R118=""),
    "",
    MAX(
        INDIRECT(
            "'" &amp; 'Hulp (overig)'!$C$16 &amp; "'!" &amp;
            'Hulp (overig)'!$C$17 &amp;
            MATCH(R117, INDIRECT("'" &amp; 'Hulp (overig)'!$C$16 &amp; "'!A1:A1000"), 0) &amp;
            ":" &amp;
            'Hulp (overig)'!$C$17 &amp;
LOOKUP(
    2,
    1 / (
        (ROW(INDIRECT("'" &amp; 'Hulp (overig)'!$C$16 &amp; "'!B1:B1000")) &lt;
            IF(S117&lt;&gt;"",
               MATCH(S117, INDIRECT("'" &amp; 'Hulp (overig)'!$C$16 &amp; "'!A1:A1000"),0),
               1000
            )
        ) *
        (LEFT(TRIM(INDIRECT("'" &amp; 'Hulp (overig)'!$C$16 &amp; "'!B1:B1000")),1) &lt;&gt; "u")
    ),
    ROW(INDIRECT("'" &amp; 'Hulp (overig)'!$C$16 &amp; "'!B1:B1000"))
)
        )
    ) * R118
),
IF(R119="","",
IF(
    IFERROR(MIN(
        IF(
            (TRIM(INDIRECT("'" &amp; 'Hulp (overig)'!$C$16 &amp; "'!B1:B1000")) = TEXT(R119,"0")) *
            (ROW(INDIRECT("'" &amp; 'Hulp (overig)'!$C$16 &amp; "'!B1:B1000")) &gt;= MATCH(
                R117,
                INDIRECT("'" &amp; 'Hulp (overig)'!$C$16 &amp; "'!A1:A1000"),
                0
            )) *
            IF(
                S117="",
                1,
                (ROW(INDIRECT("'" &amp; 'Hulp (overig)'!$C$16 &amp; "'!B1:B1000")) &lt; MATCH(
                    S117,
                    INDIRECT("'" &amp; 'Hulp (overig)'!$C$16 &amp; "'!A1:A1000"),
                    0
                ))
            ),
            ROW(INDIRECT("'" &amp; 'Hulp (overig)'!$C$16 &amp; "'!B1:B1000"))
        )
    ),0) &lt; 1,
    "",
    IF(INDEX(
        INDIRECT("'" &amp; 'Hulp (overig)'!$C$16 &amp; "'!" &amp;
        'Hulp (overig)'!$C$17 &amp; "1:" &amp; 'Hulp (overig)'!$C$17 &amp; 1000
        ),
        IFERROR(MIN(
            IF(
                (TRIM(INDIRECT("'" &amp; 'Hulp (overig)'!$C$16 &amp; "'!B1:B1000")) = TEXT(R119,"0")) *
                (ROW(INDIRECT("'" &amp; 'Hulp (overig)'!$C$16 &amp; "'!B1:B1000")) &gt;= MATCH(
                    R117,
                    INDIRECT("'" &amp; 'Hulp (overig)'!$C$16 &amp; "'!A1:A1000"),
                    0
                )) *
                IF(
                    S117="",
                    1,
                    (ROW(INDIRECT("'" &amp; 'Hulp (overig)'!$C$16 &amp; "'!B1:B1000")) &lt; MATCH(
                        S117,
                        INDIRECT("'" &amp; 'Hulp (overig)'!$C$16 &amp; "'!A1:A1000"),
                        0
                    ))
                ),
                ROW(INDIRECT("'" &amp; 'Hulp (overig)'!$C$16 &amp; "'!B1:B1000"))
            )
        ),0)
    )=0,"",
INDEX(
        INDIRECT("'" &amp; 'Hulp (overig)'!$C$16 &amp; "'!" &amp;
        'Hulp (overig)'!$C$17 &amp; "1:" &amp; 'Hulp (overig)'!$C$17 &amp; 1000
        ),
        IFERROR(MIN(
            IF(
                (TRIM(INDIRECT("'" &amp; 'Hulp (overig)'!$C$16 &amp; "'!B1:B1000")) = TEXT(R119,"0")) *
                (ROW(INDIRECT("'" &amp; 'Hulp (overig)'!$C$16 &amp; "'!B1:B1000")) &gt;= MATCH(
                    R117,
                    INDIRECT("'" &amp; 'Hulp (overig)'!$C$16 &amp; "'!A1:A1000"),
                    0
                )) *
                IF(
                    S117="",
                    1,
                    (ROW(INDIRECT("'" &amp; 'Hulp (overig)'!$C$16 &amp; "'!B1:B1000")) &lt; MATCH(
                        S117,
                        INDIRECT("'" &amp; 'Hulp (overig)'!$C$16 &amp; "'!A1:A1000"),
                        0
                    ))
                ),
                ROW(INDIRECT("'" &amp; 'Hulp (overig)'!$C$16 &amp; "'!B1:B1000"))
            )
        ),0)
    ))
))))</f>
        <v>#VALUE!</v>
      </c>
      <c r="S120" s="425" t="e" cm="1">
        <f t="array" aca="1" ref="S120" ca="1">IF($BF120, IF(S117="","",
   INDEX(
      INDIRECT("'" &amp; 'Hulp (CAO''s)'!$AE$8 &amp; "'!" &amp;
               'Hulp (overig)'!$C$17 &amp; "1:" &amp;
               'Hulp (overig)'!$C$17 &amp; "1000"),
      MATCH(
         S117,
         INDIRECT("'" &amp; 'Hulp (CAO''s)'!$AE$8 &amp; "'!A1:A1000"),
         0
      )
   )
), IF($D118="Gebruik % van maximum salaris",
IF(
    OR(S117="",S118=""),
    "",
    MAX(
        INDIRECT(
            "'" &amp; 'Hulp (overig)'!$C$16 &amp; "'!" &amp;
            'Hulp (overig)'!$C$17 &amp;
            MATCH(S117, INDIRECT("'" &amp; 'Hulp (overig)'!$C$16 &amp; "'!A1:A1000"), 0) &amp;
            ":" &amp;
            'Hulp (overig)'!$C$17 &amp;
LOOKUP(
    2,
    1 / (
        (ROW(INDIRECT("'" &amp; 'Hulp (overig)'!$C$16 &amp; "'!B1:B1000")) &lt;
            IF(T117&lt;&gt;"",
               MATCH(T117, INDIRECT("'" &amp; 'Hulp (overig)'!$C$16 &amp; "'!A1:A1000"),0),
               1000
            )
        ) *
        (LEFT(TRIM(INDIRECT("'" &amp; 'Hulp (overig)'!$C$16 &amp; "'!B1:B1000")),1) &lt;&gt; "u")
    ),
    ROW(INDIRECT("'" &amp; 'Hulp (overig)'!$C$16 &amp; "'!B1:B1000"))
)
        )
    ) * S118
),
IF(S119="","",
IF(
    IFERROR(MIN(
        IF(
            (TRIM(INDIRECT("'" &amp; 'Hulp (overig)'!$C$16 &amp; "'!B1:B1000")) = TEXT(S119,"0")) *
            (ROW(INDIRECT("'" &amp; 'Hulp (overig)'!$C$16 &amp; "'!B1:B1000")) &gt;= MATCH(
                S117,
                INDIRECT("'" &amp; 'Hulp (overig)'!$C$16 &amp; "'!A1:A1000"),
                0
            )) *
            IF(
                T117="",
                1,
                (ROW(INDIRECT("'" &amp; 'Hulp (overig)'!$C$16 &amp; "'!B1:B1000")) &lt; MATCH(
                    T117,
                    INDIRECT("'" &amp; 'Hulp (overig)'!$C$16 &amp; "'!A1:A1000"),
                    0
                ))
            ),
            ROW(INDIRECT("'" &amp; 'Hulp (overig)'!$C$16 &amp; "'!B1:B1000"))
        )
    ),0) &lt; 1,
    "",
    IF(INDEX(
        INDIRECT("'" &amp; 'Hulp (overig)'!$C$16 &amp; "'!" &amp;
        'Hulp (overig)'!$C$17 &amp; "1:" &amp; 'Hulp (overig)'!$C$17 &amp; 1000
        ),
        IFERROR(MIN(
            IF(
                (TRIM(INDIRECT("'" &amp; 'Hulp (overig)'!$C$16 &amp; "'!B1:B1000")) = TEXT(S119,"0")) *
                (ROW(INDIRECT("'" &amp; 'Hulp (overig)'!$C$16 &amp; "'!B1:B1000")) &gt;= MATCH(
                    S117,
                    INDIRECT("'" &amp; 'Hulp (overig)'!$C$16 &amp; "'!A1:A1000"),
                    0
                )) *
                IF(
                    T117="",
                    1,
                    (ROW(INDIRECT("'" &amp; 'Hulp (overig)'!$C$16 &amp; "'!B1:B1000")) &lt; MATCH(
                        T117,
                        INDIRECT("'" &amp; 'Hulp (overig)'!$C$16 &amp; "'!A1:A1000"),
                        0
                    ))
                ),
                ROW(INDIRECT("'" &amp; 'Hulp (overig)'!$C$16 &amp; "'!B1:B1000"))
            )
        ),0)
    )=0,"",
INDEX(
        INDIRECT("'" &amp; 'Hulp (overig)'!$C$16 &amp; "'!" &amp;
        'Hulp (overig)'!$C$17 &amp; "1:" &amp; 'Hulp (overig)'!$C$17 &amp; 1000
        ),
        IFERROR(MIN(
            IF(
                (TRIM(INDIRECT("'" &amp; 'Hulp (overig)'!$C$16 &amp; "'!B1:B1000")) = TEXT(S119,"0")) *
                (ROW(INDIRECT("'" &amp; 'Hulp (overig)'!$C$16 &amp; "'!B1:B1000")) &gt;= MATCH(
                    S117,
                    INDIRECT("'" &amp; 'Hulp (overig)'!$C$16 &amp; "'!A1:A1000"),
                    0
                )) *
                IF(
                    T117="",
                    1,
                    (ROW(INDIRECT("'" &amp; 'Hulp (overig)'!$C$16 &amp; "'!B1:B1000")) &lt; MATCH(
                        T117,
                        INDIRECT("'" &amp; 'Hulp (overig)'!$C$16 &amp; "'!A1:A1000"),
                        0
                    ))
                ),
                ROW(INDIRECT("'" &amp; 'Hulp (overig)'!$C$16 &amp; "'!B1:B1000"))
            )
        ),0)
    ))
))))</f>
        <v>#VALUE!</v>
      </c>
      <c r="T120" s="425" t="e" cm="1">
        <f t="array" aca="1" ref="T120" ca="1">IF($BF120, IF(T117="","",
   INDEX(
      INDIRECT("'" &amp; 'Hulp (CAO''s)'!$AE$8 &amp; "'!" &amp;
               'Hulp (overig)'!$C$17 &amp; "1:" &amp;
               'Hulp (overig)'!$C$17 &amp; "1000"),
      MATCH(
         T117,
         INDIRECT("'" &amp; 'Hulp (CAO''s)'!$AE$8 &amp; "'!A1:A1000"),
         0
      )
   )
), IF($D118="Gebruik % van maximum salaris",
IF(
    OR(T117="",T118=""),
    "",
    MAX(
        INDIRECT(
            "'" &amp; 'Hulp (overig)'!$C$16 &amp; "'!" &amp;
            'Hulp (overig)'!$C$17 &amp;
            MATCH(T117, INDIRECT("'" &amp; 'Hulp (overig)'!$C$16 &amp; "'!A1:A1000"), 0) &amp;
            ":" &amp;
            'Hulp (overig)'!$C$17 &amp;
LOOKUP(
    2,
    1 / (
        (ROW(INDIRECT("'" &amp; 'Hulp (overig)'!$C$16 &amp; "'!B1:B1000")) &lt;
            IF(U117&lt;&gt;"",
               MATCH(U117, INDIRECT("'" &amp; 'Hulp (overig)'!$C$16 &amp; "'!A1:A1000"),0),
               1000
            )
        ) *
        (LEFT(TRIM(INDIRECT("'" &amp; 'Hulp (overig)'!$C$16 &amp; "'!B1:B1000")),1) &lt;&gt; "u")
    ),
    ROW(INDIRECT("'" &amp; 'Hulp (overig)'!$C$16 &amp; "'!B1:B1000"))
)
        )
    ) * T118
),
IF(T119="","",
IF(
    IFERROR(MIN(
        IF(
            (TRIM(INDIRECT("'" &amp; 'Hulp (overig)'!$C$16 &amp; "'!B1:B1000")) = TEXT(T119,"0")) *
            (ROW(INDIRECT("'" &amp; 'Hulp (overig)'!$C$16 &amp; "'!B1:B1000")) &gt;= MATCH(
                T117,
                INDIRECT("'" &amp; 'Hulp (overig)'!$C$16 &amp; "'!A1:A1000"),
                0
            )) *
            IF(
                U117="",
                1,
                (ROW(INDIRECT("'" &amp; 'Hulp (overig)'!$C$16 &amp; "'!B1:B1000")) &lt; MATCH(
                    U117,
                    INDIRECT("'" &amp; 'Hulp (overig)'!$C$16 &amp; "'!A1:A1000"),
                    0
                ))
            ),
            ROW(INDIRECT("'" &amp; 'Hulp (overig)'!$C$16 &amp; "'!B1:B1000"))
        )
    ),0) &lt; 1,
    "",
    IF(INDEX(
        INDIRECT("'" &amp; 'Hulp (overig)'!$C$16 &amp; "'!" &amp;
        'Hulp (overig)'!$C$17 &amp; "1:" &amp; 'Hulp (overig)'!$C$17 &amp; 1000
        ),
        IFERROR(MIN(
            IF(
                (TRIM(INDIRECT("'" &amp; 'Hulp (overig)'!$C$16 &amp; "'!B1:B1000")) = TEXT(T119,"0")) *
                (ROW(INDIRECT("'" &amp; 'Hulp (overig)'!$C$16 &amp; "'!B1:B1000")) &gt;= MATCH(
                    T117,
                    INDIRECT("'" &amp; 'Hulp (overig)'!$C$16 &amp; "'!A1:A1000"),
                    0
                )) *
                IF(
                    U117="",
                    1,
                    (ROW(INDIRECT("'" &amp; 'Hulp (overig)'!$C$16 &amp; "'!B1:B1000")) &lt; MATCH(
                        U117,
                        INDIRECT("'" &amp; 'Hulp (overig)'!$C$16 &amp; "'!A1:A1000"),
                        0
                    ))
                ),
                ROW(INDIRECT("'" &amp; 'Hulp (overig)'!$C$16 &amp; "'!B1:B1000"))
            )
        ),0)
    )=0,"",
INDEX(
        INDIRECT("'" &amp; 'Hulp (overig)'!$C$16 &amp; "'!" &amp;
        'Hulp (overig)'!$C$17 &amp; "1:" &amp; 'Hulp (overig)'!$C$17 &amp; 1000
        ),
        IFERROR(MIN(
            IF(
                (TRIM(INDIRECT("'" &amp; 'Hulp (overig)'!$C$16 &amp; "'!B1:B1000")) = TEXT(T119,"0")) *
                (ROW(INDIRECT("'" &amp; 'Hulp (overig)'!$C$16 &amp; "'!B1:B1000")) &gt;= MATCH(
                    T117,
                    INDIRECT("'" &amp; 'Hulp (overig)'!$C$16 &amp; "'!A1:A1000"),
                    0
                )) *
                IF(
                    U117="",
                    1,
                    (ROW(INDIRECT("'" &amp; 'Hulp (overig)'!$C$16 &amp; "'!B1:B1000")) &lt; MATCH(
                        U117,
                        INDIRECT("'" &amp; 'Hulp (overig)'!$C$16 &amp; "'!A1:A1000"),
                        0
                    ))
                ),
                ROW(INDIRECT("'" &amp; 'Hulp (overig)'!$C$16 &amp; "'!B1:B1000"))
            )
        ),0)
    ))
))))</f>
        <v>#VALUE!</v>
      </c>
      <c r="U120" s="723" t="e" cm="1">
        <f t="array" aca="1" ref="U120" ca="1">IF($BF120, IF(U117="","",
   INDEX(
      INDIRECT("'" &amp; 'Hulp (CAO''s)'!$AE$8 &amp; "'!" &amp;
               'Hulp (overig)'!$C$17 &amp; "1:" &amp;
               'Hulp (overig)'!$C$17 &amp; "1000"),
      MATCH(
         U117,
         INDIRECT("'" &amp; 'Hulp (CAO''s)'!$AE$8 &amp; "'!A1:A1000"),
         0
      )
   )
), IF($D118="Gebruik % van maximum salaris",
IF(
    OR(U117="",U118=""),
    "",
    MAX(
        INDIRECT(
            "'" &amp; 'Hulp (overig)'!$C$16 &amp; "'!" &amp;
            'Hulp (overig)'!$C$17 &amp;
            MATCH(U117, INDIRECT("'" &amp; 'Hulp (overig)'!$C$16 &amp; "'!A1:A1000"), 0) &amp;
            ":" &amp;
            'Hulp (overig)'!$C$17 &amp;
LOOKUP(
    2,
    1 / (
        (ROW(INDIRECT("'" &amp; 'Hulp (overig)'!$C$16 &amp; "'!B1:B1000")) &lt;
            IF(V117&lt;&gt;"",
               MATCH(V117, INDIRECT("'" &amp; 'Hulp (overig)'!$C$16 &amp; "'!A1:A1000"),0),
               1000
            )
        ) *
        (LEFT(TRIM(INDIRECT("'" &amp; 'Hulp (overig)'!$C$16 &amp; "'!B1:B1000")),1) &lt;&gt; "u")
    ),
    ROW(INDIRECT("'" &amp; 'Hulp (overig)'!$C$16 &amp; "'!B1:B1000"))
)
        )
    ) * U118
),
IF(U119="","",
IF(
    IFERROR(MIN(
        IF(
            (TRIM(INDIRECT("'" &amp; 'Hulp (overig)'!$C$16 &amp; "'!B1:B1000")) = TEXT(U119,"0")) *
            (ROW(INDIRECT("'" &amp; 'Hulp (overig)'!$C$16 &amp; "'!B1:B1000")) &gt;= MATCH(
                U117,
                INDIRECT("'" &amp; 'Hulp (overig)'!$C$16 &amp; "'!A1:A1000"),
                0
            )) *
            IF(
                V117="",
                1,
                (ROW(INDIRECT("'" &amp; 'Hulp (overig)'!$C$16 &amp; "'!B1:B1000")) &lt; MATCH(
                    V117,
                    INDIRECT("'" &amp; 'Hulp (overig)'!$C$16 &amp; "'!A1:A1000"),
                    0
                ))
            ),
            ROW(INDIRECT("'" &amp; 'Hulp (overig)'!$C$16 &amp; "'!B1:B1000"))
        )
    ),0) &lt; 1,
    "",
    IF(INDEX(
        INDIRECT("'" &amp; 'Hulp (overig)'!$C$16 &amp; "'!" &amp;
        'Hulp (overig)'!$C$17 &amp; "1:" &amp; 'Hulp (overig)'!$C$17 &amp; 1000
        ),
        IFERROR(MIN(
            IF(
                (TRIM(INDIRECT("'" &amp; 'Hulp (overig)'!$C$16 &amp; "'!B1:B1000")) = TEXT(U119,"0")) *
                (ROW(INDIRECT("'" &amp; 'Hulp (overig)'!$C$16 &amp; "'!B1:B1000")) &gt;= MATCH(
                    U117,
                    INDIRECT("'" &amp; 'Hulp (overig)'!$C$16 &amp; "'!A1:A1000"),
                    0
                )) *
                IF(
                    V117="",
                    1,
                    (ROW(INDIRECT("'" &amp; 'Hulp (overig)'!$C$16 &amp; "'!B1:B1000")) &lt; MATCH(
                        V117,
                        INDIRECT("'" &amp; 'Hulp (overig)'!$C$16 &amp; "'!A1:A1000"),
                        0
                    ))
                ),
                ROW(INDIRECT("'" &amp; 'Hulp (overig)'!$C$16 &amp; "'!B1:B1000"))
            )
        ),0)
    )=0,"",
INDEX(
        INDIRECT("'" &amp; 'Hulp (overig)'!$C$16 &amp; "'!" &amp;
        'Hulp (overig)'!$C$17 &amp; "1:" &amp; 'Hulp (overig)'!$C$17 &amp; 1000
        ),
        IFERROR(MIN(
            IF(
                (TRIM(INDIRECT("'" &amp; 'Hulp (overig)'!$C$16 &amp; "'!B1:B1000")) = TEXT(U119,"0")) *
                (ROW(INDIRECT("'" &amp; 'Hulp (overig)'!$C$16 &amp; "'!B1:B1000")) &gt;= MATCH(
                    U117,
                    INDIRECT("'" &amp; 'Hulp (overig)'!$C$16 &amp; "'!A1:A1000"),
                    0
                )) *
                IF(
                    V117="",
                    1,
                    (ROW(INDIRECT("'" &amp; 'Hulp (overig)'!$C$16 &amp; "'!B1:B1000")) &lt; MATCH(
                        V117,
                        INDIRECT("'" &amp; 'Hulp (overig)'!$C$16 &amp; "'!A1:A1000"),
                        0
                    ))
                ),
                ROW(INDIRECT("'" &amp; 'Hulp (overig)'!$C$16 &amp; "'!B1:B1000"))
            )
        ),0)
    ))
))))</f>
        <v>#VALUE!</v>
      </c>
      <c r="V120" s="413" t="str" cm="1">
        <f t="array" ref="V120">IF(SUM(F121:U121)=0,"",
IF(SUM(F120:U120)=0,"",
IF(SUMPRODUCT((F121:U121&lt;&gt;0)*(F120:U120=""))&gt;0,"",
(
   SUMPRODUCT(
      IF(F120:U120="",0,F120:U120),
      IF(F121:U121="",0,F121:U121) / SUM(F121:U121)
   )
))))</f>
        <v/>
      </c>
      <c r="W120" s="418"/>
      <c r="X120" s="620"/>
      <c r="Y120" s="419" t="str">
        <f ca="1">IF(B117="","",
        IF(INDIRECT("'Hulp (control forms)'!C" &amp; (13 + INT((ROW()-ROW($B$5))/7))),
            IF(X120="","",X120),
            IF(V120="","",V120)
    )
)</f>
        <v/>
      </c>
      <c r="Z120" s="333"/>
      <c r="AA120" s="771"/>
      <c r="AB120" s="770"/>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c r="BA120" cm="1">
        <f t="array" aca="1" ref="BA120" ca="1">IF(
   SUM(Y120)=0,
   1,
   IF(
      N(INDIRECT("'Hulp (control forms)'!C"&amp;(13+INT((ROW()-ROW($B$5))/7))))&lt;&gt;0,
      MIN(1,
      ('Hulp (overig)'!$C$6/12) /
      (Y120 * BC120 + BD120)),
      MIN(1,
         IF(
            SUM(F120:U120)=0,
            "",
            SUMPRODUCT(
               IF(
                  (IF(F120:U120="",0,F120:U120) * BC120) + BD120
                  &gt; 'Hulp (overig)'!$C$6/12,
                  'Hulp (overig)'!$C$6/12,
                  (IF(F120:U120="",0,F120:U120) * BC120) + BD120
               ),
               IF(F121:U121="",0,F121:U121) / SUM(F121:U121)
            )
         ) /
         ((Y120 * BC120) + BD120)
      )
   )
)</f>
        <v>1</v>
      </c>
      <c r="BB120" cm="1">
        <f t="array" aca="1" ref="BB120" ca="1">IF(
   SUM(Y120)=0,
   1,
   IF(
      N(INDIRECT("'Hulp (control forms)'!C"&amp;(13+INT((ROW()-ROW($B$5))/7))))&lt;&gt;0,
      MIN('Hulp (overig)'!$C$5/12,
      (Y120 * BC120) + BD120) * 12,
         IF(
            SUM(F120:U120)=0,
            "",
            SUMPRODUCT(
               IF(
                  (IF(F120:U120="",0,F120:U120) * BC120) + BD120
                  &gt; 'Hulp (overig)'!$C$5/12,
                  'Hulp (overig)'!$C$5/12,
                  (IF(F120:U120="",0,F120:U120) * BC120) + BD120
               ),
               IF(F121:U121="",0,F121:U121) / SUM(F121:U121)
            )
         ) * 12
   )
)</f>
        <v>1</v>
      </c>
      <c r="BC120" s="287" cm="1">
        <f t="array" aca="1" ref="BC120" ca="1">IFERROR(
   (INDEX('2. Output kostprijs'!$24:$24, 5 + 2*INT((ROW()-8)/7))
    - SUM(INDEX('2. Output kostprijs'!$23:$23, 5 + 2*INT((ROW()-8)/7))))
   / INDEX('2. Output kostprijs'!$19:$19, 5 + 2*INT((ROW()-8)/7)),
   1
)</f>
        <v>1</v>
      </c>
      <c r="BD120" s="287" cm="1">
        <f t="array" aca="1" ref="BD120" ca="1">IFERROR(
   (INDEX('2. Output kostprijs'!$23:$23, 5 + 2*INT((ROW()-8)/7))
    * INDEX('2. Output kostprijs'!$18:$18, 5 + 2*INT((ROW()-8)/7))
   ) / 12,
   0
)</f>
        <v>0</v>
      </c>
      <c r="BE120" t="b">
        <f ca="1">NOT(AND(B117&lt;&gt;"",Y120=""))</f>
        <v>1</v>
      </c>
      <c r="BF120" t="str" cm="1">
        <f t="array" aca="1" ref="BF120" ca="1">INDIRECT("'1a. Input organisatieniveau'!$AD" &amp; 7 + INT((ROW()-ROW($F$8))/7))</f>
        <v/>
      </c>
      <c r="BG120" t="b" cm="1">
        <f t="array" ref="BG120">IFERROR(INDEX('Hulp (control forms)'!C:C, 13 + INT((ROW(A113)-1)/7)),FALSE)</f>
        <v>0</v>
      </c>
    </row>
    <row r="121" spans="1:59" ht="16.05" customHeight="1" thickBot="1" x14ac:dyDescent="0.5">
      <c r="A121" s="289"/>
      <c r="B121" s="343"/>
      <c r="C121" s="325" t="s">
        <v>779</v>
      </c>
      <c r="D121" s="688" t="s">
        <v>60</v>
      </c>
      <c r="E121" s="433" t="s">
        <v>59</v>
      </c>
      <c r="F121" s="624"/>
      <c r="G121" s="624"/>
      <c r="H121" s="624"/>
      <c r="I121" s="624"/>
      <c r="J121" s="624"/>
      <c r="K121" s="624"/>
      <c r="L121" s="624"/>
      <c r="M121" s="624"/>
      <c r="N121" s="624"/>
      <c r="O121" s="624"/>
      <c r="P121" s="624"/>
      <c r="Q121" s="624"/>
      <c r="R121" s="624"/>
      <c r="S121" s="624"/>
      <c r="T121" s="624"/>
      <c r="U121" s="625"/>
      <c r="V121" s="420" t="str">
        <f ca="1">IF($B117="","",IF($D121="Aandeel in %",
   "Totaal: "&amp;SUM(F121:U121)*100&amp;"%",
   "Totaal: "&amp;SUM(F121:U121)&amp;" uur"
))</f>
        <v/>
      </c>
      <c r="W121" s="294"/>
      <c r="X121" s="621"/>
      <c r="Y121" s="328"/>
      <c r="Z121" s="329"/>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row>
    <row r="122" spans="1:59" ht="16.05" customHeight="1" thickBot="1" x14ac:dyDescent="0.5">
      <c r="A122" s="289"/>
      <c r="B122" s="343"/>
      <c r="C122" s="326" t="s">
        <v>779</v>
      </c>
      <c r="D122" s="421"/>
      <c r="E122" s="426"/>
      <c r="F122" s="426"/>
      <c r="G122" s="426"/>
      <c r="H122" s="426"/>
      <c r="I122" s="426"/>
      <c r="J122" s="426"/>
      <c r="K122" s="426"/>
      <c r="L122" s="426"/>
      <c r="M122" s="426"/>
      <c r="N122" s="426"/>
      <c r="O122" s="426"/>
      <c r="P122" s="426"/>
      <c r="Q122" s="426"/>
      <c r="R122" s="426"/>
      <c r="S122" s="426"/>
      <c r="T122" s="427"/>
      <c r="U122" s="427"/>
      <c r="V122" s="421"/>
      <c r="W122" s="421"/>
      <c r="X122" s="622"/>
      <c r="Y122" s="421"/>
      <c r="Z122" s="327"/>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row>
    <row r="123" spans="1:59" ht="16.05" customHeight="1" thickBot="1" x14ac:dyDescent="0.55000000000000004">
      <c r="A123" s="289"/>
      <c r="B123" s="585" t="str">
        <f ca="1">IF(B124="","",
IF(
   OR(
      INDIRECT("'1a. Input organisatieniveau'!AC" &amp; (7 + INT((ROW()-4)/7)))="",
      INDIRECT("'1a. Input organisatieniveau'!AC" &amp; (7 + INT((ROW()-4)/7)))=0
   ),
   "",
   INDIRECT("'1a. Input organisatieniveau'!AC" &amp; (7 + INT((ROW()-4)/7)))
))</f>
        <v/>
      </c>
      <c r="C123" s="324" t="s">
        <v>779</v>
      </c>
      <c r="D123" s="416"/>
      <c r="E123" s="428"/>
      <c r="F123" s="422" t="str">
        <f t="shared" ref="F123:U123" ca="1" si="17">IF($B124="","",
IF($D125="Gebruik % van maximum salaris",
 IF(OR(AND(AND(F124&lt;&gt;"",F125&lt;&gt;""),F127=""),AND(F127="",F128&lt;&gt;"")),"!",""),
 IF(OR(AND(AND(F124&lt;&gt;"",F126&lt;&gt;""),F127=""),AND(F127="",F128&lt;&gt;"")),"!","")))</f>
        <v/>
      </c>
      <c r="G123" s="422" t="str">
        <f t="shared" ca="1" si="17"/>
        <v/>
      </c>
      <c r="H123" s="422" t="str">
        <f t="shared" ca="1" si="17"/>
        <v/>
      </c>
      <c r="I123" s="422" t="str">
        <f t="shared" ca="1" si="17"/>
        <v/>
      </c>
      <c r="J123" s="422" t="str">
        <f t="shared" ca="1" si="17"/>
        <v/>
      </c>
      <c r="K123" s="422" t="str">
        <f t="shared" ca="1" si="17"/>
        <v/>
      </c>
      <c r="L123" s="422" t="str">
        <f t="shared" ca="1" si="17"/>
        <v/>
      </c>
      <c r="M123" s="422" t="str">
        <f t="shared" ca="1" si="17"/>
        <v/>
      </c>
      <c r="N123" s="422" t="str">
        <f t="shared" ca="1" si="17"/>
        <v/>
      </c>
      <c r="O123" s="422" t="str">
        <f t="shared" ca="1" si="17"/>
        <v/>
      </c>
      <c r="P123" s="422" t="str">
        <f t="shared" ca="1" si="17"/>
        <v/>
      </c>
      <c r="Q123" s="422" t="str">
        <f t="shared" ca="1" si="17"/>
        <v/>
      </c>
      <c r="R123" s="422" t="str">
        <f t="shared" ca="1" si="17"/>
        <v/>
      </c>
      <c r="S123" s="422" t="str">
        <f t="shared" ca="1" si="17"/>
        <v/>
      </c>
      <c r="T123" s="422" t="str">
        <f t="shared" ca="1" si="17"/>
        <v/>
      </c>
      <c r="U123" s="422" t="str">
        <f t="shared" ca="1" si="17"/>
        <v/>
      </c>
      <c r="V123" s="416"/>
      <c r="W123" s="416"/>
      <c r="X123" s="619"/>
      <c r="Y123" s="416"/>
      <c r="Z123" s="330"/>
      <c r="AA123" s="354"/>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row>
    <row r="124" spans="1:59" ht="16.05" customHeight="1" thickBot="1" x14ac:dyDescent="0.5">
      <c r="A124" s="289"/>
      <c r="B124" s="586" t="str">
        <f ca="1">IF(
   OR(
      INDIRECT("'1a. Input organisatieniveau'!AA" &amp; (7 + INT((ROW()-4)/7)))="",
      INDIRECT("'1a. Input organisatieniveau'!AA" &amp; (7 + INT((ROW()-4)/7)))=0
   ),
   "",
   INDIRECT("'1a. Input organisatieniveau'!AA" &amp; (7 + INT((ROW()-4)/7)))
)</f>
        <v/>
      </c>
      <c r="C124" s="325" t="s">
        <v>779</v>
      </c>
      <c r="D124" s="434"/>
      <c r="E124" s="429" t="s">
        <v>28</v>
      </c>
      <c r="F124" s="423" t="str">
        <f ca="1">IF($B124="", "", IF($BF127, IF('Hulp (CAO''s)'!J$8&lt;&gt;"",'Hulp (CAO''s)'!J$8,""), INDEX('Hulp (CAO''s)'!J$3:J$7, MATCH(TRUE, 'Hulp (CAO''s)'!$D$3:$D$7, 0))))</f>
        <v/>
      </c>
      <c r="G124" s="423" t="str">
        <f ca="1">IF($B124="", "", IF($BF127, IF('Hulp (CAO''s)'!K$8&lt;&gt;"",'Hulp (CAO''s)'!K$8,""), INDEX('Hulp (CAO''s)'!K$3:K$7, MATCH(TRUE, 'Hulp (CAO''s)'!$D$3:$D$7, 0))))</f>
        <v/>
      </c>
      <c r="H124" s="423" t="str">
        <f ca="1">IF($B124="", "", IF($BF127, IF('Hulp (CAO''s)'!L$8&lt;&gt;"",'Hulp (CAO''s)'!L$8,""), INDEX('Hulp (CAO''s)'!L$3:L$7, MATCH(TRUE, 'Hulp (CAO''s)'!$D$3:$D$7, 0))))</f>
        <v/>
      </c>
      <c r="I124" s="423" t="str">
        <f ca="1">IF($B124="", "", IF($BF127, IF('Hulp (CAO''s)'!M$8&lt;&gt;"",'Hulp (CAO''s)'!M$8,""), INDEX('Hulp (CAO''s)'!M$3:M$7, MATCH(TRUE, 'Hulp (CAO''s)'!$D$3:$D$7, 0))))</f>
        <v/>
      </c>
      <c r="J124" s="423" t="str">
        <f ca="1">IF($B124="", "", IF($BF127, IF('Hulp (CAO''s)'!N$8&lt;&gt;"",'Hulp (CAO''s)'!N$8,""), INDEX('Hulp (CAO''s)'!N$3:N$7, MATCH(TRUE, 'Hulp (CAO''s)'!$D$3:$D$7, 0))))</f>
        <v/>
      </c>
      <c r="K124" s="423" t="str">
        <f ca="1">IF($B124="", "", IF($BF127, IF('Hulp (CAO''s)'!O$8&lt;&gt;"",'Hulp (CAO''s)'!O$8,""), INDEX('Hulp (CAO''s)'!O$3:O$7, MATCH(TRUE, 'Hulp (CAO''s)'!$D$3:$D$7, 0))))</f>
        <v/>
      </c>
      <c r="L124" s="423" t="str">
        <f ca="1">IF($B124="", "", IF($BF127, IF('Hulp (CAO''s)'!P$8&lt;&gt;"",'Hulp (CAO''s)'!P$8,""), INDEX('Hulp (CAO''s)'!P$3:P$7, MATCH(TRUE, 'Hulp (CAO''s)'!$D$3:$D$7, 0))))</f>
        <v/>
      </c>
      <c r="M124" s="423" t="str">
        <f ca="1">IF($B124="", "", IF($BF127, IF('Hulp (CAO''s)'!Q$8&lt;&gt;"",'Hulp (CAO''s)'!Q$8,""), INDEX('Hulp (CAO''s)'!Q$3:Q$7, MATCH(TRUE, 'Hulp (CAO''s)'!$D$3:$D$7, 0))))</f>
        <v/>
      </c>
      <c r="N124" s="423" t="str">
        <f ca="1">IF($B124="", "", IF($BF127, IF('Hulp (CAO''s)'!R$8&lt;&gt;"",'Hulp (CAO''s)'!R$8,""), INDEX('Hulp (CAO''s)'!R$3:R$7, MATCH(TRUE, 'Hulp (CAO''s)'!$D$3:$D$7, 0))))</f>
        <v/>
      </c>
      <c r="O124" s="423" t="str">
        <f ca="1">IF($B124="", "", IF($BF127, IF('Hulp (CAO''s)'!S$8&lt;&gt;"",'Hulp (CAO''s)'!S$8,""), INDEX('Hulp (CAO''s)'!S$3:S$7, MATCH(TRUE, 'Hulp (CAO''s)'!$D$3:$D$7, 0))))</f>
        <v/>
      </c>
      <c r="P124" s="423" t="str">
        <f ca="1">IF($B124="", "", IF($BF127, IF('Hulp (CAO''s)'!T$8&lt;&gt;"",'Hulp (CAO''s)'!T$8,""), INDEX('Hulp (CAO''s)'!T$3:T$7, MATCH(TRUE, 'Hulp (CAO''s)'!$D$3:$D$7, 0))))</f>
        <v/>
      </c>
      <c r="Q124" s="423" t="str">
        <f ca="1">IF($B124="", "", IF($BF127, IF('Hulp (CAO''s)'!U$8&lt;&gt;"",'Hulp (CAO''s)'!U$8,""), INDEX('Hulp (CAO''s)'!U$3:U$7, MATCH(TRUE, 'Hulp (CAO''s)'!$D$3:$D$7, 0))))</f>
        <v/>
      </c>
      <c r="R124" s="423" t="str">
        <f ca="1">IF($B124="", "", IF($BF127, IF('Hulp (CAO''s)'!V$8&lt;&gt;"",'Hulp (CAO''s)'!V$8,""), INDEX('Hulp (CAO''s)'!V$3:V$7, MATCH(TRUE, 'Hulp (CAO''s)'!$D$3:$D$7, 0))))</f>
        <v/>
      </c>
      <c r="S124" s="423" t="str">
        <f ca="1">IF($B124="", "", IF($BF127, IF('Hulp (CAO''s)'!W$8&lt;&gt;"",'Hulp (CAO''s)'!W$8,""), INDEX('Hulp (CAO''s)'!W$3:W$7, MATCH(TRUE, 'Hulp (CAO''s)'!$D$3:$D$7, 0))))</f>
        <v/>
      </c>
      <c r="T124" s="423" t="str">
        <f ca="1">IF($B124="", "", IF($BF127, IF('Hulp (CAO''s)'!X$8&lt;&gt;"",'Hulp (CAO''s)'!X$8,""), INDEX('Hulp (CAO''s)'!X$3:X$7, MATCH(TRUE, 'Hulp (CAO''s)'!$D$3:$D$7, 0))))</f>
        <v/>
      </c>
      <c r="U124" s="424" t="str">
        <f ca="1">IF($B124="", "", IF($BF127, IF('Hulp (CAO''s)'!Y$8&lt;&gt;"",'Hulp (CAO''s)'!Y$8,""), INDEX('Hulp (CAO''s)'!Y$3:Y$7, MATCH(TRUE, 'Hulp (CAO''s)'!$D$3:$D$7, 0))))</f>
        <v/>
      </c>
      <c r="V124" s="417"/>
      <c r="W124" s="343"/>
      <c r="X124" s="617"/>
      <c r="Y124" s="343"/>
      <c r="Z124" s="329"/>
      <c r="AA124" s="320"/>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row>
    <row r="125" spans="1:59" ht="16.05" customHeight="1" x14ac:dyDescent="0.45">
      <c r="A125" s="289"/>
      <c r="B125" s="343"/>
      <c r="C125" s="325" t="s">
        <v>779</v>
      </c>
      <c r="D125" s="772" t="s">
        <v>772</v>
      </c>
      <c r="E125" s="430" t="e">
        <f ca="1">IF($BF127, "", "% t.o.v. max salaris in de schaal")</f>
        <v>#VALUE!</v>
      </c>
      <c r="F125" s="615"/>
      <c r="G125" s="615"/>
      <c r="H125" s="615"/>
      <c r="I125" s="615"/>
      <c r="J125" s="615"/>
      <c r="K125" s="615"/>
      <c r="L125" s="615"/>
      <c r="M125" s="615"/>
      <c r="N125" s="615"/>
      <c r="O125" s="615"/>
      <c r="P125" s="615"/>
      <c r="Q125" s="615"/>
      <c r="R125" s="615"/>
      <c r="S125" s="615"/>
      <c r="T125" s="615"/>
      <c r="U125" s="616"/>
      <c r="V125" s="774" t="s">
        <v>884</v>
      </c>
      <c r="W125" s="332"/>
      <c r="X125" s="776" t="s">
        <v>882</v>
      </c>
      <c r="Y125" s="778" t="s">
        <v>883</v>
      </c>
      <c r="Z125" s="329"/>
      <c r="AA125" s="771" t="s">
        <v>780</v>
      </c>
      <c r="AB125" s="770" t="s">
        <v>1079</v>
      </c>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row>
    <row r="126" spans="1:59" ht="16.05" customHeight="1" thickBot="1" x14ac:dyDescent="0.5">
      <c r="A126" s="289"/>
      <c r="B126" s="343"/>
      <c r="C126" s="325" t="s">
        <v>779</v>
      </c>
      <c r="D126" s="773"/>
      <c r="E126" s="431" t="e">
        <f ca="1">IF($BF127, "", "Trede (gemiddeld)")</f>
        <v>#VALUE!</v>
      </c>
      <c r="F126" s="737"/>
      <c r="G126" s="737"/>
      <c r="H126" s="737"/>
      <c r="I126" s="737"/>
      <c r="J126" s="737"/>
      <c r="K126" s="737"/>
      <c r="L126" s="737"/>
      <c r="M126" s="737"/>
      <c r="N126" s="737"/>
      <c r="O126" s="737"/>
      <c r="P126" s="737"/>
      <c r="Q126" s="737"/>
      <c r="R126" s="737"/>
      <c r="S126" s="737"/>
      <c r="T126" s="737"/>
      <c r="U126" s="740"/>
      <c r="V126" s="775"/>
      <c r="W126" s="294"/>
      <c r="X126" s="777"/>
      <c r="Y126" s="779"/>
      <c r="Z126" s="329"/>
      <c r="AA126" s="771"/>
      <c r="AB126" s="770"/>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row>
    <row r="127" spans="1:59" ht="16.05" customHeight="1" thickBot="1" x14ac:dyDescent="0.5">
      <c r="A127" s="289"/>
      <c r="B127" s="343"/>
      <c r="C127" s="325" t="s">
        <v>779</v>
      </c>
      <c r="E127" s="432" t="str">
        <f>IFERROR(
   INDEX('Hulp (CAO''s)'!$I$3:$I$7, MATCH(TRUE, 'Hulp (CAO''s)'!$D$3:$D$7, 0)),
"")</f>
        <v>Bruto maandsalaris</v>
      </c>
      <c r="F127" s="425" t="e" cm="1">
        <f t="array" aca="1" ref="F127" ca="1">IF($BF127, IF(F124="","",
   INDEX(
      INDIRECT("'" &amp; 'Hulp (CAO''s)'!$AE$8 &amp; "'!" &amp;
               'Hulp (overig)'!$C$17 &amp; "1:" &amp;
               'Hulp (overig)'!$C$17 &amp; "1000"),
      MATCH(
         F124,
         INDIRECT("'" &amp; 'Hulp (CAO''s)'!$AE$8 &amp; "'!A1:A1000"),
         0
      )
   )
), IF($D125="Gebruik % van maximum salaris",
IF(
    OR(F124="",F125=""),
    "",
    MAX(
        INDIRECT(
            "'" &amp; 'Hulp (overig)'!$C$16 &amp; "'!" &amp;
            'Hulp (overig)'!$C$17 &amp;
            MATCH(F124, INDIRECT("'" &amp; 'Hulp (overig)'!$C$16 &amp; "'!A1:A1000"), 0) &amp;
            ":" &amp;
            'Hulp (overig)'!$C$17 &amp;
LOOKUP(
    2,
    1 / (
        (ROW(INDIRECT("'" &amp; 'Hulp (overig)'!$C$16 &amp; "'!B1:B1000")) &lt;
            IF(G124&lt;&gt;"",
               MATCH(G124, INDIRECT("'" &amp; 'Hulp (overig)'!$C$16 &amp; "'!A1:A1000"),0),
               1000
            )
        ) *
        (LEFT(TRIM(INDIRECT("'" &amp; 'Hulp (overig)'!$C$16 &amp; "'!B1:B1000")),1) &lt;&gt; "u")
    ),
    ROW(INDIRECT("'" &amp; 'Hulp (overig)'!$C$16 &amp; "'!B1:B1000"))
)
        )
    ) * F125
),
IF(F126="","",
IF(
    IFERROR(MIN(
        IF(
            (TRIM(INDIRECT("'" &amp; 'Hulp (overig)'!$C$16 &amp; "'!B1:B1000")) = TEXT(F126,"0")) *
            (ROW(INDIRECT("'" &amp; 'Hulp (overig)'!$C$16 &amp; "'!B1:B1000")) &gt;= MATCH(
                F124,
                INDIRECT("'" &amp; 'Hulp (overig)'!$C$16 &amp; "'!A1:A1000"),
                0
            )) *
            IF(
                G124="",
                1,
                (ROW(INDIRECT("'" &amp; 'Hulp (overig)'!$C$16 &amp; "'!B1:B1000")) &lt; MATCH(
                    G124,
                    INDIRECT("'" &amp; 'Hulp (overig)'!$C$16 &amp; "'!A1:A1000"),
                    0
                ))
            ),
            ROW(INDIRECT("'" &amp; 'Hulp (overig)'!$C$16 &amp; "'!B1:B1000"))
        )
    ),0) &lt; 1,
    "",
    IF(INDEX(
        INDIRECT("'" &amp; 'Hulp (overig)'!$C$16 &amp; "'!" &amp;
        'Hulp (overig)'!$C$17 &amp; "1:" &amp; 'Hulp (overig)'!$C$17 &amp; 1000
        ),
        IFERROR(MIN(
            IF(
                (TRIM(INDIRECT("'" &amp; 'Hulp (overig)'!$C$16 &amp; "'!B1:B1000")) = TEXT(F126,"0")) *
                (ROW(INDIRECT("'" &amp; 'Hulp (overig)'!$C$16 &amp; "'!B1:B1000")) &gt;= MATCH(
                    F124,
                    INDIRECT("'" &amp; 'Hulp (overig)'!$C$16 &amp; "'!A1:A1000"),
                    0
                )) *
                IF(
                    G124="",
                    1,
                    (ROW(INDIRECT("'" &amp; 'Hulp (overig)'!$C$16 &amp; "'!B1:B1000")) &lt; MATCH(
                        G124,
                        INDIRECT("'" &amp; 'Hulp (overig)'!$C$16 &amp; "'!A1:A1000"),
                        0
                    ))
                ),
                ROW(INDIRECT("'" &amp; 'Hulp (overig)'!$C$16 &amp; "'!B1:B1000"))
            )
        ),0)
    )=0,"",
INDEX(
        INDIRECT("'" &amp; 'Hulp (overig)'!$C$16 &amp; "'!" &amp;
        'Hulp (overig)'!$C$17 &amp; "1:" &amp; 'Hulp (overig)'!$C$17 &amp; 1000
        ),
        IFERROR(MIN(
            IF(
                (TRIM(INDIRECT("'" &amp; 'Hulp (overig)'!$C$16 &amp; "'!B1:B1000")) = TEXT(F126,"0")) *
                (ROW(INDIRECT("'" &amp; 'Hulp (overig)'!$C$16 &amp; "'!B1:B1000")) &gt;= MATCH(
                    F124,
                    INDIRECT("'" &amp; 'Hulp (overig)'!$C$16 &amp; "'!A1:A1000"),
                    0
                )) *
                IF(
                    G124="",
                    1,
                    (ROW(INDIRECT("'" &amp; 'Hulp (overig)'!$C$16 &amp; "'!B1:B1000")) &lt; MATCH(
                        G124,
                        INDIRECT("'" &amp; 'Hulp (overig)'!$C$16 &amp; "'!A1:A1000"),
                        0
                    ))
                ),
                ROW(INDIRECT("'" &amp; 'Hulp (overig)'!$C$16 &amp; "'!B1:B1000"))
            )
        ),0)
    ))
))))</f>
        <v>#VALUE!</v>
      </c>
      <c r="G127" s="425" t="e" cm="1">
        <f t="array" aca="1" ref="G127" ca="1">IF($BF127, IF(G124="","",
   INDEX(
      INDIRECT("'" &amp; 'Hulp (CAO''s)'!$AE$8 &amp; "'!" &amp;
               'Hulp (overig)'!$C$17 &amp; "1:" &amp;
               'Hulp (overig)'!$C$17 &amp; "1000"),
      MATCH(
         G124,
         INDIRECT("'" &amp; 'Hulp (CAO''s)'!$AE$8 &amp; "'!A1:A1000"),
         0
      )
   )
), IF($D125="Gebruik % van maximum salaris",
IF(
    OR(G124="",G125=""),
    "",
    MAX(
        INDIRECT(
            "'" &amp; 'Hulp (overig)'!$C$16 &amp; "'!" &amp;
            'Hulp (overig)'!$C$17 &amp;
            MATCH(G124, INDIRECT("'" &amp; 'Hulp (overig)'!$C$16 &amp; "'!A1:A1000"), 0) &amp;
            ":" &amp;
            'Hulp (overig)'!$C$17 &amp;
LOOKUP(
    2,
    1 / (
        (ROW(INDIRECT("'" &amp; 'Hulp (overig)'!$C$16 &amp; "'!B1:B1000")) &lt;
            IF(H124&lt;&gt;"",
               MATCH(H124, INDIRECT("'" &amp; 'Hulp (overig)'!$C$16 &amp; "'!A1:A1000"),0),
               1000
            )
        ) *
        (LEFT(TRIM(INDIRECT("'" &amp; 'Hulp (overig)'!$C$16 &amp; "'!B1:B1000")),1) &lt;&gt; "u")
    ),
    ROW(INDIRECT("'" &amp; 'Hulp (overig)'!$C$16 &amp; "'!B1:B1000"))
)
        )
    ) * G125
),
IF(G126="","",
IF(
    IFERROR(MIN(
        IF(
            (TRIM(INDIRECT("'" &amp; 'Hulp (overig)'!$C$16 &amp; "'!B1:B1000")) = TEXT(G126,"0")) *
            (ROW(INDIRECT("'" &amp; 'Hulp (overig)'!$C$16 &amp; "'!B1:B1000")) &gt;= MATCH(
                G124,
                INDIRECT("'" &amp; 'Hulp (overig)'!$C$16 &amp; "'!A1:A1000"),
                0
            )) *
            IF(
                H124="",
                1,
                (ROW(INDIRECT("'" &amp; 'Hulp (overig)'!$C$16 &amp; "'!B1:B1000")) &lt; MATCH(
                    H124,
                    INDIRECT("'" &amp; 'Hulp (overig)'!$C$16 &amp; "'!A1:A1000"),
                    0
                ))
            ),
            ROW(INDIRECT("'" &amp; 'Hulp (overig)'!$C$16 &amp; "'!B1:B1000"))
        )
    ),0) &lt; 1,
    "",
    IF(INDEX(
        INDIRECT("'" &amp; 'Hulp (overig)'!$C$16 &amp; "'!" &amp;
        'Hulp (overig)'!$C$17 &amp; "1:" &amp; 'Hulp (overig)'!$C$17 &amp; 1000
        ),
        IFERROR(MIN(
            IF(
                (TRIM(INDIRECT("'" &amp; 'Hulp (overig)'!$C$16 &amp; "'!B1:B1000")) = TEXT(G126,"0")) *
                (ROW(INDIRECT("'" &amp; 'Hulp (overig)'!$C$16 &amp; "'!B1:B1000")) &gt;= MATCH(
                    G124,
                    INDIRECT("'" &amp; 'Hulp (overig)'!$C$16 &amp; "'!A1:A1000"),
                    0
                )) *
                IF(
                    H124="",
                    1,
                    (ROW(INDIRECT("'" &amp; 'Hulp (overig)'!$C$16 &amp; "'!B1:B1000")) &lt; MATCH(
                        H124,
                        INDIRECT("'" &amp; 'Hulp (overig)'!$C$16 &amp; "'!A1:A1000"),
                        0
                    ))
                ),
                ROW(INDIRECT("'" &amp; 'Hulp (overig)'!$C$16 &amp; "'!B1:B1000"))
            )
        ),0)
    )=0,"",
INDEX(
        INDIRECT("'" &amp; 'Hulp (overig)'!$C$16 &amp; "'!" &amp;
        'Hulp (overig)'!$C$17 &amp; "1:" &amp; 'Hulp (overig)'!$C$17 &amp; 1000
        ),
        IFERROR(MIN(
            IF(
                (TRIM(INDIRECT("'" &amp; 'Hulp (overig)'!$C$16 &amp; "'!B1:B1000")) = TEXT(G126,"0")) *
                (ROW(INDIRECT("'" &amp; 'Hulp (overig)'!$C$16 &amp; "'!B1:B1000")) &gt;= MATCH(
                    G124,
                    INDIRECT("'" &amp; 'Hulp (overig)'!$C$16 &amp; "'!A1:A1000"),
                    0
                )) *
                IF(
                    H124="",
                    1,
                    (ROW(INDIRECT("'" &amp; 'Hulp (overig)'!$C$16 &amp; "'!B1:B1000")) &lt; MATCH(
                        H124,
                        INDIRECT("'" &amp; 'Hulp (overig)'!$C$16 &amp; "'!A1:A1000"),
                        0
                    ))
                ),
                ROW(INDIRECT("'" &amp; 'Hulp (overig)'!$C$16 &amp; "'!B1:B1000"))
            )
        ),0)
    ))
))))</f>
        <v>#VALUE!</v>
      </c>
      <c r="H127" s="425" t="e" cm="1">
        <f t="array" aca="1" ref="H127" ca="1">IF($BF127, IF(H124="","",
   INDEX(
      INDIRECT("'" &amp; 'Hulp (CAO''s)'!$AE$8 &amp; "'!" &amp;
               'Hulp (overig)'!$C$17 &amp; "1:" &amp;
               'Hulp (overig)'!$C$17 &amp; "1000"),
      MATCH(
         H124,
         INDIRECT("'" &amp; 'Hulp (CAO''s)'!$AE$8 &amp; "'!A1:A1000"),
         0
      )
   )
), IF($D125="Gebruik % van maximum salaris",
IF(
    OR(H124="",H125=""),
    "",
    MAX(
        INDIRECT(
            "'" &amp; 'Hulp (overig)'!$C$16 &amp; "'!" &amp;
            'Hulp (overig)'!$C$17 &amp;
            MATCH(H124, INDIRECT("'" &amp; 'Hulp (overig)'!$C$16 &amp; "'!A1:A1000"), 0) &amp;
            ":" &amp;
            'Hulp (overig)'!$C$17 &amp;
LOOKUP(
    2,
    1 / (
        (ROW(INDIRECT("'" &amp; 'Hulp (overig)'!$C$16 &amp; "'!B1:B1000")) &lt;
            IF(I124&lt;&gt;"",
               MATCH(I124, INDIRECT("'" &amp; 'Hulp (overig)'!$C$16 &amp; "'!A1:A1000"),0),
               1000
            )
        ) *
        (LEFT(TRIM(INDIRECT("'" &amp; 'Hulp (overig)'!$C$16 &amp; "'!B1:B1000")),1) &lt;&gt; "u")
    ),
    ROW(INDIRECT("'" &amp; 'Hulp (overig)'!$C$16 &amp; "'!B1:B1000"))
)
        )
    ) * H125
),
IF(H126="","",
IF(
    IFERROR(MIN(
        IF(
            (TRIM(INDIRECT("'" &amp; 'Hulp (overig)'!$C$16 &amp; "'!B1:B1000")) = TEXT(H126,"0")) *
            (ROW(INDIRECT("'" &amp; 'Hulp (overig)'!$C$16 &amp; "'!B1:B1000")) &gt;= MATCH(
                H124,
                INDIRECT("'" &amp; 'Hulp (overig)'!$C$16 &amp; "'!A1:A1000"),
                0
            )) *
            IF(
                I124="",
                1,
                (ROW(INDIRECT("'" &amp; 'Hulp (overig)'!$C$16 &amp; "'!B1:B1000")) &lt; MATCH(
                    I124,
                    INDIRECT("'" &amp; 'Hulp (overig)'!$C$16 &amp; "'!A1:A1000"),
                    0
                ))
            ),
            ROW(INDIRECT("'" &amp; 'Hulp (overig)'!$C$16 &amp; "'!B1:B1000"))
        )
    ),0) &lt; 1,
    "",
    IF(INDEX(
        INDIRECT("'" &amp; 'Hulp (overig)'!$C$16 &amp; "'!" &amp;
        'Hulp (overig)'!$C$17 &amp; "1:" &amp; 'Hulp (overig)'!$C$17 &amp; 1000
        ),
        IFERROR(MIN(
            IF(
                (TRIM(INDIRECT("'" &amp; 'Hulp (overig)'!$C$16 &amp; "'!B1:B1000")) = TEXT(H126,"0")) *
                (ROW(INDIRECT("'" &amp; 'Hulp (overig)'!$C$16 &amp; "'!B1:B1000")) &gt;= MATCH(
                    H124,
                    INDIRECT("'" &amp; 'Hulp (overig)'!$C$16 &amp; "'!A1:A1000"),
                    0
                )) *
                IF(
                    I124="",
                    1,
                    (ROW(INDIRECT("'" &amp; 'Hulp (overig)'!$C$16 &amp; "'!B1:B1000")) &lt; MATCH(
                        I124,
                        INDIRECT("'" &amp; 'Hulp (overig)'!$C$16 &amp; "'!A1:A1000"),
                        0
                    ))
                ),
                ROW(INDIRECT("'" &amp; 'Hulp (overig)'!$C$16 &amp; "'!B1:B1000"))
            )
        ),0)
    )=0,"",
INDEX(
        INDIRECT("'" &amp; 'Hulp (overig)'!$C$16 &amp; "'!" &amp;
        'Hulp (overig)'!$C$17 &amp; "1:" &amp; 'Hulp (overig)'!$C$17 &amp; 1000
        ),
        IFERROR(MIN(
            IF(
                (TRIM(INDIRECT("'" &amp; 'Hulp (overig)'!$C$16 &amp; "'!B1:B1000")) = TEXT(H126,"0")) *
                (ROW(INDIRECT("'" &amp; 'Hulp (overig)'!$C$16 &amp; "'!B1:B1000")) &gt;= MATCH(
                    H124,
                    INDIRECT("'" &amp; 'Hulp (overig)'!$C$16 &amp; "'!A1:A1000"),
                    0
                )) *
                IF(
                    I124="",
                    1,
                    (ROW(INDIRECT("'" &amp; 'Hulp (overig)'!$C$16 &amp; "'!B1:B1000")) &lt; MATCH(
                        I124,
                        INDIRECT("'" &amp; 'Hulp (overig)'!$C$16 &amp; "'!A1:A1000"),
                        0
                    ))
                ),
                ROW(INDIRECT("'" &amp; 'Hulp (overig)'!$C$16 &amp; "'!B1:B1000"))
            )
        ),0)
    ))
))))</f>
        <v>#VALUE!</v>
      </c>
      <c r="I127" s="425" t="e" cm="1">
        <f t="array" aca="1" ref="I127" ca="1">IF($BF127, IF(I124="","",
   INDEX(
      INDIRECT("'" &amp; 'Hulp (CAO''s)'!$AE$8 &amp; "'!" &amp;
               'Hulp (overig)'!$C$17 &amp; "1:" &amp;
               'Hulp (overig)'!$C$17 &amp; "1000"),
      MATCH(
         I124,
         INDIRECT("'" &amp; 'Hulp (CAO''s)'!$AE$8 &amp; "'!A1:A1000"),
         0
      )
   )
), IF($D125="Gebruik % van maximum salaris",
IF(
    OR(I124="",I125=""),
    "",
    MAX(
        INDIRECT(
            "'" &amp; 'Hulp (overig)'!$C$16 &amp; "'!" &amp;
            'Hulp (overig)'!$C$17 &amp;
            MATCH(I124, INDIRECT("'" &amp; 'Hulp (overig)'!$C$16 &amp; "'!A1:A1000"), 0) &amp;
            ":" &amp;
            'Hulp (overig)'!$C$17 &amp;
LOOKUP(
    2,
    1 / (
        (ROW(INDIRECT("'" &amp; 'Hulp (overig)'!$C$16 &amp; "'!B1:B1000")) &lt;
            IF(J124&lt;&gt;"",
               MATCH(J124, INDIRECT("'" &amp; 'Hulp (overig)'!$C$16 &amp; "'!A1:A1000"),0),
               1000
            )
        ) *
        (LEFT(TRIM(INDIRECT("'" &amp; 'Hulp (overig)'!$C$16 &amp; "'!B1:B1000")),1) &lt;&gt; "u")
    ),
    ROW(INDIRECT("'" &amp; 'Hulp (overig)'!$C$16 &amp; "'!B1:B1000"))
)
        )
    ) * I125
),
IF(I126="","",
IF(
    IFERROR(MIN(
        IF(
            (TRIM(INDIRECT("'" &amp; 'Hulp (overig)'!$C$16 &amp; "'!B1:B1000")) = TEXT(I126,"0")) *
            (ROW(INDIRECT("'" &amp; 'Hulp (overig)'!$C$16 &amp; "'!B1:B1000")) &gt;= MATCH(
                I124,
                INDIRECT("'" &amp; 'Hulp (overig)'!$C$16 &amp; "'!A1:A1000"),
                0
            )) *
            IF(
                J124="",
                1,
                (ROW(INDIRECT("'" &amp; 'Hulp (overig)'!$C$16 &amp; "'!B1:B1000")) &lt; MATCH(
                    J124,
                    INDIRECT("'" &amp; 'Hulp (overig)'!$C$16 &amp; "'!A1:A1000"),
                    0
                ))
            ),
            ROW(INDIRECT("'" &amp; 'Hulp (overig)'!$C$16 &amp; "'!B1:B1000"))
        )
    ),0) &lt; 1,
    "",
    IF(INDEX(
        INDIRECT("'" &amp; 'Hulp (overig)'!$C$16 &amp; "'!" &amp;
        'Hulp (overig)'!$C$17 &amp; "1:" &amp; 'Hulp (overig)'!$C$17 &amp; 1000
        ),
        IFERROR(MIN(
            IF(
                (TRIM(INDIRECT("'" &amp; 'Hulp (overig)'!$C$16 &amp; "'!B1:B1000")) = TEXT(I126,"0")) *
                (ROW(INDIRECT("'" &amp; 'Hulp (overig)'!$C$16 &amp; "'!B1:B1000")) &gt;= MATCH(
                    I124,
                    INDIRECT("'" &amp; 'Hulp (overig)'!$C$16 &amp; "'!A1:A1000"),
                    0
                )) *
                IF(
                    J124="",
                    1,
                    (ROW(INDIRECT("'" &amp; 'Hulp (overig)'!$C$16 &amp; "'!B1:B1000")) &lt; MATCH(
                        J124,
                        INDIRECT("'" &amp; 'Hulp (overig)'!$C$16 &amp; "'!A1:A1000"),
                        0
                    ))
                ),
                ROW(INDIRECT("'" &amp; 'Hulp (overig)'!$C$16 &amp; "'!B1:B1000"))
            )
        ),0)
    )=0,"",
INDEX(
        INDIRECT("'" &amp; 'Hulp (overig)'!$C$16 &amp; "'!" &amp;
        'Hulp (overig)'!$C$17 &amp; "1:" &amp; 'Hulp (overig)'!$C$17 &amp; 1000
        ),
        IFERROR(MIN(
            IF(
                (TRIM(INDIRECT("'" &amp; 'Hulp (overig)'!$C$16 &amp; "'!B1:B1000")) = TEXT(I126,"0")) *
                (ROW(INDIRECT("'" &amp; 'Hulp (overig)'!$C$16 &amp; "'!B1:B1000")) &gt;= MATCH(
                    I124,
                    INDIRECT("'" &amp; 'Hulp (overig)'!$C$16 &amp; "'!A1:A1000"),
                    0
                )) *
                IF(
                    J124="",
                    1,
                    (ROW(INDIRECT("'" &amp; 'Hulp (overig)'!$C$16 &amp; "'!B1:B1000")) &lt; MATCH(
                        J124,
                        INDIRECT("'" &amp; 'Hulp (overig)'!$C$16 &amp; "'!A1:A1000"),
                        0
                    ))
                ),
                ROW(INDIRECT("'" &amp; 'Hulp (overig)'!$C$16 &amp; "'!B1:B1000"))
            )
        ),0)
    ))
))))</f>
        <v>#VALUE!</v>
      </c>
      <c r="J127" s="425" t="e" cm="1">
        <f t="array" aca="1" ref="J127" ca="1">IF($BF127, IF(J124="","",
   INDEX(
      INDIRECT("'" &amp; 'Hulp (CAO''s)'!$AE$8 &amp; "'!" &amp;
               'Hulp (overig)'!$C$17 &amp; "1:" &amp;
               'Hulp (overig)'!$C$17 &amp; "1000"),
      MATCH(
         J124,
         INDIRECT("'" &amp; 'Hulp (CAO''s)'!$AE$8 &amp; "'!A1:A1000"),
         0
      )
   )
), IF($D125="Gebruik % van maximum salaris",
IF(
    OR(J124="",J125=""),
    "",
    MAX(
        INDIRECT(
            "'" &amp; 'Hulp (overig)'!$C$16 &amp; "'!" &amp;
            'Hulp (overig)'!$C$17 &amp;
            MATCH(J124, INDIRECT("'" &amp; 'Hulp (overig)'!$C$16 &amp; "'!A1:A1000"), 0) &amp;
            ":" &amp;
            'Hulp (overig)'!$C$17 &amp;
LOOKUP(
    2,
    1 / (
        (ROW(INDIRECT("'" &amp; 'Hulp (overig)'!$C$16 &amp; "'!B1:B1000")) &lt;
            IF(K124&lt;&gt;"",
               MATCH(K124, INDIRECT("'" &amp; 'Hulp (overig)'!$C$16 &amp; "'!A1:A1000"),0),
               1000
            )
        ) *
        (LEFT(TRIM(INDIRECT("'" &amp; 'Hulp (overig)'!$C$16 &amp; "'!B1:B1000")),1) &lt;&gt; "u")
    ),
    ROW(INDIRECT("'" &amp; 'Hulp (overig)'!$C$16 &amp; "'!B1:B1000"))
)
        )
    ) * J125
),
IF(J126="","",
IF(
    IFERROR(MIN(
        IF(
            (TRIM(INDIRECT("'" &amp; 'Hulp (overig)'!$C$16 &amp; "'!B1:B1000")) = TEXT(J126,"0")) *
            (ROW(INDIRECT("'" &amp; 'Hulp (overig)'!$C$16 &amp; "'!B1:B1000")) &gt;= MATCH(
                J124,
                INDIRECT("'" &amp; 'Hulp (overig)'!$C$16 &amp; "'!A1:A1000"),
                0
            )) *
            IF(
                K124="",
                1,
                (ROW(INDIRECT("'" &amp; 'Hulp (overig)'!$C$16 &amp; "'!B1:B1000")) &lt; MATCH(
                    K124,
                    INDIRECT("'" &amp; 'Hulp (overig)'!$C$16 &amp; "'!A1:A1000"),
                    0
                ))
            ),
            ROW(INDIRECT("'" &amp; 'Hulp (overig)'!$C$16 &amp; "'!B1:B1000"))
        )
    ),0) &lt; 1,
    "",
    IF(INDEX(
        INDIRECT("'" &amp; 'Hulp (overig)'!$C$16 &amp; "'!" &amp;
        'Hulp (overig)'!$C$17 &amp; "1:" &amp; 'Hulp (overig)'!$C$17 &amp; 1000
        ),
        IFERROR(MIN(
            IF(
                (TRIM(INDIRECT("'" &amp; 'Hulp (overig)'!$C$16 &amp; "'!B1:B1000")) = TEXT(J126,"0")) *
                (ROW(INDIRECT("'" &amp; 'Hulp (overig)'!$C$16 &amp; "'!B1:B1000")) &gt;= MATCH(
                    J124,
                    INDIRECT("'" &amp; 'Hulp (overig)'!$C$16 &amp; "'!A1:A1000"),
                    0
                )) *
                IF(
                    K124="",
                    1,
                    (ROW(INDIRECT("'" &amp; 'Hulp (overig)'!$C$16 &amp; "'!B1:B1000")) &lt; MATCH(
                        K124,
                        INDIRECT("'" &amp; 'Hulp (overig)'!$C$16 &amp; "'!A1:A1000"),
                        0
                    ))
                ),
                ROW(INDIRECT("'" &amp; 'Hulp (overig)'!$C$16 &amp; "'!B1:B1000"))
            )
        ),0)
    )=0,"",
INDEX(
        INDIRECT("'" &amp; 'Hulp (overig)'!$C$16 &amp; "'!" &amp;
        'Hulp (overig)'!$C$17 &amp; "1:" &amp; 'Hulp (overig)'!$C$17 &amp; 1000
        ),
        IFERROR(MIN(
            IF(
                (TRIM(INDIRECT("'" &amp; 'Hulp (overig)'!$C$16 &amp; "'!B1:B1000")) = TEXT(J126,"0")) *
                (ROW(INDIRECT("'" &amp; 'Hulp (overig)'!$C$16 &amp; "'!B1:B1000")) &gt;= MATCH(
                    J124,
                    INDIRECT("'" &amp; 'Hulp (overig)'!$C$16 &amp; "'!A1:A1000"),
                    0
                )) *
                IF(
                    K124="",
                    1,
                    (ROW(INDIRECT("'" &amp; 'Hulp (overig)'!$C$16 &amp; "'!B1:B1000")) &lt; MATCH(
                        K124,
                        INDIRECT("'" &amp; 'Hulp (overig)'!$C$16 &amp; "'!A1:A1000"),
                        0
                    ))
                ),
                ROW(INDIRECT("'" &amp; 'Hulp (overig)'!$C$16 &amp; "'!B1:B1000"))
            )
        ),0)
    ))
))))</f>
        <v>#VALUE!</v>
      </c>
      <c r="K127" s="425" t="e" cm="1">
        <f t="array" aca="1" ref="K127" ca="1">IF($BF127, IF(K124="","",
   INDEX(
      INDIRECT("'" &amp; 'Hulp (CAO''s)'!$AE$8 &amp; "'!" &amp;
               'Hulp (overig)'!$C$17 &amp; "1:" &amp;
               'Hulp (overig)'!$C$17 &amp; "1000"),
      MATCH(
         K124,
         INDIRECT("'" &amp; 'Hulp (CAO''s)'!$AE$8 &amp; "'!A1:A1000"),
         0
      )
   )
), IF($D125="Gebruik % van maximum salaris",
IF(
    OR(K124="",K125=""),
    "",
    MAX(
        INDIRECT(
            "'" &amp; 'Hulp (overig)'!$C$16 &amp; "'!" &amp;
            'Hulp (overig)'!$C$17 &amp;
            MATCH(K124, INDIRECT("'" &amp; 'Hulp (overig)'!$C$16 &amp; "'!A1:A1000"), 0) &amp;
            ":" &amp;
            'Hulp (overig)'!$C$17 &amp;
LOOKUP(
    2,
    1 / (
        (ROW(INDIRECT("'" &amp; 'Hulp (overig)'!$C$16 &amp; "'!B1:B1000")) &lt;
            IF(L124&lt;&gt;"",
               MATCH(L124, INDIRECT("'" &amp; 'Hulp (overig)'!$C$16 &amp; "'!A1:A1000"),0),
               1000
            )
        ) *
        (LEFT(TRIM(INDIRECT("'" &amp; 'Hulp (overig)'!$C$16 &amp; "'!B1:B1000")),1) &lt;&gt; "u")
    ),
    ROW(INDIRECT("'" &amp; 'Hulp (overig)'!$C$16 &amp; "'!B1:B1000"))
)
        )
    ) * K125
),
IF(K126="","",
IF(
    IFERROR(MIN(
        IF(
            (TRIM(INDIRECT("'" &amp; 'Hulp (overig)'!$C$16 &amp; "'!B1:B1000")) = TEXT(K126,"0")) *
            (ROW(INDIRECT("'" &amp; 'Hulp (overig)'!$C$16 &amp; "'!B1:B1000")) &gt;= MATCH(
                K124,
                INDIRECT("'" &amp; 'Hulp (overig)'!$C$16 &amp; "'!A1:A1000"),
                0
            )) *
            IF(
                L124="",
                1,
                (ROW(INDIRECT("'" &amp; 'Hulp (overig)'!$C$16 &amp; "'!B1:B1000")) &lt; MATCH(
                    L124,
                    INDIRECT("'" &amp; 'Hulp (overig)'!$C$16 &amp; "'!A1:A1000"),
                    0
                ))
            ),
            ROW(INDIRECT("'" &amp; 'Hulp (overig)'!$C$16 &amp; "'!B1:B1000"))
        )
    ),0) &lt; 1,
    "",
    IF(INDEX(
        INDIRECT("'" &amp; 'Hulp (overig)'!$C$16 &amp; "'!" &amp;
        'Hulp (overig)'!$C$17 &amp; "1:" &amp; 'Hulp (overig)'!$C$17 &amp; 1000
        ),
        IFERROR(MIN(
            IF(
                (TRIM(INDIRECT("'" &amp; 'Hulp (overig)'!$C$16 &amp; "'!B1:B1000")) = TEXT(K126,"0")) *
                (ROW(INDIRECT("'" &amp; 'Hulp (overig)'!$C$16 &amp; "'!B1:B1000")) &gt;= MATCH(
                    K124,
                    INDIRECT("'" &amp; 'Hulp (overig)'!$C$16 &amp; "'!A1:A1000"),
                    0
                )) *
                IF(
                    L124="",
                    1,
                    (ROW(INDIRECT("'" &amp; 'Hulp (overig)'!$C$16 &amp; "'!B1:B1000")) &lt; MATCH(
                        L124,
                        INDIRECT("'" &amp; 'Hulp (overig)'!$C$16 &amp; "'!A1:A1000"),
                        0
                    ))
                ),
                ROW(INDIRECT("'" &amp; 'Hulp (overig)'!$C$16 &amp; "'!B1:B1000"))
            )
        ),0)
    )=0,"",
INDEX(
        INDIRECT("'" &amp; 'Hulp (overig)'!$C$16 &amp; "'!" &amp;
        'Hulp (overig)'!$C$17 &amp; "1:" &amp; 'Hulp (overig)'!$C$17 &amp; 1000
        ),
        IFERROR(MIN(
            IF(
                (TRIM(INDIRECT("'" &amp; 'Hulp (overig)'!$C$16 &amp; "'!B1:B1000")) = TEXT(K126,"0")) *
                (ROW(INDIRECT("'" &amp; 'Hulp (overig)'!$C$16 &amp; "'!B1:B1000")) &gt;= MATCH(
                    K124,
                    INDIRECT("'" &amp; 'Hulp (overig)'!$C$16 &amp; "'!A1:A1000"),
                    0
                )) *
                IF(
                    L124="",
                    1,
                    (ROW(INDIRECT("'" &amp; 'Hulp (overig)'!$C$16 &amp; "'!B1:B1000")) &lt; MATCH(
                        L124,
                        INDIRECT("'" &amp; 'Hulp (overig)'!$C$16 &amp; "'!A1:A1000"),
                        0
                    ))
                ),
                ROW(INDIRECT("'" &amp; 'Hulp (overig)'!$C$16 &amp; "'!B1:B1000"))
            )
        ),0)
    ))
))))</f>
        <v>#VALUE!</v>
      </c>
      <c r="L127" s="425" t="e" cm="1">
        <f t="array" aca="1" ref="L127" ca="1">IF($BF127, IF(L124="","",
   INDEX(
      INDIRECT("'" &amp; 'Hulp (CAO''s)'!$AE$8 &amp; "'!" &amp;
               'Hulp (overig)'!$C$17 &amp; "1:" &amp;
               'Hulp (overig)'!$C$17 &amp; "1000"),
      MATCH(
         L124,
         INDIRECT("'" &amp; 'Hulp (CAO''s)'!$AE$8 &amp; "'!A1:A1000"),
         0
      )
   )
), IF($D125="Gebruik % van maximum salaris",
IF(
    OR(L124="",L125=""),
    "",
    MAX(
        INDIRECT(
            "'" &amp; 'Hulp (overig)'!$C$16 &amp; "'!" &amp;
            'Hulp (overig)'!$C$17 &amp;
            MATCH(L124, INDIRECT("'" &amp; 'Hulp (overig)'!$C$16 &amp; "'!A1:A1000"), 0) &amp;
            ":" &amp;
            'Hulp (overig)'!$C$17 &amp;
LOOKUP(
    2,
    1 / (
        (ROW(INDIRECT("'" &amp; 'Hulp (overig)'!$C$16 &amp; "'!B1:B1000")) &lt;
            IF(M124&lt;&gt;"",
               MATCH(M124, INDIRECT("'" &amp; 'Hulp (overig)'!$C$16 &amp; "'!A1:A1000"),0),
               1000
            )
        ) *
        (LEFT(TRIM(INDIRECT("'" &amp; 'Hulp (overig)'!$C$16 &amp; "'!B1:B1000")),1) &lt;&gt; "u")
    ),
    ROW(INDIRECT("'" &amp; 'Hulp (overig)'!$C$16 &amp; "'!B1:B1000"))
)
        )
    ) * L125
),
IF(L126="","",
IF(
    IFERROR(MIN(
        IF(
            (TRIM(INDIRECT("'" &amp; 'Hulp (overig)'!$C$16 &amp; "'!B1:B1000")) = TEXT(L126,"0")) *
            (ROW(INDIRECT("'" &amp; 'Hulp (overig)'!$C$16 &amp; "'!B1:B1000")) &gt;= MATCH(
                L124,
                INDIRECT("'" &amp; 'Hulp (overig)'!$C$16 &amp; "'!A1:A1000"),
                0
            )) *
            IF(
                M124="",
                1,
                (ROW(INDIRECT("'" &amp; 'Hulp (overig)'!$C$16 &amp; "'!B1:B1000")) &lt; MATCH(
                    M124,
                    INDIRECT("'" &amp; 'Hulp (overig)'!$C$16 &amp; "'!A1:A1000"),
                    0
                ))
            ),
            ROW(INDIRECT("'" &amp; 'Hulp (overig)'!$C$16 &amp; "'!B1:B1000"))
        )
    ),0) &lt; 1,
    "",
    IF(INDEX(
        INDIRECT("'" &amp; 'Hulp (overig)'!$C$16 &amp; "'!" &amp;
        'Hulp (overig)'!$C$17 &amp; "1:" &amp; 'Hulp (overig)'!$C$17 &amp; 1000
        ),
        IFERROR(MIN(
            IF(
                (TRIM(INDIRECT("'" &amp; 'Hulp (overig)'!$C$16 &amp; "'!B1:B1000")) = TEXT(L126,"0")) *
                (ROW(INDIRECT("'" &amp; 'Hulp (overig)'!$C$16 &amp; "'!B1:B1000")) &gt;= MATCH(
                    L124,
                    INDIRECT("'" &amp; 'Hulp (overig)'!$C$16 &amp; "'!A1:A1000"),
                    0
                )) *
                IF(
                    M124="",
                    1,
                    (ROW(INDIRECT("'" &amp; 'Hulp (overig)'!$C$16 &amp; "'!B1:B1000")) &lt; MATCH(
                        M124,
                        INDIRECT("'" &amp; 'Hulp (overig)'!$C$16 &amp; "'!A1:A1000"),
                        0
                    ))
                ),
                ROW(INDIRECT("'" &amp; 'Hulp (overig)'!$C$16 &amp; "'!B1:B1000"))
            )
        ),0)
    )=0,"",
INDEX(
        INDIRECT("'" &amp; 'Hulp (overig)'!$C$16 &amp; "'!" &amp;
        'Hulp (overig)'!$C$17 &amp; "1:" &amp; 'Hulp (overig)'!$C$17 &amp; 1000
        ),
        IFERROR(MIN(
            IF(
                (TRIM(INDIRECT("'" &amp; 'Hulp (overig)'!$C$16 &amp; "'!B1:B1000")) = TEXT(L126,"0")) *
                (ROW(INDIRECT("'" &amp; 'Hulp (overig)'!$C$16 &amp; "'!B1:B1000")) &gt;= MATCH(
                    L124,
                    INDIRECT("'" &amp; 'Hulp (overig)'!$C$16 &amp; "'!A1:A1000"),
                    0
                )) *
                IF(
                    M124="",
                    1,
                    (ROW(INDIRECT("'" &amp; 'Hulp (overig)'!$C$16 &amp; "'!B1:B1000")) &lt; MATCH(
                        M124,
                        INDIRECT("'" &amp; 'Hulp (overig)'!$C$16 &amp; "'!A1:A1000"),
                        0
                    ))
                ),
                ROW(INDIRECT("'" &amp; 'Hulp (overig)'!$C$16 &amp; "'!B1:B1000"))
            )
        ),0)
    ))
))))</f>
        <v>#VALUE!</v>
      </c>
      <c r="M127" s="425" t="e" cm="1">
        <f t="array" aca="1" ref="M127" ca="1">IF($BF127, IF(M124="","",
   INDEX(
      INDIRECT("'" &amp; 'Hulp (CAO''s)'!$AE$8 &amp; "'!" &amp;
               'Hulp (overig)'!$C$17 &amp; "1:" &amp;
               'Hulp (overig)'!$C$17 &amp; "1000"),
      MATCH(
         M124,
         INDIRECT("'" &amp; 'Hulp (CAO''s)'!$AE$8 &amp; "'!A1:A1000"),
         0
      )
   )
), IF($D125="Gebruik % van maximum salaris",
IF(
    OR(M124="",M125=""),
    "",
    MAX(
        INDIRECT(
            "'" &amp; 'Hulp (overig)'!$C$16 &amp; "'!" &amp;
            'Hulp (overig)'!$C$17 &amp;
            MATCH(M124, INDIRECT("'" &amp; 'Hulp (overig)'!$C$16 &amp; "'!A1:A1000"), 0) &amp;
            ":" &amp;
            'Hulp (overig)'!$C$17 &amp;
LOOKUP(
    2,
    1 / (
        (ROW(INDIRECT("'" &amp; 'Hulp (overig)'!$C$16 &amp; "'!B1:B1000")) &lt;
            IF(N124&lt;&gt;"",
               MATCH(N124, INDIRECT("'" &amp; 'Hulp (overig)'!$C$16 &amp; "'!A1:A1000"),0),
               1000
            )
        ) *
        (LEFT(TRIM(INDIRECT("'" &amp; 'Hulp (overig)'!$C$16 &amp; "'!B1:B1000")),1) &lt;&gt; "u")
    ),
    ROW(INDIRECT("'" &amp; 'Hulp (overig)'!$C$16 &amp; "'!B1:B1000"))
)
        )
    ) * M125
),
IF(M126="","",
IF(
    IFERROR(MIN(
        IF(
            (TRIM(INDIRECT("'" &amp; 'Hulp (overig)'!$C$16 &amp; "'!B1:B1000")) = TEXT(M126,"0")) *
            (ROW(INDIRECT("'" &amp; 'Hulp (overig)'!$C$16 &amp; "'!B1:B1000")) &gt;= MATCH(
                M124,
                INDIRECT("'" &amp; 'Hulp (overig)'!$C$16 &amp; "'!A1:A1000"),
                0
            )) *
            IF(
                N124="",
                1,
                (ROW(INDIRECT("'" &amp; 'Hulp (overig)'!$C$16 &amp; "'!B1:B1000")) &lt; MATCH(
                    N124,
                    INDIRECT("'" &amp; 'Hulp (overig)'!$C$16 &amp; "'!A1:A1000"),
                    0
                ))
            ),
            ROW(INDIRECT("'" &amp; 'Hulp (overig)'!$C$16 &amp; "'!B1:B1000"))
        )
    ),0) &lt; 1,
    "",
    IF(INDEX(
        INDIRECT("'" &amp; 'Hulp (overig)'!$C$16 &amp; "'!" &amp;
        'Hulp (overig)'!$C$17 &amp; "1:" &amp; 'Hulp (overig)'!$C$17 &amp; 1000
        ),
        IFERROR(MIN(
            IF(
                (TRIM(INDIRECT("'" &amp; 'Hulp (overig)'!$C$16 &amp; "'!B1:B1000")) = TEXT(M126,"0")) *
                (ROW(INDIRECT("'" &amp; 'Hulp (overig)'!$C$16 &amp; "'!B1:B1000")) &gt;= MATCH(
                    M124,
                    INDIRECT("'" &amp; 'Hulp (overig)'!$C$16 &amp; "'!A1:A1000"),
                    0
                )) *
                IF(
                    N124="",
                    1,
                    (ROW(INDIRECT("'" &amp; 'Hulp (overig)'!$C$16 &amp; "'!B1:B1000")) &lt; MATCH(
                        N124,
                        INDIRECT("'" &amp; 'Hulp (overig)'!$C$16 &amp; "'!A1:A1000"),
                        0
                    ))
                ),
                ROW(INDIRECT("'" &amp; 'Hulp (overig)'!$C$16 &amp; "'!B1:B1000"))
            )
        ),0)
    )=0,"",
INDEX(
        INDIRECT("'" &amp; 'Hulp (overig)'!$C$16 &amp; "'!" &amp;
        'Hulp (overig)'!$C$17 &amp; "1:" &amp; 'Hulp (overig)'!$C$17 &amp; 1000
        ),
        IFERROR(MIN(
            IF(
                (TRIM(INDIRECT("'" &amp; 'Hulp (overig)'!$C$16 &amp; "'!B1:B1000")) = TEXT(M126,"0")) *
                (ROW(INDIRECT("'" &amp; 'Hulp (overig)'!$C$16 &amp; "'!B1:B1000")) &gt;= MATCH(
                    M124,
                    INDIRECT("'" &amp; 'Hulp (overig)'!$C$16 &amp; "'!A1:A1000"),
                    0
                )) *
                IF(
                    N124="",
                    1,
                    (ROW(INDIRECT("'" &amp; 'Hulp (overig)'!$C$16 &amp; "'!B1:B1000")) &lt; MATCH(
                        N124,
                        INDIRECT("'" &amp; 'Hulp (overig)'!$C$16 &amp; "'!A1:A1000"),
                        0
                    ))
                ),
                ROW(INDIRECT("'" &amp; 'Hulp (overig)'!$C$16 &amp; "'!B1:B1000"))
            )
        ),0)
    ))
))))</f>
        <v>#VALUE!</v>
      </c>
      <c r="N127" s="425" t="e" cm="1">
        <f t="array" aca="1" ref="N127" ca="1">IF($BF127, IF(N124="","",
   INDEX(
      INDIRECT("'" &amp; 'Hulp (CAO''s)'!$AE$8 &amp; "'!" &amp;
               'Hulp (overig)'!$C$17 &amp; "1:" &amp;
               'Hulp (overig)'!$C$17 &amp; "1000"),
      MATCH(
         N124,
         INDIRECT("'" &amp; 'Hulp (CAO''s)'!$AE$8 &amp; "'!A1:A1000"),
         0
      )
   )
), IF($D125="Gebruik % van maximum salaris",
IF(
    OR(N124="",N125=""),
    "",
    MAX(
        INDIRECT(
            "'" &amp; 'Hulp (overig)'!$C$16 &amp; "'!" &amp;
            'Hulp (overig)'!$C$17 &amp;
            MATCH(N124, INDIRECT("'" &amp; 'Hulp (overig)'!$C$16 &amp; "'!A1:A1000"), 0) &amp;
            ":" &amp;
            'Hulp (overig)'!$C$17 &amp;
LOOKUP(
    2,
    1 / (
        (ROW(INDIRECT("'" &amp; 'Hulp (overig)'!$C$16 &amp; "'!B1:B1000")) &lt;
            IF(O124&lt;&gt;"",
               MATCH(O124, INDIRECT("'" &amp; 'Hulp (overig)'!$C$16 &amp; "'!A1:A1000"),0),
               1000
            )
        ) *
        (LEFT(TRIM(INDIRECT("'" &amp; 'Hulp (overig)'!$C$16 &amp; "'!B1:B1000")),1) &lt;&gt; "u")
    ),
    ROW(INDIRECT("'" &amp; 'Hulp (overig)'!$C$16 &amp; "'!B1:B1000"))
)
        )
    ) * N125
),
IF(N126="","",
IF(
    IFERROR(MIN(
        IF(
            (TRIM(INDIRECT("'" &amp; 'Hulp (overig)'!$C$16 &amp; "'!B1:B1000")) = TEXT(N126,"0")) *
            (ROW(INDIRECT("'" &amp; 'Hulp (overig)'!$C$16 &amp; "'!B1:B1000")) &gt;= MATCH(
                N124,
                INDIRECT("'" &amp; 'Hulp (overig)'!$C$16 &amp; "'!A1:A1000"),
                0
            )) *
            IF(
                O124="",
                1,
                (ROW(INDIRECT("'" &amp; 'Hulp (overig)'!$C$16 &amp; "'!B1:B1000")) &lt; MATCH(
                    O124,
                    INDIRECT("'" &amp; 'Hulp (overig)'!$C$16 &amp; "'!A1:A1000"),
                    0
                ))
            ),
            ROW(INDIRECT("'" &amp; 'Hulp (overig)'!$C$16 &amp; "'!B1:B1000"))
        )
    ),0) &lt; 1,
    "",
    IF(INDEX(
        INDIRECT("'" &amp; 'Hulp (overig)'!$C$16 &amp; "'!" &amp;
        'Hulp (overig)'!$C$17 &amp; "1:" &amp; 'Hulp (overig)'!$C$17 &amp; 1000
        ),
        IFERROR(MIN(
            IF(
                (TRIM(INDIRECT("'" &amp; 'Hulp (overig)'!$C$16 &amp; "'!B1:B1000")) = TEXT(N126,"0")) *
                (ROW(INDIRECT("'" &amp; 'Hulp (overig)'!$C$16 &amp; "'!B1:B1000")) &gt;= MATCH(
                    N124,
                    INDIRECT("'" &amp; 'Hulp (overig)'!$C$16 &amp; "'!A1:A1000"),
                    0
                )) *
                IF(
                    O124="",
                    1,
                    (ROW(INDIRECT("'" &amp; 'Hulp (overig)'!$C$16 &amp; "'!B1:B1000")) &lt; MATCH(
                        O124,
                        INDIRECT("'" &amp; 'Hulp (overig)'!$C$16 &amp; "'!A1:A1000"),
                        0
                    ))
                ),
                ROW(INDIRECT("'" &amp; 'Hulp (overig)'!$C$16 &amp; "'!B1:B1000"))
            )
        ),0)
    )=0,"",
INDEX(
        INDIRECT("'" &amp; 'Hulp (overig)'!$C$16 &amp; "'!" &amp;
        'Hulp (overig)'!$C$17 &amp; "1:" &amp; 'Hulp (overig)'!$C$17 &amp; 1000
        ),
        IFERROR(MIN(
            IF(
                (TRIM(INDIRECT("'" &amp; 'Hulp (overig)'!$C$16 &amp; "'!B1:B1000")) = TEXT(N126,"0")) *
                (ROW(INDIRECT("'" &amp; 'Hulp (overig)'!$C$16 &amp; "'!B1:B1000")) &gt;= MATCH(
                    N124,
                    INDIRECT("'" &amp; 'Hulp (overig)'!$C$16 &amp; "'!A1:A1000"),
                    0
                )) *
                IF(
                    O124="",
                    1,
                    (ROW(INDIRECT("'" &amp; 'Hulp (overig)'!$C$16 &amp; "'!B1:B1000")) &lt; MATCH(
                        O124,
                        INDIRECT("'" &amp; 'Hulp (overig)'!$C$16 &amp; "'!A1:A1000"),
                        0
                    ))
                ),
                ROW(INDIRECT("'" &amp; 'Hulp (overig)'!$C$16 &amp; "'!B1:B1000"))
            )
        ),0)
    ))
))))</f>
        <v>#VALUE!</v>
      </c>
      <c r="O127" s="425" t="e" cm="1">
        <f t="array" aca="1" ref="O127" ca="1">IF($BF127, IF(O124="","",
   INDEX(
      INDIRECT("'" &amp; 'Hulp (CAO''s)'!$AE$8 &amp; "'!" &amp;
               'Hulp (overig)'!$C$17 &amp; "1:" &amp;
               'Hulp (overig)'!$C$17 &amp; "1000"),
      MATCH(
         O124,
         INDIRECT("'" &amp; 'Hulp (CAO''s)'!$AE$8 &amp; "'!A1:A1000"),
         0
      )
   )
), IF($D125="Gebruik % van maximum salaris",
IF(
    OR(O124="",O125=""),
    "",
    MAX(
        INDIRECT(
            "'" &amp; 'Hulp (overig)'!$C$16 &amp; "'!" &amp;
            'Hulp (overig)'!$C$17 &amp;
            MATCH(O124, INDIRECT("'" &amp; 'Hulp (overig)'!$C$16 &amp; "'!A1:A1000"), 0) &amp;
            ":" &amp;
            'Hulp (overig)'!$C$17 &amp;
LOOKUP(
    2,
    1 / (
        (ROW(INDIRECT("'" &amp; 'Hulp (overig)'!$C$16 &amp; "'!B1:B1000")) &lt;
            IF(P124&lt;&gt;"",
               MATCH(P124, INDIRECT("'" &amp; 'Hulp (overig)'!$C$16 &amp; "'!A1:A1000"),0),
               1000
            )
        ) *
        (LEFT(TRIM(INDIRECT("'" &amp; 'Hulp (overig)'!$C$16 &amp; "'!B1:B1000")),1) &lt;&gt; "u")
    ),
    ROW(INDIRECT("'" &amp; 'Hulp (overig)'!$C$16 &amp; "'!B1:B1000"))
)
        )
    ) * O125
),
IF(O126="","",
IF(
    IFERROR(MIN(
        IF(
            (TRIM(INDIRECT("'" &amp; 'Hulp (overig)'!$C$16 &amp; "'!B1:B1000")) = TEXT(O126,"0")) *
            (ROW(INDIRECT("'" &amp; 'Hulp (overig)'!$C$16 &amp; "'!B1:B1000")) &gt;= MATCH(
                O124,
                INDIRECT("'" &amp; 'Hulp (overig)'!$C$16 &amp; "'!A1:A1000"),
                0
            )) *
            IF(
                P124="",
                1,
                (ROW(INDIRECT("'" &amp; 'Hulp (overig)'!$C$16 &amp; "'!B1:B1000")) &lt; MATCH(
                    P124,
                    INDIRECT("'" &amp; 'Hulp (overig)'!$C$16 &amp; "'!A1:A1000"),
                    0
                ))
            ),
            ROW(INDIRECT("'" &amp; 'Hulp (overig)'!$C$16 &amp; "'!B1:B1000"))
        )
    ),0) &lt; 1,
    "",
    IF(INDEX(
        INDIRECT("'" &amp; 'Hulp (overig)'!$C$16 &amp; "'!" &amp;
        'Hulp (overig)'!$C$17 &amp; "1:" &amp; 'Hulp (overig)'!$C$17 &amp; 1000
        ),
        IFERROR(MIN(
            IF(
                (TRIM(INDIRECT("'" &amp; 'Hulp (overig)'!$C$16 &amp; "'!B1:B1000")) = TEXT(O126,"0")) *
                (ROW(INDIRECT("'" &amp; 'Hulp (overig)'!$C$16 &amp; "'!B1:B1000")) &gt;= MATCH(
                    O124,
                    INDIRECT("'" &amp; 'Hulp (overig)'!$C$16 &amp; "'!A1:A1000"),
                    0
                )) *
                IF(
                    P124="",
                    1,
                    (ROW(INDIRECT("'" &amp; 'Hulp (overig)'!$C$16 &amp; "'!B1:B1000")) &lt; MATCH(
                        P124,
                        INDIRECT("'" &amp; 'Hulp (overig)'!$C$16 &amp; "'!A1:A1000"),
                        0
                    ))
                ),
                ROW(INDIRECT("'" &amp; 'Hulp (overig)'!$C$16 &amp; "'!B1:B1000"))
            )
        ),0)
    )=0,"",
INDEX(
        INDIRECT("'" &amp; 'Hulp (overig)'!$C$16 &amp; "'!" &amp;
        'Hulp (overig)'!$C$17 &amp; "1:" &amp; 'Hulp (overig)'!$C$17 &amp; 1000
        ),
        IFERROR(MIN(
            IF(
                (TRIM(INDIRECT("'" &amp; 'Hulp (overig)'!$C$16 &amp; "'!B1:B1000")) = TEXT(O126,"0")) *
                (ROW(INDIRECT("'" &amp; 'Hulp (overig)'!$C$16 &amp; "'!B1:B1000")) &gt;= MATCH(
                    O124,
                    INDIRECT("'" &amp; 'Hulp (overig)'!$C$16 &amp; "'!A1:A1000"),
                    0
                )) *
                IF(
                    P124="",
                    1,
                    (ROW(INDIRECT("'" &amp; 'Hulp (overig)'!$C$16 &amp; "'!B1:B1000")) &lt; MATCH(
                        P124,
                        INDIRECT("'" &amp; 'Hulp (overig)'!$C$16 &amp; "'!A1:A1000"),
                        0
                    ))
                ),
                ROW(INDIRECT("'" &amp; 'Hulp (overig)'!$C$16 &amp; "'!B1:B1000"))
            )
        ),0)
    ))
))))</f>
        <v>#VALUE!</v>
      </c>
      <c r="P127" s="425" t="e" cm="1">
        <f t="array" aca="1" ref="P127" ca="1">IF($BF127, IF(P124="","",
   INDEX(
      INDIRECT("'" &amp; 'Hulp (CAO''s)'!$AE$8 &amp; "'!" &amp;
               'Hulp (overig)'!$C$17 &amp; "1:" &amp;
               'Hulp (overig)'!$C$17 &amp; "1000"),
      MATCH(
         P124,
         INDIRECT("'" &amp; 'Hulp (CAO''s)'!$AE$8 &amp; "'!A1:A1000"),
         0
      )
   )
), IF($D125="Gebruik % van maximum salaris",
IF(
    OR(P124="",P125=""),
    "",
    MAX(
        INDIRECT(
            "'" &amp; 'Hulp (overig)'!$C$16 &amp; "'!" &amp;
            'Hulp (overig)'!$C$17 &amp;
            MATCH(P124, INDIRECT("'" &amp; 'Hulp (overig)'!$C$16 &amp; "'!A1:A1000"), 0) &amp;
            ":" &amp;
            'Hulp (overig)'!$C$17 &amp;
LOOKUP(
    2,
    1 / (
        (ROW(INDIRECT("'" &amp; 'Hulp (overig)'!$C$16 &amp; "'!B1:B1000")) &lt;
            IF(Q124&lt;&gt;"",
               MATCH(Q124, INDIRECT("'" &amp; 'Hulp (overig)'!$C$16 &amp; "'!A1:A1000"),0),
               1000
            )
        ) *
        (LEFT(TRIM(INDIRECT("'" &amp; 'Hulp (overig)'!$C$16 &amp; "'!B1:B1000")),1) &lt;&gt; "u")
    ),
    ROW(INDIRECT("'" &amp; 'Hulp (overig)'!$C$16 &amp; "'!B1:B1000"))
)
        )
    ) * P125
),
IF(P126="","",
IF(
    IFERROR(MIN(
        IF(
            (TRIM(INDIRECT("'" &amp; 'Hulp (overig)'!$C$16 &amp; "'!B1:B1000")) = TEXT(P126,"0")) *
            (ROW(INDIRECT("'" &amp; 'Hulp (overig)'!$C$16 &amp; "'!B1:B1000")) &gt;= MATCH(
                P124,
                INDIRECT("'" &amp; 'Hulp (overig)'!$C$16 &amp; "'!A1:A1000"),
                0
            )) *
            IF(
                Q124="",
                1,
                (ROW(INDIRECT("'" &amp; 'Hulp (overig)'!$C$16 &amp; "'!B1:B1000")) &lt; MATCH(
                    Q124,
                    INDIRECT("'" &amp; 'Hulp (overig)'!$C$16 &amp; "'!A1:A1000"),
                    0
                ))
            ),
            ROW(INDIRECT("'" &amp; 'Hulp (overig)'!$C$16 &amp; "'!B1:B1000"))
        )
    ),0) &lt; 1,
    "",
    IF(INDEX(
        INDIRECT("'" &amp; 'Hulp (overig)'!$C$16 &amp; "'!" &amp;
        'Hulp (overig)'!$C$17 &amp; "1:" &amp; 'Hulp (overig)'!$C$17 &amp; 1000
        ),
        IFERROR(MIN(
            IF(
                (TRIM(INDIRECT("'" &amp; 'Hulp (overig)'!$C$16 &amp; "'!B1:B1000")) = TEXT(P126,"0")) *
                (ROW(INDIRECT("'" &amp; 'Hulp (overig)'!$C$16 &amp; "'!B1:B1000")) &gt;= MATCH(
                    P124,
                    INDIRECT("'" &amp; 'Hulp (overig)'!$C$16 &amp; "'!A1:A1000"),
                    0
                )) *
                IF(
                    Q124="",
                    1,
                    (ROW(INDIRECT("'" &amp; 'Hulp (overig)'!$C$16 &amp; "'!B1:B1000")) &lt; MATCH(
                        Q124,
                        INDIRECT("'" &amp; 'Hulp (overig)'!$C$16 &amp; "'!A1:A1000"),
                        0
                    ))
                ),
                ROW(INDIRECT("'" &amp; 'Hulp (overig)'!$C$16 &amp; "'!B1:B1000"))
            )
        ),0)
    )=0,"",
INDEX(
        INDIRECT("'" &amp; 'Hulp (overig)'!$C$16 &amp; "'!" &amp;
        'Hulp (overig)'!$C$17 &amp; "1:" &amp; 'Hulp (overig)'!$C$17 &amp; 1000
        ),
        IFERROR(MIN(
            IF(
                (TRIM(INDIRECT("'" &amp; 'Hulp (overig)'!$C$16 &amp; "'!B1:B1000")) = TEXT(P126,"0")) *
                (ROW(INDIRECT("'" &amp; 'Hulp (overig)'!$C$16 &amp; "'!B1:B1000")) &gt;= MATCH(
                    P124,
                    INDIRECT("'" &amp; 'Hulp (overig)'!$C$16 &amp; "'!A1:A1000"),
                    0
                )) *
                IF(
                    Q124="",
                    1,
                    (ROW(INDIRECT("'" &amp; 'Hulp (overig)'!$C$16 &amp; "'!B1:B1000")) &lt; MATCH(
                        Q124,
                        INDIRECT("'" &amp; 'Hulp (overig)'!$C$16 &amp; "'!A1:A1000"),
                        0
                    ))
                ),
                ROW(INDIRECT("'" &amp; 'Hulp (overig)'!$C$16 &amp; "'!B1:B1000"))
            )
        ),0)
    ))
))))</f>
        <v>#VALUE!</v>
      </c>
      <c r="Q127" s="425" t="e" cm="1">
        <f t="array" aca="1" ref="Q127" ca="1">IF($BF127, IF(Q124="","",
   INDEX(
      INDIRECT("'" &amp; 'Hulp (CAO''s)'!$AE$8 &amp; "'!" &amp;
               'Hulp (overig)'!$C$17 &amp; "1:" &amp;
               'Hulp (overig)'!$C$17 &amp; "1000"),
      MATCH(
         Q124,
         INDIRECT("'" &amp; 'Hulp (CAO''s)'!$AE$8 &amp; "'!A1:A1000"),
         0
      )
   )
), IF($D125="Gebruik % van maximum salaris",
IF(
    OR(Q124="",Q125=""),
    "",
    MAX(
        INDIRECT(
            "'" &amp; 'Hulp (overig)'!$C$16 &amp; "'!" &amp;
            'Hulp (overig)'!$C$17 &amp;
            MATCH(Q124, INDIRECT("'" &amp; 'Hulp (overig)'!$C$16 &amp; "'!A1:A1000"), 0) &amp;
            ":" &amp;
            'Hulp (overig)'!$C$17 &amp;
LOOKUP(
    2,
    1 / (
        (ROW(INDIRECT("'" &amp; 'Hulp (overig)'!$C$16 &amp; "'!B1:B1000")) &lt;
            IF(R124&lt;&gt;"",
               MATCH(R124, INDIRECT("'" &amp; 'Hulp (overig)'!$C$16 &amp; "'!A1:A1000"),0),
               1000
            )
        ) *
        (LEFT(TRIM(INDIRECT("'" &amp; 'Hulp (overig)'!$C$16 &amp; "'!B1:B1000")),1) &lt;&gt; "u")
    ),
    ROW(INDIRECT("'" &amp; 'Hulp (overig)'!$C$16 &amp; "'!B1:B1000"))
)
        )
    ) * Q125
),
IF(Q126="","",
IF(
    IFERROR(MIN(
        IF(
            (TRIM(INDIRECT("'" &amp; 'Hulp (overig)'!$C$16 &amp; "'!B1:B1000")) = TEXT(Q126,"0")) *
            (ROW(INDIRECT("'" &amp; 'Hulp (overig)'!$C$16 &amp; "'!B1:B1000")) &gt;= MATCH(
                Q124,
                INDIRECT("'" &amp; 'Hulp (overig)'!$C$16 &amp; "'!A1:A1000"),
                0
            )) *
            IF(
                R124="",
                1,
                (ROW(INDIRECT("'" &amp; 'Hulp (overig)'!$C$16 &amp; "'!B1:B1000")) &lt; MATCH(
                    R124,
                    INDIRECT("'" &amp; 'Hulp (overig)'!$C$16 &amp; "'!A1:A1000"),
                    0
                ))
            ),
            ROW(INDIRECT("'" &amp; 'Hulp (overig)'!$C$16 &amp; "'!B1:B1000"))
        )
    ),0) &lt; 1,
    "",
    IF(INDEX(
        INDIRECT("'" &amp; 'Hulp (overig)'!$C$16 &amp; "'!" &amp;
        'Hulp (overig)'!$C$17 &amp; "1:" &amp; 'Hulp (overig)'!$C$17 &amp; 1000
        ),
        IFERROR(MIN(
            IF(
                (TRIM(INDIRECT("'" &amp; 'Hulp (overig)'!$C$16 &amp; "'!B1:B1000")) = TEXT(Q126,"0")) *
                (ROW(INDIRECT("'" &amp; 'Hulp (overig)'!$C$16 &amp; "'!B1:B1000")) &gt;= MATCH(
                    Q124,
                    INDIRECT("'" &amp; 'Hulp (overig)'!$C$16 &amp; "'!A1:A1000"),
                    0
                )) *
                IF(
                    R124="",
                    1,
                    (ROW(INDIRECT("'" &amp; 'Hulp (overig)'!$C$16 &amp; "'!B1:B1000")) &lt; MATCH(
                        R124,
                        INDIRECT("'" &amp; 'Hulp (overig)'!$C$16 &amp; "'!A1:A1000"),
                        0
                    ))
                ),
                ROW(INDIRECT("'" &amp; 'Hulp (overig)'!$C$16 &amp; "'!B1:B1000"))
            )
        ),0)
    )=0,"",
INDEX(
        INDIRECT("'" &amp; 'Hulp (overig)'!$C$16 &amp; "'!" &amp;
        'Hulp (overig)'!$C$17 &amp; "1:" &amp; 'Hulp (overig)'!$C$17 &amp; 1000
        ),
        IFERROR(MIN(
            IF(
                (TRIM(INDIRECT("'" &amp; 'Hulp (overig)'!$C$16 &amp; "'!B1:B1000")) = TEXT(Q126,"0")) *
                (ROW(INDIRECT("'" &amp; 'Hulp (overig)'!$C$16 &amp; "'!B1:B1000")) &gt;= MATCH(
                    Q124,
                    INDIRECT("'" &amp; 'Hulp (overig)'!$C$16 &amp; "'!A1:A1000"),
                    0
                )) *
                IF(
                    R124="",
                    1,
                    (ROW(INDIRECT("'" &amp; 'Hulp (overig)'!$C$16 &amp; "'!B1:B1000")) &lt; MATCH(
                        R124,
                        INDIRECT("'" &amp; 'Hulp (overig)'!$C$16 &amp; "'!A1:A1000"),
                        0
                    ))
                ),
                ROW(INDIRECT("'" &amp; 'Hulp (overig)'!$C$16 &amp; "'!B1:B1000"))
            )
        ),0)
    ))
))))</f>
        <v>#VALUE!</v>
      </c>
      <c r="R127" s="425" t="e" cm="1">
        <f t="array" aca="1" ref="R127" ca="1">IF($BF127, IF(R124="","",
   INDEX(
      INDIRECT("'" &amp; 'Hulp (CAO''s)'!$AE$8 &amp; "'!" &amp;
               'Hulp (overig)'!$C$17 &amp; "1:" &amp;
               'Hulp (overig)'!$C$17 &amp; "1000"),
      MATCH(
         R124,
         INDIRECT("'" &amp; 'Hulp (CAO''s)'!$AE$8 &amp; "'!A1:A1000"),
         0
      )
   )
), IF($D125="Gebruik % van maximum salaris",
IF(
    OR(R124="",R125=""),
    "",
    MAX(
        INDIRECT(
            "'" &amp; 'Hulp (overig)'!$C$16 &amp; "'!" &amp;
            'Hulp (overig)'!$C$17 &amp;
            MATCH(R124, INDIRECT("'" &amp; 'Hulp (overig)'!$C$16 &amp; "'!A1:A1000"), 0) &amp;
            ":" &amp;
            'Hulp (overig)'!$C$17 &amp;
LOOKUP(
    2,
    1 / (
        (ROW(INDIRECT("'" &amp; 'Hulp (overig)'!$C$16 &amp; "'!B1:B1000")) &lt;
            IF(S124&lt;&gt;"",
               MATCH(S124, INDIRECT("'" &amp; 'Hulp (overig)'!$C$16 &amp; "'!A1:A1000"),0),
               1000
            )
        ) *
        (LEFT(TRIM(INDIRECT("'" &amp; 'Hulp (overig)'!$C$16 &amp; "'!B1:B1000")),1) &lt;&gt; "u")
    ),
    ROW(INDIRECT("'" &amp; 'Hulp (overig)'!$C$16 &amp; "'!B1:B1000"))
)
        )
    ) * R125
),
IF(R126="","",
IF(
    IFERROR(MIN(
        IF(
            (TRIM(INDIRECT("'" &amp; 'Hulp (overig)'!$C$16 &amp; "'!B1:B1000")) = TEXT(R126,"0")) *
            (ROW(INDIRECT("'" &amp; 'Hulp (overig)'!$C$16 &amp; "'!B1:B1000")) &gt;= MATCH(
                R124,
                INDIRECT("'" &amp; 'Hulp (overig)'!$C$16 &amp; "'!A1:A1000"),
                0
            )) *
            IF(
                S124="",
                1,
                (ROW(INDIRECT("'" &amp; 'Hulp (overig)'!$C$16 &amp; "'!B1:B1000")) &lt; MATCH(
                    S124,
                    INDIRECT("'" &amp; 'Hulp (overig)'!$C$16 &amp; "'!A1:A1000"),
                    0
                ))
            ),
            ROW(INDIRECT("'" &amp; 'Hulp (overig)'!$C$16 &amp; "'!B1:B1000"))
        )
    ),0) &lt; 1,
    "",
    IF(INDEX(
        INDIRECT("'" &amp; 'Hulp (overig)'!$C$16 &amp; "'!" &amp;
        'Hulp (overig)'!$C$17 &amp; "1:" &amp; 'Hulp (overig)'!$C$17 &amp; 1000
        ),
        IFERROR(MIN(
            IF(
                (TRIM(INDIRECT("'" &amp; 'Hulp (overig)'!$C$16 &amp; "'!B1:B1000")) = TEXT(R126,"0")) *
                (ROW(INDIRECT("'" &amp; 'Hulp (overig)'!$C$16 &amp; "'!B1:B1000")) &gt;= MATCH(
                    R124,
                    INDIRECT("'" &amp; 'Hulp (overig)'!$C$16 &amp; "'!A1:A1000"),
                    0
                )) *
                IF(
                    S124="",
                    1,
                    (ROW(INDIRECT("'" &amp; 'Hulp (overig)'!$C$16 &amp; "'!B1:B1000")) &lt; MATCH(
                        S124,
                        INDIRECT("'" &amp; 'Hulp (overig)'!$C$16 &amp; "'!A1:A1000"),
                        0
                    ))
                ),
                ROW(INDIRECT("'" &amp; 'Hulp (overig)'!$C$16 &amp; "'!B1:B1000"))
            )
        ),0)
    )=0,"",
INDEX(
        INDIRECT("'" &amp; 'Hulp (overig)'!$C$16 &amp; "'!" &amp;
        'Hulp (overig)'!$C$17 &amp; "1:" &amp; 'Hulp (overig)'!$C$17 &amp; 1000
        ),
        IFERROR(MIN(
            IF(
                (TRIM(INDIRECT("'" &amp; 'Hulp (overig)'!$C$16 &amp; "'!B1:B1000")) = TEXT(R126,"0")) *
                (ROW(INDIRECT("'" &amp; 'Hulp (overig)'!$C$16 &amp; "'!B1:B1000")) &gt;= MATCH(
                    R124,
                    INDIRECT("'" &amp; 'Hulp (overig)'!$C$16 &amp; "'!A1:A1000"),
                    0
                )) *
                IF(
                    S124="",
                    1,
                    (ROW(INDIRECT("'" &amp; 'Hulp (overig)'!$C$16 &amp; "'!B1:B1000")) &lt; MATCH(
                        S124,
                        INDIRECT("'" &amp; 'Hulp (overig)'!$C$16 &amp; "'!A1:A1000"),
                        0
                    ))
                ),
                ROW(INDIRECT("'" &amp; 'Hulp (overig)'!$C$16 &amp; "'!B1:B1000"))
            )
        ),0)
    ))
))))</f>
        <v>#VALUE!</v>
      </c>
      <c r="S127" s="425" t="e" cm="1">
        <f t="array" aca="1" ref="S127" ca="1">IF($BF127, IF(S124="","",
   INDEX(
      INDIRECT("'" &amp; 'Hulp (CAO''s)'!$AE$8 &amp; "'!" &amp;
               'Hulp (overig)'!$C$17 &amp; "1:" &amp;
               'Hulp (overig)'!$C$17 &amp; "1000"),
      MATCH(
         S124,
         INDIRECT("'" &amp; 'Hulp (CAO''s)'!$AE$8 &amp; "'!A1:A1000"),
         0
      )
   )
), IF($D125="Gebruik % van maximum salaris",
IF(
    OR(S124="",S125=""),
    "",
    MAX(
        INDIRECT(
            "'" &amp; 'Hulp (overig)'!$C$16 &amp; "'!" &amp;
            'Hulp (overig)'!$C$17 &amp;
            MATCH(S124, INDIRECT("'" &amp; 'Hulp (overig)'!$C$16 &amp; "'!A1:A1000"), 0) &amp;
            ":" &amp;
            'Hulp (overig)'!$C$17 &amp;
LOOKUP(
    2,
    1 / (
        (ROW(INDIRECT("'" &amp; 'Hulp (overig)'!$C$16 &amp; "'!B1:B1000")) &lt;
            IF(T124&lt;&gt;"",
               MATCH(T124, INDIRECT("'" &amp; 'Hulp (overig)'!$C$16 &amp; "'!A1:A1000"),0),
               1000
            )
        ) *
        (LEFT(TRIM(INDIRECT("'" &amp; 'Hulp (overig)'!$C$16 &amp; "'!B1:B1000")),1) &lt;&gt; "u")
    ),
    ROW(INDIRECT("'" &amp; 'Hulp (overig)'!$C$16 &amp; "'!B1:B1000"))
)
        )
    ) * S125
),
IF(S126="","",
IF(
    IFERROR(MIN(
        IF(
            (TRIM(INDIRECT("'" &amp; 'Hulp (overig)'!$C$16 &amp; "'!B1:B1000")) = TEXT(S126,"0")) *
            (ROW(INDIRECT("'" &amp; 'Hulp (overig)'!$C$16 &amp; "'!B1:B1000")) &gt;= MATCH(
                S124,
                INDIRECT("'" &amp; 'Hulp (overig)'!$C$16 &amp; "'!A1:A1000"),
                0
            )) *
            IF(
                T124="",
                1,
                (ROW(INDIRECT("'" &amp; 'Hulp (overig)'!$C$16 &amp; "'!B1:B1000")) &lt; MATCH(
                    T124,
                    INDIRECT("'" &amp; 'Hulp (overig)'!$C$16 &amp; "'!A1:A1000"),
                    0
                ))
            ),
            ROW(INDIRECT("'" &amp; 'Hulp (overig)'!$C$16 &amp; "'!B1:B1000"))
        )
    ),0) &lt; 1,
    "",
    IF(INDEX(
        INDIRECT("'" &amp; 'Hulp (overig)'!$C$16 &amp; "'!" &amp;
        'Hulp (overig)'!$C$17 &amp; "1:" &amp; 'Hulp (overig)'!$C$17 &amp; 1000
        ),
        IFERROR(MIN(
            IF(
                (TRIM(INDIRECT("'" &amp; 'Hulp (overig)'!$C$16 &amp; "'!B1:B1000")) = TEXT(S126,"0")) *
                (ROW(INDIRECT("'" &amp; 'Hulp (overig)'!$C$16 &amp; "'!B1:B1000")) &gt;= MATCH(
                    S124,
                    INDIRECT("'" &amp; 'Hulp (overig)'!$C$16 &amp; "'!A1:A1000"),
                    0
                )) *
                IF(
                    T124="",
                    1,
                    (ROW(INDIRECT("'" &amp; 'Hulp (overig)'!$C$16 &amp; "'!B1:B1000")) &lt; MATCH(
                        T124,
                        INDIRECT("'" &amp; 'Hulp (overig)'!$C$16 &amp; "'!A1:A1000"),
                        0
                    ))
                ),
                ROW(INDIRECT("'" &amp; 'Hulp (overig)'!$C$16 &amp; "'!B1:B1000"))
            )
        ),0)
    )=0,"",
INDEX(
        INDIRECT("'" &amp; 'Hulp (overig)'!$C$16 &amp; "'!" &amp;
        'Hulp (overig)'!$C$17 &amp; "1:" &amp; 'Hulp (overig)'!$C$17 &amp; 1000
        ),
        IFERROR(MIN(
            IF(
                (TRIM(INDIRECT("'" &amp; 'Hulp (overig)'!$C$16 &amp; "'!B1:B1000")) = TEXT(S126,"0")) *
                (ROW(INDIRECT("'" &amp; 'Hulp (overig)'!$C$16 &amp; "'!B1:B1000")) &gt;= MATCH(
                    S124,
                    INDIRECT("'" &amp; 'Hulp (overig)'!$C$16 &amp; "'!A1:A1000"),
                    0
                )) *
                IF(
                    T124="",
                    1,
                    (ROW(INDIRECT("'" &amp; 'Hulp (overig)'!$C$16 &amp; "'!B1:B1000")) &lt; MATCH(
                        T124,
                        INDIRECT("'" &amp; 'Hulp (overig)'!$C$16 &amp; "'!A1:A1000"),
                        0
                    ))
                ),
                ROW(INDIRECT("'" &amp; 'Hulp (overig)'!$C$16 &amp; "'!B1:B1000"))
            )
        ),0)
    ))
))))</f>
        <v>#VALUE!</v>
      </c>
      <c r="T127" s="425" t="e" cm="1">
        <f t="array" aca="1" ref="T127" ca="1">IF($BF127, IF(T124="","",
   INDEX(
      INDIRECT("'" &amp; 'Hulp (CAO''s)'!$AE$8 &amp; "'!" &amp;
               'Hulp (overig)'!$C$17 &amp; "1:" &amp;
               'Hulp (overig)'!$C$17 &amp; "1000"),
      MATCH(
         T124,
         INDIRECT("'" &amp; 'Hulp (CAO''s)'!$AE$8 &amp; "'!A1:A1000"),
         0
      )
   )
), IF($D125="Gebruik % van maximum salaris",
IF(
    OR(T124="",T125=""),
    "",
    MAX(
        INDIRECT(
            "'" &amp; 'Hulp (overig)'!$C$16 &amp; "'!" &amp;
            'Hulp (overig)'!$C$17 &amp;
            MATCH(T124, INDIRECT("'" &amp; 'Hulp (overig)'!$C$16 &amp; "'!A1:A1000"), 0) &amp;
            ":" &amp;
            'Hulp (overig)'!$C$17 &amp;
LOOKUP(
    2,
    1 / (
        (ROW(INDIRECT("'" &amp; 'Hulp (overig)'!$C$16 &amp; "'!B1:B1000")) &lt;
            IF(U124&lt;&gt;"",
               MATCH(U124, INDIRECT("'" &amp; 'Hulp (overig)'!$C$16 &amp; "'!A1:A1000"),0),
               1000
            )
        ) *
        (LEFT(TRIM(INDIRECT("'" &amp; 'Hulp (overig)'!$C$16 &amp; "'!B1:B1000")),1) &lt;&gt; "u")
    ),
    ROW(INDIRECT("'" &amp; 'Hulp (overig)'!$C$16 &amp; "'!B1:B1000"))
)
        )
    ) * T125
),
IF(T126="","",
IF(
    IFERROR(MIN(
        IF(
            (TRIM(INDIRECT("'" &amp; 'Hulp (overig)'!$C$16 &amp; "'!B1:B1000")) = TEXT(T126,"0")) *
            (ROW(INDIRECT("'" &amp; 'Hulp (overig)'!$C$16 &amp; "'!B1:B1000")) &gt;= MATCH(
                T124,
                INDIRECT("'" &amp; 'Hulp (overig)'!$C$16 &amp; "'!A1:A1000"),
                0
            )) *
            IF(
                U124="",
                1,
                (ROW(INDIRECT("'" &amp; 'Hulp (overig)'!$C$16 &amp; "'!B1:B1000")) &lt; MATCH(
                    U124,
                    INDIRECT("'" &amp; 'Hulp (overig)'!$C$16 &amp; "'!A1:A1000"),
                    0
                ))
            ),
            ROW(INDIRECT("'" &amp; 'Hulp (overig)'!$C$16 &amp; "'!B1:B1000"))
        )
    ),0) &lt; 1,
    "",
    IF(INDEX(
        INDIRECT("'" &amp; 'Hulp (overig)'!$C$16 &amp; "'!" &amp;
        'Hulp (overig)'!$C$17 &amp; "1:" &amp; 'Hulp (overig)'!$C$17 &amp; 1000
        ),
        IFERROR(MIN(
            IF(
                (TRIM(INDIRECT("'" &amp; 'Hulp (overig)'!$C$16 &amp; "'!B1:B1000")) = TEXT(T126,"0")) *
                (ROW(INDIRECT("'" &amp; 'Hulp (overig)'!$C$16 &amp; "'!B1:B1000")) &gt;= MATCH(
                    T124,
                    INDIRECT("'" &amp; 'Hulp (overig)'!$C$16 &amp; "'!A1:A1000"),
                    0
                )) *
                IF(
                    U124="",
                    1,
                    (ROW(INDIRECT("'" &amp; 'Hulp (overig)'!$C$16 &amp; "'!B1:B1000")) &lt; MATCH(
                        U124,
                        INDIRECT("'" &amp; 'Hulp (overig)'!$C$16 &amp; "'!A1:A1000"),
                        0
                    ))
                ),
                ROW(INDIRECT("'" &amp; 'Hulp (overig)'!$C$16 &amp; "'!B1:B1000"))
            )
        ),0)
    )=0,"",
INDEX(
        INDIRECT("'" &amp; 'Hulp (overig)'!$C$16 &amp; "'!" &amp;
        'Hulp (overig)'!$C$17 &amp; "1:" &amp; 'Hulp (overig)'!$C$17 &amp; 1000
        ),
        IFERROR(MIN(
            IF(
                (TRIM(INDIRECT("'" &amp; 'Hulp (overig)'!$C$16 &amp; "'!B1:B1000")) = TEXT(T126,"0")) *
                (ROW(INDIRECT("'" &amp; 'Hulp (overig)'!$C$16 &amp; "'!B1:B1000")) &gt;= MATCH(
                    T124,
                    INDIRECT("'" &amp; 'Hulp (overig)'!$C$16 &amp; "'!A1:A1000"),
                    0
                )) *
                IF(
                    U124="",
                    1,
                    (ROW(INDIRECT("'" &amp; 'Hulp (overig)'!$C$16 &amp; "'!B1:B1000")) &lt; MATCH(
                        U124,
                        INDIRECT("'" &amp; 'Hulp (overig)'!$C$16 &amp; "'!A1:A1000"),
                        0
                    ))
                ),
                ROW(INDIRECT("'" &amp; 'Hulp (overig)'!$C$16 &amp; "'!B1:B1000"))
            )
        ),0)
    ))
))))</f>
        <v>#VALUE!</v>
      </c>
      <c r="U127" s="723" t="e" cm="1">
        <f t="array" aca="1" ref="U127" ca="1">IF($BF127, IF(U124="","",
   INDEX(
      INDIRECT("'" &amp; 'Hulp (CAO''s)'!$AE$8 &amp; "'!" &amp;
               'Hulp (overig)'!$C$17 &amp; "1:" &amp;
               'Hulp (overig)'!$C$17 &amp; "1000"),
      MATCH(
         U124,
         INDIRECT("'" &amp; 'Hulp (CAO''s)'!$AE$8 &amp; "'!A1:A1000"),
         0
      )
   )
), IF($D125="Gebruik % van maximum salaris",
IF(
    OR(U124="",U125=""),
    "",
    MAX(
        INDIRECT(
            "'" &amp; 'Hulp (overig)'!$C$16 &amp; "'!" &amp;
            'Hulp (overig)'!$C$17 &amp;
            MATCH(U124, INDIRECT("'" &amp; 'Hulp (overig)'!$C$16 &amp; "'!A1:A1000"), 0) &amp;
            ":" &amp;
            'Hulp (overig)'!$C$17 &amp;
LOOKUP(
    2,
    1 / (
        (ROW(INDIRECT("'" &amp; 'Hulp (overig)'!$C$16 &amp; "'!B1:B1000")) &lt;
            IF(V124&lt;&gt;"",
               MATCH(V124, INDIRECT("'" &amp; 'Hulp (overig)'!$C$16 &amp; "'!A1:A1000"),0),
               1000
            )
        ) *
        (LEFT(TRIM(INDIRECT("'" &amp; 'Hulp (overig)'!$C$16 &amp; "'!B1:B1000")),1) &lt;&gt; "u")
    ),
    ROW(INDIRECT("'" &amp; 'Hulp (overig)'!$C$16 &amp; "'!B1:B1000"))
)
        )
    ) * U125
),
IF(U126="","",
IF(
    IFERROR(MIN(
        IF(
            (TRIM(INDIRECT("'" &amp; 'Hulp (overig)'!$C$16 &amp; "'!B1:B1000")) = TEXT(U126,"0")) *
            (ROW(INDIRECT("'" &amp; 'Hulp (overig)'!$C$16 &amp; "'!B1:B1000")) &gt;= MATCH(
                U124,
                INDIRECT("'" &amp; 'Hulp (overig)'!$C$16 &amp; "'!A1:A1000"),
                0
            )) *
            IF(
                V124="",
                1,
                (ROW(INDIRECT("'" &amp; 'Hulp (overig)'!$C$16 &amp; "'!B1:B1000")) &lt; MATCH(
                    V124,
                    INDIRECT("'" &amp; 'Hulp (overig)'!$C$16 &amp; "'!A1:A1000"),
                    0
                ))
            ),
            ROW(INDIRECT("'" &amp; 'Hulp (overig)'!$C$16 &amp; "'!B1:B1000"))
        )
    ),0) &lt; 1,
    "",
    IF(INDEX(
        INDIRECT("'" &amp; 'Hulp (overig)'!$C$16 &amp; "'!" &amp;
        'Hulp (overig)'!$C$17 &amp; "1:" &amp; 'Hulp (overig)'!$C$17 &amp; 1000
        ),
        IFERROR(MIN(
            IF(
                (TRIM(INDIRECT("'" &amp; 'Hulp (overig)'!$C$16 &amp; "'!B1:B1000")) = TEXT(U126,"0")) *
                (ROW(INDIRECT("'" &amp; 'Hulp (overig)'!$C$16 &amp; "'!B1:B1000")) &gt;= MATCH(
                    U124,
                    INDIRECT("'" &amp; 'Hulp (overig)'!$C$16 &amp; "'!A1:A1000"),
                    0
                )) *
                IF(
                    V124="",
                    1,
                    (ROW(INDIRECT("'" &amp; 'Hulp (overig)'!$C$16 &amp; "'!B1:B1000")) &lt; MATCH(
                        V124,
                        INDIRECT("'" &amp; 'Hulp (overig)'!$C$16 &amp; "'!A1:A1000"),
                        0
                    ))
                ),
                ROW(INDIRECT("'" &amp; 'Hulp (overig)'!$C$16 &amp; "'!B1:B1000"))
            )
        ),0)
    )=0,"",
INDEX(
        INDIRECT("'" &amp; 'Hulp (overig)'!$C$16 &amp; "'!" &amp;
        'Hulp (overig)'!$C$17 &amp; "1:" &amp; 'Hulp (overig)'!$C$17 &amp; 1000
        ),
        IFERROR(MIN(
            IF(
                (TRIM(INDIRECT("'" &amp; 'Hulp (overig)'!$C$16 &amp; "'!B1:B1000")) = TEXT(U126,"0")) *
                (ROW(INDIRECT("'" &amp; 'Hulp (overig)'!$C$16 &amp; "'!B1:B1000")) &gt;= MATCH(
                    U124,
                    INDIRECT("'" &amp; 'Hulp (overig)'!$C$16 &amp; "'!A1:A1000"),
                    0
                )) *
                IF(
                    V124="",
                    1,
                    (ROW(INDIRECT("'" &amp; 'Hulp (overig)'!$C$16 &amp; "'!B1:B1000")) &lt; MATCH(
                        V124,
                        INDIRECT("'" &amp; 'Hulp (overig)'!$C$16 &amp; "'!A1:A1000"),
                        0
                    ))
                ),
                ROW(INDIRECT("'" &amp; 'Hulp (overig)'!$C$16 &amp; "'!B1:B1000"))
            )
        ),0)
    ))
))))</f>
        <v>#VALUE!</v>
      </c>
      <c r="V127" s="413" t="str" cm="1">
        <f t="array" ref="V127">IF(SUM(F128:U128)=0,"",
IF(SUM(F127:U127)=0,"",
IF(SUMPRODUCT((F128:U128&lt;&gt;0)*(F127:U127=""))&gt;0,"",
(
   SUMPRODUCT(
      IF(F127:U127="",0,F127:U127),
      IF(F128:U128="",0,F128:U128) / SUM(F128:U128)
   )
))))</f>
        <v/>
      </c>
      <c r="W127" s="418"/>
      <c r="X127" s="620"/>
      <c r="Y127" s="419" t="str">
        <f ca="1">IF(B124="","",
        IF(INDIRECT("'Hulp (control forms)'!C" &amp; (13 + INT((ROW()-ROW($B$5))/7))),
            IF(X127="","",X127),
            IF(V127="","",V127)
    )
)</f>
        <v/>
      </c>
      <c r="Z127" s="333"/>
      <c r="AA127" s="771"/>
      <c r="AB127" s="770"/>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c r="BA127" cm="1">
        <f t="array" aca="1" ref="BA127" ca="1">IF(
   SUM(Y127)=0,
   1,
   IF(
      N(INDIRECT("'Hulp (control forms)'!C"&amp;(13+INT((ROW()-ROW($B$5))/7))))&lt;&gt;0,
      MIN(1,
      ('Hulp (overig)'!$C$6/12) /
      (Y127 * BC127 + BD127)),
      MIN(1,
         IF(
            SUM(F127:U127)=0,
            "",
            SUMPRODUCT(
               IF(
                  (IF(F127:U127="",0,F127:U127) * BC127) + BD127
                  &gt; 'Hulp (overig)'!$C$6/12,
                  'Hulp (overig)'!$C$6/12,
                  (IF(F127:U127="",0,F127:U127) * BC127) + BD127
               ),
               IF(F128:U128="",0,F128:U128) / SUM(F128:U128)
            )
         ) /
         ((Y127 * BC127) + BD127)
      )
   )
)</f>
        <v>1</v>
      </c>
      <c r="BB127" cm="1">
        <f t="array" aca="1" ref="BB127" ca="1">IF(
   SUM(Y127)=0,
   1,
   IF(
      N(INDIRECT("'Hulp (control forms)'!C"&amp;(13+INT((ROW()-ROW($B$5))/7))))&lt;&gt;0,
      MIN('Hulp (overig)'!$C$5/12,
      (Y127 * BC127) + BD127) * 12,
         IF(
            SUM(F127:U127)=0,
            "",
            SUMPRODUCT(
               IF(
                  (IF(F127:U127="",0,F127:U127) * BC127) + BD127
                  &gt; 'Hulp (overig)'!$C$5/12,
                  'Hulp (overig)'!$C$5/12,
                  (IF(F127:U127="",0,F127:U127) * BC127) + BD127
               ),
               IF(F128:U128="",0,F128:U128) / SUM(F128:U128)
            )
         ) * 12
   )
)</f>
        <v>1</v>
      </c>
      <c r="BC127" s="287" cm="1">
        <f t="array" aca="1" ref="BC127" ca="1">IFERROR(
   (INDEX('2. Output kostprijs'!$24:$24, 5 + 2*INT((ROW()-8)/7))
    - SUM(INDEX('2. Output kostprijs'!$23:$23, 5 + 2*INT((ROW()-8)/7))))
   / INDEX('2. Output kostprijs'!$19:$19, 5 + 2*INT((ROW()-8)/7)),
   1
)</f>
        <v>1</v>
      </c>
      <c r="BD127" s="287" cm="1">
        <f t="array" aca="1" ref="BD127" ca="1">IFERROR(
   (INDEX('2. Output kostprijs'!$23:$23, 5 + 2*INT((ROW()-8)/7))
    * INDEX('2. Output kostprijs'!$18:$18, 5 + 2*INT((ROW()-8)/7))
   ) / 12,
   0
)</f>
        <v>0</v>
      </c>
      <c r="BE127" t="b">
        <f ca="1">NOT(AND(B124&lt;&gt;"",Y127=""))</f>
        <v>1</v>
      </c>
      <c r="BF127" t="str" cm="1">
        <f t="array" aca="1" ref="BF127" ca="1">INDIRECT("'1a. Input organisatieniveau'!$AD" &amp; 7 + INT((ROW()-ROW($F$8))/7))</f>
        <v/>
      </c>
      <c r="BG127" t="b" cm="1">
        <f t="array" ref="BG127">IFERROR(INDEX('Hulp (control forms)'!C:C, 13 + INT((ROW(A120)-1)/7)),FALSE)</f>
        <v>0</v>
      </c>
    </row>
    <row r="128" spans="1:59" ht="16.05" customHeight="1" thickBot="1" x14ac:dyDescent="0.5">
      <c r="A128" s="289"/>
      <c r="B128" s="343"/>
      <c r="C128" s="325" t="s">
        <v>779</v>
      </c>
      <c r="D128" s="688" t="s">
        <v>60</v>
      </c>
      <c r="E128" s="433" t="s">
        <v>59</v>
      </c>
      <c r="F128" s="624"/>
      <c r="G128" s="624"/>
      <c r="H128" s="624"/>
      <c r="I128" s="624"/>
      <c r="J128" s="624"/>
      <c r="K128" s="624"/>
      <c r="L128" s="624"/>
      <c r="M128" s="624"/>
      <c r="N128" s="624"/>
      <c r="O128" s="624"/>
      <c r="P128" s="624"/>
      <c r="Q128" s="624"/>
      <c r="R128" s="624"/>
      <c r="S128" s="624"/>
      <c r="T128" s="624"/>
      <c r="U128" s="625"/>
      <c r="V128" s="420" t="str">
        <f ca="1">IF($B124="","",IF($D128="Aandeel in %",
   "Totaal: "&amp;SUM(F128:U128)*100&amp;"%",
   "Totaal: "&amp;SUM(F128:U128)&amp;" uur"
))</f>
        <v/>
      </c>
      <c r="W128" s="294"/>
      <c r="X128" s="621"/>
      <c r="Y128" s="328"/>
      <c r="Z128" s="32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row>
    <row r="129" spans="1:59" ht="16.05" customHeight="1" thickBot="1" x14ac:dyDescent="0.5">
      <c r="A129" s="289"/>
      <c r="B129" s="343"/>
      <c r="C129" s="326" t="s">
        <v>779</v>
      </c>
      <c r="D129" s="421"/>
      <c r="E129" s="426"/>
      <c r="F129" s="426"/>
      <c r="G129" s="426"/>
      <c r="H129" s="426"/>
      <c r="I129" s="426"/>
      <c r="J129" s="426"/>
      <c r="K129" s="426"/>
      <c r="L129" s="426"/>
      <c r="M129" s="426"/>
      <c r="N129" s="426"/>
      <c r="O129" s="426"/>
      <c r="P129" s="426"/>
      <c r="Q129" s="426"/>
      <c r="R129" s="426"/>
      <c r="S129" s="426"/>
      <c r="T129" s="427"/>
      <c r="U129" s="427"/>
      <c r="V129" s="421"/>
      <c r="W129" s="421"/>
      <c r="X129" s="622"/>
      <c r="Y129" s="421"/>
      <c r="Z129" s="327"/>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row>
    <row r="130" spans="1:59" ht="16.05" customHeight="1" thickBot="1" x14ac:dyDescent="0.55000000000000004">
      <c r="A130" s="289"/>
      <c r="B130" s="585" t="str">
        <f ca="1">IF(B131="","",
IF(
   OR(
      INDIRECT("'1a. Input organisatieniveau'!AC" &amp; (7 + INT((ROW()-4)/7)))="",
      INDIRECT("'1a. Input organisatieniveau'!AC" &amp; (7 + INT((ROW()-4)/7)))=0
   ),
   "",
   INDIRECT("'1a. Input organisatieniveau'!AC" &amp; (7 + INT((ROW()-4)/7)))
))</f>
        <v/>
      </c>
      <c r="C130" s="324" t="s">
        <v>779</v>
      </c>
      <c r="D130" s="416"/>
      <c r="E130" s="428"/>
      <c r="F130" s="422" t="str">
        <f t="shared" ref="F130:U130" ca="1" si="18">IF($B131="","",
IF($D132="Gebruik % van maximum salaris",
 IF(OR(AND(AND(F131&lt;&gt;"",F132&lt;&gt;""),F134=""),AND(F134="",F135&lt;&gt;"")),"!",""),
 IF(OR(AND(AND(F131&lt;&gt;"",F133&lt;&gt;""),F134=""),AND(F134="",F135&lt;&gt;"")),"!","")))</f>
        <v/>
      </c>
      <c r="G130" s="422" t="str">
        <f t="shared" ca="1" si="18"/>
        <v/>
      </c>
      <c r="H130" s="422" t="str">
        <f t="shared" ca="1" si="18"/>
        <v/>
      </c>
      <c r="I130" s="422" t="str">
        <f t="shared" ca="1" si="18"/>
        <v/>
      </c>
      <c r="J130" s="422" t="str">
        <f t="shared" ca="1" si="18"/>
        <v/>
      </c>
      <c r="K130" s="422" t="str">
        <f t="shared" ca="1" si="18"/>
        <v/>
      </c>
      <c r="L130" s="422" t="str">
        <f t="shared" ca="1" si="18"/>
        <v/>
      </c>
      <c r="M130" s="422" t="str">
        <f t="shared" ca="1" si="18"/>
        <v/>
      </c>
      <c r="N130" s="422" t="str">
        <f t="shared" ca="1" si="18"/>
        <v/>
      </c>
      <c r="O130" s="422" t="str">
        <f t="shared" ca="1" si="18"/>
        <v/>
      </c>
      <c r="P130" s="422" t="str">
        <f t="shared" ca="1" si="18"/>
        <v/>
      </c>
      <c r="Q130" s="422" t="str">
        <f t="shared" ca="1" si="18"/>
        <v/>
      </c>
      <c r="R130" s="422" t="str">
        <f t="shared" ca="1" si="18"/>
        <v/>
      </c>
      <c r="S130" s="422" t="str">
        <f t="shared" ca="1" si="18"/>
        <v/>
      </c>
      <c r="T130" s="422" t="str">
        <f t="shared" ca="1" si="18"/>
        <v/>
      </c>
      <c r="U130" s="422" t="str">
        <f t="shared" ca="1" si="18"/>
        <v/>
      </c>
      <c r="V130" s="416"/>
      <c r="W130" s="416"/>
      <c r="X130" s="619"/>
      <c r="Y130" s="416"/>
      <c r="Z130" s="330"/>
      <c r="AA130" s="354"/>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row>
    <row r="131" spans="1:59" ht="16.05" customHeight="1" thickBot="1" x14ac:dyDescent="0.5">
      <c r="A131" s="289"/>
      <c r="B131" s="586" t="str">
        <f ca="1">IF(
   OR(
      INDIRECT("'1a. Input organisatieniveau'!AA" &amp; (7 + INT((ROW()-4)/7)))="",
      INDIRECT("'1a. Input organisatieniveau'!AA" &amp; (7 + INT((ROW()-4)/7)))=0
   ),
   "",
   INDIRECT("'1a. Input organisatieniveau'!AA" &amp; (7 + INT((ROW()-4)/7)))
)</f>
        <v/>
      </c>
      <c r="C131" s="325" t="s">
        <v>779</v>
      </c>
      <c r="D131" s="434"/>
      <c r="E131" s="429" t="s">
        <v>28</v>
      </c>
      <c r="F131" s="423" t="str">
        <f ca="1">IF($B131="", "", IF($BF134, IF('Hulp (CAO''s)'!J$8&lt;&gt;"",'Hulp (CAO''s)'!J$8,""), INDEX('Hulp (CAO''s)'!J$3:J$7, MATCH(TRUE, 'Hulp (CAO''s)'!$D$3:$D$7, 0))))</f>
        <v/>
      </c>
      <c r="G131" s="423" t="str">
        <f ca="1">IF($B131="", "", IF($BF134, IF('Hulp (CAO''s)'!K$8&lt;&gt;"",'Hulp (CAO''s)'!K$8,""), INDEX('Hulp (CAO''s)'!K$3:K$7, MATCH(TRUE, 'Hulp (CAO''s)'!$D$3:$D$7, 0))))</f>
        <v/>
      </c>
      <c r="H131" s="423" t="str">
        <f ca="1">IF($B131="", "", IF($BF134, IF('Hulp (CAO''s)'!L$8&lt;&gt;"",'Hulp (CAO''s)'!L$8,""), INDEX('Hulp (CAO''s)'!L$3:L$7, MATCH(TRUE, 'Hulp (CAO''s)'!$D$3:$D$7, 0))))</f>
        <v/>
      </c>
      <c r="I131" s="423" t="str">
        <f ca="1">IF($B131="", "", IF($BF134, IF('Hulp (CAO''s)'!M$8&lt;&gt;"",'Hulp (CAO''s)'!M$8,""), INDEX('Hulp (CAO''s)'!M$3:M$7, MATCH(TRUE, 'Hulp (CAO''s)'!$D$3:$D$7, 0))))</f>
        <v/>
      </c>
      <c r="J131" s="423" t="str">
        <f ca="1">IF($B131="", "", IF($BF134, IF('Hulp (CAO''s)'!N$8&lt;&gt;"",'Hulp (CAO''s)'!N$8,""), INDEX('Hulp (CAO''s)'!N$3:N$7, MATCH(TRUE, 'Hulp (CAO''s)'!$D$3:$D$7, 0))))</f>
        <v/>
      </c>
      <c r="K131" s="423" t="str">
        <f ca="1">IF($B131="", "", IF($BF134, IF('Hulp (CAO''s)'!O$8&lt;&gt;"",'Hulp (CAO''s)'!O$8,""), INDEX('Hulp (CAO''s)'!O$3:O$7, MATCH(TRUE, 'Hulp (CAO''s)'!$D$3:$D$7, 0))))</f>
        <v/>
      </c>
      <c r="L131" s="423" t="str">
        <f ca="1">IF($B131="", "", IF($BF134, IF('Hulp (CAO''s)'!P$8&lt;&gt;"",'Hulp (CAO''s)'!P$8,""), INDEX('Hulp (CAO''s)'!P$3:P$7, MATCH(TRUE, 'Hulp (CAO''s)'!$D$3:$D$7, 0))))</f>
        <v/>
      </c>
      <c r="M131" s="423" t="str">
        <f ca="1">IF($B131="", "", IF($BF134, IF('Hulp (CAO''s)'!Q$8&lt;&gt;"",'Hulp (CAO''s)'!Q$8,""), INDEX('Hulp (CAO''s)'!Q$3:Q$7, MATCH(TRUE, 'Hulp (CAO''s)'!$D$3:$D$7, 0))))</f>
        <v/>
      </c>
      <c r="N131" s="423" t="str">
        <f ca="1">IF($B131="", "", IF($BF134, IF('Hulp (CAO''s)'!R$8&lt;&gt;"",'Hulp (CAO''s)'!R$8,""), INDEX('Hulp (CAO''s)'!R$3:R$7, MATCH(TRUE, 'Hulp (CAO''s)'!$D$3:$D$7, 0))))</f>
        <v/>
      </c>
      <c r="O131" s="423" t="str">
        <f ca="1">IF($B131="", "", IF($BF134, IF('Hulp (CAO''s)'!S$8&lt;&gt;"",'Hulp (CAO''s)'!S$8,""), INDEX('Hulp (CAO''s)'!S$3:S$7, MATCH(TRUE, 'Hulp (CAO''s)'!$D$3:$D$7, 0))))</f>
        <v/>
      </c>
      <c r="P131" s="423" t="str">
        <f ca="1">IF($B131="", "", IF($BF134, IF('Hulp (CAO''s)'!T$8&lt;&gt;"",'Hulp (CAO''s)'!T$8,""), INDEX('Hulp (CAO''s)'!T$3:T$7, MATCH(TRUE, 'Hulp (CAO''s)'!$D$3:$D$7, 0))))</f>
        <v/>
      </c>
      <c r="Q131" s="423" t="str">
        <f ca="1">IF($B131="", "", IF($BF134, IF('Hulp (CAO''s)'!U$8&lt;&gt;"",'Hulp (CAO''s)'!U$8,""), INDEX('Hulp (CAO''s)'!U$3:U$7, MATCH(TRUE, 'Hulp (CAO''s)'!$D$3:$D$7, 0))))</f>
        <v/>
      </c>
      <c r="R131" s="423" t="str">
        <f ca="1">IF($B131="", "", IF($BF134, IF('Hulp (CAO''s)'!V$8&lt;&gt;"",'Hulp (CAO''s)'!V$8,""), INDEX('Hulp (CAO''s)'!V$3:V$7, MATCH(TRUE, 'Hulp (CAO''s)'!$D$3:$D$7, 0))))</f>
        <v/>
      </c>
      <c r="S131" s="423" t="str">
        <f ca="1">IF($B131="", "", IF($BF134, IF('Hulp (CAO''s)'!W$8&lt;&gt;"",'Hulp (CAO''s)'!W$8,""), INDEX('Hulp (CAO''s)'!W$3:W$7, MATCH(TRUE, 'Hulp (CAO''s)'!$D$3:$D$7, 0))))</f>
        <v/>
      </c>
      <c r="T131" s="423" t="str">
        <f ca="1">IF($B131="", "", IF($BF134, IF('Hulp (CAO''s)'!X$8&lt;&gt;"",'Hulp (CAO''s)'!X$8,""), INDEX('Hulp (CAO''s)'!X$3:X$7, MATCH(TRUE, 'Hulp (CAO''s)'!$D$3:$D$7, 0))))</f>
        <v/>
      </c>
      <c r="U131" s="424" t="str">
        <f ca="1">IF($B131="", "", IF($BF134, IF('Hulp (CAO''s)'!Y$8&lt;&gt;"",'Hulp (CAO''s)'!Y$8,""), INDEX('Hulp (CAO''s)'!Y$3:Y$7, MATCH(TRUE, 'Hulp (CAO''s)'!$D$3:$D$7, 0))))</f>
        <v/>
      </c>
      <c r="V131" s="417"/>
      <c r="W131" s="343"/>
      <c r="X131" s="617"/>
      <c r="Y131" s="343"/>
      <c r="Z131" s="329"/>
      <c r="AA131" s="320"/>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row>
    <row r="132" spans="1:59" ht="16.05" customHeight="1" x14ac:dyDescent="0.45">
      <c r="A132" s="289"/>
      <c r="B132" s="343"/>
      <c r="C132" s="325" t="s">
        <v>779</v>
      </c>
      <c r="D132" s="772" t="s">
        <v>772</v>
      </c>
      <c r="E132" s="430" t="e">
        <f ca="1">IF($BF134, "", "% t.o.v. max salaris in de schaal")</f>
        <v>#VALUE!</v>
      </c>
      <c r="F132" s="615"/>
      <c r="G132" s="615"/>
      <c r="H132" s="615"/>
      <c r="I132" s="615"/>
      <c r="J132" s="615"/>
      <c r="K132" s="615"/>
      <c r="L132" s="615"/>
      <c r="M132" s="615"/>
      <c r="N132" s="615"/>
      <c r="O132" s="615"/>
      <c r="P132" s="615"/>
      <c r="Q132" s="615"/>
      <c r="R132" s="615"/>
      <c r="S132" s="615"/>
      <c r="T132" s="615"/>
      <c r="U132" s="616"/>
      <c r="V132" s="774" t="s">
        <v>884</v>
      </c>
      <c r="W132" s="332"/>
      <c r="X132" s="776" t="s">
        <v>882</v>
      </c>
      <c r="Y132" s="778" t="s">
        <v>883</v>
      </c>
      <c r="Z132" s="329"/>
      <c r="AA132" s="771" t="s">
        <v>780</v>
      </c>
      <c r="AB132" s="770" t="s">
        <v>1079</v>
      </c>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row>
    <row r="133" spans="1:59" ht="16.05" customHeight="1" thickBot="1" x14ac:dyDescent="0.5">
      <c r="A133" s="289"/>
      <c r="B133" s="343"/>
      <c r="C133" s="325" t="s">
        <v>779</v>
      </c>
      <c r="D133" s="773"/>
      <c r="E133" s="431" t="e">
        <f ca="1">IF($BF134, "", "Trede (gemiddeld)")</f>
        <v>#VALUE!</v>
      </c>
      <c r="F133" s="737"/>
      <c r="G133" s="737"/>
      <c r="H133" s="737"/>
      <c r="I133" s="737"/>
      <c r="J133" s="737"/>
      <c r="K133" s="737"/>
      <c r="L133" s="737"/>
      <c r="M133" s="737"/>
      <c r="N133" s="737"/>
      <c r="O133" s="737"/>
      <c r="P133" s="737"/>
      <c r="Q133" s="737"/>
      <c r="R133" s="737"/>
      <c r="S133" s="737"/>
      <c r="T133" s="737"/>
      <c r="U133" s="740"/>
      <c r="V133" s="775"/>
      <c r="W133" s="294"/>
      <c r="X133" s="777"/>
      <c r="Y133" s="779"/>
      <c r="Z133" s="329"/>
      <c r="AA133" s="771"/>
      <c r="AB133" s="770"/>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row>
    <row r="134" spans="1:59" ht="16.05" customHeight="1" thickBot="1" x14ac:dyDescent="0.5">
      <c r="A134" s="289"/>
      <c r="B134" s="343"/>
      <c r="C134" s="325" t="s">
        <v>779</v>
      </c>
      <c r="E134" s="432" t="str">
        <f>IFERROR(
   INDEX('Hulp (CAO''s)'!$I$3:$I$7, MATCH(TRUE, 'Hulp (CAO''s)'!$D$3:$D$7, 0)),
"")</f>
        <v>Bruto maandsalaris</v>
      </c>
      <c r="F134" s="425" t="e" cm="1">
        <f t="array" aca="1" ref="F134" ca="1">IF($BF134, IF(F131="","",
   INDEX(
      INDIRECT("'" &amp; 'Hulp (CAO''s)'!$AE$8 &amp; "'!" &amp;
               'Hulp (overig)'!$C$17 &amp; "1:" &amp;
               'Hulp (overig)'!$C$17 &amp; "1000"),
      MATCH(
         F131,
         INDIRECT("'" &amp; 'Hulp (CAO''s)'!$AE$8 &amp; "'!A1:A1000"),
         0
      )
   )
), IF($D132="Gebruik % van maximum salaris",
IF(
    OR(F131="",F132=""),
    "",
    MAX(
        INDIRECT(
            "'" &amp; 'Hulp (overig)'!$C$16 &amp; "'!" &amp;
            'Hulp (overig)'!$C$17 &amp;
            MATCH(F131, INDIRECT("'" &amp; 'Hulp (overig)'!$C$16 &amp; "'!A1:A1000"), 0) &amp;
            ":" &amp;
            'Hulp (overig)'!$C$17 &amp;
LOOKUP(
    2,
    1 / (
        (ROW(INDIRECT("'" &amp; 'Hulp (overig)'!$C$16 &amp; "'!B1:B1000")) &lt;
            IF(G131&lt;&gt;"",
               MATCH(G131, INDIRECT("'" &amp; 'Hulp (overig)'!$C$16 &amp; "'!A1:A1000"),0),
               1000
            )
        ) *
        (LEFT(TRIM(INDIRECT("'" &amp; 'Hulp (overig)'!$C$16 &amp; "'!B1:B1000")),1) &lt;&gt; "u")
    ),
    ROW(INDIRECT("'" &amp; 'Hulp (overig)'!$C$16 &amp; "'!B1:B1000"))
)
        )
    ) * F132
),
IF(F133="","",
IF(
    IFERROR(MIN(
        IF(
            (TRIM(INDIRECT("'" &amp; 'Hulp (overig)'!$C$16 &amp; "'!B1:B1000")) = TEXT(F133,"0")) *
            (ROW(INDIRECT("'" &amp; 'Hulp (overig)'!$C$16 &amp; "'!B1:B1000")) &gt;= MATCH(
                F131,
                INDIRECT("'" &amp; 'Hulp (overig)'!$C$16 &amp; "'!A1:A1000"),
                0
            )) *
            IF(
                G131="",
                1,
                (ROW(INDIRECT("'" &amp; 'Hulp (overig)'!$C$16 &amp; "'!B1:B1000")) &lt; MATCH(
                    G131,
                    INDIRECT("'" &amp; 'Hulp (overig)'!$C$16 &amp; "'!A1:A1000"),
                    0
                ))
            ),
            ROW(INDIRECT("'" &amp; 'Hulp (overig)'!$C$16 &amp; "'!B1:B1000"))
        )
    ),0) &lt; 1,
    "",
    IF(INDEX(
        INDIRECT("'" &amp; 'Hulp (overig)'!$C$16 &amp; "'!" &amp;
        'Hulp (overig)'!$C$17 &amp; "1:" &amp; 'Hulp (overig)'!$C$17 &amp; 1000
        ),
        IFERROR(MIN(
            IF(
                (TRIM(INDIRECT("'" &amp; 'Hulp (overig)'!$C$16 &amp; "'!B1:B1000")) = TEXT(F133,"0")) *
                (ROW(INDIRECT("'" &amp; 'Hulp (overig)'!$C$16 &amp; "'!B1:B1000")) &gt;= MATCH(
                    F131,
                    INDIRECT("'" &amp; 'Hulp (overig)'!$C$16 &amp; "'!A1:A1000"),
                    0
                )) *
                IF(
                    G131="",
                    1,
                    (ROW(INDIRECT("'" &amp; 'Hulp (overig)'!$C$16 &amp; "'!B1:B1000")) &lt; MATCH(
                        G131,
                        INDIRECT("'" &amp; 'Hulp (overig)'!$C$16 &amp; "'!A1:A1000"),
                        0
                    ))
                ),
                ROW(INDIRECT("'" &amp; 'Hulp (overig)'!$C$16 &amp; "'!B1:B1000"))
            )
        ),0)
    )=0,"",
INDEX(
        INDIRECT("'" &amp; 'Hulp (overig)'!$C$16 &amp; "'!" &amp;
        'Hulp (overig)'!$C$17 &amp; "1:" &amp; 'Hulp (overig)'!$C$17 &amp; 1000
        ),
        IFERROR(MIN(
            IF(
                (TRIM(INDIRECT("'" &amp; 'Hulp (overig)'!$C$16 &amp; "'!B1:B1000")) = TEXT(F133,"0")) *
                (ROW(INDIRECT("'" &amp; 'Hulp (overig)'!$C$16 &amp; "'!B1:B1000")) &gt;= MATCH(
                    F131,
                    INDIRECT("'" &amp; 'Hulp (overig)'!$C$16 &amp; "'!A1:A1000"),
                    0
                )) *
                IF(
                    G131="",
                    1,
                    (ROW(INDIRECT("'" &amp; 'Hulp (overig)'!$C$16 &amp; "'!B1:B1000")) &lt; MATCH(
                        G131,
                        INDIRECT("'" &amp; 'Hulp (overig)'!$C$16 &amp; "'!A1:A1000"),
                        0
                    ))
                ),
                ROW(INDIRECT("'" &amp; 'Hulp (overig)'!$C$16 &amp; "'!B1:B1000"))
            )
        ),0)
    ))
))))</f>
        <v>#VALUE!</v>
      </c>
      <c r="G134" s="425" t="e" cm="1">
        <f t="array" aca="1" ref="G134" ca="1">IF($BF134, IF(G131="","",
   INDEX(
      INDIRECT("'" &amp; 'Hulp (CAO''s)'!$AE$8 &amp; "'!" &amp;
               'Hulp (overig)'!$C$17 &amp; "1:" &amp;
               'Hulp (overig)'!$C$17 &amp; "1000"),
      MATCH(
         G131,
         INDIRECT("'" &amp; 'Hulp (CAO''s)'!$AE$8 &amp; "'!A1:A1000"),
         0
      )
   )
), IF($D132="Gebruik % van maximum salaris",
IF(
    OR(G131="",G132=""),
    "",
    MAX(
        INDIRECT(
            "'" &amp; 'Hulp (overig)'!$C$16 &amp; "'!" &amp;
            'Hulp (overig)'!$C$17 &amp;
            MATCH(G131, INDIRECT("'" &amp; 'Hulp (overig)'!$C$16 &amp; "'!A1:A1000"), 0) &amp;
            ":" &amp;
            'Hulp (overig)'!$C$17 &amp;
LOOKUP(
    2,
    1 / (
        (ROW(INDIRECT("'" &amp; 'Hulp (overig)'!$C$16 &amp; "'!B1:B1000")) &lt;
            IF(H131&lt;&gt;"",
               MATCH(H131, INDIRECT("'" &amp; 'Hulp (overig)'!$C$16 &amp; "'!A1:A1000"),0),
               1000
            )
        ) *
        (LEFT(TRIM(INDIRECT("'" &amp; 'Hulp (overig)'!$C$16 &amp; "'!B1:B1000")),1) &lt;&gt; "u")
    ),
    ROW(INDIRECT("'" &amp; 'Hulp (overig)'!$C$16 &amp; "'!B1:B1000"))
)
        )
    ) * G132
),
IF(G133="","",
IF(
    IFERROR(MIN(
        IF(
            (TRIM(INDIRECT("'" &amp; 'Hulp (overig)'!$C$16 &amp; "'!B1:B1000")) = TEXT(G133,"0")) *
            (ROW(INDIRECT("'" &amp; 'Hulp (overig)'!$C$16 &amp; "'!B1:B1000")) &gt;= MATCH(
                G131,
                INDIRECT("'" &amp; 'Hulp (overig)'!$C$16 &amp; "'!A1:A1000"),
                0
            )) *
            IF(
                H131="",
                1,
                (ROW(INDIRECT("'" &amp; 'Hulp (overig)'!$C$16 &amp; "'!B1:B1000")) &lt; MATCH(
                    H131,
                    INDIRECT("'" &amp; 'Hulp (overig)'!$C$16 &amp; "'!A1:A1000"),
                    0
                ))
            ),
            ROW(INDIRECT("'" &amp; 'Hulp (overig)'!$C$16 &amp; "'!B1:B1000"))
        )
    ),0) &lt; 1,
    "",
    IF(INDEX(
        INDIRECT("'" &amp; 'Hulp (overig)'!$C$16 &amp; "'!" &amp;
        'Hulp (overig)'!$C$17 &amp; "1:" &amp; 'Hulp (overig)'!$C$17 &amp; 1000
        ),
        IFERROR(MIN(
            IF(
                (TRIM(INDIRECT("'" &amp; 'Hulp (overig)'!$C$16 &amp; "'!B1:B1000")) = TEXT(G133,"0")) *
                (ROW(INDIRECT("'" &amp; 'Hulp (overig)'!$C$16 &amp; "'!B1:B1000")) &gt;= MATCH(
                    G131,
                    INDIRECT("'" &amp; 'Hulp (overig)'!$C$16 &amp; "'!A1:A1000"),
                    0
                )) *
                IF(
                    H131="",
                    1,
                    (ROW(INDIRECT("'" &amp; 'Hulp (overig)'!$C$16 &amp; "'!B1:B1000")) &lt; MATCH(
                        H131,
                        INDIRECT("'" &amp; 'Hulp (overig)'!$C$16 &amp; "'!A1:A1000"),
                        0
                    ))
                ),
                ROW(INDIRECT("'" &amp; 'Hulp (overig)'!$C$16 &amp; "'!B1:B1000"))
            )
        ),0)
    )=0,"",
INDEX(
        INDIRECT("'" &amp; 'Hulp (overig)'!$C$16 &amp; "'!" &amp;
        'Hulp (overig)'!$C$17 &amp; "1:" &amp; 'Hulp (overig)'!$C$17 &amp; 1000
        ),
        IFERROR(MIN(
            IF(
                (TRIM(INDIRECT("'" &amp; 'Hulp (overig)'!$C$16 &amp; "'!B1:B1000")) = TEXT(G133,"0")) *
                (ROW(INDIRECT("'" &amp; 'Hulp (overig)'!$C$16 &amp; "'!B1:B1000")) &gt;= MATCH(
                    G131,
                    INDIRECT("'" &amp; 'Hulp (overig)'!$C$16 &amp; "'!A1:A1000"),
                    0
                )) *
                IF(
                    H131="",
                    1,
                    (ROW(INDIRECT("'" &amp; 'Hulp (overig)'!$C$16 &amp; "'!B1:B1000")) &lt; MATCH(
                        H131,
                        INDIRECT("'" &amp; 'Hulp (overig)'!$C$16 &amp; "'!A1:A1000"),
                        0
                    ))
                ),
                ROW(INDIRECT("'" &amp; 'Hulp (overig)'!$C$16 &amp; "'!B1:B1000"))
            )
        ),0)
    ))
))))</f>
        <v>#VALUE!</v>
      </c>
      <c r="H134" s="425" t="e" cm="1">
        <f t="array" aca="1" ref="H134" ca="1">IF($BF134, IF(H131="","",
   INDEX(
      INDIRECT("'" &amp; 'Hulp (CAO''s)'!$AE$8 &amp; "'!" &amp;
               'Hulp (overig)'!$C$17 &amp; "1:" &amp;
               'Hulp (overig)'!$C$17 &amp; "1000"),
      MATCH(
         H131,
         INDIRECT("'" &amp; 'Hulp (CAO''s)'!$AE$8 &amp; "'!A1:A1000"),
         0
      )
   )
), IF($D132="Gebruik % van maximum salaris",
IF(
    OR(H131="",H132=""),
    "",
    MAX(
        INDIRECT(
            "'" &amp; 'Hulp (overig)'!$C$16 &amp; "'!" &amp;
            'Hulp (overig)'!$C$17 &amp;
            MATCH(H131, INDIRECT("'" &amp; 'Hulp (overig)'!$C$16 &amp; "'!A1:A1000"), 0) &amp;
            ":" &amp;
            'Hulp (overig)'!$C$17 &amp;
LOOKUP(
    2,
    1 / (
        (ROW(INDIRECT("'" &amp; 'Hulp (overig)'!$C$16 &amp; "'!B1:B1000")) &lt;
            IF(I131&lt;&gt;"",
               MATCH(I131, INDIRECT("'" &amp; 'Hulp (overig)'!$C$16 &amp; "'!A1:A1000"),0),
               1000
            )
        ) *
        (LEFT(TRIM(INDIRECT("'" &amp; 'Hulp (overig)'!$C$16 &amp; "'!B1:B1000")),1) &lt;&gt; "u")
    ),
    ROW(INDIRECT("'" &amp; 'Hulp (overig)'!$C$16 &amp; "'!B1:B1000"))
)
        )
    ) * H132
),
IF(H133="","",
IF(
    IFERROR(MIN(
        IF(
            (TRIM(INDIRECT("'" &amp; 'Hulp (overig)'!$C$16 &amp; "'!B1:B1000")) = TEXT(H133,"0")) *
            (ROW(INDIRECT("'" &amp; 'Hulp (overig)'!$C$16 &amp; "'!B1:B1000")) &gt;= MATCH(
                H131,
                INDIRECT("'" &amp; 'Hulp (overig)'!$C$16 &amp; "'!A1:A1000"),
                0
            )) *
            IF(
                I131="",
                1,
                (ROW(INDIRECT("'" &amp; 'Hulp (overig)'!$C$16 &amp; "'!B1:B1000")) &lt; MATCH(
                    I131,
                    INDIRECT("'" &amp; 'Hulp (overig)'!$C$16 &amp; "'!A1:A1000"),
                    0
                ))
            ),
            ROW(INDIRECT("'" &amp; 'Hulp (overig)'!$C$16 &amp; "'!B1:B1000"))
        )
    ),0) &lt; 1,
    "",
    IF(INDEX(
        INDIRECT("'" &amp; 'Hulp (overig)'!$C$16 &amp; "'!" &amp;
        'Hulp (overig)'!$C$17 &amp; "1:" &amp; 'Hulp (overig)'!$C$17 &amp; 1000
        ),
        IFERROR(MIN(
            IF(
                (TRIM(INDIRECT("'" &amp; 'Hulp (overig)'!$C$16 &amp; "'!B1:B1000")) = TEXT(H133,"0")) *
                (ROW(INDIRECT("'" &amp; 'Hulp (overig)'!$C$16 &amp; "'!B1:B1000")) &gt;= MATCH(
                    H131,
                    INDIRECT("'" &amp; 'Hulp (overig)'!$C$16 &amp; "'!A1:A1000"),
                    0
                )) *
                IF(
                    I131="",
                    1,
                    (ROW(INDIRECT("'" &amp; 'Hulp (overig)'!$C$16 &amp; "'!B1:B1000")) &lt; MATCH(
                        I131,
                        INDIRECT("'" &amp; 'Hulp (overig)'!$C$16 &amp; "'!A1:A1000"),
                        0
                    ))
                ),
                ROW(INDIRECT("'" &amp; 'Hulp (overig)'!$C$16 &amp; "'!B1:B1000"))
            )
        ),0)
    )=0,"",
INDEX(
        INDIRECT("'" &amp; 'Hulp (overig)'!$C$16 &amp; "'!" &amp;
        'Hulp (overig)'!$C$17 &amp; "1:" &amp; 'Hulp (overig)'!$C$17 &amp; 1000
        ),
        IFERROR(MIN(
            IF(
                (TRIM(INDIRECT("'" &amp; 'Hulp (overig)'!$C$16 &amp; "'!B1:B1000")) = TEXT(H133,"0")) *
                (ROW(INDIRECT("'" &amp; 'Hulp (overig)'!$C$16 &amp; "'!B1:B1000")) &gt;= MATCH(
                    H131,
                    INDIRECT("'" &amp; 'Hulp (overig)'!$C$16 &amp; "'!A1:A1000"),
                    0
                )) *
                IF(
                    I131="",
                    1,
                    (ROW(INDIRECT("'" &amp; 'Hulp (overig)'!$C$16 &amp; "'!B1:B1000")) &lt; MATCH(
                        I131,
                        INDIRECT("'" &amp; 'Hulp (overig)'!$C$16 &amp; "'!A1:A1000"),
                        0
                    ))
                ),
                ROW(INDIRECT("'" &amp; 'Hulp (overig)'!$C$16 &amp; "'!B1:B1000"))
            )
        ),0)
    ))
))))</f>
        <v>#VALUE!</v>
      </c>
      <c r="I134" s="425" t="e" cm="1">
        <f t="array" aca="1" ref="I134" ca="1">IF($BF134, IF(I131="","",
   INDEX(
      INDIRECT("'" &amp; 'Hulp (CAO''s)'!$AE$8 &amp; "'!" &amp;
               'Hulp (overig)'!$C$17 &amp; "1:" &amp;
               'Hulp (overig)'!$C$17 &amp; "1000"),
      MATCH(
         I131,
         INDIRECT("'" &amp; 'Hulp (CAO''s)'!$AE$8 &amp; "'!A1:A1000"),
         0
      )
   )
), IF($D132="Gebruik % van maximum salaris",
IF(
    OR(I131="",I132=""),
    "",
    MAX(
        INDIRECT(
            "'" &amp; 'Hulp (overig)'!$C$16 &amp; "'!" &amp;
            'Hulp (overig)'!$C$17 &amp;
            MATCH(I131, INDIRECT("'" &amp; 'Hulp (overig)'!$C$16 &amp; "'!A1:A1000"), 0) &amp;
            ":" &amp;
            'Hulp (overig)'!$C$17 &amp;
LOOKUP(
    2,
    1 / (
        (ROW(INDIRECT("'" &amp; 'Hulp (overig)'!$C$16 &amp; "'!B1:B1000")) &lt;
            IF(J131&lt;&gt;"",
               MATCH(J131, INDIRECT("'" &amp; 'Hulp (overig)'!$C$16 &amp; "'!A1:A1000"),0),
               1000
            )
        ) *
        (LEFT(TRIM(INDIRECT("'" &amp; 'Hulp (overig)'!$C$16 &amp; "'!B1:B1000")),1) &lt;&gt; "u")
    ),
    ROW(INDIRECT("'" &amp; 'Hulp (overig)'!$C$16 &amp; "'!B1:B1000"))
)
        )
    ) * I132
),
IF(I133="","",
IF(
    IFERROR(MIN(
        IF(
            (TRIM(INDIRECT("'" &amp; 'Hulp (overig)'!$C$16 &amp; "'!B1:B1000")) = TEXT(I133,"0")) *
            (ROW(INDIRECT("'" &amp; 'Hulp (overig)'!$C$16 &amp; "'!B1:B1000")) &gt;= MATCH(
                I131,
                INDIRECT("'" &amp; 'Hulp (overig)'!$C$16 &amp; "'!A1:A1000"),
                0
            )) *
            IF(
                J131="",
                1,
                (ROW(INDIRECT("'" &amp; 'Hulp (overig)'!$C$16 &amp; "'!B1:B1000")) &lt; MATCH(
                    J131,
                    INDIRECT("'" &amp; 'Hulp (overig)'!$C$16 &amp; "'!A1:A1000"),
                    0
                ))
            ),
            ROW(INDIRECT("'" &amp; 'Hulp (overig)'!$C$16 &amp; "'!B1:B1000"))
        )
    ),0) &lt; 1,
    "",
    IF(INDEX(
        INDIRECT("'" &amp; 'Hulp (overig)'!$C$16 &amp; "'!" &amp;
        'Hulp (overig)'!$C$17 &amp; "1:" &amp; 'Hulp (overig)'!$C$17 &amp; 1000
        ),
        IFERROR(MIN(
            IF(
                (TRIM(INDIRECT("'" &amp; 'Hulp (overig)'!$C$16 &amp; "'!B1:B1000")) = TEXT(I133,"0")) *
                (ROW(INDIRECT("'" &amp; 'Hulp (overig)'!$C$16 &amp; "'!B1:B1000")) &gt;= MATCH(
                    I131,
                    INDIRECT("'" &amp; 'Hulp (overig)'!$C$16 &amp; "'!A1:A1000"),
                    0
                )) *
                IF(
                    J131="",
                    1,
                    (ROW(INDIRECT("'" &amp; 'Hulp (overig)'!$C$16 &amp; "'!B1:B1000")) &lt; MATCH(
                        J131,
                        INDIRECT("'" &amp; 'Hulp (overig)'!$C$16 &amp; "'!A1:A1000"),
                        0
                    ))
                ),
                ROW(INDIRECT("'" &amp; 'Hulp (overig)'!$C$16 &amp; "'!B1:B1000"))
            )
        ),0)
    )=0,"",
INDEX(
        INDIRECT("'" &amp; 'Hulp (overig)'!$C$16 &amp; "'!" &amp;
        'Hulp (overig)'!$C$17 &amp; "1:" &amp; 'Hulp (overig)'!$C$17 &amp; 1000
        ),
        IFERROR(MIN(
            IF(
                (TRIM(INDIRECT("'" &amp; 'Hulp (overig)'!$C$16 &amp; "'!B1:B1000")) = TEXT(I133,"0")) *
                (ROW(INDIRECT("'" &amp; 'Hulp (overig)'!$C$16 &amp; "'!B1:B1000")) &gt;= MATCH(
                    I131,
                    INDIRECT("'" &amp; 'Hulp (overig)'!$C$16 &amp; "'!A1:A1000"),
                    0
                )) *
                IF(
                    J131="",
                    1,
                    (ROW(INDIRECT("'" &amp; 'Hulp (overig)'!$C$16 &amp; "'!B1:B1000")) &lt; MATCH(
                        J131,
                        INDIRECT("'" &amp; 'Hulp (overig)'!$C$16 &amp; "'!A1:A1000"),
                        0
                    ))
                ),
                ROW(INDIRECT("'" &amp; 'Hulp (overig)'!$C$16 &amp; "'!B1:B1000"))
            )
        ),0)
    ))
))))</f>
        <v>#VALUE!</v>
      </c>
      <c r="J134" s="425" t="e" cm="1">
        <f t="array" aca="1" ref="J134" ca="1">IF($BF134, IF(J131="","",
   INDEX(
      INDIRECT("'" &amp; 'Hulp (CAO''s)'!$AE$8 &amp; "'!" &amp;
               'Hulp (overig)'!$C$17 &amp; "1:" &amp;
               'Hulp (overig)'!$C$17 &amp; "1000"),
      MATCH(
         J131,
         INDIRECT("'" &amp; 'Hulp (CAO''s)'!$AE$8 &amp; "'!A1:A1000"),
         0
      )
   )
), IF($D132="Gebruik % van maximum salaris",
IF(
    OR(J131="",J132=""),
    "",
    MAX(
        INDIRECT(
            "'" &amp; 'Hulp (overig)'!$C$16 &amp; "'!" &amp;
            'Hulp (overig)'!$C$17 &amp;
            MATCH(J131, INDIRECT("'" &amp; 'Hulp (overig)'!$C$16 &amp; "'!A1:A1000"), 0) &amp;
            ":" &amp;
            'Hulp (overig)'!$C$17 &amp;
LOOKUP(
    2,
    1 / (
        (ROW(INDIRECT("'" &amp; 'Hulp (overig)'!$C$16 &amp; "'!B1:B1000")) &lt;
            IF(K131&lt;&gt;"",
               MATCH(K131, INDIRECT("'" &amp; 'Hulp (overig)'!$C$16 &amp; "'!A1:A1000"),0),
               1000
            )
        ) *
        (LEFT(TRIM(INDIRECT("'" &amp; 'Hulp (overig)'!$C$16 &amp; "'!B1:B1000")),1) &lt;&gt; "u")
    ),
    ROW(INDIRECT("'" &amp; 'Hulp (overig)'!$C$16 &amp; "'!B1:B1000"))
)
        )
    ) * J132
),
IF(J133="","",
IF(
    IFERROR(MIN(
        IF(
            (TRIM(INDIRECT("'" &amp; 'Hulp (overig)'!$C$16 &amp; "'!B1:B1000")) = TEXT(J133,"0")) *
            (ROW(INDIRECT("'" &amp; 'Hulp (overig)'!$C$16 &amp; "'!B1:B1000")) &gt;= MATCH(
                J131,
                INDIRECT("'" &amp; 'Hulp (overig)'!$C$16 &amp; "'!A1:A1000"),
                0
            )) *
            IF(
                K131="",
                1,
                (ROW(INDIRECT("'" &amp; 'Hulp (overig)'!$C$16 &amp; "'!B1:B1000")) &lt; MATCH(
                    K131,
                    INDIRECT("'" &amp; 'Hulp (overig)'!$C$16 &amp; "'!A1:A1000"),
                    0
                ))
            ),
            ROW(INDIRECT("'" &amp; 'Hulp (overig)'!$C$16 &amp; "'!B1:B1000"))
        )
    ),0) &lt; 1,
    "",
    IF(INDEX(
        INDIRECT("'" &amp; 'Hulp (overig)'!$C$16 &amp; "'!" &amp;
        'Hulp (overig)'!$C$17 &amp; "1:" &amp; 'Hulp (overig)'!$C$17 &amp; 1000
        ),
        IFERROR(MIN(
            IF(
                (TRIM(INDIRECT("'" &amp; 'Hulp (overig)'!$C$16 &amp; "'!B1:B1000")) = TEXT(J133,"0")) *
                (ROW(INDIRECT("'" &amp; 'Hulp (overig)'!$C$16 &amp; "'!B1:B1000")) &gt;= MATCH(
                    J131,
                    INDIRECT("'" &amp; 'Hulp (overig)'!$C$16 &amp; "'!A1:A1000"),
                    0
                )) *
                IF(
                    K131="",
                    1,
                    (ROW(INDIRECT("'" &amp; 'Hulp (overig)'!$C$16 &amp; "'!B1:B1000")) &lt; MATCH(
                        K131,
                        INDIRECT("'" &amp; 'Hulp (overig)'!$C$16 &amp; "'!A1:A1000"),
                        0
                    ))
                ),
                ROW(INDIRECT("'" &amp; 'Hulp (overig)'!$C$16 &amp; "'!B1:B1000"))
            )
        ),0)
    )=0,"",
INDEX(
        INDIRECT("'" &amp; 'Hulp (overig)'!$C$16 &amp; "'!" &amp;
        'Hulp (overig)'!$C$17 &amp; "1:" &amp; 'Hulp (overig)'!$C$17 &amp; 1000
        ),
        IFERROR(MIN(
            IF(
                (TRIM(INDIRECT("'" &amp; 'Hulp (overig)'!$C$16 &amp; "'!B1:B1000")) = TEXT(J133,"0")) *
                (ROW(INDIRECT("'" &amp; 'Hulp (overig)'!$C$16 &amp; "'!B1:B1000")) &gt;= MATCH(
                    J131,
                    INDIRECT("'" &amp; 'Hulp (overig)'!$C$16 &amp; "'!A1:A1000"),
                    0
                )) *
                IF(
                    K131="",
                    1,
                    (ROW(INDIRECT("'" &amp; 'Hulp (overig)'!$C$16 &amp; "'!B1:B1000")) &lt; MATCH(
                        K131,
                        INDIRECT("'" &amp; 'Hulp (overig)'!$C$16 &amp; "'!A1:A1000"),
                        0
                    ))
                ),
                ROW(INDIRECT("'" &amp; 'Hulp (overig)'!$C$16 &amp; "'!B1:B1000"))
            )
        ),0)
    ))
))))</f>
        <v>#VALUE!</v>
      </c>
      <c r="K134" s="425" t="e" cm="1">
        <f t="array" aca="1" ref="K134" ca="1">IF($BF134, IF(K131="","",
   INDEX(
      INDIRECT("'" &amp; 'Hulp (CAO''s)'!$AE$8 &amp; "'!" &amp;
               'Hulp (overig)'!$C$17 &amp; "1:" &amp;
               'Hulp (overig)'!$C$17 &amp; "1000"),
      MATCH(
         K131,
         INDIRECT("'" &amp; 'Hulp (CAO''s)'!$AE$8 &amp; "'!A1:A1000"),
         0
      )
   )
), IF($D132="Gebruik % van maximum salaris",
IF(
    OR(K131="",K132=""),
    "",
    MAX(
        INDIRECT(
            "'" &amp; 'Hulp (overig)'!$C$16 &amp; "'!" &amp;
            'Hulp (overig)'!$C$17 &amp;
            MATCH(K131, INDIRECT("'" &amp; 'Hulp (overig)'!$C$16 &amp; "'!A1:A1000"), 0) &amp;
            ":" &amp;
            'Hulp (overig)'!$C$17 &amp;
LOOKUP(
    2,
    1 / (
        (ROW(INDIRECT("'" &amp; 'Hulp (overig)'!$C$16 &amp; "'!B1:B1000")) &lt;
            IF(L131&lt;&gt;"",
               MATCH(L131, INDIRECT("'" &amp; 'Hulp (overig)'!$C$16 &amp; "'!A1:A1000"),0),
               1000
            )
        ) *
        (LEFT(TRIM(INDIRECT("'" &amp; 'Hulp (overig)'!$C$16 &amp; "'!B1:B1000")),1) &lt;&gt; "u")
    ),
    ROW(INDIRECT("'" &amp; 'Hulp (overig)'!$C$16 &amp; "'!B1:B1000"))
)
        )
    ) * K132
),
IF(K133="","",
IF(
    IFERROR(MIN(
        IF(
            (TRIM(INDIRECT("'" &amp; 'Hulp (overig)'!$C$16 &amp; "'!B1:B1000")) = TEXT(K133,"0")) *
            (ROW(INDIRECT("'" &amp; 'Hulp (overig)'!$C$16 &amp; "'!B1:B1000")) &gt;= MATCH(
                K131,
                INDIRECT("'" &amp; 'Hulp (overig)'!$C$16 &amp; "'!A1:A1000"),
                0
            )) *
            IF(
                L131="",
                1,
                (ROW(INDIRECT("'" &amp; 'Hulp (overig)'!$C$16 &amp; "'!B1:B1000")) &lt; MATCH(
                    L131,
                    INDIRECT("'" &amp; 'Hulp (overig)'!$C$16 &amp; "'!A1:A1000"),
                    0
                ))
            ),
            ROW(INDIRECT("'" &amp; 'Hulp (overig)'!$C$16 &amp; "'!B1:B1000"))
        )
    ),0) &lt; 1,
    "",
    IF(INDEX(
        INDIRECT("'" &amp; 'Hulp (overig)'!$C$16 &amp; "'!" &amp;
        'Hulp (overig)'!$C$17 &amp; "1:" &amp; 'Hulp (overig)'!$C$17 &amp; 1000
        ),
        IFERROR(MIN(
            IF(
                (TRIM(INDIRECT("'" &amp; 'Hulp (overig)'!$C$16 &amp; "'!B1:B1000")) = TEXT(K133,"0")) *
                (ROW(INDIRECT("'" &amp; 'Hulp (overig)'!$C$16 &amp; "'!B1:B1000")) &gt;= MATCH(
                    K131,
                    INDIRECT("'" &amp; 'Hulp (overig)'!$C$16 &amp; "'!A1:A1000"),
                    0
                )) *
                IF(
                    L131="",
                    1,
                    (ROW(INDIRECT("'" &amp; 'Hulp (overig)'!$C$16 &amp; "'!B1:B1000")) &lt; MATCH(
                        L131,
                        INDIRECT("'" &amp; 'Hulp (overig)'!$C$16 &amp; "'!A1:A1000"),
                        0
                    ))
                ),
                ROW(INDIRECT("'" &amp; 'Hulp (overig)'!$C$16 &amp; "'!B1:B1000"))
            )
        ),0)
    )=0,"",
INDEX(
        INDIRECT("'" &amp; 'Hulp (overig)'!$C$16 &amp; "'!" &amp;
        'Hulp (overig)'!$C$17 &amp; "1:" &amp; 'Hulp (overig)'!$C$17 &amp; 1000
        ),
        IFERROR(MIN(
            IF(
                (TRIM(INDIRECT("'" &amp; 'Hulp (overig)'!$C$16 &amp; "'!B1:B1000")) = TEXT(K133,"0")) *
                (ROW(INDIRECT("'" &amp; 'Hulp (overig)'!$C$16 &amp; "'!B1:B1000")) &gt;= MATCH(
                    K131,
                    INDIRECT("'" &amp; 'Hulp (overig)'!$C$16 &amp; "'!A1:A1000"),
                    0
                )) *
                IF(
                    L131="",
                    1,
                    (ROW(INDIRECT("'" &amp; 'Hulp (overig)'!$C$16 &amp; "'!B1:B1000")) &lt; MATCH(
                        L131,
                        INDIRECT("'" &amp; 'Hulp (overig)'!$C$16 &amp; "'!A1:A1000"),
                        0
                    ))
                ),
                ROW(INDIRECT("'" &amp; 'Hulp (overig)'!$C$16 &amp; "'!B1:B1000"))
            )
        ),0)
    ))
))))</f>
        <v>#VALUE!</v>
      </c>
      <c r="L134" s="425" t="e" cm="1">
        <f t="array" aca="1" ref="L134" ca="1">IF($BF134, IF(L131="","",
   INDEX(
      INDIRECT("'" &amp; 'Hulp (CAO''s)'!$AE$8 &amp; "'!" &amp;
               'Hulp (overig)'!$C$17 &amp; "1:" &amp;
               'Hulp (overig)'!$C$17 &amp; "1000"),
      MATCH(
         L131,
         INDIRECT("'" &amp; 'Hulp (CAO''s)'!$AE$8 &amp; "'!A1:A1000"),
         0
      )
   )
), IF($D132="Gebruik % van maximum salaris",
IF(
    OR(L131="",L132=""),
    "",
    MAX(
        INDIRECT(
            "'" &amp; 'Hulp (overig)'!$C$16 &amp; "'!" &amp;
            'Hulp (overig)'!$C$17 &amp;
            MATCH(L131, INDIRECT("'" &amp; 'Hulp (overig)'!$C$16 &amp; "'!A1:A1000"), 0) &amp;
            ":" &amp;
            'Hulp (overig)'!$C$17 &amp;
LOOKUP(
    2,
    1 / (
        (ROW(INDIRECT("'" &amp; 'Hulp (overig)'!$C$16 &amp; "'!B1:B1000")) &lt;
            IF(M131&lt;&gt;"",
               MATCH(M131, INDIRECT("'" &amp; 'Hulp (overig)'!$C$16 &amp; "'!A1:A1000"),0),
               1000
            )
        ) *
        (LEFT(TRIM(INDIRECT("'" &amp; 'Hulp (overig)'!$C$16 &amp; "'!B1:B1000")),1) &lt;&gt; "u")
    ),
    ROW(INDIRECT("'" &amp; 'Hulp (overig)'!$C$16 &amp; "'!B1:B1000"))
)
        )
    ) * L132
),
IF(L133="","",
IF(
    IFERROR(MIN(
        IF(
            (TRIM(INDIRECT("'" &amp; 'Hulp (overig)'!$C$16 &amp; "'!B1:B1000")) = TEXT(L133,"0")) *
            (ROW(INDIRECT("'" &amp; 'Hulp (overig)'!$C$16 &amp; "'!B1:B1000")) &gt;= MATCH(
                L131,
                INDIRECT("'" &amp; 'Hulp (overig)'!$C$16 &amp; "'!A1:A1000"),
                0
            )) *
            IF(
                M131="",
                1,
                (ROW(INDIRECT("'" &amp; 'Hulp (overig)'!$C$16 &amp; "'!B1:B1000")) &lt; MATCH(
                    M131,
                    INDIRECT("'" &amp; 'Hulp (overig)'!$C$16 &amp; "'!A1:A1000"),
                    0
                ))
            ),
            ROW(INDIRECT("'" &amp; 'Hulp (overig)'!$C$16 &amp; "'!B1:B1000"))
        )
    ),0) &lt; 1,
    "",
    IF(INDEX(
        INDIRECT("'" &amp; 'Hulp (overig)'!$C$16 &amp; "'!" &amp;
        'Hulp (overig)'!$C$17 &amp; "1:" &amp; 'Hulp (overig)'!$C$17 &amp; 1000
        ),
        IFERROR(MIN(
            IF(
                (TRIM(INDIRECT("'" &amp; 'Hulp (overig)'!$C$16 &amp; "'!B1:B1000")) = TEXT(L133,"0")) *
                (ROW(INDIRECT("'" &amp; 'Hulp (overig)'!$C$16 &amp; "'!B1:B1000")) &gt;= MATCH(
                    L131,
                    INDIRECT("'" &amp; 'Hulp (overig)'!$C$16 &amp; "'!A1:A1000"),
                    0
                )) *
                IF(
                    M131="",
                    1,
                    (ROW(INDIRECT("'" &amp; 'Hulp (overig)'!$C$16 &amp; "'!B1:B1000")) &lt; MATCH(
                        M131,
                        INDIRECT("'" &amp; 'Hulp (overig)'!$C$16 &amp; "'!A1:A1000"),
                        0
                    ))
                ),
                ROW(INDIRECT("'" &amp; 'Hulp (overig)'!$C$16 &amp; "'!B1:B1000"))
            )
        ),0)
    )=0,"",
INDEX(
        INDIRECT("'" &amp; 'Hulp (overig)'!$C$16 &amp; "'!" &amp;
        'Hulp (overig)'!$C$17 &amp; "1:" &amp; 'Hulp (overig)'!$C$17 &amp; 1000
        ),
        IFERROR(MIN(
            IF(
                (TRIM(INDIRECT("'" &amp; 'Hulp (overig)'!$C$16 &amp; "'!B1:B1000")) = TEXT(L133,"0")) *
                (ROW(INDIRECT("'" &amp; 'Hulp (overig)'!$C$16 &amp; "'!B1:B1000")) &gt;= MATCH(
                    L131,
                    INDIRECT("'" &amp; 'Hulp (overig)'!$C$16 &amp; "'!A1:A1000"),
                    0
                )) *
                IF(
                    M131="",
                    1,
                    (ROW(INDIRECT("'" &amp; 'Hulp (overig)'!$C$16 &amp; "'!B1:B1000")) &lt; MATCH(
                        M131,
                        INDIRECT("'" &amp; 'Hulp (overig)'!$C$16 &amp; "'!A1:A1000"),
                        0
                    ))
                ),
                ROW(INDIRECT("'" &amp; 'Hulp (overig)'!$C$16 &amp; "'!B1:B1000"))
            )
        ),0)
    ))
))))</f>
        <v>#VALUE!</v>
      </c>
      <c r="M134" s="425" t="e" cm="1">
        <f t="array" aca="1" ref="M134" ca="1">IF($BF134, IF(M131="","",
   INDEX(
      INDIRECT("'" &amp; 'Hulp (CAO''s)'!$AE$8 &amp; "'!" &amp;
               'Hulp (overig)'!$C$17 &amp; "1:" &amp;
               'Hulp (overig)'!$C$17 &amp; "1000"),
      MATCH(
         M131,
         INDIRECT("'" &amp; 'Hulp (CAO''s)'!$AE$8 &amp; "'!A1:A1000"),
         0
      )
   )
), IF($D132="Gebruik % van maximum salaris",
IF(
    OR(M131="",M132=""),
    "",
    MAX(
        INDIRECT(
            "'" &amp; 'Hulp (overig)'!$C$16 &amp; "'!" &amp;
            'Hulp (overig)'!$C$17 &amp;
            MATCH(M131, INDIRECT("'" &amp; 'Hulp (overig)'!$C$16 &amp; "'!A1:A1000"), 0) &amp;
            ":" &amp;
            'Hulp (overig)'!$C$17 &amp;
LOOKUP(
    2,
    1 / (
        (ROW(INDIRECT("'" &amp; 'Hulp (overig)'!$C$16 &amp; "'!B1:B1000")) &lt;
            IF(N131&lt;&gt;"",
               MATCH(N131, INDIRECT("'" &amp; 'Hulp (overig)'!$C$16 &amp; "'!A1:A1000"),0),
               1000
            )
        ) *
        (LEFT(TRIM(INDIRECT("'" &amp; 'Hulp (overig)'!$C$16 &amp; "'!B1:B1000")),1) &lt;&gt; "u")
    ),
    ROW(INDIRECT("'" &amp; 'Hulp (overig)'!$C$16 &amp; "'!B1:B1000"))
)
        )
    ) * M132
),
IF(M133="","",
IF(
    IFERROR(MIN(
        IF(
            (TRIM(INDIRECT("'" &amp; 'Hulp (overig)'!$C$16 &amp; "'!B1:B1000")) = TEXT(M133,"0")) *
            (ROW(INDIRECT("'" &amp; 'Hulp (overig)'!$C$16 &amp; "'!B1:B1000")) &gt;= MATCH(
                M131,
                INDIRECT("'" &amp; 'Hulp (overig)'!$C$16 &amp; "'!A1:A1000"),
                0
            )) *
            IF(
                N131="",
                1,
                (ROW(INDIRECT("'" &amp; 'Hulp (overig)'!$C$16 &amp; "'!B1:B1000")) &lt; MATCH(
                    N131,
                    INDIRECT("'" &amp; 'Hulp (overig)'!$C$16 &amp; "'!A1:A1000"),
                    0
                ))
            ),
            ROW(INDIRECT("'" &amp; 'Hulp (overig)'!$C$16 &amp; "'!B1:B1000"))
        )
    ),0) &lt; 1,
    "",
    IF(INDEX(
        INDIRECT("'" &amp; 'Hulp (overig)'!$C$16 &amp; "'!" &amp;
        'Hulp (overig)'!$C$17 &amp; "1:" &amp; 'Hulp (overig)'!$C$17 &amp; 1000
        ),
        IFERROR(MIN(
            IF(
                (TRIM(INDIRECT("'" &amp; 'Hulp (overig)'!$C$16 &amp; "'!B1:B1000")) = TEXT(M133,"0")) *
                (ROW(INDIRECT("'" &amp; 'Hulp (overig)'!$C$16 &amp; "'!B1:B1000")) &gt;= MATCH(
                    M131,
                    INDIRECT("'" &amp; 'Hulp (overig)'!$C$16 &amp; "'!A1:A1000"),
                    0
                )) *
                IF(
                    N131="",
                    1,
                    (ROW(INDIRECT("'" &amp; 'Hulp (overig)'!$C$16 &amp; "'!B1:B1000")) &lt; MATCH(
                        N131,
                        INDIRECT("'" &amp; 'Hulp (overig)'!$C$16 &amp; "'!A1:A1000"),
                        0
                    ))
                ),
                ROW(INDIRECT("'" &amp; 'Hulp (overig)'!$C$16 &amp; "'!B1:B1000"))
            )
        ),0)
    )=0,"",
INDEX(
        INDIRECT("'" &amp; 'Hulp (overig)'!$C$16 &amp; "'!" &amp;
        'Hulp (overig)'!$C$17 &amp; "1:" &amp; 'Hulp (overig)'!$C$17 &amp; 1000
        ),
        IFERROR(MIN(
            IF(
                (TRIM(INDIRECT("'" &amp; 'Hulp (overig)'!$C$16 &amp; "'!B1:B1000")) = TEXT(M133,"0")) *
                (ROW(INDIRECT("'" &amp; 'Hulp (overig)'!$C$16 &amp; "'!B1:B1000")) &gt;= MATCH(
                    M131,
                    INDIRECT("'" &amp; 'Hulp (overig)'!$C$16 &amp; "'!A1:A1000"),
                    0
                )) *
                IF(
                    N131="",
                    1,
                    (ROW(INDIRECT("'" &amp; 'Hulp (overig)'!$C$16 &amp; "'!B1:B1000")) &lt; MATCH(
                        N131,
                        INDIRECT("'" &amp; 'Hulp (overig)'!$C$16 &amp; "'!A1:A1000"),
                        0
                    ))
                ),
                ROW(INDIRECT("'" &amp; 'Hulp (overig)'!$C$16 &amp; "'!B1:B1000"))
            )
        ),0)
    ))
))))</f>
        <v>#VALUE!</v>
      </c>
      <c r="N134" s="425" t="e" cm="1">
        <f t="array" aca="1" ref="N134" ca="1">IF($BF134, IF(N131="","",
   INDEX(
      INDIRECT("'" &amp; 'Hulp (CAO''s)'!$AE$8 &amp; "'!" &amp;
               'Hulp (overig)'!$C$17 &amp; "1:" &amp;
               'Hulp (overig)'!$C$17 &amp; "1000"),
      MATCH(
         N131,
         INDIRECT("'" &amp; 'Hulp (CAO''s)'!$AE$8 &amp; "'!A1:A1000"),
         0
      )
   )
), IF($D132="Gebruik % van maximum salaris",
IF(
    OR(N131="",N132=""),
    "",
    MAX(
        INDIRECT(
            "'" &amp; 'Hulp (overig)'!$C$16 &amp; "'!" &amp;
            'Hulp (overig)'!$C$17 &amp;
            MATCH(N131, INDIRECT("'" &amp; 'Hulp (overig)'!$C$16 &amp; "'!A1:A1000"), 0) &amp;
            ":" &amp;
            'Hulp (overig)'!$C$17 &amp;
LOOKUP(
    2,
    1 / (
        (ROW(INDIRECT("'" &amp; 'Hulp (overig)'!$C$16 &amp; "'!B1:B1000")) &lt;
            IF(O131&lt;&gt;"",
               MATCH(O131, INDIRECT("'" &amp; 'Hulp (overig)'!$C$16 &amp; "'!A1:A1000"),0),
               1000
            )
        ) *
        (LEFT(TRIM(INDIRECT("'" &amp; 'Hulp (overig)'!$C$16 &amp; "'!B1:B1000")),1) &lt;&gt; "u")
    ),
    ROW(INDIRECT("'" &amp; 'Hulp (overig)'!$C$16 &amp; "'!B1:B1000"))
)
        )
    ) * N132
),
IF(N133="","",
IF(
    IFERROR(MIN(
        IF(
            (TRIM(INDIRECT("'" &amp; 'Hulp (overig)'!$C$16 &amp; "'!B1:B1000")) = TEXT(N133,"0")) *
            (ROW(INDIRECT("'" &amp; 'Hulp (overig)'!$C$16 &amp; "'!B1:B1000")) &gt;= MATCH(
                N131,
                INDIRECT("'" &amp; 'Hulp (overig)'!$C$16 &amp; "'!A1:A1000"),
                0
            )) *
            IF(
                O131="",
                1,
                (ROW(INDIRECT("'" &amp; 'Hulp (overig)'!$C$16 &amp; "'!B1:B1000")) &lt; MATCH(
                    O131,
                    INDIRECT("'" &amp; 'Hulp (overig)'!$C$16 &amp; "'!A1:A1000"),
                    0
                ))
            ),
            ROW(INDIRECT("'" &amp; 'Hulp (overig)'!$C$16 &amp; "'!B1:B1000"))
        )
    ),0) &lt; 1,
    "",
    IF(INDEX(
        INDIRECT("'" &amp; 'Hulp (overig)'!$C$16 &amp; "'!" &amp;
        'Hulp (overig)'!$C$17 &amp; "1:" &amp; 'Hulp (overig)'!$C$17 &amp; 1000
        ),
        IFERROR(MIN(
            IF(
                (TRIM(INDIRECT("'" &amp; 'Hulp (overig)'!$C$16 &amp; "'!B1:B1000")) = TEXT(N133,"0")) *
                (ROW(INDIRECT("'" &amp; 'Hulp (overig)'!$C$16 &amp; "'!B1:B1000")) &gt;= MATCH(
                    N131,
                    INDIRECT("'" &amp; 'Hulp (overig)'!$C$16 &amp; "'!A1:A1000"),
                    0
                )) *
                IF(
                    O131="",
                    1,
                    (ROW(INDIRECT("'" &amp; 'Hulp (overig)'!$C$16 &amp; "'!B1:B1000")) &lt; MATCH(
                        O131,
                        INDIRECT("'" &amp; 'Hulp (overig)'!$C$16 &amp; "'!A1:A1000"),
                        0
                    ))
                ),
                ROW(INDIRECT("'" &amp; 'Hulp (overig)'!$C$16 &amp; "'!B1:B1000"))
            )
        ),0)
    )=0,"",
INDEX(
        INDIRECT("'" &amp; 'Hulp (overig)'!$C$16 &amp; "'!" &amp;
        'Hulp (overig)'!$C$17 &amp; "1:" &amp; 'Hulp (overig)'!$C$17 &amp; 1000
        ),
        IFERROR(MIN(
            IF(
                (TRIM(INDIRECT("'" &amp; 'Hulp (overig)'!$C$16 &amp; "'!B1:B1000")) = TEXT(N133,"0")) *
                (ROW(INDIRECT("'" &amp; 'Hulp (overig)'!$C$16 &amp; "'!B1:B1000")) &gt;= MATCH(
                    N131,
                    INDIRECT("'" &amp; 'Hulp (overig)'!$C$16 &amp; "'!A1:A1000"),
                    0
                )) *
                IF(
                    O131="",
                    1,
                    (ROW(INDIRECT("'" &amp; 'Hulp (overig)'!$C$16 &amp; "'!B1:B1000")) &lt; MATCH(
                        O131,
                        INDIRECT("'" &amp; 'Hulp (overig)'!$C$16 &amp; "'!A1:A1000"),
                        0
                    ))
                ),
                ROW(INDIRECT("'" &amp; 'Hulp (overig)'!$C$16 &amp; "'!B1:B1000"))
            )
        ),0)
    ))
))))</f>
        <v>#VALUE!</v>
      </c>
      <c r="O134" s="425" t="e" cm="1">
        <f t="array" aca="1" ref="O134" ca="1">IF($BF134, IF(O131="","",
   INDEX(
      INDIRECT("'" &amp; 'Hulp (CAO''s)'!$AE$8 &amp; "'!" &amp;
               'Hulp (overig)'!$C$17 &amp; "1:" &amp;
               'Hulp (overig)'!$C$17 &amp; "1000"),
      MATCH(
         O131,
         INDIRECT("'" &amp; 'Hulp (CAO''s)'!$AE$8 &amp; "'!A1:A1000"),
         0
      )
   )
), IF($D132="Gebruik % van maximum salaris",
IF(
    OR(O131="",O132=""),
    "",
    MAX(
        INDIRECT(
            "'" &amp; 'Hulp (overig)'!$C$16 &amp; "'!" &amp;
            'Hulp (overig)'!$C$17 &amp;
            MATCH(O131, INDIRECT("'" &amp; 'Hulp (overig)'!$C$16 &amp; "'!A1:A1000"), 0) &amp;
            ":" &amp;
            'Hulp (overig)'!$C$17 &amp;
LOOKUP(
    2,
    1 / (
        (ROW(INDIRECT("'" &amp; 'Hulp (overig)'!$C$16 &amp; "'!B1:B1000")) &lt;
            IF(P131&lt;&gt;"",
               MATCH(P131, INDIRECT("'" &amp; 'Hulp (overig)'!$C$16 &amp; "'!A1:A1000"),0),
               1000
            )
        ) *
        (LEFT(TRIM(INDIRECT("'" &amp; 'Hulp (overig)'!$C$16 &amp; "'!B1:B1000")),1) &lt;&gt; "u")
    ),
    ROW(INDIRECT("'" &amp; 'Hulp (overig)'!$C$16 &amp; "'!B1:B1000"))
)
        )
    ) * O132
),
IF(O133="","",
IF(
    IFERROR(MIN(
        IF(
            (TRIM(INDIRECT("'" &amp; 'Hulp (overig)'!$C$16 &amp; "'!B1:B1000")) = TEXT(O133,"0")) *
            (ROW(INDIRECT("'" &amp; 'Hulp (overig)'!$C$16 &amp; "'!B1:B1000")) &gt;= MATCH(
                O131,
                INDIRECT("'" &amp; 'Hulp (overig)'!$C$16 &amp; "'!A1:A1000"),
                0
            )) *
            IF(
                P131="",
                1,
                (ROW(INDIRECT("'" &amp; 'Hulp (overig)'!$C$16 &amp; "'!B1:B1000")) &lt; MATCH(
                    P131,
                    INDIRECT("'" &amp; 'Hulp (overig)'!$C$16 &amp; "'!A1:A1000"),
                    0
                ))
            ),
            ROW(INDIRECT("'" &amp; 'Hulp (overig)'!$C$16 &amp; "'!B1:B1000"))
        )
    ),0) &lt; 1,
    "",
    IF(INDEX(
        INDIRECT("'" &amp; 'Hulp (overig)'!$C$16 &amp; "'!" &amp;
        'Hulp (overig)'!$C$17 &amp; "1:" &amp; 'Hulp (overig)'!$C$17 &amp; 1000
        ),
        IFERROR(MIN(
            IF(
                (TRIM(INDIRECT("'" &amp; 'Hulp (overig)'!$C$16 &amp; "'!B1:B1000")) = TEXT(O133,"0")) *
                (ROW(INDIRECT("'" &amp; 'Hulp (overig)'!$C$16 &amp; "'!B1:B1000")) &gt;= MATCH(
                    O131,
                    INDIRECT("'" &amp; 'Hulp (overig)'!$C$16 &amp; "'!A1:A1000"),
                    0
                )) *
                IF(
                    P131="",
                    1,
                    (ROW(INDIRECT("'" &amp; 'Hulp (overig)'!$C$16 &amp; "'!B1:B1000")) &lt; MATCH(
                        P131,
                        INDIRECT("'" &amp; 'Hulp (overig)'!$C$16 &amp; "'!A1:A1000"),
                        0
                    ))
                ),
                ROW(INDIRECT("'" &amp; 'Hulp (overig)'!$C$16 &amp; "'!B1:B1000"))
            )
        ),0)
    )=0,"",
INDEX(
        INDIRECT("'" &amp; 'Hulp (overig)'!$C$16 &amp; "'!" &amp;
        'Hulp (overig)'!$C$17 &amp; "1:" &amp; 'Hulp (overig)'!$C$17 &amp; 1000
        ),
        IFERROR(MIN(
            IF(
                (TRIM(INDIRECT("'" &amp; 'Hulp (overig)'!$C$16 &amp; "'!B1:B1000")) = TEXT(O133,"0")) *
                (ROW(INDIRECT("'" &amp; 'Hulp (overig)'!$C$16 &amp; "'!B1:B1000")) &gt;= MATCH(
                    O131,
                    INDIRECT("'" &amp; 'Hulp (overig)'!$C$16 &amp; "'!A1:A1000"),
                    0
                )) *
                IF(
                    P131="",
                    1,
                    (ROW(INDIRECT("'" &amp; 'Hulp (overig)'!$C$16 &amp; "'!B1:B1000")) &lt; MATCH(
                        P131,
                        INDIRECT("'" &amp; 'Hulp (overig)'!$C$16 &amp; "'!A1:A1000"),
                        0
                    ))
                ),
                ROW(INDIRECT("'" &amp; 'Hulp (overig)'!$C$16 &amp; "'!B1:B1000"))
            )
        ),0)
    ))
))))</f>
        <v>#VALUE!</v>
      </c>
      <c r="P134" s="425" t="e" cm="1">
        <f t="array" aca="1" ref="P134" ca="1">IF($BF134, IF(P131="","",
   INDEX(
      INDIRECT("'" &amp; 'Hulp (CAO''s)'!$AE$8 &amp; "'!" &amp;
               'Hulp (overig)'!$C$17 &amp; "1:" &amp;
               'Hulp (overig)'!$C$17 &amp; "1000"),
      MATCH(
         P131,
         INDIRECT("'" &amp; 'Hulp (CAO''s)'!$AE$8 &amp; "'!A1:A1000"),
         0
      )
   )
), IF($D132="Gebruik % van maximum salaris",
IF(
    OR(P131="",P132=""),
    "",
    MAX(
        INDIRECT(
            "'" &amp; 'Hulp (overig)'!$C$16 &amp; "'!" &amp;
            'Hulp (overig)'!$C$17 &amp;
            MATCH(P131, INDIRECT("'" &amp; 'Hulp (overig)'!$C$16 &amp; "'!A1:A1000"), 0) &amp;
            ":" &amp;
            'Hulp (overig)'!$C$17 &amp;
LOOKUP(
    2,
    1 / (
        (ROW(INDIRECT("'" &amp; 'Hulp (overig)'!$C$16 &amp; "'!B1:B1000")) &lt;
            IF(Q131&lt;&gt;"",
               MATCH(Q131, INDIRECT("'" &amp; 'Hulp (overig)'!$C$16 &amp; "'!A1:A1000"),0),
               1000
            )
        ) *
        (LEFT(TRIM(INDIRECT("'" &amp; 'Hulp (overig)'!$C$16 &amp; "'!B1:B1000")),1) &lt;&gt; "u")
    ),
    ROW(INDIRECT("'" &amp; 'Hulp (overig)'!$C$16 &amp; "'!B1:B1000"))
)
        )
    ) * P132
),
IF(P133="","",
IF(
    IFERROR(MIN(
        IF(
            (TRIM(INDIRECT("'" &amp; 'Hulp (overig)'!$C$16 &amp; "'!B1:B1000")) = TEXT(P133,"0")) *
            (ROW(INDIRECT("'" &amp; 'Hulp (overig)'!$C$16 &amp; "'!B1:B1000")) &gt;= MATCH(
                P131,
                INDIRECT("'" &amp; 'Hulp (overig)'!$C$16 &amp; "'!A1:A1000"),
                0
            )) *
            IF(
                Q131="",
                1,
                (ROW(INDIRECT("'" &amp; 'Hulp (overig)'!$C$16 &amp; "'!B1:B1000")) &lt; MATCH(
                    Q131,
                    INDIRECT("'" &amp; 'Hulp (overig)'!$C$16 &amp; "'!A1:A1000"),
                    0
                ))
            ),
            ROW(INDIRECT("'" &amp; 'Hulp (overig)'!$C$16 &amp; "'!B1:B1000"))
        )
    ),0) &lt; 1,
    "",
    IF(INDEX(
        INDIRECT("'" &amp; 'Hulp (overig)'!$C$16 &amp; "'!" &amp;
        'Hulp (overig)'!$C$17 &amp; "1:" &amp; 'Hulp (overig)'!$C$17 &amp; 1000
        ),
        IFERROR(MIN(
            IF(
                (TRIM(INDIRECT("'" &amp; 'Hulp (overig)'!$C$16 &amp; "'!B1:B1000")) = TEXT(P133,"0")) *
                (ROW(INDIRECT("'" &amp; 'Hulp (overig)'!$C$16 &amp; "'!B1:B1000")) &gt;= MATCH(
                    P131,
                    INDIRECT("'" &amp; 'Hulp (overig)'!$C$16 &amp; "'!A1:A1000"),
                    0
                )) *
                IF(
                    Q131="",
                    1,
                    (ROW(INDIRECT("'" &amp; 'Hulp (overig)'!$C$16 &amp; "'!B1:B1000")) &lt; MATCH(
                        Q131,
                        INDIRECT("'" &amp; 'Hulp (overig)'!$C$16 &amp; "'!A1:A1000"),
                        0
                    ))
                ),
                ROW(INDIRECT("'" &amp; 'Hulp (overig)'!$C$16 &amp; "'!B1:B1000"))
            )
        ),0)
    )=0,"",
INDEX(
        INDIRECT("'" &amp; 'Hulp (overig)'!$C$16 &amp; "'!" &amp;
        'Hulp (overig)'!$C$17 &amp; "1:" &amp; 'Hulp (overig)'!$C$17 &amp; 1000
        ),
        IFERROR(MIN(
            IF(
                (TRIM(INDIRECT("'" &amp; 'Hulp (overig)'!$C$16 &amp; "'!B1:B1000")) = TEXT(P133,"0")) *
                (ROW(INDIRECT("'" &amp; 'Hulp (overig)'!$C$16 &amp; "'!B1:B1000")) &gt;= MATCH(
                    P131,
                    INDIRECT("'" &amp; 'Hulp (overig)'!$C$16 &amp; "'!A1:A1000"),
                    0
                )) *
                IF(
                    Q131="",
                    1,
                    (ROW(INDIRECT("'" &amp; 'Hulp (overig)'!$C$16 &amp; "'!B1:B1000")) &lt; MATCH(
                        Q131,
                        INDIRECT("'" &amp; 'Hulp (overig)'!$C$16 &amp; "'!A1:A1000"),
                        0
                    ))
                ),
                ROW(INDIRECT("'" &amp; 'Hulp (overig)'!$C$16 &amp; "'!B1:B1000"))
            )
        ),0)
    ))
))))</f>
        <v>#VALUE!</v>
      </c>
      <c r="Q134" s="425" t="e" cm="1">
        <f t="array" aca="1" ref="Q134" ca="1">IF($BF134, IF(Q131="","",
   INDEX(
      INDIRECT("'" &amp; 'Hulp (CAO''s)'!$AE$8 &amp; "'!" &amp;
               'Hulp (overig)'!$C$17 &amp; "1:" &amp;
               'Hulp (overig)'!$C$17 &amp; "1000"),
      MATCH(
         Q131,
         INDIRECT("'" &amp; 'Hulp (CAO''s)'!$AE$8 &amp; "'!A1:A1000"),
         0
      )
   )
), IF($D132="Gebruik % van maximum salaris",
IF(
    OR(Q131="",Q132=""),
    "",
    MAX(
        INDIRECT(
            "'" &amp; 'Hulp (overig)'!$C$16 &amp; "'!" &amp;
            'Hulp (overig)'!$C$17 &amp;
            MATCH(Q131, INDIRECT("'" &amp; 'Hulp (overig)'!$C$16 &amp; "'!A1:A1000"), 0) &amp;
            ":" &amp;
            'Hulp (overig)'!$C$17 &amp;
LOOKUP(
    2,
    1 / (
        (ROW(INDIRECT("'" &amp; 'Hulp (overig)'!$C$16 &amp; "'!B1:B1000")) &lt;
            IF(R131&lt;&gt;"",
               MATCH(R131, INDIRECT("'" &amp; 'Hulp (overig)'!$C$16 &amp; "'!A1:A1000"),0),
               1000
            )
        ) *
        (LEFT(TRIM(INDIRECT("'" &amp; 'Hulp (overig)'!$C$16 &amp; "'!B1:B1000")),1) &lt;&gt; "u")
    ),
    ROW(INDIRECT("'" &amp; 'Hulp (overig)'!$C$16 &amp; "'!B1:B1000"))
)
        )
    ) * Q132
),
IF(Q133="","",
IF(
    IFERROR(MIN(
        IF(
            (TRIM(INDIRECT("'" &amp; 'Hulp (overig)'!$C$16 &amp; "'!B1:B1000")) = TEXT(Q133,"0")) *
            (ROW(INDIRECT("'" &amp; 'Hulp (overig)'!$C$16 &amp; "'!B1:B1000")) &gt;= MATCH(
                Q131,
                INDIRECT("'" &amp; 'Hulp (overig)'!$C$16 &amp; "'!A1:A1000"),
                0
            )) *
            IF(
                R131="",
                1,
                (ROW(INDIRECT("'" &amp; 'Hulp (overig)'!$C$16 &amp; "'!B1:B1000")) &lt; MATCH(
                    R131,
                    INDIRECT("'" &amp; 'Hulp (overig)'!$C$16 &amp; "'!A1:A1000"),
                    0
                ))
            ),
            ROW(INDIRECT("'" &amp; 'Hulp (overig)'!$C$16 &amp; "'!B1:B1000"))
        )
    ),0) &lt; 1,
    "",
    IF(INDEX(
        INDIRECT("'" &amp; 'Hulp (overig)'!$C$16 &amp; "'!" &amp;
        'Hulp (overig)'!$C$17 &amp; "1:" &amp; 'Hulp (overig)'!$C$17 &amp; 1000
        ),
        IFERROR(MIN(
            IF(
                (TRIM(INDIRECT("'" &amp; 'Hulp (overig)'!$C$16 &amp; "'!B1:B1000")) = TEXT(Q133,"0")) *
                (ROW(INDIRECT("'" &amp; 'Hulp (overig)'!$C$16 &amp; "'!B1:B1000")) &gt;= MATCH(
                    Q131,
                    INDIRECT("'" &amp; 'Hulp (overig)'!$C$16 &amp; "'!A1:A1000"),
                    0
                )) *
                IF(
                    R131="",
                    1,
                    (ROW(INDIRECT("'" &amp; 'Hulp (overig)'!$C$16 &amp; "'!B1:B1000")) &lt; MATCH(
                        R131,
                        INDIRECT("'" &amp; 'Hulp (overig)'!$C$16 &amp; "'!A1:A1000"),
                        0
                    ))
                ),
                ROW(INDIRECT("'" &amp; 'Hulp (overig)'!$C$16 &amp; "'!B1:B1000"))
            )
        ),0)
    )=0,"",
INDEX(
        INDIRECT("'" &amp; 'Hulp (overig)'!$C$16 &amp; "'!" &amp;
        'Hulp (overig)'!$C$17 &amp; "1:" &amp; 'Hulp (overig)'!$C$17 &amp; 1000
        ),
        IFERROR(MIN(
            IF(
                (TRIM(INDIRECT("'" &amp; 'Hulp (overig)'!$C$16 &amp; "'!B1:B1000")) = TEXT(Q133,"0")) *
                (ROW(INDIRECT("'" &amp; 'Hulp (overig)'!$C$16 &amp; "'!B1:B1000")) &gt;= MATCH(
                    Q131,
                    INDIRECT("'" &amp; 'Hulp (overig)'!$C$16 &amp; "'!A1:A1000"),
                    0
                )) *
                IF(
                    R131="",
                    1,
                    (ROW(INDIRECT("'" &amp; 'Hulp (overig)'!$C$16 &amp; "'!B1:B1000")) &lt; MATCH(
                        R131,
                        INDIRECT("'" &amp; 'Hulp (overig)'!$C$16 &amp; "'!A1:A1000"),
                        0
                    ))
                ),
                ROW(INDIRECT("'" &amp; 'Hulp (overig)'!$C$16 &amp; "'!B1:B1000"))
            )
        ),0)
    ))
))))</f>
        <v>#VALUE!</v>
      </c>
      <c r="R134" s="425" t="e" cm="1">
        <f t="array" aca="1" ref="R134" ca="1">IF($BF134, IF(R131="","",
   INDEX(
      INDIRECT("'" &amp; 'Hulp (CAO''s)'!$AE$8 &amp; "'!" &amp;
               'Hulp (overig)'!$C$17 &amp; "1:" &amp;
               'Hulp (overig)'!$C$17 &amp; "1000"),
      MATCH(
         R131,
         INDIRECT("'" &amp; 'Hulp (CAO''s)'!$AE$8 &amp; "'!A1:A1000"),
         0
      )
   )
), IF($D132="Gebruik % van maximum salaris",
IF(
    OR(R131="",R132=""),
    "",
    MAX(
        INDIRECT(
            "'" &amp; 'Hulp (overig)'!$C$16 &amp; "'!" &amp;
            'Hulp (overig)'!$C$17 &amp;
            MATCH(R131, INDIRECT("'" &amp; 'Hulp (overig)'!$C$16 &amp; "'!A1:A1000"), 0) &amp;
            ":" &amp;
            'Hulp (overig)'!$C$17 &amp;
LOOKUP(
    2,
    1 / (
        (ROW(INDIRECT("'" &amp; 'Hulp (overig)'!$C$16 &amp; "'!B1:B1000")) &lt;
            IF(S131&lt;&gt;"",
               MATCH(S131, INDIRECT("'" &amp; 'Hulp (overig)'!$C$16 &amp; "'!A1:A1000"),0),
               1000
            )
        ) *
        (LEFT(TRIM(INDIRECT("'" &amp; 'Hulp (overig)'!$C$16 &amp; "'!B1:B1000")),1) &lt;&gt; "u")
    ),
    ROW(INDIRECT("'" &amp; 'Hulp (overig)'!$C$16 &amp; "'!B1:B1000"))
)
        )
    ) * R132
),
IF(R133="","",
IF(
    IFERROR(MIN(
        IF(
            (TRIM(INDIRECT("'" &amp; 'Hulp (overig)'!$C$16 &amp; "'!B1:B1000")) = TEXT(R133,"0")) *
            (ROW(INDIRECT("'" &amp; 'Hulp (overig)'!$C$16 &amp; "'!B1:B1000")) &gt;= MATCH(
                R131,
                INDIRECT("'" &amp; 'Hulp (overig)'!$C$16 &amp; "'!A1:A1000"),
                0
            )) *
            IF(
                S131="",
                1,
                (ROW(INDIRECT("'" &amp; 'Hulp (overig)'!$C$16 &amp; "'!B1:B1000")) &lt; MATCH(
                    S131,
                    INDIRECT("'" &amp; 'Hulp (overig)'!$C$16 &amp; "'!A1:A1000"),
                    0
                ))
            ),
            ROW(INDIRECT("'" &amp; 'Hulp (overig)'!$C$16 &amp; "'!B1:B1000"))
        )
    ),0) &lt; 1,
    "",
    IF(INDEX(
        INDIRECT("'" &amp; 'Hulp (overig)'!$C$16 &amp; "'!" &amp;
        'Hulp (overig)'!$C$17 &amp; "1:" &amp; 'Hulp (overig)'!$C$17 &amp; 1000
        ),
        IFERROR(MIN(
            IF(
                (TRIM(INDIRECT("'" &amp; 'Hulp (overig)'!$C$16 &amp; "'!B1:B1000")) = TEXT(R133,"0")) *
                (ROW(INDIRECT("'" &amp; 'Hulp (overig)'!$C$16 &amp; "'!B1:B1000")) &gt;= MATCH(
                    R131,
                    INDIRECT("'" &amp; 'Hulp (overig)'!$C$16 &amp; "'!A1:A1000"),
                    0
                )) *
                IF(
                    S131="",
                    1,
                    (ROW(INDIRECT("'" &amp; 'Hulp (overig)'!$C$16 &amp; "'!B1:B1000")) &lt; MATCH(
                        S131,
                        INDIRECT("'" &amp; 'Hulp (overig)'!$C$16 &amp; "'!A1:A1000"),
                        0
                    ))
                ),
                ROW(INDIRECT("'" &amp; 'Hulp (overig)'!$C$16 &amp; "'!B1:B1000"))
            )
        ),0)
    )=0,"",
INDEX(
        INDIRECT("'" &amp; 'Hulp (overig)'!$C$16 &amp; "'!" &amp;
        'Hulp (overig)'!$C$17 &amp; "1:" &amp; 'Hulp (overig)'!$C$17 &amp; 1000
        ),
        IFERROR(MIN(
            IF(
                (TRIM(INDIRECT("'" &amp; 'Hulp (overig)'!$C$16 &amp; "'!B1:B1000")) = TEXT(R133,"0")) *
                (ROW(INDIRECT("'" &amp; 'Hulp (overig)'!$C$16 &amp; "'!B1:B1000")) &gt;= MATCH(
                    R131,
                    INDIRECT("'" &amp; 'Hulp (overig)'!$C$16 &amp; "'!A1:A1000"),
                    0
                )) *
                IF(
                    S131="",
                    1,
                    (ROW(INDIRECT("'" &amp; 'Hulp (overig)'!$C$16 &amp; "'!B1:B1000")) &lt; MATCH(
                        S131,
                        INDIRECT("'" &amp; 'Hulp (overig)'!$C$16 &amp; "'!A1:A1000"),
                        0
                    ))
                ),
                ROW(INDIRECT("'" &amp; 'Hulp (overig)'!$C$16 &amp; "'!B1:B1000"))
            )
        ),0)
    ))
))))</f>
        <v>#VALUE!</v>
      </c>
      <c r="S134" s="425" t="e" cm="1">
        <f t="array" aca="1" ref="S134" ca="1">IF($BF134, IF(S131="","",
   INDEX(
      INDIRECT("'" &amp; 'Hulp (CAO''s)'!$AE$8 &amp; "'!" &amp;
               'Hulp (overig)'!$C$17 &amp; "1:" &amp;
               'Hulp (overig)'!$C$17 &amp; "1000"),
      MATCH(
         S131,
         INDIRECT("'" &amp; 'Hulp (CAO''s)'!$AE$8 &amp; "'!A1:A1000"),
         0
      )
   )
), IF($D132="Gebruik % van maximum salaris",
IF(
    OR(S131="",S132=""),
    "",
    MAX(
        INDIRECT(
            "'" &amp; 'Hulp (overig)'!$C$16 &amp; "'!" &amp;
            'Hulp (overig)'!$C$17 &amp;
            MATCH(S131, INDIRECT("'" &amp; 'Hulp (overig)'!$C$16 &amp; "'!A1:A1000"), 0) &amp;
            ":" &amp;
            'Hulp (overig)'!$C$17 &amp;
LOOKUP(
    2,
    1 / (
        (ROW(INDIRECT("'" &amp; 'Hulp (overig)'!$C$16 &amp; "'!B1:B1000")) &lt;
            IF(T131&lt;&gt;"",
               MATCH(T131, INDIRECT("'" &amp; 'Hulp (overig)'!$C$16 &amp; "'!A1:A1000"),0),
               1000
            )
        ) *
        (LEFT(TRIM(INDIRECT("'" &amp; 'Hulp (overig)'!$C$16 &amp; "'!B1:B1000")),1) &lt;&gt; "u")
    ),
    ROW(INDIRECT("'" &amp; 'Hulp (overig)'!$C$16 &amp; "'!B1:B1000"))
)
        )
    ) * S132
),
IF(S133="","",
IF(
    IFERROR(MIN(
        IF(
            (TRIM(INDIRECT("'" &amp; 'Hulp (overig)'!$C$16 &amp; "'!B1:B1000")) = TEXT(S133,"0")) *
            (ROW(INDIRECT("'" &amp; 'Hulp (overig)'!$C$16 &amp; "'!B1:B1000")) &gt;= MATCH(
                S131,
                INDIRECT("'" &amp; 'Hulp (overig)'!$C$16 &amp; "'!A1:A1000"),
                0
            )) *
            IF(
                T131="",
                1,
                (ROW(INDIRECT("'" &amp; 'Hulp (overig)'!$C$16 &amp; "'!B1:B1000")) &lt; MATCH(
                    T131,
                    INDIRECT("'" &amp; 'Hulp (overig)'!$C$16 &amp; "'!A1:A1000"),
                    0
                ))
            ),
            ROW(INDIRECT("'" &amp; 'Hulp (overig)'!$C$16 &amp; "'!B1:B1000"))
        )
    ),0) &lt; 1,
    "",
    IF(INDEX(
        INDIRECT("'" &amp; 'Hulp (overig)'!$C$16 &amp; "'!" &amp;
        'Hulp (overig)'!$C$17 &amp; "1:" &amp; 'Hulp (overig)'!$C$17 &amp; 1000
        ),
        IFERROR(MIN(
            IF(
                (TRIM(INDIRECT("'" &amp; 'Hulp (overig)'!$C$16 &amp; "'!B1:B1000")) = TEXT(S133,"0")) *
                (ROW(INDIRECT("'" &amp; 'Hulp (overig)'!$C$16 &amp; "'!B1:B1000")) &gt;= MATCH(
                    S131,
                    INDIRECT("'" &amp; 'Hulp (overig)'!$C$16 &amp; "'!A1:A1000"),
                    0
                )) *
                IF(
                    T131="",
                    1,
                    (ROW(INDIRECT("'" &amp; 'Hulp (overig)'!$C$16 &amp; "'!B1:B1000")) &lt; MATCH(
                        T131,
                        INDIRECT("'" &amp; 'Hulp (overig)'!$C$16 &amp; "'!A1:A1000"),
                        0
                    ))
                ),
                ROW(INDIRECT("'" &amp; 'Hulp (overig)'!$C$16 &amp; "'!B1:B1000"))
            )
        ),0)
    )=0,"",
INDEX(
        INDIRECT("'" &amp; 'Hulp (overig)'!$C$16 &amp; "'!" &amp;
        'Hulp (overig)'!$C$17 &amp; "1:" &amp; 'Hulp (overig)'!$C$17 &amp; 1000
        ),
        IFERROR(MIN(
            IF(
                (TRIM(INDIRECT("'" &amp; 'Hulp (overig)'!$C$16 &amp; "'!B1:B1000")) = TEXT(S133,"0")) *
                (ROW(INDIRECT("'" &amp; 'Hulp (overig)'!$C$16 &amp; "'!B1:B1000")) &gt;= MATCH(
                    S131,
                    INDIRECT("'" &amp; 'Hulp (overig)'!$C$16 &amp; "'!A1:A1000"),
                    0
                )) *
                IF(
                    T131="",
                    1,
                    (ROW(INDIRECT("'" &amp; 'Hulp (overig)'!$C$16 &amp; "'!B1:B1000")) &lt; MATCH(
                        T131,
                        INDIRECT("'" &amp; 'Hulp (overig)'!$C$16 &amp; "'!A1:A1000"),
                        0
                    ))
                ),
                ROW(INDIRECT("'" &amp; 'Hulp (overig)'!$C$16 &amp; "'!B1:B1000"))
            )
        ),0)
    ))
))))</f>
        <v>#VALUE!</v>
      </c>
      <c r="T134" s="425" t="e" cm="1">
        <f t="array" aca="1" ref="T134" ca="1">IF($BF134, IF(T131="","",
   INDEX(
      INDIRECT("'" &amp; 'Hulp (CAO''s)'!$AE$8 &amp; "'!" &amp;
               'Hulp (overig)'!$C$17 &amp; "1:" &amp;
               'Hulp (overig)'!$C$17 &amp; "1000"),
      MATCH(
         T131,
         INDIRECT("'" &amp; 'Hulp (CAO''s)'!$AE$8 &amp; "'!A1:A1000"),
         0
      )
   )
), IF($D132="Gebruik % van maximum salaris",
IF(
    OR(T131="",T132=""),
    "",
    MAX(
        INDIRECT(
            "'" &amp; 'Hulp (overig)'!$C$16 &amp; "'!" &amp;
            'Hulp (overig)'!$C$17 &amp;
            MATCH(T131, INDIRECT("'" &amp; 'Hulp (overig)'!$C$16 &amp; "'!A1:A1000"), 0) &amp;
            ":" &amp;
            'Hulp (overig)'!$C$17 &amp;
LOOKUP(
    2,
    1 / (
        (ROW(INDIRECT("'" &amp; 'Hulp (overig)'!$C$16 &amp; "'!B1:B1000")) &lt;
            IF(U131&lt;&gt;"",
               MATCH(U131, INDIRECT("'" &amp; 'Hulp (overig)'!$C$16 &amp; "'!A1:A1000"),0),
               1000
            )
        ) *
        (LEFT(TRIM(INDIRECT("'" &amp; 'Hulp (overig)'!$C$16 &amp; "'!B1:B1000")),1) &lt;&gt; "u")
    ),
    ROW(INDIRECT("'" &amp; 'Hulp (overig)'!$C$16 &amp; "'!B1:B1000"))
)
        )
    ) * T132
),
IF(T133="","",
IF(
    IFERROR(MIN(
        IF(
            (TRIM(INDIRECT("'" &amp; 'Hulp (overig)'!$C$16 &amp; "'!B1:B1000")) = TEXT(T133,"0")) *
            (ROW(INDIRECT("'" &amp; 'Hulp (overig)'!$C$16 &amp; "'!B1:B1000")) &gt;= MATCH(
                T131,
                INDIRECT("'" &amp; 'Hulp (overig)'!$C$16 &amp; "'!A1:A1000"),
                0
            )) *
            IF(
                U131="",
                1,
                (ROW(INDIRECT("'" &amp; 'Hulp (overig)'!$C$16 &amp; "'!B1:B1000")) &lt; MATCH(
                    U131,
                    INDIRECT("'" &amp; 'Hulp (overig)'!$C$16 &amp; "'!A1:A1000"),
                    0
                ))
            ),
            ROW(INDIRECT("'" &amp; 'Hulp (overig)'!$C$16 &amp; "'!B1:B1000"))
        )
    ),0) &lt; 1,
    "",
    IF(INDEX(
        INDIRECT("'" &amp; 'Hulp (overig)'!$C$16 &amp; "'!" &amp;
        'Hulp (overig)'!$C$17 &amp; "1:" &amp; 'Hulp (overig)'!$C$17 &amp; 1000
        ),
        IFERROR(MIN(
            IF(
                (TRIM(INDIRECT("'" &amp; 'Hulp (overig)'!$C$16 &amp; "'!B1:B1000")) = TEXT(T133,"0")) *
                (ROW(INDIRECT("'" &amp; 'Hulp (overig)'!$C$16 &amp; "'!B1:B1000")) &gt;= MATCH(
                    T131,
                    INDIRECT("'" &amp; 'Hulp (overig)'!$C$16 &amp; "'!A1:A1000"),
                    0
                )) *
                IF(
                    U131="",
                    1,
                    (ROW(INDIRECT("'" &amp; 'Hulp (overig)'!$C$16 &amp; "'!B1:B1000")) &lt; MATCH(
                        U131,
                        INDIRECT("'" &amp; 'Hulp (overig)'!$C$16 &amp; "'!A1:A1000"),
                        0
                    ))
                ),
                ROW(INDIRECT("'" &amp; 'Hulp (overig)'!$C$16 &amp; "'!B1:B1000"))
            )
        ),0)
    )=0,"",
INDEX(
        INDIRECT("'" &amp; 'Hulp (overig)'!$C$16 &amp; "'!" &amp;
        'Hulp (overig)'!$C$17 &amp; "1:" &amp; 'Hulp (overig)'!$C$17 &amp; 1000
        ),
        IFERROR(MIN(
            IF(
                (TRIM(INDIRECT("'" &amp; 'Hulp (overig)'!$C$16 &amp; "'!B1:B1000")) = TEXT(T133,"0")) *
                (ROW(INDIRECT("'" &amp; 'Hulp (overig)'!$C$16 &amp; "'!B1:B1000")) &gt;= MATCH(
                    T131,
                    INDIRECT("'" &amp; 'Hulp (overig)'!$C$16 &amp; "'!A1:A1000"),
                    0
                )) *
                IF(
                    U131="",
                    1,
                    (ROW(INDIRECT("'" &amp; 'Hulp (overig)'!$C$16 &amp; "'!B1:B1000")) &lt; MATCH(
                        U131,
                        INDIRECT("'" &amp; 'Hulp (overig)'!$C$16 &amp; "'!A1:A1000"),
                        0
                    ))
                ),
                ROW(INDIRECT("'" &amp; 'Hulp (overig)'!$C$16 &amp; "'!B1:B1000"))
            )
        ),0)
    ))
))))</f>
        <v>#VALUE!</v>
      </c>
      <c r="U134" s="723" t="e" cm="1">
        <f t="array" aca="1" ref="U134" ca="1">IF($BF134, IF(U131="","",
   INDEX(
      INDIRECT("'" &amp; 'Hulp (CAO''s)'!$AE$8 &amp; "'!" &amp;
               'Hulp (overig)'!$C$17 &amp; "1:" &amp;
               'Hulp (overig)'!$C$17 &amp; "1000"),
      MATCH(
         U131,
         INDIRECT("'" &amp; 'Hulp (CAO''s)'!$AE$8 &amp; "'!A1:A1000"),
         0
      )
   )
), IF($D132="Gebruik % van maximum salaris",
IF(
    OR(U131="",U132=""),
    "",
    MAX(
        INDIRECT(
            "'" &amp; 'Hulp (overig)'!$C$16 &amp; "'!" &amp;
            'Hulp (overig)'!$C$17 &amp;
            MATCH(U131, INDIRECT("'" &amp; 'Hulp (overig)'!$C$16 &amp; "'!A1:A1000"), 0) &amp;
            ":" &amp;
            'Hulp (overig)'!$C$17 &amp;
LOOKUP(
    2,
    1 / (
        (ROW(INDIRECT("'" &amp; 'Hulp (overig)'!$C$16 &amp; "'!B1:B1000")) &lt;
            IF(V131&lt;&gt;"",
               MATCH(V131, INDIRECT("'" &amp; 'Hulp (overig)'!$C$16 &amp; "'!A1:A1000"),0),
               1000
            )
        ) *
        (LEFT(TRIM(INDIRECT("'" &amp; 'Hulp (overig)'!$C$16 &amp; "'!B1:B1000")),1) &lt;&gt; "u")
    ),
    ROW(INDIRECT("'" &amp; 'Hulp (overig)'!$C$16 &amp; "'!B1:B1000"))
)
        )
    ) * U132
),
IF(U133="","",
IF(
    IFERROR(MIN(
        IF(
            (TRIM(INDIRECT("'" &amp; 'Hulp (overig)'!$C$16 &amp; "'!B1:B1000")) = TEXT(U133,"0")) *
            (ROW(INDIRECT("'" &amp; 'Hulp (overig)'!$C$16 &amp; "'!B1:B1000")) &gt;= MATCH(
                U131,
                INDIRECT("'" &amp; 'Hulp (overig)'!$C$16 &amp; "'!A1:A1000"),
                0
            )) *
            IF(
                V131="",
                1,
                (ROW(INDIRECT("'" &amp; 'Hulp (overig)'!$C$16 &amp; "'!B1:B1000")) &lt; MATCH(
                    V131,
                    INDIRECT("'" &amp; 'Hulp (overig)'!$C$16 &amp; "'!A1:A1000"),
                    0
                ))
            ),
            ROW(INDIRECT("'" &amp; 'Hulp (overig)'!$C$16 &amp; "'!B1:B1000"))
        )
    ),0) &lt; 1,
    "",
    IF(INDEX(
        INDIRECT("'" &amp; 'Hulp (overig)'!$C$16 &amp; "'!" &amp;
        'Hulp (overig)'!$C$17 &amp; "1:" &amp; 'Hulp (overig)'!$C$17 &amp; 1000
        ),
        IFERROR(MIN(
            IF(
                (TRIM(INDIRECT("'" &amp; 'Hulp (overig)'!$C$16 &amp; "'!B1:B1000")) = TEXT(U133,"0")) *
                (ROW(INDIRECT("'" &amp; 'Hulp (overig)'!$C$16 &amp; "'!B1:B1000")) &gt;= MATCH(
                    U131,
                    INDIRECT("'" &amp; 'Hulp (overig)'!$C$16 &amp; "'!A1:A1000"),
                    0
                )) *
                IF(
                    V131="",
                    1,
                    (ROW(INDIRECT("'" &amp; 'Hulp (overig)'!$C$16 &amp; "'!B1:B1000")) &lt; MATCH(
                        V131,
                        INDIRECT("'" &amp; 'Hulp (overig)'!$C$16 &amp; "'!A1:A1000"),
                        0
                    ))
                ),
                ROW(INDIRECT("'" &amp; 'Hulp (overig)'!$C$16 &amp; "'!B1:B1000"))
            )
        ),0)
    )=0,"",
INDEX(
        INDIRECT("'" &amp; 'Hulp (overig)'!$C$16 &amp; "'!" &amp;
        'Hulp (overig)'!$C$17 &amp; "1:" &amp; 'Hulp (overig)'!$C$17 &amp; 1000
        ),
        IFERROR(MIN(
            IF(
                (TRIM(INDIRECT("'" &amp; 'Hulp (overig)'!$C$16 &amp; "'!B1:B1000")) = TEXT(U133,"0")) *
                (ROW(INDIRECT("'" &amp; 'Hulp (overig)'!$C$16 &amp; "'!B1:B1000")) &gt;= MATCH(
                    U131,
                    INDIRECT("'" &amp; 'Hulp (overig)'!$C$16 &amp; "'!A1:A1000"),
                    0
                )) *
                IF(
                    V131="",
                    1,
                    (ROW(INDIRECT("'" &amp; 'Hulp (overig)'!$C$16 &amp; "'!B1:B1000")) &lt; MATCH(
                        V131,
                        INDIRECT("'" &amp; 'Hulp (overig)'!$C$16 &amp; "'!A1:A1000"),
                        0
                    ))
                ),
                ROW(INDIRECT("'" &amp; 'Hulp (overig)'!$C$16 &amp; "'!B1:B1000"))
            )
        ),0)
    ))
))))</f>
        <v>#VALUE!</v>
      </c>
      <c r="V134" s="413" t="str" cm="1">
        <f t="array" ref="V134">IF(SUM(F135:U135)=0,"",
IF(SUM(F134:U134)=0,"",
IF(SUMPRODUCT((F135:U135&lt;&gt;0)*(F134:U134=""))&gt;0,"",
(
   SUMPRODUCT(
      IF(F134:U134="",0,F134:U134),
      IF(F135:U135="",0,F135:U135) / SUM(F135:U135)
   )
))))</f>
        <v/>
      </c>
      <c r="W134" s="418"/>
      <c r="X134" s="620"/>
      <c r="Y134" s="419" t="str">
        <f ca="1">IF(B131="","",
        IF(INDIRECT("'Hulp (control forms)'!C" &amp; (13 + INT((ROW()-ROW($B$5))/7))),
            IF(X134="","",X134),
            IF(V134="","",V134)
    )
)</f>
        <v/>
      </c>
      <c r="Z134" s="333"/>
      <c r="AA134" s="771"/>
      <c r="AB134" s="770"/>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c r="BA134" cm="1">
        <f t="array" aca="1" ref="BA134" ca="1">IF(
   SUM(Y134)=0,
   1,
   IF(
      N(INDIRECT("'Hulp (control forms)'!C"&amp;(13+INT((ROW()-ROW($B$5))/7))))&lt;&gt;0,
      MIN(1,
      ('Hulp (overig)'!$C$6/12) /
      (Y134 * BC134 + BD134)),
      MIN(1,
         IF(
            SUM(F134:U134)=0,
            "",
            SUMPRODUCT(
               IF(
                  (IF(F134:U134="",0,F134:U134) * BC134) + BD134
                  &gt; 'Hulp (overig)'!$C$6/12,
                  'Hulp (overig)'!$C$6/12,
                  (IF(F134:U134="",0,F134:U134) * BC134) + BD134
               ),
               IF(F135:U135="",0,F135:U135) / SUM(F135:U135)
            )
         ) /
         ((Y134 * BC134) + BD134)
      )
   )
)</f>
        <v>1</v>
      </c>
      <c r="BB134" cm="1">
        <f t="array" aca="1" ref="BB134" ca="1">IF(
   SUM(Y134)=0,
   1,
   IF(
      N(INDIRECT("'Hulp (control forms)'!C"&amp;(13+INT((ROW()-ROW($B$5))/7))))&lt;&gt;0,
      MIN('Hulp (overig)'!$C$5/12,
      (Y134 * BC134) + BD134) * 12,
         IF(
            SUM(F134:U134)=0,
            "",
            SUMPRODUCT(
               IF(
                  (IF(F134:U134="",0,F134:U134) * BC134) + BD134
                  &gt; 'Hulp (overig)'!$C$5/12,
                  'Hulp (overig)'!$C$5/12,
                  (IF(F134:U134="",0,F134:U134) * BC134) + BD134
               ),
               IF(F135:U135="",0,F135:U135) / SUM(F135:U135)
            )
         ) * 12
   )
)</f>
        <v>1</v>
      </c>
      <c r="BC134" s="287" cm="1">
        <f t="array" aca="1" ref="BC134" ca="1">IFERROR(
   (INDEX('2. Output kostprijs'!$24:$24, 5 + 2*INT((ROW()-8)/7))
    - SUM(INDEX('2. Output kostprijs'!$23:$23, 5 + 2*INT((ROW()-8)/7))))
   / INDEX('2. Output kostprijs'!$19:$19, 5 + 2*INT((ROW()-8)/7)),
   1
)</f>
        <v>1</v>
      </c>
      <c r="BD134" s="287" cm="1">
        <f t="array" aca="1" ref="BD134" ca="1">IFERROR(
   (INDEX('2. Output kostprijs'!$23:$23, 5 + 2*INT((ROW()-8)/7))
    * INDEX('2. Output kostprijs'!$18:$18, 5 + 2*INT((ROW()-8)/7))
   ) / 12,
   0
)</f>
        <v>0</v>
      </c>
      <c r="BE134" t="b">
        <f ca="1">NOT(AND(B131&lt;&gt;"",Y134=""))</f>
        <v>1</v>
      </c>
      <c r="BF134" t="str" cm="1">
        <f t="array" aca="1" ref="BF134" ca="1">INDIRECT("'1a. Input organisatieniveau'!$AD" &amp; 7 + INT((ROW()-ROW($F$8))/7))</f>
        <v/>
      </c>
      <c r="BG134" t="b" cm="1">
        <f t="array" ref="BG134">IFERROR(INDEX('Hulp (control forms)'!C:C, 13 + INT((ROW(A127)-1)/7)),FALSE)</f>
        <v>0</v>
      </c>
    </row>
    <row r="135" spans="1:59" ht="16.05" customHeight="1" thickBot="1" x14ac:dyDescent="0.5">
      <c r="A135" s="289"/>
      <c r="B135" s="343"/>
      <c r="C135" s="325" t="s">
        <v>779</v>
      </c>
      <c r="D135" s="688" t="s">
        <v>60</v>
      </c>
      <c r="E135" s="433" t="s">
        <v>59</v>
      </c>
      <c r="F135" s="624"/>
      <c r="G135" s="624"/>
      <c r="H135" s="624"/>
      <c r="I135" s="624"/>
      <c r="J135" s="624"/>
      <c r="K135" s="624"/>
      <c r="L135" s="624"/>
      <c r="M135" s="624"/>
      <c r="N135" s="624"/>
      <c r="O135" s="624"/>
      <c r="P135" s="624"/>
      <c r="Q135" s="624"/>
      <c r="R135" s="624"/>
      <c r="S135" s="624"/>
      <c r="T135" s="624"/>
      <c r="U135" s="625"/>
      <c r="V135" s="420" t="str">
        <f ca="1">IF($B131="","",IF($D135="Aandeel in %",
   "Totaal: "&amp;SUM(F135:U135)*100&amp;"%",
   "Totaal: "&amp;SUM(F135:U135)&amp;" uur"
))</f>
        <v/>
      </c>
      <c r="W135" s="294"/>
      <c r="X135" s="621"/>
      <c r="Y135" s="328"/>
      <c r="Z135" s="32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row>
    <row r="136" spans="1:59" ht="16.05" customHeight="1" thickBot="1" x14ac:dyDescent="0.5">
      <c r="A136" s="289"/>
      <c r="B136" s="343"/>
      <c r="C136" s="326" t="s">
        <v>779</v>
      </c>
      <c r="D136" s="421"/>
      <c r="E136" s="426"/>
      <c r="F136" s="426"/>
      <c r="G136" s="426"/>
      <c r="H136" s="426"/>
      <c r="I136" s="426"/>
      <c r="J136" s="426"/>
      <c r="K136" s="426"/>
      <c r="L136" s="426"/>
      <c r="M136" s="426"/>
      <c r="N136" s="426"/>
      <c r="O136" s="426"/>
      <c r="P136" s="426"/>
      <c r="Q136" s="426"/>
      <c r="R136" s="426"/>
      <c r="S136" s="426"/>
      <c r="T136" s="427"/>
      <c r="U136" s="427"/>
      <c r="V136" s="421"/>
      <c r="W136" s="421"/>
      <c r="X136" s="622"/>
      <c r="Y136" s="421"/>
      <c r="Z136" s="327"/>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row>
    <row r="137" spans="1:59" ht="16.05" customHeight="1" thickBot="1" x14ac:dyDescent="0.55000000000000004">
      <c r="A137" s="289"/>
      <c r="B137" s="585" t="str">
        <f ca="1">IF(B138="","",
IF(
   OR(
      INDIRECT("'1a. Input organisatieniveau'!AC" &amp; (7 + INT((ROW()-4)/7)))="",
      INDIRECT("'1a. Input organisatieniveau'!AC" &amp; (7 + INT((ROW()-4)/7)))=0
   ),
   "",
   INDIRECT("'1a. Input organisatieniveau'!AC" &amp; (7 + INT((ROW()-4)/7)))
))</f>
        <v/>
      </c>
      <c r="C137" s="324" t="s">
        <v>779</v>
      </c>
      <c r="D137" s="416"/>
      <c r="E137" s="428"/>
      <c r="F137" s="422" t="str">
        <f t="shared" ref="F137:U137" ca="1" si="19">IF($B138="","",
IF($D139="Gebruik % van maximum salaris",
 IF(OR(AND(AND(F138&lt;&gt;"",F139&lt;&gt;""),F141=""),AND(F141="",F142&lt;&gt;"")),"!",""),
 IF(OR(AND(AND(F138&lt;&gt;"",F140&lt;&gt;""),F141=""),AND(F141="",F142&lt;&gt;"")),"!","")))</f>
        <v/>
      </c>
      <c r="G137" s="422" t="str">
        <f t="shared" ca="1" si="19"/>
        <v/>
      </c>
      <c r="H137" s="422" t="str">
        <f t="shared" ca="1" si="19"/>
        <v/>
      </c>
      <c r="I137" s="422" t="str">
        <f t="shared" ca="1" si="19"/>
        <v/>
      </c>
      <c r="J137" s="422" t="str">
        <f t="shared" ca="1" si="19"/>
        <v/>
      </c>
      <c r="K137" s="422" t="str">
        <f t="shared" ca="1" si="19"/>
        <v/>
      </c>
      <c r="L137" s="422" t="str">
        <f t="shared" ca="1" si="19"/>
        <v/>
      </c>
      <c r="M137" s="422" t="str">
        <f t="shared" ca="1" si="19"/>
        <v/>
      </c>
      <c r="N137" s="422" t="str">
        <f t="shared" ca="1" si="19"/>
        <v/>
      </c>
      <c r="O137" s="422" t="str">
        <f t="shared" ca="1" si="19"/>
        <v/>
      </c>
      <c r="P137" s="422" t="str">
        <f t="shared" ca="1" si="19"/>
        <v/>
      </c>
      <c r="Q137" s="422" t="str">
        <f t="shared" ca="1" si="19"/>
        <v/>
      </c>
      <c r="R137" s="422" t="str">
        <f t="shared" ca="1" si="19"/>
        <v/>
      </c>
      <c r="S137" s="422" t="str">
        <f t="shared" ca="1" si="19"/>
        <v/>
      </c>
      <c r="T137" s="422" t="str">
        <f t="shared" ca="1" si="19"/>
        <v/>
      </c>
      <c r="U137" s="422" t="str">
        <f t="shared" ca="1" si="19"/>
        <v/>
      </c>
      <c r="V137" s="416"/>
      <c r="W137" s="416"/>
      <c r="X137" s="619"/>
      <c r="Y137" s="416"/>
      <c r="Z137" s="330"/>
      <c r="AA137" s="354"/>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row>
    <row r="138" spans="1:59" ht="16.05" customHeight="1" thickBot="1" x14ac:dyDescent="0.5">
      <c r="A138" s="289"/>
      <c r="B138" s="586" t="str">
        <f ca="1">IF(
   OR(
      INDIRECT("'1a. Input organisatieniveau'!AA" &amp; (7 + INT((ROW()-4)/7)))="",
      INDIRECT("'1a. Input organisatieniveau'!AA" &amp; (7 + INT((ROW()-4)/7)))=0
   ),
   "",
   INDIRECT("'1a. Input organisatieniveau'!AA" &amp; (7 + INT((ROW()-4)/7)))
)</f>
        <v/>
      </c>
      <c r="C138" s="325" t="s">
        <v>779</v>
      </c>
      <c r="D138" s="434"/>
      <c r="E138" s="429" t="s">
        <v>28</v>
      </c>
      <c r="F138" s="423" t="str">
        <f ca="1">IF($B138="", "", IF($BF141, IF('Hulp (CAO''s)'!J$8&lt;&gt;"",'Hulp (CAO''s)'!J$8,""), INDEX('Hulp (CAO''s)'!J$3:J$7, MATCH(TRUE, 'Hulp (CAO''s)'!$D$3:$D$7, 0))))</f>
        <v/>
      </c>
      <c r="G138" s="423" t="str">
        <f ca="1">IF($B138="", "", IF($BF141, IF('Hulp (CAO''s)'!K$8&lt;&gt;"",'Hulp (CAO''s)'!K$8,""), INDEX('Hulp (CAO''s)'!K$3:K$7, MATCH(TRUE, 'Hulp (CAO''s)'!$D$3:$D$7, 0))))</f>
        <v/>
      </c>
      <c r="H138" s="423" t="str">
        <f ca="1">IF($B138="", "", IF($BF141, IF('Hulp (CAO''s)'!L$8&lt;&gt;"",'Hulp (CAO''s)'!L$8,""), INDEX('Hulp (CAO''s)'!L$3:L$7, MATCH(TRUE, 'Hulp (CAO''s)'!$D$3:$D$7, 0))))</f>
        <v/>
      </c>
      <c r="I138" s="423" t="str">
        <f ca="1">IF($B138="", "", IF($BF141, IF('Hulp (CAO''s)'!M$8&lt;&gt;"",'Hulp (CAO''s)'!M$8,""), INDEX('Hulp (CAO''s)'!M$3:M$7, MATCH(TRUE, 'Hulp (CAO''s)'!$D$3:$D$7, 0))))</f>
        <v/>
      </c>
      <c r="J138" s="423" t="str">
        <f ca="1">IF($B138="", "", IF($BF141, IF('Hulp (CAO''s)'!N$8&lt;&gt;"",'Hulp (CAO''s)'!N$8,""), INDEX('Hulp (CAO''s)'!N$3:N$7, MATCH(TRUE, 'Hulp (CAO''s)'!$D$3:$D$7, 0))))</f>
        <v/>
      </c>
      <c r="K138" s="423" t="str">
        <f ca="1">IF($B138="", "", IF($BF141, IF('Hulp (CAO''s)'!O$8&lt;&gt;"",'Hulp (CAO''s)'!O$8,""), INDEX('Hulp (CAO''s)'!O$3:O$7, MATCH(TRUE, 'Hulp (CAO''s)'!$D$3:$D$7, 0))))</f>
        <v/>
      </c>
      <c r="L138" s="423" t="str">
        <f ca="1">IF($B138="", "", IF($BF141, IF('Hulp (CAO''s)'!P$8&lt;&gt;"",'Hulp (CAO''s)'!P$8,""), INDEX('Hulp (CAO''s)'!P$3:P$7, MATCH(TRUE, 'Hulp (CAO''s)'!$D$3:$D$7, 0))))</f>
        <v/>
      </c>
      <c r="M138" s="423" t="str">
        <f ca="1">IF($B138="", "", IF($BF141, IF('Hulp (CAO''s)'!Q$8&lt;&gt;"",'Hulp (CAO''s)'!Q$8,""), INDEX('Hulp (CAO''s)'!Q$3:Q$7, MATCH(TRUE, 'Hulp (CAO''s)'!$D$3:$D$7, 0))))</f>
        <v/>
      </c>
      <c r="N138" s="423" t="str">
        <f ca="1">IF($B138="", "", IF($BF141, IF('Hulp (CAO''s)'!R$8&lt;&gt;"",'Hulp (CAO''s)'!R$8,""), INDEX('Hulp (CAO''s)'!R$3:R$7, MATCH(TRUE, 'Hulp (CAO''s)'!$D$3:$D$7, 0))))</f>
        <v/>
      </c>
      <c r="O138" s="423" t="str">
        <f ca="1">IF($B138="", "", IF($BF141, IF('Hulp (CAO''s)'!S$8&lt;&gt;"",'Hulp (CAO''s)'!S$8,""), INDEX('Hulp (CAO''s)'!S$3:S$7, MATCH(TRUE, 'Hulp (CAO''s)'!$D$3:$D$7, 0))))</f>
        <v/>
      </c>
      <c r="P138" s="423" t="str">
        <f ca="1">IF($B138="", "", IF($BF141, IF('Hulp (CAO''s)'!T$8&lt;&gt;"",'Hulp (CAO''s)'!T$8,""), INDEX('Hulp (CAO''s)'!T$3:T$7, MATCH(TRUE, 'Hulp (CAO''s)'!$D$3:$D$7, 0))))</f>
        <v/>
      </c>
      <c r="Q138" s="423" t="str">
        <f ca="1">IF($B138="", "", IF($BF141, IF('Hulp (CAO''s)'!U$8&lt;&gt;"",'Hulp (CAO''s)'!U$8,""), INDEX('Hulp (CAO''s)'!U$3:U$7, MATCH(TRUE, 'Hulp (CAO''s)'!$D$3:$D$7, 0))))</f>
        <v/>
      </c>
      <c r="R138" s="423" t="str">
        <f ca="1">IF($B138="", "", IF($BF141, IF('Hulp (CAO''s)'!V$8&lt;&gt;"",'Hulp (CAO''s)'!V$8,""), INDEX('Hulp (CAO''s)'!V$3:V$7, MATCH(TRUE, 'Hulp (CAO''s)'!$D$3:$D$7, 0))))</f>
        <v/>
      </c>
      <c r="S138" s="423" t="str">
        <f ca="1">IF($B138="", "", IF($BF141, IF('Hulp (CAO''s)'!W$8&lt;&gt;"",'Hulp (CAO''s)'!W$8,""), INDEX('Hulp (CAO''s)'!W$3:W$7, MATCH(TRUE, 'Hulp (CAO''s)'!$D$3:$D$7, 0))))</f>
        <v/>
      </c>
      <c r="T138" s="423" t="str">
        <f ca="1">IF($B138="", "", IF($BF141, IF('Hulp (CAO''s)'!X$8&lt;&gt;"",'Hulp (CAO''s)'!X$8,""), INDEX('Hulp (CAO''s)'!X$3:X$7, MATCH(TRUE, 'Hulp (CAO''s)'!$D$3:$D$7, 0))))</f>
        <v/>
      </c>
      <c r="U138" s="424" t="str">
        <f ca="1">IF($B138="", "", IF($BF141, IF('Hulp (CAO''s)'!Y$8&lt;&gt;"",'Hulp (CAO''s)'!Y$8,""), INDEX('Hulp (CAO''s)'!Y$3:Y$7, MATCH(TRUE, 'Hulp (CAO''s)'!$D$3:$D$7, 0))))</f>
        <v/>
      </c>
      <c r="V138" s="417"/>
      <c r="W138" s="343"/>
      <c r="X138" s="617"/>
      <c r="Y138" s="343"/>
      <c r="Z138" s="329"/>
      <c r="AA138" s="320"/>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row>
    <row r="139" spans="1:59" ht="16.05" customHeight="1" x14ac:dyDescent="0.45">
      <c r="A139" s="289"/>
      <c r="B139" s="343"/>
      <c r="C139" s="325" t="s">
        <v>779</v>
      </c>
      <c r="D139" s="772" t="s">
        <v>772</v>
      </c>
      <c r="E139" s="430" t="e">
        <f ca="1">IF($BF141, "", "% t.o.v. max salaris in de schaal")</f>
        <v>#VALUE!</v>
      </c>
      <c r="F139" s="615"/>
      <c r="G139" s="615"/>
      <c r="H139" s="615"/>
      <c r="I139" s="615"/>
      <c r="J139" s="615"/>
      <c r="K139" s="615"/>
      <c r="L139" s="615"/>
      <c r="M139" s="615"/>
      <c r="N139" s="615"/>
      <c r="O139" s="615"/>
      <c r="P139" s="615"/>
      <c r="Q139" s="615"/>
      <c r="R139" s="615"/>
      <c r="S139" s="615"/>
      <c r="T139" s="615"/>
      <c r="U139" s="616"/>
      <c r="V139" s="774" t="s">
        <v>884</v>
      </c>
      <c r="W139" s="332"/>
      <c r="X139" s="776" t="s">
        <v>882</v>
      </c>
      <c r="Y139" s="778" t="s">
        <v>883</v>
      </c>
      <c r="Z139" s="329"/>
      <c r="AA139" s="771" t="s">
        <v>780</v>
      </c>
      <c r="AB139" s="770" t="s">
        <v>1079</v>
      </c>
      <c r="AC139" s="289"/>
      <c r="AD139" s="289"/>
      <c r="AE139" s="289"/>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row>
    <row r="140" spans="1:59" ht="16.05" customHeight="1" thickBot="1" x14ac:dyDescent="0.5">
      <c r="A140" s="289"/>
      <c r="B140" s="343"/>
      <c r="C140" s="325" t="s">
        <v>779</v>
      </c>
      <c r="D140" s="773"/>
      <c r="E140" s="431" t="e">
        <f ca="1">IF($BF141, "", "Trede (gemiddeld)")</f>
        <v>#VALUE!</v>
      </c>
      <c r="F140" s="737"/>
      <c r="G140" s="737"/>
      <c r="H140" s="737"/>
      <c r="I140" s="737"/>
      <c r="J140" s="737"/>
      <c r="K140" s="737"/>
      <c r="L140" s="737"/>
      <c r="M140" s="737"/>
      <c r="N140" s="737"/>
      <c r="O140" s="737"/>
      <c r="P140" s="737"/>
      <c r="Q140" s="737"/>
      <c r="R140" s="737"/>
      <c r="S140" s="737"/>
      <c r="T140" s="737"/>
      <c r="U140" s="740"/>
      <c r="V140" s="775"/>
      <c r="W140" s="294"/>
      <c r="X140" s="777"/>
      <c r="Y140" s="779"/>
      <c r="Z140" s="329"/>
      <c r="AA140" s="771"/>
      <c r="AB140" s="770"/>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row>
    <row r="141" spans="1:59" ht="16.05" customHeight="1" thickBot="1" x14ac:dyDescent="0.5">
      <c r="A141" s="289"/>
      <c r="B141" s="343"/>
      <c r="C141" s="325" t="s">
        <v>779</v>
      </c>
      <c r="E141" s="432" t="str">
        <f>IFERROR(
   INDEX('Hulp (CAO''s)'!$I$3:$I$7, MATCH(TRUE, 'Hulp (CAO''s)'!$D$3:$D$7, 0)),
"")</f>
        <v>Bruto maandsalaris</v>
      </c>
      <c r="F141" s="425" t="e" cm="1">
        <f t="array" aca="1" ref="F141" ca="1">IF($BF141, IF(F138="","",
   INDEX(
      INDIRECT("'" &amp; 'Hulp (CAO''s)'!$AE$8 &amp; "'!" &amp;
               'Hulp (overig)'!$C$17 &amp; "1:" &amp;
               'Hulp (overig)'!$C$17 &amp; "1000"),
      MATCH(
         F138,
         INDIRECT("'" &amp; 'Hulp (CAO''s)'!$AE$8 &amp; "'!A1:A1000"),
         0
      )
   )
), IF($D139="Gebruik % van maximum salaris",
IF(
    OR(F138="",F139=""),
    "",
    MAX(
        INDIRECT(
            "'" &amp; 'Hulp (overig)'!$C$16 &amp; "'!" &amp;
            'Hulp (overig)'!$C$17 &amp;
            MATCH(F138, INDIRECT("'" &amp; 'Hulp (overig)'!$C$16 &amp; "'!A1:A1000"), 0) &amp;
            ":" &amp;
            'Hulp (overig)'!$C$17 &amp;
LOOKUP(
    2,
    1 / (
        (ROW(INDIRECT("'" &amp; 'Hulp (overig)'!$C$16 &amp; "'!B1:B1000")) &lt;
            IF(G138&lt;&gt;"",
               MATCH(G138, INDIRECT("'" &amp; 'Hulp (overig)'!$C$16 &amp; "'!A1:A1000"),0),
               1000
            )
        ) *
        (LEFT(TRIM(INDIRECT("'" &amp; 'Hulp (overig)'!$C$16 &amp; "'!B1:B1000")),1) &lt;&gt; "u")
    ),
    ROW(INDIRECT("'" &amp; 'Hulp (overig)'!$C$16 &amp; "'!B1:B1000"))
)
        )
    ) * F139
),
IF(F140="","",
IF(
    IFERROR(MIN(
        IF(
            (TRIM(INDIRECT("'" &amp; 'Hulp (overig)'!$C$16 &amp; "'!B1:B1000")) = TEXT(F140,"0")) *
            (ROW(INDIRECT("'" &amp; 'Hulp (overig)'!$C$16 &amp; "'!B1:B1000")) &gt;= MATCH(
                F138,
                INDIRECT("'" &amp; 'Hulp (overig)'!$C$16 &amp; "'!A1:A1000"),
                0
            )) *
            IF(
                G138="",
                1,
                (ROW(INDIRECT("'" &amp; 'Hulp (overig)'!$C$16 &amp; "'!B1:B1000")) &lt; MATCH(
                    G138,
                    INDIRECT("'" &amp; 'Hulp (overig)'!$C$16 &amp; "'!A1:A1000"),
                    0
                ))
            ),
            ROW(INDIRECT("'" &amp; 'Hulp (overig)'!$C$16 &amp; "'!B1:B1000"))
        )
    ),0) &lt; 1,
    "",
    IF(INDEX(
        INDIRECT("'" &amp; 'Hulp (overig)'!$C$16 &amp; "'!" &amp;
        'Hulp (overig)'!$C$17 &amp; "1:" &amp; 'Hulp (overig)'!$C$17 &amp; 1000
        ),
        IFERROR(MIN(
            IF(
                (TRIM(INDIRECT("'" &amp; 'Hulp (overig)'!$C$16 &amp; "'!B1:B1000")) = TEXT(F140,"0")) *
                (ROW(INDIRECT("'" &amp; 'Hulp (overig)'!$C$16 &amp; "'!B1:B1000")) &gt;= MATCH(
                    F138,
                    INDIRECT("'" &amp; 'Hulp (overig)'!$C$16 &amp; "'!A1:A1000"),
                    0
                )) *
                IF(
                    G138="",
                    1,
                    (ROW(INDIRECT("'" &amp; 'Hulp (overig)'!$C$16 &amp; "'!B1:B1000")) &lt; MATCH(
                        G138,
                        INDIRECT("'" &amp; 'Hulp (overig)'!$C$16 &amp; "'!A1:A1000"),
                        0
                    ))
                ),
                ROW(INDIRECT("'" &amp; 'Hulp (overig)'!$C$16 &amp; "'!B1:B1000"))
            )
        ),0)
    )=0,"",
INDEX(
        INDIRECT("'" &amp; 'Hulp (overig)'!$C$16 &amp; "'!" &amp;
        'Hulp (overig)'!$C$17 &amp; "1:" &amp; 'Hulp (overig)'!$C$17 &amp; 1000
        ),
        IFERROR(MIN(
            IF(
                (TRIM(INDIRECT("'" &amp; 'Hulp (overig)'!$C$16 &amp; "'!B1:B1000")) = TEXT(F140,"0")) *
                (ROW(INDIRECT("'" &amp; 'Hulp (overig)'!$C$16 &amp; "'!B1:B1000")) &gt;= MATCH(
                    F138,
                    INDIRECT("'" &amp; 'Hulp (overig)'!$C$16 &amp; "'!A1:A1000"),
                    0
                )) *
                IF(
                    G138="",
                    1,
                    (ROW(INDIRECT("'" &amp; 'Hulp (overig)'!$C$16 &amp; "'!B1:B1000")) &lt; MATCH(
                        G138,
                        INDIRECT("'" &amp; 'Hulp (overig)'!$C$16 &amp; "'!A1:A1000"),
                        0
                    ))
                ),
                ROW(INDIRECT("'" &amp; 'Hulp (overig)'!$C$16 &amp; "'!B1:B1000"))
            )
        ),0)
    ))
))))</f>
        <v>#VALUE!</v>
      </c>
      <c r="G141" s="425" t="e" cm="1">
        <f t="array" aca="1" ref="G141" ca="1">IF($BF141, IF(G138="","",
   INDEX(
      INDIRECT("'" &amp; 'Hulp (CAO''s)'!$AE$8 &amp; "'!" &amp;
               'Hulp (overig)'!$C$17 &amp; "1:" &amp;
               'Hulp (overig)'!$C$17 &amp; "1000"),
      MATCH(
         G138,
         INDIRECT("'" &amp; 'Hulp (CAO''s)'!$AE$8 &amp; "'!A1:A1000"),
         0
      )
   )
), IF($D139="Gebruik % van maximum salaris",
IF(
    OR(G138="",G139=""),
    "",
    MAX(
        INDIRECT(
            "'" &amp; 'Hulp (overig)'!$C$16 &amp; "'!" &amp;
            'Hulp (overig)'!$C$17 &amp;
            MATCH(G138, INDIRECT("'" &amp; 'Hulp (overig)'!$C$16 &amp; "'!A1:A1000"), 0) &amp;
            ":" &amp;
            'Hulp (overig)'!$C$17 &amp;
LOOKUP(
    2,
    1 / (
        (ROW(INDIRECT("'" &amp; 'Hulp (overig)'!$C$16 &amp; "'!B1:B1000")) &lt;
            IF(H138&lt;&gt;"",
               MATCH(H138, INDIRECT("'" &amp; 'Hulp (overig)'!$C$16 &amp; "'!A1:A1000"),0),
               1000
            )
        ) *
        (LEFT(TRIM(INDIRECT("'" &amp; 'Hulp (overig)'!$C$16 &amp; "'!B1:B1000")),1) &lt;&gt; "u")
    ),
    ROW(INDIRECT("'" &amp; 'Hulp (overig)'!$C$16 &amp; "'!B1:B1000"))
)
        )
    ) * G139
),
IF(G140="","",
IF(
    IFERROR(MIN(
        IF(
            (TRIM(INDIRECT("'" &amp; 'Hulp (overig)'!$C$16 &amp; "'!B1:B1000")) = TEXT(G140,"0")) *
            (ROW(INDIRECT("'" &amp; 'Hulp (overig)'!$C$16 &amp; "'!B1:B1000")) &gt;= MATCH(
                G138,
                INDIRECT("'" &amp; 'Hulp (overig)'!$C$16 &amp; "'!A1:A1000"),
                0
            )) *
            IF(
                H138="",
                1,
                (ROW(INDIRECT("'" &amp; 'Hulp (overig)'!$C$16 &amp; "'!B1:B1000")) &lt; MATCH(
                    H138,
                    INDIRECT("'" &amp; 'Hulp (overig)'!$C$16 &amp; "'!A1:A1000"),
                    0
                ))
            ),
            ROW(INDIRECT("'" &amp; 'Hulp (overig)'!$C$16 &amp; "'!B1:B1000"))
        )
    ),0) &lt; 1,
    "",
    IF(INDEX(
        INDIRECT("'" &amp; 'Hulp (overig)'!$C$16 &amp; "'!" &amp;
        'Hulp (overig)'!$C$17 &amp; "1:" &amp; 'Hulp (overig)'!$C$17 &amp; 1000
        ),
        IFERROR(MIN(
            IF(
                (TRIM(INDIRECT("'" &amp; 'Hulp (overig)'!$C$16 &amp; "'!B1:B1000")) = TEXT(G140,"0")) *
                (ROW(INDIRECT("'" &amp; 'Hulp (overig)'!$C$16 &amp; "'!B1:B1000")) &gt;= MATCH(
                    G138,
                    INDIRECT("'" &amp; 'Hulp (overig)'!$C$16 &amp; "'!A1:A1000"),
                    0
                )) *
                IF(
                    H138="",
                    1,
                    (ROW(INDIRECT("'" &amp; 'Hulp (overig)'!$C$16 &amp; "'!B1:B1000")) &lt; MATCH(
                        H138,
                        INDIRECT("'" &amp; 'Hulp (overig)'!$C$16 &amp; "'!A1:A1000"),
                        0
                    ))
                ),
                ROW(INDIRECT("'" &amp; 'Hulp (overig)'!$C$16 &amp; "'!B1:B1000"))
            )
        ),0)
    )=0,"",
INDEX(
        INDIRECT("'" &amp; 'Hulp (overig)'!$C$16 &amp; "'!" &amp;
        'Hulp (overig)'!$C$17 &amp; "1:" &amp; 'Hulp (overig)'!$C$17 &amp; 1000
        ),
        IFERROR(MIN(
            IF(
                (TRIM(INDIRECT("'" &amp; 'Hulp (overig)'!$C$16 &amp; "'!B1:B1000")) = TEXT(G140,"0")) *
                (ROW(INDIRECT("'" &amp; 'Hulp (overig)'!$C$16 &amp; "'!B1:B1000")) &gt;= MATCH(
                    G138,
                    INDIRECT("'" &amp; 'Hulp (overig)'!$C$16 &amp; "'!A1:A1000"),
                    0
                )) *
                IF(
                    H138="",
                    1,
                    (ROW(INDIRECT("'" &amp; 'Hulp (overig)'!$C$16 &amp; "'!B1:B1000")) &lt; MATCH(
                        H138,
                        INDIRECT("'" &amp; 'Hulp (overig)'!$C$16 &amp; "'!A1:A1000"),
                        0
                    ))
                ),
                ROW(INDIRECT("'" &amp; 'Hulp (overig)'!$C$16 &amp; "'!B1:B1000"))
            )
        ),0)
    ))
))))</f>
        <v>#VALUE!</v>
      </c>
      <c r="H141" s="425" t="e" cm="1">
        <f t="array" aca="1" ref="H141" ca="1">IF($BF141, IF(H138="","",
   INDEX(
      INDIRECT("'" &amp; 'Hulp (CAO''s)'!$AE$8 &amp; "'!" &amp;
               'Hulp (overig)'!$C$17 &amp; "1:" &amp;
               'Hulp (overig)'!$C$17 &amp; "1000"),
      MATCH(
         H138,
         INDIRECT("'" &amp; 'Hulp (CAO''s)'!$AE$8 &amp; "'!A1:A1000"),
         0
      )
   )
), IF($D139="Gebruik % van maximum salaris",
IF(
    OR(H138="",H139=""),
    "",
    MAX(
        INDIRECT(
            "'" &amp; 'Hulp (overig)'!$C$16 &amp; "'!" &amp;
            'Hulp (overig)'!$C$17 &amp;
            MATCH(H138, INDIRECT("'" &amp; 'Hulp (overig)'!$C$16 &amp; "'!A1:A1000"), 0) &amp;
            ":" &amp;
            'Hulp (overig)'!$C$17 &amp;
LOOKUP(
    2,
    1 / (
        (ROW(INDIRECT("'" &amp; 'Hulp (overig)'!$C$16 &amp; "'!B1:B1000")) &lt;
            IF(I138&lt;&gt;"",
               MATCH(I138, INDIRECT("'" &amp; 'Hulp (overig)'!$C$16 &amp; "'!A1:A1000"),0),
               1000
            )
        ) *
        (LEFT(TRIM(INDIRECT("'" &amp; 'Hulp (overig)'!$C$16 &amp; "'!B1:B1000")),1) &lt;&gt; "u")
    ),
    ROW(INDIRECT("'" &amp; 'Hulp (overig)'!$C$16 &amp; "'!B1:B1000"))
)
        )
    ) * H139
),
IF(H140="","",
IF(
    IFERROR(MIN(
        IF(
            (TRIM(INDIRECT("'" &amp; 'Hulp (overig)'!$C$16 &amp; "'!B1:B1000")) = TEXT(H140,"0")) *
            (ROW(INDIRECT("'" &amp; 'Hulp (overig)'!$C$16 &amp; "'!B1:B1000")) &gt;= MATCH(
                H138,
                INDIRECT("'" &amp; 'Hulp (overig)'!$C$16 &amp; "'!A1:A1000"),
                0
            )) *
            IF(
                I138="",
                1,
                (ROW(INDIRECT("'" &amp; 'Hulp (overig)'!$C$16 &amp; "'!B1:B1000")) &lt; MATCH(
                    I138,
                    INDIRECT("'" &amp; 'Hulp (overig)'!$C$16 &amp; "'!A1:A1000"),
                    0
                ))
            ),
            ROW(INDIRECT("'" &amp; 'Hulp (overig)'!$C$16 &amp; "'!B1:B1000"))
        )
    ),0) &lt; 1,
    "",
    IF(INDEX(
        INDIRECT("'" &amp; 'Hulp (overig)'!$C$16 &amp; "'!" &amp;
        'Hulp (overig)'!$C$17 &amp; "1:" &amp; 'Hulp (overig)'!$C$17 &amp; 1000
        ),
        IFERROR(MIN(
            IF(
                (TRIM(INDIRECT("'" &amp; 'Hulp (overig)'!$C$16 &amp; "'!B1:B1000")) = TEXT(H140,"0")) *
                (ROW(INDIRECT("'" &amp; 'Hulp (overig)'!$C$16 &amp; "'!B1:B1000")) &gt;= MATCH(
                    H138,
                    INDIRECT("'" &amp; 'Hulp (overig)'!$C$16 &amp; "'!A1:A1000"),
                    0
                )) *
                IF(
                    I138="",
                    1,
                    (ROW(INDIRECT("'" &amp; 'Hulp (overig)'!$C$16 &amp; "'!B1:B1000")) &lt; MATCH(
                        I138,
                        INDIRECT("'" &amp; 'Hulp (overig)'!$C$16 &amp; "'!A1:A1000"),
                        0
                    ))
                ),
                ROW(INDIRECT("'" &amp; 'Hulp (overig)'!$C$16 &amp; "'!B1:B1000"))
            )
        ),0)
    )=0,"",
INDEX(
        INDIRECT("'" &amp; 'Hulp (overig)'!$C$16 &amp; "'!" &amp;
        'Hulp (overig)'!$C$17 &amp; "1:" &amp; 'Hulp (overig)'!$C$17 &amp; 1000
        ),
        IFERROR(MIN(
            IF(
                (TRIM(INDIRECT("'" &amp; 'Hulp (overig)'!$C$16 &amp; "'!B1:B1000")) = TEXT(H140,"0")) *
                (ROW(INDIRECT("'" &amp; 'Hulp (overig)'!$C$16 &amp; "'!B1:B1000")) &gt;= MATCH(
                    H138,
                    INDIRECT("'" &amp; 'Hulp (overig)'!$C$16 &amp; "'!A1:A1000"),
                    0
                )) *
                IF(
                    I138="",
                    1,
                    (ROW(INDIRECT("'" &amp; 'Hulp (overig)'!$C$16 &amp; "'!B1:B1000")) &lt; MATCH(
                        I138,
                        INDIRECT("'" &amp; 'Hulp (overig)'!$C$16 &amp; "'!A1:A1000"),
                        0
                    ))
                ),
                ROW(INDIRECT("'" &amp; 'Hulp (overig)'!$C$16 &amp; "'!B1:B1000"))
            )
        ),0)
    ))
))))</f>
        <v>#VALUE!</v>
      </c>
      <c r="I141" s="425" t="e" cm="1">
        <f t="array" aca="1" ref="I141" ca="1">IF($BF141, IF(I138="","",
   INDEX(
      INDIRECT("'" &amp; 'Hulp (CAO''s)'!$AE$8 &amp; "'!" &amp;
               'Hulp (overig)'!$C$17 &amp; "1:" &amp;
               'Hulp (overig)'!$C$17 &amp; "1000"),
      MATCH(
         I138,
         INDIRECT("'" &amp; 'Hulp (CAO''s)'!$AE$8 &amp; "'!A1:A1000"),
         0
      )
   )
), IF($D139="Gebruik % van maximum salaris",
IF(
    OR(I138="",I139=""),
    "",
    MAX(
        INDIRECT(
            "'" &amp; 'Hulp (overig)'!$C$16 &amp; "'!" &amp;
            'Hulp (overig)'!$C$17 &amp;
            MATCH(I138, INDIRECT("'" &amp; 'Hulp (overig)'!$C$16 &amp; "'!A1:A1000"), 0) &amp;
            ":" &amp;
            'Hulp (overig)'!$C$17 &amp;
LOOKUP(
    2,
    1 / (
        (ROW(INDIRECT("'" &amp; 'Hulp (overig)'!$C$16 &amp; "'!B1:B1000")) &lt;
            IF(J138&lt;&gt;"",
               MATCH(J138, INDIRECT("'" &amp; 'Hulp (overig)'!$C$16 &amp; "'!A1:A1000"),0),
               1000
            )
        ) *
        (LEFT(TRIM(INDIRECT("'" &amp; 'Hulp (overig)'!$C$16 &amp; "'!B1:B1000")),1) &lt;&gt; "u")
    ),
    ROW(INDIRECT("'" &amp; 'Hulp (overig)'!$C$16 &amp; "'!B1:B1000"))
)
        )
    ) * I139
),
IF(I140="","",
IF(
    IFERROR(MIN(
        IF(
            (TRIM(INDIRECT("'" &amp; 'Hulp (overig)'!$C$16 &amp; "'!B1:B1000")) = TEXT(I140,"0")) *
            (ROW(INDIRECT("'" &amp; 'Hulp (overig)'!$C$16 &amp; "'!B1:B1000")) &gt;= MATCH(
                I138,
                INDIRECT("'" &amp; 'Hulp (overig)'!$C$16 &amp; "'!A1:A1000"),
                0
            )) *
            IF(
                J138="",
                1,
                (ROW(INDIRECT("'" &amp; 'Hulp (overig)'!$C$16 &amp; "'!B1:B1000")) &lt; MATCH(
                    J138,
                    INDIRECT("'" &amp; 'Hulp (overig)'!$C$16 &amp; "'!A1:A1000"),
                    0
                ))
            ),
            ROW(INDIRECT("'" &amp; 'Hulp (overig)'!$C$16 &amp; "'!B1:B1000"))
        )
    ),0) &lt; 1,
    "",
    IF(INDEX(
        INDIRECT("'" &amp; 'Hulp (overig)'!$C$16 &amp; "'!" &amp;
        'Hulp (overig)'!$C$17 &amp; "1:" &amp; 'Hulp (overig)'!$C$17 &amp; 1000
        ),
        IFERROR(MIN(
            IF(
                (TRIM(INDIRECT("'" &amp; 'Hulp (overig)'!$C$16 &amp; "'!B1:B1000")) = TEXT(I140,"0")) *
                (ROW(INDIRECT("'" &amp; 'Hulp (overig)'!$C$16 &amp; "'!B1:B1000")) &gt;= MATCH(
                    I138,
                    INDIRECT("'" &amp; 'Hulp (overig)'!$C$16 &amp; "'!A1:A1000"),
                    0
                )) *
                IF(
                    J138="",
                    1,
                    (ROW(INDIRECT("'" &amp; 'Hulp (overig)'!$C$16 &amp; "'!B1:B1000")) &lt; MATCH(
                        J138,
                        INDIRECT("'" &amp; 'Hulp (overig)'!$C$16 &amp; "'!A1:A1000"),
                        0
                    ))
                ),
                ROW(INDIRECT("'" &amp; 'Hulp (overig)'!$C$16 &amp; "'!B1:B1000"))
            )
        ),0)
    )=0,"",
INDEX(
        INDIRECT("'" &amp; 'Hulp (overig)'!$C$16 &amp; "'!" &amp;
        'Hulp (overig)'!$C$17 &amp; "1:" &amp; 'Hulp (overig)'!$C$17 &amp; 1000
        ),
        IFERROR(MIN(
            IF(
                (TRIM(INDIRECT("'" &amp; 'Hulp (overig)'!$C$16 &amp; "'!B1:B1000")) = TEXT(I140,"0")) *
                (ROW(INDIRECT("'" &amp; 'Hulp (overig)'!$C$16 &amp; "'!B1:B1000")) &gt;= MATCH(
                    I138,
                    INDIRECT("'" &amp; 'Hulp (overig)'!$C$16 &amp; "'!A1:A1000"),
                    0
                )) *
                IF(
                    J138="",
                    1,
                    (ROW(INDIRECT("'" &amp; 'Hulp (overig)'!$C$16 &amp; "'!B1:B1000")) &lt; MATCH(
                        J138,
                        INDIRECT("'" &amp; 'Hulp (overig)'!$C$16 &amp; "'!A1:A1000"),
                        0
                    ))
                ),
                ROW(INDIRECT("'" &amp; 'Hulp (overig)'!$C$16 &amp; "'!B1:B1000"))
            )
        ),0)
    ))
))))</f>
        <v>#VALUE!</v>
      </c>
      <c r="J141" s="425" t="e" cm="1">
        <f t="array" aca="1" ref="J141" ca="1">IF($BF141, IF(J138="","",
   INDEX(
      INDIRECT("'" &amp; 'Hulp (CAO''s)'!$AE$8 &amp; "'!" &amp;
               'Hulp (overig)'!$C$17 &amp; "1:" &amp;
               'Hulp (overig)'!$C$17 &amp; "1000"),
      MATCH(
         J138,
         INDIRECT("'" &amp; 'Hulp (CAO''s)'!$AE$8 &amp; "'!A1:A1000"),
         0
      )
   )
), IF($D139="Gebruik % van maximum salaris",
IF(
    OR(J138="",J139=""),
    "",
    MAX(
        INDIRECT(
            "'" &amp; 'Hulp (overig)'!$C$16 &amp; "'!" &amp;
            'Hulp (overig)'!$C$17 &amp;
            MATCH(J138, INDIRECT("'" &amp; 'Hulp (overig)'!$C$16 &amp; "'!A1:A1000"), 0) &amp;
            ":" &amp;
            'Hulp (overig)'!$C$17 &amp;
LOOKUP(
    2,
    1 / (
        (ROW(INDIRECT("'" &amp; 'Hulp (overig)'!$C$16 &amp; "'!B1:B1000")) &lt;
            IF(K138&lt;&gt;"",
               MATCH(K138, INDIRECT("'" &amp; 'Hulp (overig)'!$C$16 &amp; "'!A1:A1000"),0),
               1000
            )
        ) *
        (LEFT(TRIM(INDIRECT("'" &amp; 'Hulp (overig)'!$C$16 &amp; "'!B1:B1000")),1) &lt;&gt; "u")
    ),
    ROW(INDIRECT("'" &amp; 'Hulp (overig)'!$C$16 &amp; "'!B1:B1000"))
)
        )
    ) * J139
),
IF(J140="","",
IF(
    IFERROR(MIN(
        IF(
            (TRIM(INDIRECT("'" &amp; 'Hulp (overig)'!$C$16 &amp; "'!B1:B1000")) = TEXT(J140,"0")) *
            (ROW(INDIRECT("'" &amp; 'Hulp (overig)'!$C$16 &amp; "'!B1:B1000")) &gt;= MATCH(
                J138,
                INDIRECT("'" &amp; 'Hulp (overig)'!$C$16 &amp; "'!A1:A1000"),
                0
            )) *
            IF(
                K138="",
                1,
                (ROW(INDIRECT("'" &amp; 'Hulp (overig)'!$C$16 &amp; "'!B1:B1000")) &lt; MATCH(
                    K138,
                    INDIRECT("'" &amp; 'Hulp (overig)'!$C$16 &amp; "'!A1:A1000"),
                    0
                ))
            ),
            ROW(INDIRECT("'" &amp; 'Hulp (overig)'!$C$16 &amp; "'!B1:B1000"))
        )
    ),0) &lt; 1,
    "",
    IF(INDEX(
        INDIRECT("'" &amp; 'Hulp (overig)'!$C$16 &amp; "'!" &amp;
        'Hulp (overig)'!$C$17 &amp; "1:" &amp; 'Hulp (overig)'!$C$17 &amp; 1000
        ),
        IFERROR(MIN(
            IF(
                (TRIM(INDIRECT("'" &amp; 'Hulp (overig)'!$C$16 &amp; "'!B1:B1000")) = TEXT(J140,"0")) *
                (ROW(INDIRECT("'" &amp; 'Hulp (overig)'!$C$16 &amp; "'!B1:B1000")) &gt;= MATCH(
                    J138,
                    INDIRECT("'" &amp; 'Hulp (overig)'!$C$16 &amp; "'!A1:A1000"),
                    0
                )) *
                IF(
                    K138="",
                    1,
                    (ROW(INDIRECT("'" &amp; 'Hulp (overig)'!$C$16 &amp; "'!B1:B1000")) &lt; MATCH(
                        K138,
                        INDIRECT("'" &amp; 'Hulp (overig)'!$C$16 &amp; "'!A1:A1000"),
                        0
                    ))
                ),
                ROW(INDIRECT("'" &amp; 'Hulp (overig)'!$C$16 &amp; "'!B1:B1000"))
            )
        ),0)
    )=0,"",
INDEX(
        INDIRECT("'" &amp; 'Hulp (overig)'!$C$16 &amp; "'!" &amp;
        'Hulp (overig)'!$C$17 &amp; "1:" &amp; 'Hulp (overig)'!$C$17 &amp; 1000
        ),
        IFERROR(MIN(
            IF(
                (TRIM(INDIRECT("'" &amp; 'Hulp (overig)'!$C$16 &amp; "'!B1:B1000")) = TEXT(J140,"0")) *
                (ROW(INDIRECT("'" &amp; 'Hulp (overig)'!$C$16 &amp; "'!B1:B1000")) &gt;= MATCH(
                    J138,
                    INDIRECT("'" &amp; 'Hulp (overig)'!$C$16 &amp; "'!A1:A1000"),
                    0
                )) *
                IF(
                    K138="",
                    1,
                    (ROW(INDIRECT("'" &amp; 'Hulp (overig)'!$C$16 &amp; "'!B1:B1000")) &lt; MATCH(
                        K138,
                        INDIRECT("'" &amp; 'Hulp (overig)'!$C$16 &amp; "'!A1:A1000"),
                        0
                    ))
                ),
                ROW(INDIRECT("'" &amp; 'Hulp (overig)'!$C$16 &amp; "'!B1:B1000"))
            )
        ),0)
    ))
))))</f>
        <v>#VALUE!</v>
      </c>
      <c r="K141" s="425" t="e" cm="1">
        <f t="array" aca="1" ref="K141" ca="1">IF($BF141, IF(K138="","",
   INDEX(
      INDIRECT("'" &amp; 'Hulp (CAO''s)'!$AE$8 &amp; "'!" &amp;
               'Hulp (overig)'!$C$17 &amp; "1:" &amp;
               'Hulp (overig)'!$C$17 &amp; "1000"),
      MATCH(
         K138,
         INDIRECT("'" &amp; 'Hulp (CAO''s)'!$AE$8 &amp; "'!A1:A1000"),
         0
      )
   )
), IF($D139="Gebruik % van maximum salaris",
IF(
    OR(K138="",K139=""),
    "",
    MAX(
        INDIRECT(
            "'" &amp; 'Hulp (overig)'!$C$16 &amp; "'!" &amp;
            'Hulp (overig)'!$C$17 &amp;
            MATCH(K138, INDIRECT("'" &amp; 'Hulp (overig)'!$C$16 &amp; "'!A1:A1000"), 0) &amp;
            ":" &amp;
            'Hulp (overig)'!$C$17 &amp;
LOOKUP(
    2,
    1 / (
        (ROW(INDIRECT("'" &amp; 'Hulp (overig)'!$C$16 &amp; "'!B1:B1000")) &lt;
            IF(L138&lt;&gt;"",
               MATCH(L138, INDIRECT("'" &amp; 'Hulp (overig)'!$C$16 &amp; "'!A1:A1000"),0),
               1000
            )
        ) *
        (LEFT(TRIM(INDIRECT("'" &amp; 'Hulp (overig)'!$C$16 &amp; "'!B1:B1000")),1) &lt;&gt; "u")
    ),
    ROW(INDIRECT("'" &amp; 'Hulp (overig)'!$C$16 &amp; "'!B1:B1000"))
)
        )
    ) * K139
),
IF(K140="","",
IF(
    IFERROR(MIN(
        IF(
            (TRIM(INDIRECT("'" &amp; 'Hulp (overig)'!$C$16 &amp; "'!B1:B1000")) = TEXT(K140,"0")) *
            (ROW(INDIRECT("'" &amp; 'Hulp (overig)'!$C$16 &amp; "'!B1:B1000")) &gt;= MATCH(
                K138,
                INDIRECT("'" &amp; 'Hulp (overig)'!$C$16 &amp; "'!A1:A1000"),
                0
            )) *
            IF(
                L138="",
                1,
                (ROW(INDIRECT("'" &amp; 'Hulp (overig)'!$C$16 &amp; "'!B1:B1000")) &lt; MATCH(
                    L138,
                    INDIRECT("'" &amp; 'Hulp (overig)'!$C$16 &amp; "'!A1:A1000"),
                    0
                ))
            ),
            ROW(INDIRECT("'" &amp; 'Hulp (overig)'!$C$16 &amp; "'!B1:B1000"))
        )
    ),0) &lt; 1,
    "",
    IF(INDEX(
        INDIRECT("'" &amp; 'Hulp (overig)'!$C$16 &amp; "'!" &amp;
        'Hulp (overig)'!$C$17 &amp; "1:" &amp; 'Hulp (overig)'!$C$17 &amp; 1000
        ),
        IFERROR(MIN(
            IF(
                (TRIM(INDIRECT("'" &amp; 'Hulp (overig)'!$C$16 &amp; "'!B1:B1000")) = TEXT(K140,"0")) *
                (ROW(INDIRECT("'" &amp; 'Hulp (overig)'!$C$16 &amp; "'!B1:B1000")) &gt;= MATCH(
                    K138,
                    INDIRECT("'" &amp; 'Hulp (overig)'!$C$16 &amp; "'!A1:A1000"),
                    0
                )) *
                IF(
                    L138="",
                    1,
                    (ROW(INDIRECT("'" &amp; 'Hulp (overig)'!$C$16 &amp; "'!B1:B1000")) &lt; MATCH(
                        L138,
                        INDIRECT("'" &amp; 'Hulp (overig)'!$C$16 &amp; "'!A1:A1000"),
                        0
                    ))
                ),
                ROW(INDIRECT("'" &amp; 'Hulp (overig)'!$C$16 &amp; "'!B1:B1000"))
            )
        ),0)
    )=0,"",
INDEX(
        INDIRECT("'" &amp; 'Hulp (overig)'!$C$16 &amp; "'!" &amp;
        'Hulp (overig)'!$C$17 &amp; "1:" &amp; 'Hulp (overig)'!$C$17 &amp; 1000
        ),
        IFERROR(MIN(
            IF(
                (TRIM(INDIRECT("'" &amp; 'Hulp (overig)'!$C$16 &amp; "'!B1:B1000")) = TEXT(K140,"0")) *
                (ROW(INDIRECT("'" &amp; 'Hulp (overig)'!$C$16 &amp; "'!B1:B1000")) &gt;= MATCH(
                    K138,
                    INDIRECT("'" &amp; 'Hulp (overig)'!$C$16 &amp; "'!A1:A1000"),
                    0
                )) *
                IF(
                    L138="",
                    1,
                    (ROW(INDIRECT("'" &amp; 'Hulp (overig)'!$C$16 &amp; "'!B1:B1000")) &lt; MATCH(
                        L138,
                        INDIRECT("'" &amp; 'Hulp (overig)'!$C$16 &amp; "'!A1:A1000"),
                        0
                    ))
                ),
                ROW(INDIRECT("'" &amp; 'Hulp (overig)'!$C$16 &amp; "'!B1:B1000"))
            )
        ),0)
    ))
))))</f>
        <v>#VALUE!</v>
      </c>
      <c r="L141" s="425" t="e" cm="1">
        <f t="array" aca="1" ref="L141" ca="1">IF($BF141, IF(L138="","",
   INDEX(
      INDIRECT("'" &amp; 'Hulp (CAO''s)'!$AE$8 &amp; "'!" &amp;
               'Hulp (overig)'!$C$17 &amp; "1:" &amp;
               'Hulp (overig)'!$C$17 &amp; "1000"),
      MATCH(
         L138,
         INDIRECT("'" &amp; 'Hulp (CAO''s)'!$AE$8 &amp; "'!A1:A1000"),
         0
      )
   )
), IF($D139="Gebruik % van maximum salaris",
IF(
    OR(L138="",L139=""),
    "",
    MAX(
        INDIRECT(
            "'" &amp; 'Hulp (overig)'!$C$16 &amp; "'!" &amp;
            'Hulp (overig)'!$C$17 &amp;
            MATCH(L138, INDIRECT("'" &amp; 'Hulp (overig)'!$C$16 &amp; "'!A1:A1000"), 0) &amp;
            ":" &amp;
            'Hulp (overig)'!$C$17 &amp;
LOOKUP(
    2,
    1 / (
        (ROW(INDIRECT("'" &amp; 'Hulp (overig)'!$C$16 &amp; "'!B1:B1000")) &lt;
            IF(M138&lt;&gt;"",
               MATCH(M138, INDIRECT("'" &amp; 'Hulp (overig)'!$C$16 &amp; "'!A1:A1000"),0),
               1000
            )
        ) *
        (LEFT(TRIM(INDIRECT("'" &amp; 'Hulp (overig)'!$C$16 &amp; "'!B1:B1000")),1) &lt;&gt; "u")
    ),
    ROW(INDIRECT("'" &amp; 'Hulp (overig)'!$C$16 &amp; "'!B1:B1000"))
)
        )
    ) * L139
),
IF(L140="","",
IF(
    IFERROR(MIN(
        IF(
            (TRIM(INDIRECT("'" &amp; 'Hulp (overig)'!$C$16 &amp; "'!B1:B1000")) = TEXT(L140,"0")) *
            (ROW(INDIRECT("'" &amp; 'Hulp (overig)'!$C$16 &amp; "'!B1:B1000")) &gt;= MATCH(
                L138,
                INDIRECT("'" &amp; 'Hulp (overig)'!$C$16 &amp; "'!A1:A1000"),
                0
            )) *
            IF(
                M138="",
                1,
                (ROW(INDIRECT("'" &amp; 'Hulp (overig)'!$C$16 &amp; "'!B1:B1000")) &lt; MATCH(
                    M138,
                    INDIRECT("'" &amp; 'Hulp (overig)'!$C$16 &amp; "'!A1:A1000"),
                    0
                ))
            ),
            ROW(INDIRECT("'" &amp; 'Hulp (overig)'!$C$16 &amp; "'!B1:B1000"))
        )
    ),0) &lt; 1,
    "",
    IF(INDEX(
        INDIRECT("'" &amp; 'Hulp (overig)'!$C$16 &amp; "'!" &amp;
        'Hulp (overig)'!$C$17 &amp; "1:" &amp; 'Hulp (overig)'!$C$17 &amp; 1000
        ),
        IFERROR(MIN(
            IF(
                (TRIM(INDIRECT("'" &amp; 'Hulp (overig)'!$C$16 &amp; "'!B1:B1000")) = TEXT(L140,"0")) *
                (ROW(INDIRECT("'" &amp; 'Hulp (overig)'!$C$16 &amp; "'!B1:B1000")) &gt;= MATCH(
                    L138,
                    INDIRECT("'" &amp; 'Hulp (overig)'!$C$16 &amp; "'!A1:A1000"),
                    0
                )) *
                IF(
                    M138="",
                    1,
                    (ROW(INDIRECT("'" &amp; 'Hulp (overig)'!$C$16 &amp; "'!B1:B1000")) &lt; MATCH(
                        M138,
                        INDIRECT("'" &amp; 'Hulp (overig)'!$C$16 &amp; "'!A1:A1000"),
                        0
                    ))
                ),
                ROW(INDIRECT("'" &amp; 'Hulp (overig)'!$C$16 &amp; "'!B1:B1000"))
            )
        ),0)
    )=0,"",
INDEX(
        INDIRECT("'" &amp; 'Hulp (overig)'!$C$16 &amp; "'!" &amp;
        'Hulp (overig)'!$C$17 &amp; "1:" &amp; 'Hulp (overig)'!$C$17 &amp; 1000
        ),
        IFERROR(MIN(
            IF(
                (TRIM(INDIRECT("'" &amp; 'Hulp (overig)'!$C$16 &amp; "'!B1:B1000")) = TEXT(L140,"0")) *
                (ROW(INDIRECT("'" &amp; 'Hulp (overig)'!$C$16 &amp; "'!B1:B1000")) &gt;= MATCH(
                    L138,
                    INDIRECT("'" &amp; 'Hulp (overig)'!$C$16 &amp; "'!A1:A1000"),
                    0
                )) *
                IF(
                    M138="",
                    1,
                    (ROW(INDIRECT("'" &amp; 'Hulp (overig)'!$C$16 &amp; "'!B1:B1000")) &lt; MATCH(
                        M138,
                        INDIRECT("'" &amp; 'Hulp (overig)'!$C$16 &amp; "'!A1:A1000"),
                        0
                    ))
                ),
                ROW(INDIRECT("'" &amp; 'Hulp (overig)'!$C$16 &amp; "'!B1:B1000"))
            )
        ),0)
    ))
))))</f>
        <v>#VALUE!</v>
      </c>
      <c r="M141" s="425" t="e" cm="1">
        <f t="array" aca="1" ref="M141" ca="1">IF($BF141, IF(M138="","",
   INDEX(
      INDIRECT("'" &amp; 'Hulp (CAO''s)'!$AE$8 &amp; "'!" &amp;
               'Hulp (overig)'!$C$17 &amp; "1:" &amp;
               'Hulp (overig)'!$C$17 &amp; "1000"),
      MATCH(
         M138,
         INDIRECT("'" &amp; 'Hulp (CAO''s)'!$AE$8 &amp; "'!A1:A1000"),
         0
      )
   )
), IF($D139="Gebruik % van maximum salaris",
IF(
    OR(M138="",M139=""),
    "",
    MAX(
        INDIRECT(
            "'" &amp; 'Hulp (overig)'!$C$16 &amp; "'!" &amp;
            'Hulp (overig)'!$C$17 &amp;
            MATCH(M138, INDIRECT("'" &amp; 'Hulp (overig)'!$C$16 &amp; "'!A1:A1000"), 0) &amp;
            ":" &amp;
            'Hulp (overig)'!$C$17 &amp;
LOOKUP(
    2,
    1 / (
        (ROW(INDIRECT("'" &amp; 'Hulp (overig)'!$C$16 &amp; "'!B1:B1000")) &lt;
            IF(N138&lt;&gt;"",
               MATCH(N138, INDIRECT("'" &amp; 'Hulp (overig)'!$C$16 &amp; "'!A1:A1000"),0),
               1000
            )
        ) *
        (LEFT(TRIM(INDIRECT("'" &amp; 'Hulp (overig)'!$C$16 &amp; "'!B1:B1000")),1) &lt;&gt; "u")
    ),
    ROW(INDIRECT("'" &amp; 'Hulp (overig)'!$C$16 &amp; "'!B1:B1000"))
)
        )
    ) * M139
),
IF(M140="","",
IF(
    IFERROR(MIN(
        IF(
            (TRIM(INDIRECT("'" &amp; 'Hulp (overig)'!$C$16 &amp; "'!B1:B1000")) = TEXT(M140,"0")) *
            (ROW(INDIRECT("'" &amp; 'Hulp (overig)'!$C$16 &amp; "'!B1:B1000")) &gt;= MATCH(
                M138,
                INDIRECT("'" &amp; 'Hulp (overig)'!$C$16 &amp; "'!A1:A1000"),
                0
            )) *
            IF(
                N138="",
                1,
                (ROW(INDIRECT("'" &amp; 'Hulp (overig)'!$C$16 &amp; "'!B1:B1000")) &lt; MATCH(
                    N138,
                    INDIRECT("'" &amp; 'Hulp (overig)'!$C$16 &amp; "'!A1:A1000"),
                    0
                ))
            ),
            ROW(INDIRECT("'" &amp; 'Hulp (overig)'!$C$16 &amp; "'!B1:B1000"))
        )
    ),0) &lt; 1,
    "",
    IF(INDEX(
        INDIRECT("'" &amp; 'Hulp (overig)'!$C$16 &amp; "'!" &amp;
        'Hulp (overig)'!$C$17 &amp; "1:" &amp; 'Hulp (overig)'!$C$17 &amp; 1000
        ),
        IFERROR(MIN(
            IF(
                (TRIM(INDIRECT("'" &amp; 'Hulp (overig)'!$C$16 &amp; "'!B1:B1000")) = TEXT(M140,"0")) *
                (ROW(INDIRECT("'" &amp; 'Hulp (overig)'!$C$16 &amp; "'!B1:B1000")) &gt;= MATCH(
                    M138,
                    INDIRECT("'" &amp; 'Hulp (overig)'!$C$16 &amp; "'!A1:A1000"),
                    0
                )) *
                IF(
                    N138="",
                    1,
                    (ROW(INDIRECT("'" &amp; 'Hulp (overig)'!$C$16 &amp; "'!B1:B1000")) &lt; MATCH(
                        N138,
                        INDIRECT("'" &amp; 'Hulp (overig)'!$C$16 &amp; "'!A1:A1000"),
                        0
                    ))
                ),
                ROW(INDIRECT("'" &amp; 'Hulp (overig)'!$C$16 &amp; "'!B1:B1000"))
            )
        ),0)
    )=0,"",
INDEX(
        INDIRECT("'" &amp; 'Hulp (overig)'!$C$16 &amp; "'!" &amp;
        'Hulp (overig)'!$C$17 &amp; "1:" &amp; 'Hulp (overig)'!$C$17 &amp; 1000
        ),
        IFERROR(MIN(
            IF(
                (TRIM(INDIRECT("'" &amp; 'Hulp (overig)'!$C$16 &amp; "'!B1:B1000")) = TEXT(M140,"0")) *
                (ROW(INDIRECT("'" &amp; 'Hulp (overig)'!$C$16 &amp; "'!B1:B1000")) &gt;= MATCH(
                    M138,
                    INDIRECT("'" &amp; 'Hulp (overig)'!$C$16 &amp; "'!A1:A1000"),
                    0
                )) *
                IF(
                    N138="",
                    1,
                    (ROW(INDIRECT("'" &amp; 'Hulp (overig)'!$C$16 &amp; "'!B1:B1000")) &lt; MATCH(
                        N138,
                        INDIRECT("'" &amp; 'Hulp (overig)'!$C$16 &amp; "'!A1:A1000"),
                        0
                    ))
                ),
                ROW(INDIRECT("'" &amp; 'Hulp (overig)'!$C$16 &amp; "'!B1:B1000"))
            )
        ),0)
    ))
))))</f>
        <v>#VALUE!</v>
      </c>
      <c r="N141" s="425" t="e" cm="1">
        <f t="array" aca="1" ref="N141" ca="1">IF($BF141, IF(N138="","",
   INDEX(
      INDIRECT("'" &amp; 'Hulp (CAO''s)'!$AE$8 &amp; "'!" &amp;
               'Hulp (overig)'!$C$17 &amp; "1:" &amp;
               'Hulp (overig)'!$C$17 &amp; "1000"),
      MATCH(
         N138,
         INDIRECT("'" &amp; 'Hulp (CAO''s)'!$AE$8 &amp; "'!A1:A1000"),
         0
      )
   )
), IF($D139="Gebruik % van maximum salaris",
IF(
    OR(N138="",N139=""),
    "",
    MAX(
        INDIRECT(
            "'" &amp; 'Hulp (overig)'!$C$16 &amp; "'!" &amp;
            'Hulp (overig)'!$C$17 &amp;
            MATCH(N138, INDIRECT("'" &amp; 'Hulp (overig)'!$C$16 &amp; "'!A1:A1000"), 0) &amp;
            ":" &amp;
            'Hulp (overig)'!$C$17 &amp;
LOOKUP(
    2,
    1 / (
        (ROW(INDIRECT("'" &amp; 'Hulp (overig)'!$C$16 &amp; "'!B1:B1000")) &lt;
            IF(O138&lt;&gt;"",
               MATCH(O138, INDIRECT("'" &amp; 'Hulp (overig)'!$C$16 &amp; "'!A1:A1000"),0),
               1000
            )
        ) *
        (LEFT(TRIM(INDIRECT("'" &amp; 'Hulp (overig)'!$C$16 &amp; "'!B1:B1000")),1) &lt;&gt; "u")
    ),
    ROW(INDIRECT("'" &amp; 'Hulp (overig)'!$C$16 &amp; "'!B1:B1000"))
)
        )
    ) * N139
),
IF(N140="","",
IF(
    IFERROR(MIN(
        IF(
            (TRIM(INDIRECT("'" &amp; 'Hulp (overig)'!$C$16 &amp; "'!B1:B1000")) = TEXT(N140,"0")) *
            (ROW(INDIRECT("'" &amp; 'Hulp (overig)'!$C$16 &amp; "'!B1:B1000")) &gt;= MATCH(
                N138,
                INDIRECT("'" &amp; 'Hulp (overig)'!$C$16 &amp; "'!A1:A1000"),
                0
            )) *
            IF(
                O138="",
                1,
                (ROW(INDIRECT("'" &amp; 'Hulp (overig)'!$C$16 &amp; "'!B1:B1000")) &lt; MATCH(
                    O138,
                    INDIRECT("'" &amp; 'Hulp (overig)'!$C$16 &amp; "'!A1:A1000"),
                    0
                ))
            ),
            ROW(INDIRECT("'" &amp; 'Hulp (overig)'!$C$16 &amp; "'!B1:B1000"))
        )
    ),0) &lt; 1,
    "",
    IF(INDEX(
        INDIRECT("'" &amp; 'Hulp (overig)'!$C$16 &amp; "'!" &amp;
        'Hulp (overig)'!$C$17 &amp; "1:" &amp; 'Hulp (overig)'!$C$17 &amp; 1000
        ),
        IFERROR(MIN(
            IF(
                (TRIM(INDIRECT("'" &amp; 'Hulp (overig)'!$C$16 &amp; "'!B1:B1000")) = TEXT(N140,"0")) *
                (ROW(INDIRECT("'" &amp; 'Hulp (overig)'!$C$16 &amp; "'!B1:B1000")) &gt;= MATCH(
                    N138,
                    INDIRECT("'" &amp; 'Hulp (overig)'!$C$16 &amp; "'!A1:A1000"),
                    0
                )) *
                IF(
                    O138="",
                    1,
                    (ROW(INDIRECT("'" &amp; 'Hulp (overig)'!$C$16 &amp; "'!B1:B1000")) &lt; MATCH(
                        O138,
                        INDIRECT("'" &amp; 'Hulp (overig)'!$C$16 &amp; "'!A1:A1000"),
                        0
                    ))
                ),
                ROW(INDIRECT("'" &amp; 'Hulp (overig)'!$C$16 &amp; "'!B1:B1000"))
            )
        ),0)
    )=0,"",
INDEX(
        INDIRECT("'" &amp; 'Hulp (overig)'!$C$16 &amp; "'!" &amp;
        'Hulp (overig)'!$C$17 &amp; "1:" &amp; 'Hulp (overig)'!$C$17 &amp; 1000
        ),
        IFERROR(MIN(
            IF(
                (TRIM(INDIRECT("'" &amp; 'Hulp (overig)'!$C$16 &amp; "'!B1:B1000")) = TEXT(N140,"0")) *
                (ROW(INDIRECT("'" &amp; 'Hulp (overig)'!$C$16 &amp; "'!B1:B1000")) &gt;= MATCH(
                    N138,
                    INDIRECT("'" &amp; 'Hulp (overig)'!$C$16 &amp; "'!A1:A1000"),
                    0
                )) *
                IF(
                    O138="",
                    1,
                    (ROW(INDIRECT("'" &amp; 'Hulp (overig)'!$C$16 &amp; "'!B1:B1000")) &lt; MATCH(
                        O138,
                        INDIRECT("'" &amp; 'Hulp (overig)'!$C$16 &amp; "'!A1:A1000"),
                        0
                    ))
                ),
                ROW(INDIRECT("'" &amp; 'Hulp (overig)'!$C$16 &amp; "'!B1:B1000"))
            )
        ),0)
    ))
))))</f>
        <v>#VALUE!</v>
      </c>
      <c r="O141" s="425" t="e" cm="1">
        <f t="array" aca="1" ref="O141" ca="1">IF($BF141, IF(O138="","",
   INDEX(
      INDIRECT("'" &amp; 'Hulp (CAO''s)'!$AE$8 &amp; "'!" &amp;
               'Hulp (overig)'!$C$17 &amp; "1:" &amp;
               'Hulp (overig)'!$C$17 &amp; "1000"),
      MATCH(
         O138,
         INDIRECT("'" &amp; 'Hulp (CAO''s)'!$AE$8 &amp; "'!A1:A1000"),
         0
      )
   )
), IF($D139="Gebruik % van maximum salaris",
IF(
    OR(O138="",O139=""),
    "",
    MAX(
        INDIRECT(
            "'" &amp; 'Hulp (overig)'!$C$16 &amp; "'!" &amp;
            'Hulp (overig)'!$C$17 &amp;
            MATCH(O138, INDIRECT("'" &amp; 'Hulp (overig)'!$C$16 &amp; "'!A1:A1000"), 0) &amp;
            ":" &amp;
            'Hulp (overig)'!$C$17 &amp;
LOOKUP(
    2,
    1 / (
        (ROW(INDIRECT("'" &amp; 'Hulp (overig)'!$C$16 &amp; "'!B1:B1000")) &lt;
            IF(P138&lt;&gt;"",
               MATCH(P138, INDIRECT("'" &amp; 'Hulp (overig)'!$C$16 &amp; "'!A1:A1000"),0),
               1000
            )
        ) *
        (LEFT(TRIM(INDIRECT("'" &amp; 'Hulp (overig)'!$C$16 &amp; "'!B1:B1000")),1) &lt;&gt; "u")
    ),
    ROW(INDIRECT("'" &amp; 'Hulp (overig)'!$C$16 &amp; "'!B1:B1000"))
)
        )
    ) * O139
),
IF(O140="","",
IF(
    IFERROR(MIN(
        IF(
            (TRIM(INDIRECT("'" &amp; 'Hulp (overig)'!$C$16 &amp; "'!B1:B1000")) = TEXT(O140,"0")) *
            (ROW(INDIRECT("'" &amp; 'Hulp (overig)'!$C$16 &amp; "'!B1:B1000")) &gt;= MATCH(
                O138,
                INDIRECT("'" &amp; 'Hulp (overig)'!$C$16 &amp; "'!A1:A1000"),
                0
            )) *
            IF(
                P138="",
                1,
                (ROW(INDIRECT("'" &amp; 'Hulp (overig)'!$C$16 &amp; "'!B1:B1000")) &lt; MATCH(
                    P138,
                    INDIRECT("'" &amp; 'Hulp (overig)'!$C$16 &amp; "'!A1:A1000"),
                    0
                ))
            ),
            ROW(INDIRECT("'" &amp; 'Hulp (overig)'!$C$16 &amp; "'!B1:B1000"))
        )
    ),0) &lt; 1,
    "",
    IF(INDEX(
        INDIRECT("'" &amp; 'Hulp (overig)'!$C$16 &amp; "'!" &amp;
        'Hulp (overig)'!$C$17 &amp; "1:" &amp; 'Hulp (overig)'!$C$17 &amp; 1000
        ),
        IFERROR(MIN(
            IF(
                (TRIM(INDIRECT("'" &amp; 'Hulp (overig)'!$C$16 &amp; "'!B1:B1000")) = TEXT(O140,"0")) *
                (ROW(INDIRECT("'" &amp; 'Hulp (overig)'!$C$16 &amp; "'!B1:B1000")) &gt;= MATCH(
                    O138,
                    INDIRECT("'" &amp; 'Hulp (overig)'!$C$16 &amp; "'!A1:A1000"),
                    0
                )) *
                IF(
                    P138="",
                    1,
                    (ROW(INDIRECT("'" &amp; 'Hulp (overig)'!$C$16 &amp; "'!B1:B1000")) &lt; MATCH(
                        P138,
                        INDIRECT("'" &amp; 'Hulp (overig)'!$C$16 &amp; "'!A1:A1000"),
                        0
                    ))
                ),
                ROW(INDIRECT("'" &amp; 'Hulp (overig)'!$C$16 &amp; "'!B1:B1000"))
            )
        ),0)
    )=0,"",
INDEX(
        INDIRECT("'" &amp; 'Hulp (overig)'!$C$16 &amp; "'!" &amp;
        'Hulp (overig)'!$C$17 &amp; "1:" &amp; 'Hulp (overig)'!$C$17 &amp; 1000
        ),
        IFERROR(MIN(
            IF(
                (TRIM(INDIRECT("'" &amp; 'Hulp (overig)'!$C$16 &amp; "'!B1:B1000")) = TEXT(O140,"0")) *
                (ROW(INDIRECT("'" &amp; 'Hulp (overig)'!$C$16 &amp; "'!B1:B1000")) &gt;= MATCH(
                    O138,
                    INDIRECT("'" &amp; 'Hulp (overig)'!$C$16 &amp; "'!A1:A1000"),
                    0
                )) *
                IF(
                    P138="",
                    1,
                    (ROW(INDIRECT("'" &amp; 'Hulp (overig)'!$C$16 &amp; "'!B1:B1000")) &lt; MATCH(
                        P138,
                        INDIRECT("'" &amp; 'Hulp (overig)'!$C$16 &amp; "'!A1:A1000"),
                        0
                    ))
                ),
                ROW(INDIRECT("'" &amp; 'Hulp (overig)'!$C$16 &amp; "'!B1:B1000"))
            )
        ),0)
    ))
))))</f>
        <v>#VALUE!</v>
      </c>
      <c r="P141" s="425" t="e" cm="1">
        <f t="array" aca="1" ref="P141" ca="1">IF($BF141, IF(P138="","",
   INDEX(
      INDIRECT("'" &amp; 'Hulp (CAO''s)'!$AE$8 &amp; "'!" &amp;
               'Hulp (overig)'!$C$17 &amp; "1:" &amp;
               'Hulp (overig)'!$C$17 &amp; "1000"),
      MATCH(
         P138,
         INDIRECT("'" &amp; 'Hulp (CAO''s)'!$AE$8 &amp; "'!A1:A1000"),
         0
      )
   )
), IF($D139="Gebruik % van maximum salaris",
IF(
    OR(P138="",P139=""),
    "",
    MAX(
        INDIRECT(
            "'" &amp; 'Hulp (overig)'!$C$16 &amp; "'!" &amp;
            'Hulp (overig)'!$C$17 &amp;
            MATCH(P138, INDIRECT("'" &amp; 'Hulp (overig)'!$C$16 &amp; "'!A1:A1000"), 0) &amp;
            ":" &amp;
            'Hulp (overig)'!$C$17 &amp;
LOOKUP(
    2,
    1 / (
        (ROW(INDIRECT("'" &amp; 'Hulp (overig)'!$C$16 &amp; "'!B1:B1000")) &lt;
            IF(Q138&lt;&gt;"",
               MATCH(Q138, INDIRECT("'" &amp; 'Hulp (overig)'!$C$16 &amp; "'!A1:A1000"),0),
               1000
            )
        ) *
        (LEFT(TRIM(INDIRECT("'" &amp; 'Hulp (overig)'!$C$16 &amp; "'!B1:B1000")),1) &lt;&gt; "u")
    ),
    ROW(INDIRECT("'" &amp; 'Hulp (overig)'!$C$16 &amp; "'!B1:B1000"))
)
        )
    ) * P139
),
IF(P140="","",
IF(
    IFERROR(MIN(
        IF(
            (TRIM(INDIRECT("'" &amp; 'Hulp (overig)'!$C$16 &amp; "'!B1:B1000")) = TEXT(P140,"0")) *
            (ROW(INDIRECT("'" &amp; 'Hulp (overig)'!$C$16 &amp; "'!B1:B1000")) &gt;= MATCH(
                P138,
                INDIRECT("'" &amp; 'Hulp (overig)'!$C$16 &amp; "'!A1:A1000"),
                0
            )) *
            IF(
                Q138="",
                1,
                (ROW(INDIRECT("'" &amp; 'Hulp (overig)'!$C$16 &amp; "'!B1:B1000")) &lt; MATCH(
                    Q138,
                    INDIRECT("'" &amp; 'Hulp (overig)'!$C$16 &amp; "'!A1:A1000"),
                    0
                ))
            ),
            ROW(INDIRECT("'" &amp; 'Hulp (overig)'!$C$16 &amp; "'!B1:B1000"))
        )
    ),0) &lt; 1,
    "",
    IF(INDEX(
        INDIRECT("'" &amp; 'Hulp (overig)'!$C$16 &amp; "'!" &amp;
        'Hulp (overig)'!$C$17 &amp; "1:" &amp; 'Hulp (overig)'!$C$17 &amp; 1000
        ),
        IFERROR(MIN(
            IF(
                (TRIM(INDIRECT("'" &amp; 'Hulp (overig)'!$C$16 &amp; "'!B1:B1000")) = TEXT(P140,"0")) *
                (ROW(INDIRECT("'" &amp; 'Hulp (overig)'!$C$16 &amp; "'!B1:B1000")) &gt;= MATCH(
                    P138,
                    INDIRECT("'" &amp; 'Hulp (overig)'!$C$16 &amp; "'!A1:A1000"),
                    0
                )) *
                IF(
                    Q138="",
                    1,
                    (ROW(INDIRECT("'" &amp; 'Hulp (overig)'!$C$16 &amp; "'!B1:B1000")) &lt; MATCH(
                        Q138,
                        INDIRECT("'" &amp; 'Hulp (overig)'!$C$16 &amp; "'!A1:A1000"),
                        0
                    ))
                ),
                ROW(INDIRECT("'" &amp; 'Hulp (overig)'!$C$16 &amp; "'!B1:B1000"))
            )
        ),0)
    )=0,"",
INDEX(
        INDIRECT("'" &amp; 'Hulp (overig)'!$C$16 &amp; "'!" &amp;
        'Hulp (overig)'!$C$17 &amp; "1:" &amp; 'Hulp (overig)'!$C$17 &amp; 1000
        ),
        IFERROR(MIN(
            IF(
                (TRIM(INDIRECT("'" &amp; 'Hulp (overig)'!$C$16 &amp; "'!B1:B1000")) = TEXT(P140,"0")) *
                (ROW(INDIRECT("'" &amp; 'Hulp (overig)'!$C$16 &amp; "'!B1:B1000")) &gt;= MATCH(
                    P138,
                    INDIRECT("'" &amp; 'Hulp (overig)'!$C$16 &amp; "'!A1:A1000"),
                    0
                )) *
                IF(
                    Q138="",
                    1,
                    (ROW(INDIRECT("'" &amp; 'Hulp (overig)'!$C$16 &amp; "'!B1:B1000")) &lt; MATCH(
                        Q138,
                        INDIRECT("'" &amp; 'Hulp (overig)'!$C$16 &amp; "'!A1:A1000"),
                        0
                    ))
                ),
                ROW(INDIRECT("'" &amp; 'Hulp (overig)'!$C$16 &amp; "'!B1:B1000"))
            )
        ),0)
    ))
))))</f>
        <v>#VALUE!</v>
      </c>
      <c r="Q141" s="425" t="e" cm="1">
        <f t="array" aca="1" ref="Q141" ca="1">IF($BF141, IF(Q138="","",
   INDEX(
      INDIRECT("'" &amp; 'Hulp (CAO''s)'!$AE$8 &amp; "'!" &amp;
               'Hulp (overig)'!$C$17 &amp; "1:" &amp;
               'Hulp (overig)'!$C$17 &amp; "1000"),
      MATCH(
         Q138,
         INDIRECT("'" &amp; 'Hulp (CAO''s)'!$AE$8 &amp; "'!A1:A1000"),
         0
      )
   )
), IF($D139="Gebruik % van maximum salaris",
IF(
    OR(Q138="",Q139=""),
    "",
    MAX(
        INDIRECT(
            "'" &amp; 'Hulp (overig)'!$C$16 &amp; "'!" &amp;
            'Hulp (overig)'!$C$17 &amp;
            MATCH(Q138, INDIRECT("'" &amp; 'Hulp (overig)'!$C$16 &amp; "'!A1:A1000"), 0) &amp;
            ":" &amp;
            'Hulp (overig)'!$C$17 &amp;
LOOKUP(
    2,
    1 / (
        (ROW(INDIRECT("'" &amp; 'Hulp (overig)'!$C$16 &amp; "'!B1:B1000")) &lt;
            IF(R138&lt;&gt;"",
               MATCH(R138, INDIRECT("'" &amp; 'Hulp (overig)'!$C$16 &amp; "'!A1:A1000"),0),
               1000
            )
        ) *
        (LEFT(TRIM(INDIRECT("'" &amp; 'Hulp (overig)'!$C$16 &amp; "'!B1:B1000")),1) &lt;&gt; "u")
    ),
    ROW(INDIRECT("'" &amp; 'Hulp (overig)'!$C$16 &amp; "'!B1:B1000"))
)
        )
    ) * Q139
),
IF(Q140="","",
IF(
    IFERROR(MIN(
        IF(
            (TRIM(INDIRECT("'" &amp; 'Hulp (overig)'!$C$16 &amp; "'!B1:B1000")) = TEXT(Q140,"0")) *
            (ROW(INDIRECT("'" &amp; 'Hulp (overig)'!$C$16 &amp; "'!B1:B1000")) &gt;= MATCH(
                Q138,
                INDIRECT("'" &amp; 'Hulp (overig)'!$C$16 &amp; "'!A1:A1000"),
                0
            )) *
            IF(
                R138="",
                1,
                (ROW(INDIRECT("'" &amp; 'Hulp (overig)'!$C$16 &amp; "'!B1:B1000")) &lt; MATCH(
                    R138,
                    INDIRECT("'" &amp; 'Hulp (overig)'!$C$16 &amp; "'!A1:A1000"),
                    0
                ))
            ),
            ROW(INDIRECT("'" &amp; 'Hulp (overig)'!$C$16 &amp; "'!B1:B1000"))
        )
    ),0) &lt; 1,
    "",
    IF(INDEX(
        INDIRECT("'" &amp; 'Hulp (overig)'!$C$16 &amp; "'!" &amp;
        'Hulp (overig)'!$C$17 &amp; "1:" &amp; 'Hulp (overig)'!$C$17 &amp; 1000
        ),
        IFERROR(MIN(
            IF(
                (TRIM(INDIRECT("'" &amp; 'Hulp (overig)'!$C$16 &amp; "'!B1:B1000")) = TEXT(Q140,"0")) *
                (ROW(INDIRECT("'" &amp; 'Hulp (overig)'!$C$16 &amp; "'!B1:B1000")) &gt;= MATCH(
                    Q138,
                    INDIRECT("'" &amp; 'Hulp (overig)'!$C$16 &amp; "'!A1:A1000"),
                    0
                )) *
                IF(
                    R138="",
                    1,
                    (ROW(INDIRECT("'" &amp; 'Hulp (overig)'!$C$16 &amp; "'!B1:B1000")) &lt; MATCH(
                        R138,
                        INDIRECT("'" &amp; 'Hulp (overig)'!$C$16 &amp; "'!A1:A1000"),
                        0
                    ))
                ),
                ROW(INDIRECT("'" &amp; 'Hulp (overig)'!$C$16 &amp; "'!B1:B1000"))
            )
        ),0)
    )=0,"",
INDEX(
        INDIRECT("'" &amp; 'Hulp (overig)'!$C$16 &amp; "'!" &amp;
        'Hulp (overig)'!$C$17 &amp; "1:" &amp; 'Hulp (overig)'!$C$17 &amp; 1000
        ),
        IFERROR(MIN(
            IF(
                (TRIM(INDIRECT("'" &amp; 'Hulp (overig)'!$C$16 &amp; "'!B1:B1000")) = TEXT(Q140,"0")) *
                (ROW(INDIRECT("'" &amp; 'Hulp (overig)'!$C$16 &amp; "'!B1:B1000")) &gt;= MATCH(
                    Q138,
                    INDIRECT("'" &amp; 'Hulp (overig)'!$C$16 &amp; "'!A1:A1000"),
                    0
                )) *
                IF(
                    R138="",
                    1,
                    (ROW(INDIRECT("'" &amp; 'Hulp (overig)'!$C$16 &amp; "'!B1:B1000")) &lt; MATCH(
                        R138,
                        INDIRECT("'" &amp; 'Hulp (overig)'!$C$16 &amp; "'!A1:A1000"),
                        0
                    ))
                ),
                ROW(INDIRECT("'" &amp; 'Hulp (overig)'!$C$16 &amp; "'!B1:B1000"))
            )
        ),0)
    ))
))))</f>
        <v>#VALUE!</v>
      </c>
      <c r="R141" s="425" t="e" cm="1">
        <f t="array" aca="1" ref="R141" ca="1">IF($BF141, IF(R138="","",
   INDEX(
      INDIRECT("'" &amp; 'Hulp (CAO''s)'!$AE$8 &amp; "'!" &amp;
               'Hulp (overig)'!$C$17 &amp; "1:" &amp;
               'Hulp (overig)'!$C$17 &amp; "1000"),
      MATCH(
         R138,
         INDIRECT("'" &amp; 'Hulp (CAO''s)'!$AE$8 &amp; "'!A1:A1000"),
         0
      )
   )
), IF($D139="Gebruik % van maximum salaris",
IF(
    OR(R138="",R139=""),
    "",
    MAX(
        INDIRECT(
            "'" &amp; 'Hulp (overig)'!$C$16 &amp; "'!" &amp;
            'Hulp (overig)'!$C$17 &amp;
            MATCH(R138, INDIRECT("'" &amp; 'Hulp (overig)'!$C$16 &amp; "'!A1:A1000"), 0) &amp;
            ":" &amp;
            'Hulp (overig)'!$C$17 &amp;
LOOKUP(
    2,
    1 / (
        (ROW(INDIRECT("'" &amp; 'Hulp (overig)'!$C$16 &amp; "'!B1:B1000")) &lt;
            IF(S138&lt;&gt;"",
               MATCH(S138, INDIRECT("'" &amp; 'Hulp (overig)'!$C$16 &amp; "'!A1:A1000"),0),
               1000
            )
        ) *
        (LEFT(TRIM(INDIRECT("'" &amp; 'Hulp (overig)'!$C$16 &amp; "'!B1:B1000")),1) &lt;&gt; "u")
    ),
    ROW(INDIRECT("'" &amp; 'Hulp (overig)'!$C$16 &amp; "'!B1:B1000"))
)
        )
    ) * R139
),
IF(R140="","",
IF(
    IFERROR(MIN(
        IF(
            (TRIM(INDIRECT("'" &amp; 'Hulp (overig)'!$C$16 &amp; "'!B1:B1000")) = TEXT(R140,"0")) *
            (ROW(INDIRECT("'" &amp; 'Hulp (overig)'!$C$16 &amp; "'!B1:B1000")) &gt;= MATCH(
                R138,
                INDIRECT("'" &amp; 'Hulp (overig)'!$C$16 &amp; "'!A1:A1000"),
                0
            )) *
            IF(
                S138="",
                1,
                (ROW(INDIRECT("'" &amp; 'Hulp (overig)'!$C$16 &amp; "'!B1:B1000")) &lt; MATCH(
                    S138,
                    INDIRECT("'" &amp; 'Hulp (overig)'!$C$16 &amp; "'!A1:A1000"),
                    0
                ))
            ),
            ROW(INDIRECT("'" &amp; 'Hulp (overig)'!$C$16 &amp; "'!B1:B1000"))
        )
    ),0) &lt; 1,
    "",
    IF(INDEX(
        INDIRECT("'" &amp; 'Hulp (overig)'!$C$16 &amp; "'!" &amp;
        'Hulp (overig)'!$C$17 &amp; "1:" &amp; 'Hulp (overig)'!$C$17 &amp; 1000
        ),
        IFERROR(MIN(
            IF(
                (TRIM(INDIRECT("'" &amp; 'Hulp (overig)'!$C$16 &amp; "'!B1:B1000")) = TEXT(R140,"0")) *
                (ROW(INDIRECT("'" &amp; 'Hulp (overig)'!$C$16 &amp; "'!B1:B1000")) &gt;= MATCH(
                    R138,
                    INDIRECT("'" &amp; 'Hulp (overig)'!$C$16 &amp; "'!A1:A1000"),
                    0
                )) *
                IF(
                    S138="",
                    1,
                    (ROW(INDIRECT("'" &amp; 'Hulp (overig)'!$C$16 &amp; "'!B1:B1000")) &lt; MATCH(
                        S138,
                        INDIRECT("'" &amp; 'Hulp (overig)'!$C$16 &amp; "'!A1:A1000"),
                        0
                    ))
                ),
                ROW(INDIRECT("'" &amp; 'Hulp (overig)'!$C$16 &amp; "'!B1:B1000"))
            )
        ),0)
    )=0,"",
INDEX(
        INDIRECT("'" &amp; 'Hulp (overig)'!$C$16 &amp; "'!" &amp;
        'Hulp (overig)'!$C$17 &amp; "1:" &amp; 'Hulp (overig)'!$C$17 &amp; 1000
        ),
        IFERROR(MIN(
            IF(
                (TRIM(INDIRECT("'" &amp; 'Hulp (overig)'!$C$16 &amp; "'!B1:B1000")) = TEXT(R140,"0")) *
                (ROW(INDIRECT("'" &amp; 'Hulp (overig)'!$C$16 &amp; "'!B1:B1000")) &gt;= MATCH(
                    R138,
                    INDIRECT("'" &amp; 'Hulp (overig)'!$C$16 &amp; "'!A1:A1000"),
                    0
                )) *
                IF(
                    S138="",
                    1,
                    (ROW(INDIRECT("'" &amp; 'Hulp (overig)'!$C$16 &amp; "'!B1:B1000")) &lt; MATCH(
                        S138,
                        INDIRECT("'" &amp; 'Hulp (overig)'!$C$16 &amp; "'!A1:A1000"),
                        0
                    ))
                ),
                ROW(INDIRECT("'" &amp; 'Hulp (overig)'!$C$16 &amp; "'!B1:B1000"))
            )
        ),0)
    ))
))))</f>
        <v>#VALUE!</v>
      </c>
      <c r="S141" s="425" t="e" cm="1">
        <f t="array" aca="1" ref="S141" ca="1">IF($BF141, IF(S138="","",
   INDEX(
      INDIRECT("'" &amp; 'Hulp (CAO''s)'!$AE$8 &amp; "'!" &amp;
               'Hulp (overig)'!$C$17 &amp; "1:" &amp;
               'Hulp (overig)'!$C$17 &amp; "1000"),
      MATCH(
         S138,
         INDIRECT("'" &amp; 'Hulp (CAO''s)'!$AE$8 &amp; "'!A1:A1000"),
         0
      )
   )
), IF($D139="Gebruik % van maximum salaris",
IF(
    OR(S138="",S139=""),
    "",
    MAX(
        INDIRECT(
            "'" &amp; 'Hulp (overig)'!$C$16 &amp; "'!" &amp;
            'Hulp (overig)'!$C$17 &amp;
            MATCH(S138, INDIRECT("'" &amp; 'Hulp (overig)'!$C$16 &amp; "'!A1:A1000"), 0) &amp;
            ":" &amp;
            'Hulp (overig)'!$C$17 &amp;
LOOKUP(
    2,
    1 / (
        (ROW(INDIRECT("'" &amp; 'Hulp (overig)'!$C$16 &amp; "'!B1:B1000")) &lt;
            IF(T138&lt;&gt;"",
               MATCH(T138, INDIRECT("'" &amp; 'Hulp (overig)'!$C$16 &amp; "'!A1:A1000"),0),
               1000
            )
        ) *
        (LEFT(TRIM(INDIRECT("'" &amp; 'Hulp (overig)'!$C$16 &amp; "'!B1:B1000")),1) &lt;&gt; "u")
    ),
    ROW(INDIRECT("'" &amp; 'Hulp (overig)'!$C$16 &amp; "'!B1:B1000"))
)
        )
    ) * S139
),
IF(S140="","",
IF(
    IFERROR(MIN(
        IF(
            (TRIM(INDIRECT("'" &amp; 'Hulp (overig)'!$C$16 &amp; "'!B1:B1000")) = TEXT(S140,"0")) *
            (ROW(INDIRECT("'" &amp; 'Hulp (overig)'!$C$16 &amp; "'!B1:B1000")) &gt;= MATCH(
                S138,
                INDIRECT("'" &amp; 'Hulp (overig)'!$C$16 &amp; "'!A1:A1000"),
                0
            )) *
            IF(
                T138="",
                1,
                (ROW(INDIRECT("'" &amp; 'Hulp (overig)'!$C$16 &amp; "'!B1:B1000")) &lt; MATCH(
                    T138,
                    INDIRECT("'" &amp; 'Hulp (overig)'!$C$16 &amp; "'!A1:A1000"),
                    0
                ))
            ),
            ROW(INDIRECT("'" &amp; 'Hulp (overig)'!$C$16 &amp; "'!B1:B1000"))
        )
    ),0) &lt; 1,
    "",
    IF(INDEX(
        INDIRECT("'" &amp; 'Hulp (overig)'!$C$16 &amp; "'!" &amp;
        'Hulp (overig)'!$C$17 &amp; "1:" &amp; 'Hulp (overig)'!$C$17 &amp; 1000
        ),
        IFERROR(MIN(
            IF(
                (TRIM(INDIRECT("'" &amp; 'Hulp (overig)'!$C$16 &amp; "'!B1:B1000")) = TEXT(S140,"0")) *
                (ROW(INDIRECT("'" &amp; 'Hulp (overig)'!$C$16 &amp; "'!B1:B1000")) &gt;= MATCH(
                    S138,
                    INDIRECT("'" &amp; 'Hulp (overig)'!$C$16 &amp; "'!A1:A1000"),
                    0
                )) *
                IF(
                    T138="",
                    1,
                    (ROW(INDIRECT("'" &amp; 'Hulp (overig)'!$C$16 &amp; "'!B1:B1000")) &lt; MATCH(
                        T138,
                        INDIRECT("'" &amp; 'Hulp (overig)'!$C$16 &amp; "'!A1:A1000"),
                        0
                    ))
                ),
                ROW(INDIRECT("'" &amp; 'Hulp (overig)'!$C$16 &amp; "'!B1:B1000"))
            )
        ),0)
    )=0,"",
INDEX(
        INDIRECT("'" &amp; 'Hulp (overig)'!$C$16 &amp; "'!" &amp;
        'Hulp (overig)'!$C$17 &amp; "1:" &amp; 'Hulp (overig)'!$C$17 &amp; 1000
        ),
        IFERROR(MIN(
            IF(
                (TRIM(INDIRECT("'" &amp; 'Hulp (overig)'!$C$16 &amp; "'!B1:B1000")) = TEXT(S140,"0")) *
                (ROW(INDIRECT("'" &amp; 'Hulp (overig)'!$C$16 &amp; "'!B1:B1000")) &gt;= MATCH(
                    S138,
                    INDIRECT("'" &amp; 'Hulp (overig)'!$C$16 &amp; "'!A1:A1000"),
                    0
                )) *
                IF(
                    T138="",
                    1,
                    (ROW(INDIRECT("'" &amp; 'Hulp (overig)'!$C$16 &amp; "'!B1:B1000")) &lt; MATCH(
                        T138,
                        INDIRECT("'" &amp; 'Hulp (overig)'!$C$16 &amp; "'!A1:A1000"),
                        0
                    ))
                ),
                ROW(INDIRECT("'" &amp; 'Hulp (overig)'!$C$16 &amp; "'!B1:B1000"))
            )
        ),0)
    ))
))))</f>
        <v>#VALUE!</v>
      </c>
      <c r="T141" s="425" t="e" cm="1">
        <f t="array" aca="1" ref="T141" ca="1">IF($BF141, IF(T138="","",
   INDEX(
      INDIRECT("'" &amp; 'Hulp (CAO''s)'!$AE$8 &amp; "'!" &amp;
               'Hulp (overig)'!$C$17 &amp; "1:" &amp;
               'Hulp (overig)'!$C$17 &amp; "1000"),
      MATCH(
         T138,
         INDIRECT("'" &amp; 'Hulp (CAO''s)'!$AE$8 &amp; "'!A1:A1000"),
         0
      )
   )
), IF($D139="Gebruik % van maximum salaris",
IF(
    OR(T138="",T139=""),
    "",
    MAX(
        INDIRECT(
            "'" &amp; 'Hulp (overig)'!$C$16 &amp; "'!" &amp;
            'Hulp (overig)'!$C$17 &amp;
            MATCH(T138, INDIRECT("'" &amp; 'Hulp (overig)'!$C$16 &amp; "'!A1:A1000"), 0) &amp;
            ":" &amp;
            'Hulp (overig)'!$C$17 &amp;
LOOKUP(
    2,
    1 / (
        (ROW(INDIRECT("'" &amp; 'Hulp (overig)'!$C$16 &amp; "'!B1:B1000")) &lt;
            IF(U138&lt;&gt;"",
               MATCH(U138, INDIRECT("'" &amp; 'Hulp (overig)'!$C$16 &amp; "'!A1:A1000"),0),
               1000
            )
        ) *
        (LEFT(TRIM(INDIRECT("'" &amp; 'Hulp (overig)'!$C$16 &amp; "'!B1:B1000")),1) &lt;&gt; "u")
    ),
    ROW(INDIRECT("'" &amp; 'Hulp (overig)'!$C$16 &amp; "'!B1:B1000"))
)
        )
    ) * T139
),
IF(T140="","",
IF(
    IFERROR(MIN(
        IF(
            (TRIM(INDIRECT("'" &amp; 'Hulp (overig)'!$C$16 &amp; "'!B1:B1000")) = TEXT(T140,"0")) *
            (ROW(INDIRECT("'" &amp; 'Hulp (overig)'!$C$16 &amp; "'!B1:B1000")) &gt;= MATCH(
                T138,
                INDIRECT("'" &amp; 'Hulp (overig)'!$C$16 &amp; "'!A1:A1000"),
                0
            )) *
            IF(
                U138="",
                1,
                (ROW(INDIRECT("'" &amp; 'Hulp (overig)'!$C$16 &amp; "'!B1:B1000")) &lt; MATCH(
                    U138,
                    INDIRECT("'" &amp; 'Hulp (overig)'!$C$16 &amp; "'!A1:A1000"),
                    0
                ))
            ),
            ROW(INDIRECT("'" &amp; 'Hulp (overig)'!$C$16 &amp; "'!B1:B1000"))
        )
    ),0) &lt; 1,
    "",
    IF(INDEX(
        INDIRECT("'" &amp; 'Hulp (overig)'!$C$16 &amp; "'!" &amp;
        'Hulp (overig)'!$C$17 &amp; "1:" &amp; 'Hulp (overig)'!$C$17 &amp; 1000
        ),
        IFERROR(MIN(
            IF(
                (TRIM(INDIRECT("'" &amp; 'Hulp (overig)'!$C$16 &amp; "'!B1:B1000")) = TEXT(T140,"0")) *
                (ROW(INDIRECT("'" &amp; 'Hulp (overig)'!$C$16 &amp; "'!B1:B1000")) &gt;= MATCH(
                    T138,
                    INDIRECT("'" &amp; 'Hulp (overig)'!$C$16 &amp; "'!A1:A1000"),
                    0
                )) *
                IF(
                    U138="",
                    1,
                    (ROW(INDIRECT("'" &amp; 'Hulp (overig)'!$C$16 &amp; "'!B1:B1000")) &lt; MATCH(
                        U138,
                        INDIRECT("'" &amp; 'Hulp (overig)'!$C$16 &amp; "'!A1:A1000"),
                        0
                    ))
                ),
                ROW(INDIRECT("'" &amp; 'Hulp (overig)'!$C$16 &amp; "'!B1:B1000"))
            )
        ),0)
    )=0,"",
INDEX(
        INDIRECT("'" &amp; 'Hulp (overig)'!$C$16 &amp; "'!" &amp;
        'Hulp (overig)'!$C$17 &amp; "1:" &amp; 'Hulp (overig)'!$C$17 &amp; 1000
        ),
        IFERROR(MIN(
            IF(
                (TRIM(INDIRECT("'" &amp; 'Hulp (overig)'!$C$16 &amp; "'!B1:B1000")) = TEXT(T140,"0")) *
                (ROW(INDIRECT("'" &amp; 'Hulp (overig)'!$C$16 &amp; "'!B1:B1000")) &gt;= MATCH(
                    T138,
                    INDIRECT("'" &amp; 'Hulp (overig)'!$C$16 &amp; "'!A1:A1000"),
                    0
                )) *
                IF(
                    U138="",
                    1,
                    (ROW(INDIRECT("'" &amp; 'Hulp (overig)'!$C$16 &amp; "'!B1:B1000")) &lt; MATCH(
                        U138,
                        INDIRECT("'" &amp; 'Hulp (overig)'!$C$16 &amp; "'!A1:A1000"),
                        0
                    ))
                ),
                ROW(INDIRECT("'" &amp; 'Hulp (overig)'!$C$16 &amp; "'!B1:B1000"))
            )
        ),0)
    ))
))))</f>
        <v>#VALUE!</v>
      </c>
      <c r="U141" s="723" t="e" cm="1">
        <f t="array" aca="1" ref="U141" ca="1">IF($BF141, IF(U138="","",
   INDEX(
      INDIRECT("'" &amp; 'Hulp (CAO''s)'!$AE$8 &amp; "'!" &amp;
               'Hulp (overig)'!$C$17 &amp; "1:" &amp;
               'Hulp (overig)'!$C$17 &amp; "1000"),
      MATCH(
         U138,
         INDIRECT("'" &amp; 'Hulp (CAO''s)'!$AE$8 &amp; "'!A1:A1000"),
         0
      )
   )
), IF($D139="Gebruik % van maximum salaris",
IF(
    OR(U138="",U139=""),
    "",
    MAX(
        INDIRECT(
            "'" &amp; 'Hulp (overig)'!$C$16 &amp; "'!" &amp;
            'Hulp (overig)'!$C$17 &amp;
            MATCH(U138, INDIRECT("'" &amp; 'Hulp (overig)'!$C$16 &amp; "'!A1:A1000"), 0) &amp;
            ":" &amp;
            'Hulp (overig)'!$C$17 &amp;
LOOKUP(
    2,
    1 / (
        (ROW(INDIRECT("'" &amp; 'Hulp (overig)'!$C$16 &amp; "'!B1:B1000")) &lt;
            IF(V138&lt;&gt;"",
               MATCH(V138, INDIRECT("'" &amp; 'Hulp (overig)'!$C$16 &amp; "'!A1:A1000"),0),
               1000
            )
        ) *
        (LEFT(TRIM(INDIRECT("'" &amp; 'Hulp (overig)'!$C$16 &amp; "'!B1:B1000")),1) &lt;&gt; "u")
    ),
    ROW(INDIRECT("'" &amp; 'Hulp (overig)'!$C$16 &amp; "'!B1:B1000"))
)
        )
    ) * U139
),
IF(U140="","",
IF(
    IFERROR(MIN(
        IF(
            (TRIM(INDIRECT("'" &amp; 'Hulp (overig)'!$C$16 &amp; "'!B1:B1000")) = TEXT(U140,"0")) *
            (ROW(INDIRECT("'" &amp; 'Hulp (overig)'!$C$16 &amp; "'!B1:B1000")) &gt;= MATCH(
                U138,
                INDIRECT("'" &amp; 'Hulp (overig)'!$C$16 &amp; "'!A1:A1000"),
                0
            )) *
            IF(
                V138="",
                1,
                (ROW(INDIRECT("'" &amp; 'Hulp (overig)'!$C$16 &amp; "'!B1:B1000")) &lt; MATCH(
                    V138,
                    INDIRECT("'" &amp; 'Hulp (overig)'!$C$16 &amp; "'!A1:A1000"),
                    0
                ))
            ),
            ROW(INDIRECT("'" &amp; 'Hulp (overig)'!$C$16 &amp; "'!B1:B1000"))
        )
    ),0) &lt; 1,
    "",
    IF(INDEX(
        INDIRECT("'" &amp; 'Hulp (overig)'!$C$16 &amp; "'!" &amp;
        'Hulp (overig)'!$C$17 &amp; "1:" &amp; 'Hulp (overig)'!$C$17 &amp; 1000
        ),
        IFERROR(MIN(
            IF(
                (TRIM(INDIRECT("'" &amp; 'Hulp (overig)'!$C$16 &amp; "'!B1:B1000")) = TEXT(U140,"0")) *
                (ROW(INDIRECT("'" &amp; 'Hulp (overig)'!$C$16 &amp; "'!B1:B1000")) &gt;= MATCH(
                    U138,
                    INDIRECT("'" &amp; 'Hulp (overig)'!$C$16 &amp; "'!A1:A1000"),
                    0
                )) *
                IF(
                    V138="",
                    1,
                    (ROW(INDIRECT("'" &amp; 'Hulp (overig)'!$C$16 &amp; "'!B1:B1000")) &lt; MATCH(
                        V138,
                        INDIRECT("'" &amp; 'Hulp (overig)'!$C$16 &amp; "'!A1:A1000"),
                        0
                    ))
                ),
                ROW(INDIRECT("'" &amp; 'Hulp (overig)'!$C$16 &amp; "'!B1:B1000"))
            )
        ),0)
    )=0,"",
INDEX(
        INDIRECT("'" &amp; 'Hulp (overig)'!$C$16 &amp; "'!" &amp;
        'Hulp (overig)'!$C$17 &amp; "1:" &amp; 'Hulp (overig)'!$C$17 &amp; 1000
        ),
        IFERROR(MIN(
            IF(
                (TRIM(INDIRECT("'" &amp; 'Hulp (overig)'!$C$16 &amp; "'!B1:B1000")) = TEXT(U140,"0")) *
                (ROW(INDIRECT("'" &amp; 'Hulp (overig)'!$C$16 &amp; "'!B1:B1000")) &gt;= MATCH(
                    U138,
                    INDIRECT("'" &amp; 'Hulp (overig)'!$C$16 &amp; "'!A1:A1000"),
                    0
                )) *
                IF(
                    V138="",
                    1,
                    (ROW(INDIRECT("'" &amp; 'Hulp (overig)'!$C$16 &amp; "'!B1:B1000")) &lt; MATCH(
                        V138,
                        INDIRECT("'" &amp; 'Hulp (overig)'!$C$16 &amp; "'!A1:A1000"),
                        0
                    ))
                ),
                ROW(INDIRECT("'" &amp; 'Hulp (overig)'!$C$16 &amp; "'!B1:B1000"))
            )
        ),0)
    ))
))))</f>
        <v>#VALUE!</v>
      </c>
      <c r="V141" s="413" t="str" cm="1">
        <f t="array" ref="V141">IF(SUM(F142:U142)=0,"",
IF(SUM(F141:U141)=0,"",
IF(SUMPRODUCT((F142:U142&lt;&gt;0)*(F141:U141=""))&gt;0,"",
(
   SUMPRODUCT(
      IF(F141:U141="",0,F141:U141),
      IF(F142:U142="",0,F142:U142) / SUM(F142:U142)
   )
))))</f>
        <v/>
      </c>
      <c r="W141" s="418"/>
      <c r="X141" s="620"/>
      <c r="Y141" s="419" t="str">
        <f ca="1">IF(B138="","",
        IF(INDIRECT("'Hulp (control forms)'!C" &amp; (13 + INT((ROW()-ROW($B$5))/7))),
            IF(X141="","",X141),
            IF(V141="","",V141)
    )
)</f>
        <v/>
      </c>
      <c r="Z141" s="333"/>
      <c r="AA141" s="771"/>
      <c r="AB141" s="770"/>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c r="BA141" cm="1">
        <f t="array" aca="1" ref="BA141" ca="1">IF(
   SUM(Y141)=0,
   1,
   IF(
      N(INDIRECT("'Hulp (control forms)'!C"&amp;(13+INT((ROW()-ROW($B$5))/7))))&lt;&gt;0,
      MIN(1,
      ('Hulp (overig)'!$C$6/12) /
      (Y141 * BC141 + BD141)),
      MIN(1,
         IF(
            SUM(F141:U141)=0,
            "",
            SUMPRODUCT(
               IF(
                  (IF(F141:U141="",0,F141:U141) * BC141) + BD141
                  &gt; 'Hulp (overig)'!$C$6/12,
                  'Hulp (overig)'!$C$6/12,
                  (IF(F141:U141="",0,F141:U141) * BC141) + BD141
               ),
               IF(F142:U142="",0,F142:U142) / SUM(F142:U142)
            )
         ) /
         ((Y141 * BC141) + BD141)
      )
   )
)</f>
        <v>1</v>
      </c>
      <c r="BB141" cm="1">
        <f t="array" aca="1" ref="BB141" ca="1">IF(
   SUM(Y141)=0,
   1,
   IF(
      N(INDIRECT("'Hulp (control forms)'!C"&amp;(13+INT((ROW()-ROW($B$5))/7))))&lt;&gt;0,
      MIN('Hulp (overig)'!$C$5/12,
      (Y141 * BC141) + BD141) * 12,
         IF(
            SUM(F141:U141)=0,
            "",
            SUMPRODUCT(
               IF(
                  (IF(F141:U141="",0,F141:U141) * BC141) + BD141
                  &gt; 'Hulp (overig)'!$C$5/12,
                  'Hulp (overig)'!$C$5/12,
                  (IF(F141:U141="",0,F141:U141) * BC141) + BD141
               ),
               IF(F142:U142="",0,F142:U142) / SUM(F142:U142)
            )
         ) * 12
   )
)</f>
        <v>1</v>
      </c>
      <c r="BC141" s="287" cm="1">
        <f t="array" aca="1" ref="BC141" ca="1">IFERROR(
   (INDEX('2. Output kostprijs'!$24:$24, 5 + 2*INT((ROW()-8)/7))
    - SUM(INDEX('2. Output kostprijs'!$23:$23, 5 + 2*INT((ROW()-8)/7))))
   / INDEX('2. Output kostprijs'!$19:$19, 5 + 2*INT((ROW()-8)/7)),
   1
)</f>
        <v>1</v>
      </c>
      <c r="BD141" s="287" cm="1">
        <f t="array" aca="1" ref="BD141" ca="1">IFERROR(
   (INDEX('2. Output kostprijs'!$23:$23, 5 + 2*INT((ROW()-8)/7))
    * INDEX('2. Output kostprijs'!$18:$18, 5 + 2*INT((ROW()-8)/7))
   ) / 12,
   0
)</f>
        <v>0</v>
      </c>
      <c r="BE141" t="b">
        <f ca="1">NOT(AND(B138&lt;&gt;"",Y141=""))</f>
        <v>1</v>
      </c>
      <c r="BF141" t="str" cm="1">
        <f t="array" aca="1" ref="BF141" ca="1">INDIRECT("'1a. Input organisatieniveau'!$AD" &amp; 7 + INT((ROW()-ROW($F$8))/7))</f>
        <v/>
      </c>
      <c r="BG141" t="b" cm="1">
        <f t="array" ref="BG141">IFERROR(INDEX('Hulp (control forms)'!C:C, 13 + INT((ROW(A134)-1)/7)),FALSE)</f>
        <v>0</v>
      </c>
    </row>
    <row r="142" spans="1:59" ht="16.05" customHeight="1" thickBot="1" x14ac:dyDescent="0.5">
      <c r="A142" s="289"/>
      <c r="B142" s="343"/>
      <c r="C142" s="325" t="s">
        <v>779</v>
      </c>
      <c r="D142" s="688" t="s">
        <v>60</v>
      </c>
      <c r="E142" s="433" t="s">
        <v>59</v>
      </c>
      <c r="F142" s="624"/>
      <c r="G142" s="624"/>
      <c r="H142" s="624"/>
      <c r="I142" s="624"/>
      <c r="J142" s="624"/>
      <c r="K142" s="624"/>
      <c r="L142" s="624"/>
      <c r="M142" s="624"/>
      <c r="N142" s="624"/>
      <c r="O142" s="624"/>
      <c r="P142" s="624"/>
      <c r="Q142" s="624"/>
      <c r="R142" s="624"/>
      <c r="S142" s="624"/>
      <c r="T142" s="624"/>
      <c r="U142" s="625"/>
      <c r="V142" s="420" t="str">
        <f ca="1">IF($B138="","",IF($D142="Aandeel in %",
   "Totaal: "&amp;SUM(F142:U142)*100&amp;"%",
   "Totaal: "&amp;SUM(F142:U142)&amp;" uur"
))</f>
        <v/>
      </c>
      <c r="W142" s="294"/>
      <c r="X142" s="621"/>
      <c r="Y142" s="328"/>
      <c r="Z142" s="329"/>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row>
    <row r="143" spans="1:59" ht="16.05" customHeight="1" thickBot="1" x14ac:dyDescent="0.5">
      <c r="A143" s="289"/>
      <c r="B143" s="343"/>
      <c r="C143" s="326" t="s">
        <v>779</v>
      </c>
      <c r="D143" s="421"/>
      <c r="E143" s="426"/>
      <c r="F143" s="426"/>
      <c r="G143" s="426"/>
      <c r="H143" s="426"/>
      <c r="I143" s="426"/>
      <c r="J143" s="426"/>
      <c r="K143" s="426"/>
      <c r="L143" s="426"/>
      <c r="M143" s="426"/>
      <c r="N143" s="426"/>
      <c r="O143" s="426"/>
      <c r="P143" s="426"/>
      <c r="Q143" s="426"/>
      <c r="R143" s="426"/>
      <c r="S143" s="426"/>
      <c r="T143" s="427"/>
      <c r="U143" s="427"/>
      <c r="V143" s="421"/>
      <c r="W143" s="421"/>
      <c r="X143" s="622"/>
      <c r="Y143" s="421"/>
      <c r="Z143" s="327"/>
      <c r="AA143" s="289"/>
      <c r="AB143" s="289"/>
      <c r="AC143" s="289"/>
      <c r="AD143" s="289"/>
      <c r="AE143" s="289"/>
      <c r="AF143" s="289"/>
      <c r="AG143" s="289"/>
      <c r="AH143" s="289"/>
      <c r="AI143" s="289"/>
      <c r="AJ143" s="289"/>
      <c r="AK143" s="289"/>
      <c r="AL143" s="289"/>
      <c r="AM143" s="289"/>
      <c r="AN143" s="289"/>
      <c r="AO143" s="289"/>
      <c r="AP143" s="289"/>
      <c r="AQ143" s="289"/>
      <c r="AR143" s="289"/>
      <c r="AS143" s="289"/>
      <c r="AT143" s="289"/>
      <c r="AU143" s="289"/>
      <c r="AV143" s="289"/>
      <c r="AW143" s="289"/>
      <c r="AX143" s="289"/>
      <c r="AY143" s="289"/>
      <c r="AZ143" s="289"/>
    </row>
    <row r="144" spans="1:59" ht="16.05" customHeight="1" thickBot="1" x14ac:dyDescent="0.55000000000000004">
      <c r="A144" s="289"/>
      <c r="B144" s="585" t="str">
        <f ca="1">IF(B145="","",
IF(
   OR(
      INDIRECT("'1a. Input organisatieniveau'!AC" &amp; (7 + INT((ROW()-4)/7)))="",
      INDIRECT("'1a. Input organisatieniveau'!AC" &amp; (7 + INT((ROW()-4)/7)))=0
   ),
   "",
   INDIRECT("'1a. Input organisatieniveau'!AC" &amp; (7 + INT((ROW()-4)/7)))
))</f>
        <v/>
      </c>
      <c r="C144" s="324" t="s">
        <v>779</v>
      </c>
      <c r="D144" s="416"/>
      <c r="E144" s="428"/>
      <c r="F144" s="422" t="str">
        <f t="shared" ref="F144:U144" ca="1" si="20">IF($B145="","",
IF($D146="Gebruik % van maximum salaris",
 IF(OR(AND(AND(F145&lt;&gt;"",F146&lt;&gt;""),F148=""),AND(F148="",F149&lt;&gt;"")),"!",""),
 IF(OR(AND(AND(F145&lt;&gt;"",F147&lt;&gt;""),F148=""),AND(F148="",F149&lt;&gt;"")),"!","")))</f>
        <v/>
      </c>
      <c r="G144" s="422" t="str">
        <f t="shared" ca="1" si="20"/>
        <v/>
      </c>
      <c r="H144" s="422" t="str">
        <f t="shared" ca="1" si="20"/>
        <v/>
      </c>
      <c r="I144" s="422" t="str">
        <f t="shared" ca="1" si="20"/>
        <v/>
      </c>
      <c r="J144" s="422" t="str">
        <f t="shared" ca="1" si="20"/>
        <v/>
      </c>
      <c r="K144" s="422" t="str">
        <f t="shared" ca="1" si="20"/>
        <v/>
      </c>
      <c r="L144" s="422" t="str">
        <f t="shared" ca="1" si="20"/>
        <v/>
      </c>
      <c r="M144" s="422" t="str">
        <f t="shared" ca="1" si="20"/>
        <v/>
      </c>
      <c r="N144" s="422" t="str">
        <f t="shared" ca="1" si="20"/>
        <v/>
      </c>
      <c r="O144" s="422" t="str">
        <f t="shared" ca="1" si="20"/>
        <v/>
      </c>
      <c r="P144" s="422" t="str">
        <f t="shared" ca="1" si="20"/>
        <v/>
      </c>
      <c r="Q144" s="422" t="str">
        <f t="shared" ca="1" si="20"/>
        <v/>
      </c>
      <c r="R144" s="422" t="str">
        <f t="shared" ca="1" si="20"/>
        <v/>
      </c>
      <c r="S144" s="422" t="str">
        <f t="shared" ca="1" si="20"/>
        <v/>
      </c>
      <c r="T144" s="422" t="str">
        <f t="shared" ca="1" si="20"/>
        <v/>
      </c>
      <c r="U144" s="422" t="str">
        <f t="shared" ca="1" si="20"/>
        <v/>
      </c>
      <c r="V144" s="416"/>
      <c r="W144" s="416"/>
      <c r="X144" s="619"/>
      <c r="Y144" s="416"/>
      <c r="Z144" s="330"/>
      <c r="AA144" s="354"/>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row>
    <row r="145" spans="1:59" ht="16.05" customHeight="1" thickBot="1" x14ac:dyDescent="0.5">
      <c r="A145" s="289"/>
      <c r="B145" s="586" t="str">
        <f ca="1">IF(
   OR(
      INDIRECT("'1a. Input organisatieniveau'!AA" &amp; (7 + INT((ROW()-4)/7)))="",
      INDIRECT("'1a. Input organisatieniveau'!AA" &amp; (7 + INT((ROW()-4)/7)))=0
   ),
   "",
   INDIRECT("'1a. Input organisatieniveau'!AA" &amp; (7 + INT((ROW()-4)/7)))
)</f>
        <v/>
      </c>
      <c r="C145" s="325" t="s">
        <v>779</v>
      </c>
      <c r="D145" s="434"/>
      <c r="E145" s="429" t="s">
        <v>28</v>
      </c>
      <c r="F145" s="423" t="str">
        <f ca="1">IF($B145="", "", IF($BF148, IF('Hulp (CAO''s)'!J$8&lt;&gt;"",'Hulp (CAO''s)'!J$8,""), INDEX('Hulp (CAO''s)'!J$3:J$7, MATCH(TRUE, 'Hulp (CAO''s)'!$D$3:$D$7, 0))))</f>
        <v/>
      </c>
      <c r="G145" s="423" t="str">
        <f ca="1">IF($B145="", "", IF($BF148, IF('Hulp (CAO''s)'!K$8&lt;&gt;"",'Hulp (CAO''s)'!K$8,""), INDEX('Hulp (CAO''s)'!K$3:K$7, MATCH(TRUE, 'Hulp (CAO''s)'!$D$3:$D$7, 0))))</f>
        <v/>
      </c>
      <c r="H145" s="423" t="str">
        <f ca="1">IF($B145="", "", IF($BF148, IF('Hulp (CAO''s)'!L$8&lt;&gt;"",'Hulp (CAO''s)'!L$8,""), INDEX('Hulp (CAO''s)'!L$3:L$7, MATCH(TRUE, 'Hulp (CAO''s)'!$D$3:$D$7, 0))))</f>
        <v/>
      </c>
      <c r="I145" s="423" t="str">
        <f ca="1">IF($B145="", "", IF($BF148, IF('Hulp (CAO''s)'!M$8&lt;&gt;"",'Hulp (CAO''s)'!M$8,""), INDEX('Hulp (CAO''s)'!M$3:M$7, MATCH(TRUE, 'Hulp (CAO''s)'!$D$3:$D$7, 0))))</f>
        <v/>
      </c>
      <c r="J145" s="423" t="str">
        <f ca="1">IF($B145="", "", IF($BF148, IF('Hulp (CAO''s)'!N$8&lt;&gt;"",'Hulp (CAO''s)'!N$8,""), INDEX('Hulp (CAO''s)'!N$3:N$7, MATCH(TRUE, 'Hulp (CAO''s)'!$D$3:$D$7, 0))))</f>
        <v/>
      </c>
      <c r="K145" s="423" t="str">
        <f ca="1">IF($B145="", "", IF($BF148, IF('Hulp (CAO''s)'!O$8&lt;&gt;"",'Hulp (CAO''s)'!O$8,""), INDEX('Hulp (CAO''s)'!O$3:O$7, MATCH(TRUE, 'Hulp (CAO''s)'!$D$3:$D$7, 0))))</f>
        <v/>
      </c>
      <c r="L145" s="423" t="str">
        <f ca="1">IF($B145="", "", IF($BF148, IF('Hulp (CAO''s)'!P$8&lt;&gt;"",'Hulp (CAO''s)'!P$8,""), INDEX('Hulp (CAO''s)'!P$3:P$7, MATCH(TRUE, 'Hulp (CAO''s)'!$D$3:$D$7, 0))))</f>
        <v/>
      </c>
      <c r="M145" s="423" t="str">
        <f ca="1">IF($B145="", "", IF($BF148, IF('Hulp (CAO''s)'!Q$8&lt;&gt;"",'Hulp (CAO''s)'!Q$8,""), INDEX('Hulp (CAO''s)'!Q$3:Q$7, MATCH(TRUE, 'Hulp (CAO''s)'!$D$3:$D$7, 0))))</f>
        <v/>
      </c>
      <c r="N145" s="423" t="str">
        <f ca="1">IF($B145="", "", IF($BF148, IF('Hulp (CAO''s)'!R$8&lt;&gt;"",'Hulp (CAO''s)'!R$8,""), INDEX('Hulp (CAO''s)'!R$3:R$7, MATCH(TRUE, 'Hulp (CAO''s)'!$D$3:$D$7, 0))))</f>
        <v/>
      </c>
      <c r="O145" s="423" t="str">
        <f ca="1">IF($B145="", "", IF($BF148, IF('Hulp (CAO''s)'!S$8&lt;&gt;"",'Hulp (CAO''s)'!S$8,""), INDEX('Hulp (CAO''s)'!S$3:S$7, MATCH(TRUE, 'Hulp (CAO''s)'!$D$3:$D$7, 0))))</f>
        <v/>
      </c>
      <c r="P145" s="423" t="str">
        <f ca="1">IF($B145="", "", IF($BF148, IF('Hulp (CAO''s)'!T$8&lt;&gt;"",'Hulp (CAO''s)'!T$8,""), INDEX('Hulp (CAO''s)'!T$3:T$7, MATCH(TRUE, 'Hulp (CAO''s)'!$D$3:$D$7, 0))))</f>
        <v/>
      </c>
      <c r="Q145" s="423" t="str">
        <f ca="1">IF($B145="", "", IF($BF148, IF('Hulp (CAO''s)'!U$8&lt;&gt;"",'Hulp (CAO''s)'!U$8,""), INDEX('Hulp (CAO''s)'!U$3:U$7, MATCH(TRUE, 'Hulp (CAO''s)'!$D$3:$D$7, 0))))</f>
        <v/>
      </c>
      <c r="R145" s="423" t="str">
        <f ca="1">IF($B145="", "", IF($BF148, IF('Hulp (CAO''s)'!V$8&lt;&gt;"",'Hulp (CAO''s)'!V$8,""), INDEX('Hulp (CAO''s)'!V$3:V$7, MATCH(TRUE, 'Hulp (CAO''s)'!$D$3:$D$7, 0))))</f>
        <v/>
      </c>
      <c r="S145" s="423" t="str">
        <f ca="1">IF($B145="", "", IF($BF148, IF('Hulp (CAO''s)'!W$8&lt;&gt;"",'Hulp (CAO''s)'!W$8,""), INDEX('Hulp (CAO''s)'!W$3:W$7, MATCH(TRUE, 'Hulp (CAO''s)'!$D$3:$D$7, 0))))</f>
        <v/>
      </c>
      <c r="T145" s="423" t="str">
        <f ca="1">IF($B145="", "", IF($BF148, IF('Hulp (CAO''s)'!X$8&lt;&gt;"",'Hulp (CAO''s)'!X$8,""), INDEX('Hulp (CAO''s)'!X$3:X$7, MATCH(TRUE, 'Hulp (CAO''s)'!$D$3:$D$7, 0))))</f>
        <v/>
      </c>
      <c r="U145" s="424" t="str">
        <f ca="1">IF($B145="", "", IF($BF148, IF('Hulp (CAO''s)'!Y$8&lt;&gt;"",'Hulp (CAO''s)'!Y$8,""), INDEX('Hulp (CAO''s)'!Y$3:Y$7, MATCH(TRUE, 'Hulp (CAO''s)'!$D$3:$D$7, 0))))</f>
        <v/>
      </c>
      <c r="V145" s="417"/>
      <c r="W145" s="343"/>
      <c r="X145" s="617"/>
      <c r="Y145" s="343"/>
      <c r="Z145" s="329"/>
      <c r="AA145" s="320"/>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row>
    <row r="146" spans="1:59" ht="16.05" customHeight="1" x14ac:dyDescent="0.45">
      <c r="A146" s="289"/>
      <c r="B146" s="343"/>
      <c r="C146" s="325" t="s">
        <v>779</v>
      </c>
      <c r="D146" s="772" t="s">
        <v>772</v>
      </c>
      <c r="E146" s="430" t="e">
        <f ca="1">IF($BF148, "", "% t.o.v. max salaris in de schaal")</f>
        <v>#VALUE!</v>
      </c>
      <c r="F146" s="615"/>
      <c r="G146" s="615"/>
      <c r="H146" s="615"/>
      <c r="I146" s="615"/>
      <c r="J146" s="615"/>
      <c r="K146" s="615"/>
      <c r="L146" s="615"/>
      <c r="M146" s="615"/>
      <c r="N146" s="615"/>
      <c r="O146" s="615"/>
      <c r="P146" s="615"/>
      <c r="Q146" s="615"/>
      <c r="R146" s="615"/>
      <c r="S146" s="615"/>
      <c r="T146" s="615"/>
      <c r="U146" s="616"/>
      <c r="V146" s="774" t="s">
        <v>884</v>
      </c>
      <c r="W146" s="332"/>
      <c r="X146" s="776" t="s">
        <v>882</v>
      </c>
      <c r="Y146" s="778" t="s">
        <v>883</v>
      </c>
      <c r="Z146" s="329"/>
      <c r="AA146" s="771" t="s">
        <v>780</v>
      </c>
      <c r="AB146" s="770" t="s">
        <v>1079</v>
      </c>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row>
    <row r="147" spans="1:59" ht="16.05" customHeight="1" thickBot="1" x14ac:dyDescent="0.5">
      <c r="A147" s="289"/>
      <c r="B147" s="343"/>
      <c r="C147" s="325" t="s">
        <v>779</v>
      </c>
      <c r="D147" s="773"/>
      <c r="E147" s="431" t="e">
        <f ca="1">IF($BF148, "", "Trede (gemiddeld)")</f>
        <v>#VALUE!</v>
      </c>
      <c r="F147" s="737"/>
      <c r="G147" s="737"/>
      <c r="H147" s="737"/>
      <c r="I147" s="737"/>
      <c r="J147" s="737"/>
      <c r="K147" s="737"/>
      <c r="L147" s="737"/>
      <c r="M147" s="737"/>
      <c r="N147" s="737"/>
      <c r="O147" s="737"/>
      <c r="P147" s="737"/>
      <c r="Q147" s="737"/>
      <c r="R147" s="737"/>
      <c r="S147" s="737"/>
      <c r="T147" s="737"/>
      <c r="U147" s="740"/>
      <c r="V147" s="775"/>
      <c r="W147" s="294"/>
      <c r="X147" s="777"/>
      <c r="Y147" s="779"/>
      <c r="Z147" s="329"/>
      <c r="AA147" s="771"/>
      <c r="AB147" s="770"/>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row>
    <row r="148" spans="1:59" ht="16.05" customHeight="1" thickBot="1" x14ac:dyDescent="0.5">
      <c r="A148" s="289"/>
      <c r="B148" s="343"/>
      <c r="C148" s="325" t="s">
        <v>779</v>
      </c>
      <c r="E148" s="432" t="str">
        <f>IFERROR(
   INDEX('Hulp (CAO''s)'!$I$3:$I$7, MATCH(TRUE, 'Hulp (CAO''s)'!$D$3:$D$7, 0)),
"")</f>
        <v>Bruto maandsalaris</v>
      </c>
      <c r="F148" s="425" t="e" cm="1">
        <f t="array" aca="1" ref="F148" ca="1">IF($BF148, IF(F145="","",
   INDEX(
      INDIRECT("'" &amp; 'Hulp (CAO''s)'!$AE$8 &amp; "'!" &amp;
               'Hulp (overig)'!$C$17 &amp; "1:" &amp;
               'Hulp (overig)'!$C$17 &amp; "1000"),
      MATCH(
         F145,
         INDIRECT("'" &amp; 'Hulp (CAO''s)'!$AE$8 &amp; "'!A1:A1000"),
         0
      )
   )
), IF($D146="Gebruik % van maximum salaris",
IF(
    OR(F145="",F146=""),
    "",
    MAX(
        INDIRECT(
            "'" &amp; 'Hulp (overig)'!$C$16 &amp; "'!" &amp;
            'Hulp (overig)'!$C$17 &amp;
            MATCH(F145, INDIRECT("'" &amp; 'Hulp (overig)'!$C$16 &amp; "'!A1:A1000"), 0) &amp;
            ":" &amp;
            'Hulp (overig)'!$C$17 &amp;
LOOKUP(
    2,
    1 / (
        (ROW(INDIRECT("'" &amp; 'Hulp (overig)'!$C$16 &amp; "'!B1:B1000")) &lt;
            IF(G145&lt;&gt;"",
               MATCH(G145, INDIRECT("'" &amp; 'Hulp (overig)'!$C$16 &amp; "'!A1:A1000"),0),
               1000
            )
        ) *
        (LEFT(TRIM(INDIRECT("'" &amp; 'Hulp (overig)'!$C$16 &amp; "'!B1:B1000")),1) &lt;&gt; "u")
    ),
    ROW(INDIRECT("'" &amp; 'Hulp (overig)'!$C$16 &amp; "'!B1:B1000"))
)
        )
    ) * F146
),
IF(F147="","",
IF(
    IFERROR(MIN(
        IF(
            (TRIM(INDIRECT("'" &amp; 'Hulp (overig)'!$C$16 &amp; "'!B1:B1000")) = TEXT(F147,"0")) *
            (ROW(INDIRECT("'" &amp; 'Hulp (overig)'!$C$16 &amp; "'!B1:B1000")) &gt;= MATCH(
                F145,
                INDIRECT("'" &amp; 'Hulp (overig)'!$C$16 &amp; "'!A1:A1000"),
                0
            )) *
            IF(
                G145="",
                1,
                (ROW(INDIRECT("'" &amp; 'Hulp (overig)'!$C$16 &amp; "'!B1:B1000")) &lt; MATCH(
                    G145,
                    INDIRECT("'" &amp; 'Hulp (overig)'!$C$16 &amp; "'!A1:A1000"),
                    0
                ))
            ),
            ROW(INDIRECT("'" &amp; 'Hulp (overig)'!$C$16 &amp; "'!B1:B1000"))
        )
    ),0) &lt; 1,
    "",
    IF(INDEX(
        INDIRECT("'" &amp; 'Hulp (overig)'!$C$16 &amp; "'!" &amp;
        'Hulp (overig)'!$C$17 &amp; "1:" &amp; 'Hulp (overig)'!$C$17 &amp; 1000
        ),
        IFERROR(MIN(
            IF(
                (TRIM(INDIRECT("'" &amp; 'Hulp (overig)'!$C$16 &amp; "'!B1:B1000")) = TEXT(F147,"0")) *
                (ROW(INDIRECT("'" &amp; 'Hulp (overig)'!$C$16 &amp; "'!B1:B1000")) &gt;= MATCH(
                    F145,
                    INDIRECT("'" &amp; 'Hulp (overig)'!$C$16 &amp; "'!A1:A1000"),
                    0
                )) *
                IF(
                    G145="",
                    1,
                    (ROW(INDIRECT("'" &amp; 'Hulp (overig)'!$C$16 &amp; "'!B1:B1000")) &lt; MATCH(
                        G145,
                        INDIRECT("'" &amp; 'Hulp (overig)'!$C$16 &amp; "'!A1:A1000"),
                        0
                    ))
                ),
                ROW(INDIRECT("'" &amp; 'Hulp (overig)'!$C$16 &amp; "'!B1:B1000"))
            )
        ),0)
    )=0,"",
INDEX(
        INDIRECT("'" &amp; 'Hulp (overig)'!$C$16 &amp; "'!" &amp;
        'Hulp (overig)'!$C$17 &amp; "1:" &amp; 'Hulp (overig)'!$C$17 &amp; 1000
        ),
        IFERROR(MIN(
            IF(
                (TRIM(INDIRECT("'" &amp; 'Hulp (overig)'!$C$16 &amp; "'!B1:B1000")) = TEXT(F147,"0")) *
                (ROW(INDIRECT("'" &amp; 'Hulp (overig)'!$C$16 &amp; "'!B1:B1000")) &gt;= MATCH(
                    F145,
                    INDIRECT("'" &amp; 'Hulp (overig)'!$C$16 &amp; "'!A1:A1000"),
                    0
                )) *
                IF(
                    G145="",
                    1,
                    (ROW(INDIRECT("'" &amp; 'Hulp (overig)'!$C$16 &amp; "'!B1:B1000")) &lt; MATCH(
                        G145,
                        INDIRECT("'" &amp; 'Hulp (overig)'!$C$16 &amp; "'!A1:A1000"),
                        0
                    ))
                ),
                ROW(INDIRECT("'" &amp; 'Hulp (overig)'!$C$16 &amp; "'!B1:B1000"))
            )
        ),0)
    ))
))))</f>
        <v>#VALUE!</v>
      </c>
      <c r="G148" s="425" t="e" cm="1">
        <f t="array" aca="1" ref="G148" ca="1">IF($BF148, IF(G145="","",
   INDEX(
      INDIRECT("'" &amp; 'Hulp (CAO''s)'!$AE$8 &amp; "'!" &amp;
               'Hulp (overig)'!$C$17 &amp; "1:" &amp;
               'Hulp (overig)'!$C$17 &amp; "1000"),
      MATCH(
         G145,
         INDIRECT("'" &amp; 'Hulp (CAO''s)'!$AE$8 &amp; "'!A1:A1000"),
         0
      )
   )
), IF($D146="Gebruik % van maximum salaris",
IF(
    OR(G145="",G146=""),
    "",
    MAX(
        INDIRECT(
            "'" &amp; 'Hulp (overig)'!$C$16 &amp; "'!" &amp;
            'Hulp (overig)'!$C$17 &amp;
            MATCH(G145, INDIRECT("'" &amp; 'Hulp (overig)'!$C$16 &amp; "'!A1:A1000"), 0) &amp;
            ":" &amp;
            'Hulp (overig)'!$C$17 &amp;
LOOKUP(
    2,
    1 / (
        (ROW(INDIRECT("'" &amp; 'Hulp (overig)'!$C$16 &amp; "'!B1:B1000")) &lt;
            IF(H145&lt;&gt;"",
               MATCH(H145, INDIRECT("'" &amp; 'Hulp (overig)'!$C$16 &amp; "'!A1:A1000"),0),
               1000
            )
        ) *
        (LEFT(TRIM(INDIRECT("'" &amp; 'Hulp (overig)'!$C$16 &amp; "'!B1:B1000")),1) &lt;&gt; "u")
    ),
    ROW(INDIRECT("'" &amp; 'Hulp (overig)'!$C$16 &amp; "'!B1:B1000"))
)
        )
    ) * G146
),
IF(G147="","",
IF(
    IFERROR(MIN(
        IF(
            (TRIM(INDIRECT("'" &amp; 'Hulp (overig)'!$C$16 &amp; "'!B1:B1000")) = TEXT(G147,"0")) *
            (ROW(INDIRECT("'" &amp; 'Hulp (overig)'!$C$16 &amp; "'!B1:B1000")) &gt;= MATCH(
                G145,
                INDIRECT("'" &amp; 'Hulp (overig)'!$C$16 &amp; "'!A1:A1000"),
                0
            )) *
            IF(
                H145="",
                1,
                (ROW(INDIRECT("'" &amp; 'Hulp (overig)'!$C$16 &amp; "'!B1:B1000")) &lt; MATCH(
                    H145,
                    INDIRECT("'" &amp; 'Hulp (overig)'!$C$16 &amp; "'!A1:A1000"),
                    0
                ))
            ),
            ROW(INDIRECT("'" &amp; 'Hulp (overig)'!$C$16 &amp; "'!B1:B1000"))
        )
    ),0) &lt; 1,
    "",
    IF(INDEX(
        INDIRECT("'" &amp; 'Hulp (overig)'!$C$16 &amp; "'!" &amp;
        'Hulp (overig)'!$C$17 &amp; "1:" &amp; 'Hulp (overig)'!$C$17 &amp; 1000
        ),
        IFERROR(MIN(
            IF(
                (TRIM(INDIRECT("'" &amp; 'Hulp (overig)'!$C$16 &amp; "'!B1:B1000")) = TEXT(G147,"0")) *
                (ROW(INDIRECT("'" &amp; 'Hulp (overig)'!$C$16 &amp; "'!B1:B1000")) &gt;= MATCH(
                    G145,
                    INDIRECT("'" &amp; 'Hulp (overig)'!$C$16 &amp; "'!A1:A1000"),
                    0
                )) *
                IF(
                    H145="",
                    1,
                    (ROW(INDIRECT("'" &amp; 'Hulp (overig)'!$C$16 &amp; "'!B1:B1000")) &lt; MATCH(
                        H145,
                        INDIRECT("'" &amp; 'Hulp (overig)'!$C$16 &amp; "'!A1:A1000"),
                        0
                    ))
                ),
                ROW(INDIRECT("'" &amp; 'Hulp (overig)'!$C$16 &amp; "'!B1:B1000"))
            )
        ),0)
    )=0,"",
INDEX(
        INDIRECT("'" &amp; 'Hulp (overig)'!$C$16 &amp; "'!" &amp;
        'Hulp (overig)'!$C$17 &amp; "1:" &amp; 'Hulp (overig)'!$C$17 &amp; 1000
        ),
        IFERROR(MIN(
            IF(
                (TRIM(INDIRECT("'" &amp; 'Hulp (overig)'!$C$16 &amp; "'!B1:B1000")) = TEXT(G147,"0")) *
                (ROW(INDIRECT("'" &amp; 'Hulp (overig)'!$C$16 &amp; "'!B1:B1000")) &gt;= MATCH(
                    G145,
                    INDIRECT("'" &amp; 'Hulp (overig)'!$C$16 &amp; "'!A1:A1000"),
                    0
                )) *
                IF(
                    H145="",
                    1,
                    (ROW(INDIRECT("'" &amp; 'Hulp (overig)'!$C$16 &amp; "'!B1:B1000")) &lt; MATCH(
                        H145,
                        INDIRECT("'" &amp; 'Hulp (overig)'!$C$16 &amp; "'!A1:A1000"),
                        0
                    ))
                ),
                ROW(INDIRECT("'" &amp; 'Hulp (overig)'!$C$16 &amp; "'!B1:B1000"))
            )
        ),0)
    ))
))))</f>
        <v>#VALUE!</v>
      </c>
      <c r="H148" s="425" t="e" cm="1">
        <f t="array" aca="1" ref="H148" ca="1">IF($BF148, IF(H145="","",
   INDEX(
      INDIRECT("'" &amp; 'Hulp (CAO''s)'!$AE$8 &amp; "'!" &amp;
               'Hulp (overig)'!$C$17 &amp; "1:" &amp;
               'Hulp (overig)'!$C$17 &amp; "1000"),
      MATCH(
         H145,
         INDIRECT("'" &amp; 'Hulp (CAO''s)'!$AE$8 &amp; "'!A1:A1000"),
         0
      )
   )
), IF($D146="Gebruik % van maximum salaris",
IF(
    OR(H145="",H146=""),
    "",
    MAX(
        INDIRECT(
            "'" &amp; 'Hulp (overig)'!$C$16 &amp; "'!" &amp;
            'Hulp (overig)'!$C$17 &amp;
            MATCH(H145, INDIRECT("'" &amp; 'Hulp (overig)'!$C$16 &amp; "'!A1:A1000"), 0) &amp;
            ":" &amp;
            'Hulp (overig)'!$C$17 &amp;
LOOKUP(
    2,
    1 / (
        (ROW(INDIRECT("'" &amp; 'Hulp (overig)'!$C$16 &amp; "'!B1:B1000")) &lt;
            IF(I145&lt;&gt;"",
               MATCH(I145, INDIRECT("'" &amp; 'Hulp (overig)'!$C$16 &amp; "'!A1:A1000"),0),
               1000
            )
        ) *
        (LEFT(TRIM(INDIRECT("'" &amp; 'Hulp (overig)'!$C$16 &amp; "'!B1:B1000")),1) &lt;&gt; "u")
    ),
    ROW(INDIRECT("'" &amp; 'Hulp (overig)'!$C$16 &amp; "'!B1:B1000"))
)
        )
    ) * H146
),
IF(H147="","",
IF(
    IFERROR(MIN(
        IF(
            (TRIM(INDIRECT("'" &amp; 'Hulp (overig)'!$C$16 &amp; "'!B1:B1000")) = TEXT(H147,"0")) *
            (ROW(INDIRECT("'" &amp; 'Hulp (overig)'!$C$16 &amp; "'!B1:B1000")) &gt;= MATCH(
                H145,
                INDIRECT("'" &amp; 'Hulp (overig)'!$C$16 &amp; "'!A1:A1000"),
                0
            )) *
            IF(
                I145="",
                1,
                (ROW(INDIRECT("'" &amp; 'Hulp (overig)'!$C$16 &amp; "'!B1:B1000")) &lt; MATCH(
                    I145,
                    INDIRECT("'" &amp; 'Hulp (overig)'!$C$16 &amp; "'!A1:A1000"),
                    0
                ))
            ),
            ROW(INDIRECT("'" &amp; 'Hulp (overig)'!$C$16 &amp; "'!B1:B1000"))
        )
    ),0) &lt; 1,
    "",
    IF(INDEX(
        INDIRECT("'" &amp; 'Hulp (overig)'!$C$16 &amp; "'!" &amp;
        'Hulp (overig)'!$C$17 &amp; "1:" &amp; 'Hulp (overig)'!$C$17 &amp; 1000
        ),
        IFERROR(MIN(
            IF(
                (TRIM(INDIRECT("'" &amp; 'Hulp (overig)'!$C$16 &amp; "'!B1:B1000")) = TEXT(H147,"0")) *
                (ROW(INDIRECT("'" &amp; 'Hulp (overig)'!$C$16 &amp; "'!B1:B1000")) &gt;= MATCH(
                    H145,
                    INDIRECT("'" &amp; 'Hulp (overig)'!$C$16 &amp; "'!A1:A1000"),
                    0
                )) *
                IF(
                    I145="",
                    1,
                    (ROW(INDIRECT("'" &amp; 'Hulp (overig)'!$C$16 &amp; "'!B1:B1000")) &lt; MATCH(
                        I145,
                        INDIRECT("'" &amp; 'Hulp (overig)'!$C$16 &amp; "'!A1:A1000"),
                        0
                    ))
                ),
                ROW(INDIRECT("'" &amp; 'Hulp (overig)'!$C$16 &amp; "'!B1:B1000"))
            )
        ),0)
    )=0,"",
INDEX(
        INDIRECT("'" &amp; 'Hulp (overig)'!$C$16 &amp; "'!" &amp;
        'Hulp (overig)'!$C$17 &amp; "1:" &amp; 'Hulp (overig)'!$C$17 &amp; 1000
        ),
        IFERROR(MIN(
            IF(
                (TRIM(INDIRECT("'" &amp; 'Hulp (overig)'!$C$16 &amp; "'!B1:B1000")) = TEXT(H147,"0")) *
                (ROW(INDIRECT("'" &amp; 'Hulp (overig)'!$C$16 &amp; "'!B1:B1000")) &gt;= MATCH(
                    H145,
                    INDIRECT("'" &amp; 'Hulp (overig)'!$C$16 &amp; "'!A1:A1000"),
                    0
                )) *
                IF(
                    I145="",
                    1,
                    (ROW(INDIRECT("'" &amp; 'Hulp (overig)'!$C$16 &amp; "'!B1:B1000")) &lt; MATCH(
                        I145,
                        INDIRECT("'" &amp; 'Hulp (overig)'!$C$16 &amp; "'!A1:A1000"),
                        0
                    ))
                ),
                ROW(INDIRECT("'" &amp; 'Hulp (overig)'!$C$16 &amp; "'!B1:B1000"))
            )
        ),0)
    ))
))))</f>
        <v>#VALUE!</v>
      </c>
      <c r="I148" s="425" t="e" cm="1">
        <f t="array" aca="1" ref="I148" ca="1">IF($BF148, IF(I145="","",
   INDEX(
      INDIRECT("'" &amp; 'Hulp (CAO''s)'!$AE$8 &amp; "'!" &amp;
               'Hulp (overig)'!$C$17 &amp; "1:" &amp;
               'Hulp (overig)'!$C$17 &amp; "1000"),
      MATCH(
         I145,
         INDIRECT("'" &amp; 'Hulp (CAO''s)'!$AE$8 &amp; "'!A1:A1000"),
         0
      )
   )
), IF($D146="Gebruik % van maximum salaris",
IF(
    OR(I145="",I146=""),
    "",
    MAX(
        INDIRECT(
            "'" &amp; 'Hulp (overig)'!$C$16 &amp; "'!" &amp;
            'Hulp (overig)'!$C$17 &amp;
            MATCH(I145, INDIRECT("'" &amp; 'Hulp (overig)'!$C$16 &amp; "'!A1:A1000"), 0) &amp;
            ":" &amp;
            'Hulp (overig)'!$C$17 &amp;
LOOKUP(
    2,
    1 / (
        (ROW(INDIRECT("'" &amp; 'Hulp (overig)'!$C$16 &amp; "'!B1:B1000")) &lt;
            IF(J145&lt;&gt;"",
               MATCH(J145, INDIRECT("'" &amp; 'Hulp (overig)'!$C$16 &amp; "'!A1:A1000"),0),
               1000
            )
        ) *
        (LEFT(TRIM(INDIRECT("'" &amp; 'Hulp (overig)'!$C$16 &amp; "'!B1:B1000")),1) &lt;&gt; "u")
    ),
    ROW(INDIRECT("'" &amp; 'Hulp (overig)'!$C$16 &amp; "'!B1:B1000"))
)
        )
    ) * I146
),
IF(I147="","",
IF(
    IFERROR(MIN(
        IF(
            (TRIM(INDIRECT("'" &amp; 'Hulp (overig)'!$C$16 &amp; "'!B1:B1000")) = TEXT(I147,"0")) *
            (ROW(INDIRECT("'" &amp; 'Hulp (overig)'!$C$16 &amp; "'!B1:B1000")) &gt;= MATCH(
                I145,
                INDIRECT("'" &amp; 'Hulp (overig)'!$C$16 &amp; "'!A1:A1000"),
                0
            )) *
            IF(
                J145="",
                1,
                (ROW(INDIRECT("'" &amp; 'Hulp (overig)'!$C$16 &amp; "'!B1:B1000")) &lt; MATCH(
                    J145,
                    INDIRECT("'" &amp; 'Hulp (overig)'!$C$16 &amp; "'!A1:A1000"),
                    0
                ))
            ),
            ROW(INDIRECT("'" &amp; 'Hulp (overig)'!$C$16 &amp; "'!B1:B1000"))
        )
    ),0) &lt; 1,
    "",
    IF(INDEX(
        INDIRECT("'" &amp; 'Hulp (overig)'!$C$16 &amp; "'!" &amp;
        'Hulp (overig)'!$C$17 &amp; "1:" &amp; 'Hulp (overig)'!$C$17 &amp; 1000
        ),
        IFERROR(MIN(
            IF(
                (TRIM(INDIRECT("'" &amp; 'Hulp (overig)'!$C$16 &amp; "'!B1:B1000")) = TEXT(I147,"0")) *
                (ROW(INDIRECT("'" &amp; 'Hulp (overig)'!$C$16 &amp; "'!B1:B1000")) &gt;= MATCH(
                    I145,
                    INDIRECT("'" &amp; 'Hulp (overig)'!$C$16 &amp; "'!A1:A1000"),
                    0
                )) *
                IF(
                    J145="",
                    1,
                    (ROW(INDIRECT("'" &amp; 'Hulp (overig)'!$C$16 &amp; "'!B1:B1000")) &lt; MATCH(
                        J145,
                        INDIRECT("'" &amp; 'Hulp (overig)'!$C$16 &amp; "'!A1:A1000"),
                        0
                    ))
                ),
                ROW(INDIRECT("'" &amp; 'Hulp (overig)'!$C$16 &amp; "'!B1:B1000"))
            )
        ),0)
    )=0,"",
INDEX(
        INDIRECT("'" &amp; 'Hulp (overig)'!$C$16 &amp; "'!" &amp;
        'Hulp (overig)'!$C$17 &amp; "1:" &amp; 'Hulp (overig)'!$C$17 &amp; 1000
        ),
        IFERROR(MIN(
            IF(
                (TRIM(INDIRECT("'" &amp; 'Hulp (overig)'!$C$16 &amp; "'!B1:B1000")) = TEXT(I147,"0")) *
                (ROW(INDIRECT("'" &amp; 'Hulp (overig)'!$C$16 &amp; "'!B1:B1000")) &gt;= MATCH(
                    I145,
                    INDIRECT("'" &amp; 'Hulp (overig)'!$C$16 &amp; "'!A1:A1000"),
                    0
                )) *
                IF(
                    J145="",
                    1,
                    (ROW(INDIRECT("'" &amp; 'Hulp (overig)'!$C$16 &amp; "'!B1:B1000")) &lt; MATCH(
                        J145,
                        INDIRECT("'" &amp; 'Hulp (overig)'!$C$16 &amp; "'!A1:A1000"),
                        0
                    ))
                ),
                ROW(INDIRECT("'" &amp; 'Hulp (overig)'!$C$16 &amp; "'!B1:B1000"))
            )
        ),0)
    ))
))))</f>
        <v>#VALUE!</v>
      </c>
      <c r="J148" s="425" t="e" cm="1">
        <f t="array" aca="1" ref="J148" ca="1">IF($BF148, IF(J145="","",
   INDEX(
      INDIRECT("'" &amp; 'Hulp (CAO''s)'!$AE$8 &amp; "'!" &amp;
               'Hulp (overig)'!$C$17 &amp; "1:" &amp;
               'Hulp (overig)'!$C$17 &amp; "1000"),
      MATCH(
         J145,
         INDIRECT("'" &amp; 'Hulp (CAO''s)'!$AE$8 &amp; "'!A1:A1000"),
         0
      )
   )
), IF($D146="Gebruik % van maximum salaris",
IF(
    OR(J145="",J146=""),
    "",
    MAX(
        INDIRECT(
            "'" &amp; 'Hulp (overig)'!$C$16 &amp; "'!" &amp;
            'Hulp (overig)'!$C$17 &amp;
            MATCH(J145, INDIRECT("'" &amp; 'Hulp (overig)'!$C$16 &amp; "'!A1:A1000"), 0) &amp;
            ":" &amp;
            'Hulp (overig)'!$C$17 &amp;
LOOKUP(
    2,
    1 / (
        (ROW(INDIRECT("'" &amp; 'Hulp (overig)'!$C$16 &amp; "'!B1:B1000")) &lt;
            IF(K145&lt;&gt;"",
               MATCH(K145, INDIRECT("'" &amp; 'Hulp (overig)'!$C$16 &amp; "'!A1:A1000"),0),
               1000
            )
        ) *
        (LEFT(TRIM(INDIRECT("'" &amp; 'Hulp (overig)'!$C$16 &amp; "'!B1:B1000")),1) &lt;&gt; "u")
    ),
    ROW(INDIRECT("'" &amp; 'Hulp (overig)'!$C$16 &amp; "'!B1:B1000"))
)
        )
    ) * J146
),
IF(J147="","",
IF(
    IFERROR(MIN(
        IF(
            (TRIM(INDIRECT("'" &amp; 'Hulp (overig)'!$C$16 &amp; "'!B1:B1000")) = TEXT(J147,"0")) *
            (ROW(INDIRECT("'" &amp; 'Hulp (overig)'!$C$16 &amp; "'!B1:B1000")) &gt;= MATCH(
                J145,
                INDIRECT("'" &amp; 'Hulp (overig)'!$C$16 &amp; "'!A1:A1000"),
                0
            )) *
            IF(
                K145="",
                1,
                (ROW(INDIRECT("'" &amp; 'Hulp (overig)'!$C$16 &amp; "'!B1:B1000")) &lt; MATCH(
                    K145,
                    INDIRECT("'" &amp; 'Hulp (overig)'!$C$16 &amp; "'!A1:A1000"),
                    0
                ))
            ),
            ROW(INDIRECT("'" &amp; 'Hulp (overig)'!$C$16 &amp; "'!B1:B1000"))
        )
    ),0) &lt; 1,
    "",
    IF(INDEX(
        INDIRECT("'" &amp; 'Hulp (overig)'!$C$16 &amp; "'!" &amp;
        'Hulp (overig)'!$C$17 &amp; "1:" &amp; 'Hulp (overig)'!$C$17 &amp; 1000
        ),
        IFERROR(MIN(
            IF(
                (TRIM(INDIRECT("'" &amp; 'Hulp (overig)'!$C$16 &amp; "'!B1:B1000")) = TEXT(J147,"0")) *
                (ROW(INDIRECT("'" &amp; 'Hulp (overig)'!$C$16 &amp; "'!B1:B1000")) &gt;= MATCH(
                    J145,
                    INDIRECT("'" &amp; 'Hulp (overig)'!$C$16 &amp; "'!A1:A1000"),
                    0
                )) *
                IF(
                    K145="",
                    1,
                    (ROW(INDIRECT("'" &amp; 'Hulp (overig)'!$C$16 &amp; "'!B1:B1000")) &lt; MATCH(
                        K145,
                        INDIRECT("'" &amp; 'Hulp (overig)'!$C$16 &amp; "'!A1:A1000"),
                        0
                    ))
                ),
                ROW(INDIRECT("'" &amp; 'Hulp (overig)'!$C$16 &amp; "'!B1:B1000"))
            )
        ),0)
    )=0,"",
INDEX(
        INDIRECT("'" &amp; 'Hulp (overig)'!$C$16 &amp; "'!" &amp;
        'Hulp (overig)'!$C$17 &amp; "1:" &amp; 'Hulp (overig)'!$C$17 &amp; 1000
        ),
        IFERROR(MIN(
            IF(
                (TRIM(INDIRECT("'" &amp; 'Hulp (overig)'!$C$16 &amp; "'!B1:B1000")) = TEXT(J147,"0")) *
                (ROW(INDIRECT("'" &amp; 'Hulp (overig)'!$C$16 &amp; "'!B1:B1000")) &gt;= MATCH(
                    J145,
                    INDIRECT("'" &amp; 'Hulp (overig)'!$C$16 &amp; "'!A1:A1000"),
                    0
                )) *
                IF(
                    K145="",
                    1,
                    (ROW(INDIRECT("'" &amp; 'Hulp (overig)'!$C$16 &amp; "'!B1:B1000")) &lt; MATCH(
                        K145,
                        INDIRECT("'" &amp; 'Hulp (overig)'!$C$16 &amp; "'!A1:A1000"),
                        0
                    ))
                ),
                ROW(INDIRECT("'" &amp; 'Hulp (overig)'!$C$16 &amp; "'!B1:B1000"))
            )
        ),0)
    ))
))))</f>
        <v>#VALUE!</v>
      </c>
      <c r="K148" s="425" t="e" cm="1">
        <f t="array" aca="1" ref="K148" ca="1">IF($BF148, IF(K145="","",
   INDEX(
      INDIRECT("'" &amp; 'Hulp (CAO''s)'!$AE$8 &amp; "'!" &amp;
               'Hulp (overig)'!$C$17 &amp; "1:" &amp;
               'Hulp (overig)'!$C$17 &amp; "1000"),
      MATCH(
         K145,
         INDIRECT("'" &amp; 'Hulp (CAO''s)'!$AE$8 &amp; "'!A1:A1000"),
         0
      )
   )
), IF($D146="Gebruik % van maximum salaris",
IF(
    OR(K145="",K146=""),
    "",
    MAX(
        INDIRECT(
            "'" &amp; 'Hulp (overig)'!$C$16 &amp; "'!" &amp;
            'Hulp (overig)'!$C$17 &amp;
            MATCH(K145, INDIRECT("'" &amp; 'Hulp (overig)'!$C$16 &amp; "'!A1:A1000"), 0) &amp;
            ":" &amp;
            'Hulp (overig)'!$C$17 &amp;
LOOKUP(
    2,
    1 / (
        (ROW(INDIRECT("'" &amp; 'Hulp (overig)'!$C$16 &amp; "'!B1:B1000")) &lt;
            IF(L145&lt;&gt;"",
               MATCH(L145, INDIRECT("'" &amp; 'Hulp (overig)'!$C$16 &amp; "'!A1:A1000"),0),
               1000
            )
        ) *
        (LEFT(TRIM(INDIRECT("'" &amp; 'Hulp (overig)'!$C$16 &amp; "'!B1:B1000")),1) &lt;&gt; "u")
    ),
    ROW(INDIRECT("'" &amp; 'Hulp (overig)'!$C$16 &amp; "'!B1:B1000"))
)
        )
    ) * K146
),
IF(K147="","",
IF(
    IFERROR(MIN(
        IF(
            (TRIM(INDIRECT("'" &amp; 'Hulp (overig)'!$C$16 &amp; "'!B1:B1000")) = TEXT(K147,"0")) *
            (ROW(INDIRECT("'" &amp; 'Hulp (overig)'!$C$16 &amp; "'!B1:B1000")) &gt;= MATCH(
                K145,
                INDIRECT("'" &amp; 'Hulp (overig)'!$C$16 &amp; "'!A1:A1000"),
                0
            )) *
            IF(
                L145="",
                1,
                (ROW(INDIRECT("'" &amp; 'Hulp (overig)'!$C$16 &amp; "'!B1:B1000")) &lt; MATCH(
                    L145,
                    INDIRECT("'" &amp; 'Hulp (overig)'!$C$16 &amp; "'!A1:A1000"),
                    0
                ))
            ),
            ROW(INDIRECT("'" &amp; 'Hulp (overig)'!$C$16 &amp; "'!B1:B1000"))
        )
    ),0) &lt; 1,
    "",
    IF(INDEX(
        INDIRECT("'" &amp; 'Hulp (overig)'!$C$16 &amp; "'!" &amp;
        'Hulp (overig)'!$C$17 &amp; "1:" &amp; 'Hulp (overig)'!$C$17 &amp; 1000
        ),
        IFERROR(MIN(
            IF(
                (TRIM(INDIRECT("'" &amp; 'Hulp (overig)'!$C$16 &amp; "'!B1:B1000")) = TEXT(K147,"0")) *
                (ROW(INDIRECT("'" &amp; 'Hulp (overig)'!$C$16 &amp; "'!B1:B1000")) &gt;= MATCH(
                    K145,
                    INDIRECT("'" &amp; 'Hulp (overig)'!$C$16 &amp; "'!A1:A1000"),
                    0
                )) *
                IF(
                    L145="",
                    1,
                    (ROW(INDIRECT("'" &amp; 'Hulp (overig)'!$C$16 &amp; "'!B1:B1000")) &lt; MATCH(
                        L145,
                        INDIRECT("'" &amp; 'Hulp (overig)'!$C$16 &amp; "'!A1:A1000"),
                        0
                    ))
                ),
                ROW(INDIRECT("'" &amp; 'Hulp (overig)'!$C$16 &amp; "'!B1:B1000"))
            )
        ),0)
    )=0,"",
INDEX(
        INDIRECT("'" &amp; 'Hulp (overig)'!$C$16 &amp; "'!" &amp;
        'Hulp (overig)'!$C$17 &amp; "1:" &amp; 'Hulp (overig)'!$C$17 &amp; 1000
        ),
        IFERROR(MIN(
            IF(
                (TRIM(INDIRECT("'" &amp; 'Hulp (overig)'!$C$16 &amp; "'!B1:B1000")) = TEXT(K147,"0")) *
                (ROW(INDIRECT("'" &amp; 'Hulp (overig)'!$C$16 &amp; "'!B1:B1000")) &gt;= MATCH(
                    K145,
                    INDIRECT("'" &amp; 'Hulp (overig)'!$C$16 &amp; "'!A1:A1000"),
                    0
                )) *
                IF(
                    L145="",
                    1,
                    (ROW(INDIRECT("'" &amp; 'Hulp (overig)'!$C$16 &amp; "'!B1:B1000")) &lt; MATCH(
                        L145,
                        INDIRECT("'" &amp; 'Hulp (overig)'!$C$16 &amp; "'!A1:A1000"),
                        0
                    ))
                ),
                ROW(INDIRECT("'" &amp; 'Hulp (overig)'!$C$16 &amp; "'!B1:B1000"))
            )
        ),0)
    ))
))))</f>
        <v>#VALUE!</v>
      </c>
      <c r="L148" s="425" t="e" cm="1">
        <f t="array" aca="1" ref="L148" ca="1">IF($BF148, IF(L145="","",
   INDEX(
      INDIRECT("'" &amp; 'Hulp (CAO''s)'!$AE$8 &amp; "'!" &amp;
               'Hulp (overig)'!$C$17 &amp; "1:" &amp;
               'Hulp (overig)'!$C$17 &amp; "1000"),
      MATCH(
         L145,
         INDIRECT("'" &amp; 'Hulp (CAO''s)'!$AE$8 &amp; "'!A1:A1000"),
         0
      )
   )
), IF($D146="Gebruik % van maximum salaris",
IF(
    OR(L145="",L146=""),
    "",
    MAX(
        INDIRECT(
            "'" &amp; 'Hulp (overig)'!$C$16 &amp; "'!" &amp;
            'Hulp (overig)'!$C$17 &amp;
            MATCH(L145, INDIRECT("'" &amp; 'Hulp (overig)'!$C$16 &amp; "'!A1:A1000"), 0) &amp;
            ":" &amp;
            'Hulp (overig)'!$C$17 &amp;
LOOKUP(
    2,
    1 / (
        (ROW(INDIRECT("'" &amp; 'Hulp (overig)'!$C$16 &amp; "'!B1:B1000")) &lt;
            IF(M145&lt;&gt;"",
               MATCH(M145, INDIRECT("'" &amp; 'Hulp (overig)'!$C$16 &amp; "'!A1:A1000"),0),
               1000
            )
        ) *
        (LEFT(TRIM(INDIRECT("'" &amp; 'Hulp (overig)'!$C$16 &amp; "'!B1:B1000")),1) &lt;&gt; "u")
    ),
    ROW(INDIRECT("'" &amp; 'Hulp (overig)'!$C$16 &amp; "'!B1:B1000"))
)
        )
    ) * L146
),
IF(L147="","",
IF(
    IFERROR(MIN(
        IF(
            (TRIM(INDIRECT("'" &amp; 'Hulp (overig)'!$C$16 &amp; "'!B1:B1000")) = TEXT(L147,"0")) *
            (ROW(INDIRECT("'" &amp; 'Hulp (overig)'!$C$16 &amp; "'!B1:B1000")) &gt;= MATCH(
                L145,
                INDIRECT("'" &amp; 'Hulp (overig)'!$C$16 &amp; "'!A1:A1000"),
                0
            )) *
            IF(
                M145="",
                1,
                (ROW(INDIRECT("'" &amp; 'Hulp (overig)'!$C$16 &amp; "'!B1:B1000")) &lt; MATCH(
                    M145,
                    INDIRECT("'" &amp; 'Hulp (overig)'!$C$16 &amp; "'!A1:A1000"),
                    0
                ))
            ),
            ROW(INDIRECT("'" &amp; 'Hulp (overig)'!$C$16 &amp; "'!B1:B1000"))
        )
    ),0) &lt; 1,
    "",
    IF(INDEX(
        INDIRECT("'" &amp; 'Hulp (overig)'!$C$16 &amp; "'!" &amp;
        'Hulp (overig)'!$C$17 &amp; "1:" &amp; 'Hulp (overig)'!$C$17 &amp; 1000
        ),
        IFERROR(MIN(
            IF(
                (TRIM(INDIRECT("'" &amp; 'Hulp (overig)'!$C$16 &amp; "'!B1:B1000")) = TEXT(L147,"0")) *
                (ROW(INDIRECT("'" &amp; 'Hulp (overig)'!$C$16 &amp; "'!B1:B1000")) &gt;= MATCH(
                    L145,
                    INDIRECT("'" &amp; 'Hulp (overig)'!$C$16 &amp; "'!A1:A1000"),
                    0
                )) *
                IF(
                    M145="",
                    1,
                    (ROW(INDIRECT("'" &amp; 'Hulp (overig)'!$C$16 &amp; "'!B1:B1000")) &lt; MATCH(
                        M145,
                        INDIRECT("'" &amp; 'Hulp (overig)'!$C$16 &amp; "'!A1:A1000"),
                        0
                    ))
                ),
                ROW(INDIRECT("'" &amp; 'Hulp (overig)'!$C$16 &amp; "'!B1:B1000"))
            )
        ),0)
    )=0,"",
INDEX(
        INDIRECT("'" &amp; 'Hulp (overig)'!$C$16 &amp; "'!" &amp;
        'Hulp (overig)'!$C$17 &amp; "1:" &amp; 'Hulp (overig)'!$C$17 &amp; 1000
        ),
        IFERROR(MIN(
            IF(
                (TRIM(INDIRECT("'" &amp; 'Hulp (overig)'!$C$16 &amp; "'!B1:B1000")) = TEXT(L147,"0")) *
                (ROW(INDIRECT("'" &amp; 'Hulp (overig)'!$C$16 &amp; "'!B1:B1000")) &gt;= MATCH(
                    L145,
                    INDIRECT("'" &amp; 'Hulp (overig)'!$C$16 &amp; "'!A1:A1000"),
                    0
                )) *
                IF(
                    M145="",
                    1,
                    (ROW(INDIRECT("'" &amp; 'Hulp (overig)'!$C$16 &amp; "'!B1:B1000")) &lt; MATCH(
                        M145,
                        INDIRECT("'" &amp; 'Hulp (overig)'!$C$16 &amp; "'!A1:A1000"),
                        0
                    ))
                ),
                ROW(INDIRECT("'" &amp; 'Hulp (overig)'!$C$16 &amp; "'!B1:B1000"))
            )
        ),0)
    ))
))))</f>
        <v>#VALUE!</v>
      </c>
      <c r="M148" s="425" t="e" cm="1">
        <f t="array" aca="1" ref="M148" ca="1">IF($BF148, IF(M145="","",
   INDEX(
      INDIRECT("'" &amp; 'Hulp (CAO''s)'!$AE$8 &amp; "'!" &amp;
               'Hulp (overig)'!$C$17 &amp; "1:" &amp;
               'Hulp (overig)'!$C$17 &amp; "1000"),
      MATCH(
         M145,
         INDIRECT("'" &amp; 'Hulp (CAO''s)'!$AE$8 &amp; "'!A1:A1000"),
         0
      )
   )
), IF($D146="Gebruik % van maximum salaris",
IF(
    OR(M145="",M146=""),
    "",
    MAX(
        INDIRECT(
            "'" &amp; 'Hulp (overig)'!$C$16 &amp; "'!" &amp;
            'Hulp (overig)'!$C$17 &amp;
            MATCH(M145, INDIRECT("'" &amp; 'Hulp (overig)'!$C$16 &amp; "'!A1:A1000"), 0) &amp;
            ":" &amp;
            'Hulp (overig)'!$C$17 &amp;
LOOKUP(
    2,
    1 / (
        (ROW(INDIRECT("'" &amp; 'Hulp (overig)'!$C$16 &amp; "'!B1:B1000")) &lt;
            IF(N145&lt;&gt;"",
               MATCH(N145, INDIRECT("'" &amp; 'Hulp (overig)'!$C$16 &amp; "'!A1:A1000"),0),
               1000
            )
        ) *
        (LEFT(TRIM(INDIRECT("'" &amp; 'Hulp (overig)'!$C$16 &amp; "'!B1:B1000")),1) &lt;&gt; "u")
    ),
    ROW(INDIRECT("'" &amp; 'Hulp (overig)'!$C$16 &amp; "'!B1:B1000"))
)
        )
    ) * M146
),
IF(M147="","",
IF(
    IFERROR(MIN(
        IF(
            (TRIM(INDIRECT("'" &amp; 'Hulp (overig)'!$C$16 &amp; "'!B1:B1000")) = TEXT(M147,"0")) *
            (ROW(INDIRECT("'" &amp; 'Hulp (overig)'!$C$16 &amp; "'!B1:B1000")) &gt;= MATCH(
                M145,
                INDIRECT("'" &amp; 'Hulp (overig)'!$C$16 &amp; "'!A1:A1000"),
                0
            )) *
            IF(
                N145="",
                1,
                (ROW(INDIRECT("'" &amp; 'Hulp (overig)'!$C$16 &amp; "'!B1:B1000")) &lt; MATCH(
                    N145,
                    INDIRECT("'" &amp; 'Hulp (overig)'!$C$16 &amp; "'!A1:A1000"),
                    0
                ))
            ),
            ROW(INDIRECT("'" &amp; 'Hulp (overig)'!$C$16 &amp; "'!B1:B1000"))
        )
    ),0) &lt; 1,
    "",
    IF(INDEX(
        INDIRECT("'" &amp; 'Hulp (overig)'!$C$16 &amp; "'!" &amp;
        'Hulp (overig)'!$C$17 &amp; "1:" &amp; 'Hulp (overig)'!$C$17 &amp; 1000
        ),
        IFERROR(MIN(
            IF(
                (TRIM(INDIRECT("'" &amp; 'Hulp (overig)'!$C$16 &amp; "'!B1:B1000")) = TEXT(M147,"0")) *
                (ROW(INDIRECT("'" &amp; 'Hulp (overig)'!$C$16 &amp; "'!B1:B1000")) &gt;= MATCH(
                    M145,
                    INDIRECT("'" &amp; 'Hulp (overig)'!$C$16 &amp; "'!A1:A1000"),
                    0
                )) *
                IF(
                    N145="",
                    1,
                    (ROW(INDIRECT("'" &amp; 'Hulp (overig)'!$C$16 &amp; "'!B1:B1000")) &lt; MATCH(
                        N145,
                        INDIRECT("'" &amp; 'Hulp (overig)'!$C$16 &amp; "'!A1:A1000"),
                        0
                    ))
                ),
                ROW(INDIRECT("'" &amp; 'Hulp (overig)'!$C$16 &amp; "'!B1:B1000"))
            )
        ),0)
    )=0,"",
INDEX(
        INDIRECT("'" &amp; 'Hulp (overig)'!$C$16 &amp; "'!" &amp;
        'Hulp (overig)'!$C$17 &amp; "1:" &amp; 'Hulp (overig)'!$C$17 &amp; 1000
        ),
        IFERROR(MIN(
            IF(
                (TRIM(INDIRECT("'" &amp; 'Hulp (overig)'!$C$16 &amp; "'!B1:B1000")) = TEXT(M147,"0")) *
                (ROW(INDIRECT("'" &amp; 'Hulp (overig)'!$C$16 &amp; "'!B1:B1000")) &gt;= MATCH(
                    M145,
                    INDIRECT("'" &amp; 'Hulp (overig)'!$C$16 &amp; "'!A1:A1000"),
                    0
                )) *
                IF(
                    N145="",
                    1,
                    (ROW(INDIRECT("'" &amp; 'Hulp (overig)'!$C$16 &amp; "'!B1:B1000")) &lt; MATCH(
                        N145,
                        INDIRECT("'" &amp; 'Hulp (overig)'!$C$16 &amp; "'!A1:A1000"),
                        0
                    ))
                ),
                ROW(INDIRECT("'" &amp; 'Hulp (overig)'!$C$16 &amp; "'!B1:B1000"))
            )
        ),0)
    ))
))))</f>
        <v>#VALUE!</v>
      </c>
      <c r="N148" s="425" t="e" cm="1">
        <f t="array" aca="1" ref="N148" ca="1">IF($BF148, IF(N145="","",
   INDEX(
      INDIRECT("'" &amp; 'Hulp (CAO''s)'!$AE$8 &amp; "'!" &amp;
               'Hulp (overig)'!$C$17 &amp; "1:" &amp;
               'Hulp (overig)'!$C$17 &amp; "1000"),
      MATCH(
         N145,
         INDIRECT("'" &amp; 'Hulp (CAO''s)'!$AE$8 &amp; "'!A1:A1000"),
         0
      )
   )
), IF($D146="Gebruik % van maximum salaris",
IF(
    OR(N145="",N146=""),
    "",
    MAX(
        INDIRECT(
            "'" &amp; 'Hulp (overig)'!$C$16 &amp; "'!" &amp;
            'Hulp (overig)'!$C$17 &amp;
            MATCH(N145, INDIRECT("'" &amp; 'Hulp (overig)'!$C$16 &amp; "'!A1:A1000"), 0) &amp;
            ":" &amp;
            'Hulp (overig)'!$C$17 &amp;
LOOKUP(
    2,
    1 / (
        (ROW(INDIRECT("'" &amp; 'Hulp (overig)'!$C$16 &amp; "'!B1:B1000")) &lt;
            IF(O145&lt;&gt;"",
               MATCH(O145, INDIRECT("'" &amp; 'Hulp (overig)'!$C$16 &amp; "'!A1:A1000"),0),
               1000
            )
        ) *
        (LEFT(TRIM(INDIRECT("'" &amp; 'Hulp (overig)'!$C$16 &amp; "'!B1:B1000")),1) &lt;&gt; "u")
    ),
    ROW(INDIRECT("'" &amp; 'Hulp (overig)'!$C$16 &amp; "'!B1:B1000"))
)
        )
    ) * N146
),
IF(N147="","",
IF(
    IFERROR(MIN(
        IF(
            (TRIM(INDIRECT("'" &amp; 'Hulp (overig)'!$C$16 &amp; "'!B1:B1000")) = TEXT(N147,"0")) *
            (ROW(INDIRECT("'" &amp; 'Hulp (overig)'!$C$16 &amp; "'!B1:B1000")) &gt;= MATCH(
                N145,
                INDIRECT("'" &amp; 'Hulp (overig)'!$C$16 &amp; "'!A1:A1000"),
                0
            )) *
            IF(
                O145="",
                1,
                (ROW(INDIRECT("'" &amp; 'Hulp (overig)'!$C$16 &amp; "'!B1:B1000")) &lt; MATCH(
                    O145,
                    INDIRECT("'" &amp; 'Hulp (overig)'!$C$16 &amp; "'!A1:A1000"),
                    0
                ))
            ),
            ROW(INDIRECT("'" &amp; 'Hulp (overig)'!$C$16 &amp; "'!B1:B1000"))
        )
    ),0) &lt; 1,
    "",
    IF(INDEX(
        INDIRECT("'" &amp; 'Hulp (overig)'!$C$16 &amp; "'!" &amp;
        'Hulp (overig)'!$C$17 &amp; "1:" &amp; 'Hulp (overig)'!$C$17 &amp; 1000
        ),
        IFERROR(MIN(
            IF(
                (TRIM(INDIRECT("'" &amp; 'Hulp (overig)'!$C$16 &amp; "'!B1:B1000")) = TEXT(N147,"0")) *
                (ROW(INDIRECT("'" &amp; 'Hulp (overig)'!$C$16 &amp; "'!B1:B1000")) &gt;= MATCH(
                    N145,
                    INDIRECT("'" &amp; 'Hulp (overig)'!$C$16 &amp; "'!A1:A1000"),
                    0
                )) *
                IF(
                    O145="",
                    1,
                    (ROW(INDIRECT("'" &amp; 'Hulp (overig)'!$C$16 &amp; "'!B1:B1000")) &lt; MATCH(
                        O145,
                        INDIRECT("'" &amp; 'Hulp (overig)'!$C$16 &amp; "'!A1:A1000"),
                        0
                    ))
                ),
                ROW(INDIRECT("'" &amp; 'Hulp (overig)'!$C$16 &amp; "'!B1:B1000"))
            )
        ),0)
    )=0,"",
INDEX(
        INDIRECT("'" &amp; 'Hulp (overig)'!$C$16 &amp; "'!" &amp;
        'Hulp (overig)'!$C$17 &amp; "1:" &amp; 'Hulp (overig)'!$C$17 &amp; 1000
        ),
        IFERROR(MIN(
            IF(
                (TRIM(INDIRECT("'" &amp; 'Hulp (overig)'!$C$16 &amp; "'!B1:B1000")) = TEXT(N147,"0")) *
                (ROW(INDIRECT("'" &amp; 'Hulp (overig)'!$C$16 &amp; "'!B1:B1000")) &gt;= MATCH(
                    N145,
                    INDIRECT("'" &amp; 'Hulp (overig)'!$C$16 &amp; "'!A1:A1000"),
                    0
                )) *
                IF(
                    O145="",
                    1,
                    (ROW(INDIRECT("'" &amp; 'Hulp (overig)'!$C$16 &amp; "'!B1:B1000")) &lt; MATCH(
                        O145,
                        INDIRECT("'" &amp; 'Hulp (overig)'!$C$16 &amp; "'!A1:A1000"),
                        0
                    ))
                ),
                ROW(INDIRECT("'" &amp; 'Hulp (overig)'!$C$16 &amp; "'!B1:B1000"))
            )
        ),0)
    ))
))))</f>
        <v>#VALUE!</v>
      </c>
      <c r="O148" s="425" t="e" cm="1">
        <f t="array" aca="1" ref="O148" ca="1">IF($BF148, IF(O145="","",
   INDEX(
      INDIRECT("'" &amp; 'Hulp (CAO''s)'!$AE$8 &amp; "'!" &amp;
               'Hulp (overig)'!$C$17 &amp; "1:" &amp;
               'Hulp (overig)'!$C$17 &amp; "1000"),
      MATCH(
         O145,
         INDIRECT("'" &amp; 'Hulp (CAO''s)'!$AE$8 &amp; "'!A1:A1000"),
         0
      )
   )
), IF($D146="Gebruik % van maximum salaris",
IF(
    OR(O145="",O146=""),
    "",
    MAX(
        INDIRECT(
            "'" &amp; 'Hulp (overig)'!$C$16 &amp; "'!" &amp;
            'Hulp (overig)'!$C$17 &amp;
            MATCH(O145, INDIRECT("'" &amp; 'Hulp (overig)'!$C$16 &amp; "'!A1:A1000"), 0) &amp;
            ":" &amp;
            'Hulp (overig)'!$C$17 &amp;
LOOKUP(
    2,
    1 / (
        (ROW(INDIRECT("'" &amp; 'Hulp (overig)'!$C$16 &amp; "'!B1:B1000")) &lt;
            IF(P145&lt;&gt;"",
               MATCH(P145, INDIRECT("'" &amp; 'Hulp (overig)'!$C$16 &amp; "'!A1:A1000"),0),
               1000
            )
        ) *
        (LEFT(TRIM(INDIRECT("'" &amp; 'Hulp (overig)'!$C$16 &amp; "'!B1:B1000")),1) &lt;&gt; "u")
    ),
    ROW(INDIRECT("'" &amp; 'Hulp (overig)'!$C$16 &amp; "'!B1:B1000"))
)
        )
    ) * O146
),
IF(O147="","",
IF(
    IFERROR(MIN(
        IF(
            (TRIM(INDIRECT("'" &amp; 'Hulp (overig)'!$C$16 &amp; "'!B1:B1000")) = TEXT(O147,"0")) *
            (ROW(INDIRECT("'" &amp; 'Hulp (overig)'!$C$16 &amp; "'!B1:B1000")) &gt;= MATCH(
                O145,
                INDIRECT("'" &amp; 'Hulp (overig)'!$C$16 &amp; "'!A1:A1000"),
                0
            )) *
            IF(
                P145="",
                1,
                (ROW(INDIRECT("'" &amp; 'Hulp (overig)'!$C$16 &amp; "'!B1:B1000")) &lt; MATCH(
                    P145,
                    INDIRECT("'" &amp; 'Hulp (overig)'!$C$16 &amp; "'!A1:A1000"),
                    0
                ))
            ),
            ROW(INDIRECT("'" &amp; 'Hulp (overig)'!$C$16 &amp; "'!B1:B1000"))
        )
    ),0) &lt; 1,
    "",
    IF(INDEX(
        INDIRECT("'" &amp; 'Hulp (overig)'!$C$16 &amp; "'!" &amp;
        'Hulp (overig)'!$C$17 &amp; "1:" &amp; 'Hulp (overig)'!$C$17 &amp; 1000
        ),
        IFERROR(MIN(
            IF(
                (TRIM(INDIRECT("'" &amp; 'Hulp (overig)'!$C$16 &amp; "'!B1:B1000")) = TEXT(O147,"0")) *
                (ROW(INDIRECT("'" &amp; 'Hulp (overig)'!$C$16 &amp; "'!B1:B1000")) &gt;= MATCH(
                    O145,
                    INDIRECT("'" &amp; 'Hulp (overig)'!$C$16 &amp; "'!A1:A1000"),
                    0
                )) *
                IF(
                    P145="",
                    1,
                    (ROW(INDIRECT("'" &amp; 'Hulp (overig)'!$C$16 &amp; "'!B1:B1000")) &lt; MATCH(
                        P145,
                        INDIRECT("'" &amp; 'Hulp (overig)'!$C$16 &amp; "'!A1:A1000"),
                        0
                    ))
                ),
                ROW(INDIRECT("'" &amp; 'Hulp (overig)'!$C$16 &amp; "'!B1:B1000"))
            )
        ),0)
    )=0,"",
INDEX(
        INDIRECT("'" &amp; 'Hulp (overig)'!$C$16 &amp; "'!" &amp;
        'Hulp (overig)'!$C$17 &amp; "1:" &amp; 'Hulp (overig)'!$C$17 &amp; 1000
        ),
        IFERROR(MIN(
            IF(
                (TRIM(INDIRECT("'" &amp; 'Hulp (overig)'!$C$16 &amp; "'!B1:B1000")) = TEXT(O147,"0")) *
                (ROW(INDIRECT("'" &amp; 'Hulp (overig)'!$C$16 &amp; "'!B1:B1000")) &gt;= MATCH(
                    O145,
                    INDIRECT("'" &amp; 'Hulp (overig)'!$C$16 &amp; "'!A1:A1000"),
                    0
                )) *
                IF(
                    P145="",
                    1,
                    (ROW(INDIRECT("'" &amp; 'Hulp (overig)'!$C$16 &amp; "'!B1:B1000")) &lt; MATCH(
                        P145,
                        INDIRECT("'" &amp; 'Hulp (overig)'!$C$16 &amp; "'!A1:A1000"),
                        0
                    ))
                ),
                ROW(INDIRECT("'" &amp; 'Hulp (overig)'!$C$16 &amp; "'!B1:B1000"))
            )
        ),0)
    ))
))))</f>
        <v>#VALUE!</v>
      </c>
      <c r="P148" s="425" t="e" cm="1">
        <f t="array" aca="1" ref="P148" ca="1">IF($BF148, IF(P145="","",
   INDEX(
      INDIRECT("'" &amp; 'Hulp (CAO''s)'!$AE$8 &amp; "'!" &amp;
               'Hulp (overig)'!$C$17 &amp; "1:" &amp;
               'Hulp (overig)'!$C$17 &amp; "1000"),
      MATCH(
         P145,
         INDIRECT("'" &amp; 'Hulp (CAO''s)'!$AE$8 &amp; "'!A1:A1000"),
         0
      )
   )
), IF($D146="Gebruik % van maximum salaris",
IF(
    OR(P145="",P146=""),
    "",
    MAX(
        INDIRECT(
            "'" &amp; 'Hulp (overig)'!$C$16 &amp; "'!" &amp;
            'Hulp (overig)'!$C$17 &amp;
            MATCH(P145, INDIRECT("'" &amp; 'Hulp (overig)'!$C$16 &amp; "'!A1:A1000"), 0) &amp;
            ":" &amp;
            'Hulp (overig)'!$C$17 &amp;
LOOKUP(
    2,
    1 / (
        (ROW(INDIRECT("'" &amp; 'Hulp (overig)'!$C$16 &amp; "'!B1:B1000")) &lt;
            IF(Q145&lt;&gt;"",
               MATCH(Q145, INDIRECT("'" &amp; 'Hulp (overig)'!$C$16 &amp; "'!A1:A1000"),0),
               1000
            )
        ) *
        (LEFT(TRIM(INDIRECT("'" &amp; 'Hulp (overig)'!$C$16 &amp; "'!B1:B1000")),1) &lt;&gt; "u")
    ),
    ROW(INDIRECT("'" &amp; 'Hulp (overig)'!$C$16 &amp; "'!B1:B1000"))
)
        )
    ) * P146
),
IF(P147="","",
IF(
    IFERROR(MIN(
        IF(
            (TRIM(INDIRECT("'" &amp; 'Hulp (overig)'!$C$16 &amp; "'!B1:B1000")) = TEXT(P147,"0")) *
            (ROW(INDIRECT("'" &amp; 'Hulp (overig)'!$C$16 &amp; "'!B1:B1000")) &gt;= MATCH(
                P145,
                INDIRECT("'" &amp; 'Hulp (overig)'!$C$16 &amp; "'!A1:A1000"),
                0
            )) *
            IF(
                Q145="",
                1,
                (ROW(INDIRECT("'" &amp; 'Hulp (overig)'!$C$16 &amp; "'!B1:B1000")) &lt; MATCH(
                    Q145,
                    INDIRECT("'" &amp; 'Hulp (overig)'!$C$16 &amp; "'!A1:A1000"),
                    0
                ))
            ),
            ROW(INDIRECT("'" &amp; 'Hulp (overig)'!$C$16 &amp; "'!B1:B1000"))
        )
    ),0) &lt; 1,
    "",
    IF(INDEX(
        INDIRECT("'" &amp; 'Hulp (overig)'!$C$16 &amp; "'!" &amp;
        'Hulp (overig)'!$C$17 &amp; "1:" &amp; 'Hulp (overig)'!$C$17 &amp; 1000
        ),
        IFERROR(MIN(
            IF(
                (TRIM(INDIRECT("'" &amp; 'Hulp (overig)'!$C$16 &amp; "'!B1:B1000")) = TEXT(P147,"0")) *
                (ROW(INDIRECT("'" &amp; 'Hulp (overig)'!$C$16 &amp; "'!B1:B1000")) &gt;= MATCH(
                    P145,
                    INDIRECT("'" &amp; 'Hulp (overig)'!$C$16 &amp; "'!A1:A1000"),
                    0
                )) *
                IF(
                    Q145="",
                    1,
                    (ROW(INDIRECT("'" &amp; 'Hulp (overig)'!$C$16 &amp; "'!B1:B1000")) &lt; MATCH(
                        Q145,
                        INDIRECT("'" &amp; 'Hulp (overig)'!$C$16 &amp; "'!A1:A1000"),
                        0
                    ))
                ),
                ROW(INDIRECT("'" &amp; 'Hulp (overig)'!$C$16 &amp; "'!B1:B1000"))
            )
        ),0)
    )=0,"",
INDEX(
        INDIRECT("'" &amp; 'Hulp (overig)'!$C$16 &amp; "'!" &amp;
        'Hulp (overig)'!$C$17 &amp; "1:" &amp; 'Hulp (overig)'!$C$17 &amp; 1000
        ),
        IFERROR(MIN(
            IF(
                (TRIM(INDIRECT("'" &amp; 'Hulp (overig)'!$C$16 &amp; "'!B1:B1000")) = TEXT(P147,"0")) *
                (ROW(INDIRECT("'" &amp; 'Hulp (overig)'!$C$16 &amp; "'!B1:B1000")) &gt;= MATCH(
                    P145,
                    INDIRECT("'" &amp; 'Hulp (overig)'!$C$16 &amp; "'!A1:A1000"),
                    0
                )) *
                IF(
                    Q145="",
                    1,
                    (ROW(INDIRECT("'" &amp; 'Hulp (overig)'!$C$16 &amp; "'!B1:B1000")) &lt; MATCH(
                        Q145,
                        INDIRECT("'" &amp; 'Hulp (overig)'!$C$16 &amp; "'!A1:A1000"),
                        0
                    ))
                ),
                ROW(INDIRECT("'" &amp; 'Hulp (overig)'!$C$16 &amp; "'!B1:B1000"))
            )
        ),0)
    ))
))))</f>
        <v>#VALUE!</v>
      </c>
      <c r="Q148" s="425" t="e" cm="1">
        <f t="array" aca="1" ref="Q148" ca="1">IF($BF148, IF(Q145="","",
   INDEX(
      INDIRECT("'" &amp; 'Hulp (CAO''s)'!$AE$8 &amp; "'!" &amp;
               'Hulp (overig)'!$C$17 &amp; "1:" &amp;
               'Hulp (overig)'!$C$17 &amp; "1000"),
      MATCH(
         Q145,
         INDIRECT("'" &amp; 'Hulp (CAO''s)'!$AE$8 &amp; "'!A1:A1000"),
         0
      )
   )
), IF($D146="Gebruik % van maximum salaris",
IF(
    OR(Q145="",Q146=""),
    "",
    MAX(
        INDIRECT(
            "'" &amp; 'Hulp (overig)'!$C$16 &amp; "'!" &amp;
            'Hulp (overig)'!$C$17 &amp;
            MATCH(Q145, INDIRECT("'" &amp; 'Hulp (overig)'!$C$16 &amp; "'!A1:A1000"), 0) &amp;
            ":" &amp;
            'Hulp (overig)'!$C$17 &amp;
LOOKUP(
    2,
    1 / (
        (ROW(INDIRECT("'" &amp; 'Hulp (overig)'!$C$16 &amp; "'!B1:B1000")) &lt;
            IF(R145&lt;&gt;"",
               MATCH(R145, INDIRECT("'" &amp; 'Hulp (overig)'!$C$16 &amp; "'!A1:A1000"),0),
               1000
            )
        ) *
        (LEFT(TRIM(INDIRECT("'" &amp; 'Hulp (overig)'!$C$16 &amp; "'!B1:B1000")),1) &lt;&gt; "u")
    ),
    ROW(INDIRECT("'" &amp; 'Hulp (overig)'!$C$16 &amp; "'!B1:B1000"))
)
        )
    ) * Q146
),
IF(Q147="","",
IF(
    IFERROR(MIN(
        IF(
            (TRIM(INDIRECT("'" &amp; 'Hulp (overig)'!$C$16 &amp; "'!B1:B1000")) = TEXT(Q147,"0")) *
            (ROW(INDIRECT("'" &amp; 'Hulp (overig)'!$C$16 &amp; "'!B1:B1000")) &gt;= MATCH(
                Q145,
                INDIRECT("'" &amp; 'Hulp (overig)'!$C$16 &amp; "'!A1:A1000"),
                0
            )) *
            IF(
                R145="",
                1,
                (ROW(INDIRECT("'" &amp; 'Hulp (overig)'!$C$16 &amp; "'!B1:B1000")) &lt; MATCH(
                    R145,
                    INDIRECT("'" &amp; 'Hulp (overig)'!$C$16 &amp; "'!A1:A1000"),
                    0
                ))
            ),
            ROW(INDIRECT("'" &amp; 'Hulp (overig)'!$C$16 &amp; "'!B1:B1000"))
        )
    ),0) &lt; 1,
    "",
    IF(INDEX(
        INDIRECT("'" &amp; 'Hulp (overig)'!$C$16 &amp; "'!" &amp;
        'Hulp (overig)'!$C$17 &amp; "1:" &amp; 'Hulp (overig)'!$C$17 &amp; 1000
        ),
        IFERROR(MIN(
            IF(
                (TRIM(INDIRECT("'" &amp; 'Hulp (overig)'!$C$16 &amp; "'!B1:B1000")) = TEXT(Q147,"0")) *
                (ROW(INDIRECT("'" &amp; 'Hulp (overig)'!$C$16 &amp; "'!B1:B1000")) &gt;= MATCH(
                    Q145,
                    INDIRECT("'" &amp; 'Hulp (overig)'!$C$16 &amp; "'!A1:A1000"),
                    0
                )) *
                IF(
                    R145="",
                    1,
                    (ROW(INDIRECT("'" &amp; 'Hulp (overig)'!$C$16 &amp; "'!B1:B1000")) &lt; MATCH(
                        R145,
                        INDIRECT("'" &amp; 'Hulp (overig)'!$C$16 &amp; "'!A1:A1000"),
                        0
                    ))
                ),
                ROW(INDIRECT("'" &amp; 'Hulp (overig)'!$C$16 &amp; "'!B1:B1000"))
            )
        ),0)
    )=0,"",
INDEX(
        INDIRECT("'" &amp; 'Hulp (overig)'!$C$16 &amp; "'!" &amp;
        'Hulp (overig)'!$C$17 &amp; "1:" &amp; 'Hulp (overig)'!$C$17 &amp; 1000
        ),
        IFERROR(MIN(
            IF(
                (TRIM(INDIRECT("'" &amp; 'Hulp (overig)'!$C$16 &amp; "'!B1:B1000")) = TEXT(Q147,"0")) *
                (ROW(INDIRECT("'" &amp; 'Hulp (overig)'!$C$16 &amp; "'!B1:B1000")) &gt;= MATCH(
                    Q145,
                    INDIRECT("'" &amp; 'Hulp (overig)'!$C$16 &amp; "'!A1:A1000"),
                    0
                )) *
                IF(
                    R145="",
                    1,
                    (ROW(INDIRECT("'" &amp; 'Hulp (overig)'!$C$16 &amp; "'!B1:B1000")) &lt; MATCH(
                        R145,
                        INDIRECT("'" &amp; 'Hulp (overig)'!$C$16 &amp; "'!A1:A1000"),
                        0
                    ))
                ),
                ROW(INDIRECT("'" &amp; 'Hulp (overig)'!$C$16 &amp; "'!B1:B1000"))
            )
        ),0)
    ))
))))</f>
        <v>#VALUE!</v>
      </c>
      <c r="R148" s="425" t="e" cm="1">
        <f t="array" aca="1" ref="R148" ca="1">IF($BF148, IF(R145="","",
   INDEX(
      INDIRECT("'" &amp; 'Hulp (CAO''s)'!$AE$8 &amp; "'!" &amp;
               'Hulp (overig)'!$C$17 &amp; "1:" &amp;
               'Hulp (overig)'!$C$17 &amp; "1000"),
      MATCH(
         R145,
         INDIRECT("'" &amp; 'Hulp (CAO''s)'!$AE$8 &amp; "'!A1:A1000"),
         0
      )
   )
), IF($D146="Gebruik % van maximum salaris",
IF(
    OR(R145="",R146=""),
    "",
    MAX(
        INDIRECT(
            "'" &amp; 'Hulp (overig)'!$C$16 &amp; "'!" &amp;
            'Hulp (overig)'!$C$17 &amp;
            MATCH(R145, INDIRECT("'" &amp; 'Hulp (overig)'!$C$16 &amp; "'!A1:A1000"), 0) &amp;
            ":" &amp;
            'Hulp (overig)'!$C$17 &amp;
LOOKUP(
    2,
    1 / (
        (ROW(INDIRECT("'" &amp; 'Hulp (overig)'!$C$16 &amp; "'!B1:B1000")) &lt;
            IF(S145&lt;&gt;"",
               MATCH(S145, INDIRECT("'" &amp; 'Hulp (overig)'!$C$16 &amp; "'!A1:A1000"),0),
               1000
            )
        ) *
        (LEFT(TRIM(INDIRECT("'" &amp; 'Hulp (overig)'!$C$16 &amp; "'!B1:B1000")),1) &lt;&gt; "u")
    ),
    ROW(INDIRECT("'" &amp; 'Hulp (overig)'!$C$16 &amp; "'!B1:B1000"))
)
        )
    ) * R146
),
IF(R147="","",
IF(
    IFERROR(MIN(
        IF(
            (TRIM(INDIRECT("'" &amp; 'Hulp (overig)'!$C$16 &amp; "'!B1:B1000")) = TEXT(R147,"0")) *
            (ROW(INDIRECT("'" &amp; 'Hulp (overig)'!$C$16 &amp; "'!B1:B1000")) &gt;= MATCH(
                R145,
                INDIRECT("'" &amp; 'Hulp (overig)'!$C$16 &amp; "'!A1:A1000"),
                0
            )) *
            IF(
                S145="",
                1,
                (ROW(INDIRECT("'" &amp; 'Hulp (overig)'!$C$16 &amp; "'!B1:B1000")) &lt; MATCH(
                    S145,
                    INDIRECT("'" &amp; 'Hulp (overig)'!$C$16 &amp; "'!A1:A1000"),
                    0
                ))
            ),
            ROW(INDIRECT("'" &amp; 'Hulp (overig)'!$C$16 &amp; "'!B1:B1000"))
        )
    ),0) &lt; 1,
    "",
    IF(INDEX(
        INDIRECT("'" &amp; 'Hulp (overig)'!$C$16 &amp; "'!" &amp;
        'Hulp (overig)'!$C$17 &amp; "1:" &amp; 'Hulp (overig)'!$C$17 &amp; 1000
        ),
        IFERROR(MIN(
            IF(
                (TRIM(INDIRECT("'" &amp; 'Hulp (overig)'!$C$16 &amp; "'!B1:B1000")) = TEXT(R147,"0")) *
                (ROW(INDIRECT("'" &amp; 'Hulp (overig)'!$C$16 &amp; "'!B1:B1000")) &gt;= MATCH(
                    R145,
                    INDIRECT("'" &amp; 'Hulp (overig)'!$C$16 &amp; "'!A1:A1000"),
                    0
                )) *
                IF(
                    S145="",
                    1,
                    (ROW(INDIRECT("'" &amp; 'Hulp (overig)'!$C$16 &amp; "'!B1:B1000")) &lt; MATCH(
                        S145,
                        INDIRECT("'" &amp; 'Hulp (overig)'!$C$16 &amp; "'!A1:A1000"),
                        0
                    ))
                ),
                ROW(INDIRECT("'" &amp; 'Hulp (overig)'!$C$16 &amp; "'!B1:B1000"))
            )
        ),0)
    )=0,"",
INDEX(
        INDIRECT("'" &amp; 'Hulp (overig)'!$C$16 &amp; "'!" &amp;
        'Hulp (overig)'!$C$17 &amp; "1:" &amp; 'Hulp (overig)'!$C$17 &amp; 1000
        ),
        IFERROR(MIN(
            IF(
                (TRIM(INDIRECT("'" &amp; 'Hulp (overig)'!$C$16 &amp; "'!B1:B1000")) = TEXT(R147,"0")) *
                (ROW(INDIRECT("'" &amp; 'Hulp (overig)'!$C$16 &amp; "'!B1:B1000")) &gt;= MATCH(
                    R145,
                    INDIRECT("'" &amp; 'Hulp (overig)'!$C$16 &amp; "'!A1:A1000"),
                    0
                )) *
                IF(
                    S145="",
                    1,
                    (ROW(INDIRECT("'" &amp; 'Hulp (overig)'!$C$16 &amp; "'!B1:B1000")) &lt; MATCH(
                        S145,
                        INDIRECT("'" &amp; 'Hulp (overig)'!$C$16 &amp; "'!A1:A1000"),
                        0
                    ))
                ),
                ROW(INDIRECT("'" &amp; 'Hulp (overig)'!$C$16 &amp; "'!B1:B1000"))
            )
        ),0)
    ))
))))</f>
        <v>#VALUE!</v>
      </c>
      <c r="S148" s="425" t="e" cm="1">
        <f t="array" aca="1" ref="S148" ca="1">IF($BF148, IF(S145="","",
   INDEX(
      INDIRECT("'" &amp; 'Hulp (CAO''s)'!$AE$8 &amp; "'!" &amp;
               'Hulp (overig)'!$C$17 &amp; "1:" &amp;
               'Hulp (overig)'!$C$17 &amp; "1000"),
      MATCH(
         S145,
         INDIRECT("'" &amp; 'Hulp (CAO''s)'!$AE$8 &amp; "'!A1:A1000"),
         0
      )
   )
), IF($D146="Gebruik % van maximum salaris",
IF(
    OR(S145="",S146=""),
    "",
    MAX(
        INDIRECT(
            "'" &amp; 'Hulp (overig)'!$C$16 &amp; "'!" &amp;
            'Hulp (overig)'!$C$17 &amp;
            MATCH(S145, INDIRECT("'" &amp; 'Hulp (overig)'!$C$16 &amp; "'!A1:A1000"), 0) &amp;
            ":" &amp;
            'Hulp (overig)'!$C$17 &amp;
LOOKUP(
    2,
    1 / (
        (ROW(INDIRECT("'" &amp; 'Hulp (overig)'!$C$16 &amp; "'!B1:B1000")) &lt;
            IF(T145&lt;&gt;"",
               MATCH(T145, INDIRECT("'" &amp; 'Hulp (overig)'!$C$16 &amp; "'!A1:A1000"),0),
               1000
            )
        ) *
        (LEFT(TRIM(INDIRECT("'" &amp; 'Hulp (overig)'!$C$16 &amp; "'!B1:B1000")),1) &lt;&gt; "u")
    ),
    ROW(INDIRECT("'" &amp; 'Hulp (overig)'!$C$16 &amp; "'!B1:B1000"))
)
        )
    ) * S146
),
IF(S147="","",
IF(
    IFERROR(MIN(
        IF(
            (TRIM(INDIRECT("'" &amp; 'Hulp (overig)'!$C$16 &amp; "'!B1:B1000")) = TEXT(S147,"0")) *
            (ROW(INDIRECT("'" &amp; 'Hulp (overig)'!$C$16 &amp; "'!B1:B1000")) &gt;= MATCH(
                S145,
                INDIRECT("'" &amp; 'Hulp (overig)'!$C$16 &amp; "'!A1:A1000"),
                0
            )) *
            IF(
                T145="",
                1,
                (ROW(INDIRECT("'" &amp; 'Hulp (overig)'!$C$16 &amp; "'!B1:B1000")) &lt; MATCH(
                    T145,
                    INDIRECT("'" &amp; 'Hulp (overig)'!$C$16 &amp; "'!A1:A1000"),
                    0
                ))
            ),
            ROW(INDIRECT("'" &amp; 'Hulp (overig)'!$C$16 &amp; "'!B1:B1000"))
        )
    ),0) &lt; 1,
    "",
    IF(INDEX(
        INDIRECT("'" &amp; 'Hulp (overig)'!$C$16 &amp; "'!" &amp;
        'Hulp (overig)'!$C$17 &amp; "1:" &amp; 'Hulp (overig)'!$C$17 &amp; 1000
        ),
        IFERROR(MIN(
            IF(
                (TRIM(INDIRECT("'" &amp; 'Hulp (overig)'!$C$16 &amp; "'!B1:B1000")) = TEXT(S147,"0")) *
                (ROW(INDIRECT("'" &amp; 'Hulp (overig)'!$C$16 &amp; "'!B1:B1000")) &gt;= MATCH(
                    S145,
                    INDIRECT("'" &amp; 'Hulp (overig)'!$C$16 &amp; "'!A1:A1000"),
                    0
                )) *
                IF(
                    T145="",
                    1,
                    (ROW(INDIRECT("'" &amp; 'Hulp (overig)'!$C$16 &amp; "'!B1:B1000")) &lt; MATCH(
                        T145,
                        INDIRECT("'" &amp; 'Hulp (overig)'!$C$16 &amp; "'!A1:A1000"),
                        0
                    ))
                ),
                ROW(INDIRECT("'" &amp; 'Hulp (overig)'!$C$16 &amp; "'!B1:B1000"))
            )
        ),0)
    )=0,"",
INDEX(
        INDIRECT("'" &amp; 'Hulp (overig)'!$C$16 &amp; "'!" &amp;
        'Hulp (overig)'!$C$17 &amp; "1:" &amp; 'Hulp (overig)'!$C$17 &amp; 1000
        ),
        IFERROR(MIN(
            IF(
                (TRIM(INDIRECT("'" &amp; 'Hulp (overig)'!$C$16 &amp; "'!B1:B1000")) = TEXT(S147,"0")) *
                (ROW(INDIRECT("'" &amp; 'Hulp (overig)'!$C$16 &amp; "'!B1:B1000")) &gt;= MATCH(
                    S145,
                    INDIRECT("'" &amp; 'Hulp (overig)'!$C$16 &amp; "'!A1:A1000"),
                    0
                )) *
                IF(
                    T145="",
                    1,
                    (ROW(INDIRECT("'" &amp; 'Hulp (overig)'!$C$16 &amp; "'!B1:B1000")) &lt; MATCH(
                        T145,
                        INDIRECT("'" &amp; 'Hulp (overig)'!$C$16 &amp; "'!A1:A1000"),
                        0
                    ))
                ),
                ROW(INDIRECT("'" &amp; 'Hulp (overig)'!$C$16 &amp; "'!B1:B1000"))
            )
        ),0)
    ))
))))</f>
        <v>#VALUE!</v>
      </c>
      <c r="T148" s="425" t="e" cm="1">
        <f t="array" aca="1" ref="T148" ca="1">IF($BF148, IF(T145="","",
   INDEX(
      INDIRECT("'" &amp; 'Hulp (CAO''s)'!$AE$8 &amp; "'!" &amp;
               'Hulp (overig)'!$C$17 &amp; "1:" &amp;
               'Hulp (overig)'!$C$17 &amp; "1000"),
      MATCH(
         T145,
         INDIRECT("'" &amp; 'Hulp (CAO''s)'!$AE$8 &amp; "'!A1:A1000"),
         0
      )
   )
), IF($D146="Gebruik % van maximum salaris",
IF(
    OR(T145="",T146=""),
    "",
    MAX(
        INDIRECT(
            "'" &amp; 'Hulp (overig)'!$C$16 &amp; "'!" &amp;
            'Hulp (overig)'!$C$17 &amp;
            MATCH(T145, INDIRECT("'" &amp; 'Hulp (overig)'!$C$16 &amp; "'!A1:A1000"), 0) &amp;
            ":" &amp;
            'Hulp (overig)'!$C$17 &amp;
LOOKUP(
    2,
    1 / (
        (ROW(INDIRECT("'" &amp; 'Hulp (overig)'!$C$16 &amp; "'!B1:B1000")) &lt;
            IF(U145&lt;&gt;"",
               MATCH(U145, INDIRECT("'" &amp; 'Hulp (overig)'!$C$16 &amp; "'!A1:A1000"),0),
               1000
            )
        ) *
        (LEFT(TRIM(INDIRECT("'" &amp; 'Hulp (overig)'!$C$16 &amp; "'!B1:B1000")),1) &lt;&gt; "u")
    ),
    ROW(INDIRECT("'" &amp; 'Hulp (overig)'!$C$16 &amp; "'!B1:B1000"))
)
        )
    ) * T146
),
IF(T147="","",
IF(
    IFERROR(MIN(
        IF(
            (TRIM(INDIRECT("'" &amp; 'Hulp (overig)'!$C$16 &amp; "'!B1:B1000")) = TEXT(T147,"0")) *
            (ROW(INDIRECT("'" &amp; 'Hulp (overig)'!$C$16 &amp; "'!B1:B1000")) &gt;= MATCH(
                T145,
                INDIRECT("'" &amp; 'Hulp (overig)'!$C$16 &amp; "'!A1:A1000"),
                0
            )) *
            IF(
                U145="",
                1,
                (ROW(INDIRECT("'" &amp; 'Hulp (overig)'!$C$16 &amp; "'!B1:B1000")) &lt; MATCH(
                    U145,
                    INDIRECT("'" &amp; 'Hulp (overig)'!$C$16 &amp; "'!A1:A1000"),
                    0
                ))
            ),
            ROW(INDIRECT("'" &amp; 'Hulp (overig)'!$C$16 &amp; "'!B1:B1000"))
        )
    ),0) &lt; 1,
    "",
    IF(INDEX(
        INDIRECT("'" &amp; 'Hulp (overig)'!$C$16 &amp; "'!" &amp;
        'Hulp (overig)'!$C$17 &amp; "1:" &amp; 'Hulp (overig)'!$C$17 &amp; 1000
        ),
        IFERROR(MIN(
            IF(
                (TRIM(INDIRECT("'" &amp; 'Hulp (overig)'!$C$16 &amp; "'!B1:B1000")) = TEXT(T147,"0")) *
                (ROW(INDIRECT("'" &amp; 'Hulp (overig)'!$C$16 &amp; "'!B1:B1000")) &gt;= MATCH(
                    T145,
                    INDIRECT("'" &amp; 'Hulp (overig)'!$C$16 &amp; "'!A1:A1000"),
                    0
                )) *
                IF(
                    U145="",
                    1,
                    (ROW(INDIRECT("'" &amp; 'Hulp (overig)'!$C$16 &amp; "'!B1:B1000")) &lt; MATCH(
                        U145,
                        INDIRECT("'" &amp; 'Hulp (overig)'!$C$16 &amp; "'!A1:A1000"),
                        0
                    ))
                ),
                ROW(INDIRECT("'" &amp; 'Hulp (overig)'!$C$16 &amp; "'!B1:B1000"))
            )
        ),0)
    )=0,"",
INDEX(
        INDIRECT("'" &amp; 'Hulp (overig)'!$C$16 &amp; "'!" &amp;
        'Hulp (overig)'!$C$17 &amp; "1:" &amp; 'Hulp (overig)'!$C$17 &amp; 1000
        ),
        IFERROR(MIN(
            IF(
                (TRIM(INDIRECT("'" &amp; 'Hulp (overig)'!$C$16 &amp; "'!B1:B1000")) = TEXT(T147,"0")) *
                (ROW(INDIRECT("'" &amp; 'Hulp (overig)'!$C$16 &amp; "'!B1:B1000")) &gt;= MATCH(
                    T145,
                    INDIRECT("'" &amp; 'Hulp (overig)'!$C$16 &amp; "'!A1:A1000"),
                    0
                )) *
                IF(
                    U145="",
                    1,
                    (ROW(INDIRECT("'" &amp; 'Hulp (overig)'!$C$16 &amp; "'!B1:B1000")) &lt; MATCH(
                        U145,
                        INDIRECT("'" &amp; 'Hulp (overig)'!$C$16 &amp; "'!A1:A1000"),
                        0
                    ))
                ),
                ROW(INDIRECT("'" &amp; 'Hulp (overig)'!$C$16 &amp; "'!B1:B1000"))
            )
        ),0)
    ))
))))</f>
        <v>#VALUE!</v>
      </c>
      <c r="U148" s="723" t="e" cm="1">
        <f t="array" aca="1" ref="U148" ca="1">IF($BF148, IF(U145="","",
   INDEX(
      INDIRECT("'" &amp; 'Hulp (CAO''s)'!$AE$8 &amp; "'!" &amp;
               'Hulp (overig)'!$C$17 &amp; "1:" &amp;
               'Hulp (overig)'!$C$17 &amp; "1000"),
      MATCH(
         U145,
         INDIRECT("'" &amp; 'Hulp (CAO''s)'!$AE$8 &amp; "'!A1:A1000"),
         0
      )
   )
), IF($D146="Gebruik % van maximum salaris",
IF(
    OR(U145="",U146=""),
    "",
    MAX(
        INDIRECT(
            "'" &amp; 'Hulp (overig)'!$C$16 &amp; "'!" &amp;
            'Hulp (overig)'!$C$17 &amp;
            MATCH(U145, INDIRECT("'" &amp; 'Hulp (overig)'!$C$16 &amp; "'!A1:A1000"), 0) &amp;
            ":" &amp;
            'Hulp (overig)'!$C$17 &amp;
LOOKUP(
    2,
    1 / (
        (ROW(INDIRECT("'" &amp; 'Hulp (overig)'!$C$16 &amp; "'!B1:B1000")) &lt;
            IF(V145&lt;&gt;"",
               MATCH(V145, INDIRECT("'" &amp; 'Hulp (overig)'!$C$16 &amp; "'!A1:A1000"),0),
               1000
            )
        ) *
        (LEFT(TRIM(INDIRECT("'" &amp; 'Hulp (overig)'!$C$16 &amp; "'!B1:B1000")),1) &lt;&gt; "u")
    ),
    ROW(INDIRECT("'" &amp; 'Hulp (overig)'!$C$16 &amp; "'!B1:B1000"))
)
        )
    ) * U146
),
IF(U147="","",
IF(
    IFERROR(MIN(
        IF(
            (TRIM(INDIRECT("'" &amp; 'Hulp (overig)'!$C$16 &amp; "'!B1:B1000")) = TEXT(U147,"0")) *
            (ROW(INDIRECT("'" &amp; 'Hulp (overig)'!$C$16 &amp; "'!B1:B1000")) &gt;= MATCH(
                U145,
                INDIRECT("'" &amp; 'Hulp (overig)'!$C$16 &amp; "'!A1:A1000"),
                0
            )) *
            IF(
                V145="",
                1,
                (ROW(INDIRECT("'" &amp; 'Hulp (overig)'!$C$16 &amp; "'!B1:B1000")) &lt; MATCH(
                    V145,
                    INDIRECT("'" &amp; 'Hulp (overig)'!$C$16 &amp; "'!A1:A1000"),
                    0
                ))
            ),
            ROW(INDIRECT("'" &amp; 'Hulp (overig)'!$C$16 &amp; "'!B1:B1000"))
        )
    ),0) &lt; 1,
    "",
    IF(INDEX(
        INDIRECT("'" &amp; 'Hulp (overig)'!$C$16 &amp; "'!" &amp;
        'Hulp (overig)'!$C$17 &amp; "1:" &amp; 'Hulp (overig)'!$C$17 &amp; 1000
        ),
        IFERROR(MIN(
            IF(
                (TRIM(INDIRECT("'" &amp; 'Hulp (overig)'!$C$16 &amp; "'!B1:B1000")) = TEXT(U147,"0")) *
                (ROW(INDIRECT("'" &amp; 'Hulp (overig)'!$C$16 &amp; "'!B1:B1000")) &gt;= MATCH(
                    U145,
                    INDIRECT("'" &amp; 'Hulp (overig)'!$C$16 &amp; "'!A1:A1000"),
                    0
                )) *
                IF(
                    V145="",
                    1,
                    (ROW(INDIRECT("'" &amp; 'Hulp (overig)'!$C$16 &amp; "'!B1:B1000")) &lt; MATCH(
                        V145,
                        INDIRECT("'" &amp; 'Hulp (overig)'!$C$16 &amp; "'!A1:A1000"),
                        0
                    ))
                ),
                ROW(INDIRECT("'" &amp; 'Hulp (overig)'!$C$16 &amp; "'!B1:B1000"))
            )
        ),0)
    )=0,"",
INDEX(
        INDIRECT("'" &amp; 'Hulp (overig)'!$C$16 &amp; "'!" &amp;
        'Hulp (overig)'!$C$17 &amp; "1:" &amp; 'Hulp (overig)'!$C$17 &amp; 1000
        ),
        IFERROR(MIN(
            IF(
                (TRIM(INDIRECT("'" &amp; 'Hulp (overig)'!$C$16 &amp; "'!B1:B1000")) = TEXT(U147,"0")) *
                (ROW(INDIRECT("'" &amp; 'Hulp (overig)'!$C$16 &amp; "'!B1:B1000")) &gt;= MATCH(
                    U145,
                    INDIRECT("'" &amp; 'Hulp (overig)'!$C$16 &amp; "'!A1:A1000"),
                    0
                )) *
                IF(
                    V145="",
                    1,
                    (ROW(INDIRECT("'" &amp; 'Hulp (overig)'!$C$16 &amp; "'!B1:B1000")) &lt; MATCH(
                        V145,
                        INDIRECT("'" &amp; 'Hulp (overig)'!$C$16 &amp; "'!A1:A1000"),
                        0
                    ))
                ),
                ROW(INDIRECT("'" &amp; 'Hulp (overig)'!$C$16 &amp; "'!B1:B1000"))
            )
        ),0)
    ))
))))</f>
        <v>#VALUE!</v>
      </c>
      <c r="V148" s="413" t="str" cm="1">
        <f t="array" ref="V148">IF(SUM(F149:U149)=0,"",
IF(SUM(F148:U148)=0,"",
IF(SUMPRODUCT((F149:U149&lt;&gt;0)*(F148:U148=""))&gt;0,"",
(
   SUMPRODUCT(
      IF(F148:U148="",0,F148:U148),
      IF(F149:U149="",0,F149:U149) / SUM(F149:U149)
   )
))))</f>
        <v/>
      </c>
      <c r="W148" s="418"/>
      <c r="X148" s="620"/>
      <c r="Y148" s="419" t="str">
        <f ca="1">IF(B145="","",
        IF(INDIRECT("'Hulp (control forms)'!C" &amp; (13 + INT((ROW()-ROW($B$5))/7))),
            IF(X148="","",X148),
            IF(V148="","",V148)
    )
)</f>
        <v/>
      </c>
      <c r="Z148" s="333"/>
      <c r="AA148" s="771"/>
      <c r="AB148" s="770"/>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c r="BA148" cm="1">
        <f t="array" aca="1" ref="BA148" ca="1">IF(
   SUM(Y148)=0,
   1,
   IF(
      N(INDIRECT("'Hulp (control forms)'!C"&amp;(13+INT((ROW()-ROW($B$5))/7))))&lt;&gt;0,
      MIN(1,
      ('Hulp (overig)'!$C$6/12) /
      (Y148 * BC148 + BD148)),
      MIN(1,
         IF(
            SUM(F148:U148)=0,
            "",
            SUMPRODUCT(
               IF(
                  (IF(F148:U148="",0,F148:U148) * BC148) + BD148
                  &gt; 'Hulp (overig)'!$C$6/12,
                  'Hulp (overig)'!$C$6/12,
                  (IF(F148:U148="",0,F148:U148) * BC148) + BD148
               ),
               IF(F149:U149="",0,F149:U149) / SUM(F149:U149)
            )
         ) /
         ((Y148 * BC148) + BD148)
      )
   )
)</f>
        <v>1</v>
      </c>
      <c r="BB148" cm="1">
        <f t="array" aca="1" ref="BB148" ca="1">IF(
   SUM(Y148)=0,
   1,
   IF(
      N(INDIRECT("'Hulp (control forms)'!C"&amp;(13+INT((ROW()-ROW($B$5))/7))))&lt;&gt;0,
      MIN('Hulp (overig)'!$C$5/12,
      (Y148 * BC148) + BD148) * 12,
         IF(
            SUM(F148:U148)=0,
            "",
            SUMPRODUCT(
               IF(
                  (IF(F148:U148="",0,F148:U148) * BC148) + BD148
                  &gt; 'Hulp (overig)'!$C$5/12,
                  'Hulp (overig)'!$C$5/12,
                  (IF(F148:U148="",0,F148:U148) * BC148) + BD148
               ),
               IF(F149:U149="",0,F149:U149) / SUM(F149:U149)
            )
         ) * 12
   )
)</f>
        <v>1</v>
      </c>
      <c r="BC148" s="287" cm="1">
        <f t="array" aca="1" ref="BC148" ca="1">IFERROR(
   (INDEX('2. Output kostprijs'!$24:$24, 5 + 2*INT((ROW()-8)/7))
    - SUM(INDEX('2. Output kostprijs'!$23:$23, 5 + 2*INT((ROW()-8)/7))))
   / INDEX('2. Output kostprijs'!$19:$19, 5 + 2*INT((ROW()-8)/7)),
   1
)</f>
        <v>1</v>
      </c>
      <c r="BD148" s="287" cm="1">
        <f t="array" aca="1" ref="BD148" ca="1">IFERROR(
   (INDEX('2. Output kostprijs'!$23:$23, 5 + 2*INT((ROW()-8)/7))
    * INDEX('2. Output kostprijs'!$18:$18, 5 + 2*INT((ROW()-8)/7))
   ) / 12,
   0
)</f>
        <v>0</v>
      </c>
      <c r="BE148" t="b">
        <f ca="1">NOT(AND(B145&lt;&gt;"",Y148=""))</f>
        <v>1</v>
      </c>
      <c r="BF148" t="str" cm="1">
        <f t="array" aca="1" ref="BF148" ca="1">INDIRECT("'1a. Input organisatieniveau'!$AD" &amp; 7 + INT((ROW()-ROW($F$8))/7))</f>
        <v/>
      </c>
      <c r="BG148" t="b" cm="1">
        <f t="array" ref="BG148">IFERROR(INDEX('Hulp (control forms)'!C:C, 13 + INT((ROW(A141)-1)/7)),FALSE)</f>
        <v>0</v>
      </c>
    </row>
    <row r="149" spans="1:59" ht="16.05" customHeight="1" thickBot="1" x14ac:dyDescent="0.5">
      <c r="A149" s="289"/>
      <c r="B149" s="343"/>
      <c r="C149" s="325" t="s">
        <v>779</v>
      </c>
      <c r="D149" s="688" t="s">
        <v>60</v>
      </c>
      <c r="E149" s="433" t="s">
        <v>59</v>
      </c>
      <c r="F149" s="624"/>
      <c r="G149" s="624"/>
      <c r="H149" s="624"/>
      <c r="I149" s="624"/>
      <c r="J149" s="624"/>
      <c r="K149" s="624"/>
      <c r="L149" s="624"/>
      <c r="M149" s="624"/>
      <c r="N149" s="624"/>
      <c r="O149" s="624"/>
      <c r="P149" s="624"/>
      <c r="Q149" s="624"/>
      <c r="R149" s="624"/>
      <c r="S149" s="624"/>
      <c r="T149" s="624"/>
      <c r="U149" s="625"/>
      <c r="V149" s="420" t="str">
        <f ca="1">IF($B145="","",IF($D149="Aandeel in %",
   "Totaal: "&amp;SUM(F149:U149)*100&amp;"%",
   "Totaal: "&amp;SUM(F149:U149)&amp;" uur"
))</f>
        <v/>
      </c>
      <c r="W149" s="294"/>
      <c r="X149" s="621"/>
      <c r="Y149" s="328"/>
      <c r="Z149" s="32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row>
    <row r="150" spans="1:59" ht="16.05" customHeight="1" thickBot="1" x14ac:dyDescent="0.5">
      <c r="A150" s="289"/>
      <c r="B150" s="343"/>
      <c r="C150" s="326" t="s">
        <v>779</v>
      </c>
      <c r="D150" s="421"/>
      <c r="E150" s="426"/>
      <c r="F150" s="426"/>
      <c r="G150" s="426"/>
      <c r="H150" s="426"/>
      <c r="I150" s="426"/>
      <c r="J150" s="426"/>
      <c r="K150" s="426"/>
      <c r="L150" s="426"/>
      <c r="M150" s="426"/>
      <c r="N150" s="426"/>
      <c r="O150" s="426"/>
      <c r="P150" s="426"/>
      <c r="Q150" s="426"/>
      <c r="R150" s="426"/>
      <c r="S150" s="426"/>
      <c r="T150" s="427"/>
      <c r="U150" s="427"/>
      <c r="V150" s="421"/>
      <c r="W150" s="421"/>
      <c r="X150" s="622"/>
      <c r="Y150" s="421"/>
      <c r="Z150" s="327"/>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row>
    <row r="151" spans="1:59" ht="16.05" customHeight="1" thickBot="1" x14ac:dyDescent="0.55000000000000004">
      <c r="A151" s="289"/>
      <c r="B151" s="585" t="str">
        <f ca="1">IF(B152="","",
IF(
   OR(
      INDIRECT("'1a. Input organisatieniveau'!AC" &amp; (7 + INT((ROW()-4)/7)))="",
      INDIRECT("'1a. Input organisatieniveau'!AC" &amp; (7 + INT((ROW()-4)/7)))=0
   ),
   "",
   INDIRECT("'1a. Input organisatieniveau'!AC" &amp; (7 + INT((ROW()-4)/7)))
))</f>
        <v/>
      </c>
      <c r="C151" s="324" t="s">
        <v>779</v>
      </c>
      <c r="D151" s="416"/>
      <c r="E151" s="428"/>
      <c r="F151" s="422" t="str">
        <f t="shared" ref="F151:U151" ca="1" si="21">IF($B152="","",
IF($D153="Gebruik % van maximum salaris",
 IF(OR(AND(AND(F152&lt;&gt;"",F153&lt;&gt;""),F155=""),AND(F155="",F156&lt;&gt;"")),"!",""),
 IF(OR(AND(AND(F152&lt;&gt;"",F154&lt;&gt;""),F155=""),AND(F155="",F156&lt;&gt;"")),"!","")))</f>
        <v/>
      </c>
      <c r="G151" s="422" t="str">
        <f t="shared" ca="1" si="21"/>
        <v/>
      </c>
      <c r="H151" s="422" t="str">
        <f t="shared" ca="1" si="21"/>
        <v/>
      </c>
      <c r="I151" s="422" t="str">
        <f t="shared" ca="1" si="21"/>
        <v/>
      </c>
      <c r="J151" s="422" t="str">
        <f t="shared" ca="1" si="21"/>
        <v/>
      </c>
      <c r="K151" s="422" t="str">
        <f t="shared" ca="1" si="21"/>
        <v/>
      </c>
      <c r="L151" s="422" t="str">
        <f t="shared" ca="1" si="21"/>
        <v/>
      </c>
      <c r="M151" s="422" t="str">
        <f t="shared" ca="1" si="21"/>
        <v/>
      </c>
      <c r="N151" s="422" t="str">
        <f t="shared" ca="1" si="21"/>
        <v/>
      </c>
      <c r="O151" s="422" t="str">
        <f t="shared" ca="1" si="21"/>
        <v/>
      </c>
      <c r="P151" s="422" t="str">
        <f t="shared" ca="1" si="21"/>
        <v/>
      </c>
      <c r="Q151" s="422" t="str">
        <f t="shared" ca="1" si="21"/>
        <v/>
      </c>
      <c r="R151" s="422" t="str">
        <f t="shared" ca="1" si="21"/>
        <v/>
      </c>
      <c r="S151" s="422" t="str">
        <f t="shared" ca="1" si="21"/>
        <v/>
      </c>
      <c r="T151" s="422" t="str">
        <f t="shared" ca="1" si="21"/>
        <v/>
      </c>
      <c r="U151" s="422" t="str">
        <f t="shared" ca="1" si="21"/>
        <v/>
      </c>
      <c r="V151" s="416"/>
      <c r="W151" s="416"/>
      <c r="X151" s="619"/>
      <c r="Y151" s="416"/>
      <c r="Z151" s="330"/>
      <c r="AA151" s="354"/>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row>
    <row r="152" spans="1:59" ht="16.05" customHeight="1" thickBot="1" x14ac:dyDescent="0.5">
      <c r="A152" s="289"/>
      <c r="B152" s="586" t="str">
        <f ca="1">IF(
   OR(
      INDIRECT("'1a. Input organisatieniveau'!AA" &amp; (7 + INT((ROW()-4)/7)))="",
      INDIRECT("'1a. Input organisatieniveau'!AA" &amp; (7 + INT((ROW()-4)/7)))=0
   ),
   "",
   INDIRECT("'1a. Input organisatieniveau'!AA" &amp; (7 + INT((ROW()-4)/7)))
)</f>
        <v/>
      </c>
      <c r="C152" s="325" t="s">
        <v>779</v>
      </c>
      <c r="D152" s="434"/>
      <c r="E152" s="429" t="s">
        <v>28</v>
      </c>
      <c r="F152" s="423" t="str">
        <f ca="1">IF($B152="", "", IF($BF155, IF('Hulp (CAO''s)'!J$8&lt;&gt;"",'Hulp (CAO''s)'!J$8,""), INDEX('Hulp (CAO''s)'!J$3:J$7, MATCH(TRUE, 'Hulp (CAO''s)'!$D$3:$D$7, 0))))</f>
        <v/>
      </c>
      <c r="G152" s="423" t="str">
        <f ca="1">IF($B152="", "", IF($BF155, IF('Hulp (CAO''s)'!K$8&lt;&gt;"",'Hulp (CAO''s)'!K$8,""), INDEX('Hulp (CAO''s)'!K$3:K$7, MATCH(TRUE, 'Hulp (CAO''s)'!$D$3:$D$7, 0))))</f>
        <v/>
      </c>
      <c r="H152" s="423" t="str">
        <f ca="1">IF($B152="", "", IF($BF155, IF('Hulp (CAO''s)'!L$8&lt;&gt;"",'Hulp (CAO''s)'!L$8,""), INDEX('Hulp (CAO''s)'!L$3:L$7, MATCH(TRUE, 'Hulp (CAO''s)'!$D$3:$D$7, 0))))</f>
        <v/>
      </c>
      <c r="I152" s="423" t="str">
        <f ca="1">IF($B152="", "", IF($BF155, IF('Hulp (CAO''s)'!M$8&lt;&gt;"",'Hulp (CAO''s)'!M$8,""), INDEX('Hulp (CAO''s)'!M$3:M$7, MATCH(TRUE, 'Hulp (CAO''s)'!$D$3:$D$7, 0))))</f>
        <v/>
      </c>
      <c r="J152" s="423" t="str">
        <f ca="1">IF($B152="", "", IF($BF155, IF('Hulp (CAO''s)'!N$8&lt;&gt;"",'Hulp (CAO''s)'!N$8,""), INDEX('Hulp (CAO''s)'!N$3:N$7, MATCH(TRUE, 'Hulp (CAO''s)'!$D$3:$D$7, 0))))</f>
        <v/>
      </c>
      <c r="K152" s="423" t="str">
        <f ca="1">IF($B152="", "", IF($BF155, IF('Hulp (CAO''s)'!O$8&lt;&gt;"",'Hulp (CAO''s)'!O$8,""), INDEX('Hulp (CAO''s)'!O$3:O$7, MATCH(TRUE, 'Hulp (CAO''s)'!$D$3:$D$7, 0))))</f>
        <v/>
      </c>
      <c r="L152" s="423" t="str">
        <f ca="1">IF($B152="", "", IF($BF155, IF('Hulp (CAO''s)'!P$8&lt;&gt;"",'Hulp (CAO''s)'!P$8,""), INDEX('Hulp (CAO''s)'!P$3:P$7, MATCH(TRUE, 'Hulp (CAO''s)'!$D$3:$D$7, 0))))</f>
        <v/>
      </c>
      <c r="M152" s="423" t="str">
        <f ca="1">IF($B152="", "", IF($BF155, IF('Hulp (CAO''s)'!Q$8&lt;&gt;"",'Hulp (CAO''s)'!Q$8,""), INDEX('Hulp (CAO''s)'!Q$3:Q$7, MATCH(TRUE, 'Hulp (CAO''s)'!$D$3:$D$7, 0))))</f>
        <v/>
      </c>
      <c r="N152" s="423" t="str">
        <f ca="1">IF($B152="", "", IF($BF155, IF('Hulp (CAO''s)'!R$8&lt;&gt;"",'Hulp (CAO''s)'!R$8,""), INDEX('Hulp (CAO''s)'!R$3:R$7, MATCH(TRUE, 'Hulp (CAO''s)'!$D$3:$D$7, 0))))</f>
        <v/>
      </c>
      <c r="O152" s="423" t="str">
        <f ca="1">IF($B152="", "", IF($BF155, IF('Hulp (CAO''s)'!S$8&lt;&gt;"",'Hulp (CAO''s)'!S$8,""), INDEX('Hulp (CAO''s)'!S$3:S$7, MATCH(TRUE, 'Hulp (CAO''s)'!$D$3:$D$7, 0))))</f>
        <v/>
      </c>
      <c r="P152" s="423" t="str">
        <f ca="1">IF($B152="", "", IF($BF155, IF('Hulp (CAO''s)'!T$8&lt;&gt;"",'Hulp (CAO''s)'!T$8,""), INDEX('Hulp (CAO''s)'!T$3:T$7, MATCH(TRUE, 'Hulp (CAO''s)'!$D$3:$D$7, 0))))</f>
        <v/>
      </c>
      <c r="Q152" s="423" t="str">
        <f ca="1">IF($B152="", "", IF($BF155, IF('Hulp (CAO''s)'!U$8&lt;&gt;"",'Hulp (CAO''s)'!U$8,""), INDEX('Hulp (CAO''s)'!U$3:U$7, MATCH(TRUE, 'Hulp (CAO''s)'!$D$3:$D$7, 0))))</f>
        <v/>
      </c>
      <c r="R152" s="423" t="str">
        <f ca="1">IF($B152="", "", IF($BF155, IF('Hulp (CAO''s)'!V$8&lt;&gt;"",'Hulp (CAO''s)'!V$8,""), INDEX('Hulp (CAO''s)'!V$3:V$7, MATCH(TRUE, 'Hulp (CAO''s)'!$D$3:$D$7, 0))))</f>
        <v/>
      </c>
      <c r="S152" s="423" t="str">
        <f ca="1">IF($B152="", "", IF($BF155, IF('Hulp (CAO''s)'!W$8&lt;&gt;"",'Hulp (CAO''s)'!W$8,""), INDEX('Hulp (CAO''s)'!W$3:W$7, MATCH(TRUE, 'Hulp (CAO''s)'!$D$3:$D$7, 0))))</f>
        <v/>
      </c>
      <c r="T152" s="423" t="str">
        <f ca="1">IF($B152="", "", IF($BF155, IF('Hulp (CAO''s)'!X$8&lt;&gt;"",'Hulp (CAO''s)'!X$8,""), INDEX('Hulp (CAO''s)'!X$3:X$7, MATCH(TRUE, 'Hulp (CAO''s)'!$D$3:$D$7, 0))))</f>
        <v/>
      </c>
      <c r="U152" s="424" t="str">
        <f ca="1">IF($B152="", "", IF($BF155, IF('Hulp (CAO''s)'!Y$8&lt;&gt;"",'Hulp (CAO''s)'!Y$8,""), INDEX('Hulp (CAO''s)'!Y$3:Y$7, MATCH(TRUE, 'Hulp (CAO''s)'!$D$3:$D$7, 0))))</f>
        <v/>
      </c>
      <c r="V152" s="417"/>
      <c r="W152" s="343"/>
      <c r="X152" s="617"/>
      <c r="Y152" s="343"/>
      <c r="Z152" s="329"/>
      <c r="AA152" s="320"/>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row>
    <row r="153" spans="1:59" ht="16.05" customHeight="1" x14ac:dyDescent="0.45">
      <c r="A153" s="289"/>
      <c r="B153" s="343"/>
      <c r="C153" s="325" t="s">
        <v>779</v>
      </c>
      <c r="D153" s="772" t="s">
        <v>772</v>
      </c>
      <c r="E153" s="430" t="e">
        <f ca="1">IF($BF155, "", "% t.o.v. max salaris in de schaal")</f>
        <v>#VALUE!</v>
      </c>
      <c r="F153" s="615"/>
      <c r="G153" s="615"/>
      <c r="H153" s="615"/>
      <c r="I153" s="615"/>
      <c r="J153" s="615"/>
      <c r="K153" s="615"/>
      <c r="L153" s="615"/>
      <c r="M153" s="615"/>
      <c r="N153" s="615"/>
      <c r="O153" s="615"/>
      <c r="P153" s="615"/>
      <c r="Q153" s="615"/>
      <c r="R153" s="615"/>
      <c r="S153" s="615"/>
      <c r="T153" s="615"/>
      <c r="U153" s="616"/>
      <c r="V153" s="774" t="s">
        <v>884</v>
      </c>
      <c r="W153" s="332"/>
      <c r="X153" s="776" t="s">
        <v>882</v>
      </c>
      <c r="Y153" s="778" t="s">
        <v>883</v>
      </c>
      <c r="Z153" s="329"/>
      <c r="AA153" s="771" t="s">
        <v>780</v>
      </c>
      <c r="AB153" s="770" t="s">
        <v>1079</v>
      </c>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row>
    <row r="154" spans="1:59" ht="16.05" customHeight="1" thickBot="1" x14ac:dyDescent="0.5">
      <c r="A154" s="289"/>
      <c r="B154" s="343"/>
      <c r="C154" s="325" t="s">
        <v>779</v>
      </c>
      <c r="D154" s="773"/>
      <c r="E154" s="431" t="e">
        <f ca="1">IF($BF155, "", "Trede (gemiddeld)")</f>
        <v>#VALUE!</v>
      </c>
      <c r="F154" s="737"/>
      <c r="G154" s="737"/>
      <c r="H154" s="737"/>
      <c r="I154" s="737"/>
      <c r="J154" s="737"/>
      <c r="K154" s="737"/>
      <c r="L154" s="737"/>
      <c r="M154" s="737"/>
      <c r="N154" s="737"/>
      <c r="O154" s="737"/>
      <c r="P154" s="737"/>
      <c r="Q154" s="737"/>
      <c r="R154" s="737"/>
      <c r="S154" s="737"/>
      <c r="T154" s="737"/>
      <c r="U154" s="740"/>
      <c r="V154" s="775"/>
      <c r="W154" s="294"/>
      <c r="X154" s="777"/>
      <c r="Y154" s="779"/>
      <c r="Z154" s="329"/>
      <c r="AA154" s="771"/>
      <c r="AB154" s="770"/>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row>
    <row r="155" spans="1:59" ht="16.05" customHeight="1" thickBot="1" x14ac:dyDescent="0.5">
      <c r="A155" s="289"/>
      <c r="B155" s="343"/>
      <c r="C155" s="325" t="s">
        <v>779</v>
      </c>
      <c r="E155" s="432" t="str">
        <f>IFERROR(
   INDEX('Hulp (CAO''s)'!$I$3:$I$7, MATCH(TRUE, 'Hulp (CAO''s)'!$D$3:$D$7, 0)),
"")</f>
        <v>Bruto maandsalaris</v>
      </c>
      <c r="F155" s="425" t="e" cm="1">
        <f t="array" aca="1" ref="F155" ca="1">IF($BF155, IF(F152="","",
   INDEX(
      INDIRECT("'" &amp; 'Hulp (CAO''s)'!$AE$8 &amp; "'!" &amp;
               'Hulp (overig)'!$C$17 &amp; "1:" &amp;
               'Hulp (overig)'!$C$17 &amp; "1000"),
      MATCH(
         F152,
         INDIRECT("'" &amp; 'Hulp (CAO''s)'!$AE$8 &amp; "'!A1:A1000"),
         0
      )
   )
), IF($D153="Gebruik % van maximum salaris",
IF(
    OR(F152="",F153=""),
    "",
    MAX(
        INDIRECT(
            "'" &amp; 'Hulp (overig)'!$C$16 &amp; "'!" &amp;
            'Hulp (overig)'!$C$17 &amp;
            MATCH(F152, INDIRECT("'" &amp; 'Hulp (overig)'!$C$16 &amp; "'!A1:A1000"), 0) &amp;
            ":" &amp;
            'Hulp (overig)'!$C$17 &amp;
LOOKUP(
    2,
    1 / (
        (ROW(INDIRECT("'" &amp; 'Hulp (overig)'!$C$16 &amp; "'!B1:B1000")) &lt;
            IF(G152&lt;&gt;"",
               MATCH(G152, INDIRECT("'" &amp; 'Hulp (overig)'!$C$16 &amp; "'!A1:A1000"),0),
               1000
            )
        ) *
        (LEFT(TRIM(INDIRECT("'" &amp; 'Hulp (overig)'!$C$16 &amp; "'!B1:B1000")),1) &lt;&gt; "u")
    ),
    ROW(INDIRECT("'" &amp; 'Hulp (overig)'!$C$16 &amp; "'!B1:B1000"))
)
        )
    ) * F153
),
IF(F154="","",
IF(
    IFERROR(MIN(
        IF(
            (TRIM(INDIRECT("'" &amp; 'Hulp (overig)'!$C$16 &amp; "'!B1:B1000")) = TEXT(F154,"0")) *
            (ROW(INDIRECT("'" &amp; 'Hulp (overig)'!$C$16 &amp; "'!B1:B1000")) &gt;= MATCH(
                F152,
                INDIRECT("'" &amp; 'Hulp (overig)'!$C$16 &amp; "'!A1:A1000"),
                0
            )) *
            IF(
                G152="",
                1,
                (ROW(INDIRECT("'" &amp; 'Hulp (overig)'!$C$16 &amp; "'!B1:B1000")) &lt; MATCH(
                    G152,
                    INDIRECT("'" &amp; 'Hulp (overig)'!$C$16 &amp; "'!A1:A1000"),
                    0
                ))
            ),
            ROW(INDIRECT("'" &amp; 'Hulp (overig)'!$C$16 &amp; "'!B1:B1000"))
        )
    ),0) &lt; 1,
    "",
    IF(INDEX(
        INDIRECT("'" &amp; 'Hulp (overig)'!$C$16 &amp; "'!" &amp;
        'Hulp (overig)'!$C$17 &amp; "1:" &amp; 'Hulp (overig)'!$C$17 &amp; 1000
        ),
        IFERROR(MIN(
            IF(
                (TRIM(INDIRECT("'" &amp; 'Hulp (overig)'!$C$16 &amp; "'!B1:B1000")) = TEXT(F154,"0")) *
                (ROW(INDIRECT("'" &amp; 'Hulp (overig)'!$C$16 &amp; "'!B1:B1000")) &gt;= MATCH(
                    F152,
                    INDIRECT("'" &amp; 'Hulp (overig)'!$C$16 &amp; "'!A1:A1000"),
                    0
                )) *
                IF(
                    G152="",
                    1,
                    (ROW(INDIRECT("'" &amp; 'Hulp (overig)'!$C$16 &amp; "'!B1:B1000")) &lt; MATCH(
                        G152,
                        INDIRECT("'" &amp; 'Hulp (overig)'!$C$16 &amp; "'!A1:A1000"),
                        0
                    ))
                ),
                ROW(INDIRECT("'" &amp; 'Hulp (overig)'!$C$16 &amp; "'!B1:B1000"))
            )
        ),0)
    )=0,"",
INDEX(
        INDIRECT("'" &amp; 'Hulp (overig)'!$C$16 &amp; "'!" &amp;
        'Hulp (overig)'!$C$17 &amp; "1:" &amp; 'Hulp (overig)'!$C$17 &amp; 1000
        ),
        IFERROR(MIN(
            IF(
                (TRIM(INDIRECT("'" &amp; 'Hulp (overig)'!$C$16 &amp; "'!B1:B1000")) = TEXT(F154,"0")) *
                (ROW(INDIRECT("'" &amp; 'Hulp (overig)'!$C$16 &amp; "'!B1:B1000")) &gt;= MATCH(
                    F152,
                    INDIRECT("'" &amp; 'Hulp (overig)'!$C$16 &amp; "'!A1:A1000"),
                    0
                )) *
                IF(
                    G152="",
                    1,
                    (ROW(INDIRECT("'" &amp; 'Hulp (overig)'!$C$16 &amp; "'!B1:B1000")) &lt; MATCH(
                        G152,
                        INDIRECT("'" &amp; 'Hulp (overig)'!$C$16 &amp; "'!A1:A1000"),
                        0
                    ))
                ),
                ROW(INDIRECT("'" &amp; 'Hulp (overig)'!$C$16 &amp; "'!B1:B1000"))
            )
        ),0)
    ))
))))</f>
        <v>#VALUE!</v>
      </c>
      <c r="G155" s="425" t="e" cm="1">
        <f t="array" aca="1" ref="G155" ca="1">IF($BF155, IF(G152="","",
   INDEX(
      INDIRECT("'" &amp; 'Hulp (CAO''s)'!$AE$8 &amp; "'!" &amp;
               'Hulp (overig)'!$C$17 &amp; "1:" &amp;
               'Hulp (overig)'!$C$17 &amp; "1000"),
      MATCH(
         G152,
         INDIRECT("'" &amp; 'Hulp (CAO''s)'!$AE$8 &amp; "'!A1:A1000"),
         0
      )
   )
), IF($D153="Gebruik % van maximum salaris",
IF(
    OR(G152="",G153=""),
    "",
    MAX(
        INDIRECT(
            "'" &amp; 'Hulp (overig)'!$C$16 &amp; "'!" &amp;
            'Hulp (overig)'!$C$17 &amp;
            MATCH(G152, INDIRECT("'" &amp; 'Hulp (overig)'!$C$16 &amp; "'!A1:A1000"), 0) &amp;
            ":" &amp;
            'Hulp (overig)'!$C$17 &amp;
LOOKUP(
    2,
    1 / (
        (ROW(INDIRECT("'" &amp; 'Hulp (overig)'!$C$16 &amp; "'!B1:B1000")) &lt;
            IF(H152&lt;&gt;"",
               MATCH(H152, INDIRECT("'" &amp; 'Hulp (overig)'!$C$16 &amp; "'!A1:A1000"),0),
               1000
            )
        ) *
        (LEFT(TRIM(INDIRECT("'" &amp; 'Hulp (overig)'!$C$16 &amp; "'!B1:B1000")),1) &lt;&gt; "u")
    ),
    ROW(INDIRECT("'" &amp; 'Hulp (overig)'!$C$16 &amp; "'!B1:B1000"))
)
        )
    ) * G153
),
IF(G154="","",
IF(
    IFERROR(MIN(
        IF(
            (TRIM(INDIRECT("'" &amp; 'Hulp (overig)'!$C$16 &amp; "'!B1:B1000")) = TEXT(G154,"0")) *
            (ROW(INDIRECT("'" &amp; 'Hulp (overig)'!$C$16 &amp; "'!B1:B1000")) &gt;= MATCH(
                G152,
                INDIRECT("'" &amp; 'Hulp (overig)'!$C$16 &amp; "'!A1:A1000"),
                0
            )) *
            IF(
                H152="",
                1,
                (ROW(INDIRECT("'" &amp; 'Hulp (overig)'!$C$16 &amp; "'!B1:B1000")) &lt; MATCH(
                    H152,
                    INDIRECT("'" &amp; 'Hulp (overig)'!$C$16 &amp; "'!A1:A1000"),
                    0
                ))
            ),
            ROW(INDIRECT("'" &amp; 'Hulp (overig)'!$C$16 &amp; "'!B1:B1000"))
        )
    ),0) &lt; 1,
    "",
    IF(INDEX(
        INDIRECT("'" &amp; 'Hulp (overig)'!$C$16 &amp; "'!" &amp;
        'Hulp (overig)'!$C$17 &amp; "1:" &amp; 'Hulp (overig)'!$C$17 &amp; 1000
        ),
        IFERROR(MIN(
            IF(
                (TRIM(INDIRECT("'" &amp; 'Hulp (overig)'!$C$16 &amp; "'!B1:B1000")) = TEXT(G154,"0")) *
                (ROW(INDIRECT("'" &amp; 'Hulp (overig)'!$C$16 &amp; "'!B1:B1000")) &gt;= MATCH(
                    G152,
                    INDIRECT("'" &amp; 'Hulp (overig)'!$C$16 &amp; "'!A1:A1000"),
                    0
                )) *
                IF(
                    H152="",
                    1,
                    (ROW(INDIRECT("'" &amp; 'Hulp (overig)'!$C$16 &amp; "'!B1:B1000")) &lt; MATCH(
                        H152,
                        INDIRECT("'" &amp; 'Hulp (overig)'!$C$16 &amp; "'!A1:A1000"),
                        0
                    ))
                ),
                ROW(INDIRECT("'" &amp; 'Hulp (overig)'!$C$16 &amp; "'!B1:B1000"))
            )
        ),0)
    )=0,"",
INDEX(
        INDIRECT("'" &amp; 'Hulp (overig)'!$C$16 &amp; "'!" &amp;
        'Hulp (overig)'!$C$17 &amp; "1:" &amp; 'Hulp (overig)'!$C$17 &amp; 1000
        ),
        IFERROR(MIN(
            IF(
                (TRIM(INDIRECT("'" &amp; 'Hulp (overig)'!$C$16 &amp; "'!B1:B1000")) = TEXT(G154,"0")) *
                (ROW(INDIRECT("'" &amp; 'Hulp (overig)'!$C$16 &amp; "'!B1:B1000")) &gt;= MATCH(
                    G152,
                    INDIRECT("'" &amp; 'Hulp (overig)'!$C$16 &amp; "'!A1:A1000"),
                    0
                )) *
                IF(
                    H152="",
                    1,
                    (ROW(INDIRECT("'" &amp; 'Hulp (overig)'!$C$16 &amp; "'!B1:B1000")) &lt; MATCH(
                        H152,
                        INDIRECT("'" &amp; 'Hulp (overig)'!$C$16 &amp; "'!A1:A1000"),
                        0
                    ))
                ),
                ROW(INDIRECT("'" &amp; 'Hulp (overig)'!$C$16 &amp; "'!B1:B1000"))
            )
        ),0)
    ))
))))</f>
        <v>#VALUE!</v>
      </c>
      <c r="H155" s="425" t="e" cm="1">
        <f t="array" aca="1" ref="H155" ca="1">IF($BF155, IF(H152="","",
   INDEX(
      INDIRECT("'" &amp; 'Hulp (CAO''s)'!$AE$8 &amp; "'!" &amp;
               'Hulp (overig)'!$C$17 &amp; "1:" &amp;
               'Hulp (overig)'!$C$17 &amp; "1000"),
      MATCH(
         H152,
         INDIRECT("'" &amp; 'Hulp (CAO''s)'!$AE$8 &amp; "'!A1:A1000"),
         0
      )
   )
), IF($D153="Gebruik % van maximum salaris",
IF(
    OR(H152="",H153=""),
    "",
    MAX(
        INDIRECT(
            "'" &amp; 'Hulp (overig)'!$C$16 &amp; "'!" &amp;
            'Hulp (overig)'!$C$17 &amp;
            MATCH(H152, INDIRECT("'" &amp; 'Hulp (overig)'!$C$16 &amp; "'!A1:A1000"), 0) &amp;
            ":" &amp;
            'Hulp (overig)'!$C$17 &amp;
LOOKUP(
    2,
    1 / (
        (ROW(INDIRECT("'" &amp; 'Hulp (overig)'!$C$16 &amp; "'!B1:B1000")) &lt;
            IF(I152&lt;&gt;"",
               MATCH(I152, INDIRECT("'" &amp; 'Hulp (overig)'!$C$16 &amp; "'!A1:A1000"),0),
               1000
            )
        ) *
        (LEFT(TRIM(INDIRECT("'" &amp; 'Hulp (overig)'!$C$16 &amp; "'!B1:B1000")),1) &lt;&gt; "u")
    ),
    ROW(INDIRECT("'" &amp; 'Hulp (overig)'!$C$16 &amp; "'!B1:B1000"))
)
        )
    ) * H153
),
IF(H154="","",
IF(
    IFERROR(MIN(
        IF(
            (TRIM(INDIRECT("'" &amp; 'Hulp (overig)'!$C$16 &amp; "'!B1:B1000")) = TEXT(H154,"0")) *
            (ROW(INDIRECT("'" &amp; 'Hulp (overig)'!$C$16 &amp; "'!B1:B1000")) &gt;= MATCH(
                H152,
                INDIRECT("'" &amp; 'Hulp (overig)'!$C$16 &amp; "'!A1:A1000"),
                0
            )) *
            IF(
                I152="",
                1,
                (ROW(INDIRECT("'" &amp; 'Hulp (overig)'!$C$16 &amp; "'!B1:B1000")) &lt; MATCH(
                    I152,
                    INDIRECT("'" &amp; 'Hulp (overig)'!$C$16 &amp; "'!A1:A1000"),
                    0
                ))
            ),
            ROW(INDIRECT("'" &amp; 'Hulp (overig)'!$C$16 &amp; "'!B1:B1000"))
        )
    ),0) &lt; 1,
    "",
    IF(INDEX(
        INDIRECT("'" &amp; 'Hulp (overig)'!$C$16 &amp; "'!" &amp;
        'Hulp (overig)'!$C$17 &amp; "1:" &amp; 'Hulp (overig)'!$C$17 &amp; 1000
        ),
        IFERROR(MIN(
            IF(
                (TRIM(INDIRECT("'" &amp; 'Hulp (overig)'!$C$16 &amp; "'!B1:B1000")) = TEXT(H154,"0")) *
                (ROW(INDIRECT("'" &amp; 'Hulp (overig)'!$C$16 &amp; "'!B1:B1000")) &gt;= MATCH(
                    H152,
                    INDIRECT("'" &amp; 'Hulp (overig)'!$C$16 &amp; "'!A1:A1000"),
                    0
                )) *
                IF(
                    I152="",
                    1,
                    (ROW(INDIRECT("'" &amp; 'Hulp (overig)'!$C$16 &amp; "'!B1:B1000")) &lt; MATCH(
                        I152,
                        INDIRECT("'" &amp; 'Hulp (overig)'!$C$16 &amp; "'!A1:A1000"),
                        0
                    ))
                ),
                ROW(INDIRECT("'" &amp; 'Hulp (overig)'!$C$16 &amp; "'!B1:B1000"))
            )
        ),0)
    )=0,"",
INDEX(
        INDIRECT("'" &amp; 'Hulp (overig)'!$C$16 &amp; "'!" &amp;
        'Hulp (overig)'!$C$17 &amp; "1:" &amp; 'Hulp (overig)'!$C$17 &amp; 1000
        ),
        IFERROR(MIN(
            IF(
                (TRIM(INDIRECT("'" &amp; 'Hulp (overig)'!$C$16 &amp; "'!B1:B1000")) = TEXT(H154,"0")) *
                (ROW(INDIRECT("'" &amp; 'Hulp (overig)'!$C$16 &amp; "'!B1:B1000")) &gt;= MATCH(
                    H152,
                    INDIRECT("'" &amp; 'Hulp (overig)'!$C$16 &amp; "'!A1:A1000"),
                    0
                )) *
                IF(
                    I152="",
                    1,
                    (ROW(INDIRECT("'" &amp; 'Hulp (overig)'!$C$16 &amp; "'!B1:B1000")) &lt; MATCH(
                        I152,
                        INDIRECT("'" &amp; 'Hulp (overig)'!$C$16 &amp; "'!A1:A1000"),
                        0
                    ))
                ),
                ROW(INDIRECT("'" &amp; 'Hulp (overig)'!$C$16 &amp; "'!B1:B1000"))
            )
        ),0)
    ))
))))</f>
        <v>#VALUE!</v>
      </c>
      <c r="I155" s="425" t="e" cm="1">
        <f t="array" aca="1" ref="I155" ca="1">IF($BF155, IF(I152="","",
   INDEX(
      INDIRECT("'" &amp; 'Hulp (CAO''s)'!$AE$8 &amp; "'!" &amp;
               'Hulp (overig)'!$C$17 &amp; "1:" &amp;
               'Hulp (overig)'!$C$17 &amp; "1000"),
      MATCH(
         I152,
         INDIRECT("'" &amp; 'Hulp (CAO''s)'!$AE$8 &amp; "'!A1:A1000"),
         0
      )
   )
), IF($D153="Gebruik % van maximum salaris",
IF(
    OR(I152="",I153=""),
    "",
    MAX(
        INDIRECT(
            "'" &amp; 'Hulp (overig)'!$C$16 &amp; "'!" &amp;
            'Hulp (overig)'!$C$17 &amp;
            MATCH(I152, INDIRECT("'" &amp; 'Hulp (overig)'!$C$16 &amp; "'!A1:A1000"), 0) &amp;
            ":" &amp;
            'Hulp (overig)'!$C$17 &amp;
LOOKUP(
    2,
    1 / (
        (ROW(INDIRECT("'" &amp; 'Hulp (overig)'!$C$16 &amp; "'!B1:B1000")) &lt;
            IF(J152&lt;&gt;"",
               MATCH(J152, INDIRECT("'" &amp; 'Hulp (overig)'!$C$16 &amp; "'!A1:A1000"),0),
               1000
            )
        ) *
        (LEFT(TRIM(INDIRECT("'" &amp; 'Hulp (overig)'!$C$16 &amp; "'!B1:B1000")),1) &lt;&gt; "u")
    ),
    ROW(INDIRECT("'" &amp; 'Hulp (overig)'!$C$16 &amp; "'!B1:B1000"))
)
        )
    ) * I153
),
IF(I154="","",
IF(
    IFERROR(MIN(
        IF(
            (TRIM(INDIRECT("'" &amp; 'Hulp (overig)'!$C$16 &amp; "'!B1:B1000")) = TEXT(I154,"0")) *
            (ROW(INDIRECT("'" &amp; 'Hulp (overig)'!$C$16 &amp; "'!B1:B1000")) &gt;= MATCH(
                I152,
                INDIRECT("'" &amp; 'Hulp (overig)'!$C$16 &amp; "'!A1:A1000"),
                0
            )) *
            IF(
                J152="",
                1,
                (ROW(INDIRECT("'" &amp; 'Hulp (overig)'!$C$16 &amp; "'!B1:B1000")) &lt; MATCH(
                    J152,
                    INDIRECT("'" &amp; 'Hulp (overig)'!$C$16 &amp; "'!A1:A1000"),
                    0
                ))
            ),
            ROW(INDIRECT("'" &amp; 'Hulp (overig)'!$C$16 &amp; "'!B1:B1000"))
        )
    ),0) &lt; 1,
    "",
    IF(INDEX(
        INDIRECT("'" &amp; 'Hulp (overig)'!$C$16 &amp; "'!" &amp;
        'Hulp (overig)'!$C$17 &amp; "1:" &amp; 'Hulp (overig)'!$C$17 &amp; 1000
        ),
        IFERROR(MIN(
            IF(
                (TRIM(INDIRECT("'" &amp; 'Hulp (overig)'!$C$16 &amp; "'!B1:B1000")) = TEXT(I154,"0")) *
                (ROW(INDIRECT("'" &amp; 'Hulp (overig)'!$C$16 &amp; "'!B1:B1000")) &gt;= MATCH(
                    I152,
                    INDIRECT("'" &amp; 'Hulp (overig)'!$C$16 &amp; "'!A1:A1000"),
                    0
                )) *
                IF(
                    J152="",
                    1,
                    (ROW(INDIRECT("'" &amp; 'Hulp (overig)'!$C$16 &amp; "'!B1:B1000")) &lt; MATCH(
                        J152,
                        INDIRECT("'" &amp; 'Hulp (overig)'!$C$16 &amp; "'!A1:A1000"),
                        0
                    ))
                ),
                ROW(INDIRECT("'" &amp; 'Hulp (overig)'!$C$16 &amp; "'!B1:B1000"))
            )
        ),0)
    )=0,"",
INDEX(
        INDIRECT("'" &amp; 'Hulp (overig)'!$C$16 &amp; "'!" &amp;
        'Hulp (overig)'!$C$17 &amp; "1:" &amp; 'Hulp (overig)'!$C$17 &amp; 1000
        ),
        IFERROR(MIN(
            IF(
                (TRIM(INDIRECT("'" &amp; 'Hulp (overig)'!$C$16 &amp; "'!B1:B1000")) = TEXT(I154,"0")) *
                (ROW(INDIRECT("'" &amp; 'Hulp (overig)'!$C$16 &amp; "'!B1:B1000")) &gt;= MATCH(
                    I152,
                    INDIRECT("'" &amp; 'Hulp (overig)'!$C$16 &amp; "'!A1:A1000"),
                    0
                )) *
                IF(
                    J152="",
                    1,
                    (ROW(INDIRECT("'" &amp; 'Hulp (overig)'!$C$16 &amp; "'!B1:B1000")) &lt; MATCH(
                        J152,
                        INDIRECT("'" &amp; 'Hulp (overig)'!$C$16 &amp; "'!A1:A1000"),
                        0
                    ))
                ),
                ROW(INDIRECT("'" &amp; 'Hulp (overig)'!$C$16 &amp; "'!B1:B1000"))
            )
        ),0)
    ))
))))</f>
        <v>#VALUE!</v>
      </c>
      <c r="J155" s="425" t="e" cm="1">
        <f t="array" aca="1" ref="J155" ca="1">IF($BF155, IF(J152="","",
   INDEX(
      INDIRECT("'" &amp; 'Hulp (CAO''s)'!$AE$8 &amp; "'!" &amp;
               'Hulp (overig)'!$C$17 &amp; "1:" &amp;
               'Hulp (overig)'!$C$17 &amp; "1000"),
      MATCH(
         J152,
         INDIRECT("'" &amp; 'Hulp (CAO''s)'!$AE$8 &amp; "'!A1:A1000"),
         0
      )
   )
), IF($D153="Gebruik % van maximum salaris",
IF(
    OR(J152="",J153=""),
    "",
    MAX(
        INDIRECT(
            "'" &amp; 'Hulp (overig)'!$C$16 &amp; "'!" &amp;
            'Hulp (overig)'!$C$17 &amp;
            MATCH(J152, INDIRECT("'" &amp; 'Hulp (overig)'!$C$16 &amp; "'!A1:A1000"), 0) &amp;
            ":" &amp;
            'Hulp (overig)'!$C$17 &amp;
LOOKUP(
    2,
    1 / (
        (ROW(INDIRECT("'" &amp; 'Hulp (overig)'!$C$16 &amp; "'!B1:B1000")) &lt;
            IF(K152&lt;&gt;"",
               MATCH(K152, INDIRECT("'" &amp; 'Hulp (overig)'!$C$16 &amp; "'!A1:A1000"),0),
               1000
            )
        ) *
        (LEFT(TRIM(INDIRECT("'" &amp; 'Hulp (overig)'!$C$16 &amp; "'!B1:B1000")),1) &lt;&gt; "u")
    ),
    ROW(INDIRECT("'" &amp; 'Hulp (overig)'!$C$16 &amp; "'!B1:B1000"))
)
        )
    ) * J153
),
IF(J154="","",
IF(
    IFERROR(MIN(
        IF(
            (TRIM(INDIRECT("'" &amp; 'Hulp (overig)'!$C$16 &amp; "'!B1:B1000")) = TEXT(J154,"0")) *
            (ROW(INDIRECT("'" &amp; 'Hulp (overig)'!$C$16 &amp; "'!B1:B1000")) &gt;= MATCH(
                J152,
                INDIRECT("'" &amp; 'Hulp (overig)'!$C$16 &amp; "'!A1:A1000"),
                0
            )) *
            IF(
                K152="",
                1,
                (ROW(INDIRECT("'" &amp; 'Hulp (overig)'!$C$16 &amp; "'!B1:B1000")) &lt; MATCH(
                    K152,
                    INDIRECT("'" &amp; 'Hulp (overig)'!$C$16 &amp; "'!A1:A1000"),
                    0
                ))
            ),
            ROW(INDIRECT("'" &amp; 'Hulp (overig)'!$C$16 &amp; "'!B1:B1000"))
        )
    ),0) &lt; 1,
    "",
    IF(INDEX(
        INDIRECT("'" &amp; 'Hulp (overig)'!$C$16 &amp; "'!" &amp;
        'Hulp (overig)'!$C$17 &amp; "1:" &amp; 'Hulp (overig)'!$C$17 &amp; 1000
        ),
        IFERROR(MIN(
            IF(
                (TRIM(INDIRECT("'" &amp; 'Hulp (overig)'!$C$16 &amp; "'!B1:B1000")) = TEXT(J154,"0")) *
                (ROW(INDIRECT("'" &amp; 'Hulp (overig)'!$C$16 &amp; "'!B1:B1000")) &gt;= MATCH(
                    J152,
                    INDIRECT("'" &amp; 'Hulp (overig)'!$C$16 &amp; "'!A1:A1000"),
                    0
                )) *
                IF(
                    K152="",
                    1,
                    (ROW(INDIRECT("'" &amp; 'Hulp (overig)'!$C$16 &amp; "'!B1:B1000")) &lt; MATCH(
                        K152,
                        INDIRECT("'" &amp; 'Hulp (overig)'!$C$16 &amp; "'!A1:A1000"),
                        0
                    ))
                ),
                ROW(INDIRECT("'" &amp; 'Hulp (overig)'!$C$16 &amp; "'!B1:B1000"))
            )
        ),0)
    )=0,"",
INDEX(
        INDIRECT("'" &amp; 'Hulp (overig)'!$C$16 &amp; "'!" &amp;
        'Hulp (overig)'!$C$17 &amp; "1:" &amp; 'Hulp (overig)'!$C$17 &amp; 1000
        ),
        IFERROR(MIN(
            IF(
                (TRIM(INDIRECT("'" &amp; 'Hulp (overig)'!$C$16 &amp; "'!B1:B1000")) = TEXT(J154,"0")) *
                (ROW(INDIRECT("'" &amp; 'Hulp (overig)'!$C$16 &amp; "'!B1:B1000")) &gt;= MATCH(
                    J152,
                    INDIRECT("'" &amp; 'Hulp (overig)'!$C$16 &amp; "'!A1:A1000"),
                    0
                )) *
                IF(
                    K152="",
                    1,
                    (ROW(INDIRECT("'" &amp; 'Hulp (overig)'!$C$16 &amp; "'!B1:B1000")) &lt; MATCH(
                        K152,
                        INDIRECT("'" &amp; 'Hulp (overig)'!$C$16 &amp; "'!A1:A1000"),
                        0
                    ))
                ),
                ROW(INDIRECT("'" &amp; 'Hulp (overig)'!$C$16 &amp; "'!B1:B1000"))
            )
        ),0)
    ))
))))</f>
        <v>#VALUE!</v>
      </c>
      <c r="K155" s="425" t="e" cm="1">
        <f t="array" aca="1" ref="K155" ca="1">IF($BF155, IF(K152="","",
   INDEX(
      INDIRECT("'" &amp; 'Hulp (CAO''s)'!$AE$8 &amp; "'!" &amp;
               'Hulp (overig)'!$C$17 &amp; "1:" &amp;
               'Hulp (overig)'!$C$17 &amp; "1000"),
      MATCH(
         K152,
         INDIRECT("'" &amp; 'Hulp (CAO''s)'!$AE$8 &amp; "'!A1:A1000"),
         0
      )
   )
), IF($D153="Gebruik % van maximum salaris",
IF(
    OR(K152="",K153=""),
    "",
    MAX(
        INDIRECT(
            "'" &amp; 'Hulp (overig)'!$C$16 &amp; "'!" &amp;
            'Hulp (overig)'!$C$17 &amp;
            MATCH(K152, INDIRECT("'" &amp; 'Hulp (overig)'!$C$16 &amp; "'!A1:A1000"), 0) &amp;
            ":" &amp;
            'Hulp (overig)'!$C$17 &amp;
LOOKUP(
    2,
    1 / (
        (ROW(INDIRECT("'" &amp; 'Hulp (overig)'!$C$16 &amp; "'!B1:B1000")) &lt;
            IF(L152&lt;&gt;"",
               MATCH(L152, INDIRECT("'" &amp; 'Hulp (overig)'!$C$16 &amp; "'!A1:A1000"),0),
               1000
            )
        ) *
        (LEFT(TRIM(INDIRECT("'" &amp; 'Hulp (overig)'!$C$16 &amp; "'!B1:B1000")),1) &lt;&gt; "u")
    ),
    ROW(INDIRECT("'" &amp; 'Hulp (overig)'!$C$16 &amp; "'!B1:B1000"))
)
        )
    ) * K153
),
IF(K154="","",
IF(
    IFERROR(MIN(
        IF(
            (TRIM(INDIRECT("'" &amp; 'Hulp (overig)'!$C$16 &amp; "'!B1:B1000")) = TEXT(K154,"0")) *
            (ROW(INDIRECT("'" &amp; 'Hulp (overig)'!$C$16 &amp; "'!B1:B1000")) &gt;= MATCH(
                K152,
                INDIRECT("'" &amp; 'Hulp (overig)'!$C$16 &amp; "'!A1:A1000"),
                0
            )) *
            IF(
                L152="",
                1,
                (ROW(INDIRECT("'" &amp; 'Hulp (overig)'!$C$16 &amp; "'!B1:B1000")) &lt; MATCH(
                    L152,
                    INDIRECT("'" &amp; 'Hulp (overig)'!$C$16 &amp; "'!A1:A1000"),
                    0
                ))
            ),
            ROW(INDIRECT("'" &amp; 'Hulp (overig)'!$C$16 &amp; "'!B1:B1000"))
        )
    ),0) &lt; 1,
    "",
    IF(INDEX(
        INDIRECT("'" &amp; 'Hulp (overig)'!$C$16 &amp; "'!" &amp;
        'Hulp (overig)'!$C$17 &amp; "1:" &amp; 'Hulp (overig)'!$C$17 &amp; 1000
        ),
        IFERROR(MIN(
            IF(
                (TRIM(INDIRECT("'" &amp; 'Hulp (overig)'!$C$16 &amp; "'!B1:B1000")) = TEXT(K154,"0")) *
                (ROW(INDIRECT("'" &amp; 'Hulp (overig)'!$C$16 &amp; "'!B1:B1000")) &gt;= MATCH(
                    K152,
                    INDIRECT("'" &amp; 'Hulp (overig)'!$C$16 &amp; "'!A1:A1000"),
                    0
                )) *
                IF(
                    L152="",
                    1,
                    (ROW(INDIRECT("'" &amp; 'Hulp (overig)'!$C$16 &amp; "'!B1:B1000")) &lt; MATCH(
                        L152,
                        INDIRECT("'" &amp; 'Hulp (overig)'!$C$16 &amp; "'!A1:A1000"),
                        0
                    ))
                ),
                ROW(INDIRECT("'" &amp; 'Hulp (overig)'!$C$16 &amp; "'!B1:B1000"))
            )
        ),0)
    )=0,"",
INDEX(
        INDIRECT("'" &amp; 'Hulp (overig)'!$C$16 &amp; "'!" &amp;
        'Hulp (overig)'!$C$17 &amp; "1:" &amp; 'Hulp (overig)'!$C$17 &amp; 1000
        ),
        IFERROR(MIN(
            IF(
                (TRIM(INDIRECT("'" &amp; 'Hulp (overig)'!$C$16 &amp; "'!B1:B1000")) = TEXT(K154,"0")) *
                (ROW(INDIRECT("'" &amp; 'Hulp (overig)'!$C$16 &amp; "'!B1:B1000")) &gt;= MATCH(
                    K152,
                    INDIRECT("'" &amp; 'Hulp (overig)'!$C$16 &amp; "'!A1:A1000"),
                    0
                )) *
                IF(
                    L152="",
                    1,
                    (ROW(INDIRECT("'" &amp; 'Hulp (overig)'!$C$16 &amp; "'!B1:B1000")) &lt; MATCH(
                        L152,
                        INDIRECT("'" &amp; 'Hulp (overig)'!$C$16 &amp; "'!A1:A1000"),
                        0
                    ))
                ),
                ROW(INDIRECT("'" &amp; 'Hulp (overig)'!$C$16 &amp; "'!B1:B1000"))
            )
        ),0)
    ))
))))</f>
        <v>#VALUE!</v>
      </c>
      <c r="L155" s="425" t="e" cm="1">
        <f t="array" aca="1" ref="L155" ca="1">IF($BF155, IF(L152="","",
   INDEX(
      INDIRECT("'" &amp; 'Hulp (CAO''s)'!$AE$8 &amp; "'!" &amp;
               'Hulp (overig)'!$C$17 &amp; "1:" &amp;
               'Hulp (overig)'!$C$17 &amp; "1000"),
      MATCH(
         L152,
         INDIRECT("'" &amp; 'Hulp (CAO''s)'!$AE$8 &amp; "'!A1:A1000"),
         0
      )
   )
), IF($D153="Gebruik % van maximum salaris",
IF(
    OR(L152="",L153=""),
    "",
    MAX(
        INDIRECT(
            "'" &amp; 'Hulp (overig)'!$C$16 &amp; "'!" &amp;
            'Hulp (overig)'!$C$17 &amp;
            MATCH(L152, INDIRECT("'" &amp; 'Hulp (overig)'!$C$16 &amp; "'!A1:A1000"), 0) &amp;
            ":" &amp;
            'Hulp (overig)'!$C$17 &amp;
LOOKUP(
    2,
    1 / (
        (ROW(INDIRECT("'" &amp; 'Hulp (overig)'!$C$16 &amp; "'!B1:B1000")) &lt;
            IF(M152&lt;&gt;"",
               MATCH(M152, INDIRECT("'" &amp; 'Hulp (overig)'!$C$16 &amp; "'!A1:A1000"),0),
               1000
            )
        ) *
        (LEFT(TRIM(INDIRECT("'" &amp; 'Hulp (overig)'!$C$16 &amp; "'!B1:B1000")),1) &lt;&gt; "u")
    ),
    ROW(INDIRECT("'" &amp; 'Hulp (overig)'!$C$16 &amp; "'!B1:B1000"))
)
        )
    ) * L153
),
IF(L154="","",
IF(
    IFERROR(MIN(
        IF(
            (TRIM(INDIRECT("'" &amp; 'Hulp (overig)'!$C$16 &amp; "'!B1:B1000")) = TEXT(L154,"0")) *
            (ROW(INDIRECT("'" &amp; 'Hulp (overig)'!$C$16 &amp; "'!B1:B1000")) &gt;= MATCH(
                L152,
                INDIRECT("'" &amp; 'Hulp (overig)'!$C$16 &amp; "'!A1:A1000"),
                0
            )) *
            IF(
                M152="",
                1,
                (ROW(INDIRECT("'" &amp; 'Hulp (overig)'!$C$16 &amp; "'!B1:B1000")) &lt; MATCH(
                    M152,
                    INDIRECT("'" &amp; 'Hulp (overig)'!$C$16 &amp; "'!A1:A1000"),
                    0
                ))
            ),
            ROW(INDIRECT("'" &amp; 'Hulp (overig)'!$C$16 &amp; "'!B1:B1000"))
        )
    ),0) &lt; 1,
    "",
    IF(INDEX(
        INDIRECT("'" &amp; 'Hulp (overig)'!$C$16 &amp; "'!" &amp;
        'Hulp (overig)'!$C$17 &amp; "1:" &amp; 'Hulp (overig)'!$C$17 &amp; 1000
        ),
        IFERROR(MIN(
            IF(
                (TRIM(INDIRECT("'" &amp; 'Hulp (overig)'!$C$16 &amp; "'!B1:B1000")) = TEXT(L154,"0")) *
                (ROW(INDIRECT("'" &amp; 'Hulp (overig)'!$C$16 &amp; "'!B1:B1000")) &gt;= MATCH(
                    L152,
                    INDIRECT("'" &amp; 'Hulp (overig)'!$C$16 &amp; "'!A1:A1000"),
                    0
                )) *
                IF(
                    M152="",
                    1,
                    (ROW(INDIRECT("'" &amp; 'Hulp (overig)'!$C$16 &amp; "'!B1:B1000")) &lt; MATCH(
                        M152,
                        INDIRECT("'" &amp; 'Hulp (overig)'!$C$16 &amp; "'!A1:A1000"),
                        0
                    ))
                ),
                ROW(INDIRECT("'" &amp; 'Hulp (overig)'!$C$16 &amp; "'!B1:B1000"))
            )
        ),0)
    )=0,"",
INDEX(
        INDIRECT("'" &amp; 'Hulp (overig)'!$C$16 &amp; "'!" &amp;
        'Hulp (overig)'!$C$17 &amp; "1:" &amp; 'Hulp (overig)'!$C$17 &amp; 1000
        ),
        IFERROR(MIN(
            IF(
                (TRIM(INDIRECT("'" &amp; 'Hulp (overig)'!$C$16 &amp; "'!B1:B1000")) = TEXT(L154,"0")) *
                (ROW(INDIRECT("'" &amp; 'Hulp (overig)'!$C$16 &amp; "'!B1:B1000")) &gt;= MATCH(
                    L152,
                    INDIRECT("'" &amp; 'Hulp (overig)'!$C$16 &amp; "'!A1:A1000"),
                    0
                )) *
                IF(
                    M152="",
                    1,
                    (ROW(INDIRECT("'" &amp; 'Hulp (overig)'!$C$16 &amp; "'!B1:B1000")) &lt; MATCH(
                        M152,
                        INDIRECT("'" &amp; 'Hulp (overig)'!$C$16 &amp; "'!A1:A1000"),
                        0
                    ))
                ),
                ROW(INDIRECT("'" &amp; 'Hulp (overig)'!$C$16 &amp; "'!B1:B1000"))
            )
        ),0)
    ))
))))</f>
        <v>#VALUE!</v>
      </c>
      <c r="M155" s="425" t="e" cm="1">
        <f t="array" aca="1" ref="M155" ca="1">IF($BF155, IF(M152="","",
   INDEX(
      INDIRECT("'" &amp; 'Hulp (CAO''s)'!$AE$8 &amp; "'!" &amp;
               'Hulp (overig)'!$C$17 &amp; "1:" &amp;
               'Hulp (overig)'!$C$17 &amp; "1000"),
      MATCH(
         M152,
         INDIRECT("'" &amp; 'Hulp (CAO''s)'!$AE$8 &amp; "'!A1:A1000"),
         0
      )
   )
), IF($D153="Gebruik % van maximum salaris",
IF(
    OR(M152="",M153=""),
    "",
    MAX(
        INDIRECT(
            "'" &amp; 'Hulp (overig)'!$C$16 &amp; "'!" &amp;
            'Hulp (overig)'!$C$17 &amp;
            MATCH(M152, INDIRECT("'" &amp; 'Hulp (overig)'!$C$16 &amp; "'!A1:A1000"), 0) &amp;
            ":" &amp;
            'Hulp (overig)'!$C$17 &amp;
LOOKUP(
    2,
    1 / (
        (ROW(INDIRECT("'" &amp; 'Hulp (overig)'!$C$16 &amp; "'!B1:B1000")) &lt;
            IF(N152&lt;&gt;"",
               MATCH(N152, INDIRECT("'" &amp; 'Hulp (overig)'!$C$16 &amp; "'!A1:A1000"),0),
               1000
            )
        ) *
        (LEFT(TRIM(INDIRECT("'" &amp; 'Hulp (overig)'!$C$16 &amp; "'!B1:B1000")),1) &lt;&gt; "u")
    ),
    ROW(INDIRECT("'" &amp; 'Hulp (overig)'!$C$16 &amp; "'!B1:B1000"))
)
        )
    ) * M153
),
IF(M154="","",
IF(
    IFERROR(MIN(
        IF(
            (TRIM(INDIRECT("'" &amp; 'Hulp (overig)'!$C$16 &amp; "'!B1:B1000")) = TEXT(M154,"0")) *
            (ROW(INDIRECT("'" &amp; 'Hulp (overig)'!$C$16 &amp; "'!B1:B1000")) &gt;= MATCH(
                M152,
                INDIRECT("'" &amp; 'Hulp (overig)'!$C$16 &amp; "'!A1:A1000"),
                0
            )) *
            IF(
                N152="",
                1,
                (ROW(INDIRECT("'" &amp; 'Hulp (overig)'!$C$16 &amp; "'!B1:B1000")) &lt; MATCH(
                    N152,
                    INDIRECT("'" &amp; 'Hulp (overig)'!$C$16 &amp; "'!A1:A1000"),
                    0
                ))
            ),
            ROW(INDIRECT("'" &amp; 'Hulp (overig)'!$C$16 &amp; "'!B1:B1000"))
        )
    ),0) &lt; 1,
    "",
    IF(INDEX(
        INDIRECT("'" &amp; 'Hulp (overig)'!$C$16 &amp; "'!" &amp;
        'Hulp (overig)'!$C$17 &amp; "1:" &amp; 'Hulp (overig)'!$C$17 &amp; 1000
        ),
        IFERROR(MIN(
            IF(
                (TRIM(INDIRECT("'" &amp; 'Hulp (overig)'!$C$16 &amp; "'!B1:B1000")) = TEXT(M154,"0")) *
                (ROW(INDIRECT("'" &amp; 'Hulp (overig)'!$C$16 &amp; "'!B1:B1000")) &gt;= MATCH(
                    M152,
                    INDIRECT("'" &amp; 'Hulp (overig)'!$C$16 &amp; "'!A1:A1000"),
                    0
                )) *
                IF(
                    N152="",
                    1,
                    (ROW(INDIRECT("'" &amp; 'Hulp (overig)'!$C$16 &amp; "'!B1:B1000")) &lt; MATCH(
                        N152,
                        INDIRECT("'" &amp; 'Hulp (overig)'!$C$16 &amp; "'!A1:A1000"),
                        0
                    ))
                ),
                ROW(INDIRECT("'" &amp; 'Hulp (overig)'!$C$16 &amp; "'!B1:B1000"))
            )
        ),0)
    )=0,"",
INDEX(
        INDIRECT("'" &amp; 'Hulp (overig)'!$C$16 &amp; "'!" &amp;
        'Hulp (overig)'!$C$17 &amp; "1:" &amp; 'Hulp (overig)'!$C$17 &amp; 1000
        ),
        IFERROR(MIN(
            IF(
                (TRIM(INDIRECT("'" &amp; 'Hulp (overig)'!$C$16 &amp; "'!B1:B1000")) = TEXT(M154,"0")) *
                (ROW(INDIRECT("'" &amp; 'Hulp (overig)'!$C$16 &amp; "'!B1:B1000")) &gt;= MATCH(
                    M152,
                    INDIRECT("'" &amp; 'Hulp (overig)'!$C$16 &amp; "'!A1:A1000"),
                    0
                )) *
                IF(
                    N152="",
                    1,
                    (ROW(INDIRECT("'" &amp; 'Hulp (overig)'!$C$16 &amp; "'!B1:B1000")) &lt; MATCH(
                        N152,
                        INDIRECT("'" &amp; 'Hulp (overig)'!$C$16 &amp; "'!A1:A1000"),
                        0
                    ))
                ),
                ROW(INDIRECT("'" &amp; 'Hulp (overig)'!$C$16 &amp; "'!B1:B1000"))
            )
        ),0)
    ))
))))</f>
        <v>#VALUE!</v>
      </c>
      <c r="N155" s="425" t="e" cm="1">
        <f t="array" aca="1" ref="N155" ca="1">IF($BF155, IF(N152="","",
   INDEX(
      INDIRECT("'" &amp; 'Hulp (CAO''s)'!$AE$8 &amp; "'!" &amp;
               'Hulp (overig)'!$C$17 &amp; "1:" &amp;
               'Hulp (overig)'!$C$17 &amp; "1000"),
      MATCH(
         N152,
         INDIRECT("'" &amp; 'Hulp (CAO''s)'!$AE$8 &amp; "'!A1:A1000"),
         0
      )
   )
), IF($D153="Gebruik % van maximum salaris",
IF(
    OR(N152="",N153=""),
    "",
    MAX(
        INDIRECT(
            "'" &amp; 'Hulp (overig)'!$C$16 &amp; "'!" &amp;
            'Hulp (overig)'!$C$17 &amp;
            MATCH(N152, INDIRECT("'" &amp; 'Hulp (overig)'!$C$16 &amp; "'!A1:A1000"), 0) &amp;
            ":" &amp;
            'Hulp (overig)'!$C$17 &amp;
LOOKUP(
    2,
    1 / (
        (ROW(INDIRECT("'" &amp; 'Hulp (overig)'!$C$16 &amp; "'!B1:B1000")) &lt;
            IF(O152&lt;&gt;"",
               MATCH(O152, INDIRECT("'" &amp; 'Hulp (overig)'!$C$16 &amp; "'!A1:A1000"),0),
               1000
            )
        ) *
        (LEFT(TRIM(INDIRECT("'" &amp; 'Hulp (overig)'!$C$16 &amp; "'!B1:B1000")),1) &lt;&gt; "u")
    ),
    ROW(INDIRECT("'" &amp; 'Hulp (overig)'!$C$16 &amp; "'!B1:B1000"))
)
        )
    ) * N153
),
IF(N154="","",
IF(
    IFERROR(MIN(
        IF(
            (TRIM(INDIRECT("'" &amp; 'Hulp (overig)'!$C$16 &amp; "'!B1:B1000")) = TEXT(N154,"0")) *
            (ROW(INDIRECT("'" &amp; 'Hulp (overig)'!$C$16 &amp; "'!B1:B1000")) &gt;= MATCH(
                N152,
                INDIRECT("'" &amp; 'Hulp (overig)'!$C$16 &amp; "'!A1:A1000"),
                0
            )) *
            IF(
                O152="",
                1,
                (ROW(INDIRECT("'" &amp; 'Hulp (overig)'!$C$16 &amp; "'!B1:B1000")) &lt; MATCH(
                    O152,
                    INDIRECT("'" &amp; 'Hulp (overig)'!$C$16 &amp; "'!A1:A1000"),
                    0
                ))
            ),
            ROW(INDIRECT("'" &amp; 'Hulp (overig)'!$C$16 &amp; "'!B1:B1000"))
        )
    ),0) &lt; 1,
    "",
    IF(INDEX(
        INDIRECT("'" &amp; 'Hulp (overig)'!$C$16 &amp; "'!" &amp;
        'Hulp (overig)'!$C$17 &amp; "1:" &amp; 'Hulp (overig)'!$C$17 &amp; 1000
        ),
        IFERROR(MIN(
            IF(
                (TRIM(INDIRECT("'" &amp; 'Hulp (overig)'!$C$16 &amp; "'!B1:B1000")) = TEXT(N154,"0")) *
                (ROW(INDIRECT("'" &amp; 'Hulp (overig)'!$C$16 &amp; "'!B1:B1000")) &gt;= MATCH(
                    N152,
                    INDIRECT("'" &amp; 'Hulp (overig)'!$C$16 &amp; "'!A1:A1000"),
                    0
                )) *
                IF(
                    O152="",
                    1,
                    (ROW(INDIRECT("'" &amp; 'Hulp (overig)'!$C$16 &amp; "'!B1:B1000")) &lt; MATCH(
                        O152,
                        INDIRECT("'" &amp; 'Hulp (overig)'!$C$16 &amp; "'!A1:A1000"),
                        0
                    ))
                ),
                ROW(INDIRECT("'" &amp; 'Hulp (overig)'!$C$16 &amp; "'!B1:B1000"))
            )
        ),0)
    )=0,"",
INDEX(
        INDIRECT("'" &amp; 'Hulp (overig)'!$C$16 &amp; "'!" &amp;
        'Hulp (overig)'!$C$17 &amp; "1:" &amp; 'Hulp (overig)'!$C$17 &amp; 1000
        ),
        IFERROR(MIN(
            IF(
                (TRIM(INDIRECT("'" &amp; 'Hulp (overig)'!$C$16 &amp; "'!B1:B1000")) = TEXT(N154,"0")) *
                (ROW(INDIRECT("'" &amp; 'Hulp (overig)'!$C$16 &amp; "'!B1:B1000")) &gt;= MATCH(
                    N152,
                    INDIRECT("'" &amp; 'Hulp (overig)'!$C$16 &amp; "'!A1:A1000"),
                    0
                )) *
                IF(
                    O152="",
                    1,
                    (ROW(INDIRECT("'" &amp; 'Hulp (overig)'!$C$16 &amp; "'!B1:B1000")) &lt; MATCH(
                        O152,
                        INDIRECT("'" &amp; 'Hulp (overig)'!$C$16 &amp; "'!A1:A1000"),
                        0
                    ))
                ),
                ROW(INDIRECT("'" &amp; 'Hulp (overig)'!$C$16 &amp; "'!B1:B1000"))
            )
        ),0)
    ))
))))</f>
        <v>#VALUE!</v>
      </c>
      <c r="O155" s="425" t="e" cm="1">
        <f t="array" aca="1" ref="O155" ca="1">IF($BF155, IF(O152="","",
   INDEX(
      INDIRECT("'" &amp; 'Hulp (CAO''s)'!$AE$8 &amp; "'!" &amp;
               'Hulp (overig)'!$C$17 &amp; "1:" &amp;
               'Hulp (overig)'!$C$17 &amp; "1000"),
      MATCH(
         O152,
         INDIRECT("'" &amp; 'Hulp (CAO''s)'!$AE$8 &amp; "'!A1:A1000"),
         0
      )
   )
), IF($D153="Gebruik % van maximum salaris",
IF(
    OR(O152="",O153=""),
    "",
    MAX(
        INDIRECT(
            "'" &amp; 'Hulp (overig)'!$C$16 &amp; "'!" &amp;
            'Hulp (overig)'!$C$17 &amp;
            MATCH(O152, INDIRECT("'" &amp; 'Hulp (overig)'!$C$16 &amp; "'!A1:A1000"), 0) &amp;
            ":" &amp;
            'Hulp (overig)'!$C$17 &amp;
LOOKUP(
    2,
    1 / (
        (ROW(INDIRECT("'" &amp; 'Hulp (overig)'!$C$16 &amp; "'!B1:B1000")) &lt;
            IF(P152&lt;&gt;"",
               MATCH(P152, INDIRECT("'" &amp; 'Hulp (overig)'!$C$16 &amp; "'!A1:A1000"),0),
               1000
            )
        ) *
        (LEFT(TRIM(INDIRECT("'" &amp; 'Hulp (overig)'!$C$16 &amp; "'!B1:B1000")),1) &lt;&gt; "u")
    ),
    ROW(INDIRECT("'" &amp; 'Hulp (overig)'!$C$16 &amp; "'!B1:B1000"))
)
        )
    ) * O153
),
IF(O154="","",
IF(
    IFERROR(MIN(
        IF(
            (TRIM(INDIRECT("'" &amp; 'Hulp (overig)'!$C$16 &amp; "'!B1:B1000")) = TEXT(O154,"0")) *
            (ROW(INDIRECT("'" &amp; 'Hulp (overig)'!$C$16 &amp; "'!B1:B1000")) &gt;= MATCH(
                O152,
                INDIRECT("'" &amp; 'Hulp (overig)'!$C$16 &amp; "'!A1:A1000"),
                0
            )) *
            IF(
                P152="",
                1,
                (ROW(INDIRECT("'" &amp; 'Hulp (overig)'!$C$16 &amp; "'!B1:B1000")) &lt; MATCH(
                    P152,
                    INDIRECT("'" &amp; 'Hulp (overig)'!$C$16 &amp; "'!A1:A1000"),
                    0
                ))
            ),
            ROW(INDIRECT("'" &amp; 'Hulp (overig)'!$C$16 &amp; "'!B1:B1000"))
        )
    ),0) &lt; 1,
    "",
    IF(INDEX(
        INDIRECT("'" &amp; 'Hulp (overig)'!$C$16 &amp; "'!" &amp;
        'Hulp (overig)'!$C$17 &amp; "1:" &amp; 'Hulp (overig)'!$C$17 &amp; 1000
        ),
        IFERROR(MIN(
            IF(
                (TRIM(INDIRECT("'" &amp; 'Hulp (overig)'!$C$16 &amp; "'!B1:B1000")) = TEXT(O154,"0")) *
                (ROW(INDIRECT("'" &amp; 'Hulp (overig)'!$C$16 &amp; "'!B1:B1000")) &gt;= MATCH(
                    O152,
                    INDIRECT("'" &amp; 'Hulp (overig)'!$C$16 &amp; "'!A1:A1000"),
                    0
                )) *
                IF(
                    P152="",
                    1,
                    (ROW(INDIRECT("'" &amp; 'Hulp (overig)'!$C$16 &amp; "'!B1:B1000")) &lt; MATCH(
                        P152,
                        INDIRECT("'" &amp; 'Hulp (overig)'!$C$16 &amp; "'!A1:A1000"),
                        0
                    ))
                ),
                ROW(INDIRECT("'" &amp; 'Hulp (overig)'!$C$16 &amp; "'!B1:B1000"))
            )
        ),0)
    )=0,"",
INDEX(
        INDIRECT("'" &amp; 'Hulp (overig)'!$C$16 &amp; "'!" &amp;
        'Hulp (overig)'!$C$17 &amp; "1:" &amp; 'Hulp (overig)'!$C$17 &amp; 1000
        ),
        IFERROR(MIN(
            IF(
                (TRIM(INDIRECT("'" &amp; 'Hulp (overig)'!$C$16 &amp; "'!B1:B1000")) = TEXT(O154,"0")) *
                (ROW(INDIRECT("'" &amp; 'Hulp (overig)'!$C$16 &amp; "'!B1:B1000")) &gt;= MATCH(
                    O152,
                    INDIRECT("'" &amp; 'Hulp (overig)'!$C$16 &amp; "'!A1:A1000"),
                    0
                )) *
                IF(
                    P152="",
                    1,
                    (ROW(INDIRECT("'" &amp; 'Hulp (overig)'!$C$16 &amp; "'!B1:B1000")) &lt; MATCH(
                        P152,
                        INDIRECT("'" &amp; 'Hulp (overig)'!$C$16 &amp; "'!A1:A1000"),
                        0
                    ))
                ),
                ROW(INDIRECT("'" &amp; 'Hulp (overig)'!$C$16 &amp; "'!B1:B1000"))
            )
        ),0)
    ))
))))</f>
        <v>#VALUE!</v>
      </c>
      <c r="P155" s="425" t="e" cm="1">
        <f t="array" aca="1" ref="P155" ca="1">IF($BF155, IF(P152="","",
   INDEX(
      INDIRECT("'" &amp; 'Hulp (CAO''s)'!$AE$8 &amp; "'!" &amp;
               'Hulp (overig)'!$C$17 &amp; "1:" &amp;
               'Hulp (overig)'!$C$17 &amp; "1000"),
      MATCH(
         P152,
         INDIRECT("'" &amp; 'Hulp (CAO''s)'!$AE$8 &amp; "'!A1:A1000"),
         0
      )
   )
), IF($D153="Gebruik % van maximum salaris",
IF(
    OR(P152="",P153=""),
    "",
    MAX(
        INDIRECT(
            "'" &amp; 'Hulp (overig)'!$C$16 &amp; "'!" &amp;
            'Hulp (overig)'!$C$17 &amp;
            MATCH(P152, INDIRECT("'" &amp; 'Hulp (overig)'!$C$16 &amp; "'!A1:A1000"), 0) &amp;
            ":" &amp;
            'Hulp (overig)'!$C$17 &amp;
LOOKUP(
    2,
    1 / (
        (ROW(INDIRECT("'" &amp; 'Hulp (overig)'!$C$16 &amp; "'!B1:B1000")) &lt;
            IF(Q152&lt;&gt;"",
               MATCH(Q152, INDIRECT("'" &amp; 'Hulp (overig)'!$C$16 &amp; "'!A1:A1000"),0),
               1000
            )
        ) *
        (LEFT(TRIM(INDIRECT("'" &amp; 'Hulp (overig)'!$C$16 &amp; "'!B1:B1000")),1) &lt;&gt; "u")
    ),
    ROW(INDIRECT("'" &amp; 'Hulp (overig)'!$C$16 &amp; "'!B1:B1000"))
)
        )
    ) * P153
),
IF(P154="","",
IF(
    IFERROR(MIN(
        IF(
            (TRIM(INDIRECT("'" &amp; 'Hulp (overig)'!$C$16 &amp; "'!B1:B1000")) = TEXT(P154,"0")) *
            (ROW(INDIRECT("'" &amp; 'Hulp (overig)'!$C$16 &amp; "'!B1:B1000")) &gt;= MATCH(
                P152,
                INDIRECT("'" &amp; 'Hulp (overig)'!$C$16 &amp; "'!A1:A1000"),
                0
            )) *
            IF(
                Q152="",
                1,
                (ROW(INDIRECT("'" &amp; 'Hulp (overig)'!$C$16 &amp; "'!B1:B1000")) &lt; MATCH(
                    Q152,
                    INDIRECT("'" &amp; 'Hulp (overig)'!$C$16 &amp; "'!A1:A1000"),
                    0
                ))
            ),
            ROW(INDIRECT("'" &amp; 'Hulp (overig)'!$C$16 &amp; "'!B1:B1000"))
        )
    ),0) &lt; 1,
    "",
    IF(INDEX(
        INDIRECT("'" &amp; 'Hulp (overig)'!$C$16 &amp; "'!" &amp;
        'Hulp (overig)'!$C$17 &amp; "1:" &amp; 'Hulp (overig)'!$C$17 &amp; 1000
        ),
        IFERROR(MIN(
            IF(
                (TRIM(INDIRECT("'" &amp; 'Hulp (overig)'!$C$16 &amp; "'!B1:B1000")) = TEXT(P154,"0")) *
                (ROW(INDIRECT("'" &amp; 'Hulp (overig)'!$C$16 &amp; "'!B1:B1000")) &gt;= MATCH(
                    P152,
                    INDIRECT("'" &amp; 'Hulp (overig)'!$C$16 &amp; "'!A1:A1000"),
                    0
                )) *
                IF(
                    Q152="",
                    1,
                    (ROW(INDIRECT("'" &amp; 'Hulp (overig)'!$C$16 &amp; "'!B1:B1000")) &lt; MATCH(
                        Q152,
                        INDIRECT("'" &amp; 'Hulp (overig)'!$C$16 &amp; "'!A1:A1000"),
                        0
                    ))
                ),
                ROW(INDIRECT("'" &amp; 'Hulp (overig)'!$C$16 &amp; "'!B1:B1000"))
            )
        ),0)
    )=0,"",
INDEX(
        INDIRECT("'" &amp; 'Hulp (overig)'!$C$16 &amp; "'!" &amp;
        'Hulp (overig)'!$C$17 &amp; "1:" &amp; 'Hulp (overig)'!$C$17 &amp; 1000
        ),
        IFERROR(MIN(
            IF(
                (TRIM(INDIRECT("'" &amp; 'Hulp (overig)'!$C$16 &amp; "'!B1:B1000")) = TEXT(P154,"0")) *
                (ROW(INDIRECT("'" &amp; 'Hulp (overig)'!$C$16 &amp; "'!B1:B1000")) &gt;= MATCH(
                    P152,
                    INDIRECT("'" &amp; 'Hulp (overig)'!$C$16 &amp; "'!A1:A1000"),
                    0
                )) *
                IF(
                    Q152="",
                    1,
                    (ROW(INDIRECT("'" &amp; 'Hulp (overig)'!$C$16 &amp; "'!B1:B1000")) &lt; MATCH(
                        Q152,
                        INDIRECT("'" &amp; 'Hulp (overig)'!$C$16 &amp; "'!A1:A1000"),
                        0
                    ))
                ),
                ROW(INDIRECT("'" &amp; 'Hulp (overig)'!$C$16 &amp; "'!B1:B1000"))
            )
        ),0)
    ))
))))</f>
        <v>#VALUE!</v>
      </c>
      <c r="Q155" s="425" t="e" cm="1">
        <f t="array" aca="1" ref="Q155" ca="1">IF($BF155, IF(Q152="","",
   INDEX(
      INDIRECT("'" &amp; 'Hulp (CAO''s)'!$AE$8 &amp; "'!" &amp;
               'Hulp (overig)'!$C$17 &amp; "1:" &amp;
               'Hulp (overig)'!$C$17 &amp; "1000"),
      MATCH(
         Q152,
         INDIRECT("'" &amp; 'Hulp (CAO''s)'!$AE$8 &amp; "'!A1:A1000"),
         0
      )
   )
), IF($D153="Gebruik % van maximum salaris",
IF(
    OR(Q152="",Q153=""),
    "",
    MAX(
        INDIRECT(
            "'" &amp; 'Hulp (overig)'!$C$16 &amp; "'!" &amp;
            'Hulp (overig)'!$C$17 &amp;
            MATCH(Q152, INDIRECT("'" &amp; 'Hulp (overig)'!$C$16 &amp; "'!A1:A1000"), 0) &amp;
            ":" &amp;
            'Hulp (overig)'!$C$17 &amp;
LOOKUP(
    2,
    1 / (
        (ROW(INDIRECT("'" &amp; 'Hulp (overig)'!$C$16 &amp; "'!B1:B1000")) &lt;
            IF(R152&lt;&gt;"",
               MATCH(R152, INDIRECT("'" &amp; 'Hulp (overig)'!$C$16 &amp; "'!A1:A1000"),0),
               1000
            )
        ) *
        (LEFT(TRIM(INDIRECT("'" &amp; 'Hulp (overig)'!$C$16 &amp; "'!B1:B1000")),1) &lt;&gt; "u")
    ),
    ROW(INDIRECT("'" &amp; 'Hulp (overig)'!$C$16 &amp; "'!B1:B1000"))
)
        )
    ) * Q153
),
IF(Q154="","",
IF(
    IFERROR(MIN(
        IF(
            (TRIM(INDIRECT("'" &amp; 'Hulp (overig)'!$C$16 &amp; "'!B1:B1000")) = TEXT(Q154,"0")) *
            (ROW(INDIRECT("'" &amp; 'Hulp (overig)'!$C$16 &amp; "'!B1:B1000")) &gt;= MATCH(
                Q152,
                INDIRECT("'" &amp; 'Hulp (overig)'!$C$16 &amp; "'!A1:A1000"),
                0
            )) *
            IF(
                R152="",
                1,
                (ROW(INDIRECT("'" &amp; 'Hulp (overig)'!$C$16 &amp; "'!B1:B1000")) &lt; MATCH(
                    R152,
                    INDIRECT("'" &amp; 'Hulp (overig)'!$C$16 &amp; "'!A1:A1000"),
                    0
                ))
            ),
            ROW(INDIRECT("'" &amp; 'Hulp (overig)'!$C$16 &amp; "'!B1:B1000"))
        )
    ),0) &lt; 1,
    "",
    IF(INDEX(
        INDIRECT("'" &amp; 'Hulp (overig)'!$C$16 &amp; "'!" &amp;
        'Hulp (overig)'!$C$17 &amp; "1:" &amp; 'Hulp (overig)'!$C$17 &amp; 1000
        ),
        IFERROR(MIN(
            IF(
                (TRIM(INDIRECT("'" &amp; 'Hulp (overig)'!$C$16 &amp; "'!B1:B1000")) = TEXT(Q154,"0")) *
                (ROW(INDIRECT("'" &amp; 'Hulp (overig)'!$C$16 &amp; "'!B1:B1000")) &gt;= MATCH(
                    Q152,
                    INDIRECT("'" &amp; 'Hulp (overig)'!$C$16 &amp; "'!A1:A1000"),
                    0
                )) *
                IF(
                    R152="",
                    1,
                    (ROW(INDIRECT("'" &amp; 'Hulp (overig)'!$C$16 &amp; "'!B1:B1000")) &lt; MATCH(
                        R152,
                        INDIRECT("'" &amp; 'Hulp (overig)'!$C$16 &amp; "'!A1:A1000"),
                        0
                    ))
                ),
                ROW(INDIRECT("'" &amp; 'Hulp (overig)'!$C$16 &amp; "'!B1:B1000"))
            )
        ),0)
    )=0,"",
INDEX(
        INDIRECT("'" &amp; 'Hulp (overig)'!$C$16 &amp; "'!" &amp;
        'Hulp (overig)'!$C$17 &amp; "1:" &amp; 'Hulp (overig)'!$C$17 &amp; 1000
        ),
        IFERROR(MIN(
            IF(
                (TRIM(INDIRECT("'" &amp; 'Hulp (overig)'!$C$16 &amp; "'!B1:B1000")) = TEXT(Q154,"0")) *
                (ROW(INDIRECT("'" &amp; 'Hulp (overig)'!$C$16 &amp; "'!B1:B1000")) &gt;= MATCH(
                    Q152,
                    INDIRECT("'" &amp; 'Hulp (overig)'!$C$16 &amp; "'!A1:A1000"),
                    0
                )) *
                IF(
                    R152="",
                    1,
                    (ROW(INDIRECT("'" &amp; 'Hulp (overig)'!$C$16 &amp; "'!B1:B1000")) &lt; MATCH(
                        R152,
                        INDIRECT("'" &amp; 'Hulp (overig)'!$C$16 &amp; "'!A1:A1000"),
                        0
                    ))
                ),
                ROW(INDIRECT("'" &amp; 'Hulp (overig)'!$C$16 &amp; "'!B1:B1000"))
            )
        ),0)
    ))
))))</f>
        <v>#VALUE!</v>
      </c>
      <c r="R155" s="425" t="e" cm="1">
        <f t="array" aca="1" ref="R155" ca="1">IF($BF155, IF(R152="","",
   INDEX(
      INDIRECT("'" &amp; 'Hulp (CAO''s)'!$AE$8 &amp; "'!" &amp;
               'Hulp (overig)'!$C$17 &amp; "1:" &amp;
               'Hulp (overig)'!$C$17 &amp; "1000"),
      MATCH(
         R152,
         INDIRECT("'" &amp; 'Hulp (CAO''s)'!$AE$8 &amp; "'!A1:A1000"),
         0
      )
   )
), IF($D153="Gebruik % van maximum salaris",
IF(
    OR(R152="",R153=""),
    "",
    MAX(
        INDIRECT(
            "'" &amp; 'Hulp (overig)'!$C$16 &amp; "'!" &amp;
            'Hulp (overig)'!$C$17 &amp;
            MATCH(R152, INDIRECT("'" &amp; 'Hulp (overig)'!$C$16 &amp; "'!A1:A1000"), 0) &amp;
            ":" &amp;
            'Hulp (overig)'!$C$17 &amp;
LOOKUP(
    2,
    1 / (
        (ROW(INDIRECT("'" &amp; 'Hulp (overig)'!$C$16 &amp; "'!B1:B1000")) &lt;
            IF(S152&lt;&gt;"",
               MATCH(S152, INDIRECT("'" &amp; 'Hulp (overig)'!$C$16 &amp; "'!A1:A1000"),0),
               1000
            )
        ) *
        (LEFT(TRIM(INDIRECT("'" &amp; 'Hulp (overig)'!$C$16 &amp; "'!B1:B1000")),1) &lt;&gt; "u")
    ),
    ROW(INDIRECT("'" &amp; 'Hulp (overig)'!$C$16 &amp; "'!B1:B1000"))
)
        )
    ) * R153
),
IF(R154="","",
IF(
    IFERROR(MIN(
        IF(
            (TRIM(INDIRECT("'" &amp; 'Hulp (overig)'!$C$16 &amp; "'!B1:B1000")) = TEXT(R154,"0")) *
            (ROW(INDIRECT("'" &amp; 'Hulp (overig)'!$C$16 &amp; "'!B1:B1000")) &gt;= MATCH(
                R152,
                INDIRECT("'" &amp; 'Hulp (overig)'!$C$16 &amp; "'!A1:A1000"),
                0
            )) *
            IF(
                S152="",
                1,
                (ROW(INDIRECT("'" &amp; 'Hulp (overig)'!$C$16 &amp; "'!B1:B1000")) &lt; MATCH(
                    S152,
                    INDIRECT("'" &amp; 'Hulp (overig)'!$C$16 &amp; "'!A1:A1000"),
                    0
                ))
            ),
            ROW(INDIRECT("'" &amp; 'Hulp (overig)'!$C$16 &amp; "'!B1:B1000"))
        )
    ),0) &lt; 1,
    "",
    IF(INDEX(
        INDIRECT("'" &amp; 'Hulp (overig)'!$C$16 &amp; "'!" &amp;
        'Hulp (overig)'!$C$17 &amp; "1:" &amp; 'Hulp (overig)'!$C$17 &amp; 1000
        ),
        IFERROR(MIN(
            IF(
                (TRIM(INDIRECT("'" &amp; 'Hulp (overig)'!$C$16 &amp; "'!B1:B1000")) = TEXT(R154,"0")) *
                (ROW(INDIRECT("'" &amp; 'Hulp (overig)'!$C$16 &amp; "'!B1:B1000")) &gt;= MATCH(
                    R152,
                    INDIRECT("'" &amp; 'Hulp (overig)'!$C$16 &amp; "'!A1:A1000"),
                    0
                )) *
                IF(
                    S152="",
                    1,
                    (ROW(INDIRECT("'" &amp; 'Hulp (overig)'!$C$16 &amp; "'!B1:B1000")) &lt; MATCH(
                        S152,
                        INDIRECT("'" &amp; 'Hulp (overig)'!$C$16 &amp; "'!A1:A1000"),
                        0
                    ))
                ),
                ROW(INDIRECT("'" &amp; 'Hulp (overig)'!$C$16 &amp; "'!B1:B1000"))
            )
        ),0)
    )=0,"",
INDEX(
        INDIRECT("'" &amp; 'Hulp (overig)'!$C$16 &amp; "'!" &amp;
        'Hulp (overig)'!$C$17 &amp; "1:" &amp; 'Hulp (overig)'!$C$17 &amp; 1000
        ),
        IFERROR(MIN(
            IF(
                (TRIM(INDIRECT("'" &amp; 'Hulp (overig)'!$C$16 &amp; "'!B1:B1000")) = TEXT(R154,"0")) *
                (ROW(INDIRECT("'" &amp; 'Hulp (overig)'!$C$16 &amp; "'!B1:B1000")) &gt;= MATCH(
                    R152,
                    INDIRECT("'" &amp; 'Hulp (overig)'!$C$16 &amp; "'!A1:A1000"),
                    0
                )) *
                IF(
                    S152="",
                    1,
                    (ROW(INDIRECT("'" &amp; 'Hulp (overig)'!$C$16 &amp; "'!B1:B1000")) &lt; MATCH(
                        S152,
                        INDIRECT("'" &amp; 'Hulp (overig)'!$C$16 &amp; "'!A1:A1000"),
                        0
                    ))
                ),
                ROW(INDIRECT("'" &amp; 'Hulp (overig)'!$C$16 &amp; "'!B1:B1000"))
            )
        ),0)
    ))
))))</f>
        <v>#VALUE!</v>
      </c>
      <c r="S155" s="425" t="e" cm="1">
        <f t="array" aca="1" ref="S155" ca="1">IF($BF155, IF(S152="","",
   INDEX(
      INDIRECT("'" &amp; 'Hulp (CAO''s)'!$AE$8 &amp; "'!" &amp;
               'Hulp (overig)'!$C$17 &amp; "1:" &amp;
               'Hulp (overig)'!$C$17 &amp; "1000"),
      MATCH(
         S152,
         INDIRECT("'" &amp; 'Hulp (CAO''s)'!$AE$8 &amp; "'!A1:A1000"),
         0
      )
   )
), IF($D153="Gebruik % van maximum salaris",
IF(
    OR(S152="",S153=""),
    "",
    MAX(
        INDIRECT(
            "'" &amp; 'Hulp (overig)'!$C$16 &amp; "'!" &amp;
            'Hulp (overig)'!$C$17 &amp;
            MATCH(S152, INDIRECT("'" &amp; 'Hulp (overig)'!$C$16 &amp; "'!A1:A1000"), 0) &amp;
            ":" &amp;
            'Hulp (overig)'!$C$17 &amp;
LOOKUP(
    2,
    1 / (
        (ROW(INDIRECT("'" &amp; 'Hulp (overig)'!$C$16 &amp; "'!B1:B1000")) &lt;
            IF(T152&lt;&gt;"",
               MATCH(T152, INDIRECT("'" &amp; 'Hulp (overig)'!$C$16 &amp; "'!A1:A1000"),0),
               1000
            )
        ) *
        (LEFT(TRIM(INDIRECT("'" &amp; 'Hulp (overig)'!$C$16 &amp; "'!B1:B1000")),1) &lt;&gt; "u")
    ),
    ROW(INDIRECT("'" &amp; 'Hulp (overig)'!$C$16 &amp; "'!B1:B1000"))
)
        )
    ) * S153
),
IF(S154="","",
IF(
    IFERROR(MIN(
        IF(
            (TRIM(INDIRECT("'" &amp; 'Hulp (overig)'!$C$16 &amp; "'!B1:B1000")) = TEXT(S154,"0")) *
            (ROW(INDIRECT("'" &amp; 'Hulp (overig)'!$C$16 &amp; "'!B1:B1000")) &gt;= MATCH(
                S152,
                INDIRECT("'" &amp; 'Hulp (overig)'!$C$16 &amp; "'!A1:A1000"),
                0
            )) *
            IF(
                T152="",
                1,
                (ROW(INDIRECT("'" &amp; 'Hulp (overig)'!$C$16 &amp; "'!B1:B1000")) &lt; MATCH(
                    T152,
                    INDIRECT("'" &amp; 'Hulp (overig)'!$C$16 &amp; "'!A1:A1000"),
                    0
                ))
            ),
            ROW(INDIRECT("'" &amp; 'Hulp (overig)'!$C$16 &amp; "'!B1:B1000"))
        )
    ),0) &lt; 1,
    "",
    IF(INDEX(
        INDIRECT("'" &amp; 'Hulp (overig)'!$C$16 &amp; "'!" &amp;
        'Hulp (overig)'!$C$17 &amp; "1:" &amp; 'Hulp (overig)'!$C$17 &amp; 1000
        ),
        IFERROR(MIN(
            IF(
                (TRIM(INDIRECT("'" &amp; 'Hulp (overig)'!$C$16 &amp; "'!B1:B1000")) = TEXT(S154,"0")) *
                (ROW(INDIRECT("'" &amp; 'Hulp (overig)'!$C$16 &amp; "'!B1:B1000")) &gt;= MATCH(
                    S152,
                    INDIRECT("'" &amp; 'Hulp (overig)'!$C$16 &amp; "'!A1:A1000"),
                    0
                )) *
                IF(
                    T152="",
                    1,
                    (ROW(INDIRECT("'" &amp; 'Hulp (overig)'!$C$16 &amp; "'!B1:B1000")) &lt; MATCH(
                        T152,
                        INDIRECT("'" &amp; 'Hulp (overig)'!$C$16 &amp; "'!A1:A1000"),
                        0
                    ))
                ),
                ROW(INDIRECT("'" &amp; 'Hulp (overig)'!$C$16 &amp; "'!B1:B1000"))
            )
        ),0)
    )=0,"",
INDEX(
        INDIRECT("'" &amp; 'Hulp (overig)'!$C$16 &amp; "'!" &amp;
        'Hulp (overig)'!$C$17 &amp; "1:" &amp; 'Hulp (overig)'!$C$17 &amp; 1000
        ),
        IFERROR(MIN(
            IF(
                (TRIM(INDIRECT("'" &amp; 'Hulp (overig)'!$C$16 &amp; "'!B1:B1000")) = TEXT(S154,"0")) *
                (ROW(INDIRECT("'" &amp; 'Hulp (overig)'!$C$16 &amp; "'!B1:B1000")) &gt;= MATCH(
                    S152,
                    INDIRECT("'" &amp; 'Hulp (overig)'!$C$16 &amp; "'!A1:A1000"),
                    0
                )) *
                IF(
                    T152="",
                    1,
                    (ROW(INDIRECT("'" &amp; 'Hulp (overig)'!$C$16 &amp; "'!B1:B1000")) &lt; MATCH(
                        T152,
                        INDIRECT("'" &amp; 'Hulp (overig)'!$C$16 &amp; "'!A1:A1000"),
                        0
                    ))
                ),
                ROW(INDIRECT("'" &amp; 'Hulp (overig)'!$C$16 &amp; "'!B1:B1000"))
            )
        ),0)
    ))
))))</f>
        <v>#VALUE!</v>
      </c>
      <c r="T155" s="425" t="e" cm="1">
        <f t="array" aca="1" ref="T155" ca="1">IF($BF155, IF(T152="","",
   INDEX(
      INDIRECT("'" &amp; 'Hulp (CAO''s)'!$AE$8 &amp; "'!" &amp;
               'Hulp (overig)'!$C$17 &amp; "1:" &amp;
               'Hulp (overig)'!$C$17 &amp; "1000"),
      MATCH(
         T152,
         INDIRECT("'" &amp; 'Hulp (CAO''s)'!$AE$8 &amp; "'!A1:A1000"),
         0
      )
   )
), IF($D153="Gebruik % van maximum salaris",
IF(
    OR(T152="",T153=""),
    "",
    MAX(
        INDIRECT(
            "'" &amp; 'Hulp (overig)'!$C$16 &amp; "'!" &amp;
            'Hulp (overig)'!$C$17 &amp;
            MATCH(T152, INDIRECT("'" &amp; 'Hulp (overig)'!$C$16 &amp; "'!A1:A1000"), 0) &amp;
            ":" &amp;
            'Hulp (overig)'!$C$17 &amp;
LOOKUP(
    2,
    1 / (
        (ROW(INDIRECT("'" &amp; 'Hulp (overig)'!$C$16 &amp; "'!B1:B1000")) &lt;
            IF(U152&lt;&gt;"",
               MATCH(U152, INDIRECT("'" &amp; 'Hulp (overig)'!$C$16 &amp; "'!A1:A1000"),0),
               1000
            )
        ) *
        (LEFT(TRIM(INDIRECT("'" &amp; 'Hulp (overig)'!$C$16 &amp; "'!B1:B1000")),1) &lt;&gt; "u")
    ),
    ROW(INDIRECT("'" &amp; 'Hulp (overig)'!$C$16 &amp; "'!B1:B1000"))
)
        )
    ) * T153
),
IF(T154="","",
IF(
    IFERROR(MIN(
        IF(
            (TRIM(INDIRECT("'" &amp; 'Hulp (overig)'!$C$16 &amp; "'!B1:B1000")) = TEXT(T154,"0")) *
            (ROW(INDIRECT("'" &amp; 'Hulp (overig)'!$C$16 &amp; "'!B1:B1000")) &gt;= MATCH(
                T152,
                INDIRECT("'" &amp; 'Hulp (overig)'!$C$16 &amp; "'!A1:A1000"),
                0
            )) *
            IF(
                U152="",
                1,
                (ROW(INDIRECT("'" &amp; 'Hulp (overig)'!$C$16 &amp; "'!B1:B1000")) &lt; MATCH(
                    U152,
                    INDIRECT("'" &amp; 'Hulp (overig)'!$C$16 &amp; "'!A1:A1000"),
                    0
                ))
            ),
            ROW(INDIRECT("'" &amp; 'Hulp (overig)'!$C$16 &amp; "'!B1:B1000"))
        )
    ),0) &lt; 1,
    "",
    IF(INDEX(
        INDIRECT("'" &amp; 'Hulp (overig)'!$C$16 &amp; "'!" &amp;
        'Hulp (overig)'!$C$17 &amp; "1:" &amp; 'Hulp (overig)'!$C$17 &amp; 1000
        ),
        IFERROR(MIN(
            IF(
                (TRIM(INDIRECT("'" &amp; 'Hulp (overig)'!$C$16 &amp; "'!B1:B1000")) = TEXT(T154,"0")) *
                (ROW(INDIRECT("'" &amp; 'Hulp (overig)'!$C$16 &amp; "'!B1:B1000")) &gt;= MATCH(
                    T152,
                    INDIRECT("'" &amp; 'Hulp (overig)'!$C$16 &amp; "'!A1:A1000"),
                    0
                )) *
                IF(
                    U152="",
                    1,
                    (ROW(INDIRECT("'" &amp; 'Hulp (overig)'!$C$16 &amp; "'!B1:B1000")) &lt; MATCH(
                        U152,
                        INDIRECT("'" &amp; 'Hulp (overig)'!$C$16 &amp; "'!A1:A1000"),
                        0
                    ))
                ),
                ROW(INDIRECT("'" &amp; 'Hulp (overig)'!$C$16 &amp; "'!B1:B1000"))
            )
        ),0)
    )=0,"",
INDEX(
        INDIRECT("'" &amp; 'Hulp (overig)'!$C$16 &amp; "'!" &amp;
        'Hulp (overig)'!$C$17 &amp; "1:" &amp; 'Hulp (overig)'!$C$17 &amp; 1000
        ),
        IFERROR(MIN(
            IF(
                (TRIM(INDIRECT("'" &amp; 'Hulp (overig)'!$C$16 &amp; "'!B1:B1000")) = TEXT(T154,"0")) *
                (ROW(INDIRECT("'" &amp; 'Hulp (overig)'!$C$16 &amp; "'!B1:B1000")) &gt;= MATCH(
                    T152,
                    INDIRECT("'" &amp; 'Hulp (overig)'!$C$16 &amp; "'!A1:A1000"),
                    0
                )) *
                IF(
                    U152="",
                    1,
                    (ROW(INDIRECT("'" &amp; 'Hulp (overig)'!$C$16 &amp; "'!B1:B1000")) &lt; MATCH(
                        U152,
                        INDIRECT("'" &amp; 'Hulp (overig)'!$C$16 &amp; "'!A1:A1000"),
                        0
                    ))
                ),
                ROW(INDIRECT("'" &amp; 'Hulp (overig)'!$C$16 &amp; "'!B1:B1000"))
            )
        ),0)
    ))
))))</f>
        <v>#VALUE!</v>
      </c>
      <c r="U155" s="723" t="e" cm="1">
        <f t="array" aca="1" ref="U155" ca="1">IF($BF155, IF(U152="","",
   INDEX(
      INDIRECT("'" &amp; 'Hulp (CAO''s)'!$AE$8 &amp; "'!" &amp;
               'Hulp (overig)'!$C$17 &amp; "1:" &amp;
               'Hulp (overig)'!$C$17 &amp; "1000"),
      MATCH(
         U152,
         INDIRECT("'" &amp; 'Hulp (CAO''s)'!$AE$8 &amp; "'!A1:A1000"),
         0
      )
   )
), IF($D153="Gebruik % van maximum salaris",
IF(
    OR(U152="",U153=""),
    "",
    MAX(
        INDIRECT(
            "'" &amp; 'Hulp (overig)'!$C$16 &amp; "'!" &amp;
            'Hulp (overig)'!$C$17 &amp;
            MATCH(U152, INDIRECT("'" &amp; 'Hulp (overig)'!$C$16 &amp; "'!A1:A1000"), 0) &amp;
            ":" &amp;
            'Hulp (overig)'!$C$17 &amp;
LOOKUP(
    2,
    1 / (
        (ROW(INDIRECT("'" &amp; 'Hulp (overig)'!$C$16 &amp; "'!B1:B1000")) &lt;
            IF(V152&lt;&gt;"",
               MATCH(V152, INDIRECT("'" &amp; 'Hulp (overig)'!$C$16 &amp; "'!A1:A1000"),0),
               1000
            )
        ) *
        (LEFT(TRIM(INDIRECT("'" &amp; 'Hulp (overig)'!$C$16 &amp; "'!B1:B1000")),1) &lt;&gt; "u")
    ),
    ROW(INDIRECT("'" &amp; 'Hulp (overig)'!$C$16 &amp; "'!B1:B1000"))
)
        )
    ) * U153
),
IF(U154="","",
IF(
    IFERROR(MIN(
        IF(
            (TRIM(INDIRECT("'" &amp; 'Hulp (overig)'!$C$16 &amp; "'!B1:B1000")) = TEXT(U154,"0")) *
            (ROW(INDIRECT("'" &amp; 'Hulp (overig)'!$C$16 &amp; "'!B1:B1000")) &gt;= MATCH(
                U152,
                INDIRECT("'" &amp; 'Hulp (overig)'!$C$16 &amp; "'!A1:A1000"),
                0
            )) *
            IF(
                V152="",
                1,
                (ROW(INDIRECT("'" &amp; 'Hulp (overig)'!$C$16 &amp; "'!B1:B1000")) &lt; MATCH(
                    V152,
                    INDIRECT("'" &amp; 'Hulp (overig)'!$C$16 &amp; "'!A1:A1000"),
                    0
                ))
            ),
            ROW(INDIRECT("'" &amp; 'Hulp (overig)'!$C$16 &amp; "'!B1:B1000"))
        )
    ),0) &lt; 1,
    "",
    IF(INDEX(
        INDIRECT("'" &amp; 'Hulp (overig)'!$C$16 &amp; "'!" &amp;
        'Hulp (overig)'!$C$17 &amp; "1:" &amp; 'Hulp (overig)'!$C$17 &amp; 1000
        ),
        IFERROR(MIN(
            IF(
                (TRIM(INDIRECT("'" &amp; 'Hulp (overig)'!$C$16 &amp; "'!B1:B1000")) = TEXT(U154,"0")) *
                (ROW(INDIRECT("'" &amp; 'Hulp (overig)'!$C$16 &amp; "'!B1:B1000")) &gt;= MATCH(
                    U152,
                    INDIRECT("'" &amp; 'Hulp (overig)'!$C$16 &amp; "'!A1:A1000"),
                    0
                )) *
                IF(
                    V152="",
                    1,
                    (ROW(INDIRECT("'" &amp; 'Hulp (overig)'!$C$16 &amp; "'!B1:B1000")) &lt; MATCH(
                        V152,
                        INDIRECT("'" &amp; 'Hulp (overig)'!$C$16 &amp; "'!A1:A1000"),
                        0
                    ))
                ),
                ROW(INDIRECT("'" &amp; 'Hulp (overig)'!$C$16 &amp; "'!B1:B1000"))
            )
        ),0)
    )=0,"",
INDEX(
        INDIRECT("'" &amp; 'Hulp (overig)'!$C$16 &amp; "'!" &amp;
        'Hulp (overig)'!$C$17 &amp; "1:" &amp; 'Hulp (overig)'!$C$17 &amp; 1000
        ),
        IFERROR(MIN(
            IF(
                (TRIM(INDIRECT("'" &amp; 'Hulp (overig)'!$C$16 &amp; "'!B1:B1000")) = TEXT(U154,"0")) *
                (ROW(INDIRECT("'" &amp; 'Hulp (overig)'!$C$16 &amp; "'!B1:B1000")) &gt;= MATCH(
                    U152,
                    INDIRECT("'" &amp; 'Hulp (overig)'!$C$16 &amp; "'!A1:A1000"),
                    0
                )) *
                IF(
                    V152="",
                    1,
                    (ROW(INDIRECT("'" &amp; 'Hulp (overig)'!$C$16 &amp; "'!B1:B1000")) &lt; MATCH(
                        V152,
                        INDIRECT("'" &amp; 'Hulp (overig)'!$C$16 &amp; "'!A1:A1000"),
                        0
                    ))
                ),
                ROW(INDIRECT("'" &amp; 'Hulp (overig)'!$C$16 &amp; "'!B1:B1000"))
            )
        ),0)
    ))
))))</f>
        <v>#VALUE!</v>
      </c>
      <c r="V155" s="413" t="str" cm="1">
        <f t="array" ref="V155">IF(SUM(F156:U156)=0,"",
IF(SUM(F155:U155)=0,"",
IF(SUMPRODUCT((F156:U156&lt;&gt;0)*(F155:U155=""))&gt;0,"",
(
   SUMPRODUCT(
      IF(F155:U155="",0,F155:U155),
      IF(F156:U156="",0,F156:U156) / SUM(F156:U156)
   )
))))</f>
        <v/>
      </c>
      <c r="W155" s="418"/>
      <c r="X155" s="620"/>
      <c r="Y155" s="419" t="str">
        <f ca="1">IF(B152="","",
        IF(INDIRECT("'Hulp (control forms)'!C" &amp; (13 + INT((ROW()-ROW($B$5))/7))),
            IF(X155="","",X155),
            IF(V155="","",V155)
    )
)</f>
        <v/>
      </c>
      <c r="Z155" s="333"/>
      <c r="AA155" s="771"/>
      <c r="AB155" s="770"/>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cm="1">
        <f t="array" aca="1" ref="BA155" ca="1">IF(
   SUM(Y155)=0,
   1,
   IF(
      N(INDIRECT("'Hulp (control forms)'!C"&amp;(13+INT((ROW()-ROW($B$5))/7))))&lt;&gt;0,
      MIN(1,
      ('Hulp (overig)'!$C$6/12) /
      (Y155 * BC155 + BD155)),
      MIN(1,
         IF(
            SUM(F155:U155)=0,
            "",
            SUMPRODUCT(
               IF(
                  (IF(F155:U155="",0,F155:U155) * BC155) + BD155
                  &gt; 'Hulp (overig)'!$C$6/12,
                  'Hulp (overig)'!$C$6/12,
                  (IF(F155:U155="",0,F155:U155) * BC155) + BD155
               ),
               IF(F156:U156="",0,F156:U156) / SUM(F156:U156)
            )
         ) /
         ((Y155 * BC155) + BD155)
      )
   )
)</f>
        <v>1</v>
      </c>
      <c r="BB155" cm="1">
        <f t="array" aca="1" ref="BB155" ca="1">IF(
   SUM(Y155)=0,
   1,
   IF(
      N(INDIRECT("'Hulp (control forms)'!C"&amp;(13+INT((ROW()-ROW($B$5))/7))))&lt;&gt;0,
      MIN('Hulp (overig)'!$C$5/12,
      (Y155 * BC155) + BD155) * 12,
         IF(
            SUM(F155:U155)=0,
            "",
            SUMPRODUCT(
               IF(
                  (IF(F155:U155="",0,F155:U155) * BC155) + BD155
                  &gt; 'Hulp (overig)'!$C$5/12,
                  'Hulp (overig)'!$C$5/12,
                  (IF(F155:U155="",0,F155:U155) * BC155) + BD155
               ),
               IF(F156:U156="",0,F156:U156) / SUM(F156:U156)
            )
         ) * 12
   )
)</f>
        <v>1</v>
      </c>
      <c r="BC155" s="287" cm="1">
        <f t="array" aca="1" ref="BC155" ca="1">IFERROR(
   (INDEX('2. Output kostprijs'!$24:$24, 5 + 2*INT((ROW()-8)/7))
    - SUM(INDEX('2. Output kostprijs'!$23:$23, 5 + 2*INT((ROW()-8)/7))))
   / INDEX('2. Output kostprijs'!$19:$19, 5 + 2*INT((ROW()-8)/7)),
   1
)</f>
        <v>1</v>
      </c>
      <c r="BD155" s="287" cm="1">
        <f t="array" aca="1" ref="BD155" ca="1">IFERROR(
   (INDEX('2. Output kostprijs'!$23:$23, 5 + 2*INT((ROW()-8)/7))
    * INDEX('2. Output kostprijs'!$18:$18, 5 + 2*INT((ROW()-8)/7))
   ) / 12,
   0
)</f>
        <v>0</v>
      </c>
      <c r="BE155" t="b">
        <f ca="1">NOT(AND(B152&lt;&gt;"",Y155=""))</f>
        <v>1</v>
      </c>
      <c r="BF155" t="str" cm="1">
        <f t="array" aca="1" ref="BF155" ca="1">INDIRECT("'1a. Input organisatieniveau'!$AD" &amp; 7 + INT((ROW()-ROW($F$8))/7))</f>
        <v/>
      </c>
      <c r="BG155" t="b" cm="1">
        <f t="array" ref="BG155">IFERROR(INDEX('Hulp (control forms)'!C:C, 13 + INT((ROW(A148)-1)/7)),FALSE)</f>
        <v>0</v>
      </c>
    </row>
    <row r="156" spans="1:59" ht="16.05" customHeight="1" thickBot="1" x14ac:dyDescent="0.5">
      <c r="A156" s="289"/>
      <c r="B156" s="343"/>
      <c r="C156" s="325" t="s">
        <v>779</v>
      </c>
      <c r="D156" s="688" t="s">
        <v>60</v>
      </c>
      <c r="E156" s="433" t="s">
        <v>59</v>
      </c>
      <c r="F156" s="624"/>
      <c r="G156" s="624"/>
      <c r="H156" s="624"/>
      <c r="I156" s="624"/>
      <c r="J156" s="624"/>
      <c r="K156" s="624"/>
      <c r="L156" s="624"/>
      <c r="M156" s="624"/>
      <c r="N156" s="624"/>
      <c r="O156" s="624"/>
      <c r="P156" s="624"/>
      <c r="Q156" s="624"/>
      <c r="R156" s="624"/>
      <c r="S156" s="624"/>
      <c r="T156" s="624"/>
      <c r="U156" s="625"/>
      <c r="V156" s="420" t="str">
        <f ca="1">IF($B152="","",IF($D156="Aandeel in %",
   "Totaal: "&amp;SUM(F156:U156)*100&amp;"%",
   "Totaal: "&amp;SUM(F156:U156)&amp;" uur"
))</f>
        <v/>
      </c>
      <c r="W156" s="294"/>
      <c r="X156" s="621"/>
      <c r="Y156" s="328"/>
      <c r="Z156" s="32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row>
    <row r="157" spans="1:59" ht="16.05" customHeight="1" thickBot="1" x14ac:dyDescent="0.5">
      <c r="A157" s="289"/>
      <c r="B157" s="343"/>
      <c r="C157" s="326" t="s">
        <v>779</v>
      </c>
      <c r="D157" s="421"/>
      <c r="E157" s="426"/>
      <c r="F157" s="426"/>
      <c r="G157" s="426"/>
      <c r="H157" s="426"/>
      <c r="I157" s="426"/>
      <c r="J157" s="426"/>
      <c r="K157" s="426"/>
      <c r="L157" s="426"/>
      <c r="M157" s="426"/>
      <c r="N157" s="426"/>
      <c r="O157" s="426"/>
      <c r="P157" s="426"/>
      <c r="Q157" s="426"/>
      <c r="R157" s="426"/>
      <c r="S157" s="426"/>
      <c r="T157" s="427"/>
      <c r="U157" s="427"/>
      <c r="V157" s="421"/>
      <c r="W157" s="421"/>
      <c r="X157" s="622"/>
      <c r="Y157" s="421"/>
      <c r="Z157" s="327"/>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row>
    <row r="158" spans="1:59" ht="16.05" customHeight="1" thickBot="1" x14ac:dyDescent="0.55000000000000004">
      <c r="A158" s="289"/>
      <c r="B158" s="585" t="str">
        <f ca="1">IF(B159="","",
IF(
   OR(
      INDIRECT("'1a. Input organisatieniveau'!AC" &amp; (7 + INT((ROW()-4)/7)))="",
      INDIRECT("'1a. Input organisatieniveau'!AC" &amp; (7 + INT((ROW()-4)/7)))=0
   ),
   "",
   INDIRECT("'1a. Input organisatieniveau'!AC" &amp; (7 + INT((ROW()-4)/7)))
))</f>
        <v/>
      </c>
      <c r="C158" s="324" t="s">
        <v>779</v>
      </c>
      <c r="D158" s="416"/>
      <c r="E158" s="428"/>
      <c r="F158" s="422" t="str">
        <f t="shared" ref="F158:U158" ca="1" si="22">IF($B159="","",
IF($D160="Gebruik % van maximum salaris",
 IF(OR(AND(AND(F159&lt;&gt;"",F160&lt;&gt;""),F162=""),AND(F162="",F163&lt;&gt;"")),"!",""),
 IF(OR(AND(AND(F159&lt;&gt;"",F161&lt;&gt;""),F162=""),AND(F162="",F163&lt;&gt;"")),"!","")))</f>
        <v/>
      </c>
      <c r="G158" s="422" t="str">
        <f t="shared" ca="1" si="22"/>
        <v/>
      </c>
      <c r="H158" s="422" t="str">
        <f t="shared" ca="1" si="22"/>
        <v/>
      </c>
      <c r="I158" s="422" t="str">
        <f t="shared" ca="1" si="22"/>
        <v/>
      </c>
      <c r="J158" s="422" t="str">
        <f t="shared" ca="1" si="22"/>
        <v/>
      </c>
      <c r="K158" s="422" t="str">
        <f t="shared" ca="1" si="22"/>
        <v/>
      </c>
      <c r="L158" s="422" t="str">
        <f t="shared" ca="1" si="22"/>
        <v/>
      </c>
      <c r="M158" s="422" t="str">
        <f t="shared" ca="1" si="22"/>
        <v/>
      </c>
      <c r="N158" s="422" t="str">
        <f t="shared" ca="1" si="22"/>
        <v/>
      </c>
      <c r="O158" s="422" t="str">
        <f t="shared" ca="1" si="22"/>
        <v/>
      </c>
      <c r="P158" s="422" t="str">
        <f t="shared" ca="1" si="22"/>
        <v/>
      </c>
      <c r="Q158" s="422" t="str">
        <f t="shared" ca="1" si="22"/>
        <v/>
      </c>
      <c r="R158" s="422" t="str">
        <f t="shared" ca="1" si="22"/>
        <v/>
      </c>
      <c r="S158" s="422" t="str">
        <f t="shared" ca="1" si="22"/>
        <v/>
      </c>
      <c r="T158" s="422" t="str">
        <f t="shared" ca="1" si="22"/>
        <v/>
      </c>
      <c r="U158" s="422" t="str">
        <f t="shared" ca="1" si="22"/>
        <v/>
      </c>
      <c r="V158" s="416"/>
      <c r="W158" s="416"/>
      <c r="X158" s="619"/>
      <c r="Y158" s="416"/>
      <c r="Z158" s="330"/>
      <c r="AA158" s="354"/>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row>
    <row r="159" spans="1:59" ht="16.05" customHeight="1" thickBot="1" x14ac:dyDescent="0.5">
      <c r="A159" s="289"/>
      <c r="B159" s="586" t="str">
        <f ca="1">IF(
   OR(
      INDIRECT("'1a. Input organisatieniveau'!AA" &amp; (7 + INT((ROW()-4)/7)))="",
      INDIRECT("'1a. Input organisatieniveau'!AA" &amp; (7 + INT((ROW()-4)/7)))=0
   ),
   "",
   INDIRECT("'1a. Input organisatieniveau'!AA" &amp; (7 + INT((ROW()-4)/7)))
)</f>
        <v/>
      </c>
      <c r="C159" s="325" t="s">
        <v>779</v>
      </c>
      <c r="D159" s="434"/>
      <c r="E159" s="429" t="s">
        <v>28</v>
      </c>
      <c r="F159" s="423" t="str">
        <f ca="1">IF($B159="", "", IF($BF162, IF('Hulp (CAO''s)'!J$8&lt;&gt;"",'Hulp (CAO''s)'!J$8,""), INDEX('Hulp (CAO''s)'!J$3:J$7, MATCH(TRUE, 'Hulp (CAO''s)'!$D$3:$D$7, 0))))</f>
        <v/>
      </c>
      <c r="G159" s="423" t="str">
        <f ca="1">IF($B159="", "", IF($BF162, IF('Hulp (CAO''s)'!K$8&lt;&gt;"",'Hulp (CAO''s)'!K$8,""), INDEX('Hulp (CAO''s)'!K$3:K$7, MATCH(TRUE, 'Hulp (CAO''s)'!$D$3:$D$7, 0))))</f>
        <v/>
      </c>
      <c r="H159" s="423" t="str">
        <f ca="1">IF($B159="", "", IF($BF162, IF('Hulp (CAO''s)'!L$8&lt;&gt;"",'Hulp (CAO''s)'!L$8,""), INDEX('Hulp (CAO''s)'!L$3:L$7, MATCH(TRUE, 'Hulp (CAO''s)'!$D$3:$D$7, 0))))</f>
        <v/>
      </c>
      <c r="I159" s="423" t="str">
        <f ca="1">IF($B159="", "", IF($BF162, IF('Hulp (CAO''s)'!M$8&lt;&gt;"",'Hulp (CAO''s)'!M$8,""), INDEX('Hulp (CAO''s)'!M$3:M$7, MATCH(TRUE, 'Hulp (CAO''s)'!$D$3:$D$7, 0))))</f>
        <v/>
      </c>
      <c r="J159" s="423" t="str">
        <f ca="1">IF($B159="", "", IF($BF162, IF('Hulp (CAO''s)'!N$8&lt;&gt;"",'Hulp (CAO''s)'!N$8,""), INDEX('Hulp (CAO''s)'!N$3:N$7, MATCH(TRUE, 'Hulp (CAO''s)'!$D$3:$D$7, 0))))</f>
        <v/>
      </c>
      <c r="K159" s="423" t="str">
        <f ca="1">IF($B159="", "", IF($BF162, IF('Hulp (CAO''s)'!O$8&lt;&gt;"",'Hulp (CAO''s)'!O$8,""), INDEX('Hulp (CAO''s)'!O$3:O$7, MATCH(TRUE, 'Hulp (CAO''s)'!$D$3:$D$7, 0))))</f>
        <v/>
      </c>
      <c r="L159" s="423" t="str">
        <f ca="1">IF($B159="", "", IF($BF162, IF('Hulp (CAO''s)'!P$8&lt;&gt;"",'Hulp (CAO''s)'!P$8,""), INDEX('Hulp (CAO''s)'!P$3:P$7, MATCH(TRUE, 'Hulp (CAO''s)'!$D$3:$D$7, 0))))</f>
        <v/>
      </c>
      <c r="M159" s="423" t="str">
        <f ca="1">IF($B159="", "", IF($BF162, IF('Hulp (CAO''s)'!Q$8&lt;&gt;"",'Hulp (CAO''s)'!Q$8,""), INDEX('Hulp (CAO''s)'!Q$3:Q$7, MATCH(TRUE, 'Hulp (CAO''s)'!$D$3:$D$7, 0))))</f>
        <v/>
      </c>
      <c r="N159" s="423" t="str">
        <f ca="1">IF($B159="", "", IF($BF162, IF('Hulp (CAO''s)'!R$8&lt;&gt;"",'Hulp (CAO''s)'!R$8,""), INDEX('Hulp (CAO''s)'!R$3:R$7, MATCH(TRUE, 'Hulp (CAO''s)'!$D$3:$D$7, 0))))</f>
        <v/>
      </c>
      <c r="O159" s="423" t="str">
        <f ca="1">IF($B159="", "", IF($BF162, IF('Hulp (CAO''s)'!S$8&lt;&gt;"",'Hulp (CAO''s)'!S$8,""), INDEX('Hulp (CAO''s)'!S$3:S$7, MATCH(TRUE, 'Hulp (CAO''s)'!$D$3:$D$7, 0))))</f>
        <v/>
      </c>
      <c r="P159" s="423" t="str">
        <f ca="1">IF($B159="", "", IF($BF162, IF('Hulp (CAO''s)'!T$8&lt;&gt;"",'Hulp (CAO''s)'!T$8,""), INDEX('Hulp (CAO''s)'!T$3:T$7, MATCH(TRUE, 'Hulp (CAO''s)'!$D$3:$D$7, 0))))</f>
        <v/>
      </c>
      <c r="Q159" s="423" t="str">
        <f ca="1">IF($B159="", "", IF($BF162, IF('Hulp (CAO''s)'!U$8&lt;&gt;"",'Hulp (CAO''s)'!U$8,""), INDEX('Hulp (CAO''s)'!U$3:U$7, MATCH(TRUE, 'Hulp (CAO''s)'!$D$3:$D$7, 0))))</f>
        <v/>
      </c>
      <c r="R159" s="423" t="str">
        <f ca="1">IF($B159="", "", IF($BF162, IF('Hulp (CAO''s)'!V$8&lt;&gt;"",'Hulp (CAO''s)'!V$8,""), INDEX('Hulp (CAO''s)'!V$3:V$7, MATCH(TRUE, 'Hulp (CAO''s)'!$D$3:$D$7, 0))))</f>
        <v/>
      </c>
      <c r="S159" s="423" t="str">
        <f ca="1">IF($B159="", "", IF($BF162, IF('Hulp (CAO''s)'!W$8&lt;&gt;"",'Hulp (CAO''s)'!W$8,""), INDEX('Hulp (CAO''s)'!W$3:W$7, MATCH(TRUE, 'Hulp (CAO''s)'!$D$3:$D$7, 0))))</f>
        <v/>
      </c>
      <c r="T159" s="423" t="str">
        <f ca="1">IF($B159="", "", IF($BF162, IF('Hulp (CAO''s)'!X$8&lt;&gt;"",'Hulp (CAO''s)'!X$8,""), INDEX('Hulp (CAO''s)'!X$3:X$7, MATCH(TRUE, 'Hulp (CAO''s)'!$D$3:$D$7, 0))))</f>
        <v/>
      </c>
      <c r="U159" s="424" t="str">
        <f ca="1">IF($B159="", "", IF($BF162, IF('Hulp (CAO''s)'!Y$8&lt;&gt;"",'Hulp (CAO''s)'!Y$8,""), INDEX('Hulp (CAO''s)'!Y$3:Y$7, MATCH(TRUE, 'Hulp (CAO''s)'!$D$3:$D$7, 0))))</f>
        <v/>
      </c>
      <c r="V159" s="417"/>
      <c r="W159" s="343"/>
      <c r="X159" s="617"/>
      <c r="Y159" s="343"/>
      <c r="Z159" s="329"/>
      <c r="AA159" s="320"/>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row>
    <row r="160" spans="1:59" ht="16.05" customHeight="1" x14ac:dyDescent="0.45">
      <c r="A160" s="289"/>
      <c r="B160" s="343"/>
      <c r="C160" s="325" t="s">
        <v>779</v>
      </c>
      <c r="D160" s="772" t="s">
        <v>772</v>
      </c>
      <c r="E160" s="430" t="e">
        <f ca="1">IF($BF162, "", "% t.o.v. max salaris in de schaal")</f>
        <v>#VALUE!</v>
      </c>
      <c r="F160" s="615"/>
      <c r="G160" s="615"/>
      <c r="H160" s="615"/>
      <c r="I160" s="615"/>
      <c r="J160" s="615"/>
      <c r="K160" s="615"/>
      <c r="L160" s="615"/>
      <c r="M160" s="615"/>
      <c r="N160" s="615"/>
      <c r="O160" s="615"/>
      <c r="P160" s="615"/>
      <c r="Q160" s="615"/>
      <c r="R160" s="615"/>
      <c r="S160" s="615"/>
      <c r="T160" s="615"/>
      <c r="U160" s="616"/>
      <c r="V160" s="774" t="s">
        <v>884</v>
      </c>
      <c r="W160" s="332"/>
      <c r="X160" s="776" t="s">
        <v>882</v>
      </c>
      <c r="Y160" s="778" t="s">
        <v>883</v>
      </c>
      <c r="Z160" s="329"/>
      <c r="AA160" s="771" t="s">
        <v>780</v>
      </c>
      <c r="AB160" s="770" t="s">
        <v>1079</v>
      </c>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row>
    <row r="161" spans="1:59" ht="16.05" customHeight="1" thickBot="1" x14ac:dyDescent="0.5">
      <c r="A161" s="289"/>
      <c r="B161" s="343"/>
      <c r="C161" s="325" t="s">
        <v>779</v>
      </c>
      <c r="D161" s="773"/>
      <c r="E161" s="431" t="e">
        <f ca="1">IF($BF162, "", "Trede (gemiddeld)")</f>
        <v>#VALUE!</v>
      </c>
      <c r="F161" s="737"/>
      <c r="G161" s="737"/>
      <c r="H161" s="737"/>
      <c r="I161" s="737"/>
      <c r="J161" s="737"/>
      <c r="K161" s="737"/>
      <c r="L161" s="737"/>
      <c r="M161" s="737"/>
      <c r="N161" s="737"/>
      <c r="O161" s="737"/>
      <c r="P161" s="737"/>
      <c r="Q161" s="737"/>
      <c r="R161" s="737"/>
      <c r="S161" s="737"/>
      <c r="T161" s="737"/>
      <c r="U161" s="740"/>
      <c r="V161" s="775"/>
      <c r="W161" s="294"/>
      <c r="X161" s="777"/>
      <c r="Y161" s="779"/>
      <c r="Z161" s="329"/>
      <c r="AA161" s="771"/>
      <c r="AB161" s="770"/>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row>
    <row r="162" spans="1:59" ht="16.05" customHeight="1" thickBot="1" x14ac:dyDescent="0.5">
      <c r="A162" s="289"/>
      <c r="B162" s="343"/>
      <c r="C162" s="325" t="s">
        <v>779</v>
      </c>
      <c r="E162" s="432" t="str">
        <f>IFERROR(
   INDEX('Hulp (CAO''s)'!$I$3:$I$7, MATCH(TRUE, 'Hulp (CAO''s)'!$D$3:$D$7, 0)),
"")</f>
        <v>Bruto maandsalaris</v>
      </c>
      <c r="F162" s="425" t="e" cm="1">
        <f t="array" aca="1" ref="F162" ca="1">IF($BF162, IF(F159="","",
   INDEX(
      INDIRECT("'" &amp; 'Hulp (CAO''s)'!$AE$8 &amp; "'!" &amp;
               'Hulp (overig)'!$C$17 &amp; "1:" &amp;
               'Hulp (overig)'!$C$17 &amp; "1000"),
      MATCH(
         F159,
         INDIRECT("'" &amp; 'Hulp (CAO''s)'!$AE$8 &amp; "'!A1:A1000"),
         0
      )
   )
), IF($D160="Gebruik % van maximum salaris",
IF(
    OR(F159="",F160=""),
    "",
    MAX(
        INDIRECT(
            "'" &amp; 'Hulp (overig)'!$C$16 &amp; "'!" &amp;
            'Hulp (overig)'!$C$17 &amp;
            MATCH(F159, INDIRECT("'" &amp; 'Hulp (overig)'!$C$16 &amp; "'!A1:A1000"), 0) &amp;
            ":" &amp;
            'Hulp (overig)'!$C$17 &amp;
LOOKUP(
    2,
    1 / (
        (ROW(INDIRECT("'" &amp; 'Hulp (overig)'!$C$16 &amp; "'!B1:B1000")) &lt;
            IF(G159&lt;&gt;"",
               MATCH(G159, INDIRECT("'" &amp; 'Hulp (overig)'!$C$16 &amp; "'!A1:A1000"),0),
               1000
            )
        ) *
        (LEFT(TRIM(INDIRECT("'" &amp; 'Hulp (overig)'!$C$16 &amp; "'!B1:B1000")),1) &lt;&gt; "u")
    ),
    ROW(INDIRECT("'" &amp; 'Hulp (overig)'!$C$16 &amp; "'!B1:B1000"))
)
        )
    ) * F160
),
IF(F161="","",
IF(
    IFERROR(MIN(
        IF(
            (TRIM(INDIRECT("'" &amp; 'Hulp (overig)'!$C$16 &amp; "'!B1:B1000")) = TEXT(F161,"0")) *
            (ROW(INDIRECT("'" &amp; 'Hulp (overig)'!$C$16 &amp; "'!B1:B1000")) &gt;= MATCH(
                F159,
                INDIRECT("'" &amp; 'Hulp (overig)'!$C$16 &amp; "'!A1:A1000"),
                0
            )) *
            IF(
                G159="",
                1,
                (ROW(INDIRECT("'" &amp; 'Hulp (overig)'!$C$16 &amp; "'!B1:B1000")) &lt; MATCH(
                    G159,
                    INDIRECT("'" &amp; 'Hulp (overig)'!$C$16 &amp; "'!A1:A1000"),
                    0
                ))
            ),
            ROW(INDIRECT("'" &amp; 'Hulp (overig)'!$C$16 &amp; "'!B1:B1000"))
        )
    ),0) &lt; 1,
    "",
    IF(INDEX(
        INDIRECT("'" &amp; 'Hulp (overig)'!$C$16 &amp; "'!" &amp;
        'Hulp (overig)'!$C$17 &amp; "1:" &amp; 'Hulp (overig)'!$C$17 &amp; 1000
        ),
        IFERROR(MIN(
            IF(
                (TRIM(INDIRECT("'" &amp; 'Hulp (overig)'!$C$16 &amp; "'!B1:B1000")) = TEXT(F161,"0")) *
                (ROW(INDIRECT("'" &amp; 'Hulp (overig)'!$C$16 &amp; "'!B1:B1000")) &gt;= MATCH(
                    F159,
                    INDIRECT("'" &amp; 'Hulp (overig)'!$C$16 &amp; "'!A1:A1000"),
                    0
                )) *
                IF(
                    G159="",
                    1,
                    (ROW(INDIRECT("'" &amp; 'Hulp (overig)'!$C$16 &amp; "'!B1:B1000")) &lt; MATCH(
                        G159,
                        INDIRECT("'" &amp; 'Hulp (overig)'!$C$16 &amp; "'!A1:A1000"),
                        0
                    ))
                ),
                ROW(INDIRECT("'" &amp; 'Hulp (overig)'!$C$16 &amp; "'!B1:B1000"))
            )
        ),0)
    )=0,"",
INDEX(
        INDIRECT("'" &amp; 'Hulp (overig)'!$C$16 &amp; "'!" &amp;
        'Hulp (overig)'!$C$17 &amp; "1:" &amp; 'Hulp (overig)'!$C$17 &amp; 1000
        ),
        IFERROR(MIN(
            IF(
                (TRIM(INDIRECT("'" &amp; 'Hulp (overig)'!$C$16 &amp; "'!B1:B1000")) = TEXT(F161,"0")) *
                (ROW(INDIRECT("'" &amp; 'Hulp (overig)'!$C$16 &amp; "'!B1:B1000")) &gt;= MATCH(
                    F159,
                    INDIRECT("'" &amp; 'Hulp (overig)'!$C$16 &amp; "'!A1:A1000"),
                    0
                )) *
                IF(
                    G159="",
                    1,
                    (ROW(INDIRECT("'" &amp; 'Hulp (overig)'!$C$16 &amp; "'!B1:B1000")) &lt; MATCH(
                        G159,
                        INDIRECT("'" &amp; 'Hulp (overig)'!$C$16 &amp; "'!A1:A1000"),
                        0
                    ))
                ),
                ROW(INDIRECT("'" &amp; 'Hulp (overig)'!$C$16 &amp; "'!B1:B1000"))
            )
        ),0)
    ))
))))</f>
        <v>#VALUE!</v>
      </c>
      <c r="G162" s="425" t="e" cm="1">
        <f t="array" aca="1" ref="G162" ca="1">IF($BF162, IF(G159="","",
   INDEX(
      INDIRECT("'" &amp; 'Hulp (CAO''s)'!$AE$8 &amp; "'!" &amp;
               'Hulp (overig)'!$C$17 &amp; "1:" &amp;
               'Hulp (overig)'!$C$17 &amp; "1000"),
      MATCH(
         G159,
         INDIRECT("'" &amp; 'Hulp (CAO''s)'!$AE$8 &amp; "'!A1:A1000"),
         0
      )
   )
), IF($D160="Gebruik % van maximum salaris",
IF(
    OR(G159="",G160=""),
    "",
    MAX(
        INDIRECT(
            "'" &amp; 'Hulp (overig)'!$C$16 &amp; "'!" &amp;
            'Hulp (overig)'!$C$17 &amp;
            MATCH(G159, INDIRECT("'" &amp; 'Hulp (overig)'!$C$16 &amp; "'!A1:A1000"), 0) &amp;
            ":" &amp;
            'Hulp (overig)'!$C$17 &amp;
LOOKUP(
    2,
    1 / (
        (ROW(INDIRECT("'" &amp; 'Hulp (overig)'!$C$16 &amp; "'!B1:B1000")) &lt;
            IF(H159&lt;&gt;"",
               MATCH(H159, INDIRECT("'" &amp; 'Hulp (overig)'!$C$16 &amp; "'!A1:A1000"),0),
               1000
            )
        ) *
        (LEFT(TRIM(INDIRECT("'" &amp; 'Hulp (overig)'!$C$16 &amp; "'!B1:B1000")),1) &lt;&gt; "u")
    ),
    ROW(INDIRECT("'" &amp; 'Hulp (overig)'!$C$16 &amp; "'!B1:B1000"))
)
        )
    ) * G160
),
IF(G161="","",
IF(
    IFERROR(MIN(
        IF(
            (TRIM(INDIRECT("'" &amp; 'Hulp (overig)'!$C$16 &amp; "'!B1:B1000")) = TEXT(G161,"0")) *
            (ROW(INDIRECT("'" &amp; 'Hulp (overig)'!$C$16 &amp; "'!B1:B1000")) &gt;= MATCH(
                G159,
                INDIRECT("'" &amp; 'Hulp (overig)'!$C$16 &amp; "'!A1:A1000"),
                0
            )) *
            IF(
                H159="",
                1,
                (ROW(INDIRECT("'" &amp; 'Hulp (overig)'!$C$16 &amp; "'!B1:B1000")) &lt; MATCH(
                    H159,
                    INDIRECT("'" &amp; 'Hulp (overig)'!$C$16 &amp; "'!A1:A1000"),
                    0
                ))
            ),
            ROW(INDIRECT("'" &amp; 'Hulp (overig)'!$C$16 &amp; "'!B1:B1000"))
        )
    ),0) &lt; 1,
    "",
    IF(INDEX(
        INDIRECT("'" &amp; 'Hulp (overig)'!$C$16 &amp; "'!" &amp;
        'Hulp (overig)'!$C$17 &amp; "1:" &amp; 'Hulp (overig)'!$C$17 &amp; 1000
        ),
        IFERROR(MIN(
            IF(
                (TRIM(INDIRECT("'" &amp; 'Hulp (overig)'!$C$16 &amp; "'!B1:B1000")) = TEXT(G161,"0")) *
                (ROW(INDIRECT("'" &amp; 'Hulp (overig)'!$C$16 &amp; "'!B1:B1000")) &gt;= MATCH(
                    G159,
                    INDIRECT("'" &amp; 'Hulp (overig)'!$C$16 &amp; "'!A1:A1000"),
                    0
                )) *
                IF(
                    H159="",
                    1,
                    (ROW(INDIRECT("'" &amp; 'Hulp (overig)'!$C$16 &amp; "'!B1:B1000")) &lt; MATCH(
                        H159,
                        INDIRECT("'" &amp; 'Hulp (overig)'!$C$16 &amp; "'!A1:A1000"),
                        0
                    ))
                ),
                ROW(INDIRECT("'" &amp; 'Hulp (overig)'!$C$16 &amp; "'!B1:B1000"))
            )
        ),0)
    )=0,"",
INDEX(
        INDIRECT("'" &amp; 'Hulp (overig)'!$C$16 &amp; "'!" &amp;
        'Hulp (overig)'!$C$17 &amp; "1:" &amp; 'Hulp (overig)'!$C$17 &amp; 1000
        ),
        IFERROR(MIN(
            IF(
                (TRIM(INDIRECT("'" &amp; 'Hulp (overig)'!$C$16 &amp; "'!B1:B1000")) = TEXT(G161,"0")) *
                (ROW(INDIRECT("'" &amp; 'Hulp (overig)'!$C$16 &amp; "'!B1:B1000")) &gt;= MATCH(
                    G159,
                    INDIRECT("'" &amp; 'Hulp (overig)'!$C$16 &amp; "'!A1:A1000"),
                    0
                )) *
                IF(
                    H159="",
                    1,
                    (ROW(INDIRECT("'" &amp; 'Hulp (overig)'!$C$16 &amp; "'!B1:B1000")) &lt; MATCH(
                        H159,
                        INDIRECT("'" &amp; 'Hulp (overig)'!$C$16 &amp; "'!A1:A1000"),
                        0
                    ))
                ),
                ROW(INDIRECT("'" &amp; 'Hulp (overig)'!$C$16 &amp; "'!B1:B1000"))
            )
        ),0)
    ))
))))</f>
        <v>#VALUE!</v>
      </c>
      <c r="H162" s="425" t="e" cm="1">
        <f t="array" aca="1" ref="H162" ca="1">IF($BF162, IF(H159="","",
   INDEX(
      INDIRECT("'" &amp; 'Hulp (CAO''s)'!$AE$8 &amp; "'!" &amp;
               'Hulp (overig)'!$C$17 &amp; "1:" &amp;
               'Hulp (overig)'!$C$17 &amp; "1000"),
      MATCH(
         H159,
         INDIRECT("'" &amp; 'Hulp (CAO''s)'!$AE$8 &amp; "'!A1:A1000"),
         0
      )
   )
), IF($D160="Gebruik % van maximum salaris",
IF(
    OR(H159="",H160=""),
    "",
    MAX(
        INDIRECT(
            "'" &amp; 'Hulp (overig)'!$C$16 &amp; "'!" &amp;
            'Hulp (overig)'!$C$17 &amp;
            MATCH(H159, INDIRECT("'" &amp; 'Hulp (overig)'!$C$16 &amp; "'!A1:A1000"), 0) &amp;
            ":" &amp;
            'Hulp (overig)'!$C$17 &amp;
LOOKUP(
    2,
    1 / (
        (ROW(INDIRECT("'" &amp; 'Hulp (overig)'!$C$16 &amp; "'!B1:B1000")) &lt;
            IF(I159&lt;&gt;"",
               MATCH(I159, INDIRECT("'" &amp; 'Hulp (overig)'!$C$16 &amp; "'!A1:A1000"),0),
               1000
            )
        ) *
        (LEFT(TRIM(INDIRECT("'" &amp; 'Hulp (overig)'!$C$16 &amp; "'!B1:B1000")),1) &lt;&gt; "u")
    ),
    ROW(INDIRECT("'" &amp; 'Hulp (overig)'!$C$16 &amp; "'!B1:B1000"))
)
        )
    ) * H160
),
IF(H161="","",
IF(
    IFERROR(MIN(
        IF(
            (TRIM(INDIRECT("'" &amp; 'Hulp (overig)'!$C$16 &amp; "'!B1:B1000")) = TEXT(H161,"0")) *
            (ROW(INDIRECT("'" &amp; 'Hulp (overig)'!$C$16 &amp; "'!B1:B1000")) &gt;= MATCH(
                H159,
                INDIRECT("'" &amp; 'Hulp (overig)'!$C$16 &amp; "'!A1:A1000"),
                0
            )) *
            IF(
                I159="",
                1,
                (ROW(INDIRECT("'" &amp; 'Hulp (overig)'!$C$16 &amp; "'!B1:B1000")) &lt; MATCH(
                    I159,
                    INDIRECT("'" &amp; 'Hulp (overig)'!$C$16 &amp; "'!A1:A1000"),
                    0
                ))
            ),
            ROW(INDIRECT("'" &amp; 'Hulp (overig)'!$C$16 &amp; "'!B1:B1000"))
        )
    ),0) &lt; 1,
    "",
    IF(INDEX(
        INDIRECT("'" &amp; 'Hulp (overig)'!$C$16 &amp; "'!" &amp;
        'Hulp (overig)'!$C$17 &amp; "1:" &amp; 'Hulp (overig)'!$C$17 &amp; 1000
        ),
        IFERROR(MIN(
            IF(
                (TRIM(INDIRECT("'" &amp; 'Hulp (overig)'!$C$16 &amp; "'!B1:B1000")) = TEXT(H161,"0")) *
                (ROW(INDIRECT("'" &amp; 'Hulp (overig)'!$C$16 &amp; "'!B1:B1000")) &gt;= MATCH(
                    H159,
                    INDIRECT("'" &amp; 'Hulp (overig)'!$C$16 &amp; "'!A1:A1000"),
                    0
                )) *
                IF(
                    I159="",
                    1,
                    (ROW(INDIRECT("'" &amp; 'Hulp (overig)'!$C$16 &amp; "'!B1:B1000")) &lt; MATCH(
                        I159,
                        INDIRECT("'" &amp; 'Hulp (overig)'!$C$16 &amp; "'!A1:A1000"),
                        0
                    ))
                ),
                ROW(INDIRECT("'" &amp; 'Hulp (overig)'!$C$16 &amp; "'!B1:B1000"))
            )
        ),0)
    )=0,"",
INDEX(
        INDIRECT("'" &amp; 'Hulp (overig)'!$C$16 &amp; "'!" &amp;
        'Hulp (overig)'!$C$17 &amp; "1:" &amp; 'Hulp (overig)'!$C$17 &amp; 1000
        ),
        IFERROR(MIN(
            IF(
                (TRIM(INDIRECT("'" &amp; 'Hulp (overig)'!$C$16 &amp; "'!B1:B1000")) = TEXT(H161,"0")) *
                (ROW(INDIRECT("'" &amp; 'Hulp (overig)'!$C$16 &amp; "'!B1:B1000")) &gt;= MATCH(
                    H159,
                    INDIRECT("'" &amp; 'Hulp (overig)'!$C$16 &amp; "'!A1:A1000"),
                    0
                )) *
                IF(
                    I159="",
                    1,
                    (ROW(INDIRECT("'" &amp; 'Hulp (overig)'!$C$16 &amp; "'!B1:B1000")) &lt; MATCH(
                        I159,
                        INDIRECT("'" &amp; 'Hulp (overig)'!$C$16 &amp; "'!A1:A1000"),
                        0
                    ))
                ),
                ROW(INDIRECT("'" &amp; 'Hulp (overig)'!$C$16 &amp; "'!B1:B1000"))
            )
        ),0)
    ))
))))</f>
        <v>#VALUE!</v>
      </c>
      <c r="I162" s="425" t="e" cm="1">
        <f t="array" aca="1" ref="I162" ca="1">IF($BF162, IF(I159="","",
   INDEX(
      INDIRECT("'" &amp; 'Hulp (CAO''s)'!$AE$8 &amp; "'!" &amp;
               'Hulp (overig)'!$C$17 &amp; "1:" &amp;
               'Hulp (overig)'!$C$17 &amp; "1000"),
      MATCH(
         I159,
         INDIRECT("'" &amp; 'Hulp (CAO''s)'!$AE$8 &amp; "'!A1:A1000"),
         0
      )
   )
), IF($D160="Gebruik % van maximum salaris",
IF(
    OR(I159="",I160=""),
    "",
    MAX(
        INDIRECT(
            "'" &amp; 'Hulp (overig)'!$C$16 &amp; "'!" &amp;
            'Hulp (overig)'!$C$17 &amp;
            MATCH(I159, INDIRECT("'" &amp; 'Hulp (overig)'!$C$16 &amp; "'!A1:A1000"), 0) &amp;
            ":" &amp;
            'Hulp (overig)'!$C$17 &amp;
LOOKUP(
    2,
    1 / (
        (ROW(INDIRECT("'" &amp; 'Hulp (overig)'!$C$16 &amp; "'!B1:B1000")) &lt;
            IF(J159&lt;&gt;"",
               MATCH(J159, INDIRECT("'" &amp; 'Hulp (overig)'!$C$16 &amp; "'!A1:A1000"),0),
               1000
            )
        ) *
        (LEFT(TRIM(INDIRECT("'" &amp; 'Hulp (overig)'!$C$16 &amp; "'!B1:B1000")),1) &lt;&gt; "u")
    ),
    ROW(INDIRECT("'" &amp; 'Hulp (overig)'!$C$16 &amp; "'!B1:B1000"))
)
        )
    ) * I160
),
IF(I161="","",
IF(
    IFERROR(MIN(
        IF(
            (TRIM(INDIRECT("'" &amp; 'Hulp (overig)'!$C$16 &amp; "'!B1:B1000")) = TEXT(I161,"0")) *
            (ROW(INDIRECT("'" &amp; 'Hulp (overig)'!$C$16 &amp; "'!B1:B1000")) &gt;= MATCH(
                I159,
                INDIRECT("'" &amp; 'Hulp (overig)'!$C$16 &amp; "'!A1:A1000"),
                0
            )) *
            IF(
                J159="",
                1,
                (ROW(INDIRECT("'" &amp; 'Hulp (overig)'!$C$16 &amp; "'!B1:B1000")) &lt; MATCH(
                    J159,
                    INDIRECT("'" &amp; 'Hulp (overig)'!$C$16 &amp; "'!A1:A1000"),
                    0
                ))
            ),
            ROW(INDIRECT("'" &amp; 'Hulp (overig)'!$C$16 &amp; "'!B1:B1000"))
        )
    ),0) &lt; 1,
    "",
    IF(INDEX(
        INDIRECT("'" &amp; 'Hulp (overig)'!$C$16 &amp; "'!" &amp;
        'Hulp (overig)'!$C$17 &amp; "1:" &amp; 'Hulp (overig)'!$C$17 &amp; 1000
        ),
        IFERROR(MIN(
            IF(
                (TRIM(INDIRECT("'" &amp; 'Hulp (overig)'!$C$16 &amp; "'!B1:B1000")) = TEXT(I161,"0")) *
                (ROW(INDIRECT("'" &amp; 'Hulp (overig)'!$C$16 &amp; "'!B1:B1000")) &gt;= MATCH(
                    I159,
                    INDIRECT("'" &amp; 'Hulp (overig)'!$C$16 &amp; "'!A1:A1000"),
                    0
                )) *
                IF(
                    J159="",
                    1,
                    (ROW(INDIRECT("'" &amp; 'Hulp (overig)'!$C$16 &amp; "'!B1:B1000")) &lt; MATCH(
                        J159,
                        INDIRECT("'" &amp; 'Hulp (overig)'!$C$16 &amp; "'!A1:A1000"),
                        0
                    ))
                ),
                ROW(INDIRECT("'" &amp; 'Hulp (overig)'!$C$16 &amp; "'!B1:B1000"))
            )
        ),0)
    )=0,"",
INDEX(
        INDIRECT("'" &amp; 'Hulp (overig)'!$C$16 &amp; "'!" &amp;
        'Hulp (overig)'!$C$17 &amp; "1:" &amp; 'Hulp (overig)'!$C$17 &amp; 1000
        ),
        IFERROR(MIN(
            IF(
                (TRIM(INDIRECT("'" &amp; 'Hulp (overig)'!$C$16 &amp; "'!B1:B1000")) = TEXT(I161,"0")) *
                (ROW(INDIRECT("'" &amp; 'Hulp (overig)'!$C$16 &amp; "'!B1:B1000")) &gt;= MATCH(
                    I159,
                    INDIRECT("'" &amp; 'Hulp (overig)'!$C$16 &amp; "'!A1:A1000"),
                    0
                )) *
                IF(
                    J159="",
                    1,
                    (ROW(INDIRECT("'" &amp; 'Hulp (overig)'!$C$16 &amp; "'!B1:B1000")) &lt; MATCH(
                        J159,
                        INDIRECT("'" &amp; 'Hulp (overig)'!$C$16 &amp; "'!A1:A1000"),
                        0
                    ))
                ),
                ROW(INDIRECT("'" &amp; 'Hulp (overig)'!$C$16 &amp; "'!B1:B1000"))
            )
        ),0)
    ))
))))</f>
        <v>#VALUE!</v>
      </c>
      <c r="J162" s="425" t="e" cm="1">
        <f t="array" aca="1" ref="J162" ca="1">IF($BF162, IF(J159="","",
   INDEX(
      INDIRECT("'" &amp; 'Hulp (CAO''s)'!$AE$8 &amp; "'!" &amp;
               'Hulp (overig)'!$C$17 &amp; "1:" &amp;
               'Hulp (overig)'!$C$17 &amp; "1000"),
      MATCH(
         J159,
         INDIRECT("'" &amp; 'Hulp (CAO''s)'!$AE$8 &amp; "'!A1:A1000"),
         0
      )
   )
), IF($D160="Gebruik % van maximum salaris",
IF(
    OR(J159="",J160=""),
    "",
    MAX(
        INDIRECT(
            "'" &amp; 'Hulp (overig)'!$C$16 &amp; "'!" &amp;
            'Hulp (overig)'!$C$17 &amp;
            MATCH(J159, INDIRECT("'" &amp; 'Hulp (overig)'!$C$16 &amp; "'!A1:A1000"), 0) &amp;
            ":" &amp;
            'Hulp (overig)'!$C$17 &amp;
LOOKUP(
    2,
    1 / (
        (ROW(INDIRECT("'" &amp; 'Hulp (overig)'!$C$16 &amp; "'!B1:B1000")) &lt;
            IF(K159&lt;&gt;"",
               MATCH(K159, INDIRECT("'" &amp; 'Hulp (overig)'!$C$16 &amp; "'!A1:A1000"),0),
               1000
            )
        ) *
        (LEFT(TRIM(INDIRECT("'" &amp; 'Hulp (overig)'!$C$16 &amp; "'!B1:B1000")),1) &lt;&gt; "u")
    ),
    ROW(INDIRECT("'" &amp; 'Hulp (overig)'!$C$16 &amp; "'!B1:B1000"))
)
        )
    ) * J160
),
IF(J161="","",
IF(
    IFERROR(MIN(
        IF(
            (TRIM(INDIRECT("'" &amp; 'Hulp (overig)'!$C$16 &amp; "'!B1:B1000")) = TEXT(J161,"0")) *
            (ROW(INDIRECT("'" &amp; 'Hulp (overig)'!$C$16 &amp; "'!B1:B1000")) &gt;= MATCH(
                J159,
                INDIRECT("'" &amp; 'Hulp (overig)'!$C$16 &amp; "'!A1:A1000"),
                0
            )) *
            IF(
                K159="",
                1,
                (ROW(INDIRECT("'" &amp; 'Hulp (overig)'!$C$16 &amp; "'!B1:B1000")) &lt; MATCH(
                    K159,
                    INDIRECT("'" &amp; 'Hulp (overig)'!$C$16 &amp; "'!A1:A1000"),
                    0
                ))
            ),
            ROW(INDIRECT("'" &amp; 'Hulp (overig)'!$C$16 &amp; "'!B1:B1000"))
        )
    ),0) &lt; 1,
    "",
    IF(INDEX(
        INDIRECT("'" &amp; 'Hulp (overig)'!$C$16 &amp; "'!" &amp;
        'Hulp (overig)'!$C$17 &amp; "1:" &amp; 'Hulp (overig)'!$C$17 &amp; 1000
        ),
        IFERROR(MIN(
            IF(
                (TRIM(INDIRECT("'" &amp; 'Hulp (overig)'!$C$16 &amp; "'!B1:B1000")) = TEXT(J161,"0")) *
                (ROW(INDIRECT("'" &amp; 'Hulp (overig)'!$C$16 &amp; "'!B1:B1000")) &gt;= MATCH(
                    J159,
                    INDIRECT("'" &amp; 'Hulp (overig)'!$C$16 &amp; "'!A1:A1000"),
                    0
                )) *
                IF(
                    K159="",
                    1,
                    (ROW(INDIRECT("'" &amp; 'Hulp (overig)'!$C$16 &amp; "'!B1:B1000")) &lt; MATCH(
                        K159,
                        INDIRECT("'" &amp; 'Hulp (overig)'!$C$16 &amp; "'!A1:A1000"),
                        0
                    ))
                ),
                ROW(INDIRECT("'" &amp; 'Hulp (overig)'!$C$16 &amp; "'!B1:B1000"))
            )
        ),0)
    )=0,"",
INDEX(
        INDIRECT("'" &amp; 'Hulp (overig)'!$C$16 &amp; "'!" &amp;
        'Hulp (overig)'!$C$17 &amp; "1:" &amp; 'Hulp (overig)'!$C$17 &amp; 1000
        ),
        IFERROR(MIN(
            IF(
                (TRIM(INDIRECT("'" &amp; 'Hulp (overig)'!$C$16 &amp; "'!B1:B1000")) = TEXT(J161,"0")) *
                (ROW(INDIRECT("'" &amp; 'Hulp (overig)'!$C$16 &amp; "'!B1:B1000")) &gt;= MATCH(
                    J159,
                    INDIRECT("'" &amp; 'Hulp (overig)'!$C$16 &amp; "'!A1:A1000"),
                    0
                )) *
                IF(
                    K159="",
                    1,
                    (ROW(INDIRECT("'" &amp; 'Hulp (overig)'!$C$16 &amp; "'!B1:B1000")) &lt; MATCH(
                        K159,
                        INDIRECT("'" &amp; 'Hulp (overig)'!$C$16 &amp; "'!A1:A1000"),
                        0
                    ))
                ),
                ROW(INDIRECT("'" &amp; 'Hulp (overig)'!$C$16 &amp; "'!B1:B1000"))
            )
        ),0)
    ))
))))</f>
        <v>#VALUE!</v>
      </c>
      <c r="K162" s="425" t="e" cm="1">
        <f t="array" aca="1" ref="K162" ca="1">IF($BF162, IF(K159="","",
   INDEX(
      INDIRECT("'" &amp; 'Hulp (CAO''s)'!$AE$8 &amp; "'!" &amp;
               'Hulp (overig)'!$C$17 &amp; "1:" &amp;
               'Hulp (overig)'!$C$17 &amp; "1000"),
      MATCH(
         K159,
         INDIRECT("'" &amp; 'Hulp (CAO''s)'!$AE$8 &amp; "'!A1:A1000"),
         0
      )
   )
), IF($D160="Gebruik % van maximum salaris",
IF(
    OR(K159="",K160=""),
    "",
    MAX(
        INDIRECT(
            "'" &amp; 'Hulp (overig)'!$C$16 &amp; "'!" &amp;
            'Hulp (overig)'!$C$17 &amp;
            MATCH(K159, INDIRECT("'" &amp; 'Hulp (overig)'!$C$16 &amp; "'!A1:A1000"), 0) &amp;
            ":" &amp;
            'Hulp (overig)'!$C$17 &amp;
LOOKUP(
    2,
    1 / (
        (ROW(INDIRECT("'" &amp; 'Hulp (overig)'!$C$16 &amp; "'!B1:B1000")) &lt;
            IF(L159&lt;&gt;"",
               MATCH(L159, INDIRECT("'" &amp; 'Hulp (overig)'!$C$16 &amp; "'!A1:A1000"),0),
               1000
            )
        ) *
        (LEFT(TRIM(INDIRECT("'" &amp; 'Hulp (overig)'!$C$16 &amp; "'!B1:B1000")),1) &lt;&gt; "u")
    ),
    ROW(INDIRECT("'" &amp; 'Hulp (overig)'!$C$16 &amp; "'!B1:B1000"))
)
        )
    ) * K160
),
IF(K161="","",
IF(
    IFERROR(MIN(
        IF(
            (TRIM(INDIRECT("'" &amp; 'Hulp (overig)'!$C$16 &amp; "'!B1:B1000")) = TEXT(K161,"0")) *
            (ROW(INDIRECT("'" &amp; 'Hulp (overig)'!$C$16 &amp; "'!B1:B1000")) &gt;= MATCH(
                K159,
                INDIRECT("'" &amp; 'Hulp (overig)'!$C$16 &amp; "'!A1:A1000"),
                0
            )) *
            IF(
                L159="",
                1,
                (ROW(INDIRECT("'" &amp; 'Hulp (overig)'!$C$16 &amp; "'!B1:B1000")) &lt; MATCH(
                    L159,
                    INDIRECT("'" &amp; 'Hulp (overig)'!$C$16 &amp; "'!A1:A1000"),
                    0
                ))
            ),
            ROW(INDIRECT("'" &amp; 'Hulp (overig)'!$C$16 &amp; "'!B1:B1000"))
        )
    ),0) &lt; 1,
    "",
    IF(INDEX(
        INDIRECT("'" &amp; 'Hulp (overig)'!$C$16 &amp; "'!" &amp;
        'Hulp (overig)'!$C$17 &amp; "1:" &amp; 'Hulp (overig)'!$C$17 &amp; 1000
        ),
        IFERROR(MIN(
            IF(
                (TRIM(INDIRECT("'" &amp; 'Hulp (overig)'!$C$16 &amp; "'!B1:B1000")) = TEXT(K161,"0")) *
                (ROW(INDIRECT("'" &amp; 'Hulp (overig)'!$C$16 &amp; "'!B1:B1000")) &gt;= MATCH(
                    K159,
                    INDIRECT("'" &amp; 'Hulp (overig)'!$C$16 &amp; "'!A1:A1000"),
                    0
                )) *
                IF(
                    L159="",
                    1,
                    (ROW(INDIRECT("'" &amp; 'Hulp (overig)'!$C$16 &amp; "'!B1:B1000")) &lt; MATCH(
                        L159,
                        INDIRECT("'" &amp; 'Hulp (overig)'!$C$16 &amp; "'!A1:A1000"),
                        0
                    ))
                ),
                ROW(INDIRECT("'" &amp; 'Hulp (overig)'!$C$16 &amp; "'!B1:B1000"))
            )
        ),0)
    )=0,"",
INDEX(
        INDIRECT("'" &amp; 'Hulp (overig)'!$C$16 &amp; "'!" &amp;
        'Hulp (overig)'!$C$17 &amp; "1:" &amp; 'Hulp (overig)'!$C$17 &amp; 1000
        ),
        IFERROR(MIN(
            IF(
                (TRIM(INDIRECT("'" &amp; 'Hulp (overig)'!$C$16 &amp; "'!B1:B1000")) = TEXT(K161,"0")) *
                (ROW(INDIRECT("'" &amp; 'Hulp (overig)'!$C$16 &amp; "'!B1:B1000")) &gt;= MATCH(
                    K159,
                    INDIRECT("'" &amp; 'Hulp (overig)'!$C$16 &amp; "'!A1:A1000"),
                    0
                )) *
                IF(
                    L159="",
                    1,
                    (ROW(INDIRECT("'" &amp; 'Hulp (overig)'!$C$16 &amp; "'!B1:B1000")) &lt; MATCH(
                        L159,
                        INDIRECT("'" &amp; 'Hulp (overig)'!$C$16 &amp; "'!A1:A1000"),
                        0
                    ))
                ),
                ROW(INDIRECT("'" &amp; 'Hulp (overig)'!$C$16 &amp; "'!B1:B1000"))
            )
        ),0)
    ))
))))</f>
        <v>#VALUE!</v>
      </c>
      <c r="L162" s="425" t="e" cm="1">
        <f t="array" aca="1" ref="L162" ca="1">IF($BF162, IF(L159="","",
   INDEX(
      INDIRECT("'" &amp; 'Hulp (CAO''s)'!$AE$8 &amp; "'!" &amp;
               'Hulp (overig)'!$C$17 &amp; "1:" &amp;
               'Hulp (overig)'!$C$17 &amp; "1000"),
      MATCH(
         L159,
         INDIRECT("'" &amp; 'Hulp (CAO''s)'!$AE$8 &amp; "'!A1:A1000"),
         0
      )
   )
), IF($D160="Gebruik % van maximum salaris",
IF(
    OR(L159="",L160=""),
    "",
    MAX(
        INDIRECT(
            "'" &amp; 'Hulp (overig)'!$C$16 &amp; "'!" &amp;
            'Hulp (overig)'!$C$17 &amp;
            MATCH(L159, INDIRECT("'" &amp; 'Hulp (overig)'!$C$16 &amp; "'!A1:A1000"), 0) &amp;
            ":" &amp;
            'Hulp (overig)'!$C$17 &amp;
LOOKUP(
    2,
    1 / (
        (ROW(INDIRECT("'" &amp; 'Hulp (overig)'!$C$16 &amp; "'!B1:B1000")) &lt;
            IF(M159&lt;&gt;"",
               MATCH(M159, INDIRECT("'" &amp; 'Hulp (overig)'!$C$16 &amp; "'!A1:A1000"),0),
               1000
            )
        ) *
        (LEFT(TRIM(INDIRECT("'" &amp; 'Hulp (overig)'!$C$16 &amp; "'!B1:B1000")),1) &lt;&gt; "u")
    ),
    ROW(INDIRECT("'" &amp; 'Hulp (overig)'!$C$16 &amp; "'!B1:B1000"))
)
        )
    ) * L160
),
IF(L161="","",
IF(
    IFERROR(MIN(
        IF(
            (TRIM(INDIRECT("'" &amp; 'Hulp (overig)'!$C$16 &amp; "'!B1:B1000")) = TEXT(L161,"0")) *
            (ROW(INDIRECT("'" &amp; 'Hulp (overig)'!$C$16 &amp; "'!B1:B1000")) &gt;= MATCH(
                L159,
                INDIRECT("'" &amp; 'Hulp (overig)'!$C$16 &amp; "'!A1:A1000"),
                0
            )) *
            IF(
                M159="",
                1,
                (ROW(INDIRECT("'" &amp; 'Hulp (overig)'!$C$16 &amp; "'!B1:B1000")) &lt; MATCH(
                    M159,
                    INDIRECT("'" &amp; 'Hulp (overig)'!$C$16 &amp; "'!A1:A1000"),
                    0
                ))
            ),
            ROW(INDIRECT("'" &amp; 'Hulp (overig)'!$C$16 &amp; "'!B1:B1000"))
        )
    ),0) &lt; 1,
    "",
    IF(INDEX(
        INDIRECT("'" &amp; 'Hulp (overig)'!$C$16 &amp; "'!" &amp;
        'Hulp (overig)'!$C$17 &amp; "1:" &amp; 'Hulp (overig)'!$C$17 &amp; 1000
        ),
        IFERROR(MIN(
            IF(
                (TRIM(INDIRECT("'" &amp; 'Hulp (overig)'!$C$16 &amp; "'!B1:B1000")) = TEXT(L161,"0")) *
                (ROW(INDIRECT("'" &amp; 'Hulp (overig)'!$C$16 &amp; "'!B1:B1000")) &gt;= MATCH(
                    L159,
                    INDIRECT("'" &amp; 'Hulp (overig)'!$C$16 &amp; "'!A1:A1000"),
                    0
                )) *
                IF(
                    M159="",
                    1,
                    (ROW(INDIRECT("'" &amp; 'Hulp (overig)'!$C$16 &amp; "'!B1:B1000")) &lt; MATCH(
                        M159,
                        INDIRECT("'" &amp; 'Hulp (overig)'!$C$16 &amp; "'!A1:A1000"),
                        0
                    ))
                ),
                ROW(INDIRECT("'" &amp; 'Hulp (overig)'!$C$16 &amp; "'!B1:B1000"))
            )
        ),0)
    )=0,"",
INDEX(
        INDIRECT("'" &amp; 'Hulp (overig)'!$C$16 &amp; "'!" &amp;
        'Hulp (overig)'!$C$17 &amp; "1:" &amp; 'Hulp (overig)'!$C$17 &amp; 1000
        ),
        IFERROR(MIN(
            IF(
                (TRIM(INDIRECT("'" &amp; 'Hulp (overig)'!$C$16 &amp; "'!B1:B1000")) = TEXT(L161,"0")) *
                (ROW(INDIRECT("'" &amp; 'Hulp (overig)'!$C$16 &amp; "'!B1:B1000")) &gt;= MATCH(
                    L159,
                    INDIRECT("'" &amp; 'Hulp (overig)'!$C$16 &amp; "'!A1:A1000"),
                    0
                )) *
                IF(
                    M159="",
                    1,
                    (ROW(INDIRECT("'" &amp; 'Hulp (overig)'!$C$16 &amp; "'!B1:B1000")) &lt; MATCH(
                        M159,
                        INDIRECT("'" &amp; 'Hulp (overig)'!$C$16 &amp; "'!A1:A1000"),
                        0
                    ))
                ),
                ROW(INDIRECT("'" &amp; 'Hulp (overig)'!$C$16 &amp; "'!B1:B1000"))
            )
        ),0)
    ))
))))</f>
        <v>#VALUE!</v>
      </c>
      <c r="M162" s="425" t="e" cm="1">
        <f t="array" aca="1" ref="M162" ca="1">IF($BF162, IF(M159="","",
   INDEX(
      INDIRECT("'" &amp; 'Hulp (CAO''s)'!$AE$8 &amp; "'!" &amp;
               'Hulp (overig)'!$C$17 &amp; "1:" &amp;
               'Hulp (overig)'!$C$17 &amp; "1000"),
      MATCH(
         M159,
         INDIRECT("'" &amp; 'Hulp (CAO''s)'!$AE$8 &amp; "'!A1:A1000"),
         0
      )
   )
), IF($D160="Gebruik % van maximum salaris",
IF(
    OR(M159="",M160=""),
    "",
    MAX(
        INDIRECT(
            "'" &amp; 'Hulp (overig)'!$C$16 &amp; "'!" &amp;
            'Hulp (overig)'!$C$17 &amp;
            MATCH(M159, INDIRECT("'" &amp; 'Hulp (overig)'!$C$16 &amp; "'!A1:A1000"), 0) &amp;
            ":" &amp;
            'Hulp (overig)'!$C$17 &amp;
LOOKUP(
    2,
    1 / (
        (ROW(INDIRECT("'" &amp; 'Hulp (overig)'!$C$16 &amp; "'!B1:B1000")) &lt;
            IF(N159&lt;&gt;"",
               MATCH(N159, INDIRECT("'" &amp; 'Hulp (overig)'!$C$16 &amp; "'!A1:A1000"),0),
               1000
            )
        ) *
        (LEFT(TRIM(INDIRECT("'" &amp; 'Hulp (overig)'!$C$16 &amp; "'!B1:B1000")),1) &lt;&gt; "u")
    ),
    ROW(INDIRECT("'" &amp; 'Hulp (overig)'!$C$16 &amp; "'!B1:B1000"))
)
        )
    ) * M160
),
IF(M161="","",
IF(
    IFERROR(MIN(
        IF(
            (TRIM(INDIRECT("'" &amp; 'Hulp (overig)'!$C$16 &amp; "'!B1:B1000")) = TEXT(M161,"0")) *
            (ROW(INDIRECT("'" &amp; 'Hulp (overig)'!$C$16 &amp; "'!B1:B1000")) &gt;= MATCH(
                M159,
                INDIRECT("'" &amp; 'Hulp (overig)'!$C$16 &amp; "'!A1:A1000"),
                0
            )) *
            IF(
                N159="",
                1,
                (ROW(INDIRECT("'" &amp; 'Hulp (overig)'!$C$16 &amp; "'!B1:B1000")) &lt; MATCH(
                    N159,
                    INDIRECT("'" &amp; 'Hulp (overig)'!$C$16 &amp; "'!A1:A1000"),
                    0
                ))
            ),
            ROW(INDIRECT("'" &amp; 'Hulp (overig)'!$C$16 &amp; "'!B1:B1000"))
        )
    ),0) &lt; 1,
    "",
    IF(INDEX(
        INDIRECT("'" &amp; 'Hulp (overig)'!$C$16 &amp; "'!" &amp;
        'Hulp (overig)'!$C$17 &amp; "1:" &amp; 'Hulp (overig)'!$C$17 &amp; 1000
        ),
        IFERROR(MIN(
            IF(
                (TRIM(INDIRECT("'" &amp; 'Hulp (overig)'!$C$16 &amp; "'!B1:B1000")) = TEXT(M161,"0")) *
                (ROW(INDIRECT("'" &amp; 'Hulp (overig)'!$C$16 &amp; "'!B1:B1000")) &gt;= MATCH(
                    M159,
                    INDIRECT("'" &amp; 'Hulp (overig)'!$C$16 &amp; "'!A1:A1000"),
                    0
                )) *
                IF(
                    N159="",
                    1,
                    (ROW(INDIRECT("'" &amp; 'Hulp (overig)'!$C$16 &amp; "'!B1:B1000")) &lt; MATCH(
                        N159,
                        INDIRECT("'" &amp; 'Hulp (overig)'!$C$16 &amp; "'!A1:A1000"),
                        0
                    ))
                ),
                ROW(INDIRECT("'" &amp; 'Hulp (overig)'!$C$16 &amp; "'!B1:B1000"))
            )
        ),0)
    )=0,"",
INDEX(
        INDIRECT("'" &amp; 'Hulp (overig)'!$C$16 &amp; "'!" &amp;
        'Hulp (overig)'!$C$17 &amp; "1:" &amp; 'Hulp (overig)'!$C$17 &amp; 1000
        ),
        IFERROR(MIN(
            IF(
                (TRIM(INDIRECT("'" &amp; 'Hulp (overig)'!$C$16 &amp; "'!B1:B1000")) = TEXT(M161,"0")) *
                (ROW(INDIRECT("'" &amp; 'Hulp (overig)'!$C$16 &amp; "'!B1:B1000")) &gt;= MATCH(
                    M159,
                    INDIRECT("'" &amp; 'Hulp (overig)'!$C$16 &amp; "'!A1:A1000"),
                    0
                )) *
                IF(
                    N159="",
                    1,
                    (ROW(INDIRECT("'" &amp; 'Hulp (overig)'!$C$16 &amp; "'!B1:B1000")) &lt; MATCH(
                        N159,
                        INDIRECT("'" &amp; 'Hulp (overig)'!$C$16 &amp; "'!A1:A1000"),
                        0
                    ))
                ),
                ROW(INDIRECT("'" &amp; 'Hulp (overig)'!$C$16 &amp; "'!B1:B1000"))
            )
        ),0)
    ))
))))</f>
        <v>#VALUE!</v>
      </c>
      <c r="N162" s="425" t="e" cm="1">
        <f t="array" aca="1" ref="N162" ca="1">IF($BF162, IF(N159="","",
   INDEX(
      INDIRECT("'" &amp; 'Hulp (CAO''s)'!$AE$8 &amp; "'!" &amp;
               'Hulp (overig)'!$C$17 &amp; "1:" &amp;
               'Hulp (overig)'!$C$17 &amp; "1000"),
      MATCH(
         N159,
         INDIRECT("'" &amp; 'Hulp (CAO''s)'!$AE$8 &amp; "'!A1:A1000"),
         0
      )
   )
), IF($D160="Gebruik % van maximum salaris",
IF(
    OR(N159="",N160=""),
    "",
    MAX(
        INDIRECT(
            "'" &amp; 'Hulp (overig)'!$C$16 &amp; "'!" &amp;
            'Hulp (overig)'!$C$17 &amp;
            MATCH(N159, INDIRECT("'" &amp; 'Hulp (overig)'!$C$16 &amp; "'!A1:A1000"), 0) &amp;
            ":" &amp;
            'Hulp (overig)'!$C$17 &amp;
LOOKUP(
    2,
    1 / (
        (ROW(INDIRECT("'" &amp; 'Hulp (overig)'!$C$16 &amp; "'!B1:B1000")) &lt;
            IF(O159&lt;&gt;"",
               MATCH(O159, INDIRECT("'" &amp; 'Hulp (overig)'!$C$16 &amp; "'!A1:A1000"),0),
               1000
            )
        ) *
        (LEFT(TRIM(INDIRECT("'" &amp; 'Hulp (overig)'!$C$16 &amp; "'!B1:B1000")),1) &lt;&gt; "u")
    ),
    ROW(INDIRECT("'" &amp; 'Hulp (overig)'!$C$16 &amp; "'!B1:B1000"))
)
        )
    ) * N160
),
IF(N161="","",
IF(
    IFERROR(MIN(
        IF(
            (TRIM(INDIRECT("'" &amp; 'Hulp (overig)'!$C$16 &amp; "'!B1:B1000")) = TEXT(N161,"0")) *
            (ROW(INDIRECT("'" &amp; 'Hulp (overig)'!$C$16 &amp; "'!B1:B1000")) &gt;= MATCH(
                N159,
                INDIRECT("'" &amp; 'Hulp (overig)'!$C$16 &amp; "'!A1:A1000"),
                0
            )) *
            IF(
                O159="",
                1,
                (ROW(INDIRECT("'" &amp; 'Hulp (overig)'!$C$16 &amp; "'!B1:B1000")) &lt; MATCH(
                    O159,
                    INDIRECT("'" &amp; 'Hulp (overig)'!$C$16 &amp; "'!A1:A1000"),
                    0
                ))
            ),
            ROW(INDIRECT("'" &amp; 'Hulp (overig)'!$C$16 &amp; "'!B1:B1000"))
        )
    ),0) &lt; 1,
    "",
    IF(INDEX(
        INDIRECT("'" &amp; 'Hulp (overig)'!$C$16 &amp; "'!" &amp;
        'Hulp (overig)'!$C$17 &amp; "1:" &amp; 'Hulp (overig)'!$C$17 &amp; 1000
        ),
        IFERROR(MIN(
            IF(
                (TRIM(INDIRECT("'" &amp; 'Hulp (overig)'!$C$16 &amp; "'!B1:B1000")) = TEXT(N161,"0")) *
                (ROW(INDIRECT("'" &amp; 'Hulp (overig)'!$C$16 &amp; "'!B1:B1000")) &gt;= MATCH(
                    N159,
                    INDIRECT("'" &amp; 'Hulp (overig)'!$C$16 &amp; "'!A1:A1000"),
                    0
                )) *
                IF(
                    O159="",
                    1,
                    (ROW(INDIRECT("'" &amp; 'Hulp (overig)'!$C$16 &amp; "'!B1:B1000")) &lt; MATCH(
                        O159,
                        INDIRECT("'" &amp; 'Hulp (overig)'!$C$16 &amp; "'!A1:A1000"),
                        0
                    ))
                ),
                ROW(INDIRECT("'" &amp; 'Hulp (overig)'!$C$16 &amp; "'!B1:B1000"))
            )
        ),0)
    )=0,"",
INDEX(
        INDIRECT("'" &amp; 'Hulp (overig)'!$C$16 &amp; "'!" &amp;
        'Hulp (overig)'!$C$17 &amp; "1:" &amp; 'Hulp (overig)'!$C$17 &amp; 1000
        ),
        IFERROR(MIN(
            IF(
                (TRIM(INDIRECT("'" &amp; 'Hulp (overig)'!$C$16 &amp; "'!B1:B1000")) = TEXT(N161,"0")) *
                (ROW(INDIRECT("'" &amp; 'Hulp (overig)'!$C$16 &amp; "'!B1:B1000")) &gt;= MATCH(
                    N159,
                    INDIRECT("'" &amp; 'Hulp (overig)'!$C$16 &amp; "'!A1:A1000"),
                    0
                )) *
                IF(
                    O159="",
                    1,
                    (ROW(INDIRECT("'" &amp; 'Hulp (overig)'!$C$16 &amp; "'!B1:B1000")) &lt; MATCH(
                        O159,
                        INDIRECT("'" &amp; 'Hulp (overig)'!$C$16 &amp; "'!A1:A1000"),
                        0
                    ))
                ),
                ROW(INDIRECT("'" &amp; 'Hulp (overig)'!$C$16 &amp; "'!B1:B1000"))
            )
        ),0)
    ))
))))</f>
        <v>#VALUE!</v>
      </c>
      <c r="O162" s="425" t="e" cm="1">
        <f t="array" aca="1" ref="O162" ca="1">IF($BF162, IF(O159="","",
   INDEX(
      INDIRECT("'" &amp; 'Hulp (CAO''s)'!$AE$8 &amp; "'!" &amp;
               'Hulp (overig)'!$C$17 &amp; "1:" &amp;
               'Hulp (overig)'!$C$17 &amp; "1000"),
      MATCH(
         O159,
         INDIRECT("'" &amp; 'Hulp (CAO''s)'!$AE$8 &amp; "'!A1:A1000"),
         0
      )
   )
), IF($D160="Gebruik % van maximum salaris",
IF(
    OR(O159="",O160=""),
    "",
    MAX(
        INDIRECT(
            "'" &amp; 'Hulp (overig)'!$C$16 &amp; "'!" &amp;
            'Hulp (overig)'!$C$17 &amp;
            MATCH(O159, INDIRECT("'" &amp; 'Hulp (overig)'!$C$16 &amp; "'!A1:A1000"), 0) &amp;
            ":" &amp;
            'Hulp (overig)'!$C$17 &amp;
LOOKUP(
    2,
    1 / (
        (ROW(INDIRECT("'" &amp; 'Hulp (overig)'!$C$16 &amp; "'!B1:B1000")) &lt;
            IF(P159&lt;&gt;"",
               MATCH(P159, INDIRECT("'" &amp; 'Hulp (overig)'!$C$16 &amp; "'!A1:A1000"),0),
               1000
            )
        ) *
        (LEFT(TRIM(INDIRECT("'" &amp; 'Hulp (overig)'!$C$16 &amp; "'!B1:B1000")),1) &lt;&gt; "u")
    ),
    ROW(INDIRECT("'" &amp; 'Hulp (overig)'!$C$16 &amp; "'!B1:B1000"))
)
        )
    ) * O160
),
IF(O161="","",
IF(
    IFERROR(MIN(
        IF(
            (TRIM(INDIRECT("'" &amp; 'Hulp (overig)'!$C$16 &amp; "'!B1:B1000")) = TEXT(O161,"0")) *
            (ROW(INDIRECT("'" &amp; 'Hulp (overig)'!$C$16 &amp; "'!B1:B1000")) &gt;= MATCH(
                O159,
                INDIRECT("'" &amp; 'Hulp (overig)'!$C$16 &amp; "'!A1:A1000"),
                0
            )) *
            IF(
                P159="",
                1,
                (ROW(INDIRECT("'" &amp; 'Hulp (overig)'!$C$16 &amp; "'!B1:B1000")) &lt; MATCH(
                    P159,
                    INDIRECT("'" &amp; 'Hulp (overig)'!$C$16 &amp; "'!A1:A1000"),
                    0
                ))
            ),
            ROW(INDIRECT("'" &amp; 'Hulp (overig)'!$C$16 &amp; "'!B1:B1000"))
        )
    ),0) &lt; 1,
    "",
    IF(INDEX(
        INDIRECT("'" &amp; 'Hulp (overig)'!$C$16 &amp; "'!" &amp;
        'Hulp (overig)'!$C$17 &amp; "1:" &amp; 'Hulp (overig)'!$C$17 &amp; 1000
        ),
        IFERROR(MIN(
            IF(
                (TRIM(INDIRECT("'" &amp; 'Hulp (overig)'!$C$16 &amp; "'!B1:B1000")) = TEXT(O161,"0")) *
                (ROW(INDIRECT("'" &amp; 'Hulp (overig)'!$C$16 &amp; "'!B1:B1000")) &gt;= MATCH(
                    O159,
                    INDIRECT("'" &amp; 'Hulp (overig)'!$C$16 &amp; "'!A1:A1000"),
                    0
                )) *
                IF(
                    P159="",
                    1,
                    (ROW(INDIRECT("'" &amp; 'Hulp (overig)'!$C$16 &amp; "'!B1:B1000")) &lt; MATCH(
                        P159,
                        INDIRECT("'" &amp; 'Hulp (overig)'!$C$16 &amp; "'!A1:A1000"),
                        0
                    ))
                ),
                ROW(INDIRECT("'" &amp; 'Hulp (overig)'!$C$16 &amp; "'!B1:B1000"))
            )
        ),0)
    )=0,"",
INDEX(
        INDIRECT("'" &amp; 'Hulp (overig)'!$C$16 &amp; "'!" &amp;
        'Hulp (overig)'!$C$17 &amp; "1:" &amp; 'Hulp (overig)'!$C$17 &amp; 1000
        ),
        IFERROR(MIN(
            IF(
                (TRIM(INDIRECT("'" &amp; 'Hulp (overig)'!$C$16 &amp; "'!B1:B1000")) = TEXT(O161,"0")) *
                (ROW(INDIRECT("'" &amp; 'Hulp (overig)'!$C$16 &amp; "'!B1:B1000")) &gt;= MATCH(
                    O159,
                    INDIRECT("'" &amp; 'Hulp (overig)'!$C$16 &amp; "'!A1:A1000"),
                    0
                )) *
                IF(
                    P159="",
                    1,
                    (ROW(INDIRECT("'" &amp; 'Hulp (overig)'!$C$16 &amp; "'!B1:B1000")) &lt; MATCH(
                        P159,
                        INDIRECT("'" &amp; 'Hulp (overig)'!$C$16 &amp; "'!A1:A1000"),
                        0
                    ))
                ),
                ROW(INDIRECT("'" &amp; 'Hulp (overig)'!$C$16 &amp; "'!B1:B1000"))
            )
        ),0)
    ))
))))</f>
        <v>#VALUE!</v>
      </c>
      <c r="P162" s="425" t="e" cm="1">
        <f t="array" aca="1" ref="P162" ca="1">IF($BF162, IF(P159="","",
   INDEX(
      INDIRECT("'" &amp; 'Hulp (CAO''s)'!$AE$8 &amp; "'!" &amp;
               'Hulp (overig)'!$C$17 &amp; "1:" &amp;
               'Hulp (overig)'!$C$17 &amp; "1000"),
      MATCH(
         P159,
         INDIRECT("'" &amp; 'Hulp (CAO''s)'!$AE$8 &amp; "'!A1:A1000"),
         0
      )
   )
), IF($D160="Gebruik % van maximum salaris",
IF(
    OR(P159="",P160=""),
    "",
    MAX(
        INDIRECT(
            "'" &amp; 'Hulp (overig)'!$C$16 &amp; "'!" &amp;
            'Hulp (overig)'!$C$17 &amp;
            MATCH(P159, INDIRECT("'" &amp; 'Hulp (overig)'!$C$16 &amp; "'!A1:A1000"), 0) &amp;
            ":" &amp;
            'Hulp (overig)'!$C$17 &amp;
LOOKUP(
    2,
    1 / (
        (ROW(INDIRECT("'" &amp; 'Hulp (overig)'!$C$16 &amp; "'!B1:B1000")) &lt;
            IF(Q159&lt;&gt;"",
               MATCH(Q159, INDIRECT("'" &amp; 'Hulp (overig)'!$C$16 &amp; "'!A1:A1000"),0),
               1000
            )
        ) *
        (LEFT(TRIM(INDIRECT("'" &amp; 'Hulp (overig)'!$C$16 &amp; "'!B1:B1000")),1) &lt;&gt; "u")
    ),
    ROW(INDIRECT("'" &amp; 'Hulp (overig)'!$C$16 &amp; "'!B1:B1000"))
)
        )
    ) * P160
),
IF(P161="","",
IF(
    IFERROR(MIN(
        IF(
            (TRIM(INDIRECT("'" &amp; 'Hulp (overig)'!$C$16 &amp; "'!B1:B1000")) = TEXT(P161,"0")) *
            (ROW(INDIRECT("'" &amp; 'Hulp (overig)'!$C$16 &amp; "'!B1:B1000")) &gt;= MATCH(
                P159,
                INDIRECT("'" &amp; 'Hulp (overig)'!$C$16 &amp; "'!A1:A1000"),
                0
            )) *
            IF(
                Q159="",
                1,
                (ROW(INDIRECT("'" &amp; 'Hulp (overig)'!$C$16 &amp; "'!B1:B1000")) &lt; MATCH(
                    Q159,
                    INDIRECT("'" &amp; 'Hulp (overig)'!$C$16 &amp; "'!A1:A1000"),
                    0
                ))
            ),
            ROW(INDIRECT("'" &amp; 'Hulp (overig)'!$C$16 &amp; "'!B1:B1000"))
        )
    ),0) &lt; 1,
    "",
    IF(INDEX(
        INDIRECT("'" &amp; 'Hulp (overig)'!$C$16 &amp; "'!" &amp;
        'Hulp (overig)'!$C$17 &amp; "1:" &amp; 'Hulp (overig)'!$C$17 &amp; 1000
        ),
        IFERROR(MIN(
            IF(
                (TRIM(INDIRECT("'" &amp; 'Hulp (overig)'!$C$16 &amp; "'!B1:B1000")) = TEXT(P161,"0")) *
                (ROW(INDIRECT("'" &amp; 'Hulp (overig)'!$C$16 &amp; "'!B1:B1000")) &gt;= MATCH(
                    P159,
                    INDIRECT("'" &amp; 'Hulp (overig)'!$C$16 &amp; "'!A1:A1000"),
                    0
                )) *
                IF(
                    Q159="",
                    1,
                    (ROW(INDIRECT("'" &amp; 'Hulp (overig)'!$C$16 &amp; "'!B1:B1000")) &lt; MATCH(
                        Q159,
                        INDIRECT("'" &amp; 'Hulp (overig)'!$C$16 &amp; "'!A1:A1000"),
                        0
                    ))
                ),
                ROW(INDIRECT("'" &amp; 'Hulp (overig)'!$C$16 &amp; "'!B1:B1000"))
            )
        ),0)
    )=0,"",
INDEX(
        INDIRECT("'" &amp; 'Hulp (overig)'!$C$16 &amp; "'!" &amp;
        'Hulp (overig)'!$C$17 &amp; "1:" &amp; 'Hulp (overig)'!$C$17 &amp; 1000
        ),
        IFERROR(MIN(
            IF(
                (TRIM(INDIRECT("'" &amp; 'Hulp (overig)'!$C$16 &amp; "'!B1:B1000")) = TEXT(P161,"0")) *
                (ROW(INDIRECT("'" &amp; 'Hulp (overig)'!$C$16 &amp; "'!B1:B1000")) &gt;= MATCH(
                    P159,
                    INDIRECT("'" &amp; 'Hulp (overig)'!$C$16 &amp; "'!A1:A1000"),
                    0
                )) *
                IF(
                    Q159="",
                    1,
                    (ROW(INDIRECT("'" &amp; 'Hulp (overig)'!$C$16 &amp; "'!B1:B1000")) &lt; MATCH(
                        Q159,
                        INDIRECT("'" &amp; 'Hulp (overig)'!$C$16 &amp; "'!A1:A1000"),
                        0
                    ))
                ),
                ROW(INDIRECT("'" &amp; 'Hulp (overig)'!$C$16 &amp; "'!B1:B1000"))
            )
        ),0)
    ))
))))</f>
        <v>#VALUE!</v>
      </c>
      <c r="Q162" s="425" t="e" cm="1">
        <f t="array" aca="1" ref="Q162" ca="1">IF($BF162, IF(Q159="","",
   INDEX(
      INDIRECT("'" &amp; 'Hulp (CAO''s)'!$AE$8 &amp; "'!" &amp;
               'Hulp (overig)'!$C$17 &amp; "1:" &amp;
               'Hulp (overig)'!$C$17 &amp; "1000"),
      MATCH(
         Q159,
         INDIRECT("'" &amp; 'Hulp (CAO''s)'!$AE$8 &amp; "'!A1:A1000"),
         0
      )
   )
), IF($D160="Gebruik % van maximum salaris",
IF(
    OR(Q159="",Q160=""),
    "",
    MAX(
        INDIRECT(
            "'" &amp; 'Hulp (overig)'!$C$16 &amp; "'!" &amp;
            'Hulp (overig)'!$C$17 &amp;
            MATCH(Q159, INDIRECT("'" &amp; 'Hulp (overig)'!$C$16 &amp; "'!A1:A1000"), 0) &amp;
            ":" &amp;
            'Hulp (overig)'!$C$17 &amp;
LOOKUP(
    2,
    1 / (
        (ROW(INDIRECT("'" &amp; 'Hulp (overig)'!$C$16 &amp; "'!B1:B1000")) &lt;
            IF(R159&lt;&gt;"",
               MATCH(R159, INDIRECT("'" &amp; 'Hulp (overig)'!$C$16 &amp; "'!A1:A1000"),0),
               1000
            )
        ) *
        (LEFT(TRIM(INDIRECT("'" &amp; 'Hulp (overig)'!$C$16 &amp; "'!B1:B1000")),1) &lt;&gt; "u")
    ),
    ROW(INDIRECT("'" &amp; 'Hulp (overig)'!$C$16 &amp; "'!B1:B1000"))
)
        )
    ) * Q160
),
IF(Q161="","",
IF(
    IFERROR(MIN(
        IF(
            (TRIM(INDIRECT("'" &amp; 'Hulp (overig)'!$C$16 &amp; "'!B1:B1000")) = TEXT(Q161,"0")) *
            (ROW(INDIRECT("'" &amp; 'Hulp (overig)'!$C$16 &amp; "'!B1:B1000")) &gt;= MATCH(
                Q159,
                INDIRECT("'" &amp; 'Hulp (overig)'!$C$16 &amp; "'!A1:A1000"),
                0
            )) *
            IF(
                R159="",
                1,
                (ROW(INDIRECT("'" &amp; 'Hulp (overig)'!$C$16 &amp; "'!B1:B1000")) &lt; MATCH(
                    R159,
                    INDIRECT("'" &amp; 'Hulp (overig)'!$C$16 &amp; "'!A1:A1000"),
                    0
                ))
            ),
            ROW(INDIRECT("'" &amp; 'Hulp (overig)'!$C$16 &amp; "'!B1:B1000"))
        )
    ),0) &lt; 1,
    "",
    IF(INDEX(
        INDIRECT("'" &amp; 'Hulp (overig)'!$C$16 &amp; "'!" &amp;
        'Hulp (overig)'!$C$17 &amp; "1:" &amp; 'Hulp (overig)'!$C$17 &amp; 1000
        ),
        IFERROR(MIN(
            IF(
                (TRIM(INDIRECT("'" &amp; 'Hulp (overig)'!$C$16 &amp; "'!B1:B1000")) = TEXT(Q161,"0")) *
                (ROW(INDIRECT("'" &amp; 'Hulp (overig)'!$C$16 &amp; "'!B1:B1000")) &gt;= MATCH(
                    Q159,
                    INDIRECT("'" &amp; 'Hulp (overig)'!$C$16 &amp; "'!A1:A1000"),
                    0
                )) *
                IF(
                    R159="",
                    1,
                    (ROW(INDIRECT("'" &amp; 'Hulp (overig)'!$C$16 &amp; "'!B1:B1000")) &lt; MATCH(
                        R159,
                        INDIRECT("'" &amp; 'Hulp (overig)'!$C$16 &amp; "'!A1:A1000"),
                        0
                    ))
                ),
                ROW(INDIRECT("'" &amp; 'Hulp (overig)'!$C$16 &amp; "'!B1:B1000"))
            )
        ),0)
    )=0,"",
INDEX(
        INDIRECT("'" &amp; 'Hulp (overig)'!$C$16 &amp; "'!" &amp;
        'Hulp (overig)'!$C$17 &amp; "1:" &amp; 'Hulp (overig)'!$C$17 &amp; 1000
        ),
        IFERROR(MIN(
            IF(
                (TRIM(INDIRECT("'" &amp; 'Hulp (overig)'!$C$16 &amp; "'!B1:B1000")) = TEXT(Q161,"0")) *
                (ROW(INDIRECT("'" &amp; 'Hulp (overig)'!$C$16 &amp; "'!B1:B1000")) &gt;= MATCH(
                    Q159,
                    INDIRECT("'" &amp; 'Hulp (overig)'!$C$16 &amp; "'!A1:A1000"),
                    0
                )) *
                IF(
                    R159="",
                    1,
                    (ROW(INDIRECT("'" &amp; 'Hulp (overig)'!$C$16 &amp; "'!B1:B1000")) &lt; MATCH(
                        R159,
                        INDIRECT("'" &amp; 'Hulp (overig)'!$C$16 &amp; "'!A1:A1000"),
                        0
                    ))
                ),
                ROW(INDIRECT("'" &amp; 'Hulp (overig)'!$C$16 &amp; "'!B1:B1000"))
            )
        ),0)
    ))
))))</f>
        <v>#VALUE!</v>
      </c>
      <c r="R162" s="425" t="e" cm="1">
        <f t="array" aca="1" ref="R162" ca="1">IF($BF162, IF(R159="","",
   INDEX(
      INDIRECT("'" &amp; 'Hulp (CAO''s)'!$AE$8 &amp; "'!" &amp;
               'Hulp (overig)'!$C$17 &amp; "1:" &amp;
               'Hulp (overig)'!$C$17 &amp; "1000"),
      MATCH(
         R159,
         INDIRECT("'" &amp; 'Hulp (CAO''s)'!$AE$8 &amp; "'!A1:A1000"),
         0
      )
   )
), IF($D160="Gebruik % van maximum salaris",
IF(
    OR(R159="",R160=""),
    "",
    MAX(
        INDIRECT(
            "'" &amp; 'Hulp (overig)'!$C$16 &amp; "'!" &amp;
            'Hulp (overig)'!$C$17 &amp;
            MATCH(R159, INDIRECT("'" &amp; 'Hulp (overig)'!$C$16 &amp; "'!A1:A1000"), 0) &amp;
            ":" &amp;
            'Hulp (overig)'!$C$17 &amp;
LOOKUP(
    2,
    1 / (
        (ROW(INDIRECT("'" &amp; 'Hulp (overig)'!$C$16 &amp; "'!B1:B1000")) &lt;
            IF(S159&lt;&gt;"",
               MATCH(S159, INDIRECT("'" &amp; 'Hulp (overig)'!$C$16 &amp; "'!A1:A1000"),0),
               1000
            )
        ) *
        (LEFT(TRIM(INDIRECT("'" &amp; 'Hulp (overig)'!$C$16 &amp; "'!B1:B1000")),1) &lt;&gt; "u")
    ),
    ROW(INDIRECT("'" &amp; 'Hulp (overig)'!$C$16 &amp; "'!B1:B1000"))
)
        )
    ) * R160
),
IF(R161="","",
IF(
    IFERROR(MIN(
        IF(
            (TRIM(INDIRECT("'" &amp; 'Hulp (overig)'!$C$16 &amp; "'!B1:B1000")) = TEXT(R161,"0")) *
            (ROW(INDIRECT("'" &amp; 'Hulp (overig)'!$C$16 &amp; "'!B1:B1000")) &gt;= MATCH(
                R159,
                INDIRECT("'" &amp; 'Hulp (overig)'!$C$16 &amp; "'!A1:A1000"),
                0
            )) *
            IF(
                S159="",
                1,
                (ROW(INDIRECT("'" &amp; 'Hulp (overig)'!$C$16 &amp; "'!B1:B1000")) &lt; MATCH(
                    S159,
                    INDIRECT("'" &amp; 'Hulp (overig)'!$C$16 &amp; "'!A1:A1000"),
                    0
                ))
            ),
            ROW(INDIRECT("'" &amp; 'Hulp (overig)'!$C$16 &amp; "'!B1:B1000"))
        )
    ),0) &lt; 1,
    "",
    IF(INDEX(
        INDIRECT("'" &amp; 'Hulp (overig)'!$C$16 &amp; "'!" &amp;
        'Hulp (overig)'!$C$17 &amp; "1:" &amp; 'Hulp (overig)'!$C$17 &amp; 1000
        ),
        IFERROR(MIN(
            IF(
                (TRIM(INDIRECT("'" &amp; 'Hulp (overig)'!$C$16 &amp; "'!B1:B1000")) = TEXT(R161,"0")) *
                (ROW(INDIRECT("'" &amp; 'Hulp (overig)'!$C$16 &amp; "'!B1:B1000")) &gt;= MATCH(
                    R159,
                    INDIRECT("'" &amp; 'Hulp (overig)'!$C$16 &amp; "'!A1:A1000"),
                    0
                )) *
                IF(
                    S159="",
                    1,
                    (ROW(INDIRECT("'" &amp; 'Hulp (overig)'!$C$16 &amp; "'!B1:B1000")) &lt; MATCH(
                        S159,
                        INDIRECT("'" &amp; 'Hulp (overig)'!$C$16 &amp; "'!A1:A1000"),
                        0
                    ))
                ),
                ROW(INDIRECT("'" &amp; 'Hulp (overig)'!$C$16 &amp; "'!B1:B1000"))
            )
        ),0)
    )=0,"",
INDEX(
        INDIRECT("'" &amp; 'Hulp (overig)'!$C$16 &amp; "'!" &amp;
        'Hulp (overig)'!$C$17 &amp; "1:" &amp; 'Hulp (overig)'!$C$17 &amp; 1000
        ),
        IFERROR(MIN(
            IF(
                (TRIM(INDIRECT("'" &amp; 'Hulp (overig)'!$C$16 &amp; "'!B1:B1000")) = TEXT(R161,"0")) *
                (ROW(INDIRECT("'" &amp; 'Hulp (overig)'!$C$16 &amp; "'!B1:B1000")) &gt;= MATCH(
                    R159,
                    INDIRECT("'" &amp; 'Hulp (overig)'!$C$16 &amp; "'!A1:A1000"),
                    0
                )) *
                IF(
                    S159="",
                    1,
                    (ROW(INDIRECT("'" &amp; 'Hulp (overig)'!$C$16 &amp; "'!B1:B1000")) &lt; MATCH(
                        S159,
                        INDIRECT("'" &amp; 'Hulp (overig)'!$C$16 &amp; "'!A1:A1000"),
                        0
                    ))
                ),
                ROW(INDIRECT("'" &amp; 'Hulp (overig)'!$C$16 &amp; "'!B1:B1000"))
            )
        ),0)
    ))
))))</f>
        <v>#VALUE!</v>
      </c>
      <c r="S162" s="425" t="e" cm="1">
        <f t="array" aca="1" ref="S162" ca="1">IF($BF162, IF(S159="","",
   INDEX(
      INDIRECT("'" &amp; 'Hulp (CAO''s)'!$AE$8 &amp; "'!" &amp;
               'Hulp (overig)'!$C$17 &amp; "1:" &amp;
               'Hulp (overig)'!$C$17 &amp; "1000"),
      MATCH(
         S159,
         INDIRECT("'" &amp; 'Hulp (CAO''s)'!$AE$8 &amp; "'!A1:A1000"),
         0
      )
   )
), IF($D160="Gebruik % van maximum salaris",
IF(
    OR(S159="",S160=""),
    "",
    MAX(
        INDIRECT(
            "'" &amp; 'Hulp (overig)'!$C$16 &amp; "'!" &amp;
            'Hulp (overig)'!$C$17 &amp;
            MATCH(S159, INDIRECT("'" &amp; 'Hulp (overig)'!$C$16 &amp; "'!A1:A1000"), 0) &amp;
            ":" &amp;
            'Hulp (overig)'!$C$17 &amp;
LOOKUP(
    2,
    1 / (
        (ROW(INDIRECT("'" &amp; 'Hulp (overig)'!$C$16 &amp; "'!B1:B1000")) &lt;
            IF(T159&lt;&gt;"",
               MATCH(T159, INDIRECT("'" &amp; 'Hulp (overig)'!$C$16 &amp; "'!A1:A1000"),0),
               1000
            )
        ) *
        (LEFT(TRIM(INDIRECT("'" &amp; 'Hulp (overig)'!$C$16 &amp; "'!B1:B1000")),1) &lt;&gt; "u")
    ),
    ROW(INDIRECT("'" &amp; 'Hulp (overig)'!$C$16 &amp; "'!B1:B1000"))
)
        )
    ) * S160
),
IF(S161="","",
IF(
    IFERROR(MIN(
        IF(
            (TRIM(INDIRECT("'" &amp; 'Hulp (overig)'!$C$16 &amp; "'!B1:B1000")) = TEXT(S161,"0")) *
            (ROW(INDIRECT("'" &amp; 'Hulp (overig)'!$C$16 &amp; "'!B1:B1000")) &gt;= MATCH(
                S159,
                INDIRECT("'" &amp; 'Hulp (overig)'!$C$16 &amp; "'!A1:A1000"),
                0
            )) *
            IF(
                T159="",
                1,
                (ROW(INDIRECT("'" &amp; 'Hulp (overig)'!$C$16 &amp; "'!B1:B1000")) &lt; MATCH(
                    T159,
                    INDIRECT("'" &amp; 'Hulp (overig)'!$C$16 &amp; "'!A1:A1000"),
                    0
                ))
            ),
            ROW(INDIRECT("'" &amp; 'Hulp (overig)'!$C$16 &amp; "'!B1:B1000"))
        )
    ),0) &lt; 1,
    "",
    IF(INDEX(
        INDIRECT("'" &amp; 'Hulp (overig)'!$C$16 &amp; "'!" &amp;
        'Hulp (overig)'!$C$17 &amp; "1:" &amp; 'Hulp (overig)'!$C$17 &amp; 1000
        ),
        IFERROR(MIN(
            IF(
                (TRIM(INDIRECT("'" &amp; 'Hulp (overig)'!$C$16 &amp; "'!B1:B1000")) = TEXT(S161,"0")) *
                (ROW(INDIRECT("'" &amp; 'Hulp (overig)'!$C$16 &amp; "'!B1:B1000")) &gt;= MATCH(
                    S159,
                    INDIRECT("'" &amp; 'Hulp (overig)'!$C$16 &amp; "'!A1:A1000"),
                    0
                )) *
                IF(
                    T159="",
                    1,
                    (ROW(INDIRECT("'" &amp; 'Hulp (overig)'!$C$16 &amp; "'!B1:B1000")) &lt; MATCH(
                        T159,
                        INDIRECT("'" &amp; 'Hulp (overig)'!$C$16 &amp; "'!A1:A1000"),
                        0
                    ))
                ),
                ROW(INDIRECT("'" &amp; 'Hulp (overig)'!$C$16 &amp; "'!B1:B1000"))
            )
        ),0)
    )=0,"",
INDEX(
        INDIRECT("'" &amp; 'Hulp (overig)'!$C$16 &amp; "'!" &amp;
        'Hulp (overig)'!$C$17 &amp; "1:" &amp; 'Hulp (overig)'!$C$17 &amp; 1000
        ),
        IFERROR(MIN(
            IF(
                (TRIM(INDIRECT("'" &amp; 'Hulp (overig)'!$C$16 &amp; "'!B1:B1000")) = TEXT(S161,"0")) *
                (ROW(INDIRECT("'" &amp; 'Hulp (overig)'!$C$16 &amp; "'!B1:B1000")) &gt;= MATCH(
                    S159,
                    INDIRECT("'" &amp; 'Hulp (overig)'!$C$16 &amp; "'!A1:A1000"),
                    0
                )) *
                IF(
                    T159="",
                    1,
                    (ROW(INDIRECT("'" &amp; 'Hulp (overig)'!$C$16 &amp; "'!B1:B1000")) &lt; MATCH(
                        T159,
                        INDIRECT("'" &amp; 'Hulp (overig)'!$C$16 &amp; "'!A1:A1000"),
                        0
                    ))
                ),
                ROW(INDIRECT("'" &amp; 'Hulp (overig)'!$C$16 &amp; "'!B1:B1000"))
            )
        ),0)
    ))
))))</f>
        <v>#VALUE!</v>
      </c>
      <c r="T162" s="425" t="e" cm="1">
        <f t="array" aca="1" ref="T162" ca="1">IF($BF162, IF(T159="","",
   INDEX(
      INDIRECT("'" &amp; 'Hulp (CAO''s)'!$AE$8 &amp; "'!" &amp;
               'Hulp (overig)'!$C$17 &amp; "1:" &amp;
               'Hulp (overig)'!$C$17 &amp; "1000"),
      MATCH(
         T159,
         INDIRECT("'" &amp; 'Hulp (CAO''s)'!$AE$8 &amp; "'!A1:A1000"),
         0
      )
   )
), IF($D160="Gebruik % van maximum salaris",
IF(
    OR(T159="",T160=""),
    "",
    MAX(
        INDIRECT(
            "'" &amp; 'Hulp (overig)'!$C$16 &amp; "'!" &amp;
            'Hulp (overig)'!$C$17 &amp;
            MATCH(T159, INDIRECT("'" &amp; 'Hulp (overig)'!$C$16 &amp; "'!A1:A1000"), 0) &amp;
            ":" &amp;
            'Hulp (overig)'!$C$17 &amp;
LOOKUP(
    2,
    1 / (
        (ROW(INDIRECT("'" &amp; 'Hulp (overig)'!$C$16 &amp; "'!B1:B1000")) &lt;
            IF(U159&lt;&gt;"",
               MATCH(U159, INDIRECT("'" &amp; 'Hulp (overig)'!$C$16 &amp; "'!A1:A1000"),0),
               1000
            )
        ) *
        (LEFT(TRIM(INDIRECT("'" &amp; 'Hulp (overig)'!$C$16 &amp; "'!B1:B1000")),1) &lt;&gt; "u")
    ),
    ROW(INDIRECT("'" &amp; 'Hulp (overig)'!$C$16 &amp; "'!B1:B1000"))
)
        )
    ) * T160
),
IF(T161="","",
IF(
    IFERROR(MIN(
        IF(
            (TRIM(INDIRECT("'" &amp; 'Hulp (overig)'!$C$16 &amp; "'!B1:B1000")) = TEXT(T161,"0")) *
            (ROW(INDIRECT("'" &amp; 'Hulp (overig)'!$C$16 &amp; "'!B1:B1000")) &gt;= MATCH(
                T159,
                INDIRECT("'" &amp; 'Hulp (overig)'!$C$16 &amp; "'!A1:A1000"),
                0
            )) *
            IF(
                U159="",
                1,
                (ROW(INDIRECT("'" &amp; 'Hulp (overig)'!$C$16 &amp; "'!B1:B1000")) &lt; MATCH(
                    U159,
                    INDIRECT("'" &amp; 'Hulp (overig)'!$C$16 &amp; "'!A1:A1000"),
                    0
                ))
            ),
            ROW(INDIRECT("'" &amp; 'Hulp (overig)'!$C$16 &amp; "'!B1:B1000"))
        )
    ),0) &lt; 1,
    "",
    IF(INDEX(
        INDIRECT("'" &amp; 'Hulp (overig)'!$C$16 &amp; "'!" &amp;
        'Hulp (overig)'!$C$17 &amp; "1:" &amp; 'Hulp (overig)'!$C$17 &amp; 1000
        ),
        IFERROR(MIN(
            IF(
                (TRIM(INDIRECT("'" &amp; 'Hulp (overig)'!$C$16 &amp; "'!B1:B1000")) = TEXT(T161,"0")) *
                (ROW(INDIRECT("'" &amp; 'Hulp (overig)'!$C$16 &amp; "'!B1:B1000")) &gt;= MATCH(
                    T159,
                    INDIRECT("'" &amp; 'Hulp (overig)'!$C$16 &amp; "'!A1:A1000"),
                    0
                )) *
                IF(
                    U159="",
                    1,
                    (ROW(INDIRECT("'" &amp; 'Hulp (overig)'!$C$16 &amp; "'!B1:B1000")) &lt; MATCH(
                        U159,
                        INDIRECT("'" &amp; 'Hulp (overig)'!$C$16 &amp; "'!A1:A1000"),
                        0
                    ))
                ),
                ROW(INDIRECT("'" &amp; 'Hulp (overig)'!$C$16 &amp; "'!B1:B1000"))
            )
        ),0)
    )=0,"",
INDEX(
        INDIRECT("'" &amp; 'Hulp (overig)'!$C$16 &amp; "'!" &amp;
        'Hulp (overig)'!$C$17 &amp; "1:" &amp; 'Hulp (overig)'!$C$17 &amp; 1000
        ),
        IFERROR(MIN(
            IF(
                (TRIM(INDIRECT("'" &amp; 'Hulp (overig)'!$C$16 &amp; "'!B1:B1000")) = TEXT(T161,"0")) *
                (ROW(INDIRECT("'" &amp; 'Hulp (overig)'!$C$16 &amp; "'!B1:B1000")) &gt;= MATCH(
                    T159,
                    INDIRECT("'" &amp; 'Hulp (overig)'!$C$16 &amp; "'!A1:A1000"),
                    0
                )) *
                IF(
                    U159="",
                    1,
                    (ROW(INDIRECT("'" &amp; 'Hulp (overig)'!$C$16 &amp; "'!B1:B1000")) &lt; MATCH(
                        U159,
                        INDIRECT("'" &amp; 'Hulp (overig)'!$C$16 &amp; "'!A1:A1000"),
                        0
                    ))
                ),
                ROW(INDIRECT("'" &amp; 'Hulp (overig)'!$C$16 &amp; "'!B1:B1000"))
            )
        ),0)
    ))
))))</f>
        <v>#VALUE!</v>
      </c>
      <c r="U162" s="723" t="e" cm="1">
        <f t="array" aca="1" ref="U162" ca="1">IF($BF162, IF(U159="","",
   INDEX(
      INDIRECT("'" &amp; 'Hulp (CAO''s)'!$AE$8 &amp; "'!" &amp;
               'Hulp (overig)'!$C$17 &amp; "1:" &amp;
               'Hulp (overig)'!$C$17 &amp; "1000"),
      MATCH(
         U159,
         INDIRECT("'" &amp; 'Hulp (CAO''s)'!$AE$8 &amp; "'!A1:A1000"),
         0
      )
   )
), IF($D160="Gebruik % van maximum salaris",
IF(
    OR(U159="",U160=""),
    "",
    MAX(
        INDIRECT(
            "'" &amp; 'Hulp (overig)'!$C$16 &amp; "'!" &amp;
            'Hulp (overig)'!$C$17 &amp;
            MATCH(U159, INDIRECT("'" &amp; 'Hulp (overig)'!$C$16 &amp; "'!A1:A1000"), 0) &amp;
            ":" &amp;
            'Hulp (overig)'!$C$17 &amp;
LOOKUP(
    2,
    1 / (
        (ROW(INDIRECT("'" &amp; 'Hulp (overig)'!$C$16 &amp; "'!B1:B1000")) &lt;
            IF(V159&lt;&gt;"",
               MATCH(V159, INDIRECT("'" &amp; 'Hulp (overig)'!$C$16 &amp; "'!A1:A1000"),0),
               1000
            )
        ) *
        (LEFT(TRIM(INDIRECT("'" &amp; 'Hulp (overig)'!$C$16 &amp; "'!B1:B1000")),1) &lt;&gt; "u")
    ),
    ROW(INDIRECT("'" &amp; 'Hulp (overig)'!$C$16 &amp; "'!B1:B1000"))
)
        )
    ) * U160
),
IF(U161="","",
IF(
    IFERROR(MIN(
        IF(
            (TRIM(INDIRECT("'" &amp; 'Hulp (overig)'!$C$16 &amp; "'!B1:B1000")) = TEXT(U161,"0")) *
            (ROW(INDIRECT("'" &amp; 'Hulp (overig)'!$C$16 &amp; "'!B1:B1000")) &gt;= MATCH(
                U159,
                INDIRECT("'" &amp; 'Hulp (overig)'!$C$16 &amp; "'!A1:A1000"),
                0
            )) *
            IF(
                V159="",
                1,
                (ROW(INDIRECT("'" &amp; 'Hulp (overig)'!$C$16 &amp; "'!B1:B1000")) &lt; MATCH(
                    V159,
                    INDIRECT("'" &amp; 'Hulp (overig)'!$C$16 &amp; "'!A1:A1000"),
                    0
                ))
            ),
            ROW(INDIRECT("'" &amp; 'Hulp (overig)'!$C$16 &amp; "'!B1:B1000"))
        )
    ),0) &lt; 1,
    "",
    IF(INDEX(
        INDIRECT("'" &amp; 'Hulp (overig)'!$C$16 &amp; "'!" &amp;
        'Hulp (overig)'!$C$17 &amp; "1:" &amp; 'Hulp (overig)'!$C$17 &amp; 1000
        ),
        IFERROR(MIN(
            IF(
                (TRIM(INDIRECT("'" &amp; 'Hulp (overig)'!$C$16 &amp; "'!B1:B1000")) = TEXT(U161,"0")) *
                (ROW(INDIRECT("'" &amp; 'Hulp (overig)'!$C$16 &amp; "'!B1:B1000")) &gt;= MATCH(
                    U159,
                    INDIRECT("'" &amp; 'Hulp (overig)'!$C$16 &amp; "'!A1:A1000"),
                    0
                )) *
                IF(
                    V159="",
                    1,
                    (ROW(INDIRECT("'" &amp; 'Hulp (overig)'!$C$16 &amp; "'!B1:B1000")) &lt; MATCH(
                        V159,
                        INDIRECT("'" &amp; 'Hulp (overig)'!$C$16 &amp; "'!A1:A1000"),
                        0
                    ))
                ),
                ROW(INDIRECT("'" &amp; 'Hulp (overig)'!$C$16 &amp; "'!B1:B1000"))
            )
        ),0)
    )=0,"",
INDEX(
        INDIRECT("'" &amp; 'Hulp (overig)'!$C$16 &amp; "'!" &amp;
        'Hulp (overig)'!$C$17 &amp; "1:" &amp; 'Hulp (overig)'!$C$17 &amp; 1000
        ),
        IFERROR(MIN(
            IF(
                (TRIM(INDIRECT("'" &amp; 'Hulp (overig)'!$C$16 &amp; "'!B1:B1000")) = TEXT(U161,"0")) *
                (ROW(INDIRECT("'" &amp; 'Hulp (overig)'!$C$16 &amp; "'!B1:B1000")) &gt;= MATCH(
                    U159,
                    INDIRECT("'" &amp; 'Hulp (overig)'!$C$16 &amp; "'!A1:A1000"),
                    0
                )) *
                IF(
                    V159="",
                    1,
                    (ROW(INDIRECT("'" &amp; 'Hulp (overig)'!$C$16 &amp; "'!B1:B1000")) &lt; MATCH(
                        V159,
                        INDIRECT("'" &amp; 'Hulp (overig)'!$C$16 &amp; "'!A1:A1000"),
                        0
                    ))
                ),
                ROW(INDIRECT("'" &amp; 'Hulp (overig)'!$C$16 &amp; "'!B1:B1000"))
            )
        ),0)
    ))
))))</f>
        <v>#VALUE!</v>
      </c>
      <c r="V162" s="413" t="str" cm="1">
        <f t="array" ref="V162">IF(SUM(F163:U163)=0,"",
IF(SUM(F162:U162)=0,"",
IF(SUMPRODUCT((F163:U163&lt;&gt;0)*(F162:U162=""))&gt;0,"",
(
   SUMPRODUCT(
      IF(F162:U162="",0,F162:U162),
      IF(F163:U163="",0,F163:U163) / SUM(F163:U163)
   )
))))</f>
        <v/>
      </c>
      <c r="W162" s="418"/>
      <c r="X162" s="620"/>
      <c r="Y162" s="419" t="str">
        <f ca="1">IF(B159="","",
        IF(INDIRECT("'Hulp (control forms)'!C" &amp; (13 + INT((ROW()-ROW($B$5))/7))),
            IF(X162="","",X162),
            IF(V162="","",V162)
    )
)</f>
        <v/>
      </c>
      <c r="Z162" s="333"/>
      <c r="AA162" s="771"/>
      <c r="AB162" s="770"/>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c r="BA162" cm="1">
        <f t="array" aca="1" ref="BA162" ca="1">IF(
   SUM(Y162)=0,
   1,
   IF(
      N(INDIRECT("'Hulp (control forms)'!C"&amp;(13+INT((ROW()-ROW($B$5))/7))))&lt;&gt;0,
      MIN(1,
      ('Hulp (overig)'!$C$6/12) /
      (Y162 * BC162 + BD162)),
      MIN(1,
         IF(
            SUM(F162:U162)=0,
            "",
            SUMPRODUCT(
               IF(
                  (IF(F162:U162="",0,F162:U162) * BC162) + BD162
                  &gt; 'Hulp (overig)'!$C$6/12,
                  'Hulp (overig)'!$C$6/12,
                  (IF(F162:U162="",0,F162:U162) * BC162) + BD162
               ),
               IF(F163:U163="",0,F163:U163) / SUM(F163:U163)
            )
         ) /
         ((Y162 * BC162) + BD162)
      )
   )
)</f>
        <v>1</v>
      </c>
      <c r="BB162" cm="1">
        <f t="array" aca="1" ref="BB162" ca="1">IF(
   SUM(Y162)=0,
   1,
   IF(
      N(INDIRECT("'Hulp (control forms)'!C"&amp;(13+INT((ROW()-ROW($B$5))/7))))&lt;&gt;0,
      MIN('Hulp (overig)'!$C$5/12,
      (Y162 * BC162) + BD162) * 12,
         IF(
            SUM(F162:U162)=0,
            "",
            SUMPRODUCT(
               IF(
                  (IF(F162:U162="",0,F162:U162) * BC162) + BD162
                  &gt; 'Hulp (overig)'!$C$5/12,
                  'Hulp (overig)'!$C$5/12,
                  (IF(F162:U162="",0,F162:U162) * BC162) + BD162
               ),
               IF(F163:U163="",0,F163:U163) / SUM(F163:U163)
            )
         ) * 12
   )
)</f>
        <v>1</v>
      </c>
      <c r="BC162" s="287" cm="1">
        <f t="array" aca="1" ref="BC162" ca="1">IFERROR(
   (INDEX('2. Output kostprijs'!$24:$24, 5 + 2*INT((ROW()-8)/7))
    - SUM(INDEX('2. Output kostprijs'!$23:$23, 5 + 2*INT((ROW()-8)/7))))
   / INDEX('2. Output kostprijs'!$19:$19, 5 + 2*INT((ROW()-8)/7)),
   1
)</f>
        <v>1</v>
      </c>
      <c r="BD162" s="287" cm="1">
        <f t="array" aca="1" ref="BD162" ca="1">IFERROR(
   (INDEX('2. Output kostprijs'!$23:$23, 5 + 2*INT((ROW()-8)/7))
    * INDEX('2. Output kostprijs'!$18:$18, 5 + 2*INT((ROW()-8)/7))
   ) / 12,
   0
)</f>
        <v>0</v>
      </c>
      <c r="BE162" t="b">
        <f ca="1">NOT(AND(B159&lt;&gt;"",Y162=""))</f>
        <v>1</v>
      </c>
      <c r="BF162" t="str" cm="1">
        <f t="array" aca="1" ref="BF162" ca="1">INDIRECT("'1a. Input organisatieniveau'!$AD" &amp; 7 + INT((ROW()-ROW($F$8))/7))</f>
        <v/>
      </c>
      <c r="BG162" t="b" cm="1">
        <f t="array" ref="BG162">IFERROR(INDEX('Hulp (control forms)'!C:C, 13 + INT((ROW(A155)-1)/7)),FALSE)</f>
        <v>0</v>
      </c>
    </row>
    <row r="163" spans="1:59" ht="16.05" customHeight="1" thickBot="1" x14ac:dyDescent="0.5">
      <c r="A163" s="289"/>
      <c r="B163" s="343"/>
      <c r="C163" s="325" t="s">
        <v>779</v>
      </c>
      <c r="D163" s="688" t="s">
        <v>60</v>
      </c>
      <c r="E163" s="433" t="s">
        <v>59</v>
      </c>
      <c r="F163" s="624"/>
      <c r="G163" s="624"/>
      <c r="H163" s="624"/>
      <c r="I163" s="624"/>
      <c r="J163" s="624"/>
      <c r="K163" s="624"/>
      <c r="L163" s="624"/>
      <c r="M163" s="624"/>
      <c r="N163" s="624"/>
      <c r="O163" s="624"/>
      <c r="P163" s="624"/>
      <c r="Q163" s="624"/>
      <c r="R163" s="624"/>
      <c r="S163" s="624"/>
      <c r="T163" s="624"/>
      <c r="U163" s="625"/>
      <c r="V163" s="420" t="str">
        <f ca="1">IF($B159="","",IF($D163="Aandeel in %",
   "Totaal: "&amp;SUM(F163:U163)*100&amp;"%",
   "Totaal: "&amp;SUM(F163:U163)&amp;" uur"
))</f>
        <v/>
      </c>
      <c r="W163" s="294"/>
      <c r="X163" s="621"/>
      <c r="Y163" s="328"/>
      <c r="Z163" s="32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row>
    <row r="164" spans="1:59" ht="16.05" customHeight="1" thickBot="1" x14ac:dyDescent="0.5">
      <c r="A164" s="289"/>
      <c r="B164" s="343"/>
      <c r="C164" s="326" t="s">
        <v>779</v>
      </c>
      <c r="D164" s="421"/>
      <c r="E164" s="426"/>
      <c r="F164" s="426"/>
      <c r="G164" s="426"/>
      <c r="H164" s="426"/>
      <c r="I164" s="426"/>
      <c r="J164" s="426"/>
      <c r="K164" s="426"/>
      <c r="L164" s="426"/>
      <c r="M164" s="426"/>
      <c r="N164" s="426"/>
      <c r="O164" s="426"/>
      <c r="P164" s="426"/>
      <c r="Q164" s="426"/>
      <c r="R164" s="426"/>
      <c r="S164" s="426"/>
      <c r="T164" s="427"/>
      <c r="U164" s="427"/>
      <c r="V164" s="421"/>
      <c r="W164" s="421"/>
      <c r="X164" s="622"/>
      <c r="Y164" s="421"/>
      <c r="Z164" s="327"/>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row>
    <row r="165" spans="1:59" ht="16.05" customHeight="1" thickBot="1" x14ac:dyDescent="0.55000000000000004">
      <c r="A165" s="289"/>
      <c r="B165" s="585" t="str">
        <f ca="1">IF(B166="","",
IF(
   OR(
      INDIRECT("'1a. Input organisatieniveau'!AC" &amp; (7 + INT((ROW()-4)/7)))="",
      INDIRECT("'1a. Input organisatieniveau'!AC" &amp; (7 + INT((ROW()-4)/7)))=0
   ),
   "",
   INDIRECT("'1a. Input organisatieniveau'!AC" &amp; (7 + INT((ROW()-4)/7)))
))</f>
        <v/>
      </c>
      <c r="C165" s="324" t="s">
        <v>779</v>
      </c>
      <c r="D165" s="416"/>
      <c r="E165" s="428"/>
      <c r="F165" s="422" t="str">
        <f t="shared" ref="F165:U165" ca="1" si="23">IF($B166="","",
IF($D167="Gebruik % van maximum salaris",
 IF(OR(AND(AND(F166&lt;&gt;"",F167&lt;&gt;""),F169=""),AND(F169="",F170&lt;&gt;"")),"!",""),
 IF(OR(AND(AND(F166&lt;&gt;"",F168&lt;&gt;""),F169=""),AND(F169="",F170&lt;&gt;"")),"!","")))</f>
        <v/>
      </c>
      <c r="G165" s="422" t="str">
        <f t="shared" ca="1" si="23"/>
        <v/>
      </c>
      <c r="H165" s="422" t="str">
        <f t="shared" ca="1" si="23"/>
        <v/>
      </c>
      <c r="I165" s="422" t="str">
        <f t="shared" ca="1" si="23"/>
        <v/>
      </c>
      <c r="J165" s="422" t="str">
        <f t="shared" ca="1" si="23"/>
        <v/>
      </c>
      <c r="K165" s="422" t="str">
        <f t="shared" ca="1" si="23"/>
        <v/>
      </c>
      <c r="L165" s="422" t="str">
        <f t="shared" ca="1" si="23"/>
        <v/>
      </c>
      <c r="M165" s="422" t="str">
        <f t="shared" ca="1" si="23"/>
        <v/>
      </c>
      <c r="N165" s="422" t="str">
        <f t="shared" ca="1" si="23"/>
        <v/>
      </c>
      <c r="O165" s="422" t="str">
        <f t="shared" ca="1" si="23"/>
        <v/>
      </c>
      <c r="P165" s="422" t="str">
        <f t="shared" ca="1" si="23"/>
        <v/>
      </c>
      <c r="Q165" s="422" t="str">
        <f t="shared" ca="1" si="23"/>
        <v/>
      </c>
      <c r="R165" s="422" t="str">
        <f t="shared" ca="1" si="23"/>
        <v/>
      </c>
      <c r="S165" s="422" t="str">
        <f t="shared" ca="1" si="23"/>
        <v/>
      </c>
      <c r="T165" s="422" t="str">
        <f t="shared" ca="1" si="23"/>
        <v/>
      </c>
      <c r="U165" s="422" t="str">
        <f t="shared" ca="1" si="23"/>
        <v/>
      </c>
      <c r="V165" s="416"/>
      <c r="W165" s="416"/>
      <c r="X165" s="619"/>
      <c r="Y165" s="416"/>
      <c r="Z165" s="330"/>
      <c r="AA165" s="354"/>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row>
    <row r="166" spans="1:59" ht="16.05" customHeight="1" thickBot="1" x14ac:dyDescent="0.5">
      <c r="A166" s="289"/>
      <c r="B166" s="586" t="str">
        <f ca="1">IF(
   OR(
      INDIRECT("'1a. Input organisatieniveau'!AA" &amp; (7 + INT((ROW()-4)/7)))="",
      INDIRECT("'1a. Input organisatieniveau'!AA" &amp; (7 + INT((ROW()-4)/7)))=0
   ),
   "",
   INDIRECT("'1a. Input organisatieniveau'!AA" &amp; (7 + INT((ROW()-4)/7)))
)</f>
        <v/>
      </c>
      <c r="C166" s="325" t="s">
        <v>779</v>
      </c>
      <c r="D166" s="434"/>
      <c r="E166" s="429" t="s">
        <v>28</v>
      </c>
      <c r="F166" s="423" t="str">
        <f ca="1">IF($B166="", "", IF($BF169, IF('Hulp (CAO''s)'!J$8&lt;&gt;"",'Hulp (CAO''s)'!J$8,""), INDEX('Hulp (CAO''s)'!J$3:J$7, MATCH(TRUE, 'Hulp (CAO''s)'!$D$3:$D$7, 0))))</f>
        <v/>
      </c>
      <c r="G166" s="423" t="str">
        <f ca="1">IF($B166="", "", IF($BF169, IF('Hulp (CAO''s)'!K$8&lt;&gt;"",'Hulp (CAO''s)'!K$8,""), INDEX('Hulp (CAO''s)'!K$3:K$7, MATCH(TRUE, 'Hulp (CAO''s)'!$D$3:$D$7, 0))))</f>
        <v/>
      </c>
      <c r="H166" s="423" t="str">
        <f ca="1">IF($B166="", "", IF($BF169, IF('Hulp (CAO''s)'!L$8&lt;&gt;"",'Hulp (CAO''s)'!L$8,""), INDEX('Hulp (CAO''s)'!L$3:L$7, MATCH(TRUE, 'Hulp (CAO''s)'!$D$3:$D$7, 0))))</f>
        <v/>
      </c>
      <c r="I166" s="423" t="str">
        <f ca="1">IF($B166="", "", IF($BF169, IF('Hulp (CAO''s)'!M$8&lt;&gt;"",'Hulp (CAO''s)'!M$8,""), INDEX('Hulp (CAO''s)'!M$3:M$7, MATCH(TRUE, 'Hulp (CAO''s)'!$D$3:$D$7, 0))))</f>
        <v/>
      </c>
      <c r="J166" s="423" t="str">
        <f ca="1">IF($B166="", "", IF($BF169, IF('Hulp (CAO''s)'!N$8&lt;&gt;"",'Hulp (CAO''s)'!N$8,""), INDEX('Hulp (CAO''s)'!N$3:N$7, MATCH(TRUE, 'Hulp (CAO''s)'!$D$3:$D$7, 0))))</f>
        <v/>
      </c>
      <c r="K166" s="423" t="str">
        <f ca="1">IF($B166="", "", IF($BF169, IF('Hulp (CAO''s)'!O$8&lt;&gt;"",'Hulp (CAO''s)'!O$8,""), INDEX('Hulp (CAO''s)'!O$3:O$7, MATCH(TRUE, 'Hulp (CAO''s)'!$D$3:$D$7, 0))))</f>
        <v/>
      </c>
      <c r="L166" s="423" t="str">
        <f ca="1">IF($B166="", "", IF($BF169, IF('Hulp (CAO''s)'!P$8&lt;&gt;"",'Hulp (CAO''s)'!P$8,""), INDEX('Hulp (CAO''s)'!P$3:P$7, MATCH(TRUE, 'Hulp (CAO''s)'!$D$3:$D$7, 0))))</f>
        <v/>
      </c>
      <c r="M166" s="423" t="str">
        <f ca="1">IF($B166="", "", IF($BF169, IF('Hulp (CAO''s)'!Q$8&lt;&gt;"",'Hulp (CAO''s)'!Q$8,""), INDEX('Hulp (CAO''s)'!Q$3:Q$7, MATCH(TRUE, 'Hulp (CAO''s)'!$D$3:$D$7, 0))))</f>
        <v/>
      </c>
      <c r="N166" s="423" t="str">
        <f ca="1">IF($B166="", "", IF($BF169, IF('Hulp (CAO''s)'!R$8&lt;&gt;"",'Hulp (CAO''s)'!R$8,""), INDEX('Hulp (CAO''s)'!R$3:R$7, MATCH(TRUE, 'Hulp (CAO''s)'!$D$3:$D$7, 0))))</f>
        <v/>
      </c>
      <c r="O166" s="423" t="str">
        <f ca="1">IF($B166="", "", IF($BF169, IF('Hulp (CAO''s)'!S$8&lt;&gt;"",'Hulp (CAO''s)'!S$8,""), INDEX('Hulp (CAO''s)'!S$3:S$7, MATCH(TRUE, 'Hulp (CAO''s)'!$D$3:$D$7, 0))))</f>
        <v/>
      </c>
      <c r="P166" s="423" t="str">
        <f ca="1">IF($B166="", "", IF($BF169, IF('Hulp (CAO''s)'!T$8&lt;&gt;"",'Hulp (CAO''s)'!T$8,""), INDEX('Hulp (CAO''s)'!T$3:T$7, MATCH(TRUE, 'Hulp (CAO''s)'!$D$3:$D$7, 0))))</f>
        <v/>
      </c>
      <c r="Q166" s="423" t="str">
        <f ca="1">IF($B166="", "", IF($BF169, IF('Hulp (CAO''s)'!U$8&lt;&gt;"",'Hulp (CAO''s)'!U$8,""), INDEX('Hulp (CAO''s)'!U$3:U$7, MATCH(TRUE, 'Hulp (CAO''s)'!$D$3:$D$7, 0))))</f>
        <v/>
      </c>
      <c r="R166" s="423" t="str">
        <f ca="1">IF($B166="", "", IF($BF169, IF('Hulp (CAO''s)'!V$8&lt;&gt;"",'Hulp (CAO''s)'!V$8,""), INDEX('Hulp (CAO''s)'!V$3:V$7, MATCH(TRUE, 'Hulp (CAO''s)'!$D$3:$D$7, 0))))</f>
        <v/>
      </c>
      <c r="S166" s="423" t="str">
        <f ca="1">IF($B166="", "", IF($BF169, IF('Hulp (CAO''s)'!W$8&lt;&gt;"",'Hulp (CAO''s)'!W$8,""), INDEX('Hulp (CAO''s)'!W$3:W$7, MATCH(TRUE, 'Hulp (CAO''s)'!$D$3:$D$7, 0))))</f>
        <v/>
      </c>
      <c r="T166" s="423" t="str">
        <f ca="1">IF($B166="", "", IF($BF169, IF('Hulp (CAO''s)'!X$8&lt;&gt;"",'Hulp (CAO''s)'!X$8,""), INDEX('Hulp (CAO''s)'!X$3:X$7, MATCH(TRUE, 'Hulp (CAO''s)'!$D$3:$D$7, 0))))</f>
        <v/>
      </c>
      <c r="U166" s="424" t="str">
        <f ca="1">IF($B166="", "", IF($BF169, IF('Hulp (CAO''s)'!Y$8&lt;&gt;"",'Hulp (CAO''s)'!Y$8,""), INDEX('Hulp (CAO''s)'!Y$3:Y$7, MATCH(TRUE, 'Hulp (CAO''s)'!$D$3:$D$7, 0))))</f>
        <v/>
      </c>
      <c r="V166" s="417"/>
      <c r="W166" s="343"/>
      <c r="X166" s="617"/>
      <c r="Y166" s="343"/>
      <c r="Z166" s="329"/>
      <c r="AA166" s="320"/>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row>
    <row r="167" spans="1:59" ht="16.05" customHeight="1" x14ac:dyDescent="0.45">
      <c r="A167" s="289"/>
      <c r="B167" s="343"/>
      <c r="C167" s="325" t="s">
        <v>779</v>
      </c>
      <c r="D167" s="772" t="s">
        <v>772</v>
      </c>
      <c r="E167" s="430" t="e">
        <f ca="1">IF($BF169, "", "% t.o.v. max salaris in de schaal")</f>
        <v>#VALUE!</v>
      </c>
      <c r="F167" s="615"/>
      <c r="G167" s="615"/>
      <c r="H167" s="615"/>
      <c r="I167" s="615"/>
      <c r="J167" s="615"/>
      <c r="K167" s="615"/>
      <c r="L167" s="615"/>
      <c r="M167" s="615"/>
      <c r="N167" s="615"/>
      <c r="O167" s="615"/>
      <c r="P167" s="615"/>
      <c r="Q167" s="615"/>
      <c r="R167" s="615"/>
      <c r="S167" s="615"/>
      <c r="T167" s="615"/>
      <c r="U167" s="616"/>
      <c r="V167" s="774" t="s">
        <v>884</v>
      </c>
      <c r="W167" s="332"/>
      <c r="X167" s="776" t="s">
        <v>882</v>
      </c>
      <c r="Y167" s="778" t="s">
        <v>883</v>
      </c>
      <c r="Z167" s="329"/>
      <c r="AA167" s="771" t="s">
        <v>780</v>
      </c>
      <c r="AB167" s="770" t="s">
        <v>1079</v>
      </c>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row>
    <row r="168" spans="1:59" ht="16.05" customHeight="1" thickBot="1" x14ac:dyDescent="0.5">
      <c r="A168" s="289"/>
      <c r="B168" s="343"/>
      <c r="C168" s="325" t="s">
        <v>779</v>
      </c>
      <c r="D168" s="773"/>
      <c r="E168" s="431" t="e">
        <f ca="1">IF($BF169, "", "Trede (gemiddeld)")</f>
        <v>#VALUE!</v>
      </c>
      <c r="F168" s="737"/>
      <c r="G168" s="737"/>
      <c r="H168" s="737"/>
      <c r="I168" s="737"/>
      <c r="J168" s="737"/>
      <c r="K168" s="737"/>
      <c r="L168" s="737"/>
      <c r="M168" s="737"/>
      <c r="N168" s="737"/>
      <c r="O168" s="737"/>
      <c r="P168" s="737"/>
      <c r="Q168" s="737"/>
      <c r="R168" s="737"/>
      <c r="S168" s="737"/>
      <c r="T168" s="737"/>
      <c r="U168" s="740"/>
      <c r="V168" s="775"/>
      <c r="W168" s="294"/>
      <c r="X168" s="777"/>
      <c r="Y168" s="779"/>
      <c r="Z168" s="329"/>
      <c r="AA168" s="771"/>
      <c r="AB168" s="770"/>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row>
    <row r="169" spans="1:59" ht="16.05" customHeight="1" thickBot="1" x14ac:dyDescent="0.5">
      <c r="A169" s="289"/>
      <c r="B169" s="343"/>
      <c r="C169" s="325" t="s">
        <v>779</v>
      </c>
      <c r="E169" s="432" t="str">
        <f>IFERROR(
   INDEX('Hulp (CAO''s)'!$I$3:$I$7, MATCH(TRUE, 'Hulp (CAO''s)'!$D$3:$D$7, 0)),
"")</f>
        <v>Bruto maandsalaris</v>
      </c>
      <c r="F169" s="425" t="e" cm="1">
        <f t="array" aca="1" ref="F169" ca="1">IF($BF169, IF(F166="","",
   INDEX(
      INDIRECT("'" &amp; 'Hulp (CAO''s)'!$AE$8 &amp; "'!" &amp;
               'Hulp (overig)'!$C$17 &amp; "1:" &amp;
               'Hulp (overig)'!$C$17 &amp; "1000"),
      MATCH(
         F166,
         INDIRECT("'" &amp; 'Hulp (CAO''s)'!$AE$8 &amp; "'!A1:A1000"),
         0
      )
   )
), IF($D167="Gebruik % van maximum salaris",
IF(
    OR(F166="",F167=""),
    "",
    MAX(
        INDIRECT(
            "'" &amp; 'Hulp (overig)'!$C$16 &amp; "'!" &amp;
            'Hulp (overig)'!$C$17 &amp;
            MATCH(F166, INDIRECT("'" &amp; 'Hulp (overig)'!$C$16 &amp; "'!A1:A1000"), 0) &amp;
            ":" &amp;
            'Hulp (overig)'!$C$17 &amp;
LOOKUP(
    2,
    1 / (
        (ROW(INDIRECT("'" &amp; 'Hulp (overig)'!$C$16 &amp; "'!B1:B1000")) &lt;
            IF(G166&lt;&gt;"",
               MATCH(G166, INDIRECT("'" &amp; 'Hulp (overig)'!$C$16 &amp; "'!A1:A1000"),0),
               1000
            )
        ) *
        (LEFT(TRIM(INDIRECT("'" &amp; 'Hulp (overig)'!$C$16 &amp; "'!B1:B1000")),1) &lt;&gt; "u")
    ),
    ROW(INDIRECT("'" &amp; 'Hulp (overig)'!$C$16 &amp; "'!B1:B1000"))
)
        )
    ) * F167
),
IF(F168="","",
IF(
    IFERROR(MIN(
        IF(
            (TRIM(INDIRECT("'" &amp; 'Hulp (overig)'!$C$16 &amp; "'!B1:B1000")) = TEXT(F168,"0")) *
            (ROW(INDIRECT("'" &amp; 'Hulp (overig)'!$C$16 &amp; "'!B1:B1000")) &gt;= MATCH(
                F166,
                INDIRECT("'" &amp; 'Hulp (overig)'!$C$16 &amp; "'!A1:A1000"),
                0
            )) *
            IF(
                G166="",
                1,
                (ROW(INDIRECT("'" &amp; 'Hulp (overig)'!$C$16 &amp; "'!B1:B1000")) &lt; MATCH(
                    G166,
                    INDIRECT("'" &amp; 'Hulp (overig)'!$C$16 &amp; "'!A1:A1000"),
                    0
                ))
            ),
            ROW(INDIRECT("'" &amp; 'Hulp (overig)'!$C$16 &amp; "'!B1:B1000"))
        )
    ),0) &lt; 1,
    "",
    IF(INDEX(
        INDIRECT("'" &amp; 'Hulp (overig)'!$C$16 &amp; "'!" &amp;
        'Hulp (overig)'!$C$17 &amp; "1:" &amp; 'Hulp (overig)'!$C$17 &amp; 1000
        ),
        IFERROR(MIN(
            IF(
                (TRIM(INDIRECT("'" &amp; 'Hulp (overig)'!$C$16 &amp; "'!B1:B1000")) = TEXT(F168,"0")) *
                (ROW(INDIRECT("'" &amp; 'Hulp (overig)'!$C$16 &amp; "'!B1:B1000")) &gt;= MATCH(
                    F166,
                    INDIRECT("'" &amp; 'Hulp (overig)'!$C$16 &amp; "'!A1:A1000"),
                    0
                )) *
                IF(
                    G166="",
                    1,
                    (ROW(INDIRECT("'" &amp; 'Hulp (overig)'!$C$16 &amp; "'!B1:B1000")) &lt; MATCH(
                        G166,
                        INDIRECT("'" &amp; 'Hulp (overig)'!$C$16 &amp; "'!A1:A1000"),
                        0
                    ))
                ),
                ROW(INDIRECT("'" &amp; 'Hulp (overig)'!$C$16 &amp; "'!B1:B1000"))
            )
        ),0)
    )=0,"",
INDEX(
        INDIRECT("'" &amp; 'Hulp (overig)'!$C$16 &amp; "'!" &amp;
        'Hulp (overig)'!$C$17 &amp; "1:" &amp; 'Hulp (overig)'!$C$17 &amp; 1000
        ),
        IFERROR(MIN(
            IF(
                (TRIM(INDIRECT("'" &amp; 'Hulp (overig)'!$C$16 &amp; "'!B1:B1000")) = TEXT(F168,"0")) *
                (ROW(INDIRECT("'" &amp; 'Hulp (overig)'!$C$16 &amp; "'!B1:B1000")) &gt;= MATCH(
                    F166,
                    INDIRECT("'" &amp; 'Hulp (overig)'!$C$16 &amp; "'!A1:A1000"),
                    0
                )) *
                IF(
                    G166="",
                    1,
                    (ROW(INDIRECT("'" &amp; 'Hulp (overig)'!$C$16 &amp; "'!B1:B1000")) &lt; MATCH(
                        G166,
                        INDIRECT("'" &amp; 'Hulp (overig)'!$C$16 &amp; "'!A1:A1000"),
                        0
                    ))
                ),
                ROW(INDIRECT("'" &amp; 'Hulp (overig)'!$C$16 &amp; "'!B1:B1000"))
            )
        ),0)
    ))
))))</f>
        <v>#VALUE!</v>
      </c>
      <c r="G169" s="425" t="e" cm="1">
        <f t="array" aca="1" ref="G169" ca="1">IF($BF169, IF(G166="","",
   INDEX(
      INDIRECT("'" &amp; 'Hulp (CAO''s)'!$AE$8 &amp; "'!" &amp;
               'Hulp (overig)'!$C$17 &amp; "1:" &amp;
               'Hulp (overig)'!$C$17 &amp; "1000"),
      MATCH(
         G166,
         INDIRECT("'" &amp; 'Hulp (CAO''s)'!$AE$8 &amp; "'!A1:A1000"),
         0
      )
   )
), IF($D167="Gebruik % van maximum salaris",
IF(
    OR(G166="",G167=""),
    "",
    MAX(
        INDIRECT(
            "'" &amp; 'Hulp (overig)'!$C$16 &amp; "'!" &amp;
            'Hulp (overig)'!$C$17 &amp;
            MATCH(G166, INDIRECT("'" &amp; 'Hulp (overig)'!$C$16 &amp; "'!A1:A1000"), 0) &amp;
            ":" &amp;
            'Hulp (overig)'!$C$17 &amp;
LOOKUP(
    2,
    1 / (
        (ROW(INDIRECT("'" &amp; 'Hulp (overig)'!$C$16 &amp; "'!B1:B1000")) &lt;
            IF(H166&lt;&gt;"",
               MATCH(H166, INDIRECT("'" &amp; 'Hulp (overig)'!$C$16 &amp; "'!A1:A1000"),0),
               1000
            )
        ) *
        (LEFT(TRIM(INDIRECT("'" &amp; 'Hulp (overig)'!$C$16 &amp; "'!B1:B1000")),1) &lt;&gt; "u")
    ),
    ROW(INDIRECT("'" &amp; 'Hulp (overig)'!$C$16 &amp; "'!B1:B1000"))
)
        )
    ) * G167
),
IF(G168="","",
IF(
    IFERROR(MIN(
        IF(
            (TRIM(INDIRECT("'" &amp; 'Hulp (overig)'!$C$16 &amp; "'!B1:B1000")) = TEXT(G168,"0")) *
            (ROW(INDIRECT("'" &amp; 'Hulp (overig)'!$C$16 &amp; "'!B1:B1000")) &gt;= MATCH(
                G166,
                INDIRECT("'" &amp; 'Hulp (overig)'!$C$16 &amp; "'!A1:A1000"),
                0
            )) *
            IF(
                H166="",
                1,
                (ROW(INDIRECT("'" &amp; 'Hulp (overig)'!$C$16 &amp; "'!B1:B1000")) &lt; MATCH(
                    H166,
                    INDIRECT("'" &amp; 'Hulp (overig)'!$C$16 &amp; "'!A1:A1000"),
                    0
                ))
            ),
            ROW(INDIRECT("'" &amp; 'Hulp (overig)'!$C$16 &amp; "'!B1:B1000"))
        )
    ),0) &lt; 1,
    "",
    IF(INDEX(
        INDIRECT("'" &amp; 'Hulp (overig)'!$C$16 &amp; "'!" &amp;
        'Hulp (overig)'!$C$17 &amp; "1:" &amp; 'Hulp (overig)'!$C$17 &amp; 1000
        ),
        IFERROR(MIN(
            IF(
                (TRIM(INDIRECT("'" &amp; 'Hulp (overig)'!$C$16 &amp; "'!B1:B1000")) = TEXT(G168,"0")) *
                (ROW(INDIRECT("'" &amp; 'Hulp (overig)'!$C$16 &amp; "'!B1:B1000")) &gt;= MATCH(
                    G166,
                    INDIRECT("'" &amp; 'Hulp (overig)'!$C$16 &amp; "'!A1:A1000"),
                    0
                )) *
                IF(
                    H166="",
                    1,
                    (ROW(INDIRECT("'" &amp; 'Hulp (overig)'!$C$16 &amp; "'!B1:B1000")) &lt; MATCH(
                        H166,
                        INDIRECT("'" &amp; 'Hulp (overig)'!$C$16 &amp; "'!A1:A1000"),
                        0
                    ))
                ),
                ROW(INDIRECT("'" &amp; 'Hulp (overig)'!$C$16 &amp; "'!B1:B1000"))
            )
        ),0)
    )=0,"",
INDEX(
        INDIRECT("'" &amp; 'Hulp (overig)'!$C$16 &amp; "'!" &amp;
        'Hulp (overig)'!$C$17 &amp; "1:" &amp; 'Hulp (overig)'!$C$17 &amp; 1000
        ),
        IFERROR(MIN(
            IF(
                (TRIM(INDIRECT("'" &amp; 'Hulp (overig)'!$C$16 &amp; "'!B1:B1000")) = TEXT(G168,"0")) *
                (ROW(INDIRECT("'" &amp; 'Hulp (overig)'!$C$16 &amp; "'!B1:B1000")) &gt;= MATCH(
                    G166,
                    INDIRECT("'" &amp; 'Hulp (overig)'!$C$16 &amp; "'!A1:A1000"),
                    0
                )) *
                IF(
                    H166="",
                    1,
                    (ROW(INDIRECT("'" &amp; 'Hulp (overig)'!$C$16 &amp; "'!B1:B1000")) &lt; MATCH(
                        H166,
                        INDIRECT("'" &amp; 'Hulp (overig)'!$C$16 &amp; "'!A1:A1000"),
                        0
                    ))
                ),
                ROW(INDIRECT("'" &amp; 'Hulp (overig)'!$C$16 &amp; "'!B1:B1000"))
            )
        ),0)
    ))
))))</f>
        <v>#VALUE!</v>
      </c>
      <c r="H169" s="425" t="e" cm="1">
        <f t="array" aca="1" ref="H169" ca="1">IF($BF169, IF(H166="","",
   INDEX(
      INDIRECT("'" &amp; 'Hulp (CAO''s)'!$AE$8 &amp; "'!" &amp;
               'Hulp (overig)'!$C$17 &amp; "1:" &amp;
               'Hulp (overig)'!$C$17 &amp; "1000"),
      MATCH(
         H166,
         INDIRECT("'" &amp; 'Hulp (CAO''s)'!$AE$8 &amp; "'!A1:A1000"),
         0
      )
   )
), IF($D167="Gebruik % van maximum salaris",
IF(
    OR(H166="",H167=""),
    "",
    MAX(
        INDIRECT(
            "'" &amp; 'Hulp (overig)'!$C$16 &amp; "'!" &amp;
            'Hulp (overig)'!$C$17 &amp;
            MATCH(H166, INDIRECT("'" &amp; 'Hulp (overig)'!$C$16 &amp; "'!A1:A1000"), 0) &amp;
            ":" &amp;
            'Hulp (overig)'!$C$17 &amp;
LOOKUP(
    2,
    1 / (
        (ROW(INDIRECT("'" &amp; 'Hulp (overig)'!$C$16 &amp; "'!B1:B1000")) &lt;
            IF(I166&lt;&gt;"",
               MATCH(I166, INDIRECT("'" &amp; 'Hulp (overig)'!$C$16 &amp; "'!A1:A1000"),0),
               1000
            )
        ) *
        (LEFT(TRIM(INDIRECT("'" &amp; 'Hulp (overig)'!$C$16 &amp; "'!B1:B1000")),1) &lt;&gt; "u")
    ),
    ROW(INDIRECT("'" &amp; 'Hulp (overig)'!$C$16 &amp; "'!B1:B1000"))
)
        )
    ) * H167
),
IF(H168="","",
IF(
    IFERROR(MIN(
        IF(
            (TRIM(INDIRECT("'" &amp; 'Hulp (overig)'!$C$16 &amp; "'!B1:B1000")) = TEXT(H168,"0")) *
            (ROW(INDIRECT("'" &amp; 'Hulp (overig)'!$C$16 &amp; "'!B1:B1000")) &gt;= MATCH(
                H166,
                INDIRECT("'" &amp; 'Hulp (overig)'!$C$16 &amp; "'!A1:A1000"),
                0
            )) *
            IF(
                I166="",
                1,
                (ROW(INDIRECT("'" &amp; 'Hulp (overig)'!$C$16 &amp; "'!B1:B1000")) &lt; MATCH(
                    I166,
                    INDIRECT("'" &amp; 'Hulp (overig)'!$C$16 &amp; "'!A1:A1000"),
                    0
                ))
            ),
            ROW(INDIRECT("'" &amp; 'Hulp (overig)'!$C$16 &amp; "'!B1:B1000"))
        )
    ),0) &lt; 1,
    "",
    IF(INDEX(
        INDIRECT("'" &amp; 'Hulp (overig)'!$C$16 &amp; "'!" &amp;
        'Hulp (overig)'!$C$17 &amp; "1:" &amp; 'Hulp (overig)'!$C$17 &amp; 1000
        ),
        IFERROR(MIN(
            IF(
                (TRIM(INDIRECT("'" &amp; 'Hulp (overig)'!$C$16 &amp; "'!B1:B1000")) = TEXT(H168,"0")) *
                (ROW(INDIRECT("'" &amp; 'Hulp (overig)'!$C$16 &amp; "'!B1:B1000")) &gt;= MATCH(
                    H166,
                    INDIRECT("'" &amp; 'Hulp (overig)'!$C$16 &amp; "'!A1:A1000"),
                    0
                )) *
                IF(
                    I166="",
                    1,
                    (ROW(INDIRECT("'" &amp; 'Hulp (overig)'!$C$16 &amp; "'!B1:B1000")) &lt; MATCH(
                        I166,
                        INDIRECT("'" &amp; 'Hulp (overig)'!$C$16 &amp; "'!A1:A1000"),
                        0
                    ))
                ),
                ROW(INDIRECT("'" &amp; 'Hulp (overig)'!$C$16 &amp; "'!B1:B1000"))
            )
        ),0)
    )=0,"",
INDEX(
        INDIRECT("'" &amp; 'Hulp (overig)'!$C$16 &amp; "'!" &amp;
        'Hulp (overig)'!$C$17 &amp; "1:" &amp; 'Hulp (overig)'!$C$17 &amp; 1000
        ),
        IFERROR(MIN(
            IF(
                (TRIM(INDIRECT("'" &amp; 'Hulp (overig)'!$C$16 &amp; "'!B1:B1000")) = TEXT(H168,"0")) *
                (ROW(INDIRECT("'" &amp; 'Hulp (overig)'!$C$16 &amp; "'!B1:B1000")) &gt;= MATCH(
                    H166,
                    INDIRECT("'" &amp; 'Hulp (overig)'!$C$16 &amp; "'!A1:A1000"),
                    0
                )) *
                IF(
                    I166="",
                    1,
                    (ROW(INDIRECT("'" &amp; 'Hulp (overig)'!$C$16 &amp; "'!B1:B1000")) &lt; MATCH(
                        I166,
                        INDIRECT("'" &amp; 'Hulp (overig)'!$C$16 &amp; "'!A1:A1000"),
                        0
                    ))
                ),
                ROW(INDIRECT("'" &amp; 'Hulp (overig)'!$C$16 &amp; "'!B1:B1000"))
            )
        ),0)
    ))
))))</f>
        <v>#VALUE!</v>
      </c>
      <c r="I169" s="425" t="e" cm="1">
        <f t="array" aca="1" ref="I169" ca="1">IF($BF169, IF(I166="","",
   INDEX(
      INDIRECT("'" &amp; 'Hulp (CAO''s)'!$AE$8 &amp; "'!" &amp;
               'Hulp (overig)'!$C$17 &amp; "1:" &amp;
               'Hulp (overig)'!$C$17 &amp; "1000"),
      MATCH(
         I166,
         INDIRECT("'" &amp; 'Hulp (CAO''s)'!$AE$8 &amp; "'!A1:A1000"),
         0
      )
   )
), IF($D167="Gebruik % van maximum salaris",
IF(
    OR(I166="",I167=""),
    "",
    MAX(
        INDIRECT(
            "'" &amp; 'Hulp (overig)'!$C$16 &amp; "'!" &amp;
            'Hulp (overig)'!$C$17 &amp;
            MATCH(I166, INDIRECT("'" &amp; 'Hulp (overig)'!$C$16 &amp; "'!A1:A1000"), 0) &amp;
            ":" &amp;
            'Hulp (overig)'!$C$17 &amp;
LOOKUP(
    2,
    1 / (
        (ROW(INDIRECT("'" &amp; 'Hulp (overig)'!$C$16 &amp; "'!B1:B1000")) &lt;
            IF(J166&lt;&gt;"",
               MATCH(J166, INDIRECT("'" &amp; 'Hulp (overig)'!$C$16 &amp; "'!A1:A1000"),0),
               1000
            )
        ) *
        (LEFT(TRIM(INDIRECT("'" &amp; 'Hulp (overig)'!$C$16 &amp; "'!B1:B1000")),1) &lt;&gt; "u")
    ),
    ROW(INDIRECT("'" &amp; 'Hulp (overig)'!$C$16 &amp; "'!B1:B1000"))
)
        )
    ) * I167
),
IF(I168="","",
IF(
    IFERROR(MIN(
        IF(
            (TRIM(INDIRECT("'" &amp; 'Hulp (overig)'!$C$16 &amp; "'!B1:B1000")) = TEXT(I168,"0")) *
            (ROW(INDIRECT("'" &amp; 'Hulp (overig)'!$C$16 &amp; "'!B1:B1000")) &gt;= MATCH(
                I166,
                INDIRECT("'" &amp; 'Hulp (overig)'!$C$16 &amp; "'!A1:A1000"),
                0
            )) *
            IF(
                J166="",
                1,
                (ROW(INDIRECT("'" &amp; 'Hulp (overig)'!$C$16 &amp; "'!B1:B1000")) &lt; MATCH(
                    J166,
                    INDIRECT("'" &amp; 'Hulp (overig)'!$C$16 &amp; "'!A1:A1000"),
                    0
                ))
            ),
            ROW(INDIRECT("'" &amp; 'Hulp (overig)'!$C$16 &amp; "'!B1:B1000"))
        )
    ),0) &lt; 1,
    "",
    IF(INDEX(
        INDIRECT("'" &amp; 'Hulp (overig)'!$C$16 &amp; "'!" &amp;
        'Hulp (overig)'!$C$17 &amp; "1:" &amp; 'Hulp (overig)'!$C$17 &amp; 1000
        ),
        IFERROR(MIN(
            IF(
                (TRIM(INDIRECT("'" &amp; 'Hulp (overig)'!$C$16 &amp; "'!B1:B1000")) = TEXT(I168,"0")) *
                (ROW(INDIRECT("'" &amp; 'Hulp (overig)'!$C$16 &amp; "'!B1:B1000")) &gt;= MATCH(
                    I166,
                    INDIRECT("'" &amp; 'Hulp (overig)'!$C$16 &amp; "'!A1:A1000"),
                    0
                )) *
                IF(
                    J166="",
                    1,
                    (ROW(INDIRECT("'" &amp; 'Hulp (overig)'!$C$16 &amp; "'!B1:B1000")) &lt; MATCH(
                        J166,
                        INDIRECT("'" &amp; 'Hulp (overig)'!$C$16 &amp; "'!A1:A1000"),
                        0
                    ))
                ),
                ROW(INDIRECT("'" &amp; 'Hulp (overig)'!$C$16 &amp; "'!B1:B1000"))
            )
        ),0)
    )=0,"",
INDEX(
        INDIRECT("'" &amp; 'Hulp (overig)'!$C$16 &amp; "'!" &amp;
        'Hulp (overig)'!$C$17 &amp; "1:" &amp; 'Hulp (overig)'!$C$17 &amp; 1000
        ),
        IFERROR(MIN(
            IF(
                (TRIM(INDIRECT("'" &amp; 'Hulp (overig)'!$C$16 &amp; "'!B1:B1000")) = TEXT(I168,"0")) *
                (ROW(INDIRECT("'" &amp; 'Hulp (overig)'!$C$16 &amp; "'!B1:B1000")) &gt;= MATCH(
                    I166,
                    INDIRECT("'" &amp; 'Hulp (overig)'!$C$16 &amp; "'!A1:A1000"),
                    0
                )) *
                IF(
                    J166="",
                    1,
                    (ROW(INDIRECT("'" &amp; 'Hulp (overig)'!$C$16 &amp; "'!B1:B1000")) &lt; MATCH(
                        J166,
                        INDIRECT("'" &amp; 'Hulp (overig)'!$C$16 &amp; "'!A1:A1000"),
                        0
                    ))
                ),
                ROW(INDIRECT("'" &amp; 'Hulp (overig)'!$C$16 &amp; "'!B1:B1000"))
            )
        ),0)
    ))
))))</f>
        <v>#VALUE!</v>
      </c>
      <c r="J169" s="425" t="e" cm="1">
        <f t="array" aca="1" ref="J169" ca="1">IF($BF169, IF(J166="","",
   INDEX(
      INDIRECT("'" &amp; 'Hulp (CAO''s)'!$AE$8 &amp; "'!" &amp;
               'Hulp (overig)'!$C$17 &amp; "1:" &amp;
               'Hulp (overig)'!$C$17 &amp; "1000"),
      MATCH(
         J166,
         INDIRECT("'" &amp; 'Hulp (CAO''s)'!$AE$8 &amp; "'!A1:A1000"),
         0
      )
   )
), IF($D167="Gebruik % van maximum salaris",
IF(
    OR(J166="",J167=""),
    "",
    MAX(
        INDIRECT(
            "'" &amp; 'Hulp (overig)'!$C$16 &amp; "'!" &amp;
            'Hulp (overig)'!$C$17 &amp;
            MATCH(J166, INDIRECT("'" &amp; 'Hulp (overig)'!$C$16 &amp; "'!A1:A1000"), 0) &amp;
            ":" &amp;
            'Hulp (overig)'!$C$17 &amp;
LOOKUP(
    2,
    1 / (
        (ROW(INDIRECT("'" &amp; 'Hulp (overig)'!$C$16 &amp; "'!B1:B1000")) &lt;
            IF(K166&lt;&gt;"",
               MATCH(K166, INDIRECT("'" &amp; 'Hulp (overig)'!$C$16 &amp; "'!A1:A1000"),0),
               1000
            )
        ) *
        (LEFT(TRIM(INDIRECT("'" &amp; 'Hulp (overig)'!$C$16 &amp; "'!B1:B1000")),1) &lt;&gt; "u")
    ),
    ROW(INDIRECT("'" &amp; 'Hulp (overig)'!$C$16 &amp; "'!B1:B1000"))
)
        )
    ) * J167
),
IF(J168="","",
IF(
    IFERROR(MIN(
        IF(
            (TRIM(INDIRECT("'" &amp; 'Hulp (overig)'!$C$16 &amp; "'!B1:B1000")) = TEXT(J168,"0")) *
            (ROW(INDIRECT("'" &amp; 'Hulp (overig)'!$C$16 &amp; "'!B1:B1000")) &gt;= MATCH(
                J166,
                INDIRECT("'" &amp; 'Hulp (overig)'!$C$16 &amp; "'!A1:A1000"),
                0
            )) *
            IF(
                K166="",
                1,
                (ROW(INDIRECT("'" &amp; 'Hulp (overig)'!$C$16 &amp; "'!B1:B1000")) &lt; MATCH(
                    K166,
                    INDIRECT("'" &amp; 'Hulp (overig)'!$C$16 &amp; "'!A1:A1000"),
                    0
                ))
            ),
            ROW(INDIRECT("'" &amp; 'Hulp (overig)'!$C$16 &amp; "'!B1:B1000"))
        )
    ),0) &lt; 1,
    "",
    IF(INDEX(
        INDIRECT("'" &amp; 'Hulp (overig)'!$C$16 &amp; "'!" &amp;
        'Hulp (overig)'!$C$17 &amp; "1:" &amp; 'Hulp (overig)'!$C$17 &amp; 1000
        ),
        IFERROR(MIN(
            IF(
                (TRIM(INDIRECT("'" &amp; 'Hulp (overig)'!$C$16 &amp; "'!B1:B1000")) = TEXT(J168,"0")) *
                (ROW(INDIRECT("'" &amp; 'Hulp (overig)'!$C$16 &amp; "'!B1:B1000")) &gt;= MATCH(
                    J166,
                    INDIRECT("'" &amp; 'Hulp (overig)'!$C$16 &amp; "'!A1:A1000"),
                    0
                )) *
                IF(
                    K166="",
                    1,
                    (ROW(INDIRECT("'" &amp; 'Hulp (overig)'!$C$16 &amp; "'!B1:B1000")) &lt; MATCH(
                        K166,
                        INDIRECT("'" &amp; 'Hulp (overig)'!$C$16 &amp; "'!A1:A1000"),
                        0
                    ))
                ),
                ROW(INDIRECT("'" &amp; 'Hulp (overig)'!$C$16 &amp; "'!B1:B1000"))
            )
        ),0)
    )=0,"",
INDEX(
        INDIRECT("'" &amp; 'Hulp (overig)'!$C$16 &amp; "'!" &amp;
        'Hulp (overig)'!$C$17 &amp; "1:" &amp; 'Hulp (overig)'!$C$17 &amp; 1000
        ),
        IFERROR(MIN(
            IF(
                (TRIM(INDIRECT("'" &amp; 'Hulp (overig)'!$C$16 &amp; "'!B1:B1000")) = TEXT(J168,"0")) *
                (ROW(INDIRECT("'" &amp; 'Hulp (overig)'!$C$16 &amp; "'!B1:B1000")) &gt;= MATCH(
                    J166,
                    INDIRECT("'" &amp; 'Hulp (overig)'!$C$16 &amp; "'!A1:A1000"),
                    0
                )) *
                IF(
                    K166="",
                    1,
                    (ROW(INDIRECT("'" &amp; 'Hulp (overig)'!$C$16 &amp; "'!B1:B1000")) &lt; MATCH(
                        K166,
                        INDIRECT("'" &amp; 'Hulp (overig)'!$C$16 &amp; "'!A1:A1000"),
                        0
                    ))
                ),
                ROW(INDIRECT("'" &amp; 'Hulp (overig)'!$C$16 &amp; "'!B1:B1000"))
            )
        ),0)
    ))
))))</f>
        <v>#VALUE!</v>
      </c>
      <c r="K169" s="425" t="e" cm="1">
        <f t="array" aca="1" ref="K169" ca="1">IF($BF169, IF(K166="","",
   INDEX(
      INDIRECT("'" &amp; 'Hulp (CAO''s)'!$AE$8 &amp; "'!" &amp;
               'Hulp (overig)'!$C$17 &amp; "1:" &amp;
               'Hulp (overig)'!$C$17 &amp; "1000"),
      MATCH(
         K166,
         INDIRECT("'" &amp; 'Hulp (CAO''s)'!$AE$8 &amp; "'!A1:A1000"),
         0
      )
   )
), IF($D167="Gebruik % van maximum salaris",
IF(
    OR(K166="",K167=""),
    "",
    MAX(
        INDIRECT(
            "'" &amp; 'Hulp (overig)'!$C$16 &amp; "'!" &amp;
            'Hulp (overig)'!$C$17 &amp;
            MATCH(K166, INDIRECT("'" &amp; 'Hulp (overig)'!$C$16 &amp; "'!A1:A1000"), 0) &amp;
            ":" &amp;
            'Hulp (overig)'!$C$17 &amp;
LOOKUP(
    2,
    1 / (
        (ROW(INDIRECT("'" &amp; 'Hulp (overig)'!$C$16 &amp; "'!B1:B1000")) &lt;
            IF(L166&lt;&gt;"",
               MATCH(L166, INDIRECT("'" &amp; 'Hulp (overig)'!$C$16 &amp; "'!A1:A1000"),0),
               1000
            )
        ) *
        (LEFT(TRIM(INDIRECT("'" &amp; 'Hulp (overig)'!$C$16 &amp; "'!B1:B1000")),1) &lt;&gt; "u")
    ),
    ROW(INDIRECT("'" &amp; 'Hulp (overig)'!$C$16 &amp; "'!B1:B1000"))
)
        )
    ) * K167
),
IF(K168="","",
IF(
    IFERROR(MIN(
        IF(
            (TRIM(INDIRECT("'" &amp; 'Hulp (overig)'!$C$16 &amp; "'!B1:B1000")) = TEXT(K168,"0")) *
            (ROW(INDIRECT("'" &amp; 'Hulp (overig)'!$C$16 &amp; "'!B1:B1000")) &gt;= MATCH(
                K166,
                INDIRECT("'" &amp; 'Hulp (overig)'!$C$16 &amp; "'!A1:A1000"),
                0
            )) *
            IF(
                L166="",
                1,
                (ROW(INDIRECT("'" &amp; 'Hulp (overig)'!$C$16 &amp; "'!B1:B1000")) &lt; MATCH(
                    L166,
                    INDIRECT("'" &amp; 'Hulp (overig)'!$C$16 &amp; "'!A1:A1000"),
                    0
                ))
            ),
            ROW(INDIRECT("'" &amp; 'Hulp (overig)'!$C$16 &amp; "'!B1:B1000"))
        )
    ),0) &lt; 1,
    "",
    IF(INDEX(
        INDIRECT("'" &amp; 'Hulp (overig)'!$C$16 &amp; "'!" &amp;
        'Hulp (overig)'!$C$17 &amp; "1:" &amp; 'Hulp (overig)'!$C$17 &amp; 1000
        ),
        IFERROR(MIN(
            IF(
                (TRIM(INDIRECT("'" &amp; 'Hulp (overig)'!$C$16 &amp; "'!B1:B1000")) = TEXT(K168,"0")) *
                (ROW(INDIRECT("'" &amp; 'Hulp (overig)'!$C$16 &amp; "'!B1:B1000")) &gt;= MATCH(
                    K166,
                    INDIRECT("'" &amp; 'Hulp (overig)'!$C$16 &amp; "'!A1:A1000"),
                    0
                )) *
                IF(
                    L166="",
                    1,
                    (ROW(INDIRECT("'" &amp; 'Hulp (overig)'!$C$16 &amp; "'!B1:B1000")) &lt; MATCH(
                        L166,
                        INDIRECT("'" &amp; 'Hulp (overig)'!$C$16 &amp; "'!A1:A1000"),
                        0
                    ))
                ),
                ROW(INDIRECT("'" &amp; 'Hulp (overig)'!$C$16 &amp; "'!B1:B1000"))
            )
        ),0)
    )=0,"",
INDEX(
        INDIRECT("'" &amp; 'Hulp (overig)'!$C$16 &amp; "'!" &amp;
        'Hulp (overig)'!$C$17 &amp; "1:" &amp; 'Hulp (overig)'!$C$17 &amp; 1000
        ),
        IFERROR(MIN(
            IF(
                (TRIM(INDIRECT("'" &amp; 'Hulp (overig)'!$C$16 &amp; "'!B1:B1000")) = TEXT(K168,"0")) *
                (ROW(INDIRECT("'" &amp; 'Hulp (overig)'!$C$16 &amp; "'!B1:B1000")) &gt;= MATCH(
                    K166,
                    INDIRECT("'" &amp; 'Hulp (overig)'!$C$16 &amp; "'!A1:A1000"),
                    0
                )) *
                IF(
                    L166="",
                    1,
                    (ROW(INDIRECT("'" &amp; 'Hulp (overig)'!$C$16 &amp; "'!B1:B1000")) &lt; MATCH(
                        L166,
                        INDIRECT("'" &amp; 'Hulp (overig)'!$C$16 &amp; "'!A1:A1000"),
                        0
                    ))
                ),
                ROW(INDIRECT("'" &amp; 'Hulp (overig)'!$C$16 &amp; "'!B1:B1000"))
            )
        ),0)
    ))
))))</f>
        <v>#VALUE!</v>
      </c>
      <c r="L169" s="425" t="e" cm="1">
        <f t="array" aca="1" ref="L169" ca="1">IF($BF169, IF(L166="","",
   INDEX(
      INDIRECT("'" &amp; 'Hulp (CAO''s)'!$AE$8 &amp; "'!" &amp;
               'Hulp (overig)'!$C$17 &amp; "1:" &amp;
               'Hulp (overig)'!$C$17 &amp; "1000"),
      MATCH(
         L166,
         INDIRECT("'" &amp; 'Hulp (CAO''s)'!$AE$8 &amp; "'!A1:A1000"),
         0
      )
   )
), IF($D167="Gebruik % van maximum salaris",
IF(
    OR(L166="",L167=""),
    "",
    MAX(
        INDIRECT(
            "'" &amp; 'Hulp (overig)'!$C$16 &amp; "'!" &amp;
            'Hulp (overig)'!$C$17 &amp;
            MATCH(L166, INDIRECT("'" &amp; 'Hulp (overig)'!$C$16 &amp; "'!A1:A1000"), 0) &amp;
            ":" &amp;
            'Hulp (overig)'!$C$17 &amp;
LOOKUP(
    2,
    1 / (
        (ROW(INDIRECT("'" &amp; 'Hulp (overig)'!$C$16 &amp; "'!B1:B1000")) &lt;
            IF(M166&lt;&gt;"",
               MATCH(M166, INDIRECT("'" &amp; 'Hulp (overig)'!$C$16 &amp; "'!A1:A1000"),0),
               1000
            )
        ) *
        (LEFT(TRIM(INDIRECT("'" &amp; 'Hulp (overig)'!$C$16 &amp; "'!B1:B1000")),1) &lt;&gt; "u")
    ),
    ROW(INDIRECT("'" &amp; 'Hulp (overig)'!$C$16 &amp; "'!B1:B1000"))
)
        )
    ) * L167
),
IF(L168="","",
IF(
    IFERROR(MIN(
        IF(
            (TRIM(INDIRECT("'" &amp; 'Hulp (overig)'!$C$16 &amp; "'!B1:B1000")) = TEXT(L168,"0")) *
            (ROW(INDIRECT("'" &amp; 'Hulp (overig)'!$C$16 &amp; "'!B1:B1000")) &gt;= MATCH(
                L166,
                INDIRECT("'" &amp; 'Hulp (overig)'!$C$16 &amp; "'!A1:A1000"),
                0
            )) *
            IF(
                M166="",
                1,
                (ROW(INDIRECT("'" &amp; 'Hulp (overig)'!$C$16 &amp; "'!B1:B1000")) &lt; MATCH(
                    M166,
                    INDIRECT("'" &amp; 'Hulp (overig)'!$C$16 &amp; "'!A1:A1000"),
                    0
                ))
            ),
            ROW(INDIRECT("'" &amp; 'Hulp (overig)'!$C$16 &amp; "'!B1:B1000"))
        )
    ),0) &lt; 1,
    "",
    IF(INDEX(
        INDIRECT("'" &amp; 'Hulp (overig)'!$C$16 &amp; "'!" &amp;
        'Hulp (overig)'!$C$17 &amp; "1:" &amp; 'Hulp (overig)'!$C$17 &amp; 1000
        ),
        IFERROR(MIN(
            IF(
                (TRIM(INDIRECT("'" &amp; 'Hulp (overig)'!$C$16 &amp; "'!B1:B1000")) = TEXT(L168,"0")) *
                (ROW(INDIRECT("'" &amp; 'Hulp (overig)'!$C$16 &amp; "'!B1:B1000")) &gt;= MATCH(
                    L166,
                    INDIRECT("'" &amp; 'Hulp (overig)'!$C$16 &amp; "'!A1:A1000"),
                    0
                )) *
                IF(
                    M166="",
                    1,
                    (ROW(INDIRECT("'" &amp; 'Hulp (overig)'!$C$16 &amp; "'!B1:B1000")) &lt; MATCH(
                        M166,
                        INDIRECT("'" &amp; 'Hulp (overig)'!$C$16 &amp; "'!A1:A1000"),
                        0
                    ))
                ),
                ROW(INDIRECT("'" &amp; 'Hulp (overig)'!$C$16 &amp; "'!B1:B1000"))
            )
        ),0)
    )=0,"",
INDEX(
        INDIRECT("'" &amp; 'Hulp (overig)'!$C$16 &amp; "'!" &amp;
        'Hulp (overig)'!$C$17 &amp; "1:" &amp; 'Hulp (overig)'!$C$17 &amp; 1000
        ),
        IFERROR(MIN(
            IF(
                (TRIM(INDIRECT("'" &amp; 'Hulp (overig)'!$C$16 &amp; "'!B1:B1000")) = TEXT(L168,"0")) *
                (ROW(INDIRECT("'" &amp; 'Hulp (overig)'!$C$16 &amp; "'!B1:B1000")) &gt;= MATCH(
                    L166,
                    INDIRECT("'" &amp; 'Hulp (overig)'!$C$16 &amp; "'!A1:A1000"),
                    0
                )) *
                IF(
                    M166="",
                    1,
                    (ROW(INDIRECT("'" &amp; 'Hulp (overig)'!$C$16 &amp; "'!B1:B1000")) &lt; MATCH(
                        M166,
                        INDIRECT("'" &amp; 'Hulp (overig)'!$C$16 &amp; "'!A1:A1000"),
                        0
                    ))
                ),
                ROW(INDIRECT("'" &amp; 'Hulp (overig)'!$C$16 &amp; "'!B1:B1000"))
            )
        ),0)
    ))
))))</f>
        <v>#VALUE!</v>
      </c>
      <c r="M169" s="425" t="e" cm="1">
        <f t="array" aca="1" ref="M169" ca="1">IF($BF169, IF(M166="","",
   INDEX(
      INDIRECT("'" &amp; 'Hulp (CAO''s)'!$AE$8 &amp; "'!" &amp;
               'Hulp (overig)'!$C$17 &amp; "1:" &amp;
               'Hulp (overig)'!$C$17 &amp; "1000"),
      MATCH(
         M166,
         INDIRECT("'" &amp; 'Hulp (CAO''s)'!$AE$8 &amp; "'!A1:A1000"),
         0
      )
   )
), IF($D167="Gebruik % van maximum salaris",
IF(
    OR(M166="",M167=""),
    "",
    MAX(
        INDIRECT(
            "'" &amp; 'Hulp (overig)'!$C$16 &amp; "'!" &amp;
            'Hulp (overig)'!$C$17 &amp;
            MATCH(M166, INDIRECT("'" &amp; 'Hulp (overig)'!$C$16 &amp; "'!A1:A1000"), 0) &amp;
            ":" &amp;
            'Hulp (overig)'!$C$17 &amp;
LOOKUP(
    2,
    1 / (
        (ROW(INDIRECT("'" &amp; 'Hulp (overig)'!$C$16 &amp; "'!B1:B1000")) &lt;
            IF(N166&lt;&gt;"",
               MATCH(N166, INDIRECT("'" &amp; 'Hulp (overig)'!$C$16 &amp; "'!A1:A1000"),0),
               1000
            )
        ) *
        (LEFT(TRIM(INDIRECT("'" &amp; 'Hulp (overig)'!$C$16 &amp; "'!B1:B1000")),1) &lt;&gt; "u")
    ),
    ROW(INDIRECT("'" &amp; 'Hulp (overig)'!$C$16 &amp; "'!B1:B1000"))
)
        )
    ) * M167
),
IF(M168="","",
IF(
    IFERROR(MIN(
        IF(
            (TRIM(INDIRECT("'" &amp; 'Hulp (overig)'!$C$16 &amp; "'!B1:B1000")) = TEXT(M168,"0")) *
            (ROW(INDIRECT("'" &amp; 'Hulp (overig)'!$C$16 &amp; "'!B1:B1000")) &gt;= MATCH(
                M166,
                INDIRECT("'" &amp; 'Hulp (overig)'!$C$16 &amp; "'!A1:A1000"),
                0
            )) *
            IF(
                N166="",
                1,
                (ROW(INDIRECT("'" &amp; 'Hulp (overig)'!$C$16 &amp; "'!B1:B1000")) &lt; MATCH(
                    N166,
                    INDIRECT("'" &amp; 'Hulp (overig)'!$C$16 &amp; "'!A1:A1000"),
                    0
                ))
            ),
            ROW(INDIRECT("'" &amp; 'Hulp (overig)'!$C$16 &amp; "'!B1:B1000"))
        )
    ),0) &lt; 1,
    "",
    IF(INDEX(
        INDIRECT("'" &amp; 'Hulp (overig)'!$C$16 &amp; "'!" &amp;
        'Hulp (overig)'!$C$17 &amp; "1:" &amp; 'Hulp (overig)'!$C$17 &amp; 1000
        ),
        IFERROR(MIN(
            IF(
                (TRIM(INDIRECT("'" &amp; 'Hulp (overig)'!$C$16 &amp; "'!B1:B1000")) = TEXT(M168,"0")) *
                (ROW(INDIRECT("'" &amp; 'Hulp (overig)'!$C$16 &amp; "'!B1:B1000")) &gt;= MATCH(
                    M166,
                    INDIRECT("'" &amp; 'Hulp (overig)'!$C$16 &amp; "'!A1:A1000"),
                    0
                )) *
                IF(
                    N166="",
                    1,
                    (ROW(INDIRECT("'" &amp; 'Hulp (overig)'!$C$16 &amp; "'!B1:B1000")) &lt; MATCH(
                        N166,
                        INDIRECT("'" &amp; 'Hulp (overig)'!$C$16 &amp; "'!A1:A1000"),
                        0
                    ))
                ),
                ROW(INDIRECT("'" &amp; 'Hulp (overig)'!$C$16 &amp; "'!B1:B1000"))
            )
        ),0)
    )=0,"",
INDEX(
        INDIRECT("'" &amp; 'Hulp (overig)'!$C$16 &amp; "'!" &amp;
        'Hulp (overig)'!$C$17 &amp; "1:" &amp; 'Hulp (overig)'!$C$17 &amp; 1000
        ),
        IFERROR(MIN(
            IF(
                (TRIM(INDIRECT("'" &amp; 'Hulp (overig)'!$C$16 &amp; "'!B1:B1000")) = TEXT(M168,"0")) *
                (ROW(INDIRECT("'" &amp; 'Hulp (overig)'!$C$16 &amp; "'!B1:B1000")) &gt;= MATCH(
                    M166,
                    INDIRECT("'" &amp; 'Hulp (overig)'!$C$16 &amp; "'!A1:A1000"),
                    0
                )) *
                IF(
                    N166="",
                    1,
                    (ROW(INDIRECT("'" &amp; 'Hulp (overig)'!$C$16 &amp; "'!B1:B1000")) &lt; MATCH(
                        N166,
                        INDIRECT("'" &amp; 'Hulp (overig)'!$C$16 &amp; "'!A1:A1000"),
                        0
                    ))
                ),
                ROW(INDIRECT("'" &amp; 'Hulp (overig)'!$C$16 &amp; "'!B1:B1000"))
            )
        ),0)
    ))
))))</f>
        <v>#VALUE!</v>
      </c>
      <c r="N169" s="425" t="e" cm="1">
        <f t="array" aca="1" ref="N169" ca="1">IF($BF169, IF(N166="","",
   INDEX(
      INDIRECT("'" &amp; 'Hulp (CAO''s)'!$AE$8 &amp; "'!" &amp;
               'Hulp (overig)'!$C$17 &amp; "1:" &amp;
               'Hulp (overig)'!$C$17 &amp; "1000"),
      MATCH(
         N166,
         INDIRECT("'" &amp; 'Hulp (CAO''s)'!$AE$8 &amp; "'!A1:A1000"),
         0
      )
   )
), IF($D167="Gebruik % van maximum salaris",
IF(
    OR(N166="",N167=""),
    "",
    MAX(
        INDIRECT(
            "'" &amp; 'Hulp (overig)'!$C$16 &amp; "'!" &amp;
            'Hulp (overig)'!$C$17 &amp;
            MATCH(N166, INDIRECT("'" &amp; 'Hulp (overig)'!$C$16 &amp; "'!A1:A1000"), 0) &amp;
            ":" &amp;
            'Hulp (overig)'!$C$17 &amp;
LOOKUP(
    2,
    1 / (
        (ROW(INDIRECT("'" &amp; 'Hulp (overig)'!$C$16 &amp; "'!B1:B1000")) &lt;
            IF(O166&lt;&gt;"",
               MATCH(O166, INDIRECT("'" &amp; 'Hulp (overig)'!$C$16 &amp; "'!A1:A1000"),0),
               1000
            )
        ) *
        (LEFT(TRIM(INDIRECT("'" &amp; 'Hulp (overig)'!$C$16 &amp; "'!B1:B1000")),1) &lt;&gt; "u")
    ),
    ROW(INDIRECT("'" &amp; 'Hulp (overig)'!$C$16 &amp; "'!B1:B1000"))
)
        )
    ) * N167
),
IF(N168="","",
IF(
    IFERROR(MIN(
        IF(
            (TRIM(INDIRECT("'" &amp; 'Hulp (overig)'!$C$16 &amp; "'!B1:B1000")) = TEXT(N168,"0")) *
            (ROW(INDIRECT("'" &amp; 'Hulp (overig)'!$C$16 &amp; "'!B1:B1000")) &gt;= MATCH(
                N166,
                INDIRECT("'" &amp; 'Hulp (overig)'!$C$16 &amp; "'!A1:A1000"),
                0
            )) *
            IF(
                O166="",
                1,
                (ROW(INDIRECT("'" &amp; 'Hulp (overig)'!$C$16 &amp; "'!B1:B1000")) &lt; MATCH(
                    O166,
                    INDIRECT("'" &amp; 'Hulp (overig)'!$C$16 &amp; "'!A1:A1000"),
                    0
                ))
            ),
            ROW(INDIRECT("'" &amp; 'Hulp (overig)'!$C$16 &amp; "'!B1:B1000"))
        )
    ),0) &lt; 1,
    "",
    IF(INDEX(
        INDIRECT("'" &amp; 'Hulp (overig)'!$C$16 &amp; "'!" &amp;
        'Hulp (overig)'!$C$17 &amp; "1:" &amp; 'Hulp (overig)'!$C$17 &amp; 1000
        ),
        IFERROR(MIN(
            IF(
                (TRIM(INDIRECT("'" &amp; 'Hulp (overig)'!$C$16 &amp; "'!B1:B1000")) = TEXT(N168,"0")) *
                (ROW(INDIRECT("'" &amp; 'Hulp (overig)'!$C$16 &amp; "'!B1:B1000")) &gt;= MATCH(
                    N166,
                    INDIRECT("'" &amp; 'Hulp (overig)'!$C$16 &amp; "'!A1:A1000"),
                    0
                )) *
                IF(
                    O166="",
                    1,
                    (ROW(INDIRECT("'" &amp; 'Hulp (overig)'!$C$16 &amp; "'!B1:B1000")) &lt; MATCH(
                        O166,
                        INDIRECT("'" &amp; 'Hulp (overig)'!$C$16 &amp; "'!A1:A1000"),
                        0
                    ))
                ),
                ROW(INDIRECT("'" &amp; 'Hulp (overig)'!$C$16 &amp; "'!B1:B1000"))
            )
        ),0)
    )=0,"",
INDEX(
        INDIRECT("'" &amp; 'Hulp (overig)'!$C$16 &amp; "'!" &amp;
        'Hulp (overig)'!$C$17 &amp; "1:" &amp; 'Hulp (overig)'!$C$17 &amp; 1000
        ),
        IFERROR(MIN(
            IF(
                (TRIM(INDIRECT("'" &amp; 'Hulp (overig)'!$C$16 &amp; "'!B1:B1000")) = TEXT(N168,"0")) *
                (ROW(INDIRECT("'" &amp; 'Hulp (overig)'!$C$16 &amp; "'!B1:B1000")) &gt;= MATCH(
                    N166,
                    INDIRECT("'" &amp; 'Hulp (overig)'!$C$16 &amp; "'!A1:A1000"),
                    0
                )) *
                IF(
                    O166="",
                    1,
                    (ROW(INDIRECT("'" &amp; 'Hulp (overig)'!$C$16 &amp; "'!B1:B1000")) &lt; MATCH(
                        O166,
                        INDIRECT("'" &amp; 'Hulp (overig)'!$C$16 &amp; "'!A1:A1000"),
                        0
                    ))
                ),
                ROW(INDIRECT("'" &amp; 'Hulp (overig)'!$C$16 &amp; "'!B1:B1000"))
            )
        ),0)
    ))
))))</f>
        <v>#VALUE!</v>
      </c>
      <c r="O169" s="425" t="e" cm="1">
        <f t="array" aca="1" ref="O169" ca="1">IF($BF169, IF(O166="","",
   INDEX(
      INDIRECT("'" &amp; 'Hulp (CAO''s)'!$AE$8 &amp; "'!" &amp;
               'Hulp (overig)'!$C$17 &amp; "1:" &amp;
               'Hulp (overig)'!$C$17 &amp; "1000"),
      MATCH(
         O166,
         INDIRECT("'" &amp; 'Hulp (CAO''s)'!$AE$8 &amp; "'!A1:A1000"),
         0
      )
   )
), IF($D167="Gebruik % van maximum salaris",
IF(
    OR(O166="",O167=""),
    "",
    MAX(
        INDIRECT(
            "'" &amp; 'Hulp (overig)'!$C$16 &amp; "'!" &amp;
            'Hulp (overig)'!$C$17 &amp;
            MATCH(O166, INDIRECT("'" &amp; 'Hulp (overig)'!$C$16 &amp; "'!A1:A1000"), 0) &amp;
            ":" &amp;
            'Hulp (overig)'!$C$17 &amp;
LOOKUP(
    2,
    1 / (
        (ROW(INDIRECT("'" &amp; 'Hulp (overig)'!$C$16 &amp; "'!B1:B1000")) &lt;
            IF(P166&lt;&gt;"",
               MATCH(P166, INDIRECT("'" &amp; 'Hulp (overig)'!$C$16 &amp; "'!A1:A1000"),0),
               1000
            )
        ) *
        (LEFT(TRIM(INDIRECT("'" &amp; 'Hulp (overig)'!$C$16 &amp; "'!B1:B1000")),1) &lt;&gt; "u")
    ),
    ROW(INDIRECT("'" &amp; 'Hulp (overig)'!$C$16 &amp; "'!B1:B1000"))
)
        )
    ) * O167
),
IF(O168="","",
IF(
    IFERROR(MIN(
        IF(
            (TRIM(INDIRECT("'" &amp; 'Hulp (overig)'!$C$16 &amp; "'!B1:B1000")) = TEXT(O168,"0")) *
            (ROW(INDIRECT("'" &amp; 'Hulp (overig)'!$C$16 &amp; "'!B1:B1000")) &gt;= MATCH(
                O166,
                INDIRECT("'" &amp; 'Hulp (overig)'!$C$16 &amp; "'!A1:A1000"),
                0
            )) *
            IF(
                P166="",
                1,
                (ROW(INDIRECT("'" &amp; 'Hulp (overig)'!$C$16 &amp; "'!B1:B1000")) &lt; MATCH(
                    P166,
                    INDIRECT("'" &amp; 'Hulp (overig)'!$C$16 &amp; "'!A1:A1000"),
                    0
                ))
            ),
            ROW(INDIRECT("'" &amp; 'Hulp (overig)'!$C$16 &amp; "'!B1:B1000"))
        )
    ),0) &lt; 1,
    "",
    IF(INDEX(
        INDIRECT("'" &amp; 'Hulp (overig)'!$C$16 &amp; "'!" &amp;
        'Hulp (overig)'!$C$17 &amp; "1:" &amp; 'Hulp (overig)'!$C$17 &amp; 1000
        ),
        IFERROR(MIN(
            IF(
                (TRIM(INDIRECT("'" &amp; 'Hulp (overig)'!$C$16 &amp; "'!B1:B1000")) = TEXT(O168,"0")) *
                (ROW(INDIRECT("'" &amp; 'Hulp (overig)'!$C$16 &amp; "'!B1:B1000")) &gt;= MATCH(
                    O166,
                    INDIRECT("'" &amp; 'Hulp (overig)'!$C$16 &amp; "'!A1:A1000"),
                    0
                )) *
                IF(
                    P166="",
                    1,
                    (ROW(INDIRECT("'" &amp; 'Hulp (overig)'!$C$16 &amp; "'!B1:B1000")) &lt; MATCH(
                        P166,
                        INDIRECT("'" &amp; 'Hulp (overig)'!$C$16 &amp; "'!A1:A1000"),
                        0
                    ))
                ),
                ROW(INDIRECT("'" &amp; 'Hulp (overig)'!$C$16 &amp; "'!B1:B1000"))
            )
        ),0)
    )=0,"",
INDEX(
        INDIRECT("'" &amp; 'Hulp (overig)'!$C$16 &amp; "'!" &amp;
        'Hulp (overig)'!$C$17 &amp; "1:" &amp; 'Hulp (overig)'!$C$17 &amp; 1000
        ),
        IFERROR(MIN(
            IF(
                (TRIM(INDIRECT("'" &amp; 'Hulp (overig)'!$C$16 &amp; "'!B1:B1000")) = TEXT(O168,"0")) *
                (ROW(INDIRECT("'" &amp; 'Hulp (overig)'!$C$16 &amp; "'!B1:B1000")) &gt;= MATCH(
                    O166,
                    INDIRECT("'" &amp; 'Hulp (overig)'!$C$16 &amp; "'!A1:A1000"),
                    0
                )) *
                IF(
                    P166="",
                    1,
                    (ROW(INDIRECT("'" &amp; 'Hulp (overig)'!$C$16 &amp; "'!B1:B1000")) &lt; MATCH(
                        P166,
                        INDIRECT("'" &amp; 'Hulp (overig)'!$C$16 &amp; "'!A1:A1000"),
                        0
                    ))
                ),
                ROW(INDIRECT("'" &amp; 'Hulp (overig)'!$C$16 &amp; "'!B1:B1000"))
            )
        ),0)
    ))
))))</f>
        <v>#VALUE!</v>
      </c>
      <c r="P169" s="425" t="e" cm="1">
        <f t="array" aca="1" ref="P169" ca="1">IF($BF169, IF(P166="","",
   INDEX(
      INDIRECT("'" &amp; 'Hulp (CAO''s)'!$AE$8 &amp; "'!" &amp;
               'Hulp (overig)'!$C$17 &amp; "1:" &amp;
               'Hulp (overig)'!$C$17 &amp; "1000"),
      MATCH(
         P166,
         INDIRECT("'" &amp; 'Hulp (CAO''s)'!$AE$8 &amp; "'!A1:A1000"),
         0
      )
   )
), IF($D167="Gebruik % van maximum salaris",
IF(
    OR(P166="",P167=""),
    "",
    MAX(
        INDIRECT(
            "'" &amp; 'Hulp (overig)'!$C$16 &amp; "'!" &amp;
            'Hulp (overig)'!$C$17 &amp;
            MATCH(P166, INDIRECT("'" &amp; 'Hulp (overig)'!$C$16 &amp; "'!A1:A1000"), 0) &amp;
            ":" &amp;
            'Hulp (overig)'!$C$17 &amp;
LOOKUP(
    2,
    1 / (
        (ROW(INDIRECT("'" &amp; 'Hulp (overig)'!$C$16 &amp; "'!B1:B1000")) &lt;
            IF(Q166&lt;&gt;"",
               MATCH(Q166, INDIRECT("'" &amp; 'Hulp (overig)'!$C$16 &amp; "'!A1:A1000"),0),
               1000
            )
        ) *
        (LEFT(TRIM(INDIRECT("'" &amp; 'Hulp (overig)'!$C$16 &amp; "'!B1:B1000")),1) &lt;&gt; "u")
    ),
    ROW(INDIRECT("'" &amp; 'Hulp (overig)'!$C$16 &amp; "'!B1:B1000"))
)
        )
    ) * P167
),
IF(P168="","",
IF(
    IFERROR(MIN(
        IF(
            (TRIM(INDIRECT("'" &amp; 'Hulp (overig)'!$C$16 &amp; "'!B1:B1000")) = TEXT(P168,"0")) *
            (ROW(INDIRECT("'" &amp; 'Hulp (overig)'!$C$16 &amp; "'!B1:B1000")) &gt;= MATCH(
                P166,
                INDIRECT("'" &amp; 'Hulp (overig)'!$C$16 &amp; "'!A1:A1000"),
                0
            )) *
            IF(
                Q166="",
                1,
                (ROW(INDIRECT("'" &amp; 'Hulp (overig)'!$C$16 &amp; "'!B1:B1000")) &lt; MATCH(
                    Q166,
                    INDIRECT("'" &amp; 'Hulp (overig)'!$C$16 &amp; "'!A1:A1000"),
                    0
                ))
            ),
            ROW(INDIRECT("'" &amp; 'Hulp (overig)'!$C$16 &amp; "'!B1:B1000"))
        )
    ),0) &lt; 1,
    "",
    IF(INDEX(
        INDIRECT("'" &amp; 'Hulp (overig)'!$C$16 &amp; "'!" &amp;
        'Hulp (overig)'!$C$17 &amp; "1:" &amp; 'Hulp (overig)'!$C$17 &amp; 1000
        ),
        IFERROR(MIN(
            IF(
                (TRIM(INDIRECT("'" &amp; 'Hulp (overig)'!$C$16 &amp; "'!B1:B1000")) = TEXT(P168,"0")) *
                (ROW(INDIRECT("'" &amp; 'Hulp (overig)'!$C$16 &amp; "'!B1:B1000")) &gt;= MATCH(
                    P166,
                    INDIRECT("'" &amp; 'Hulp (overig)'!$C$16 &amp; "'!A1:A1000"),
                    0
                )) *
                IF(
                    Q166="",
                    1,
                    (ROW(INDIRECT("'" &amp; 'Hulp (overig)'!$C$16 &amp; "'!B1:B1000")) &lt; MATCH(
                        Q166,
                        INDIRECT("'" &amp; 'Hulp (overig)'!$C$16 &amp; "'!A1:A1000"),
                        0
                    ))
                ),
                ROW(INDIRECT("'" &amp; 'Hulp (overig)'!$C$16 &amp; "'!B1:B1000"))
            )
        ),0)
    )=0,"",
INDEX(
        INDIRECT("'" &amp; 'Hulp (overig)'!$C$16 &amp; "'!" &amp;
        'Hulp (overig)'!$C$17 &amp; "1:" &amp; 'Hulp (overig)'!$C$17 &amp; 1000
        ),
        IFERROR(MIN(
            IF(
                (TRIM(INDIRECT("'" &amp; 'Hulp (overig)'!$C$16 &amp; "'!B1:B1000")) = TEXT(P168,"0")) *
                (ROW(INDIRECT("'" &amp; 'Hulp (overig)'!$C$16 &amp; "'!B1:B1000")) &gt;= MATCH(
                    P166,
                    INDIRECT("'" &amp; 'Hulp (overig)'!$C$16 &amp; "'!A1:A1000"),
                    0
                )) *
                IF(
                    Q166="",
                    1,
                    (ROW(INDIRECT("'" &amp; 'Hulp (overig)'!$C$16 &amp; "'!B1:B1000")) &lt; MATCH(
                        Q166,
                        INDIRECT("'" &amp; 'Hulp (overig)'!$C$16 &amp; "'!A1:A1000"),
                        0
                    ))
                ),
                ROW(INDIRECT("'" &amp; 'Hulp (overig)'!$C$16 &amp; "'!B1:B1000"))
            )
        ),0)
    ))
))))</f>
        <v>#VALUE!</v>
      </c>
      <c r="Q169" s="425" t="e" cm="1">
        <f t="array" aca="1" ref="Q169" ca="1">IF($BF169, IF(Q166="","",
   INDEX(
      INDIRECT("'" &amp; 'Hulp (CAO''s)'!$AE$8 &amp; "'!" &amp;
               'Hulp (overig)'!$C$17 &amp; "1:" &amp;
               'Hulp (overig)'!$C$17 &amp; "1000"),
      MATCH(
         Q166,
         INDIRECT("'" &amp; 'Hulp (CAO''s)'!$AE$8 &amp; "'!A1:A1000"),
         0
      )
   )
), IF($D167="Gebruik % van maximum salaris",
IF(
    OR(Q166="",Q167=""),
    "",
    MAX(
        INDIRECT(
            "'" &amp; 'Hulp (overig)'!$C$16 &amp; "'!" &amp;
            'Hulp (overig)'!$C$17 &amp;
            MATCH(Q166, INDIRECT("'" &amp; 'Hulp (overig)'!$C$16 &amp; "'!A1:A1000"), 0) &amp;
            ":" &amp;
            'Hulp (overig)'!$C$17 &amp;
LOOKUP(
    2,
    1 / (
        (ROW(INDIRECT("'" &amp; 'Hulp (overig)'!$C$16 &amp; "'!B1:B1000")) &lt;
            IF(R166&lt;&gt;"",
               MATCH(R166, INDIRECT("'" &amp; 'Hulp (overig)'!$C$16 &amp; "'!A1:A1000"),0),
               1000
            )
        ) *
        (LEFT(TRIM(INDIRECT("'" &amp; 'Hulp (overig)'!$C$16 &amp; "'!B1:B1000")),1) &lt;&gt; "u")
    ),
    ROW(INDIRECT("'" &amp; 'Hulp (overig)'!$C$16 &amp; "'!B1:B1000"))
)
        )
    ) * Q167
),
IF(Q168="","",
IF(
    IFERROR(MIN(
        IF(
            (TRIM(INDIRECT("'" &amp; 'Hulp (overig)'!$C$16 &amp; "'!B1:B1000")) = TEXT(Q168,"0")) *
            (ROW(INDIRECT("'" &amp; 'Hulp (overig)'!$C$16 &amp; "'!B1:B1000")) &gt;= MATCH(
                Q166,
                INDIRECT("'" &amp; 'Hulp (overig)'!$C$16 &amp; "'!A1:A1000"),
                0
            )) *
            IF(
                R166="",
                1,
                (ROW(INDIRECT("'" &amp; 'Hulp (overig)'!$C$16 &amp; "'!B1:B1000")) &lt; MATCH(
                    R166,
                    INDIRECT("'" &amp; 'Hulp (overig)'!$C$16 &amp; "'!A1:A1000"),
                    0
                ))
            ),
            ROW(INDIRECT("'" &amp; 'Hulp (overig)'!$C$16 &amp; "'!B1:B1000"))
        )
    ),0) &lt; 1,
    "",
    IF(INDEX(
        INDIRECT("'" &amp; 'Hulp (overig)'!$C$16 &amp; "'!" &amp;
        'Hulp (overig)'!$C$17 &amp; "1:" &amp; 'Hulp (overig)'!$C$17 &amp; 1000
        ),
        IFERROR(MIN(
            IF(
                (TRIM(INDIRECT("'" &amp; 'Hulp (overig)'!$C$16 &amp; "'!B1:B1000")) = TEXT(Q168,"0")) *
                (ROW(INDIRECT("'" &amp; 'Hulp (overig)'!$C$16 &amp; "'!B1:B1000")) &gt;= MATCH(
                    Q166,
                    INDIRECT("'" &amp; 'Hulp (overig)'!$C$16 &amp; "'!A1:A1000"),
                    0
                )) *
                IF(
                    R166="",
                    1,
                    (ROW(INDIRECT("'" &amp; 'Hulp (overig)'!$C$16 &amp; "'!B1:B1000")) &lt; MATCH(
                        R166,
                        INDIRECT("'" &amp; 'Hulp (overig)'!$C$16 &amp; "'!A1:A1000"),
                        0
                    ))
                ),
                ROW(INDIRECT("'" &amp; 'Hulp (overig)'!$C$16 &amp; "'!B1:B1000"))
            )
        ),0)
    )=0,"",
INDEX(
        INDIRECT("'" &amp; 'Hulp (overig)'!$C$16 &amp; "'!" &amp;
        'Hulp (overig)'!$C$17 &amp; "1:" &amp; 'Hulp (overig)'!$C$17 &amp; 1000
        ),
        IFERROR(MIN(
            IF(
                (TRIM(INDIRECT("'" &amp; 'Hulp (overig)'!$C$16 &amp; "'!B1:B1000")) = TEXT(Q168,"0")) *
                (ROW(INDIRECT("'" &amp; 'Hulp (overig)'!$C$16 &amp; "'!B1:B1000")) &gt;= MATCH(
                    Q166,
                    INDIRECT("'" &amp; 'Hulp (overig)'!$C$16 &amp; "'!A1:A1000"),
                    0
                )) *
                IF(
                    R166="",
                    1,
                    (ROW(INDIRECT("'" &amp; 'Hulp (overig)'!$C$16 &amp; "'!B1:B1000")) &lt; MATCH(
                        R166,
                        INDIRECT("'" &amp; 'Hulp (overig)'!$C$16 &amp; "'!A1:A1000"),
                        0
                    ))
                ),
                ROW(INDIRECT("'" &amp; 'Hulp (overig)'!$C$16 &amp; "'!B1:B1000"))
            )
        ),0)
    ))
))))</f>
        <v>#VALUE!</v>
      </c>
      <c r="R169" s="425" t="e" cm="1">
        <f t="array" aca="1" ref="R169" ca="1">IF($BF169, IF(R166="","",
   INDEX(
      INDIRECT("'" &amp; 'Hulp (CAO''s)'!$AE$8 &amp; "'!" &amp;
               'Hulp (overig)'!$C$17 &amp; "1:" &amp;
               'Hulp (overig)'!$C$17 &amp; "1000"),
      MATCH(
         R166,
         INDIRECT("'" &amp; 'Hulp (CAO''s)'!$AE$8 &amp; "'!A1:A1000"),
         0
      )
   )
), IF($D167="Gebruik % van maximum salaris",
IF(
    OR(R166="",R167=""),
    "",
    MAX(
        INDIRECT(
            "'" &amp; 'Hulp (overig)'!$C$16 &amp; "'!" &amp;
            'Hulp (overig)'!$C$17 &amp;
            MATCH(R166, INDIRECT("'" &amp; 'Hulp (overig)'!$C$16 &amp; "'!A1:A1000"), 0) &amp;
            ":" &amp;
            'Hulp (overig)'!$C$17 &amp;
LOOKUP(
    2,
    1 / (
        (ROW(INDIRECT("'" &amp; 'Hulp (overig)'!$C$16 &amp; "'!B1:B1000")) &lt;
            IF(S166&lt;&gt;"",
               MATCH(S166, INDIRECT("'" &amp; 'Hulp (overig)'!$C$16 &amp; "'!A1:A1000"),0),
               1000
            )
        ) *
        (LEFT(TRIM(INDIRECT("'" &amp; 'Hulp (overig)'!$C$16 &amp; "'!B1:B1000")),1) &lt;&gt; "u")
    ),
    ROW(INDIRECT("'" &amp; 'Hulp (overig)'!$C$16 &amp; "'!B1:B1000"))
)
        )
    ) * R167
),
IF(R168="","",
IF(
    IFERROR(MIN(
        IF(
            (TRIM(INDIRECT("'" &amp; 'Hulp (overig)'!$C$16 &amp; "'!B1:B1000")) = TEXT(R168,"0")) *
            (ROW(INDIRECT("'" &amp; 'Hulp (overig)'!$C$16 &amp; "'!B1:B1000")) &gt;= MATCH(
                R166,
                INDIRECT("'" &amp; 'Hulp (overig)'!$C$16 &amp; "'!A1:A1000"),
                0
            )) *
            IF(
                S166="",
                1,
                (ROW(INDIRECT("'" &amp; 'Hulp (overig)'!$C$16 &amp; "'!B1:B1000")) &lt; MATCH(
                    S166,
                    INDIRECT("'" &amp; 'Hulp (overig)'!$C$16 &amp; "'!A1:A1000"),
                    0
                ))
            ),
            ROW(INDIRECT("'" &amp; 'Hulp (overig)'!$C$16 &amp; "'!B1:B1000"))
        )
    ),0) &lt; 1,
    "",
    IF(INDEX(
        INDIRECT("'" &amp; 'Hulp (overig)'!$C$16 &amp; "'!" &amp;
        'Hulp (overig)'!$C$17 &amp; "1:" &amp; 'Hulp (overig)'!$C$17 &amp; 1000
        ),
        IFERROR(MIN(
            IF(
                (TRIM(INDIRECT("'" &amp; 'Hulp (overig)'!$C$16 &amp; "'!B1:B1000")) = TEXT(R168,"0")) *
                (ROW(INDIRECT("'" &amp; 'Hulp (overig)'!$C$16 &amp; "'!B1:B1000")) &gt;= MATCH(
                    R166,
                    INDIRECT("'" &amp; 'Hulp (overig)'!$C$16 &amp; "'!A1:A1000"),
                    0
                )) *
                IF(
                    S166="",
                    1,
                    (ROW(INDIRECT("'" &amp; 'Hulp (overig)'!$C$16 &amp; "'!B1:B1000")) &lt; MATCH(
                        S166,
                        INDIRECT("'" &amp; 'Hulp (overig)'!$C$16 &amp; "'!A1:A1000"),
                        0
                    ))
                ),
                ROW(INDIRECT("'" &amp; 'Hulp (overig)'!$C$16 &amp; "'!B1:B1000"))
            )
        ),0)
    )=0,"",
INDEX(
        INDIRECT("'" &amp; 'Hulp (overig)'!$C$16 &amp; "'!" &amp;
        'Hulp (overig)'!$C$17 &amp; "1:" &amp; 'Hulp (overig)'!$C$17 &amp; 1000
        ),
        IFERROR(MIN(
            IF(
                (TRIM(INDIRECT("'" &amp; 'Hulp (overig)'!$C$16 &amp; "'!B1:B1000")) = TEXT(R168,"0")) *
                (ROW(INDIRECT("'" &amp; 'Hulp (overig)'!$C$16 &amp; "'!B1:B1000")) &gt;= MATCH(
                    R166,
                    INDIRECT("'" &amp; 'Hulp (overig)'!$C$16 &amp; "'!A1:A1000"),
                    0
                )) *
                IF(
                    S166="",
                    1,
                    (ROW(INDIRECT("'" &amp; 'Hulp (overig)'!$C$16 &amp; "'!B1:B1000")) &lt; MATCH(
                        S166,
                        INDIRECT("'" &amp; 'Hulp (overig)'!$C$16 &amp; "'!A1:A1000"),
                        0
                    ))
                ),
                ROW(INDIRECT("'" &amp; 'Hulp (overig)'!$C$16 &amp; "'!B1:B1000"))
            )
        ),0)
    ))
))))</f>
        <v>#VALUE!</v>
      </c>
      <c r="S169" s="425" t="e" cm="1">
        <f t="array" aca="1" ref="S169" ca="1">IF($BF169, IF(S166="","",
   INDEX(
      INDIRECT("'" &amp; 'Hulp (CAO''s)'!$AE$8 &amp; "'!" &amp;
               'Hulp (overig)'!$C$17 &amp; "1:" &amp;
               'Hulp (overig)'!$C$17 &amp; "1000"),
      MATCH(
         S166,
         INDIRECT("'" &amp; 'Hulp (CAO''s)'!$AE$8 &amp; "'!A1:A1000"),
         0
      )
   )
), IF($D167="Gebruik % van maximum salaris",
IF(
    OR(S166="",S167=""),
    "",
    MAX(
        INDIRECT(
            "'" &amp; 'Hulp (overig)'!$C$16 &amp; "'!" &amp;
            'Hulp (overig)'!$C$17 &amp;
            MATCH(S166, INDIRECT("'" &amp; 'Hulp (overig)'!$C$16 &amp; "'!A1:A1000"), 0) &amp;
            ":" &amp;
            'Hulp (overig)'!$C$17 &amp;
LOOKUP(
    2,
    1 / (
        (ROW(INDIRECT("'" &amp; 'Hulp (overig)'!$C$16 &amp; "'!B1:B1000")) &lt;
            IF(T166&lt;&gt;"",
               MATCH(T166, INDIRECT("'" &amp; 'Hulp (overig)'!$C$16 &amp; "'!A1:A1000"),0),
               1000
            )
        ) *
        (LEFT(TRIM(INDIRECT("'" &amp; 'Hulp (overig)'!$C$16 &amp; "'!B1:B1000")),1) &lt;&gt; "u")
    ),
    ROW(INDIRECT("'" &amp; 'Hulp (overig)'!$C$16 &amp; "'!B1:B1000"))
)
        )
    ) * S167
),
IF(S168="","",
IF(
    IFERROR(MIN(
        IF(
            (TRIM(INDIRECT("'" &amp; 'Hulp (overig)'!$C$16 &amp; "'!B1:B1000")) = TEXT(S168,"0")) *
            (ROW(INDIRECT("'" &amp; 'Hulp (overig)'!$C$16 &amp; "'!B1:B1000")) &gt;= MATCH(
                S166,
                INDIRECT("'" &amp; 'Hulp (overig)'!$C$16 &amp; "'!A1:A1000"),
                0
            )) *
            IF(
                T166="",
                1,
                (ROW(INDIRECT("'" &amp; 'Hulp (overig)'!$C$16 &amp; "'!B1:B1000")) &lt; MATCH(
                    T166,
                    INDIRECT("'" &amp; 'Hulp (overig)'!$C$16 &amp; "'!A1:A1000"),
                    0
                ))
            ),
            ROW(INDIRECT("'" &amp; 'Hulp (overig)'!$C$16 &amp; "'!B1:B1000"))
        )
    ),0) &lt; 1,
    "",
    IF(INDEX(
        INDIRECT("'" &amp; 'Hulp (overig)'!$C$16 &amp; "'!" &amp;
        'Hulp (overig)'!$C$17 &amp; "1:" &amp; 'Hulp (overig)'!$C$17 &amp; 1000
        ),
        IFERROR(MIN(
            IF(
                (TRIM(INDIRECT("'" &amp; 'Hulp (overig)'!$C$16 &amp; "'!B1:B1000")) = TEXT(S168,"0")) *
                (ROW(INDIRECT("'" &amp; 'Hulp (overig)'!$C$16 &amp; "'!B1:B1000")) &gt;= MATCH(
                    S166,
                    INDIRECT("'" &amp; 'Hulp (overig)'!$C$16 &amp; "'!A1:A1000"),
                    0
                )) *
                IF(
                    T166="",
                    1,
                    (ROW(INDIRECT("'" &amp; 'Hulp (overig)'!$C$16 &amp; "'!B1:B1000")) &lt; MATCH(
                        T166,
                        INDIRECT("'" &amp; 'Hulp (overig)'!$C$16 &amp; "'!A1:A1000"),
                        0
                    ))
                ),
                ROW(INDIRECT("'" &amp; 'Hulp (overig)'!$C$16 &amp; "'!B1:B1000"))
            )
        ),0)
    )=0,"",
INDEX(
        INDIRECT("'" &amp; 'Hulp (overig)'!$C$16 &amp; "'!" &amp;
        'Hulp (overig)'!$C$17 &amp; "1:" &amp; 'Hulp (overig)'!$C$17 &amp; 1000
        ),
        IFERROR(MIN(
            IF(
                (TRIM(INDIRECT("'" &amp; 'Hulp (overig)'!$C$16 &amp; "'!B1:B1000")) = TEXT(S168,"0")) *
                (ROW(INDIRECT("'" &amp; 'Hulp (overig)'!$C$16 &amp; "'!B1:B1000")) &gt;= MATCH(
                    S166,
                    INDIRECT("'" &amp; 'Hulp (overig)'!$C$16 &amp; "'!A1:A1000"),
                    0
                )) *
                IF(
                    T166="",
                    1,
                    (ROW(INDIRECT("'" &amp; 'Hulp (overig)'!$C$16 &amp; "'!B1:B1000")) &lt; MATCH(
                        T166,
                        INDIRECT("'" &amp; 'Hulp (overig)'!$C$16 &amp; "'!A1:A1000"),
                        0
                    ))
                ),
                ROW(INDIRECT("'" &amp; 'Hulp (overig)'!$C$16 &amp; "'!B1:B1000"))
            )
        ),0)
    ))
))))</f>
        <v>#VALUE!</v>
      </c>
      <c r="T169" s="425" t="e" cm="1">
        <f t="array" aca="1" ref="T169" ca="1">IF($BF169, IF(T166="","",
   INDEX(
      INDIRECT("'" &amp; 'Hulp (CAO''s)'!$AE$8 &amp; "'!" &amp;
               'Hulp (overig)'!$C$17 &amp; "1:" &amp;
               'Hulp (overig)'!$C$17 &amp; "1000"),
      MATCH(
         T166,
         INDIRECT("'" &amp; 'Hulp (CAO''s)'!$AE$8 &amp; "'!A1:A1000"),
         0
      )
   )
), IF($D167="Gebruik % van maximum salaris",
IF(
    OR(T166="",T167=""),
    "",
    MAX(
        INDIRECT(
            "'" &amp; 'Hulp (overig)'!$C$16 &amp; "'!" &amp;
            'Hulp (overig)'!$C$17 &amp;
            MATCH(T166, INDIRECT("'" &amp; 'Hulp (overig)'!$C$16 &amp; "'!A1:A1000"), 0) &amp;
            ":" &amp;
            'Hulp (overig)'!$C$17 &amp;
LOOKUP(
    2,
    1 / (
        (ROW(INDIRECT("'" &amp; 'Hulp (overig)'!$C$16 &amp; "'!B1:B1000")) &lt;
            IF(U166&lt;&gt;"",
               MATCH(U166, INDIRECT("'" &amp; 'Hulp (overig)'!$C$16 &amp; "'!A1:A1000"),0),
               1000
            )
        ) *
        (LEFT(TRIM(INDIRECT("'" &amp; 'Hulp (overig)'!$C$16 &amp; "'!B1:B1000")),1) &lt;&gt; "u")
    ),
    ROW(INDIRECT("'" &amp; 'Hulp (overig)'!$C$16 &amp; "'!B1:B1000"))
)
        )
    ) * T167
),
IF(T168="","",
IF(
    IFERROR(MIN(
        IF(
            (TRIM(INDIRECT("'" &amp; 'Hulp (overig)'!$C$16 &amp; "'!B1:B1000")) = TEXT(T168,"0")) *
            (ROW(INDIRECT("'" &amp; 'Hulp (overig)'!$C$16 &amp; "'!B1:B1000")) &gt;= MATCH(
                T166,
                INDIRECT("'" &amp; 'Hulp (overig)'!$C$16 &amp; "'!A1:A1000"),
                0
            )) *
            IF(
                U166="",
                1,
                (ROW(INDIRECT("'" &amp; 'Hulp (overig)'!$C$16 &amp; "'!B1:B1000")) &lt; MATCH(
                    U166,
                    INDIRECT("'" &amp; 'Hulp (overig)'!$C$16 &amp; "'!A1:A1000"),
                    0
                ))
            ),
            ROW(INDIRECT("'" &amp; 'Hulp (overig)'!$C$16 &amp; "'!B1:B1000"))
        )
    ),0) &lt; 1,
    "",
    IF(INDEX(
        INDIRECT("'" &amp; 'Hulp (overig)'!$C$16 &amp; "'!" &amp;
        'Hulp (overig)'!$C$17 &amp; "1:" &amp; 'Hulp (overig)'!$C$17 &amp; 1000
        ),
        IFERROR(MIN(
            IF(
                (TRIM(INDIRECT("'" &amp; 'Hulp (overig)'!$C$16 &amp; "'!B1:B1000")) = TEXT(T168,"0")) *
                (ROW(INDIRECT("'" &amp; 'Hulp (overig)'!$C$16 &amp; "'!B1:B1000")) &gt;= MATCH(
                    T166,
                    INDIRECT("'" &amp; 'Hulp (overig)'!$C$16 &amp; "'!A1:A1000"),
                    0
                )) *
                IF(
                    U166="",
                    1,
                    (ROW(INDIRECT("'" &amp; 'Hulp (overig)'!$C$16 &amp; "'!B1:B1000")) &lt; MATCH(
                        U166,
                        INDIRECT("'" &amp; 'Hulp (overig)'!$C$16 &amp; "'!A1:A1000"),
                        0
                    ))
                ),
                ROW(INDIRECT("'" &amp; 'Hulp (overig)'!$C$16 &amp; "'!B1:B1000"))
            )
        ),0)
    )=0,"",
INDEX(
        INDIRECT("'" &amp; 'Hulp (overig)'!$C$16 &amp; "'!" &amp;
        'Hulp (overig)'!$C$17 &amp; "1:" &amp; 'Hulp (overig)'!$C$17 &amp; 1000
        ),
        IFERROR(MIN(
            IF(
                (TRIM(INDIRECT("'" &amp; 'Hulp (overig)'!$C$16 &amp; "'!B1:B1000")) = TEXT(T168,"0")) *
                (ROW(INDIRECT("'" &amp; 'Hulp (overig)'!$C$16 &amp; "'!B1:B1000")) &gt;= MATCH(
                    T166,
                    INDIRECT("'" &amp; 'Hulp (overig)'!$C$16 &amp; "'!A1:A1000"),
                    0
                )) *
                IF(
                    U166="",
                    1,
                    (ROW(INDIRECT("'" &amp; 'Hulp (overig)'!$C$16 &amp; "'!B1:B1000")) &lt; MATCH(
                        U166,
                        INDIRECT("'" &amp; 'Hulp (overig)'!$C$16 &amp; "'!A1:A1000"),
                        0
                    ))
                ),
                ROW(INDIRECT("'" &amp; 'Hulp (overig)'!$C$16 &amp; "'!B1:B1000"))
            )
        ),0)
    ))
))))</f>
        <v>#VALUE!</v>
      </c>
      <c r="U169" s="723" t="e" cm="1">
        <f t="array" aca="1" ref="U169" ca="1">IF($BF169, IF(U166="","",
   INDEX(
      INDIRECT("'" &amp; 'Hulp (CAO''s)'!$AE$8 &amp; "'!" &amp;
               'Hulp (overig)'!$C$17 &amp; "1:" &amp;
               'Hulp (overig)'!$C$17 &amp; "1000"),
      MATCH(
         U166,
         INDIRECT("'" &amp; 'Hulp (CAO''s)'!$AE$8 &amp; "'!A1:A1000"),
         0
      )
   )
), IF($D167="Gebruik % van maximum salaris",
IF(
    OR(U166="",U167=""),
    "",
    MAX(
        INDIRECT(
            "'" &amp; 'Hulp (overig)'!$C$16 &amp; "'!" &amp;
            'Hulp (overig)'!$C$17 &amp;
            MATCH(U166, INDIRECT("'" &amp; 'Hulp (overig)'!$C$16 &amp; "'!A1:A1000"), 0) &amp;
            ":" &amp;
            'Hulp (overig)'!$C$17 &amp;
LOOKUP(
    2,
    1 / (
        (ROW(INDIRECT("'" &amp; 'Hulp (overig)'!$C$16 &amp; "'!B1:B1000")) &lt;
            IF(V166&lt;&gt;"",
               MATCH(V166, INDIRECT("'" &amp; 'Hulp (overig)'!$C$16 &amp; "'!A1:A1000"),0),
               1000
            )
        ) *
        (LEFT(TRIM(INDIRECT("'" &amp; 'Hulp (overig)'!$C$16 &amp; "'!B1:B1000")),1) &lt;&gt; "u")
    ),
    ROW(INDIRECT("'" &amp; 'Hulp (overig)'!$C$16 &amp; "'!B1:B1000"))
)
        )
    ) * U167
),
IF(U168="","",
IF(
    IFERROR(MIN(
        IF(
            (TRIM(INDIRECT("'" &amp; 'Hulp (overig)'!$C$16 &amp; "'!B1:B1000")) = TEXT(U168,"0")) *
            (ROW(INDIRECT("'" &amp; 'Hulp (overig)'!$C$16 &amp; "'!B1:B1000")) &gt;= MATCH(
                U166,
                INDIRECT("'" &amp; 'Hulp (overig)'!$C$16 &amp; "'!A1:A1000"),
                0
            )) *
            IF(
                V166="",
                1,
                (ROW(INDIRECT("'" &amp; 'Hulp (overig)'!$C$16 &amp; "'!B1:B1000")) &lt; MATCH(
                    V166,
                    INDIRECT("'" &amp; 'Hulp (overig)'!$C$16 &amp; "'!A1:A1000"),
                    0
                ))
            ),
            ROW(INDIRECT("'" &amp; 'Hulp (overig)'!$C$16 &amp; "'!B1:B1000"))
        )
    ),0) &lt; 1,
    "",
    IF(INDEX(
        INDIRECT("'" &amp; 'Hulp (overig)'!$C$16 &amp; "'!" &amp;
        'Hulp (overig)'!$C$17 &amp; "1:" &amp; 'Hulp (overig)'!$C$17 &amp; 1000
        ),
        IFERROR(MIN(
            IF(
                (TRIM(INDIRECT("'" &amp; 'Hulp (overig)'!$C$16 &amp; "'!B1:B1000")) = TEXT(U168,"0")) *
                (ROW(INDIRECT("'" &amp; 'Hulp (overig)'!$C$16 &amp; "'!B1:B1000")) &gt;= MATCH(
                    U166,
                    INDIRECT("'" &amp; 'Hulp (overig)'!$C$16 &amp; "'!A1:A1000"),
                    0
                )) *
                IF(
                    V166="",
                    1,
                    (ROW(INDIRECT("'" &amp; 'Hulp (overig)'!$C$16 &amp; "'!B1:B1000")) &lt; MATCH(
                        V166,
                        INDIRECT("'" &amp; 'Hulp (overig)'!$C$16 &amp; "'!A1:A1000"),
                        0
                    ))
                ),
                ROW(INDIRECT("'" &amp; 'Hulp (overig)'!$C$16 &amp; "'!B1:B1000"))
            )
        ),0)
    )=0,"",
INDEX(
        INDIRECT("'" &amp; 'Hulp (overig)'!$C$16 &amp; "'!" &amp;
        'Hulp (overig)'!$C$17 &amp; "1:" &amp; 'Hulp (overig)'!$C$17 &amp; 1000
        ),
        IFERROR(MIN(
            IF(
                (TRIM(INDIRECT("'" &amp; 'Hulp (overig)'!$C$16 &amp; "'!B1:B1000")) = TEXT(U168,"0")) *
                (ROW(INDIRECT("'" &amp; 'Hulp (overig)'!$C$16 &amp; "'!B1:B1000")) &gt;= MATCH(
                    U166,
                    INDIRECT("'" &amp; 'Hulp (overig)'!$C$16 &amp; "'!A1:A1000"),
                    0
                )) *
                IF(
                    V166="",
                    1,
                    (ROW(INDIRECT("'" &amp; 'Hulp (overig)'!$C$16 &amp; "'!B1:B1000")) &lt; MATCH(
                        V166,
                        INDIRECT("'" &amp; 'Hulp (overig)'!$C$16 &amp; "'!A1:A1000"),
                        0
                    ))
                ),
                ROW(INDIRECT("'" &amp; 'Hulp (overig)'!$C$16 &amp; "'!B1:B1000"))
            )
        ),0)
    ))
))))</f>
        <v>#VALUE!</v>
      </c>
      <c r="V169" s="413" t="str" cm="1">
        <f t="array" ref="V169">IF(SUM(F170:U170)=0,"",
IF(SUM(F169:U169)=0,"",
IF(SUMPRODUCT((F170:U170&lt;&gt;0)*(F169:U169=""))&gt;0,"",
(
   SUMPRODUCT(
      IF(F169:U169="",0,F169:U169),
      IF(F170:U170="",0,F170:U170) / SUM(F170:U170)
   )
))))</f>
        <v/>
      </c>
      <c r="W169" s="418"/>
      <c r="X169" s="620"/>
      <c r="Y169" s="419" t="str">
        <f ca="1">IF(B166="","",
        IF(INDIRECT("'Hulp (control forms)'!C" &amp; (13 + INT((ROW()-ROW($B$5))/7))),
            IF(X169="","",X169),
            IF(V169="","",V169)
    )
)</f>
        <v/>
      </c>
      <c r="Z169" s="333"/>
      <c r="AA169" s="771"/>
      <c r="AB169" s="770"/>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c r="BA169" cm="1">
        <f t="array" aca="1" ref="BA169" ca="1">IF(
   SUM(Y169)=0,
   1,
   IF(
      N(INDIRECT("'Hulp (control forms)'!C"&amp;(13+INT((ROW()-ROW($B$5))/7))))&lt;&gt;0,
      MIN(1,
      ('Hulp (overig)'!$C$6/12) /
      (Y169 * BC169 + BD169)),
      MIN(1,
         IF(
            SUM(F169:U169)=0,
            "",
            SUMPRODUCT(
               IF(
                  (IF(F169:U169="",0,F169:U169) * BC169) + BD169
                  &gt; 'Hulp (overig)'!$C$6/12,
                  'Hulp (overig)'!$C$6/12,
                  (IF(F169:U169="",0,F169:U169) * BC169) + BD169
               ),
               IF(F170:U170="",0,F170:U170) / SUM(F170:U170)
            )
         ) /
         ((Y169 * BC169) + BD169)
      )
   )
)</f>
        <v>1</v>
      </c>
      <c r="BB169" cm="1">
        <f t="array" aca="1" ref="BB169" ca="1">IF(
   SUM(Y169)=0,
   1,
   IF(
      N(INDIRECT("'Hulp (control forms)'!C"&amp;(13+INT((ROW()-ROW($B$5))/7))))&lt;&gt;0,
      MIN('Hulp (overig)'!$C$5/12,
      (Y169 * BC169) + BD169) * 12,
         IF(
            SUM(F169:U169)=0,
            "",
            SUMPRODUCT(
               IF(
                  (IF(F169:U169="",0,F169:U169) * BC169) + BD169
                  &gt; 'Hulp (overig)'!$C$5/12,
                  'Hulp (overig)'!$C$5/12,
                  (IF(F169:U169="",0,F169:U169) * BC169) + BD169
               ),
               IF(F170:U170="",0,F170:U170) / SUM(F170:U170)
            )
         ) * 12
   )
)</f>
        <v>1</v>
      </c>
      <c r="BC169" s="287" cm="1">
        <f t="array" aca="1" ref="BC169" ca="1">IFERROR(
   (INDEX('2. Output kostprijs'!$24:$24, 5 + 2*INT((ROW()-8)/7))
    - SUM(INDEX('2. Output kostprijs'!$23:$23, 5 + 2*INT((ROW()-8)/7))))
   / INDEX('2. Output kostprijs'!$19:$19, 5 + 2*INT((ROW()-8)/7)),
   1
)</f>
        <v>1</v>
      </c>
      <c r="BD169" s="287" cm="1">
        <f t="array" aca="1" ref="BD169" ca="1">IFERROR(
   (INDEX('2. Output kostprijs'!$23:$23, 5 + 2*INT((ROW()-8)/7))
    * INDEX('2. Output kostprijs'!$18:$18, 5 + 2*INT((ROW()-8)/7))
   ) / 12,
   0
)</f>
        <v>0</v>
      </c>
      <c r="BE169" t="b">
        <f ca="1">NOT(AND(B166&lt;&gt;"",Y169=""))</f>
        <v>1</v>
      </c>
      <c r="BF169" t="str" cm="1">
        <f t="array" aca="1" ref="BF169" ca="1">INDIRECT("'1a. Input organisatieniveau'!$AD" &amp; 7 + INT((ROW()-ROW($F$8))/7))</f>
        <v/>
      </c>
      <c r="BG169" t="b" cm="1">
        <f t="array" ref="BG169">IFERROR(INDEX('Hulp (control forms)'!C:C, 13 + INT((ROW(A162)-1)/7)),FALSE)</f>
        <v>0</v>
      </c>
    </row>
    <row r="170" spans="1:59" ht="16.05" customHeight="1" thickBot="1" x14ac:dyDescent="0.5">
      <c r="A170" s="289"/>
      <c r="B170" s="343"/>
      <c r="C170" s="325" t="s">
        <v>779</v>
      </c>
      <c r="D170" s="688" t="s">
        <v>60</v>
      </c>
      <c r="E170" s="433" t="s">
        <v>59</v>
      </c>
      <c r="F170" s="624"/>
      <c r="G170" s="624"/>
      <c r="H170" s="624"/>
      <c r="I170" s="624"/>
      <c r="J170" s="624"/>
      <c r="K170" s="624"/>
      <c r="L170" s="624"/>
      <c r="M170" s="624"/>
      <c r="N170" s="624"/>
      <c r="O170" s="624"/>
      <c r="P170" s="624"/>
      <c r="Q170" s="624"/>
      <c r="R170" s="624"/>
      <c r="S170" s="624"/>
      <c r="T170" s="624"/>
      <c r="U170" s="625"/>
      <c r="V170" s="420" t="str">
        <f ca="1">IF($B166="","",IF($D170="Aandeel in %",
   "Totaal: "&amp;SUM(F170:U170)*100&amp;"%",
   "Totaal: "&amp;SUM(F170:U170)&amp;" uur"
))</f>
        <v/>
      </c>
      <c r="W170" s="294"/>
      <c r="X170" s="621"/>
      <c r="Y170" s="328"/>
      <c r="Z170" s="329"/>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row>
    <row r="171" spans="1:59" ht="16.05" customHeight="1" thickBot="1" x14ac:dyDescent="0.5">
      <c r="A171" s="289"/>
      <c r="B171" s="343"/>
      <c r="C171" s="326" t="s">
        <v>779</v>
      </c>
      <c r="D171" s="421"/>
      <c r="E171" s="426"/>
      <c r="F171" s="426"/>
      <c r="G171" s="426"/>
      <c r="H171" s="426"/>
      <c r="I171" s="426"/>
      <c r="J171" s="426"/>
      <c r="K171" s="426"/>
      <c r="L171" s="426"/>
      <c r="M171" s="426"/>
      <c r="N171" s="426"/>
      <c r="O171" s="426"/>
      <c r="P171" s="426"/>
      <c r="Q171" s="426"/>
      <c r="R171" s="426"/>
      <c r="S171" s="426"/>
      <c r="T171" s="427"/>
      <c r="U171" s="427"/>
      <c r="V171" s="421"/>
      <c r="W171" s="421"/>
      <c r="X171" s="622"/>
      <c r="Y171" s="421"/>
      <c r="Z171" s="327"/>
      <c r="AA171" s="289"/>
      <c r="AB171" s="289"/>
      <c r="AC171" s="289"/>
      <c r="AD171" s="289"/>
      <c r="AE171" s="289"/>
      <c r="AF171" s="289"/>
      <c r="AG171" s="289"/>
      <c r="AH171" s="289"/>
      <c r="AI171" s="289"/>
      <c r="AJ171" s="289"/>
      <c r="AK171" s="289"/>
      <c r="AL171" s="289"/>
      <c r="AM171" s="289"/>
      <c r="AN171" s="289"/>
      <c r="AO171" s="289"/>
      <c r="AP171" s="289"/>
      <c r="AQ171" s="289"/>
      <c r="AR171" s="289"/>
      <c r="AS171" s="289"/>
      <c r="AT171" s="289"/>
      <c r="AU171" s="289"/>
      <c r="AV171" s="289"/>
      <c r="AW171" s="289"/>
      <c r="AX171" s="289"/>
      <c r="AY171" s="289"/>
      <c r="AZ171" s="289"/>
    </row>
    <row r="172" spans="1:59" ht="16.05" customHeight="1" thickBot="1" x14ac:dyDescent="0.55000000000000004">
      <c r="A172" s="289"/>
      <c r="B172" s="585" t="str">
        <f ca="1">IF(B173="","",
IF(
   OR(
      INDIRECT("'1a. Input organisatieniveau'!AC" &amp; (7 + INT((ROW()-4)/7)))="",
      INDIRECT("'1a. Input organisatieniveau'!AC" &amp; (7 + INT((ROW()-4)/7)))=0
   ),
   "",
   INDIRECT("'1a. Input organisatieniveau'!AC" &amp; (7 + INT((ROW()-4)/7)))
))</f>
        <v/>
      </c>
      <c r="C172" s="324" t="s">
        <v>779</v>
      </c>
      <c r="D172" s="416"/>
      <c r="E172" s="428"/>
      <c r="F172" s="422" t="str">
        <f t="shared" ref="F172:U172" ca="1" si="24">IF($B173="","",
IF($D174="Gebruik % van maximum salaris",
 IF(OR(AND(AND(F173&lt;&gt;"",F174&lt;&gt;""),F176=""),AND(F176="",F177&lt;&gt;"")),"!",""),
 IF(OR(AND(AND(F173&lt;&gt;"",F175&lt;&gt;""),F176=""),AND(F176="",F177&lt;&gt;"")),"!","")))</f>
        <v/>
      </c>
      <c r="G172" s="422" t="str">
        <f t="shared" ca="1" si="24"/>
        <v/>
      </c>
      <c r="H172" s="422" t="str">
        <f t="shared" ca="1" si="24"/>
        <v/>
      </c>
      <c r="I172" s="422" t="str">
        <f t="shared" ca="1" si="24"/>
        <v/>
      </c>
      <c r="J172" s="422" t="str">
        <f t="shared" ca="1" si="24"/>
        <v/>
      </c>
      <c r="K172" s="422" t="str">
        <f t="shared" ca="1" si="24"/>
        <v/>
      </c>
      <c r="L172" s="422" t="str">
        <f t="shared" ca="1" si="24"/>
        <v/>
      </c>
      <c r="M172" s="422" t="str">
        <f t="shared" ca="1" si="24"/>
        <v/>
      </c>
      <c r="N172" s="422" t="str">
        <f t="shared" ca="1" si="24"/>
        <v/>
      </c>
      <c r="O172" s="422" t="str">
        <f t="shared" ca="1" si="24"/>
        <v/>
      </c>
      <c r="P172" s="422" t="str">
        <f t="shared" ca="1" si="24"/>
        <v/>
      </c>
      <c r="Q172" s="422" t="str">
        <f t="shared" ca="1" si="24"/>
        <v/>
      </c>
      <c r="R172" s="422" t="str">
        <f t="shared" ca="1" si="24"/>
        <v/>
      </c>
      <c r="S172" s="422" t="str">
        <f t="shared" ca="1" si="24"/>
        <v/>
      </c>
      <c r="T172" s="422" t="str">
        <f t="shared" ca="1" si="24"/>
        <v/>
      </c>
      <c r="U172" s="422" t="str">
        <f t="shared" ca="1" si="24"/>
        <v/>
      </c>
      <c r="V172" s="416"/>
      <c r="W172" s="416"/>
      <c r="X172" s="619"/>
      <c r="Y172" s="416"/>
      <c r="Z172" s="330"/>
      <c r="AA172" s="354"/>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row>
    <row r="173" spans="1:59" ht="16.05" customHeight="1" thickBot="1" x14ac:dyDescent="0.5">
      <c r="A173" s="289"/>
      <c r="B173" s="586" t="str">
        <f ca="1">IF(
   OR(
      INDIRECT("'1a. Input organisatieniveau'!AA" &amp; (7 + INT((ROW()-4)/7)))="",
      INDIRECT("'1a. Input organisatieniveau'!AA" &amp; (7 + INT((ROW()-4)/7)))=0
   ),
   "",
   INDIRECT("'1a. Input organisatieniveau'!AA" &amp; (7 + INT((ROW()-4)/7)))
)</f>
        <v/>
      </c>
      <c r="C173" s="325" t="s">
        <v>779</v>
      </c>
      <c r="D173" s="434"/>
      <c r="E173" s="429" t="s">
        <v>28</v>
      </c>
      <c r="F173" s="423" t="str">
        <f ca="1">IF($B173="", "", IF($BF176, IF('Hulp (CAO''s)'!J$8&lt;&gt;"",'Hulp (CAO''s)'!J$8,""), INDEX('Hulp (CAO''s)'!J$3:J$7, MATCH(TRUE, 'Hulp (CAO''s)'!$D$3:$D$7, 0))))</f>
        <v/>
      </c>
      <c r="G173" s="423" t="str">
        <f ca="1">IF($B173="", "", IF($BF176, IF('Hulp (CAO''s)'!K$8&lt;&gt;"",'Hulp (CAO''s)'!K$8,""), INDEX('Hulp (CAO''s)'!K$3:K$7, MATCH(TRUE, 'Hulp (CAO''s)'!$D$3:$D$7, 0))))</f>
        <v/>
      </c>
      <c r="H173" s="423" t="str">
        <f ca="1">IF($B173="", "", IF($BF176, IF('Hulp (CAO''s)'!L$8&lt;&gt;"",'Hulp (CAO''s)'!L$8,""), INDEX('Hulp (CAO''s)'!L$3:L$7, MATCH(TRUE, 'Hulp (CAO''s)'!$D$3:$D$7, 0))))</f>
        <v/>
      </c>
      <c r="I173" s="423" t="str">
        <f ca="1">IF($B173="", "", IF($BF176, IF('Hulp (CAO''s)'!M$8&lt;&gt;"",'Hulp (CAO''s)'!M$8,""), INDEX('Hulp (CAO''s)'!M$3:M$7, MATCH(TRUE, 'Hulp (CAO''s)'!$D$3:$D$7, 0))))</f>
        <v/>
      </c>
      <c r="J173" s="423" t="str">
        <f ca="1">IF($B173="", "", IF($BF176, IF('Hulp (CAO''s)'!N$8&lt;&gt;"",'Hulp (CAO''s)'!N$8,""), INDEX('Hulp (CAO''s)'!N$3:N$7, MATCH(TRUE, 'Hulp (CAO''s)'!$D$3:$D$7, 0))))</f>
        <v/>
      </c>
      <c r="K173" s="423" t="str">
        <f ca="1">IF($B173="", "", IF($BF176, IF('Hulp (CAO''s)'!O$8&lt;&gt;"",'Hulp (CAO''s)'!O$8,""), INDEX('Hulp (CAO''s)'!O$3:O$7, MATCH(TRUE, 'Hulp (CAO''s)'!$D$3:$D$7, 0))))</f>
        <v/>
      </c>
      <c r="L173" s="423" t="str">
        <f ca="1">IF($B173="", "", IF($BF176, IF('Hulp (CAO''s)'!P$8&lt;&gt;"",'Hulp (CAO''s)'!P$8,""), INDEX('Hulp (CAO''s)'!P$3:P$7, MATCH(TRUE, 'Hulp (CAO''s)'!$D$3:$D$7, 0))))</f>
        <v/>
      </c>
      <c r="M173" s="423" t="str">
        <f ca="1">IF($B173="", "", IF($BF176, IF('Hulp (CAO''s)'!Q$8&lt;&gt;"",'Hulp (CAO''s)'!Q$8,""), INDEX('Hulp (CAO''s)'!Q$3:Q$7, MATCH(TRUE, 'Hulp (CAO''s)'!$D$3:$D$7, 0))))</f>
        <v/>
      </c>
      <c r="N173" s="423" t="str">
        <f ca="1">IF($B173="", "", IF($BF176, IF('Hulp (CAO''s)'!R$8&lt;&gt;"",'Hulp (CAO''s)'!R$8,""), INDEX('Hulp (CAO''s)'!R$3:R$7, MATCH(TRUE, 'Hulp (CAO''s)'!$D$3:$D$7, 0))))</f>
        <v/>
      </c>
      <c r="O173" s="423" t="str">
        <f ca="1">IF($B173="", "", IF($BF176, IF('Hulp (CAO''s)'!S$8&lt;&gt;"",'Hulp (CAO''s)'!S$8,""), INDEX('Hulp (CAO''s)'!S$3:S$7, MATCH(TRUE, 'Hulp (CAO''s)'!$D$3:$D$7, 0))))</f>
        <v/>
      </c>
      <c r="P173" s="423" t="str">
        <f ca="1">IF($B173="", "", IF($BF176, IF('Hulp (CAO''s)'!T$8&lt;&gt;"",'Hulp (CAO''s)'!T$8,""), INDEX('Hulp (CAO''s)'!T$3:T$7, MATCH(TRUE, 'Hulp (CAO''s)'!$D$3:$D$7, 0))))</f>
        <v/>
      </c>
      <c r="Q173" s="423" t="str">
        <f ca="1">IF($B173="", "", IF($BF176, IF('Hulp (CAO''s)'!U$8&lt;&gt;"",'Hulp (CAO''s)'!U$8,""), INDEX('Hulp (CAO''s)'!U$3:U$7, MATCH(TRUE, 'Hulp (CAO''s)'!$D$3:$D$7, 0))))</f>
        <v/>
      </c>
      <c r="R173" s="423" t="str">
        <f ca="1">IF($B173="", "", IF($BF176, IF('Hulp (CAO''s)'!V$8&lt;&gt;"",'Hulp (CAO''s)'!V$8,""), INDEX('Hulp (CAO''s)'!V$3:V$7, MATCH(TRUE, 'Hulp (CAO''s)'!$D$3:$D$7, 0))))</f>
        <v/>
      </c>
      <c r="S173" s="423" t="str">
        <f ca="1">IF($B173="", "", IF($BF176, IF('Hulp (CAO''s)'!W$8&lt;&gt;"",'Hulp (CAO''s)'!W$8,""), INDEX('Hulp (CAO''s)'!W$3:W$7, MATCH(TRUE, 'Hulp (CAO''s)'!$D$3:$D$7, 0))))</f>
        <v/>
      </c>
      <c r="T173" s="423" t="str">
        <f ca="1">IF($B173="", "", IF($BF176, IF('Hulp (CAO''s)'!X$8&lt;&gt;"",'Hulp (CAO''s)'!X$8,""), INDEX('Hulp (CAO''s)'!X$3:X$7, MATCH(TRUE, 'Hulp (CAO''s)'!$D$3:$D$7, 0))))</f>
        <v/>
      </c>
      <c r="U173" s="424" t="str">
        <f ca="1">IF($B173="", "", IF($BF176, IF('Hulp (CAO''s)'!Y$8&lt;&gt;"",'Hulp (CAO''s)'!Y$8,""), INDEX('Hulp (CAO''s)'!Y$3:Y$7, MATCH(TRUE, 'Hulp (CAO''s)'!$D$3:$D$7, 0))))</f>
        <v/>
      </c>
      <c r="V173" s="417"/>
      <c r="W173" s="343"/>
      <c r="X173" s="617"/>
      <c r="Y173" s="343"/>
      <c r="Z173" s="329"/>
      <c r="AA173" s="320"/>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row>
    <row r="174" spans="1:59" ht="16.05" customHeight="1" x14ac:dyDescent="0.45">
      <c r="A174" s="289"/>
      <c r="B174" s="343"/>
      <c r="C174" s="325" t="s">
        <v>779</v>
      </c>
      <c r="D174" s="772" t="s">
        <v>772</v>
      </c>
      <c r="E174" s="430" t="e">
        <f ca="1">IF($BF176, "", "% t.o.v. max salaris in de schaal")</f>
        <v>#VALUE!</v>
      </c>
      <c r="F174" s="615"/>
      <c r="G174" s="615"/>
      <c r="H174" s="615"/>
      <c r="I174" s="615"/>
      <c r="J174" s="615"/>
      <c r="K174" s="615"/>
      <c r="L174" s="615"/>
      <c r="M174" s="615"/>
      <c r="N174" s="615"/>
      <c r="O174" s="615"/>
      <c r="P174" s="615"/>
      <c r="Q174" s="615"/>
      <c r="R174" s="615"/>
      <c r="S174" s="615"/>
      <c r="T174" s="615"/>
      <c r="U174" s="616"/>
      <c r="V174" s="774" t="s">
        <v>884</v>
      </c>
      <c r="W174" s="332"/>
      <c r="X174" s="776" t="s">
        <v>882</v>
      </c>
      <c r="Y174" s="778" t="s">
        <v>883</v>
      </c>
      <c r="Z174" s="329"/>
      <c r="AA174" s="771" t="s">
        <v>780</v>
      </c>
      <c r="AB174" s="770" t="s">
        <v>1079</v>
      </c>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row>
    <row r="175" spans="1:59" ht="16.05" customHeight="1" thickBot="1" x14ac:dyDescent="0.5">
      <c r="A175" s="289"/>
      <c r="B175" s="343"/>
      <c r="C175" s="325" t="s">
        <v>779</v>
      </c>
      <c r="D175" s="773"/>
      <c r="E175" s="431" t="e">
        <f ca="1">IF($BF176, "", "Trede (gemiddeld)")</f>
        <v>#VALUE!</v>
      </c>
      <c r="F175" s="737"/>
      <c r="G175" s="737"/>
      <c r="H175" s="737"/>
      <c r="I175" s="737"/>
      <c r="J175" s="737"/>
      <c r="K175" s="737"/>
      <c r="L175" s="737"/>
      <c r="M175" s="737"/>
      <c r="N175" s="737"/>
      <c r="O175" s="737"/>
      <c r="P175" s="737"/>
      <c r="Q175" s="737"/>
      <c r="R175" s="737"/>
      <c r="S175" s="737"/>
      <c r="T175" s="737"/>
      <c r="U175" s="740"/>
      <c r="V175" s="775"/>
      <c r="W175" s="294"/>
      <c r="X175" s="777"/>
      <c r="Y175" s="779"/>
      <c r="Z175" s="329"/>
      <c r="AA175" s="771"/>
      <c r="AB175" s="770"/>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row>
    <row r="176" spans="1:59" ht="16.05" customHeight="1" thickBot="1" x14ac:dyDescent="0.5">
      <c r="A176" s="289"/>
      <c r="B176" s="343"/>
      <c r="C176" s="325" t="s">
        <v>779</v>
      </c>
      <c r="E176" s="432" t="str">
        <f>IFERROR(
   INDEX('Hulp (CAO''s)'!$I$3:$I$7, MATCH(TRUE, 'Hulp (CAO''s)'!$D$3:$D$7, 0)),
"")</f>
        <v>Bruto maandsalaris</v>
      </c>
      <c r="F176" s="425" t="e" cm="1">
        <f t="array" aca="1" ref="F176" ca="1">IF($BF176, IF(F173="","",
   INDEX(
      INDIRECT("'" &amp; 'Hulp (CAO''s)'!$AE$8 &amp; "'!" &amp;
               'Hulp (overig)'!$C$17 &amp; "1:" &amp;
               'Hulp (overig)'!$C$17 &amp; "1000"),
      MATCH(
         F173,
         INDIRECT("'" &amp; 'Hulp (CAO''s)'!$AE$8 &amp; "'!A1:A1000"),
         0
      )
   )
), IF($D174="Gebruik % van maximum salaris",
IF(
    OR(F173="",F174=""),
    "",
    MAX(
        INDIRECT(
            "'" &amp; 'Hulp (overig)'!$C$16 &amp; "'!" &amp;
            'Hulp (overig)'!$C$17 &amp;
            MATCH(F173, INDIRECT("'" &amp; 'Hulp (overig)'!$C$16 &amp; "'!A1:A1000"), 0) &amp;
            ":" &amp;
            'Hulp (overig)'!$C$17 &amp;
LOOKUP(
    2,
    1 / (
        (ROW(INDIRECT("'" &amp; 'Hulp (overig)'!$C$16 &amp; "'!B1:B1000")) &lt;
            IF(G173&lt;&gt;"",
               MATCH(G173, INDIRECT("'" &amp; 'Hulp (overig)'!$C$16 &amp; "'!A1:A1000"),0),
               1000
            )
        ) *
        (LEFT(TRIM(INDIRECT("'" &amp; 'Hulp (overig)'!$C$16 &amp; "'!B1:B1000")),1) &lt;&gt; "u")
    ),
    ROW(INDIRECT("'" &amp; 'Hulp (overig)'!$C$16 &amp; "'!B1:B1000"))
)
        )
    ) * F174
),
IF(F175="","",
IF(
    IFERROR(MIN(
        IF(
            (TRIM(INDIRECT("'" &amp; 'Hulp (overig)'!$C$16 &amp; "'!B1:B1000")) = TEXT(F175,"0")) *
            (ROW(INDIRECT("'" &amp; 'Hulp (overig)'!$C$16 &amp; "'!B1:B1000")) &gt;= MATCH(
                F173,
                INDIRECT("'" &amp; 'Hulp (overig)'!$C$16 &amp; "'!A1:A1000"),
                0
            )) *
            IF(
                G173="",
                1,
                (ROW(INDIRECT("'" &amp; 'Hulp (overig)'!$C$16 &amp; "'!B1:B1000")) &lt; MATCH(
                    G173,
                    INDIRECT("'" &amp; 'Hulp (overig)'!$C$16 &amp; "'!A1:A1000"),
                    0
                ))
            ),
            ROW(INDIRECT("'" &amp; 'Hulp (overig)'!$C$16 &amp; "'!B1:B1000"))
        )
    ),0) &lt; 1,
    "",
    IF(INDEX(
        INDIRECT("'" &amp; 'Hulp (overig)'!$C$16 &amp; "'!" &amp;
        'Hulp (overig)'!$C$17 &amp; "1:" &amp; 'Hulp (overig)'!$C$17 &amp; 1000
        ),
        IFERROR(MIN(
            IF(
                (TRIM(INDIRECT("'" &amp; 'Hulp (overig)'!$C$16 &amp; "'!B1:B1000")) = TEXT(F175,"0")) *
                (ROW(INDIRECT("'" &amp; 'Hulp (overig)'!$C$16 &amp; "'!B1:B1000")) &gt;= MATCH(
                    F173,
                    INDIRECT("'" &amp; 'Hulp (overig)'!$C$16 &amp; "'!A1:A1000"),
                    0
                )) *
                IF(
                    G173="",
                    1,
                    (ROW(INDIRECT("'" &amp; 'Hulp (overig)'!$C$16 &amp; "'!B1:B1000")) &lt; MATCH(
                        G173,
                        INDIRECT("'" &amp; 'Hulp (overig)'!$C$16 &amp; "'!A1:A1000"),
                        0
                    ))
                ),
                ROW(INDIRECT("'" &amp; 'Hulp (overig)'!$C$16 &amp; "'!B1:B1000"))
            )
        ),0)
    )=0,"",
INDEX(
        INDIRECT("'" &amp; 'Hulp (overig)'!$C$16 &amp; "'!" &amp;
        'Hulp (overig)'!$C$17 &amp; "1:" &amp; 'Hulp (overig)'!$C$17 &amp; 1000
        ),
        IFERROR(MIN(
            IF(
                (TRIM(INDIRECT("'" &amp; 'Hulp (overig)'!$C$16 &amp; "'!B1:B1000")) = TEXT(F175,"0")) *
                (ROW(INDIRECT("'" &amp; 'Hulp (overig)'!$C$16 &amp; "'!B1:B1000")) &gt;= MATCH(
                    F173,
                    INDIRECT("'" &amp; 'Hulp (overig)'!$C$16 &amp; "'!A1:A1000"),
                    0
                )) *
                IF(
                    G173="",
                    1,
                    (ROW(INDIRECT("'" &amp; 'Hulp (overig)'!$C$16 &amp; "'!B1:B1000")) &lt; MATCH(
                        G173,
                        INDIRECT("'" &amp; 'Hulp (overig)'!$C$16 &amp; "'!A1:A1000"),
                        0
                    ))
                ),
                ROW(INDIRECT("'" &amp; 'Hulp (overig)'!$C$16 &amp; "'!B1:B1000"))
            )
        ),0)
    ))
))))</f>
        <v>#VALUE!</v>
      </c>
      <c r="G176" s="425" t="e" cm="1">
        <f t="array" aca="1" ref="G176" ca="1">IF($BF176, IF(G173="","",
   INDEX(
      INDIRECT("'" &amp; 'Hulp (CAO''s)'!$AE$8 &amp; "'!" &amp;
               'Hulp (overig)'!$C$17 &amp; "1:" &amp;
               'Hulp (overig)'!$C$17 &amp; "1000"),
      MATCH(
         G173,
         INDIRECT("'" &amp; 'Hulp (CAO''s)'!$AE$8 &amp; "'!A1:A1000"),
         0
      )
   )
), IF($D174="Gebruik % van maximum salaris",
IF(
    OR(G173="",G174=""),
    "",
    MAX(
        INDIRECT(
            "'" &amp; 'Hulp (overig)'!$C$16 &amp; "'!" &amp;
            'Hulp (overig)'!$C$17 &amp;
            MATCH(G173, INDIRECT("'" &amp; 'Hulp (overig)'!$C$16 &amp; "'!A1:A1000"), 0) &amp;
            ":" &amp;
            'Hulp (overig)'!$C$17 &amp;
LOOKUP(
    2,
    1 / (
        (ROW(INDIRECT("'" &amp; 'Hulp (overig)'!$C$16 &amp; "'!B1:B1000")) &lt;
            IF(H173&lt;&gt;"",
               MATCH(H173, INDIRECT("'" &amp; 'Hulp (overig)'!$C$16 &amp; "'!A1:A1000"),0),
               1000
            )
        ) *
        (LEFT(TRIM(INDIRECT("'" &amp; 'Hulp (overig)'!$C$16 &amp; "'!B1:B1000")),1) &lt;&gt; "u")
    ),
    ROW(INDIRECT("'" &amp; 'Hulp (overig)'!$C$16 &amp; "'!B1:B1000"))
)
        )
    ) * G174
),
IF(G175="","",
IF(
    IFERROR(MIN(
        IF(
            (TRIM(INDIRECT("'" &amp; 'Hulp (overig)'!$C$16 &amp; "'!B1:B1000")) = TEXT(G175,"0")) *
            (ROW(INDIRECT("'" &amp; 'Hulp (overig)'!$C$16 &amp; "'!B1:B1000")) &gt;= MATCH(
                G173,
                INDIRECT("'" &amp; 'Hulp (overig)'!$C$16 &amp; "'!A1:A1000"),
                0
            )) *
            IF(
                H173="",
                1,
                (ROW(INDIRECT("'" &amp; 'Hulp (overig)'!$C$16 &amp; "'!B1:B1000")) &lt; MATCH(
                    H173,
                    INDIRECT("'" &amp; 'Hulp (overig)'!$C$16 &amp; "'!A1:A1000"),
                    0
                ))
            ),
            ROW(INDIRECT("'" &amp; 'Hulp (overig)'!$C$16 &amp; "'!B1:B1000"))
        )
    ),0) &lt; 1,
    "",
    IF(INDEX(
        INDIRECT("'" &amp; 'Hulp (overig)'!$C$16 &amp; "'!" &amp;
        'Hulp (overig)'!$C$17 &amp; "1:" &amp; 'Hulp (overig)'!$C$17 &amp; 1000
        ),
        IFERROR(MIN(
            IF(
                (TRIM(INDIRECT("'" &amp; 'Hulp (overig)'!$C$16 &amp; "'!B1:B1000")) = TEXT(G175,"0")) *
                (ROW(INDIRECT("'" &amp; 'Hulp (overig)'!$C$16 &amp; "'!B1:B1000")) &gt;= MATCH(
                    G173,
                    INDIRECT("'" &amp; 'Hulp (overig)'!$C$16 &amp; "'!A1:A1000"),
                    0
                )) *
                IF(
                    H173="",
                    1,
                    (ROW(INDIRECT("'" &amp; 'Hulp (overig)'!$C$16 &amp; "'!B1:B1000")) &lt; MATCH(
                        H173,
                        INDIRECT("'" &amp; 'Hulp (overig)'!$C$16 &amp; "'!A1:A1000"),
                        0
                    ))
                ),
                ROW(INDIRECT("'" &amp; 'Hulp (overig)'!$C$16 &amp; "'!B1:B1000"))
            )
        ),0)
    )=0,"",
INDEX(
        INDIRECT("'" &amp; 'Hulp (overig)'!$C$16 &amp; "'!" &amp;
        'Hulp (overig)'!$C$17 &amp; "1:" &amp; 'Hulp (overig)'!$C$17 &amp; 1000
        ),
        IFERROR(MIN(
            IF(
                (TRIM(INDIRECT("'" &amp; 'Hulp (overig)'!$C$16 &amp; "'!B1:B1000")) = TEXT(G175,"0")) *
                (ROW(INDIRECT("'" &amp; 'Hulp (overig)'!$C$16 &amp; "'!B1:B1000")) &gt;= MATCH(
                    G173,
                    INDIRECT("'" &amp; 'Hulp (overig)'!$C$16 &amp; "'!A1:A1000"),
                    0
                )) *
                IF(
                    H173="",
                    1,
                    (ROW(INDIRECT("'" &amp; 'Hulp (overig)'!$C$16 &amp; "'!B1:B1000")) &lt; MATCH(
                        H173,
                        INDIRECT("'" &amp; 'Hulp (overig)'!$C$16 &amp; "'!A1:A1000"),
                        0
                    ))
                ),
                ROW(INDIRECT("'" &amp; 'Hulp (overig)'!$C$16 &amp; "'!B1:B1000"))
            )
        ),0)
    ))
))))</f>
        <v>#VALUE!</v>
      </c>
      <c r="H176" s="425" t="e" cm="1">
        <f t="array" aca="1" ref="H176" ca="1">IF($BF176, IF(H173="","",
   INDEX(
      INDIRECT("'" &amp; 'Hulp (CAO''s)'!$AE$8 &amp; "'!" &amp;
               'Hulp (overig)'!$C$17 &amp; "1:" &amp;
               'Hulp (overig)'!$C$17 &amp; "1000"),
      MATCH(
         H173,
         INDIRECT("'" &amp; 'Hulp (CAO''s)'!$AE$8 &amp; "'!A1:A1000"),
         0
      )
   )
), IF($D174="Gebruik % van maximum salaris",
IF(
    OR(H173="",H174=""),
    "",
    MAX(
        INDIRECT(
            "'" &amp; 'Hulp (overig)'!$C$16 &amp; "'!" &amp;
            'Hulp (overig)'!$C$17 &amp;
            MATCH(H173, INDIRECT("'" &amp; 'Hulp (overig)'!$C$16 &amp; "'!A1:A1000"), 0) &amp;
            ":" &amp;
            'Hulp (overig)'!$C$17 &amp;
LOOKUP(
    2,
    1 / (
        (ROW(INDIRECT("'" &amp; 'Hulp (overig)'!$C$16 &amp; "'!B1:B1000")) &lt;
            IF(I173&lt;&gt;"",
               MATCH(I173, INDIRECT("'" &amp; 'Hulp (overig)'!$C$16 &amp; "'!A1:A1000"),0),
               1000
            )
        ) *
        (LEFT(TRIM(INDIRECT("'" &amp; 'Hulp (overig)'!$C$16 &amp; "'!B1:B1000")),1) &lt;&gt; "u")
    ),
    ROW(INDIRECT("'" &amp; 'Hulp (overig)'!$C$16 &amp; "'!B1:B1000"))
)
        )
    ) * H174
),
IF(H175="","",
IF(
    IFERROR(MIN(
        IF(
            (TRIM(INDIRECT("'" &amp; 'Hulp (overig)'!$C$16 &amp; "'!B1:B1000")) = TEXT(H175,"0")) *
            (ROW(INDIRECT("'" &amp; 'Hulp (overig)'!$C$16 &amp; "'!B1:B1000")) &gt;= MATCH(
                H173,
                INDIRECT("'" &amp; 'Hulp (overig)'!$C$16 &amp; "'!A1:A1000"),
                0
            )) *
            IF(
                I173="",
                1,
                (ROW(INDIRECT("'" &amp; 'Hulp (overig)'!$C$16 &amp; "'!B1:B1000")) &lt; MATCH(
                    I173,
                    INDIRECT("'" &amp; 'Hulp (overig)'!$C$16 &amp; "'!A1:A1000"),
                    0
                ))
            ),
            ROW(INDIRECT("'" &amp; 'Hulp (overig)'!$C$16 &amp; "'!B1:B1000"))
        )
    ),0) &lt; 1,
    "",
    IF(INDEX(
        INDIRECT("'" &amp; 'Hulp (overig)'!$C$16 &amp; "'!" &amp;
        'Hulp (overig)'!$C$17 &amp; "1:" &amp; 'Hulp (overig)'!$C$17 &amp; 1000
        ),
        IFERROR(MIN(
            IF(
                (TRIM(INDIRECT("'" &amp; 'Hulp (overig)'!$C$16 &amp; "'!B1:B1000")) = TEXT(H175,"0")) *
                (ROW(INDIRECT("'" &amp; 'Hulp (overig)'!$C$16 &amp; "'!B1:B1000")) &gt;= MATCH(
                    H173,
                    INDIRECT("'" &amp; 'Hulp (overig)'!$C$16 &amp; "'!A1:A1000"),
                    0
                )) *
                IF(
                    I173="",
                    1,
                    (ROW(INDIRECT("'" &amp; 'Hulp (overig)'!$C$16 &amp; "'!B1:B1000")) &lt; MATCH(
                        I173,
                        INDIRECT("'" &amp; 'Hulp (overig)'!$C$16 &amp; "'!A1:A1000"),
                        0
                    ))
                ),
                ROW(INDIRECT("'" &amp; 'Hulp (overig)'!$C$16 &amp; "'!B1:B1000"))
            )
        ),0)
    )=0,"",
INDEX(
        INDIRECT("'" &amp; 'Hulp (overig)'!$C$16 &amp; "'!" &amp;
        'Hulp (overig)'!$C$17 &amp; "1:" &amp; 'Hulp (overig)'!$C$17 &amp; 1000
        ),
        IFERROR(MIN(
            IF(
                (TRIM(INDIRECT("'" &amp; 'Hulp (overig)'!$C$16 &amp; "'!B1:B1000")) = TEXT(H175,"0")) *
                (ROW(INDIRECT("'" &amp; 'Hulp (overig)'!$C$16 &amp; "'!B1:B1000")) &gt;= MATCH(
                    H173,
                    INDIRECT("'" &amp; 'Hulp (overig)'!$C$16 &amp; "'!A1:A1000"),
                    0
                )) *
                IF(
                    I173="",
                    1,
                    (ROW(INDIRECT("'" &amp; 'Hulp (overig)'!$C$16 &amp; "'!B1:B1000")) &lt; MATCH(
                        I173,
                        INDIRECT("'" &amp; 'Hulp (overig)'!$C$16 &amp; "'!A1:A1000"),
                        0
                    ))
                ),
                ROW(INDIRECT("'" &amp; 'Hulp (overig)'!$C$16 &amp; "'!B1:B1000"))
            )
        ),0)
    ))
))))</f>
        <v>#VALUE!</v>
      </c>
      <c r="I176" s="425" t="e" cm="1">
        <f t="array" aca="1" ref="I176" ca="1">IF($BF176, IF(I173="","",
   INDEX(
      INDIRECT("'" &amp; 'Hulp (CAO''s)'!$AE$8 &amp; "'!" &amp;
               'Hulp (overig)'!$C$17 &amp; "1:" &amp;
               'Hulp (overig)'!$C$17 &amp; "1000"),
      MATCH(
         I173,
         INDIRECT("'" &amp; 'Hulp (CAO''s)'!$AE$8 &amp; "'!A1:A1000"),
         0
      )
   )
), IF($D174="Gebruik % van maximum salaris",
IF(
    OR(I173="",I174=""),
    "",
    MAX(
        INDIRECT(
            "'" &amp; 'Hulp (overig)'!$C$16 &amp; "'!" &amp;
            'Hulp (overig)'!$C$17 &amp;
            MATCH(I173, INDIRECT("'" &amp; 'Hulp (overig)'!$C$16 &amp; "'!A1:A1000"), 0) &amp;
            ":" &amp;
            'Hulp (overig)'!$C$17 &amp;
LOOKUP(
    2,
    1 / (
        (ROW(INDIRECT("'" &amp; 'Hulp (overig)'!$C$16 &amp; "'!B1:B1000")) &lt;
            IF(J173&lt;&gt;"",
               MATCH(J173, INDIRECT("'" &amp; 'Hulp (overig)'!$C$16 &amp; "'!A1:A1000"),0),
               1000
            )
        ) *
        (LEFT(TRIM(INDIRECT("'" &amp; 'Hulp (overig)'!$C$16 &amp; "'!B1:B1000")),1) &lt;&gt; "u")
    ),
    ROW(INDIRECT("'" &amp; 'Hulp (overig)'!$C$16 &amp; "'!B1:B1000"))
)
        )
    ) * I174
),
IF(I175="","",
IF(
    IFERROR(MIN(
        IF(
            (TRIM(INDIRECT("'" &amp; 'Hulp (overig)'!$C$16 &amp; "'!B1:B1000")) = TEXT(I175,"0")) *
            (ROW(INDIRECT("'" &amp; 'Hulp (overig)'!$C$16 &amp; "'!B1:B1000")) &gt;= MATCH(
                I173,
                INDIRECT("'" &amp; 'Hulp (overig)'!$C$16 &amp; "'!A1:A1000"),
                0
            )) *
            IF(
                J173="",
                1,
                (ROW(INDIRECT("'" &amp; 'Hulp (overig)'!$C$16 &amp; "'!B1:B1000")) &lt; MATCH(
                    J173,
                    INDIRECT("'" &amp; 'Hulp (overig)'!$C$16 &amp; "'!A1:A1000"),
                    0
                ))
            ),
            ROW(INDIRECT("'" &amp; 'Hulp (overig)'!$C$16 &amp; "'!B1:B1000"))
        )
    ),0) &lt; 1,
    "",
    IF(INDEX(
        INDIRECT("'" &amp; 'Hulp (overig)'!$C$16 &amp; "'!" &amp;
        'Hulp (overig)'!$C$17 &amp; "1:" &amp; 'Hulp (overig)'!$C$17 &amp; 1000
        ),
        IFERROR(MIN(
            IF(
                (TRIM(INDIRECT("'" &amp; 'Hulp (overig)'!$C$16 &amp; "'!B1:B1000")) = TEXT(I175,"0")) *
                (ROW(INDIRECT("'" &amp; 'Hulp (overig)'!$C$16 &amp; "'!B1:B1000")) &gt;= MATCH(
                    I173,
                    INDIRECT("'" &amp; 'Hulp (overig)'!$C$16 &amp; "'!A1:A1000"),
                    0
                )) *
                IF(
                    J173="",
                    1,
                    (ROW(INDIRECT("'" &amp; 'Hulp (overig)'!$C$16 &amp; "'!B1:B1000")) &lt; MATCH(
                        J173,
                        INDIRECT("'" &amp; 'Hulp (overig)'!$C$16 &amp; "'!A1:A1000"),
                        0
                    ))
                ),
                ROW(INDIRECT("'" &amp; 'Hulp (overig)'!$C$16 &amp; "'!B1:B1000"))
            )
        ),0)
    )=0,"",
INDEX(
        INDIRECT("'" &amp; 'Hulp (overig)'!$C$16 &amp; "'!" &amp;
        'Hulp (overig)'!$C$17 &amp; "1:" &amp; 'Hulp (overig)'!$C$17 &amp; 1000
        ),
        IFERROR(MIN(
            IF(
                (TRIM(INDIRECT("'" &amp; 'Hulp (overig)'!$C$16 &amp; "'!B1:B1000")) = TEXT(I175,"0")) *
                (ROW(INDIRECT("'" &amp; 'Hulp (overig)'!$C$16 &amp; "'!B1:B1000")) &gt;= MATCH(
                    I173,
                    INDIRECT("'" &amp; 'Hulp (overig)'!$C$16 &amp; "'!A1:A1000"),
                    0
                )) *
                IF(
                    J173="",
                    1,
                    (ROW(INDIRECT("'" &amp; 'Hulp (overig)'!$C$16 &amp; "'!B1:B1000")) &lt; MATCH(
                        J173,
                        INDIRECT("'" &amp; 'Hulp (overig)'!$C$16 &amp; "'!A1:A1000"),
                        0
                    ))
                ),
                ROW(INDIRECT("'" &amp; 'Hulp (overig)'!$C$16 &amp; "'!B1:B1000"))
            )
        ),0)
    ))
))))</f>
        <v>#VALUE!</v>
      </c>
      <c r="J176" s="425" t="e" cm="1">
        <f t="array" aca="1" ref="J176" ca="1">IF($BF176, IF(J173="","",
   INDEX(
      INDIRECT("'" &amp; 'Hulp (CAO''s)'!$AE$8 &amp; "'!" &amp;
               'Hulp (overig)'!$C$17 &amp; "1:" &amp;
               'Hulp (overig)'!$C$17 &amp; "1000"),
      MATCH(
         J173,
         INDIRECT("'" &amp; 'Hulp (CAO''s)'!$AE$8 &amp; "'!A1:A1000"),
         0
      )
   )
), IF($D174="Gebruik % van maximum salaris",
IF(
    OR(J173="",J174=""),
    "",
    MAX(
        INDIRECT(
            "'" &amp; 'Hulp (overig)'!$C$16 &amp; "'!" &amp;
            'Hulp (overig)'!$C$17 &amp;
            MATCH(J173, INDIRECT("'" &amp; 'Hulp (overig)'!$C$16 &amp; "'!A1:A1000"), 0) &amp;
            ":" &amp;
            'Hulp (overig)'!$C$17 &amp;
LOOKUP(
    2,
    1 / (
        (ROW(INDIRECT("'" &amp; 'Hulp (overig)'!$C$16 &amp; "'!B1:B1000")) &lt;
            IF(K173&lt;&gt;"",
               MATCH(K173, INDIRECT("'" &amp; 'Hulp (overig)'!$C$16 &amp; "'!A1:A1000"),0),
               1000
            )
        ) *
        (LEFT(TRIM(INDIRECT("'" &amp; 'Hulp (overig)'!$C$16 &amp; "'!B1:B1000")),1) &lt;&gt; "u")
    ),
    ROW(INDIRECT("'" &amp; 'Hulp (overig)'!$C$16 &amp; "'!B1:B1000"))
)
        )
    ) * J174
),
IF(J175="","",
IF(
    IFERROR(MIN(
        IF(
            (TRIM(INDIRECT("'" &amp; 'Hulp (overig)'!$C$16 &amp; "'!B1:B1000")) = TEXT(J175,"0")) *
            (ROW(INDIRECT("'" &amp; 'Hulp (overig)'!$C$16 &amp; "'!B1:B1000")) &gt;= MATCH(
                J173,
                INDIRECT("'" &amp; 'Hulp (overig)'!$C$16 &amp; "'!A1:A1000"),
                0
            )) *
            IF(
                K173="",
                1,
                (ROW(INDIRECT("'" &amp; 'Hulp (overig)'!$C$16 &amp; "'!B1:B1000")) &lt; MATCH(
                    K173,
                    INDIRECT("'" &amp; 'Hulp (overig)'!$C$16 &amp; "'!A1:A1000"),
                    0
                ))
            ),
            ROW(INDIRECT("'" &amp; 'Hulp (overig)'!$C$16 &amp; "'!B1:B1000"))
        )
    ),0) &lt; 1,
    "",
    IF(INDEX(
        INDIRECT("'" &amp; 'Hulp (overig)'!$C$16 &amp; "'!" &amp;
        'Hulp (overig)'!$C$17 &amp; "1:" &amp; 'Hulp (overig)'!$C$17 &amp; 1000
        ),
        IFERROR(MIN(
            IF(
                (TRIM(INDIRECT("'" &amp; 'Hulp (overig)'!$C$16 &amp; "'!B1:B1000")) = TEXT(J175,"0")) *
                (ROW(INDIRECT("'" &amp; 'Hulp (overig)'!$C$16 &amp; "'!B1:B1000")) &gt;= MATCH(
                    J173,
                    INDIRECT("'" &amp; 'Hulp (overig)'!$C$16 &amp; "'!A1:A1000"),
                    0
                )) *
                IF(
                    K173="",
                    1,
                    (ROW(INDIRECT("'" &amp; 'Hulp (overig)'!$C$16 &amp; "'!B1:B1000")) &lt; MATCH(
                        K173,
                        INDIRECT("'" &amp; 'Hulp (overig)'!$C$16 &amp; "'!A1:A1000"),
                        0
                    ))
                ),
                ROW(INDIRECT("'" &amp; 'Hulp (overig)'!$C$16 &amp; "'!B1:B1000"))
            )
        ),0)
    )=0,"",
INDEX(
        INDIRECT("'" &amp; 'Hulp (overig)'!$C$16 &amp; "'!" &amp;
        'Hulp (overig)'!$C$17 &amp; "1:" &amp; 'Hulp (overig)'!$C$17 &amp; 1000
        ),
        IFERROR(MIN(
            IF(
                (TRIM(INDIRECT("'" &amp; 'Hulp (overig)'!$C$16 &amp; "'!B1:B1000")) = TEXT(J175,"0")) *
                (ROW(INDIRECT("'" &amp; 'Hulp (overig)'!$C$16 &amp; "'!B1:B1000")) &gt;= MATCH(
                    J173,
                    INDIRECT("'" &amp; 'Hulp (overig)'!$C$16 &amp; "'!A1:A1000"),
                    0
                )) *
                IF(
                    K173="",
                    1,
                    (ROW(INDIRECT("'" &amp; 'Hulp (overig)'!$C$16 &amp; "'!B1:B1000")) &lt; MATCH(
                        K173,
                        INDIRECT("'" &amp; 'Hulp (overig)'!$C$16 &amp; "'!A1:A1000"),
                        0
                    ))
                ),
                ROW(INDIRECT("'" &amp; 'Hulp (overig)'!$C$16 &amp; "'!B1:B1000"))
            )
        ),0)
    ))
))))</f>
        <v>#VALUE!</v>
      </c>
      <c r="K176" s="425" t="e" cm="1">
        <f t="array" aca="1" ref="K176" ca="1">IF($BF176, IF(K173="","",
   INDEX(
      INDIRECT("'" &amp; 'Hulp (CAO''s)'!$AE$8 &amp; "'!" &amp;
               'Hulp (overig)'!$C$17 &amp; "1:" &amp;
               'Hulp (overig)'!$C$17 &amp; "1000"),
      MATCH(
         K173,
         INDIRECT("'" &amp; 'Hulp (CAO''s)'!$AE$8 &amp; "'!A1:A1000"),
         0
      )
   )
), IF($D174="Gebruik % van maximum salaris",
IF(
    OR(K173="",K174=""),
    "",
    MAX(
        INDIRECT(
            "'" &amp; 'Hulp (overig)'!$C$16 &amp; "'!" &amp;
            'Hulp (overig)'!$C$17 &amp;
            MATCH(K173, INDIRECT("'" &amp; 'Hulp (overig)'!$C$16 &amp; "'!A1:A1000"), 0) &amp;
            ":" &amp;
            'Hulp (overig)'!$C$17 &amp;
LOOKUP(
    2,
    1 / (
        (ROW(INDIRECT("'" &amp; 'Hulp (overig)'!$C$16 &amp; "'!B1:B1000")) &lt;
            IF(L173&lt;&gt;"",
               MATCH(L173, INDIRECT("'" &amp; 'Hulp (overig)'!$C$16 &amp; "'!A1:A1000"),0),
               1000
            )
        ) *
        (LEFT(TRIM(INDIRECT("'" &amp; 'Hulp (overig)'!$C$16 &amp; "'!B1:B1000")),1) &lt;&gt; "u")
    ),
    ROW(INDIRECT("'" &amp; 'Hulp (overig)'!$C$16 &amp; "'!B1:B1000"))
)
        )
    ) * K174
),
IF(K175="","",
IF(
    IFERROR(MIN(
        IF(
            (TRIM(INDIRECT("'" &amp; 'Hulp (overig)'!$C$16 &amp; "'!B1:B1000")) = TEXT(K175,"0")) *
            (ROW(INDIRECT("'" &amp; 'Hulp (overig)'!$C$16 &amp; "'!B1:B1000")) &gt;= MATCH(
                K173,
                INDIRECT("'" &amp; 'Hulp (overig)'!$C$16 &amp; "'!A1:A1000"),
                0
            )) *
            IF(
                L173="",
                1,
                (ROW(INDIRECT("'" &amp; 'Hulp (overig)'!$C$16 &amp; "'!B1:B1000")) &lt; MATCH(
                    L173,
                    INDIRECT("'" &amp; 'Hulp (overig)'!$C$16 &amp; "'!A1:A1000"),
                    0
                ))
            ),
            ROW(INDIRECT("'" &amp; 'Hulp (overig)'!$C$16 &amp; "'!B1:B1000"))
        )
    ),0) &lt; 1,
    "",
    IF(INDEX(
        INDIRECT("'" &amp; 'Hulp (overig)'!$C$16 &amp; "'!" &amp;
        'Hulp (overig)'!$C$17 &amp; "1:" &amp; 'Hulp (overig)'!$C$17 &amp; 1000
        ),
        IFERROR(MIN(
            IF(
                (TRIM(INDIRECT("'" &amp; 'Hulp (overig)'!$C$16 &amp; "'!B1:B1000")) = TEXT(K175,"0")) *
                (ROW(INDIRECT("'" &amp; 'Hulp (overig)'!$C$16 &amp; "'!B1:B1000")) &gt;= MATCH(
                    K173,
                    INDIRECT("'" &amp; 'Hulp (overig)'!$C$16 &amp; "'!A1:A1000"),
                    0
                )) *
                IF(
                    L173="",
                    1,
                    (ROW(INDIRECT("'" &amp; 'Hulp (overig)'!$C$16 &amp; "'!B1:B1000")) &lt; MATCH(
                        L173,
                        INDIRECT("'" &amp; 'Hulp (overig)'!$C$16 &amp; "'!A1:A1000"),
                        0
                    ))
                ),
                ROW(INDIRECT("'" &amp; 'Hulp (overig)'!$C$16 &amp; "'!B1:B1000"))
            )
        ),0)
    )=0,"",
INDEX(
        INDIRECT("'" &amp; 'Hulp (overig)'!$C$16 &amp; "'!" &amp;
        'Hulp (overig)'!$C$17 &amp; "1:" &amp; 'Hulp (overig)'!$C$17 &amp; 1000
        ),
        IFERROR(MIN(
            IF(
                (TRIM(INDIRECT("'" &amp; 'Hulp (overig)'!$C$16 &amp; "'!B1:B1000")) = TEXT(K175,"0")) *
                (ROW(INDIRECT("'" &amp; 'Hulp (overig)'!$C$16 &amp; "'!B1:B1000")) &gt;= MATCH(
                    K173,
                    INDIRECT("'" &amp; 'Hulp (overig)'!$C$16 &amp; "'!A1:A1000"),
                    0
                )) *
                IF(
                    L173="",
                    1,
                    (ROW(INDIRECT("'" &amp; 'Hulp (overig)'!$C$16 &amp; "'!B1:B1000")) &lt; MATCH(
                        L173,
                        INDIRECT("'" &amp; 'Hulp (overig)'!$C$16 &amp; "'!A1:A1000"),
                        0
                    ))
                ),
                ROW(INDIRECT("'" &amp; 'Hulp (overig)'!$C$16 &amp; "'!B1:B1000"))
            )
        ),0)
    ))
))))</f>
        <v>#VALUE!</v>
      </c>
      <c r="L176" s="425" t="e" cm="1">
        <f t="array" aca="1" ref="L176" ca="1">IF($BF176, IF(L173="","",
   INDEX(
      INDIRECT("'" &amp; 'Hulp (CAO''s)'!$AE$8 &amp; "'!" &amp;
               'Hulp (overig)'!$C$17 &amp; "1:" &amp;
               'Hulp (overig)'!$C$17 &amp; "1000"),
      MATCH(
         L173,
         INDIRECT("'" &amp; 'Hulp (CAO''s)'!$AE$8 &amp; "'!A1:A1000"),
         0
      )
   )
), IF($D174="Gebruik % van maximum salaris",
IF(
    OR(L173="",L174=""),
    "",
    MAX(
        INDIRECT(
            "'" &amp; 'Hulp (overig)'!$C$16 &amp; "'!" &amp;
            'Hulp (overig)'!$C$17 &amp;
            MATCH(L173, INDIRECT("'" &amp; 'Hulp (overig)'!$C$16 &amp; "'!A1:A1000"), 0) &amp;
            ":" &amp;
            'Hulp (overig)'!$C$17 &amp;
LOOKUP(
    2,
    1 / (
        (ROW(INDIRECT("'" &amp; 'Hulp (overig)'!$C$16 &amp; "'!B1:B1000")) &lt;
            IF(M173&lt;&gt;"",
               MATCH(M173, INDIRECT("'" &amp; 'Hulp (overig)'!$C$16 &amp; "'!A1:A1000"),0),
               1000
            )
        ) *
        (LEFT(TRIM(INDIRECT("'" &amp; 'Hulp (overig)'!$C$16 &amp; "'!B1:B1000")),1) &lt;&gt; "u")
    ),
    ROW(INDIRECT("'" &amp; 'Hulp (overig)'!$C$16 &amp; "'!B1:B1000"))
)
        )
    ) * L174
),
IF(L175="","",
IF(
    IFERROR(MIN(
        IF(
            (TRIM(INDIRECT("'" &amp; 'Hulp (overig)'!$C$16 &amp; "'!B1:B1000")) = TEXT(L175,"0")) *
            (ROW(INDIRECT("'" &amp; 'Hulp (overig)'!$C$16 &amp; "'!B1:B1000")) &gt;= MATCH(
                L173,
                INDIRECT("'" &amp; 'Hulp (overig)'!$C$16 &amp; "'!A1:A1000"),
                0
            )) *
            IF(
                M173="",
                1,
                (ROW(INDIRECT("'" &amp; 'Hulp (overig)'!$C$16 &amp; "'!B1:B1000")) &lt; MATCH(
                    M173,
                    INDIRECT("'" &amp; 'Hulp (overig)'!$C$16 &amp; "'!A1:A1000"),
                    0
                ))
            ),
            ROW(INDIRECT("'" &amp; 'Hulp (overig)'!$C$16 &amp; "'!B1:B1000"))
        )
    ),0) &lt; 1,
    "",
    IF(INDEX(
        INDIRECT("'" &amp; 'Hulp (overig)'!$C$16 &amp; "'!" &amp;
        'Hulp (overig)'!$C$17 &amp; "1:" &amp; 'Hulp (overig)'!$C$17 &amp; 1000
        ),
        IFERROR(MIN(
            IF(
                (TRIM(INDIRECT("'" &amp; 'Hulp (overig)'!$C$16 &amp; "'!B1:B1000")) = TEXT(L175,"0")) *
                (ROW(INDIRECT("'" &amp; 'Hulp (overig)'!$C$16 &amp; "'!B1:B1000")) &gt;= MATCH(
                    L173,
                    INDIRECT("'" &amp; 'Hulp (overig)'!$C$16 &amp; "'!A1:A1000"),
                    0
                )) *
                IF(
                    M173="",
                    1,
                    (ROW(INDIRECT("'" &amp; 'Hulp (overig)'!$C$16 &amp; "'!B1:B1000")) &lt; MATCH(
                        M173,
                        INDIRECT("'" &amp; 'Hulp (overig)'!$C$16 &amp; "'!A1:A1000"),
                        0
                    ))
                ),
                ROW(INDIRECT("'" &amp; 'Hulp (overig)'!$C$16 &amp; "'!B1:B1000"))
            )
        ),0)
    )=0,"",
INDEX(
        INDIRECT("'" &amp; 'Hulp (overig)'!$C$16 &amp; "'!" &amp;
        'Hulp (overig)'!$C$17 &amp; "1:" &amp; 'Hulp (overig)'!$C$17 &amp; 1000
        ),
        IFERROR(MIN(
            IF(
                (TRIM(INDIRECT("'" &amp; 'Hulp (overig)'!$C$16 &amp; "'!B1:B1000")) = TEXT(L175,"0")) *
                (ROW(INDIRECT("'" &amp; 'Hulp (overig)'!$C$16 &amp; "'!B1:B1000")) &gt;= MATCH(
                    L173,
                    INDIRECT("'" &amp; 'Hulp (overig)'!$C$16 &amp; "'!A1:A1000"),
                    0
                )) *
                IF(
                    M173="",
                    1,
                    (ROW(INDIRECT("'" &amp; 'Hulp (overig)'!$C$16 &amp; "'!B1:B1000")) &lt; MATCH(
                        M173,
                        INDIRECT("'" &amp; 'Hulp (overig)'!$C$16 &amp; "'!A1:A1000"),
                        0
                    ))
                ),
                ROW(INDIRECT("'" &amp; 'Hulp (overig)'!$C$16 &amp; "'!B1:B1000"))
            )
        ),0)
    ))
))))</f>
        <v>#VALUE!</v>
      </c>
      <c r="M176" s="425" t="e" cm="1">
        <f t="array" aca="1" ref="M176" ca="1">IF($BF176, IF(M173="","",
   INDEX(
      INDIRECT("'" &amp; 'Hulp (CAO''s)'!$AE$8 &amp; "'!" &amp;
               'Hulp (overig)'!$C$17 &amp; "1:" &amp;
               'Hulp (overig)'!$C$17 &amp; "1000"),
      MATCH(
         M173,
         INDIRECT("'" &amp; 'Hulp (CAO''s)'!$AE$8 &amp; "'!A1:A1000"),
         0
      )
   )
), IF($D174="Gebruik % van maximum salaris",
IF(
    OR(M173="",M174=""),
    "",
    MAX(
        INDIRECT(
            "'" &amp; 'Hulp (overig)'!$C$16 &amp; "'!" &amp;
            'Hulp (overig)'!$C$17 &amp;
            MATCH(M173, INDIRECT("'" &amp; 'Hulp (overig)'!$C$16 &amp; "'!A1:A1000"), 0) &amp;
            ":" &amp;
            'Hulp (overig)'!$C$17 &amp;
LOOKUP(
    2,
    1 / (
        (ROW(INDIRECT("'" &amp; 'Hulp (overig)'!$C$16 &amp; "'!B1:B1000")) &lt;
            IF(N173&lt;&gt;"",
               MATCH(N173, INDIRECT("'" &amp; 'Hulp (overig)'!$C$16 &amp; "'!A1:A1000"),0),
               1000
            )
        ) *
        (LEFT(TRIM(INDIRECT("'" &amp; 'Hulp (overig)'!$C$16 &amp; "'!B1:B1000")),1) &lt;&gt; "u")
    ),
    ROW(INDIRECT("'" &amp; 'Hulp (overig)'!$C$16 &amp; "'!B1:B1000"))
)
        )
    ) * M174
),
IF(M175="","",
IF(
    IFERROR(MIN(
        IF(
            (TRIM(INDIRECT("'" &amp; 'Hulp (overig)'!$C$16 &amp; "'!B1:B1000")) = TEXT(M175,"0")) *
            (ROW(INDIRECT("'" &amp; 'Hulp (overig)'!$C$16 &amp; "'!B1:B1000")) &gt;= MATCH(
                M173,
                INDIRECT("'" &amp; 'Hulp (overig)'!$C$16 &amp; "'!A1:A1000"),
                0
            )) *
            IF(
                N173="",
                1,
                (ROW(INDIRECT("'" &amp; 'Hulp (overig)'!$C$16 &amp; "'!B1:B1000")) &lt; MATCH(
                    N173,
                    INDIRECT("'" &amp; 'Hulp (overig)'!$C$16 &amp; "'!A1:A1000"),
                    0
                ))
            ),
            ROW(INDIRECT("'" &amp; 'Hulp (overig)'!$C$16 &amp; "'!B1:B1000"))
        )
    ),0) &lt; 1,
    "",
    IF(INDEX(
        INDIRECT("'" &amp; 'Hulp (overig)'!$C$16 &amp; "'!" &amp;
        'Hulp (overig)'!$C$17 &amp; "1:" &amp; 'Hulp (overig)'!$C$17 &amp; 1000
        ),
        IFERROR(MIN(
            IF(
                (TRIM(INDIRECT("'" &amp; 'Hulp (overig)'!$C$16 &amp; "'!B1:B1000")) = TEXT(M175,"0")) *
                (ROW(INDIRECT("'" &amp; 'Hulp (overig)'!$C$16 &amp; "'!B1:B1000")) &gt;= MATCH(
                    M173,
                    INDIRECT("'" &amp; 'Hulp (overig)'!$C$16 &amp; "'!A1:A1000"),
                    0
                )) *
                IF(
                    N173="",
                    1,
                    (ROW(INDIRECT("'" &amp; 'Hulp (overig)'!$C$16 &amp; "'!B1:B1000")) &lt; MATCH(
                        N173,
                        INDIRECT("'" &amp; 'Hulp (overig)'!$C$16 &amp; "'!A1:A1000"),
                        0
                    ))
                ),
                ROW(INDIRECT("'" &amp; 'Hulp (overig)'!$C$16 &amp; "'!B1:B1000"))
            )
        ),0)
    )=0,"",
INDEX(
        INDIRECT("'" &amp; 'Hulp (overig)'!$C$16 &amp; "'!" &amp;
        'Hulp (overig)'!$C$17 &amp; "1:" &amp; 'Hulp (overig)'!$C$17 &amp; 1000
        ),
        IFERROR(MIN(
            IF(
                (TRIM(INDIRECT("'" &amp; 'Hulp (overig)'!$C$16 &amp; "'!B1:B1000")) = TEXT(M175,"0")) *
                (ROW(INDIRECT("'" &amp; 'Hulp (overig)'!$C$16 &amp; "'!B1:B1000")) &gt;= MATCH(
                    M173,
                    INDIRECT("'" &amp; 'Hulp (overig)'!$C$16 &amp; "'!A1:A1000"),
                    0
                )) *
                IF(
                    N173="",
                    1,
                    (ROW(INDIRECT("'" &amp; 'Hulp (overig)'!$C$16 &amp; "'!B1:B1000")) &lt; MATCH(
                        N173,
                        INDIRECT("'" &amp; 'Hulp (overig)'!$C$16 &amp; "'!A1:A1000"),
                        0
                    ))
                ),
                ROW(INDIRECT("'" &amp; 'Hulp (overig)'!$C$16 &amp; "'!B1:B1000"))
            )
        ),0)
    ))
))))</f>
        <v>#VALUE!</v>
      </c>
      <c r="N176" s="425" t="e" cm="1">
        <f t="array" aca="1" ref="N176" ca="1">IF($BF176, IF(N173="","",
   INDEX(
      INDIRECT("'" &amp; 'Hulp (CAO''s)'!$AE$8 &amp; "'!" &amp;
               'Hulp (overig)'!$C$17 &amp; "1:" &amp;
               'Hulp (overig)'!$C$17 &amp; "1000"),
      MATCH(
         N173,
         INDIRECT("'" &amp; 'Hulp (CAO''s)'!$AE$8 &amp; "'!A1:A1000"),
         0
      )
   )
), IF($D174="Gebruik % van maximum salaris",
IF(
    OR(N173="",N174=""),
    "",
    MAX(
        INDIRECT(
            "'" &amp; 'Hulp (overig)'!$C$16 &amp; "'!" &amp;
            'Hulp (overig)'!$C$17 &amp;
            MATCH(N173, INDIRECT("'" &amp; 'Hulp (overig)'!$C$16 &amp; "'!A1:A1000"), 0) &amp;
            ":" &amp;
            'Hulp (overig)'!$C$17 &amp;
LOOKUP(
    2,
    1 / (
        (ROW(INDIRECT("'" &amp; 'Hulp (overig)'!$C$16 &amp; "'!B1:B1000")) &lt;
            IF(O173&lt;&gt;"",
               MATCH(O173, INDIRECT("'" &amp; 'Hulp (overig)'!$C$16 &amp; "'!A1:A1000"),0),
               1000
            )
        ) *
        (LEFT(TRIM(INDIRECT("'" &amp; 'Hulp (overig)'!$C$16 &amp; "'!B1:B1000")),1) &lt;&gt; "u")
    ),
    ROW(INDIRECT("'" &amp; 'Hulp (overig)'!$C$16 &amp; "'!B1:B1000"))
)
        )
    ) * N174
),
IF(N175="","",
IF(
    IFERROR(MIN(
        IF(
            (TRIM(INDIRECT("'" &amp; 'Hulp (overig)'!$C$16 &amp; "'!B1:B1000")) = TEXT(N175,"0")) *
            (ROW(INDIRECT("'" &amp; 'Hulp (overig)'!$C$16 &amp; "'!B1:B1000")) &gt;= MATCH(
                N173,
                INDIRECT("'" &amp; 'Hulp (overig)'!$C$16 &amp; "'!A1:A1000"),
                0
            )) *
            IF(
                O173="",
                1,
                (ROW(INDIRECT("'" &amp; 'Hulp (overig)'!$C$16 &amp; "'!B1:B1000")) &lt; MATCH(
                    O173,
                    INDIRECT("'" &amp; 'Hulp (overig)'!$C$16 &amp; "'!A1:A1000"),
                    0
                ))
            ),
            ROW(INDIRECT("'" &amp; 'Hulp (overig)'!$C$16 &amp; "'!B1:B1000"))
        )
    ),0) &lt; 1,
    "",
    IF(INDEX(
        INDIRECT("'" &amp; 'Hulp (overig)'!$C$16 &amp; "'!" &amp;
        'Hulp (overig)'!$C$17 &amp; "1:" &amp; 'Hulp (overig)'!$C$17 &amp; 1000
        ),
        IFERROR(MIN(
            IF(
                (TRIM(INDIRECT("'" &amp; 'Hulp (overig)'!$C$16 &amp; "'!B1:B1000")) = TEXT(N175,"0")) *
                (ROW(INDIRECT("'" &amp; 'Hulp (overig)'!$C$16 &amp; "'!B1:B1000")) &gt;= MATCH(
                    N173,
                    INDIRECT("'" &amp; 'Hulp (overig)'!$C$16 &amp; "'!A1:A1000"),
                    0
                )) *
                IF(
                    O173="",
                    1,
                    (ROW(INDIRECT("'" &amp; 'Hulp (overig)'!$C$16 &amp; "'!B1:B1000")) &lt; MATCH(
                        O173,
                        INDIRECT("'" &amp; 'Hulp (overig)'!$C$16 &amp; "'!A1:A1000"),
                        0
                    ))
                ),
                ROW(INDIRECT("'" &amp; 'Hulp (overig)'!$C$16 &amp; "'!B1:B1000"))
            )
        ),0)
    )=0,"",
INDEX(
        INDIRECT("'" &amp; 'Hulp (overig)'!$C$16 &amp; "'!" &amp;
        'Hulp (overig)'!$C$17 &amp; "1:" &amp; 'Hulp (overig)'!$C$17 &amp; 1000
        ),
        IFERROR(MIN(
            IF(
                (TRIM(INDIRECT("'" &amp; 'Hulp (overig)'!$C$16 &amp; "'!B1:B1000")) = TEXT(N175,"0")) *
                (ROW(INDIRECT("'" &amp; 'Hulp (overig)'!$C$16 &amp; "'!B1:B1000")) &gt;= MATCH(
                    N173,
                    INDIRECT("'" &amp; 'Hulp (overig)'!$C$16 &amp; "'!A1:A1000"),
                    0
                )) *
                IF(
                    O173="",
                    1,
                    (ROW(INDIRECT("'" &amp; 'Hulp (overig)'!$C$16 &amp; "'!B1:B1000")) &lt; MATCH(
                        O173,
                        INDIRECT("'" &amp; 'Hulp (overig)'!$C$16 &amp; "'!A1:A1000"),
                        0
                    ))
                ),
                ROW(INDIRECT("'" &amp; 'Hulp (overig)'!$C$16 &amp; "'!B1:B1000"))
            )
        ),0)
    ))
))))</f>
        <v>#VALUE!</v>
      </c>
      <c r="O176" s="425" t="e" cm="1">
        <f t="array" aca="1" ref="O176" ca="1">IF($BF176, IF(O173="","",
   INDEX(
      INDIRECT("'" &amp; 'Hulp (CAO''s)'!$AE$8 &amp; "'!" &amp;
               'Hulp (overig)'!$C$17 &amp; "1:" &amp;
               'Hulp (overig)'!$C$17 &amp; "1000"),
      MATCH(
         O173,
         INDIRECT("'" &amp; 'Hulp (CAO''s)'!$AE$8 &amp; "'!A1:A1000"),
         0
      )
   )
), IF($D174="Gebruik % van maximum salaris",
IF(
    OR(O173="",O174=""),
    "",
    MAX(
        INDIRECT(
            "'" &amp; 'Hulp (overig)'!$C$16 &amp; "'!" &amp;
            'Hulp (overig)'!$C$17 &amp;
            MATCH(O173, INDIRECT("'" &amp; 'Hulp (overig)'!$C$16 &amp; "'!A1:A1000"), 0) &amp;
            ":" &amp;
            'Hulp (overig)'!$C$17 &amp;
LOOKUP(
    2,
    1 / (
        (ROW(INDIRECT("'" &amp; 'Hulp (overig)'!$C$16 &amp; "'!B1:B1000")) &lt;
            IF(P173&lt;&gt;"",
               MATCH(P173, INDIRECT("'" &amp; 'Hulp (overig)'!$C$16 &amp; "'!A1:A1000"),0),
               1000
            )
        ) *
        (LEFT(TRIM(INDIRECT("'" &amp; 'Hulp (overig)'!$C$16 &amp; "'!B1:B1000")),1) &lt;&gt; "u")
    ),
    ROW(INDIRECT("'" &amp; 'Hulp (overig)'!$C$16 &amp; "'!B1:B1000"))
)
        )
    ) * O174
),
IF(O175="","",
IF(
    IFERROR(MIN(
        IF(
            (TRIM(INDIRECT("'" &amp; 'Hulp (overig)'!$C$16 &amp; "'!B1:B1000")) = TEXT(O175,"0")) *
            (ROW(INDIRECT("'" &amp; 'Hulp (overig)'!$C$16 &amp; "'!B1:B1000")) &gt;= MATCH(
                O173,
                INDIRECT("'" &amp; 'Hulp (overig)'!$C$16 &amp; "'!A1:A1000"),
                0
            )) *
            IF(
                P173="",
                1,
                (ROW(INDIRECT("'" &amp; 'Hulp (overig)'!$C$16 &amp; "'!B1:B1000")) &lt; MATCH(
                    P173,
                    INDIRECT("'" &amp; 'Hulp (overig)'!$C$16 &amp; "'!A1:A1000"),
                    0
                ))
            ),
            ROW(INDIRECT("'" &amp; 'Hulp (overig)'!$C$16 &amp; "'!B1:B1000"))
        )
    ),0) &lt; 1,
    "",
    IF(INDEX(
        INDIRECT("'" &amp; 'Hulp (overig)'!$C$16 &amp; "'!" &amp;
        'Hulp (overig)'!$C$17 &amp; "1:" &amp; 'Hulp (overig)'!$C$17 &amp; 1000
        ),
        IFERROR(MIN(
            IF(
                (TRIM(INDIRECT("'" &amp; 'Hulp (overig)'!$C$16 &amp; "'!B1:B1000")) = TEXT(O175,"0")) *
                (ROW(INDIRECT("'" &amp; 'Hulp (overig)'!$C$16 &amp; "'!B1:B1000")) &gt;= MATCH(
                    O173,
                    INDIRECT("'" &amp; 'Hulp (overig)'!$C$16 &amp; "'!A1:A1000"),
                    0
                )) *
                IF(
                    P173="",
                    1,
                    (ROW(INDIRECT("'" &amp; 'Hulp (overig)'!$C$16 &amp; "'!B1:B1000")) &lt; MATCH(
                        P173,
                        INDIRECT("'" &amp; 'Hulp (overig)'!$C$16 &amp; "'!A1:A1000"),
                        0
                    ))
                ),
                ROW(INDIRECT("'" &amp; 'Hulp (overig)'!$C$16 &amp; "'!B1:B1000"))
            )
        ),0)
    )=0,"",
INDEX(
        INDIRECT("'" &amp; 'Hulp (overig)'!$C$16 &amp; "'!" &amp;
        'Hulp (overig)'!$C$17 &amp; "1:" &amp; 'Hulp (overig)'!$C$17 &amp; 1000
        ),
        IFERROR(MIN(
            IF(
                (TRIM(INDIRECT("'" &amp; 'Hulp (overig)'!$C$16 &amp; "'!B1:B1000")) = TEXT(O175,"0")) *
                (ROW(INDIRECT("'" &amp; 'Hulp (overig)'!$C$16 &amp; "'!B1:B1000")) &gt;= MATCH(
                    O173,
                    INDIRECT("'" &amp; 'Hulp (overig)'!$C$16 &amp; "'!A1:A1000"),
                    0
                )) *
                IF(
                    P173="",
                    1,
                    (ROW(INDIRECT("'" &amp; 'Hulp (overig)'!$C$16 &amp; "'!B1:B1000")) &lt; MATCH(
                        P173,
                        INDIRECT("'" &amp; 'Hulp (overig)'!$C$16 &amp; "'!A1:A1000"),
                        0
                    ))
                ),
                ROW(INDIRECT("'" &amp; 'Hulp (overig)'!$C$16 &amp; "'!B1:B1000"))
            )
        ),0)
    ))
))))</f>
        <v>#VALUE!</v>
      </c>
      <c r="P176" s="425" t="e" cm="1">
        <f t="array" aca="1" ref="P176" ca="1">IF($BF176, IF(P173="","",
   INDEX(
      INDIRECT("'" &amp; 'Hulp (CAO''s)'!$AE$8 &amp; "'!" &amp;
               'Hulp (overig)'!$C$17 &amp; "1:" &amp;
               'Hulp (overig)'!$C$17 &amp; "1000"),
      MATCH(
         P173,
         INDIRECT("'" &amp; 'Hulp (CAO''s)'!$AE$8 &amp; "'!A1:A1000"),
         0
      )
   )
), IF($D174="Gebruik % van maximum salaris",
IF(
    OR(P173="",P174=""),
    "",
    MAX(
        INDIRECT(
            "'" &amp; 'Hulp (overig)'!$C$16 &amp; "'!" &amp;
            'Hulp (overig)'!$C$17 &amp;
            MATCH(P173, INDIRECT("'" &amp; 'Hulp (overig)'!$C$16 &amp; "'!A1:A1000"), 0) &amp;
            ":" &amp;
            'Hulp (overig)'!$C$17 &amp;
LOOKUP(
    2,
    1 / (
        (ROW(INDIRECT("'" &amp; 'Hulp (overig)'!$C$16 &amp; "'!B1:B1000")) &lt;
            IF(Q173&lt;&gt;"",
               MATCH(Q173, INDIRECT("'" &amp; 'Hulp (overig)'!$C$16 &amp; "'!A1:A1000"),0),
               1000
            )
        ) *
        (LEFT(TRIM(INDIRECT("'" &amp; 'Hulp (overig)'!$C$16 &amp; "'!B1:B1000")),1) &lt;&gt; "u")
    ),
    ROW(INDIRECT("'" &amp; 'Hulp (overig)'!$C$16 &amp; "'!B1:B1000"))
)
        )
    ) * P174
),
IF(P175="","",
IF(
    IFERROR(MIN(
        IF(
            (TRIM(INDIRECT("'" &amp; 'Hulp (overig)'!$C$16 &amp; "'!B1:B1000")) = TEXT(P175,"0")) *
            (ROW(INDIRECT("'" &amp; 'Hulp (overig)'!$C$16 &amp; "'!B1:B1000")) &gt;= MATCH(
                P173,
                INDIRECT("'" &amp; 'Hulp (overig)'!$C$16 &amp; "'!A1:A1000"),
                0
            )) *
            IF(
                Q173="",
                1,
                (ROW(INDIRECT("'" &amp; 'Hulp (overig)'!$C$16 &amp; "'!B1:B1000")) &lt; MATCH(
                    Q173,
                    INDIRECT("'" &amp; 'Hulp (overig)'!$C$16 &amp; "'!A1:A1000"),
                    0
                ))
            ),
            ROW(INDIRECT("'" &amp; 'Hulp (overig)'!$C$16 &amp; "'!B1:B1000"))
        )
    ),0) &lt; 1,
    "",
    IF(INDEX(
        INDIRECT("'" &amp; 'Hulp (overig)'!$C$16 &amp; "'!" &amp;
        'Hulp (overig)'!$C$17 &amp; "1:" &amp; 'Hulp (overig)'!$C$17 &amp; 1000
        ),
        IFERROR(MIN(
            IF(
                (TRIM(INDIRECT("'" &amp; 'Hulp (overig)'!$C$16 &amp; "'!B1:B1000")) = TEXT(P175,"0")) *
                (ROW(INDIRECT("'" &amp; 'Hulp (overig)'!$C$16 &amp; "'!B1:B1000")) &gt;= MATCH(
                    P173,
                    INDIRECT("'" &amp; 'Hulp (overig)'!$C$16 &amp; "'!A1:A1000"),
                    0
                )) *
                IF(
                    Q173="",
                    1,
                    (ROW(INDIRECT("'" &amp; 'Hulp (overig)'!$C$16 &amp; "'!B1:B1000")) &lt; MATCH(
                        Q173,
                        INDIRECT("'" &amp; 'Hulp (overig)'!$C$16 &amp; "'!A1:A1000"),
                        0
                    ))
                ),
                ROW(INDIRECT("'" &amp; 'Hulp (overig)'!$C$16 &amp; "'!B1:B1000"))
            )
        ),0)
    )=0,"",
INDEX(
        INDIRECT("'" &amp; 'Hulp (overig)'!$C$16 &amp; "'!" &amp;
        'Hulp (overig)'!$C$17 &amp; "1:" &amp; 'Hulp (overig)'!$C$17 &amp; 1000
        ),
        IFERROR(MIN(
            IF(
                (TRIM(INDIRECT("'" &amp; 'Hulp (overig)'!$C$16 &amp; "'!B1:B1000")) = TEXT(P175,"0")) *
                (ROW(INDIRECT("'" &amp; 'Hulp (overig)'!$C$16 &amp; "'!B1:B1000")) &gt;= MATCH(
                    P173,
                    INDIRECT("'" &amp; 'Hulp (overig)'!$C$16 &amp; "'!A1:A1000"),
                    0
                )) *
                IF(
                    Q173="",
                    1,
                    (ROW(INDIRECT("'" &amp; 'Hulp (overig)'!$C$16 &amp; "'!B1:B1000")) &lt; MATCH(
                        Q173,
                        INDIRECT("'" &amp; 'Hulp (overig)'!$C$16 &amp; "'!A1:A1000"),
                        0
                    ))
                ),
                ROW(INDIRECT("'" &amp; 'Hulp (overig)'!$C$16 &amp; "'!B1:B1000"))
            )
        ),0)
    ))
))))</f>
        <v>#VALUE!</v>
      </c>
      <c r="Q176" s="425" t="e" cm="1">
        <f t="array" aca="1" ref="Q176" ca="1">IF($BF176, IF(Q173="","",
   INDEX(
      INDIRECT("'" &amp; 'Hulp (CAO''s)'!$AE$8 &amp; "'!" &amp;
               'Hulp (overig)'!$C$17 &amp; "1:" &amp;
               'Hulp (overig)'!$C$17 &amp; "1000"),
      MATCH(
         Q173,
         INDIRECT("'" &amp; 'Hulp (CAO''s)'!$AE$8 &amp; "'!A1:A1000"),
         0
      )
   )
), IF($D174="Gebruik % van maximum salaris",
IF(
    OR(Q173="",Q174=""),
    "",
    MAX(
        INDIRECT(
            "'" &amp; 'Hulp (overig)'!$C$16 &amp; "'!" &amp;
            'Hulp (overig)'!$C$17 &amp;
            MATCH(Q173, INDIRECT("'" &amp; 'Hulp (overig)'!$C$16 &amp; "'!A1:A1000"), 0) &amp;
            ":" &amp;
            'Hulp (overig)'!$C$17 &amp;
LOOKUP(
    2,
    1 / (
        (ROW(INDIRECT("'" &amp; 'Hulp (overig)'!$C$16 &amp; "'!B1:B1000")) &lt;
            IF(R173&lt;&gt;"",
               MATCH(R173, INDIRECT("'" &amp; 'Hulp (overig)'!$C$16 &amp; "'!A1:A1000"),0),
               1000
            )
        ) *
        (LEFT(TRIM(INDIRECT("'" &amp; 'Hulp (overig)'!$C$16 &amp; "'!B1:B1000")),1) &lt;&gt; "u")
    ),
    ROW(INDIRECT("'" &amp; 'Hulp (overig)'!$C$16 &amp; "'!B1:B1000"))
)
        )
    ) * Q174
),
IF(Q175="","",
IF(
    IFERROR(MIN(
        IF(
            (TRIM(INDIRECT("'" &amp; 'Hulp (overig)'!$C$16 &amp; "'!B1:B1000")) = TEXT(Q175,"0")) *
            (ROW(INDIRECT("'" &amp; 'Hulp (overig)'!$C$16 &amp; "'!B1:B1000")) &gt;= MATCH(
                Q173,
                INDIRECT("'" &amp; 'Hulp (overig)'!$C$16 &amp; "'!A1:A1000"),
                0
            )) *
            IF(
                R173="",
                1,
                (ROW(INDIRECT("'" &amp; 'Hulp (overig)'!$C$16 &amp; "'!B1:B1000")) &lt; MATCH(
                    R173,
                    INDIRECT("'" &amp; 'Hulp (overig)'!$C$16 &amp; "'!A1:A1000"),
                    0
                ))
            ),
            ROW(INDIRECT("'" &amp; 'Hulp (overig)'!$C$16 &amp; "'!B1:B1000"))
        )
    ),0) &lt; 1,
    "",
    IF(INDEX(
        INDIRECT("'" &amp; 'Hulp (overig)'!$C$16 &amp; "'!" &amp;
        'Hulp (overig)'!$C$17 &amp; "1:" &amp; 'Hulp (overig)'!$C$17 &amp; 1000
        ),
        IFERROR(MIN(
            IF(
                (TRIM(INDIRECT("'" &amp; 'Hulp (overig)'!$C$16 &amp; "'!B1:B1000")) = TEXT(Q175,"0")) *
                (ROW(INDIRECT("'" &amp; 'Hulp (overig)'!$C$16 &amp; "'!B1:B1000")) &gt;= MATCH(
                    Q173,
                    INDIRECT("'" &amp; 'Hulp (overig)'!$C$16 &amp; "'!A1:A1000"),
                    0
                )) *
                IF(
                    R173="",
                    1,
                    (ROW(INDIRECT("'" &amp; 'Hulp (overig)'!$C$16 &amp; "'!B1:B1000")) &lt; MATCH(
                        R173,
                        INDIRECT("'" &amp; 'Hulp (overig)'!$C$16 &amp; "'!A1:A1000"),
                        0
                    ))
                ),
                ROW(INDIRECT("'" &amp; 'Hulp (overig)'!$C$16 &amp; "'!B1:B1000"))
            )
        ),0)
    )=0,"",
INDEX(
        INDIRECT("'" &amp; 'Hulp (overig)'!$C$16 &amp; "'!" &amp;
        'Hulp (overig)'!$C$17 &amp; "1:" &amp; 'Hulp (overig)'!$C$17 &amp; 1000
        ),
        IFERROR(MIN(
            IF(
                (TRIM(INDIRECT("'" &amp; 'Hulp (overig)'!$C$16 &amp; "'!B1:B1000")) = TEXT(Q175,"0")) *
                (ROW(INDIRECT("'" &amp; 'Hulp (overig)'!$C$16 &amp; "'!B1:B1000")) &gt;= MATCH(
                    Q173,
                    INDIRECT("'" &amp; 'Hulp (overig)'!$C$16 &amp; "'!A1:A1000"),
                    0
                )) *
                IF(
                    R173="",
                    1,
                    (ROW(INDIRECT("'" &amp; 'Hulp (overig)'!$C$16 &amp; "'!B1:B1000")) &lt; MATCH(
                        R173,
                        INDIRECT("'" &amp; 'Hulp (overig)'!$C$16 &amp; "'!A1:A1000"),
                        0
                    ))
                ),
                ROW(INDIRECT("'" &amp; 'Hulp (overig)'!$C$16 &amp; "'!B1:B1000"))
            )
        ),0)
    ))
))))</f>
        <v>#VALUE!</v>
      </c>
      <c r="R176" s="425" t="e" cm="1">
        <f t="array" aca="1" ref="R176" ca="1">IF($BF176, IF(R173="","",
   INDEX(
      INDIRECT("'" &amp; 'Hulp (CAO''s)'!$AE$8 &amp; "'!" &amp;
               'Hulp (overig)'!$C$17 &amp; "1:" &amp;
               'Hulp (overig)'!$C$17 &amp; "1000"),
      MATCH(
         R173,
         INDIRECT("'" &amp; 'Hulp (CAO''s)'!$AE$8 &amp; "'!A1:A1000"),
         0
      )
   )
), IF($D174="Gebruik % van maximum salaris",
IF(
    OR(R173="",R174=""),
    "",
    MAX(
        INDIRECT(
            "'" &amp; 'Hulp (overig)'!$C$16 &amp; "'!" &amp;
            'Hulp (overig)'!$C$17 &amp;
            MATCH(R173, INDIRECT("'" &amp; 'Hulp (overig)'!$C$16 &amp; "'!A1:A1000"), 0) &amp;
            ":" &amp;
            'Hulp (overig)'!$C$17 &amp;
LOOKUP(
    2,
    1 / (
        (ROW(INDIRECT("'" &amp; 'Hulp (overig)'!$C$16 &amp; "'!B1:B1000")) &lt;
            IF(S173&lt;&gt;"",
               MATCH(S173, INDIRECT("'" &amp; 'Hulp (overig)'!$C$16 &amp; "'!A1:A1000"),0),
               1000
            )
        ) *
        (LEFT(TRIM(INDIRECT("'" &amp; 'Hulp (overig)'!$C$16 &amp; "'!B1:B1000")),1) &lt;&gt; "u")
    ),
    ROW(INDIRECT("'" &amp; 'Hulp (overig)'!$C$16 &amp; "'!B1:B1000"))
)
        )
    ) * R174
),
IF(R175="","",
IF(
    IFERROR(MIN(
        IF(
            (TRIM(INDIRECT("'" &amp; 'Hulp (overig)'!$C$16 &amp; "'!B1:B1000")) = TEXT(R175,"0")) *
            (ROW(INDIRECT("'" &amp; 'Hulp (overig)'!$C$16 &amp; "'!B1:B1000")) &gt;= MATCH(
                R173,
                INDIRECT("'" &amp; 'Hulp (overig)'!$C$16 &amp; "'!A1:A1000"),
                0
            )) *
            IF(
                S173="",
                1,
                (ROW(INDIRECT("'" &amp; 'Hulp (overig)'!$C$16 &amp; "'!B1:B1000")) &lt; MATCH(
                    S173,
                    INDIRECT("'" &amp; 'Hulp (overig)'!$C$16 &amp; "'!A1:A1000"),
                    0
                ))
            ),
            ROW(INDIRECT("'" &amp; 'Hulp (overig)'!$C$16 &amp; "'!B1:B1000"))
        )
    ),0) &lt; 1,
    "",
    IF(INDEX(
        INDIRECT("'" &amp; 'Hulp (overig)'!$C$16 &amp; "'!" &amp;
        'Hulp (overig)'!$C$17 &amp; "1:" &amp; 'Hulp (overig)'!$C$17 &amp; 1000
        ),
        IFERROR(MIN(
            IF(
                (TRIM(INDIRECT("'" &amp; 'Hulp (overig)'!$C$16 &amp; "'!B1:B1000")) = TEXT(R175,"0")) *
                (ROW(INDIRECT("'" &amp; 'Hulp (overig)'!$C$16 &amp; "'!B1:B1000")) &gt;= MATCH(
                    R173,
                    INDIRECT("'" &amp; 'Hulp (overig)'!$C$16 &amp; "'!A1:A1000"),
                    0
                )) *
                IF(
                    S173="",
                    1,
                    (ROW(INDIRECT("'" &amp; 'Hulp (overig)'!$C$16 &amp; "'!B1:B1000")) &lt; MATCH(
                        S173,
                        INDIRECT("'" &amp; 'Hulp (overig)'!$C$16 &amp; "'!A1:A1000"),
                        0
                    ))
                ),
                ROW(INDIRECT("'" &amp; 'Hulp (overig)'!$C$16 &amp; "'!B1:B1000"))
            )
        ),0)
    )=0,"",
INDEX(
        INDIRECT("'" &amp; 'Hulp (overig)'!$C$16 &amp; "'!" &amp;
        'Hulp (overig)'!$C$17 &amp; "1:" &amp; 'Hulp (overig)'!$C$17 &amp; 1000
        ),
        IFERROR(MIN(
            IF(
                (TRIM(INDIRECT("'" &amp; 'Hulp (overig)'!$C$16 &amp; "'!B1:B1000")) = TEXT(R175,"0")) *
                (ROW(INDIRECT("'" &amp; 'Hulp (overig)'!$C$16 &amp; "'!B1:B1000")) &gt;= MATCH(
                    R173,
                    INDIRECT("'" &amp; 'Hulp (overig)'!$C$16 &amp; "'!A1:A1000"),
                    0
                )) *
                IF(
                    S173="",
                    1,
                    (ROW(INDIRECT("'" &amp; 'Hulp (overig)'!$C$16 &amp; "'!B1:B1000")) &lt; MATCH(
                        S173,
                        INDIRECT("'" &amp; 'Hulp (overig)'!$C$16 &amp; "'!A1:A1000"),
                        0
                    ))
                ),
                ROW(INDIRECT("'" &amp; 'Hulp (overig)'!$C$16 &amp; "'!B1:B1000"))
            )
        ),0)
    ))
))))</f>
        <v>#VALUE!</v>
      </c>
      <c r="S176" s="425" t="e" cm="1">
        <f t="array" aca="1" ref="S176" ca="1">IF($BF176, IF(S173="","",
   INDEX(
      INDIRECT("'" &amp; 'Hulp (CAO''s)'!$AE$8 &amp; "'!" &amp;
               'Hulp (overig)'!$C$17 &amp; "1:" &amp;
               'Hulp (overig)'!$C$17 &amp; "1000"),
      MATCH(
         S173,
         INDIRECT("'" &amp; 'Hulp (CAO''s)'!$AE$8 &amp; "'!A1:A1000"),
         0
      )
   )
), IF($D174="Gebruik % van maximum salaris",
IF(
    OR(S173="",S174=""),
    "",
    MAX(
        INDIRECT(
            "'" &amp; 'Hulp (overig)'!$C$16 &amp; "'!" &amp;
            'Hulp (overig)'!$C$17 &amp;
            MATCH(S173, INDIRECT("'" &amp; 'Hulp (overig)'!$C$16 &amp; "'!A1:A1000"), 0) &amp;
            ":" &amp;
            'Hulp (overig)'!$C$17 &amp;
LOOKUP(
    2,
    1 / (
        (ROW(INDIRECT("'" &amp; 'Hulp (overig)'!$C$16 &amp; "'!B1:B1000")) &lt;
            IF(T173&lt;&gt;"",
               MATCH(T173, INDIRECT("'" &amp; 'Hulp (overig)'!$C$16 &amp; "'!A1:A1000"),0),
               1000
            )
        ) *
        (LEFT(TRIM(INDIRECT("'" &amp; 'Hulp (overig)'!$C$16 &amp; "'!B1:B1000")),1) &lt;&gt; "u")
    ),
    ROW(INDIRECT("'" &amp; 'Hulp (overig)'!$C$16 &amp; "'!B1:B1000"))
)
        )
    ) * S174
),
IF(S175="","",
IF(
    IFERROR(MIN(
        IF(
            (TRIM(INDIRECT("'" &amp; 'Hulp (overig)'!$C$16 &amp; "'!B1:B1000")) = TEXT(S175,"0")) *
            (ROW(INDIRECT("'" &amp; 'Hulp (overig)'!$C$16 &amp; "'!B1:B1000")) &gt;= MATCH(
                S173,
                INDIRECT("'" &amp; 'Hulp (overig)'!$C$16 &amp; "'!A1:A1000"),
                0
            )) *
            IF(
                T173="",
                1,
                (ROW(INDIRECT("'" &amp; 'Hulp (overig)'!$C$16 &amp; "'!B1:B1000")) &lt; MATCH(
                    T173,
                    INDIRECT("'" &amp; 'Hulp (overig)'!$C$16 &amp; "'!A1:A1000"),
                    0
                ))
            ),
            ROW(INDIRECT("'" &amp; 'Hulp (overig)'!$C$16 &amp; "'!B1:B1000"))
        )
    ),0) &lt; 1,
    "",
    IF(INDEX(
        INDIRECT("'" &amp; 'Hulp (overig)'!$C$16 &amp; "'!" &amp;
        'Hulp (overig)'!$C$17 &amp; "1:" &amp; 'Hulp (overig)'!$C$17 &amp; 1000
        ),
        IFERROR(MIN(
            IF(
                (TRIM(INDIRECT("'" &amp; 'Hulp (overig)'!$C$16 &amp; "'!B1:B1000")) = TEXT(S175,"0")) *
                (ROW(INDIRECT("'" &amp; 'Hulp (overig)'!$C$16 &amp; "'!B1:B1000")) &gt;= MATCH(
                    S173,
                    INDIRECT("'" &amp; 'Hulp (overig)'!$C$16 &amp; "'!A1:A1000"),
                    0
                )) *
                IF(
                    T173="",
                    1,
                    (ROW(INDIRECT("'" &amp; 'Hulp (overig)'!$C$16 &amp; "'!B1:B1000")) &lt; MATCH(
                        T173,
                        INDIRECT("'" &amp; 'Hulp (overig)'!$C$16 &amp; "'!A1:A1000"),
                        0
                    ))
                ),
                ROW(INDIRECT("'" &amp; 'Hulp (overig)'!$C$16 &amp; "'!B1:B1000"))
            )
        ),0)
    )=0,"",
INDEX(
        INDIRECT("'" &amp; 'Hulp (overig)'!$C$16 &amp; "'!" &amp;
        'Hulp (overig)'!$C$17 &amp; "1:" &amp; 'Hulp (overig)'!$C$17 &amp; 1000
        ),
        IFERROR(MIN(
            IF(
                (TRIM(INDIRECT("'" &amp; 'Hulp (overig)'!$C$16 &amp; "'!B1:B1000")) = TEXT(S175,"0")) *
                (ROW(INDIRECT("'" &amp; 'Hulp (overig)'!$C$16 &amp; "'!B1:B1000")) &gt;= MATCH(
                    S173,
                    INDIRECT("'" &amp; 'Hulp (overig)'!$C$16 &amp; "'!A1:A1000"),
                    0
                )) *
                IF(
                    T173="",
                    1,
                    (ROW(INDIRECT("'" &amp; 'Hulp (overig)'!$C$16 &amp; "'!B1:B1000")) &lt; MATCH(
                        T173,
                        INDIRECT("'" &amp; 'Hulp (overig)'!$C$16 &amp; "'!A1:A1000"),
                        0
                    ))
                ),
                ROW(INDIRECT("'" &amp; 'Hulp (overig)'!$C$16 &amp; "'!B1:B1000"))
            )
        ),0)
    ))
))))</f>
        <v>#VALUE!</v>
      </c>
      <c r="T176" s="425" t="e" cm="1">
        <f t="array" aca="1" ref="T176" ca="1">IF($BF176, IF(T173="","",
   INDEX(
      INDIRECT("'" &amp; 'Hulp (CAO''s)'!$AE$8 &amp; "'!" &amp;
               'Hulp (overig)'!$C$17 &amp; "1:" &amp;
               'Hulp (overig)'!$C$17 &amp; "1000"),
      MATCH(
         T173,
         INDIRECT("'" &amp; 'Hulp (CAO''s)'!$AE$8 &amp; "'!A1:A1000"),
         0
      )
   )
), IF($D174="Gebruik % van maximum salaris",
IF(
    OR(T173="",T174=""),
    "",
    MAX(
        INDIRECT(
            "'" &amp; 'Hulp (overig)'!$C$16 &amp; "'!" &amp;
            'Hulp (overig)'!$C$17 &amp;
            MATCH(T173, INDIRECT("'" &amp; 'Hulp (overig)'!$C$16 &amp; "'!A1:A1000"), 0) &amp;
            ":" &amp;
            'Hulp (overig)'!$C$17 &amp;
LOOKUP(
    2,
    1 / (
        (ROW(INDIRECT("'" &amp; 'Hulp (overig)'!$C$16 &amp; "'!B1:B1000")) &lt;
            IF(U173&lt;&gt;"",
               MATCH(U173, INDIRECT("'" &amp; 'Hulp (overig)'!$C$16 &amp; "'!A1:A1000"),0),
               1000
            )
        ) *
        (LEFT(TRIM(INDIRECT("'" &amp; 'Hulp (overig)'!$C$16 &amp; "'!B1:B1000")),1) &lt;&gt; "u")
    ),
    ROW(INDIRECT("'" &amp; 'Hulp (overig)'!$C$16 &amp; "'!B1:B1000"))
)
        )
    ) * T174
),
IF(T175="","",
IF(
    IFERROR(MIN(
        IF(
            (TRIM(INDIRECT("'" &amp; 'Hulp (overig)'!$C$16 &amp; "'!B1:B1000")) = TEXT(T175,"0")) *
            (ROW(INDIRECT("'" &amp; 'Hulp (overig)'!$C$16 &amp; "'!B1:B1000")) &gt;= MATCH(
                T173,
                INDIRECT("'" &amp; 'Hulp (overig)'!$C$16 &amp; "'!A1:A1000"),
                0
            )) *
            IF(
                U173="",
                1,
                (ROW(INDIRECT("'" &amp; 'Hulp (overig)'!$C$16 &amp; "'!B1:B1000")) &lt; MATCH(
                    U173,
                    INDIRECT("'" &amp; 'Hulp (overig)'!$C$16 &amp; "'!A1:A1000"),
                    0
                ))
            ),
            ROW(INDIRECT("'" &amp; 'Hulp (overig)'!$C$16 &amp; "'!B1:B1000"))
        )
    ),0) &lt; 1,
    "",
    IF(INDEX(
        INDIRECT("'" &amp; 'Hulp (overig)'!$C$16 &amp; "'!" &amp;
        'Hulp (overig)'!$C$17 &amp; "1:" &amp; 'Hulp (overig)'!$C$17 &amp; 1000
        ),
        IFERROR(MIN(
            IF(
                (TRIM(INDIRECT("'" &amp; 'Hulp (overig)'!$C$16 &amp; "'!B1:B1000")) = TEXT(T175,"0")) *
                (ROW(INDIRECT("'" &amp; 'Hulp (overig)'!$C$16 &amp; "'!B1:B1000")) &gt;= MATCH(
                    T173,
                    INDIRECT("'" &amp; 'Hulp (overig)'!$C$16 &amp; "'!A1:A1000"),
                    0
                )) *
                IF(
                    U173="",
                    1,
                    (ROW(INDIRECT("'" &amp; 'Hulp (overig)'!$C$16 &amp; "'!B1:B1000")) &lt; MATCH(
                        U173,
                        INDIRECT("'" &amp; 'Hulp (overig)'!$C$16 &amp; "'!A1:A1000"),
                        0
                    ))
                ),
                ROW(INDIRECT("'" &amp; 'Hulp (overig)'!$C$16 &amp; "'!B1:B1000"))
            )
        ),0)
    )=0,"",
INDEX(
        INDIRECT("'" &amp; 'Hulp (overig)'!$C$16 &amp; "'!" &amp;
        'Hulp (overig)'!$C$17 &amp; "1:" &amp; 'Hulp (overig)'!$C$17 &amp; 1000
        ),
        IFERROR(MIN(
            IF(
                (TRIM(INDIRECT("'" &amp; 'Hulp (overig)'!$C$16 &amp; "'!B1:B1000")) = TEXT(T175,"0")) *
                (ROW(INDIRECT("'" &amp; 'Hulp (overig)'!$C$16 &amp; "'!B1:B1000")) &gt;= MATCH(
                    T173,
                    INDIRECT("'" &amp; 'Hulp (overig)'!$C$16 &amp; "'!A1:A1000"),
                    0
                )) *
                IF(
                    U173="",
                    1,
                    (ROW(INDIRECT("'" &amp; 'Hulp (overig)'!$C$16 &amp; "'!B1:B1000")) &lt; MATCH(
                        U173,
                        INDIRECT("'" &amp; 'Hulp (overig)'!$C$16 &amp; "'!A1:A1000"),
                        0
                    ))
                ),
                ROW(INDIRECT("'" &amp; 'Hulp (overig)'!$C$16 &amp; "'!B1:B1000"))
            )
        ),0)
    ))
))))</f>
        <v>#VALUE!</v>
      </c>
      <c r="U176" s="723" t="e" cm="1">
        <f t="array" aca="1" ref="U176" ca="1">IF($BF176, IF(U173="","",
   INDEX(
      INDIRECT("'" &amp; 'Hulp (CAO''s)'!$AE$8 &amp; "'!" &amp;
               'Hulp (overig)'!$C$17 &amp; "1:" &amp;
               'Hulp (overig)'!$C$17 &amp; "1000"),
      MATCH(
         U173,
         INDIRECT("'" &amp; 'Hulp (CAO''s)'!$AE$8 &amp; "'!A1:A1000"),
         0
      )
   )
), IF($D174="Gebruik % van maximum salaris",
IF(
    OR(U173="",U174=""),
    "",
    MAX(
        INDIRECT(
            "'" &amp; 'Hulp (overig)'!$C$16 &amp; "'!" &amp;
            'Hulp (overig)'!$C$17 &amp;
            MATCH(U173, INDIRECT("'" &amp; 'Hulp (overig)'!$C$16 &amp; "'!A1:A1000"), 0) &amp;
            ":" &amp;
            'Hulp (overig)'!$C$17 &amp;
LOOKUP(
    2,
    1 / (
        (ROW(INDIRECT("'" &amp; 'Hulp (overig)'!$C$16 &amp; "'!B1:B1000")) &lt;
            IF(V173&lt;&gt;"",
               MATCH(V173, INDIRECT("'" &amp; 'Hulp (overig)'!$C$16 &amp; "'!A1:A1000"),0),
               1000
            )
        ) *
        (LEFT(TRIM(INDIRECT("'" &amp; 'Hulp (overig)'!$C$16 &amp; "'!B1:B1000")),1) &lt;&gt; "u")
    ),
    ROW(INDIRECT("'" &amp; 'Hulp (overig)'!$C$16 &amp; "'!B1:B1000"))
)
        )
    ) * U174
),
IF(U175="","",
IF(
    IFERROR(MIN(
        IF(
            (TRIM(INDIRECT("'" &amp; 'Hulp (overig)'!$C$16 &amp; "'!B1:B1000")) = TEXT(U175,"0")) *
            (ROW(INDIRECT("'" &amp; 'Hulp (overig)'!$C$16 &amp; "'!B1:B1000")) &gt;= MATCH(
                U173,
                INDIRECT("'" &amp; 'Hulp (overig)'!$C$16 &amp; "'!A1:A1000"),
                0
            )) *
            IF(
                V173="",
                1,
                (ROW(INDIRECT("'" &amp; 'Hulp (overig)'!$C$16 &amp; "'!B1:B1000")) &lt; MATCH(
                    V173,
                    INDIRECT("'" &amp; 'Hulp (overig)'!$C$16 &amp; "'!A1:A1000"),
                    0
                ))
            ),
            ROW(INDIRECT("'" &amp; 'Hulp (overig)'!$C$16 &amp; "'!B1:B1000"))
        )
    ),0) &lt; 1,
    "",
    IF(INDEX(
        INDIRECT("'" &amp; 'Hulp (overig)'!$C$16 &amp; "'!" &amp;
        'Hulp (overig)'!$C$17 &amp; "1:" &amp; 'Hulp (overig)'!$C$17 &amp; 1000
        ),
        IFERROR(MIN(
            IF(
                (TRIM(INDIRECT("'" &amp; 'Hulp (overig)'!$C$16 &amp; "'!B1:B1000")) = TEXT(U175,"0")) *
                (ROW(INDIRECT("'" &amp; 'Hulp (overig)'!$C$16 &amp; "'!B1:B1000")) &gt;= MATCH(
                    U173,
                    INDIRECT("'" &amp; 'Hulp (overig)'!$C$16 &amp; "'!A1:A1000"),
                    0
                )) *
                IF(
                    V173="",
                    1,
                    (ROW(INDIRECT("'" &amp; 'Hulp (overig)'!$C$16 &amp; "'!B1:B1000")) &lt; MATCH(
                        V173,
                        INDIRECT("'" &amp; 'Hulp (overig)'!$C$16 &amp; "'!A1:A1000"),
                        0
                    ))
                ),
                ROW(INDIRECT("'" &amp; 'Hulp (overig)'!$C$16 &amp; "'!B1:B1000"))
            )
        ),0)
    )=0,"",
INDEX(
        INDIRECT("'" &amp; 'Hulp (overig)'!$C$16 &amp; "'!" &amp;
        'Hulp (overig)'!$C$17 &amp; "1:" &amp; 'Hulp (overig)'!$C$17 &amp; 1000
        ),
        IFERROR(MIN(
            IF(
                (TRIM(INDIRECT("'" &amp; 'Hulp (overig)'!$C$16 &amp; "'!B1:B1000")) = TEXT(U175,"0")) *
                (ROW(INDIRECT("'" &amp; 'Hulp (overig)'!$C$16 &amp; "'!B1:B1000")) &gt;= MATCH(
                    U173,
                    INDIRECT("'" &amp; 'Hulp (overig)'!$C$16 &amp; "'!A1:A1000"),
                    0
                )) *
                IF(
                    V173="",
                    1,
                    (ROW(INDIRECT("'" &amp; 'Hulp (overig)'!$C$16 &amp; "'!B1:B1000")) &lt; MATCH(
                        V173,
                        INDIRECT("'" &amp; 'Hulp (overig)'!$C$16 &amp; "'!A1:A1000"),
                        0
                    ))
                ),
                ROW(INDIRECT("'" &amp; 'Hulp (overig)'!$C$16 &amp; "'!B1:B1000"))
            )
        ),0)
    ))
))))</f>
        <v>#VALUE!</v>
      </c>
      <c r="V176" s="413" t="str" cm="1">
        <f t="array" ref="V176">IF(SUM(F177:U177)=0,"",
IF(SUM(F176:U176)=0,"",
IF(SUMPRODUCT((F177:U177&lt;&gt;0)*(F176:U176=""))&gt;0,"",
(
   SUMPRODUCT(
      IF(F176:U176="",0,F176:U176),
      IF(F177:U177="",0,F177:U177) / SUM(F177:U177)
   )
))))</f>
        <v/>
      </c>
      <c r="W176" s="418"/>
      <c r="X176" s="620"/>
      <c r="Y176" s="419" t="str">
        <f ca="1">IF(B173="","",
        IF(INDIRECT("'Hulp (control forms)'!C" &amp; (13 + INT((ROW()-ROW($B$5))/7))),
            IF(X176="","",X176),
            IF(V176="","",V176)
    )
)</f>
        <v/>
      </c>
      <c r="Z176" s="333"/>
      <c r="AA176" s="771"/>
      <c r="AB176" s="770"/>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c r="BA176" cm="1">
        <f t="array" aca="1" ref="BA176" ca="1">IF(
   SUM(Y176)=0,
   1,
   IF(
      N(INDIRECT("'Hulp (control forms)'!C"&amp;(13+INT((ROW()-ROW($B$5))/7))))&lt;&gt;0,
      MIN(1,
      ('Hulp (overig)'!$C$6/12) /
      (Y176 * BC176 + BD176)),
      MIN(1,
         IF(
            SUM(F176:U176)=0,
            "",
            SUMPRODUCT(
               IF(
                  (IF(F176:U176="",0,F176:U176) * BC176) + BD176
                  &gt; 'Hulp (overig)'!$C$6/12,
                  'Hulp (overig)'!$C$6/12,
                  (IF(F176:U176="",0,F176:U176) * BC176) + BD176
               ),
               IF(F177:U177="",0,F177:U177) / SUM(F177:U177)
            )
         ) /
         ((Y176 * BC176) + BD176)
      )
   )
)</f>
        <v>1</v>
      </c>
      <c r="BB176" cm="1">
        <f t="array" aca="1" ref="BB176" ca="1">IF(
   SUM(Y176)=0,
   1,
   IF(
      N(INDIRECT("'Hulp (control forms)'!C"&amp;(13+INT((ROW()-ROW($B$5))/7))))&lt;&gt;0,
      MIN('Hulp (overig)'!$C$5/12,
      (Y176 * BC176) + BD176) * 12,
         IF(
            SUM(F176:U176)=0,
            "",
            SUMPRODUCT(
               IF(
                  (IF(F176:U176="",0,F176:U176) * BC176) + BD176
                  &gt; 'Hulp (overig)'!$C$5/12,
                  'Hulp (overig)'!$C$5/12,
                  (IF(F176:U176="",0,F176:U176) * BC176) + BD176
               ),
               IF(F177:U177="",0,F177:U177) / SUM(F177:U177)
            )
         ) * 12
   )
)</f>
        <v>1</v>
      </c>
      <c r="BC176" s="287" cm="1">
        <f t="array" aca="1" ref="BC176" ca="1">IFERROR(
   (INDEX('2. Output kostprijs'!$24:$24, 5 + 2*INT((ROW()-8)/7))
    - SUM(INDEX('2. Output kostprijs'!$23:$23, 5 + 2*INT((ROW()-8)/7))))
   / INDEX('2. Output kostprijs'!$19:$19, 5 + 2*INT((ROW()-8)/7)),
   1
)</f>
        <v>1</v>
      </c>
      <c r="BD176" s="287" cm="1">
        <f t="array" aca="1" ref="BD176" ca="1">IFERROR(
   (INDEX('2. Output kostprijs'!$23:$23, 5 + 2*INT((ROW()-8)/7))
    * INDEX('2. Output kostprijs'!$18:$18, 5 + 2*INT((ROW()-8)/7))
   ) / 12,
   0
)</f>
        <v>0</v>
      </c>
      <c r="BE176" t="b">
        <f ca="1">NOT(AND(B173&lt;&gt;"",Y176=""))</f>
        <v>1</v>
      </c>
      <c r="BF176" t="str" cm="1">
        <f t="array" aca="1" ref="BF176" ca="1">INDIRECT("'1a. Input organisatieniveau'!$AD" &amp; 7 + INT((ROW()-ROW($F$8))/7))</f>
        <v/>
      </c>
      <c r="BG176" t="b" cm="1">
        <f t="array" ref="BG176">IFERROR(INDEX('Hulp (control forms)'!C:C, 13 + INT((ROW(A169)-1)/7)),FALSE)</f>
        <v>0</v>
      </c>
    </row>
    <row r="177" spans="1:59" ht="16.05" customHeight="1" thickBot="1" x14ac:dyDescent="0.5">
      <c r="A177" s="289"/>
      <c r="B177" s="343"/>
      <c r="C177" s="325" t="s">
        <v>779</v>
      </c>
      <c r="D177" s="688" t="s">
        <v>60</v>
      </c>
      <c r="E177" s="433" t="s">
        <v>59</v>
      </c>
      <c r="F177" s="624"/>
      <c r="G177" s="624"/>
      <c r="H177" s="624"/>
      <c r="I177" s="624"/>
      <c r="J177" s="624"/>
      <c r="K177" s="624"/>
      <c r="L177" s="624"/>
      <c r="M177" s="624"/>
      <c r="N177" s="624"/>
      <c r="O177" s="624"/>
      <c r="P177" s="624"/>
      <c r="Q177" s="624"/>
      <c r="R177" s="624"/>
      <c r="S177" s="624"/>
      <c r="T177" s="624"/>
      <c r="U177" s="625"/>
      <c r="V177" s="420" t="str">
        <f ca="1">IF($B173="","",IF($D177="Aandeel in %",
   "Totaal: "&amp;SUM(F177:U177)*100&amp;"%",
   "Totaal: "&amp;SUM(F177:U177)&amp;" uur"
))</f>
        <v/>
      </c>
      <c r="W177" s="294"/>
      <c r="X177" s="621"/>
      <c r="Y177" s="328"/>
      <c r="Z177" s="329"/>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row>
    <row r="178" spans="1:59" ht="16.05" customHeight="1" thickBot="1" x14ac:dyDescent="0.5">
      <c r="A178" s="289"/>
      <c r="B178" s="343"/>
      <c r="C178" s="326" t="s">
        <v>779</v>
      </c>
      <c r="D178" s="421"/>
      <c r="E178" s="426"/>
      <c r="F178" s="426"/>
      <c r="G178" s="426"/>
      <c r="H178" s="426"/>
      <c r="I178" s="426"/>
      <c r="J178" s="426"/>
      <c r="K178" s="426"/>
      <c r="L178" s="426"/>
      <c r="M178" s="426"/>
      <c r="N178" s="426"/>
      <c r="O178" s="426"/>
      <c r="P178" s="426"/>
      <c r="Q178" s="426"/>
      <c r="R178" s="426"/>
      <c r="S178" s="426"/>
      <c r="T178" s="427"/>
      <c r="U178" s="427"/>
      <c r="V178" s="421"/>
      <c r="W178" s="421"/>
      <c r="X178" s="622"/>
      <c r="Y178" s="421"/>
      <c r="Z178" s="327"/>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row>
    <row r="179" spans="1:59" ht="16.05" customHeight="1" thickBot="1" x14ac:dyDescent="0.55000000000000004">
      <c r="A179" s="289"/>
      <c r="B179" s="585" t="str">
        <f ca="1">IF(B180="","",
IF(
   OR(
      INDIRECT("'1a. Input organisatieniveau'!AC" &amp; (7 + INT((ROW()-4)/7)))="",
      INDIRECT("'1a. Input organisatieniveau'!AC" &amp; (7 + INT((ROW()-4)/7)))=0
   ),
   "",
   INDIRECT("'1a. Input organisatieniveau'!AC" &amp; (7 + INT((ROW()-4)/7)))
))</f>
        <v/>
      </c>
      <c r="C179" s="324" t="s">
        <v>779</v>
      </c>
      <c r="D179" s="416"/>
      <c r="E179" s="428"/>
      <c r="F179" s="422" t="str">
        <f t="shared" ref="F179:U179" ca="1" si="25">IF($B180="","",
IF($D181="Gebruik % van maximum salaris",
 IF(OR(AND(AND(F180&lt;&gt;"",F181&lt;&gt;""),F183=""),AND(F183="",F184&lt;&gt;"")),"!",""),
 IF(OR(AND(AND(F180&lt;&gt;"",F182&lt;&gt;""),F183=""),AND(F183="",F184&lt;&gt;"")),"!","")))</f>
        <v/>
      </c>
      <c r="G179" s="422" t="str">
        <f t="shared" ca="1" si="25"/>
        <v/>
      </c>
      <c r="H179" s="422" t="str">
        <f t="shared" ca="1" si="25"/>
        <v/>
      </c>
      <c r="I179" s="422" t="str">
        <f t="shared" ca="1" si="25"/>
        <v/>
      </c>
      <c r="J179" s="422" t="str">
        <f t="shared" ca="1" si="25"/>
        <v/>
      </c>
      <c r="K179" s="422" t="str">
        <f t="shared" ca="1" si="25"/>
        <v/>
      </c>
      <c r="L179" s="422" t="str">
        <f t="shared" ca="1" si="25"/>
        <v/>
      </c>
      <c r="M179" s="422" t="str">
        <f t="shared" ca="1" si="25"/>
        <v/>
      </c>
      <c r="N179" s="422" t="str">
        <f t="shared" ca="1" si="25"/>
        <v/>
      </c>
      <c r="O179" s="422" t="str">
        <f t="shared" ca="1" si="25"/>
        <v/>
      </c>
      <c r="P179" s="422" t="str">
        <f t="shared" ca="1" si="25"/>
        <v/>
      </c>
      <c r="Q179" s="422" t="str">
        <f t="shared" ca="1" si="25"/>
        <v/>
      </c>
      <c r="R179" s="422" t="str">
        <f t="shared" ca="1" si="25"/>
        <v/>
      </c>
      <c r="S179" s="422" t="str">
        <f t="shared" ca="1" si="25"/>
        <v/>
      </c>
      <c r="T179" s="422" t="str">
        <f t="shared" ca="1" si="25"/>
        <v/>
      </c>
      <c r="U179" s="422" t="str">
        <f t="shared" ca="1" si="25"/>
        <v/>
      </c>
      <c r="V179" s="416"/>
      <c r="W179" s="416"/>
      <c r="X179" s="619"/>
      <c r="Y179" s="416"/>
      <c r="Z179" s="330"/>
      <c r="AA179" s="354"/>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row>
    <row r="180" spans="1:59" ht="16.05" customHeight="1" thickBot="1" x14ac:dyDescent="0.5">
      <c r="A180" s="289"/>
      <c r="B180" s="586" t="str">
        <f ca="1">IF(
   OR(
      INDIRECT("'1a. Input organisatieniveau'!AA" &amp; (7 + INT((ROW()-4)/7)))="",
      INDIRECT("'1a. Input organisatieniveau'!AA" &amp; (7 + INT((ROW()-4)/7)))=0
   ),
   "",
   INDIRECT("'1a. Input organisatieniveau'!AA" &amp; (7 + INT((ROW()-4)/7)))
)</f>
        <v/>
      </c>
      <c r="C180" s="325" t="s">
        <v>779</v>
      </c>
      <c r="D180" s="434"/>
      <c r="E180" s="429" t="s">
        <v>28</v>
      </c>
      <c r="F180" s="423" t="str">
        <f ca="1">IF($B180="", "", IF($BF183, IF('Hulp (CAO''s)'!J$8&lt;&gt;"",'Hulp (CAO''s)'!J$8,""), INDEX('Hulp (CAO''s)'!J$3:J$7, MATCH(TRUE, 'Hulp (CAO''s)'!$D$3:$D$7, 0))))</f>
        <v/>
      </c>
      <c r="G180" s="423" t="str">
        <f ca="1">IF($B180="", "", IF($BF183, IF('Hulp (CAO''s)'!K$8&lt;&gt;"",'Hulp (CAO''s)'!K$8,""), INDEX('Hulp (CAO''s)'!K$3:K$7, MATCH(TRUE, 'Hulp (CAO''s)'!$D$3:$D$7, 0))))</f>
        <v/>
      </c>
      <c r="H180" s="423" t="str">
        <f ca="1">IF($B180="", "", IF($BF183, IF('Hulp (CAO''s)'!L$8&lt;&gt;"",'Hulp (CAO''s)'!L$8,""), INDEX('Hulp (CAO''s)'!L$3:L$7, MATCH(TRUE, 'Hulp (CAO''s)'!$D$3:$D$7, 0))))</f>
        <v/>
      </c>
      <c r="I180" s="423" t="str">
        <f ca="1">IF($B180="", "", IF($BF183, IF('Hulp (CAO''s)'!M$8&lt;&gt;"",'Hulp (CAO''s)'!M$8,""), INDEX('Hulp (CAO''s)'!M$3:M$7, MATCH(TRUE, 'Hulp (CAO''s)'!$D$3:$D$7, 0))))</f>
        <v/>
      </c>
      <c r="J180" s="423" t="str">
        <f ca="1">IF($B180="", "", IF($BF183, IF('Hulp (CAO''s)'!N$8&lt;&gt;"",'Hulp (CAO''s)'!N$8,""), INDEX('Hulp (CAO''s)'!N$3:N$7, MATCH(TRUE, 'Hulp (CAO''s)'!$D$3:$D$7, 0))))</f>
        <v/>
      </c>
      <c r="K180" s="423" t="str">
        <f ca="1">IF($B180="", "", IF($BF183, IF('Hulp (CAO''s)'!O$8&lt;&gt;"",'Hulp (CAO''s)'!O$8,""), INDEX('Hulp (CAO''s)'!O$3:O$7, MATCH(TRUE, 'Hulp (CAO''s)'!$D$3:$D$7, 0))))</f>
        <v/>
      </c>
      <c r="L180" s="423" t="str">
        <f ca="1">IF($B180="", "", IF($BF183, IF('Hulp (CAO''s)'!P$8&lt;&gt;"",'Hulp (CAO''s)'!P$8,""), INDEX('Hulp (CAO''s)'!P$3:P$7, MATCH(TRUE, 'Hulp (CAO''s)'!$D$3:$D$7, 0))))</f>
        <v/>
      </c>
      <c r="M180" s="423" t="str">
        <f ca="1">IF($B180="", "", IF($BF183, IF('Hulp (CAO''s)'!Q$8&lt;&gt;"",'Hulp (CAO''s)'!Q$8,""), INDEX('Hulp (CAO''s)'!Q$3:Q$7, MATCH(TRUE, 'Hulp (CAO''s)'!$D$3:$D$7, 0))))</f>
        <v/>
      </c>
      <c r="N180" s="423" t="str">
        <f ca="1">IF($B180="", "", IF($BF183, IF('Hulp (CAO''s)'!R$8&lt;&gt;"",'Hulp (CAO''s)'!R$8,""), INDEX('Hulp (CAO''s)'!R$3:R$7, MATCH(TRUE, 'Hulp (CAO''s)'!$D$3:$D$7, 0))))</f>
        <v/>
      </c>
      <c r="O180" s="423" t="str">
        <f ca="1">IF($B180="", "", IF($BF183, IF('Hulp (CAO''s)'!S$8&lt;&gt;"",'Hulp (CAO''s)'!S$8,""), INDEX('Hulp (CAO''s)'!S$3:S$7, MATCH(TRUE, 'Hulp (CAO''s)'!$D$3:$D$7, 0))))</f>
        <v/>
      </c>
      <c r="P180" s="423" t="str">
        <f ca="1">IF($B180="", "", IF($BF183, IF('Hulp (CAO''s)'!T$8&lt;&gt;"",'Hulp (CAO''s)'!T$8,""), INDEX('Hulp (CAO''s)'!T$3:T$7, MATCH(TRUE, 'Hulp (CAO''s)'!$D$3:$D$7, 0))))</f>
        <v/>
      </c>
      <c r="Q180" s="423" t="str">
        <f ca="1">IF($B180="", "", IF($BF183, IF('Hulp (CAO''s)'!U$8&lt;&gt;"",'Hulp (CAO''s)'!U$8,""), INDEX('Hulp (CAO''s)'!U$3:U$7, MATCH(TRUE, 'Hulp (CAO''s)'!$D$3:$D$7, 0))))</f>
        <v/>
      </c>
      <c r="R180" s="423" t="str">
        <f ca="1">IF($B180="", "", IF($BF183, IF('Hulp (CAO''s)'!V$8&lt;&gt;"",'Hulp (CAO''s)'!V$8,""), INDEX('Hulp (CAO''s)'!V$3:V$7, MATCH(TRUE, 'Hulp (CAO''s)'!$D$3:$D$7, 0))))</f>
        <v/>
      </c>
      <c r="S180" s="423" t="str">
        <f ca="1">IF($B180="", "", IF($BF183, IF('Hulp (CAO''s)'!W$8&lt;&gt;"",'Hulp (CAO''s)'!W$8,""), INDEX('Hulp (CAO''s)'!W$3:W$7, MATCH(TRUE, 'Hulp (CAO''s)'!$D$3:$D$7, 0))))</f>
        <v/>
      </c>
      <c r="T180" s="423" t="str">
        <f ca="1">IF($B180="", "", IF($BF183, IF('Hulp (CAO''s)'!X$8&lt;&gt;"",'Hulp (CAO''s)'!X$8,""), INDEX('Hulp (CAO''s)'!X$3:X$7, MATCH(TRUE, 'Hulp (CAO''s)'!$D$3:$D$7, 0))))</f>
        <v/>
      </c>
      <c r="U180" s="424" t="str">
        <f ca="1">IF($B180="", "", IF($BF183, IF('Hulp (CAO''s)'!Y$8&lt;&gt;"",'Hulp (CAO''s)'!Y$8,""), INDEX('Hulp (CAO''s)'!Y$3:Y$7, MATCH(TRUE, 'Hulp (CAO''s)'!$D$3:$D$7, 0))))</f>
        <v/>
      </c>
      <c r="V180" s="417"/>
      <c r="W180" s="343"/>
      <c r="X180" s="617"/>
      <c r="Y180" s="343"/>
      <c r="Z180" s="329"/>
      <c r="AA180" s="320"/>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row>
    <row r="181" spans="1:59" ht="16.05" customHeight="1" x14ac:dyDescent="0.45">
      <c r="A181" s="289"/>
      <c r="B181" s="343"/>
      <c r="C181" s="325" t="s">
        <v>779</v>
      </c>
      <c r="D181" s="772" t="s">
        <v>772</v>
      </c>
      <c r="E181" s="430" t="e">
        <f ca="1">IF($BF183, "", "% t.o.v. max salaris in de schaal")</f>
        <v>#VALUE!</v>
      </c>
      <c r="F181" s="615"/>
      <c r="G181" s="615"/>
      <c r="H181" s="615"/>
      <c r="I181" s="615"/>
      <c r="J181" s="615"/>
      <c r="K181" s="615"/>
      <c r="L181" s="615"/>
      <c r="M181" s="615"/>
      <c r="N181" s="615"/>
      <c r="O181" s="615"/>
      <c r="P181" s="615"/>
      <c r="Q181" s="615"/>
      <c r="R181" s="615"/>
      <c r="S181" s="615"/>
      <c r="T181" s="615"/>
      <c r="U181" s="616"/>
      <c r="V181" s="774" t="s">
        <v>884</v>
      </c>
      <c r="W181" s="332"/>
      <c r="X181" s="776" t="s">
        <v>882</v>
      </c>
      <c r="Y181" s="778" t="s">
        <v>883</v>
      </c>
      <c r="Z181" s="329"/>
      <c r="AA181" s="771" t="s">
        <v>780</v>
      </c>
      <c r="AB181" s="770" t="s">
        <v>1079</v>
      </c>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row>
    <row r="182" spans="1:59" ht="16.05" customHeight="1" thickBot="1" x14ac:dyDescent="0.5">
      <c r="A182" s="289"/>
      <c r="B182" s="343"/>
      <c r="C182" s="325" t="s">
        <v>779</v>
      </c>
      <c r="D182" s="773"/>
      <c r="E182" s="431" t="e">
        <f ca="1">IF($BF183, "", "Trede (gemiddeld)")</f>
        <v>#VALUE!</v>
      </c>
      <c r="F182" s="737"/>
      <c r="G182" s="737"/>
      <c r="H182" s="737"/>
      <c r="I182" s="737"/>
      <c r="J182" s="737"/>
      <c r="K182" s="737"/>
      <c r="L182" s="737"/>
      <c r="M182" s="737"/>
      <c r="N182" s="737"/>
      <c r="O182" s="737"/>
      <c r="P182" s="737"/>
      <c r="Q182" s="737"/>
      <c r="R182" s="737"/>
      <c r="S182" s="737"/>
      <c r="T182" s="737"/>
      <c r="U182" s="740"/>
      <c r="V182" s="775"/>
      <c r="W182" s="294"/>
      <c r="X182" s="777"/>
      <c r="Y182" s="779"/>
      <c r="Z182" s="329"/>
      <c r="AA182" s="771"/>
      <c r="AB182" s="770"/>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row>
    <row r="183" spans="1:59" ht="16.05" customHeight="1" thickBot="1" x14ac:dyDescent="0.5">
      <c r="A183" s="289"/>
      <c r="B183" s="343"/>
      <c r="C183" s="325" t="s">
        <v>779</v>
      </c>
      <c r="E183" s="432" t="str">
        <f>IFERROR(
   INDEX('Hulp (CAO''s)'!$I$3:$I$7, MATCH(TRUE, 'Hulp (CAO''s)'!$D$3:$D$7, 0)),
"")</f>
        <v>Bruto maandsalaris</v>
      </c>
      <c r="F183" s="425" t="e" cm="1">
        <f t="array" aca="1" ref="F183" ca="1">IF($BF183, IF(F180="","",
   INDEX(
      INDIRECT("'" &amp; 'Hulp (CAO''s)'!$AE$8 &amp; "'!" &amp;
               'Hulp (overig)'!$C$17 &amp; "1:" &amp;
               'Hulp (overig)'!$C$17 &amp; "1000"),
      MATCH(
         F180,
         INDIRECT("'" &amp; 'Hulp (CAO''s)'!$AE$8 &amp; "'!A1:A1000"),
         0
      )
   )
), IF($D181="Gebruik % van maximum salaris",
IF(
    OR(F180="",F181=""),
    "",
    MAX(
        INDIRECT(
            "'" &amp; 'Hulp (overig)'!$C$16 &amp; "'!" &amp;
            'Hulp (overig)'!$C$17 &amp;
            MATCH(F180, INDIRECT("'" &amp; 'Hulp (overig)'!$C$16 &amp; "'!A1:A1000"), 0) &amp;
            ":" &amp;
            'Hulp (overig)'!$C$17 &amp;
LOOKUP(
    2,
    1 / (
        (ROW(INDIRECT("'" &amp; 'Hulp (overig)'!$C$16 &amp; "'!B1:B1000")) &lt;
            IF(G180&lt;&gt;"",
               MATCH(G180, INDIRECT("'" &amp; 'Hulp (overig)'!$C$16 &amp; "'!A1:A1000"),0),
               1000
            )
        ) *
        (LEFT(TRIM(INDIRECT("'" &amp; 'Hulp (overig)'!$C$16 &amp; "'!B1:B1000")),1) &lt;&gt; "u")
    ),
    ROW(INDIRECT("'" &amp; 'Hulp (overig)'!$C$16 &amp; "'!B1:B1000"))
)
        )
    ) * F181
),
IF(F182="","",
IF(
    IFERROR(MIN(
        IF(
            (TRIM(INDIRECT("'" &amp; 'Hulp (overig)'!$C$16 &amp; "'!B1:B1000")) = TEXT(F182,"0")) *
            (ROW(INDIRECT("'" &amp; 'Hulp (overig)'!$C$16 &amp; "'!B1:B1000")) &gt;= MATCH(
                F180,
                INDIRECT("'" &amp; 'Hulp (overig)'!$C$16 &amp; "'!A1:A1000"),
                0
            )) *
            IF(
                G180="",
                1,
                (ROW(INDIRECT("'" &amp; 'Hulp (overig)'!$C$16 &amp; "'!B1:B1000")) &lt; MATCH(
                    G180,
                    INDIRECT("'" &amp; 'Hulp (overig)'!$C$16 &amp; "'!A1:A1000"),
                    0
                ))
            ),
            ROW(INDIRECT("'" &amp; 'Hulp (overig)'!$C$16 &amp; "'!B1:B1000"))
        )
    ),0) &lt; 1,
    "",
    IF(INDEX(
        INDIRECT("'" &amp; 'Hulp (overig)'!$C$16 &amp; "'!" &amp;
        'Hulp (overig)'!$C$17 &amp; "1:" &amp; 'Hulp (overig)'!$C$17 &amp; 1000
        ),
        IFERROR(MIN(
            IF(
                (TRIM(INDIRECT("'" &amp; 'Hulp (overig)'!$C$16 &amp; "'!B1:B1000")) = TEXT(F182,"0")) *
                (ROW(INDIRECT("'" &amp; 'Hulp (overig)'!$C$16 &amp; "'!B1:B1000")) &gt;= MATCH(
                    F180,
                    INDIRECT("'" &amp; 'Hulp (overig)'!$C$16 &amp; "'!A1:A1000"),
                    0
                )) *
                IF(
                    G180="",
                    1,
                    (ROW(INDIRECT("'" &amp; 'Hulp (overig)'!$C$16 &amp; "'!B1:B1000")) &lt; MATCH(
                        G180,
                        INDIRECT("'" &amp; 'Hulp (overig)'!$C$16 &amp; "'!A1:A1000"),
                        0
                    ))
                ),
                ROW(INDIRECT("'" &amp; 'Hulp (overig)'!$C$16 &amp; "'!B1:B1000"))
            )
        ),0)
    )=0,"",
INDEX(
        INDIRECT("'" &amp; 'Hulp (overig)'!$C$16 &amp; "'!" &amp;
        'Hulp (overig)'!$C$17 &amp; "1:" &amp; 'Hulp (overig)'!$C$17 &amp; 1000
        ),
        IFERROR(MIN(
            IF(
                (TRIM(INDIRECT("'" &amp; 'Hulp (overig)'!$C$16 &amp; "'!B1:B1000")) = TEXT(F182,"0")) *
                (ROW(INDIRECT("'" &amp; 'Hulp (overig)'!$C$16 &amp; "'!B1:B1000")) &gt;= MATCH(
                    F180,
                    INDIRECT("'" &amp; 'Hulp (overig)'!$C$16 &amp; "'!A1:A1000"),
                    0
                )) *
                IF(
                    G180="",
                    1,
                    (ROW(INDIRECT("'" &amp; 'Hulp (overig)'!$C$16 &amp; "'!B1:B1000")) &lt; MATCH(
                        G180,
                        INDIRECT("'" &amp; 'Hulp (overig)'!$C$16 &amp; "'!A1:A1000"),
                        0
                    ))
                ),
                ROW(INDIRECT("'" &amp; 'Hulp (overig)'!$C$16 &amp; "'!B1:B1000"))
            )
        ),0)
    ))
))))</f>
        <v>#VALUE!</v>
      </c>
      <c r="G183" s="425" t="e" cm="1">
        <f t="array" aca="1" ref="G183" ca="1">IF($BF183, IF(G180="","",
   INDEX(
      INDIRECT("'" &amp; 'Hulp (CAO''s)'!$AE$8 &amp; "'!" &amp;
               'Hulp (overig)'!$C$17 &amp; "1:" &amp;
               'Hulp (overig)'!$C$17 &amp; "1000"),
      MATCH(
         G180,
         INDIRECT("'" &amp; 'Hulp (CAO''s)'!$AE$8 &amp; "'!A1:A1000"),
         0
      )
   )
), IF($D181="Gebruik % van maximum salaris",
IF(
    OR(G180="",G181=""),
    "",
    MAX(
        INDIRECT(
            "'" &amp; 'Hulp (overig)'!$C$16 &amp; "'!" &amp;
            'Hulp (overig)'!$C$17 &amp;
            MATCH(G180, INDIRECT("'" &amp; 'Hulp (overig)'!$C$16 &amp; "'!A1:A1000"), 0) &amp;
            ":" &amp;
            'Hulp (overig)'!$C$17 &amp;
LOOKUP(
    2,
    1 / (
        (ROW(INDIRECT("'" &amp; 'Hulp (overig)'!$C$16 &amp; "'!B1:B1000")) &lt;
            IF(H180&lt;&gt;"",
               MATCH(H180, INDIRECT("'" &amp; 'Hulp (overig)'!$C$16 &amp; "'!A1:A1000"),0),
               1000
            )
        ) *
        (LEFT(TRIM(INDIRECT("'" &amp; 'Hulp (overig)'!$C$16 &amp; "'!B1:B1000")),1) &lt;&gt; "u")
    ),
    ROW(INDIRECT("'" &amp; 'Hulp (overig)'!$C$16 &amp; "'!B1:B1000"))
)
        )
    ) * G181
),
IF(G182="","",
IF(
    IFERROR(MIN(
        IF(
            (TRIM(INDIRECT("'" &amp; 'Hulp (overig)'!$C$16 &amp; "'!B1:B1000")) = TEXT(G182,"0")) *
            (ROW(INDIRECT("'" &amp; 'Hulp (overig)'!$C$16 &amp; "'!B1:B1000")) &gt;= MATCH(
                G180,
                INDIRECT("'" &amp; 'Hulp (overig)'!$C$16 &amp; "'!A1:A1000"),
                0
            )) *
            IF(
                H180="",
                1,
                (ROW(INDIRECT("'" &amp; 'Hulp (overig)'!$C$16 &amp; "'!B1:B1000")) &lt; MATCH(
                    H180,
                    INDIRECT("'" &amp; 'Hulp (overig)'!$C$16 &amp; "'!A1:A1000"),
                    0
                ))
            ),
            ROW(INDIRECT("'" &amp; 'Hulp (overig)'!$C$16 &amp; "'!B1:B1000"))
        )
    ),0) &lt; 1,
    "",
    IF(INDEX(
        INDIRECT("'" &amp; 'Hulp (overig)'!$C$16 &amp; "'!" &amp;
        'Hulp (overig)'!$C$17 &amp; "1:" &amp; 'Hulp (overig)'!$C$17 &amp; 1000
        ),
        IFERROR(MIN(
            IF(
                (TRIM(INDIRECT("'" &amp; 'Hulp (overig)'!$C$16 &amp; "'!B1:B1000")) = TEXT(G182,"0")) *
                (ROW(INDIRECT("'" &amp; 'Hulp (overig)'!$C$16 &amp; "'!B1:B1000")) &gt;= MATCH(
                    G180,
                    INDIRECT("'" &amp; 'Hulp (overig)'!$C$16 &amp; "'!A1:A1000"),
                    0
                )) *
                IF(
                    H180="",
                    1,
                    (ROW(INDIRECT("'" &amp; 'Hulp (overig)'!$C$16 &amp; "'!B1:B1000")) &lt; MATCH(
                        H180,
                        INDIRECT("'" &amp; 'Hulp (overig)'!$C$16 &amp; "'!A1:A1000"),
                        0
                    ))
                ),
                ROW(INDIRECT("'" &amp; 'Hulp (overig)'!$C$16 &amp; "'!B1:B1000"))
            )
        ),0)
    )=0,"",
INDEX(
        INDIRECT("'" &amp; 'Hulp (overig)'!$C$16 &amp; "'!" &amp;
        'Hulp (overig)'!$C$17 &amp; "1:" &amp; 'Hulp (overig)'!$C$17 &amp; 1000
        ),
        IFERROR(MIN(
            IF(
                (TRIM(INDIRECT("'" &amp; 'Hulp (overig)'!$C$16 &amp; "'!B1:B1000")) = TEXT(G182,"0")) *
                (ROW(INDIRECT("'" &amp; 'Hulp (overig)'!$C$16 &amp; "'!B1:B1000")) &gt;= MATCH(
                    G180,
                    INDIRECT("'" &amp; 'Hulp (overig)'!$C$16 &amp; "'!A1:A1000"),
                    0
                )) *
                IF(
                    H180="",
                    1,
                    (ROW(INDIRECT("'" &amp; 'Hulp (overig)'!$C$16 &amp; "'!B1:B1000")) &lt; MATCH(
                        H180,
                        INDIRECT("'" &amp; 'Hulp (overig)'!$C$16 &amp; "'!A1:A1000"),
                        0
                    ))
                ),
                ROW(INDIRECT("'" &amp; 'Hulp (overig)'!$C$16 &amp; "'!B1:B1000"))
            )
        ),0)
    ))
))))</f>
        <v>#VALUE!</v>
      </c>
      <c r="H183" s="425" t="e" cm="1">
        <f t="array" aca="1" ref="H183" ca="1">IF($BF183, IF(H180="","",
   INDEX(
      INDIRECT("'" &amp; 'Hulp (CAO''s)'!$AE$8 &amp; "'!" &amp;
               'Hulp (overig)'!$C$17 &amp; "1:" &amp;
               'Hulp (overig)'!$C$17 &amp; "1000"),
      MATCH(
         H180,
         INDIRECT("'" &amp; 'Hulp (CAO''s)'!$AE$8 &amp; "'!A1:A1000"),
         0
      )
   )
), IF($D181="Gebruik % van maximum salaris",
IF(
    OR(H180="",H181=""),
    "",
    MAX(
        INDIRECT(
            "'" &amp; 'Hulp (overig)'!$C$16 &amp; "'!" &amp;
            'Hulp (overig)'!$C$17 &amp;
            MATCH(H180, INDIRECT("'" &amp; 'Hulp (overig)'!$C$16 &amp; "'!A1:A1000"), 0) &amp;
            ":" &amp;
            'Hulp (overig)'!$C$17 &amp;
LOOKUP(
    2,
    1 / (
        (ROW(INDIRECT("'" &amp; 'Hulp (overig)'!$C$16 &amp; "'!B1:B1000")) &lt;
            IF(I180&lt;&gt;"",
               MATCH(I180, INDIRECT("'" &amp; 'Hulp (overig)'!$C$16 &amp; "'!A1:A1000"),0),
               1000
            )
        ) *
        (LEFT(TRIM(INDIRECT("'" &amp; 'Hulp (overig)'!$C$16 &amp; "'!B1:B1000")),1) &lt;&gt; "u")
    ),
    ROW(INDIRECT("'" &amp; 'Hulp (overig)'!$C$16 &amp; "'!B1:B1000"))
)
        )
    ) * H181
),
IF(H182="","",
IF(
    IFERROR(MIN(
        IF(
            (TRIM(INDIRECT("'" &amp; 'Hulp (overig)'!$C$16 &amp; "'!B1:B1000")) = TEXT(H182,"0")) *
            (ROW(INDIRECT("'" &amp; 'Hulp (overig)'!$C$16 &amp; "'!B1:B1000")) &gt;= MATCH(
                H180,
                INDIRECT("'" &amp; 'Hulp (overig)'!$C$16 &amp; "'!A1:A1000"),
                0
            )) *
            IF(
                I180="",
                1,
                (ROW(INDIRECT("'" &amp; 'Hulp (overig)'!$C$16 &amp; "'!B1:B1000")) &lt; MATCH(
                    I180,
                    INDIRECT("'" &amp; 'Hulp (overig)'!$C$16 &amp; "'!A1:A1000"),
                    0
                ))
            ),
            ROW(INDIRECT("'" &amp; 'Hulp (overig)'!$C$16 &amp; "'!B1:B1000"))
        )
    ),0) &lt; 1,
    "",
    IF(INDEX(
        INDIRECT("'" &amp; 'Hulp (overig)'!$C$16 &amp; "'!" &amp;
        'Hulp (overig)'!$C$17 &amp; "1:" &amp; 'Hulp (overig)'!$C$17 &amp; 1000
        ),
        IFERROR(MIN(
            IF(
                (TRIM(INDIRECT("'" &amp; 'Hulp (overig)'!$C$16 &amp; "'!B1:B1000")) = TEXT(H182,"0")) *
                (ROW(INDIRECT("'" &amp; 'Hulp (overig)'!$C$16 &amp; "'!B1:B1000")) &gt;= MATCH(
                    H180,
                    INDIRECT("'" &amp; 'Hulp (overig)'!$C$16 &amp; "'!A1:A1000"),
                    0
                )) *
                IF(
                    I180="",
                    1,
                    (ROW(INDIRECT("'" &amp; 'Hulp (overig)'!$C$16 &amp; "'!B1:B1000")) &lt; MATCH(
                        I180,
                        INDIRECT("'" &amp; 'Hulp (overig)'!$C$16 &amp; "'!A1:A1000"),
                        0
                    ))
                ),
                ROW(INDIRECT("'" &amp; 'Hulp (overig)'!$C$16 &amp; "'!B1:B1000"))
            )
        ),0)
    )=0,"",
INDEX(
        INDIRECT("'" &amp; 'Hulp (overig)'!$C$16 &amp; "'!" &amp;
        'Hulp (overig)'!$C$17 &amp; "1:" &amp; 'Hulp (overig)'!$C$17 &amp; 1000
        ),
        IFERROR(MIN(
            IF(
                (TRIM(INDIRECT("'" &amp; 'Hulp (overig)'!$C$16 &amp; "'!B1:B1000")) = TEXT(H182,"0")) *
                (ROW(INDIRECT("'" &amp; 'Hulp (overig)'!$C$16 &amp; "'!B1:B1000")) &gt;= MATCH(
                    H180,
                    INDIRECT("'" &amp; 'Hulp (overig)'!$C$16 &amp; "'!A1:A1000"),
                    0
                )) *
                IF(
                    I180="",
                    1,
                    (ROW(INDIRECT("'" &amp; 'Hulp (overig)'!$C$16 &amp; "'!B1:B1000")) &lt; MATCH(
                        I180,
                        INDIRECT("'" &amp; 'Hulp (overig)'!$C$16 &amp; "'!A1:A1000"),
                        0
                    ))
                ),
                ROW(INDIRECT("'" &amp; 'Hulp (overig)'!$C$16 &amp; "'!B1:B1000"))
            )
        ),0)
    ))
))))</f>
        <v>#VALUE!</v>
      </c>
      <c r="I183" s="425" t="e" cm="1">
        <f t="array" aca="1" ref="I183" ca="1">IF($BF183, IF(I180="","",
   INDEX(
      INDIRECT("'" &amp; 'Hulp (CAO''s)'!$AE$8 &amp; "'!" &amp;
               'Hulp (overig)'!$C$17 &amp; "1:" &amp;
               'Hulp (overig)'!$C$17 &amp; "1000"),
      MATCH(
         I180,
         INDIRECT("'" &amp; 'Hulp (CAO''s)'!$AE$8 &amp; "'!A1:A1000"),
         0
      )
   )
), IF($D181="Gebruik % van maximum salaris",
IF(
    OR(I180="",I181=""),
    "",
    MAX(
        INDIRECT(
            "'" &amp; 'Hulp (overig)'!$C$16 &amp; "'!" &amp;
            'Hulp (overig)'!$C$17 &amp;
            MATCH(I180, INDIRECT("'" &amp; 'Hulp (overig)'!$C$16 &amp; "'!A1:A1000"), 0) &amp;
            ":" &amp;
            'Hulp (overig)'!$C$17 &amp;
LOOKUP(
    2,
    1 / (
        (ROW(INDIRECT("'" &amp; 'Hulp (overig)'!$C$16 &amp; "'!B1:B1000")) &lt;
            IF(J180&lt;&gt;"",
               MATCH(J180, INDIRECT("'" &amp; 'Hulp (overig)'!$C$16 &amp; "'!A1:A1000"),0),
               1000
            )
        ) *
        (LEFT(TRIM(INDIRECT("'" &amp; 'Hulp (overig)'!$C$16 &amp; "'!B1:B1000")),1) &lt;&gt; "u")
    ),
    ROW(INDIRECT("'" &amp; 'Hulp (overig)'!$C$16 &amp; "'!B1:B1000"))
)
        )
    ) * I181
),
IF(I182="","",
IF(
    IFERROR(MIN(
        IF(
            (TRIM(INDIRECT("'" &amp; 'Hulp (overig)'!$C$16 &amp; "'!B1:B1000")) = TEXT(I182,"0")) *
            (ROW(INDIRECT("'" &amp; 'Hulp (overig)'!$C$16 &amp; "'!B1:B1000")) &gt;= MATCH(
                I180,
                INDIRECT("'" &amp; 'Hulp (overig)'!$C$16 &amp; "'!A1:A1000"),
                0
            )) *
            IF(
                J180="",
                1,
                (ROW(INDIRECT("'" &amp; 'Hulp (overig)'!$C$16 &amp; "'!B1:B1000")) &lt; MATCH(
                    J180,
                    INDIRECT("'" &amp; 'Hulp (overig)'!$C$16 &amp; "'!A1:A1000"),
                    0
                ))
            ),
            ROW(INDIRECT("'" &amp; 'Hulp (overig)'!$C$16 &amp; "'!B1:B1000"))
        )
    ),0) &lt; 1,
    "",
    IF(INDEX(
        INDIRECT("'" &amp; 'Hulp (overig)'!$C$16 &amp; "'!" &amp;
        'Hulp (overig)'!$C$17 &amp; "1:" &amp; 'Hulp (overig)'!$C$17 &amp; 1000
        ),
        IFERROR(MIN(
            IF(
                (TRIM(INDIRECT("'" &amp; 'Hulp (overig)'!$C$16 &amp; "'!B1:B1000")) = TEXT(I182,"0")) *
                (ROW(INDIRECT("'" &amp; 'Hulp (overig)'!$C$16 &amp; "'!B1:B1000")) &gt;= MATCH(
                    I180,
                    INDIRECT("'" &amp; 'Hulp (overig)'!$C$16 &amp; "'!A1:A1000"),
                    0
                )) *
                IF(
                    J180="",
                    1,
                    (ROW(INDIRECT("'" &amp; 'Hulp (overig)'!$C$16 &amp; "'!B1:B1000")) &lt; MATCH(
                        J180,
                        INDIRECT("'" &amp; 'Hulp (overig)'!$C$16 &amp; "'!A1:A1000"),
                        0
                    ))
                ),
                ROW(INDIRECT("'" &amp; 'Hulp (overig)'!$C$16 &amp; "'!B1:B1000"))
            )
        ),0)
    )=0,"",
INDEX(
        INDIRECT("'" &amp; 'Hulp (overig)'!$C$16 &amp; "'!" &amp;
        'Hulp (overig)'!$C$17 &amp; "1:" &amp; 'Hulp (overig)'!$C$17 &amp; 1000
        ),
        IFERROR(MIN(
            IF(
                (TRIM(INDIRECT("'" &amp; 'Hulp (overig)'!$C$16 &amp; "'!B1:B1000")) = TEXT(I182,"0")) *
                (ROW(INDIRECT("'" &amp; 'Hulp (overig)'!$C$16 &amp; "'!B1:B1000")) &gt;= MATCH(
                    I180,
                    INDIRECT("'" &amp; 'Hulp (overig)'!$C$16 &amp; "'!A1:A1000"),
                    0
                )) *
                IF(
                    J180="",
                    1,
                    (ROW(INDIRECT("'" &amp; 'Hulp (overig)'!$C$16 &amp; "'!B1:B1000")) &lt; MATCH(
                        J180,
                        INDIRECT("'" &amp; 'Hulp (overig)'!$C$16 &amp; "'!A1:A1000"),
                        0
                    ))
                ),
                ROW(INDIRECT("'" &amp; 'Hulp (overig)'!$C$16 &amp; "'!B1:B1000"))
            )
        ),0)
    ))
))))</f>
        <v>#VALUE!</v>
      </c>
      <c r="J183" s="425" t="e" cm="1">
        <f t="array" aca="1" ref="J183" ca="1">IF($BF183, IF(J180="","",
   INDEX(
      INDIRECT("'" &amp; 'Hulp (CAO''s)'!$AE$8 &amp; "'!" &amp;
               'Hulp (overig)'!$C$17 &amp; "1:" &amp;
               'Hulp (overig)'!$C$17 &amp; "1000"),
      MATCH(
         J180,
         INDIRECT("'" &amp; 'Hulp (CAO''s)'!$AE$8 &amp; "'!A1:A1000"),
         0
      )
   )
), IF($D181="Gebruik % van maximum salaris",
IF(
    OR(J180="",J181=""),
    "",
    MAX(
        INDIRECT(
            "'" &amp; 'Hulp (overig)'!$C$16 &amp; "'!" &amp;
            'Hulp (overig)'!$C$17 &amp;
            MATCH(J180, INDIRECT("'" &amp; 'Hulp (overig)'!$C$16 &amp; "'!A1:A1000"), 0) &amp;
            ":" &amp;
            'Hulp (overig)'!$C$17 &amp;
LOOKUP(
    2,
    1 / (
        (ROW(INDIRECT("'" &amp; 'Hulp (overig)'!$C$16 &amp; "'!B1:B1000")) &lt;
            IF(K180&lt;&gt;"",
               MATCH(K180, INDIRECT("'" &amp; 'Hulp (overig)'!$C$16 &amp; "'!A1:A1000"),0),
               1000
            )
        ) *
        (LEFT(TRIM(INDIRECT("'" &amp; 'Hulp (overig)'!$C$16 &amp; "'!B1:B1000")),1) &lt;&gt; "u")
    ),
    ROW(INDIRECT("'" &amp; 'Hulp (overig)'!$C$16 &amp; "'!B1:B1000"))
)
        )
    ) * J181
),
IF(J182="","",
IF(
    IFERROR(MIN(
        IF(
            (TRIM(INDIRECT("'" &amp; 'Hulp (overig)'!$C$16 &amp; "'!B1:B1000")) = TEXT(J182,"0")) *
            (ROW(INDIRECT("'" &amp; 'Hulp (overig)'!$C$16 &amp; "'!B1:B1000")) &gt;= MATCH(
                J180,
                INDIRECT("'" &amp; 'Hulp (overig)'!$C$16 &amp; "'!A1:A1000"),
                0
            )) *
            IF(
                K180="",
                1,
                (ROW(INDIRECT("'" &amp; 'Hulp (overig)'!$C$16 &amp; "'!B1:B1000")) &lt; MATCH(
                    K180,
                    INDIRECT("'" &amp; 'Hulp (overig)'!$C$16 &amp; "'!A1:A1000"),
                    0
                ))
            ),
            ROW(INDIRECT("'" &amp; 'Hulp (overig)'!$C$16 &amp; "'!B1:B1000"))
        )
    ),0) &lt; 1,
    "",
    IF(INDEX(
        INDIRECT("'" &amp; 'Hulp (overig)'!$C$16 &amp; "'!" &amp;
        'Hulp (overig)'!$C$17 &amp; "1:" &amp; 'Hulp (overig)'!$C$17 &amp; 1000
        ),
        IFERROR(MIN(
            IF(
                (TRIM(INDIRECT("'" &amp; 'Hulp (overig)'!$C$16 &amp; "'!B1:B1000")) = TEXT(J182,"0")) *
                (ROW(INDIRECT("'" &amp; 'Hulp (overig)'!$C$16 &amp; "'!B1:B1000")) &gt;= MATCH(
                    J180,
                    INDIRECT("'" &amp; 'Hulp (overig)'!$C$16 &amp; "'!A1:A1000"),
                    0
                )) *
                IF(
                    K180="",
                    1,
                    (ROW(INDIRECT("'" &amp; 'Hulp (overig)'!$C$16 &amp; "'!B1:B1000")) &lt; MATCH(
                        K180,
                        INDIRECT("'" &amp; 'Hulp (overig)'!$C$16 &amp; "'!A1:A1000"),
                        0
                    ))
                ),
                ROW(INDIRECT("'" &amp; 'Hulp (overig)'!$C$16 &amp; "'!B1:B1000"))
            )
        ),0)
    )=0,"",
INDEX(
        INDIRECT("'" &amp; 'Hulp (overig)'!$C$16 &amp; "'!" &amp;
        'Hulp (overig)'!$C$17 &amp; "1:" &amp; 'Hulp (overig)'!$C$17 &amp; 1000
        ),
        IFERROR(MIN(
            IF(
                (TRIM(INDIRECT("'" &amp; 'Hulp (overig)'!$C$16 &amp; "'!B1:B1000")) = TEXT(J182,"0")) *
                (ROW(INDIRECT("'" &amp; 'Hulp (overig)'!$C$16 &amp; "'!B1:B1000")) &gt;= MATCH(
                    J180,
                    INDIRECT("'" &amp; 'Hulp (overig)'!$C$16 &amp; "'!A1:A1000"),
                    0
                )) *
                IF(
                    K180="",
                    1,
                    (ROW(INDIRECT("'" &amp; 'Hulp (overig)'!$C$16 &amp; "'!B1:B1000")) &lt; MATCH(
                        K180,
                        INDIRECT("'" &amp; 'Hulp (overig)'!$C$16 &amp; "'!A1:A1000"),
                        0
                    ))
                ),
                ROW(INDIRECT("'" &amp; 'Hulp (overig)'!$C$16 &amp; "'!B1:B1000"))
            )
        ),0)
    ))
))))</f>
        <v>#VALUE!</v>
      </c>
      <c r="K183" s="425" t="e" cm="1">
        <f t="array" aca="1" ref="K183" ca="1">IF($BF183, IF(K180="","",
   INDEX(
      INDIRECT("'" &amp; 'Hulp (CAO''s)'!$AE$8 &amp; "'!" &amp;
               'Hulp (overig)'!$C$17 &amp; "1:" &amp;
               'Hulp (overig)'!$C$17 &amp; "1000"),
      MATCH(
         K180,
         INDIRECT("'" &amp; 'Hulp (CAO''s)'!$AE$8 &amp; "'!A1:A1000"),
         0
      )
   )
), IF($D181="Gebruik % van maximum salaris",
IF(
    OR(K180="",K181=""),
    "",
    MAX(
        INDIRECT(
            "'" &amp; 'Hulp (overig)'!$C$16 &amp; "'!" &amp;
            'Hulp (overig)'!$C$17 &amp;
            MATCH(K180, INDIRECT("'" &amp; 'Hulp (overig)'!$C$16 &amp; "'!A1:A1000"), 0) &amp;
            ":" &amp;
            'Hulp (overig)'!$C$17 &amp;
LOOKUP(
    2,
    1 / (
        (ROW(INDIRECT("'" &amp; 'Hulp (overig)'!$C$16 &amp; "'!B1:B1000")) &lt;
            IF(L180&lt;&gt;"",
               MATCH(L180, INDIRECT("'" &amp; 'Hulp (overig)'!$C$16 &amp; "'!A1:A1000"),0),
               1000
            )
        ) *
        (LEFT(TRIM(INDIRECT("'" &amp; 'Hulp (overig)'!$C$16 &amp; "'!B1:B1000")),1) &lt;&gt; "u")
    ),
    ROW(INDIRECT("'" &amp; 'Hulp (overig)'!$C$16 &amp; "'!B1:B1000"))
)
        )
    ) * K181
),
IF(K182="","",
IF(
    IFERROR(MIN(
        IF(
            (TRIM(INDIRECT("'" &amp; 'Hulp (overig)'!$C$16 &amp; "'!B1:B1000")) = TEXT(K182,"0")) *
            (ROW(INDIRECT("'" &amp; 'Hulp (overig)'!$C$16 &amp; "'!B1:B1000")) &gt;= MATCH(
                K180,
                INDIRECT("'" &amp; 'Hulp (overig)'!$C$16 &amp; "'!A1:A1000"),
                0
            )) *
            IF(
                L180="",
                1,
                (ROW(INDIRECT("'" &amp; 'Hulp (overig)'!$C$16 &amp; "'!B1:B1000")) &lt; MATCH(
                    L180,
                    INDIRECT("'" &amp; 'Hulp (overig)'!$C$16 &amp; "'!A1:A1000"),
                    0
                ))
            ),
            ROW(INDIRECT("'" &amp; 'Hulp (overig)'!$C$16 &amp; "'!B1:B1000"))
        )
    ),0) &lt; 1,
    "",
    IF(INDEX(
        INDIRECT("'" &amp; 'Hulp (overig)'!$C$16 &amp; "'!" &amp;
        'Hulp (overig)'!$C$17 &amp; "1:" &amp; 'Hulp (overig)'!$C$17 &amp; 1000
        ),
        IFERROR(MIN(
            IF(
                (TRIM(INDIRECT("'" &amp; 'Hulp (overig)'!$C$16 &amp; "'!B1:B1000")) = TEXT(K182,"0")) *
                (ROW(INDIRECT("'" &amp; 'Hulp (overig)'!$C$16 &amp; "'!B1:B1000")) &gt;= MATCH(
                    K180,
                    INDIRECT("'" &amp; 'Hulp (overig)'!$C$16 &amp; "'!A1:A1000"),
                    0
                )) *
                IF(
                    L180="",
                    1,
                    (ROW(INDIRECT("'" &amp; 'Hulp (overig)'!$C$16 &amp; "'!B1:B1000")) &lt; MATCH(
                        L180,
                        INDIRECT("'" &amp; 'Hulp (overig)'!$C$16 &amp; "'!A1:A1000"),
                        0
                    ))
                ),
                ROW(INDIRECT("'" &amp; 'Hulp (overig)'!$C$16 &amp; "'!B1:B1000"))
            )
        ),0)
    )=0,"",
INDEX(
        INDIRECT("'" &amp; 'Hulp (overig)'!$C$16 &amp; "'!" &amp;
        'Hulp (overig)'!$C$17 &amp; "1:" &amp; 'Hulp (overig)'!$C$17 &amp; 1000
        ),
        IFERROR(MIN(
            IF(
                (TRIM(INDIRECT("'" &amp; 'Hulp (overig)'!$C$16 &amp; "'!B1:B1000")) = TEXT(K182,"0")) *
                (ROW(INDIRECT("'" &amp; 'Hulp (overig)'!$C$16 &amp; "'!B1:B1000")) &gt;= MATCH(
                    K180,
                    INDIRECT("'" &amp; 'Hulp (overig)'!$C$16 &amp; "'!A1:A1000"),
                    0
                )) *
                IF(
                    L180="",
                    1,
                    (ROW(INDIRECT("'" &amp; 'Hulp (overig)'!$C$16 &amp; "'!B1:B1000")) &lt; MATCH(
                        L180,
                        INDIRECT("'" &amp; 'Hulp (overig)'!$C$16 &amp; "'!A1:A1000"),
                        0
                    ))
                ),
                ROW(INDIRECT("'" &amp; 'Hulp (overig)'!$C$16 &amp; "'!B1:B1000"))
            )
        ),0)
    ))
))))</f>
        <v>#VALUE!</v>
      </c>
      <c r="L183" s="425" t="e" cm="1">
        <f t="array" aca="1" ref="L183" ca="1">IF($BF183, IF(L180="","",
   INDEX(
      INDIRECT("'" &amp; 'Hulp (CAO''s)'!$AE$8 &amp; "'!" &amp;
               'Hulp (overig)'!$C$17 &amp; "1:" &amp;
               'Hulp (overig)'!$C$17 &amp; "1000"),
      MATCH(
         L180,
         INDIRECT("'" &amp; 'Hulp (CAO''s)'!$AE$8 &amp; "'!A1:A1000"),
         0
      )
   )
), IF($D181="Gebruik % van maximum salaris",
IF(
    OR(L180="",L181=""),
    "",
    MAX(
        INDIRECT(
            "'" &amp; 'Hulp (overig)'!$C$16 &amp; "'!" &amp;
            'Hulp (overig)'!$C$17 &amp;
            MATCH(L180, INDIRECT("'" &amp; 'Hulp (overig)'!$C$16 &amp; "'!A1:A1000"), 0) &amp;
            ":" &amp;
            'Hulp (overig)'!$C$17 &amp;
LOOKUP(
    2,
    1 / (
        (ROW(INDIRECT("'" &amp; 'Hulp (overig)'!$C$16 &amp; "'!B1:B1000")) &lt;
            IF(M180&lt;&gt;"",
               MATCH(M180, INDIRECT("'" &amp; 'Hulp (overig)'!$C$16 &amp; "'!A1:A1000"),0),
               1000
            )
        ) *
        (LEFT(TRIM(INDIRECT("'" &amp; 'Hulp (overig)'!$C$16 &amp; "'!B1:B1000")),1) &lt;&gt; "u")
    ),
    ROW(INDIRECT("'" &amp; 'Hulp (overig)'!$C$16 &amp; "'!B1:B1000"))
)
        )
    ) * L181
),
IF(L182="","",
IF(
    IFERROR(MIN(
        IF(
            (TRIM(INDIRECT("'" &amp; 'Hulp (overig)'!$C$16 &amp; "'!B1:B1000")) = TEXT(L182,"0")) *
            (ROW(INDIRECT("'" &amp; 'Hulp (overig)'!$C$16 &amp; "'!B1:B1000")) &gt;= MATCH(
                L180,
                INDIRECT("'" &amp; 'Hulp (overig)'!$C$16 &amp; "'!A1:A1000"),
                0
            )) *
            IF(
                M180="",
                1,
                (ROW(INDIRECT("'" &amp; 'Hulp (overig)'!$C$16 &amp; "'!B1:B1000")) &lt; MATCH(
                    M180,
                    INDIRECT("'" &amp; 'Hulp (overig)'!$C$16 &amp; "'!A1:A1000"),
                    0
                ))
            ),
            ROW(INDIRECT("'" &amp; 'Hulp (overig)'!$C$16 &amp; "'!B1:B1000"))
        )
    ),0) &lt; 1,
    "",
    IF(INDEX(
        INDIRECT("'" &amp; 'Hulp (overig)'!$C$16 &amp; "'!" &amp;
        'Hulp (overig)'!$C$17 &amp; "1:" &amp; 'Hulp (overig)'!$C$17 &amp; 1000
        ),
        IFERROR(MIN(
            IF(
                (TRIM(INDIRECT("'" &amp; 'Hulp (overig)'!$C$16 &amp; "'!B1:B1000")) = TEXT(L182,"0")) *
                (ROW(INDIRECT("'" &amp; 'Hulp (overig)'!$C$16 &amp; "'!B1:B1000")) &gt;= MATCH(
                    L180,
                    INDIRECT("'" &amp; 'Hulp (overig)'!$C$16 &amp; "'!A1:A1000"),
                    0
                )) *
                IF(
                    M180="",
                    1,
                    (ROW(INDIRECT("'" &amp; 'Hulp (overig)'!$C$16 &amp; "'!B1:B1000")) &lt; MATCH(
                        M180,
                        INDIRECT("'" &amp; 'Hulp (overig)'!$C$16 &amp; "'!A1:A1000"),
                        0
                    ))
                ),
                ROW(INDIRECT("'" &amp; 'Hulp (overig)'!$C$16 &amp; "'!B1:B1000"))
            )
        ),0)
    )=0,"",
INDEX(
        INDIRECT("'" &amp; 'Hulp (overig)'!$C$16 &amp; "'!" &amp;
        'Hulp (overig)'!$C$17 &amp; "1:" &amp; 'Hulp (overig)'!$C$17 &amp; 1000
        ),
        IFERROR(MIN(
            IF(
                (TRIM(INDIRECT("'" &amp; 'Hulp (overig)'!$C$16 &amp; "'!B1:B1000")) = TEXT(L182,"0")) *
                (ROW(INDIRECT("'" &amp; 'Hulp (overig)'!$C$16 &amp; "'!B1:B1000")) &gt;= MATCH(
                    L180,
                    INDIRECT("'" &amp; 'Hulp (overig)'!$C$16 &amp; "'!A1:A1000"),
                    0
                )) *
                IF(
                    M180="",
                    1,
                    (ROW(INDIRECT("'" &amp; 'Hulp (overig)'!$C$16 &amp; "'!B1:B1000")) &lt; MATCH(
                        M180,
                        INDIRECT("'" &amp; 'Hulp (overig)'!$C$16 &amp; "'!A1:A1000"),
                        0
                    ))
                ),
                ROW(INDIRECT("'" &amp; 'Hulp (overig)'!$C$16 &amp; "'!B1:B1000"))
            )
        ),0)
    ))
))))</f>
        <v>#VALUE!</v>
      </c>
      <c r="M183" s="425" t="e" cm="1">
        <f t="array" aca="1" ref="M183" ca="1">IF($BF183, IF(M180="","",
   INDEX(
      INDIRECT("'" &amp; 'Hulp (CAO''s)'!$AE$8 &amp; "'!" &amp;
               'Hulp (overig)'!$C$17 &amp; "1:" &amp;
               'Hulp (overig)'!$C$17 &amp; "1000"),
      MATCH(
         M180,
         INDIRECT("'" &amp; 'Hulp (CAO''s)'!$AE$8 &amp; "'!A1:A1000"),
         0
      )
   )
), IF($D181="Gebruik % van maximum salaris",
IF(
    OR(M180="",M181=""),
    "",
    MAX(
        INDIRECT(
            "'" &amp; 'Hulp (overig)'!$C$16 &amp; "'!" &amp;
            'Hulp (overig)'!$C$17 &amp;
            MATCH(M180, INDIRECT("'" &amp; 'Hulp (overig)'!$C$16 &amp; "'!A1:A1000"), 0) &amp;
            ":" &amp;
            'Hulp (overig)'!$C$17 &amp;
LOOKUP(
    2,
    1 / (
        (ROW(INDIRECT("'" &amp; 'Hulp (overig)'!$C$16 &amp; "'!B1:B1000")) &lt;
            IF(N180&lt;&gt;"",
               MATCH(N180, INDIRECT("'" &amp; 'Hulp (overig)'!$C$16 &amp; "'!A1:A1000"),0),
               1000
            )
        ) *
        (LEFT(TRIM(INDIRECT("'" &amp; 'Hulp (overig)'!$C$16 &amp; "'!B1:B1000")),1) &lt;&gt; "u")
    ),
    ROW(INDIRECT("'" &amp; 'Hulp (overig)'!$C$16 &amp; "'!B1:B1000"))
)
        )
    ) * M181
),
IF(M182="","",
IF(
    IFERROR(MIN(
        IF(
            (TRIM(INDIRECT("'" &amp; 'Hulp (overig)'!$C$16 &amp; "'!B1:B1000")) = TEXT(M182,"0")) *
            (ROW(INDIRECT("'" &amp; 'Hulp (overig)'!$C$16 &amp; "'!B1:B1000")) &gt;= MATCH(
                M180,
                INDIRECT("'" &amp; 'Hulp (overig)'!$C$16 &amp; "'!A1:A1000"),
                0
            )) *
            IF(
                N180="",
                1,
                (ROW(INDIRECT("'" &amp; 'Hulp (overig)'!$C$16 &amp; "'!B1:B1000")) &lt; MATCH(
                    N180,
                    INDIRECT("'" &amp; 'Hulp (overig)'!$C$16 &amp; "'!A1:A1000"),
                    0
                ))
            ),
            ROW(INDIRECT("'" &amp; 'Hulp (overig)'!$C$16 &amp; "'!B1:B1000"))
        )
    ),0) &lt; 1,
    "",
    IF(INDEX(
        INDIRECT("'" &amp; 'Hulp (overig)'!$C$16 &amp; "'!" &amp;
        'Hulp (overig)'!$C$17 &amp; "1:" &amp; 'Hulp (overig)'!$C$17 &amp; 1000
        ),
        IFERROR(MIN(
            IF(
                (TRIM(INDIRECT("'" &amp; 'Hulp (overig)'!$C$16 &amp; "'!B1:B1000")) = TEXT(M182,"0")) *
                (ROW(INDIRECT("'" &amp; 'Hulp (overig)'!$C$16 &amp; "'!B1:B1000")) &gt;= MATCH(
                    M180,
                    INDIRECT("'" &amp; 'Hulp (overig)'!$C$16 &amp; "'!A1:A1000"),
                    0
                )) *
                IF(
                    N180="",
                    1,
                    (ROW(INDIRECT("'" &amp; 'Hulp (overig)'!$C$16 &amp; "'!B1:B1000")) &lt; MATCH(
                        N180,
                        INDIRECT("'" &amp; 'Hulp (overig)'!$C$16 &amp; "'!A1:A1000"),
                        0
                    ))
                ),
                ROW(INDIRECT("'" &amp; 'Hulp (overig)'!$C$16 &amp; "'!B1:B1000"))
            )
        ),0)
    )=0,"",
INDEX(
        INDIRECT("'" &amp; 'Hulp (overig)'!$C$16 &amp; "'!" &amp;
        'Hulp (overig)'!$C$17 &amp; "1:" &amp; 'Hulp (overig)'!$C$17 &amp; 1000
        ),
        IFERROR(MIN(
            IF(
                (TRIM(INDIRECT("'" &amp; 'Hulp (overig)'!$C$16 &amp; "'!B1:B1000")) = TEXT(M182,"0")) *
                (ROW(INDIRECT("'" &amp; 'Hulp (overig)'!$C$16 &amp; "'!B1:B1000")) &gt;= MATCH(
                    M180,
                    INDIRECT("'" &amp; 'Hulp (overig)'!$C$16 &amp; "'!A1:A1000"),
                    0
                )) *
                IF(
                    N180="",
                    1,
                    (ROW(INDIRECT("'" &amp; 'Hulp (overig)'!$C$16 &amp; "'!B1:B1000")) &lt; MATCH(
                        N180,
                        INDIRECT("'" &amp; 'Hulp (overig)'!$C$16 &amp; "'!A1:A1000"),
                        0
                    ))
                ),
                ROW(INDIRECT("'" &amp; 'Hulp (overig)'!$C$16 &amp; "'!B1:B1000"))
            )
        ),0)
    ))
))))</f>
        <v>#VALUE!</v>
      </c>
      <c r="N183" s="425" t="e" cm="1">
        <f t="array" aca="1" ref="N183" ca="1">IF($BF183, IF(N180="","",
   INDEX(
      INDIRECT("'" &amp; 'Hulp (CAO''s)'!$AE$8 &amp; "'!" &amp;
               'Hulp (overig)'!$C$17 &amp; "1:" &amp;
               'Hulp (overig)'!$C$17 &amp; "1000"),
      MATCH(
         N180,
         INDIRECT("'" &amp; 'Hulp (CAO''s)'!$AE$8 &amp; "'!A1:A1000"),
         0
      )
   )
), IF($D181="Gebruik % van maximum salaris",
IF(
    OR(N180="",N181=""),
    "",
    MAX(
        INDIRECT(
            "'" &amp; 'Hulp (overig)'!$C$16 &amp; "'!" &amp;
            'Hulp (overig)'!$C$17 &amp;
            MATCH(N180, INDIRECT("'" &amp; 'Hulp (overig)'!$C$16 &amp; "'!A1:A1000"), 0) &amp;
            ":" &amp;
            'Hulp (overig)'!$C$17 &amp;
LOOKUP(
    2,
    1 / (
        (ROW(INDIRECT("'" &amp; 'Hulp (overig)'!$C$16 &amp; "'!B1:B1000")) &lt;
            IF(O180&lt;&gt;"",
               MATCH(O180, INDIRECT("'" &amp; 'Hulp (overig)'!$C$16 &amp; "'!A1:A1000"),0),
               1000
            )
        ) *
        (LEFT(TRIM(INDIRECT("'" &amp; 'Hulp (overig)'!$C$16 &amp; "'!B1:B1000")),1) &lt;&gt; "u")
    ),
    ROW(INDIRECT("'" &amp; 'Hulp (overig)'!$C$16 &amp; "'!B1:B1000"))
)
        )
    ) * N181
),
IF(N182="","",
IF(
    IFERROR(MIN(
        IF(
            (TRIM(INDIRECT("'" &amp; 'Hulp (overig)'!$C$16 &amp; "'!B1:B1000")) = TEXT(N182,"0")) *
            (ROW(INDIRECT("'" &amp; 'Hulp (overig)'!$C$16 &amp; "'!B1:B1000")) &gt;= MATCH(
                N180,
                INDIRECT("'" &amp; 'Hulp (overig)'!$C$16 &amp; "'!A1:A1000"),
                0
            )) *
            IF(
                O180="",
                1,
                (ROW(INDIRECT("'" &amp; 'Hulp (overig)'!$C$16 &amp; "'!B1:B1000")) &lt; MATCH(
                    O180,
                    INDIRECT("'" &amp; 'Hulp (overig)'!$C$16 &amp; "'!A1:A1000"),
                    0
                ))
            ),
            ROW(INDIRECT("'" &amp; 'Hulp (overig)'!$C$16 &amp; "'!B1:B1000"))
        )
    ),0) &lt; 1,
    "",
    IF(INDEX(
        INDIRECT("'" &amp; 'Hulp (overig)'!$C$16 &amp; "'!" &amp;
        'Hulp (overig)'!$C$17 &amp; "1:" &amp; 'Hulp (overig)'!$C$17 &amp; 1000
        ),
        IFERROR(MIN(
            IF(
                (TRIM(INDIRECT("'" &amp; 'Hulp (overig)'!$C$16 &amp; "'!B1:B1000")) = TEXT(N182,"0")) *
                (ROW(INDIRECT("'" &amp; 'Hulp (overig)'!$C$16 &amp; "'!B1:B1000")) &gt;= MATCH(
                    N180,
                    INDIRECT("'" &amp; 'Hulp (overig)'!$C$16 &amp; "'!A1:A1000"),
                    0
                )) *
                IF(
                    O180="",
                    1,
                    (ROW(INDIRECT("'" &amp; 'Hulp (overig)'!$C$16 &amp; "'!B1:B1000")) &lt; MATCH(
                        O180,
                        INDIRECT("'" &amp; 'Hulp (overig)'!$C$16 &amp; "'!A1:A1000"),
                        0
                    ))
                ),
                ROW(INDIRECT("'" &amp; 'Hulp (overig)'!$C$16 &amp; "'!B1:B1000"))
            )
        ),0)
    )=0,"",
INDEX(
        INDIRECT("'" &amp; 'Hulp (overig)'!$C$16 &amp; "'!" &amp;
        'Hulp (overig)'!$C$17 &amp; "1:" &amp; 'Hulp (overig)'!$C$17 &amp; 1000
        ),
        IFERROR(MIN(
            IF(
                (TRIM(INDIRECT("'" &amp; 'Hulp (overig)'!$C$16 &amp; "'!B1:B1000")) = TEXT(N182,"0")) *
                (ROW(INDIRECT("'" &amp; 'Hulp (overig)'!$C$16 &amp; "'!B1:B1000")) &gt;= MATCH(
                    N180,
                    INDIRECT("'" &amp; 'Hulp (overig)'!$C$16 &amp; "'!A1:A1000"),
                    0
                )) *
                IF(
                    O180="",
                    1,
                    (ROW(INDIRECT("'" &amp; 'Hulp (overig)'!$C$16 &amp; "'!B1:B1000")) &lt; MATCH(
                        O180,
                        INDIRECT("'" &amp; 'Hulp (overig)'!$C$16 &amp; "'!A1:A1000"),
                        0
                    ))
                ),
                ROW(INDIRECT("'" &amp; 'Hulp (overig)'!$C$16 &amp; "'!B1:B1000"))
            )
        ),0)
    ))
))))</f>
        <v>#VALUE!</v>
      </c>
      <c r="O183" s="425" t="e" cm="1">
        <f t="array" aca="1" ref="O183" ca="1">IF($BF183, IF(O180="","",
   INDEX(
      INDIRECT("'" &amp; 'Hulp (CAO''s)'!$AE$8 &amp; "'!" &amp;
               'Hulp (overig)'!$C$17 &amp; "1:" &amp;
               'Hulp (overig)'!$C$17 &amp; "1000"),
      MATCH(
         O180,
         INDIRECT("'" &amp; 'Hulp (CAO''s)'!$AE$8 &amp; "'!A1:A1000"),
         0
      )
   )
), IF($D181="Gebruik % van maximum salaris",
IF(
    OR(O180="",O181=""),
    "",
    MAX(
        INDIRECT(
            "'" &amp; 'Hulp (overig)'!$C$16 &amp; "'!" &amp;
            'Hulp (overig)'!$C$17 &amp;
            MATCH(O180, INDIRECT("'" &amp; 'Hulp (overig)'!$C$16 &amp; "'!A1:A1000"), 0) &amp;
            ":" &amp;
            'Hulp (overig)'!$C$17 &amp;
LOOKUP(
    2,
    1 / (
        (ROW(INDIRECT("'" &amp; 'Hulp (overig)'!$C$16 &amp; "'!B1:B1000")) &lt;
            IF(P180&lt;&gt;"",
               MATCH(P180, INDIRECT("'" &amp; 'Hulp (overig)'!$C$16 &amp; "'!A1:A1000"),0),
               1000
            )
        ) *
        (LEFT(TRIM(INDIRECT("'" &amp; 'Hulp (overig)'!$C$16 &amp; "'!B1:B1000")),1) &lt;&gt; "u")
    ),
    ROW(INDIRECT("'" &amp; 'Hulp (overig)'!$C$16 &amp; "'!B1:B1000"))
)
        )
    ) * O181
),
IF(O182="","",
IF(
    IFERROR(MIN(
        IF(
            (TRIM(INDIRECT("'" &amp; 'Hulp (overig)'!$C$16 &amp; "'!B1:B1000")) = TEXT(O182,"0")) *
            (ROW(INDIRECT("'" &amp; 'Hulp (overig)'!$C$16 &amp; "'!B1:B1000")) &gt;= MATCH(
                O180,
                INDIRECT("'" &amp; 'Hulp (overig)'!$C$16 &amp; "'!A1:A1000"),
                0
            )) *
            IF(
                P180="",
                1,
                (ROW(INDIRECT("'" &amp; 'Hulp (overig)'!$C$16 &amp; "'!B1:B1000")) &lt; MATCH(
                    P180,
                    INDIRECT("'" &amp; 'Hulp (overig)'!$C$16 &amp; "'!A1:A1000"),
                    0
                ))
            ),
            ROW(INDIRECT("'" &amp; 'Hulp (overig)'!$C$16 &amp; "'!B1:B1000"))
        )
    ),0) &lt; 1,
    "",
    IF(INDEX(
        INDIRECT("'" &amp; 'Hulp (overig)'!$C$16 &amp; "'!" &amp;
        'Hulp (overig)'!$C$17 &amp; "1:" &amp; 'Hulp (overig)'!$C$17 &amp; 1000
        ),
        IFERROR(MIN(
            IF(
                (TRIM(INDIRECT("'" &amp; 'Hulp (overig)'!$C$16 &amp; "'!B1:B1000")) = TEXT(O182,"0")) *
                (ROW(INDIRECT("'" &amp; 'Hulp (overig)'!$C$16 &amp; "'!B1:B1000")) &gt;= MATCH(
                    O180,
                    INDIRECT("'" &amp; 'Hulp (overig)'!$C$16 &amp; "'!A1:A1000"),
                    0
                )) *
                IF(
                    P180="",
                    1,
                    (ROW(INDIRECT("'" &amp; 'Hulp (overig)'!$C$16 &amp; "'!B1:B1000")) &lt; MATCH(
                        P180,
                        INDIRECT("'" &amp; 'Hulp (overig)'!$C$16 &amp; "'!A1:A1000"),
                        0
                    ))
                ),
                ROW(INDIRECT("'" &amp; 'Hulp (overig)'!$C$16 &amp; "'!B1:B1000"))
            )
        ),0)
    )=0,"",
INDEX(
        INDIRECT("'" &amp; 'Hulp (overig)'!$C$16 &amp; "'!" &amp;
        'Hulp (overig)'!$C$17 &amp; "1:" &amp; 'Hulp (overig)'!$C$17 &amp; 1000
        ),
        IFERROR(MIN(
            IF(
                (TRIM(INDIRECT("'" &amp; 'Hulp (overig)'!$C$16 &amp; "'!B1:B1000")) = TEXT(O182,"0")) *
                (ROW(INDIRECT("'" &amp; 'Hulp (overig)'!$C$16 &amp; "'!B1:B1000")) &gt;= MATCH(
                    O180,
                    INDIRECT("'" &amp; 'Hulp (overig)'!$C$16 &amp; "'!A1:A1000"),
                    0
                )) *
                IF(
                    P180="",
                    1,
                    (ROW(INDIRECT("'" &amp; 'Hulp (overig)'!$C$16 &amp; "'!B1:B1000")) &lt; MATCH(
                        P180,
                        INDIRECT("'" &amp; 'Hulp (overig)'!$C$16 &amp; "'!A1:A1000"),
                        0
                    ))
                ),
                ROW(INDIRECT("'" &amp; 'Hulp (overig)'!$C$16 &amp; "'!B1:B1000"))
            )
        ),0)
    ))
))))</f>
        <v>#VALUE!</v>
      </c>
      <c r="P183" s="425" t="e" cm="1">
        <f t="array" aca="1" ref="P183" ca="1">IF($BF183, IF(P180="","",
   INDEX(
      INDIRECT("'" &amp; 'Hulp (CAO''s)'!$AE$8 &amp; "'!" &amp;
               'Hulp (overig)'!$C$17 &amp; "1:" &amp;
               'Hulp (overig)'!$C$17 &amp; "1000"),
      MATCH(
         P180,
         INDIRECT("'" &amp; 'Hulp (CAO''s)'!$AE$8 &amp; "'!A1:A1000"),
         0
      )
   )
), IF($D181="Gebruik % van maximum salaris",
IF(
    OR(P180="",P181=""),
    "",
    MAX(
        INDIRECT(
            "'" &amp; 'Hulp (overig)'!$C$16 &amp; "'!" &amp;
            'Hulp (overig)'!$C$17 &amp;
            MATCH(P180, INDIRECT("'" &amp; 'Hulp (overig)'!$C$16 &amp; "'!A1:A1000"), 0) &amp;
            ":" &amp;
            'Hulp (overig)'!$C$17 &amp;
LOOKUP(
    2,
    1 / (
        (ROW(INDIRECT("'" &amp; 'Hulp (overig)'!$C$16 &amp; "'!B1:B1000")) &lt;
            IF(Q180&lt;&gt;"",
               MATCH(Q180, INDIRECT("'" &amp; 'Hulp (overig)'!$C$16 &amp; "'!A1:A1000"),0),
               1000
            )
        ) *
        (LEFT(TRIM(INDIRECT("'" &amp; 'Hulp (overig)'!$C$16 &amp; "'!B1:B1000")),1) &lt;&gt; "u")
    ),
    ROW(INDIRECT("'" &amp; 'Hulp (overig)'!$C$16 &amp; "'!B1:B1000"))
)
        )
    ) * P181
),
IF(P182="","",
IF(
    IFERROR(MIN(
        IF(
            (TRIM(INDIRECT("'" &amp; 'Hulp (overig)'!$C$16 &amp; "'!B1:B1000")) = TEXT(P182,"0")) *
            (ROW(INDIRECT("'" &amp; 'Hulp (overig)'!$C$16 &amp; "'!B1:B1000")) &gt;= MATCH(
                P180,
                INDIRECT("'" &amp; 'Hulp (overig)'!$C$16 &amp; "'!A1:A1000"),
                0
            )) *
            IF(
                Q180="",
                1,
                (ROW(INDIRECT("'" &amp; 'Hulp (overig)'!$C$16 &amp; "'!B1:B1000")) &lt; MATCH(
                    Q180,
                    INDIRECT("'" &amp; 'Hulp (overig)'!$C$16 &amp; "'!A1:A1000"),
                    0
                ))
            ),
            ROW(INDIRECT("'" &amp; 'Hulp (overig)'!$C$16 &amp; "'!B1:B1000"))
        )
    ),0) &lt; 1,
    "",
    IF(INDEX(
        INDIRECT("'" &amp; 'Hulp (overig)'!$C$16 &amp; "'!" &amp;
        'Hulp (overig)'!$C$17 &amp; "1:" &amp; 'Hulp (overig)'!$C$17 &amp; 1000
        ),
        IFERROR(MIN(
            IF(
                (TRIM(INDIRECT("'" &amp; 'Hulp (overig)'!$C$16 &amp; "'!B1:B1000")) = TEXT(P182,"0")) *
                (ROW(INDIRECT("'" &amp; 'Hulp (overig)'!$C$16 &amp; "'!B1:B1000")) &gt;= MATCH(
                    P180,
                    INDIRECT("'" &amp; 'Hulp (overig)'!$C$16 &amp; "'!A1:A1000"),
                    0
                )) *
                IF(
                    Q180="",
                    1,
                    (ROW(INDIRECT("'" &amp; 'Hulp (overig)'!$C$16 &amp; "'!B1:B1000")) &lt; MATCH(
                        Q180,
                        INDIRECT("'" &amp; 'Hulp (overig)'!$C$16 &amp; "'!A1:A1000"),
                        0
                    ))
                ),
                ROW(INDIRECT("'" &amp; 'Hulp (overig)'!$C$16 &amp; "'!B1:B1000"))
            )
        ),0)
    )=0,"",
INDEX(
        INDIRECT("'" &amp; 'Hulp (overig)'!$C$16 &amp; "'!" &amp;
        'Hulp (overig)'!$C$17 &amp; "1:" &amp; 'Hulp (overig)'!$C$17 &amp; 1000
        ),
        IFERROR(MIN(
            IF(
                (TRIM(INDIRECT("'" &amp; 'Hulp (overig)'!$C$16 &amp; "'!B1:B1000")) = TEXT(P182,"0")) *
                (ROW(INDIRECT("'" &amp; 'Hulp (overig)'!$C$16 &amp; "'!B1:B1000")) &gt;= MATCH(
                    P180,
                    INDIRECT("'" &amp; 'Hulp (overig)'!$C$16 &amp; "'!A1:A1000"),
                    0
                )) *
                IF(
                    Q180="",
                    1,
                    (ROW(INDIRECT("'" &amp; 'Hulp (overig)'!$C$16 &amp; "'!B1:B1000")) &lt; MATCH(
                        Q180,
                        INDIRECT("'" &amp; 'Hulp (overig)'!$C$16 &amp; "'!A1:A1000"),
                        0
                    ))
                ),
                ROW(INDIRECT("'" &amp; 'Hulp (overig)'!$C$16 &amp; "'!B1:B1000"))
            )
        ),0)
    ))
))))</f>
        <v>#VALUE!</v>
      </c>
      <c r="Q183" s="425" t="e" cm="1">
        <f t="array" aca="1" ref="Q183" ca="1">IF($BF183, IF(Q180="","",
   INDEX(
      INDIRECT("'" &amp; 'Hulp (CAO''s)'!$AE$8 &amp; "'!" &amp;
               'Hulp (overig)'!$C$17 &amp; "1:" &amp;
               'Hulp (overig)'!$C$17 &amp; "1000"),
      MATCH(
         Q180,
         INDIRECT("'" &amp; 'Hulp (CAO''s)'!$AE$8 &amp; "'!A1:A1000"),
         0
      )
   )
), IF($D181="Gebruik % van maximum salaris",
IF(
    OR(Q180="",Q181=""),
    "",
    MAX(
        INDIRECT(
            "'" &amp; 'Hulp (overig)'!$C$16 &amp; "'!" &amp;
            'Hulp (overig)'!$C$17 &amp;
            MATCH(Q180, INDIRECT("'" &amp; 'Hulp (overig)'!$C$16 &amp; "'!A1:A1000"), 0) &amp;
            ":" &amp;
            'Hulp (overig)'!$C$17 &amp;
LOOKUP(
    2,
    1 / (
        (ROW(INDIRECT("'" &amp; 'Hulp (overig)'!$C$16 &amp; "'!B1:B1000")) &lt;
            IF(R180&lt;&gt;"",
               MATCH(R180, INDIRECT("'" &amp; 'Hulp (overig)'!$C$16 &amp; "'!A1:A1000"),0),
               1000
            )
        ) *
        (LEFT(TRIM(INDIRECT("'" &amp; 'Hulp (overig)'!$C$16 &amp; "'!B1:B1000")),1) &lt;&gt; "u")
    ),
    ROW(INDIRECT("'" &amp; 'Hulp (overig)'!$C$16 &amp; "'!B1:B1000"))
)
        )
    ) * Q181
),
IF(Q182="","",
IF(
    IFERROR(MIN(
        IF(
            (TRIM(INDIRECT("'" &amp; 'Hulp (overig)'!$C$16 &amp; "'!B1:B1000")) = TEXT(Q182,"0")) *
            (ROW(INDIRECT("'" &amp; 'Hulp (overig)'!$C$16 &amp; "'!B1:B1000")) &gt;= MATCH(
                Q180,
                INDIRECT("'" &amp; 'Hulp (overig)'!$C$16 &amp; "'!A1:A1000"),
                0
            )) *
            IF(
                R180="",
                1,
                (ROW(INDIRECT("'" &amp; 'Hulp (overig)'!$C$16 &amp; "'!B1:B1000")) &lt; MATCH(
                    R180,
                    INDIRECT("'" &amp; 'Hulp (overig)'!$C$16 &amp; "'!A1:A1000"),
                    0
                ))
            ),
            ROW(INDIRECT("'" &amp; 'Hulp (overig)'!$C$16 &amp; "'!B1:B1000"))
        )
    ),0) &lt; 1,
    "",
    IF(INDEX(
        INDIRECT("'" &amp; 'Hulp (overig)'!$C$16 &amp; "'!" &amp;
        'Hulp (overig)'!$C$17 &amp; "1:" &amp; 'Hulp (overig)'!$C$17 &amp; 1000
        ),
        IFERROR(MIN(
            IF(
                (TRIM(INDIRECT("'" &amp; 'Hulp (overig)'!$C$16 &amp; "'!B1:B1000")) = TEXT(Q182,"0")) *
                (ROW(INDIRECT("'" &amp; 'Hulp (overig)'!$C$16 &amp; "'!B1:B1000")) &gt;= MATCH(
                    Q180,
                    INDIRECT("'" &amp; 'Hulp (overig)'!$C$16 &amp; "'!A1:A1000"),
                    0
                )) *
                IF(
                    R180="",
                    1,
                    (ROW(INDIRECT("'" &amp; 'Hulp (overig)'!$C$16 &amp; "'!B1:B1000")) &lt; MATCH(
                        R180,
                        INDIRECT("'" &amp; 'Hulp (overig)'!$C$16 &amp; "'!A1:A1000"),
                        0
                    ))
                ),
                ROW(INDIRECT("'" &amp; 'Hulp (overig)'!$C$16 &amp; "'!B1:B1000"))
            )
        ),0)
    )=0,"",
INDEX(
        INDIRECT("'" &amp; 'Hulp (overig)'!$C$16 &amp; "'!" &amp;
        'Hulp (overig)'!$C$17 &amp; "1:" &amp; 'Hulp (overig)'!$C$17 &amp; 1000
        ),
        IFERROR(MIN(
            IF(
                (TRIM(INDIRECT("'" &amp; 'Hulp (overig)'!$C$16 &amp; "'!B1:B1000")) = TEXT(Q182,"0")) *
                (ROW(INDIRECT("'" &amp; 'Hulp (overig)'!$C$16 &amp; "'!B1:B1000")) &gt;= MATCH(
                    Q180,
                    INDIRECT("'" &amp; 'Hulp (overig)'!$C$16 &amp; "'!A1:A1000"),
                    0
                )) *
                IF(
                    R180="",
                    1,
                    (ROW(INDIRECT("'" &amp; 'Hulp (overig)'!$C$16 &amp; "'!B1:B1000")) &lt; MATCH(
                        R180,
                        INDIRECT("'" &amp; 'Hulp (overig)'!$C$16 &amp; "'!A1:A1000"),
                        0
                    ))
                ),
                ROW(INDIRECT("'" &amp; 'Hulp (overig)'!$C$16 &amp; "'!B1:B1000"))
            )
        ),0)
    ))
))))</f>
        <v>#VALUE!</v>
      </c>
      <c r="R183" s="425" t="e" cm="1">
        <f t="array" aca="1" ref="R183" ca="1">IF($BF183, IF(R180="","",
   INDEX(
      INDIRECT("'" &amp; 'Hulp (CAO''s)'!$AE$8 &amp; "'!" &amp;
               'Hulp (overig)'!$C$17 &amp; "1:" &amp;
               'Hulp (overig)'!$C$17 &amp; "1000"),
      MATCH(
         R180,
         INDIRECT("'" &amp; 'Hulp (CAO''s)'!$AE$8 &amp; "'!A1:A1000"),
         0
      )
   )
), IF($D181="Gebruik % van maximum salaris",
IF(
    OR(R180="",R181=""),
    "",
    MAX(
        INDIRECT(
            "'" &amp; 'Hulp (overig)'!$C$16 &amp; "'!" &amp;
            'Hulp (overig)'!$C$17 &amp;
            MATCH(R180, INDIRECT("'" &amp; 'Hulp (overig)'!$C$16 &amp; "'!A1:A1000"), 0) &amp;
            ":" &amp;
            'Hulp (overig)'!$C$17 &amp;
LOOKUP(
    2,
    1 / (
        (ROW(INDIRECT("'" &amp; 'Hulp (overig)'!$C$16 &amp; "'!B1:B1000")) &lt;
            IF(S180&lt;&gt;"",
               MATCH(S180, INDIRECT("'" &amp; 'Hulp (overig)'!$C$16 &amp; "'!A1:A1000"),0),
               1000
            )
        ) *
        (LEFT(TRIM(INDIRECT("'" &amp; 'Hulp (overig)'!$C$16 &amp; "'!B1:B1000")),1) &lt;&gt; "u")
    ),
    ROW(INDIRECT("'" &amp; 'Hulp (overig)'!$C$16 &amp; "'!B1:B1000"))
)
        )
    ) * R181
),
IF(R182="","",
IF(
    IFERROR(MIN(
        IF(
            (TRIM(INDIRECT("'" &amp; 'Hulp (overig)'!$C$16 &amp; "'!B1:B1000")) = TEXT(R182,"0")) *
            (ROW(INDIRECT("'" &amp; 'Hulp (overig)'!$C$16 &amp; "'!B1:B1000")) &gt;= MATCH(
                R180,
                INDIRECT("'" &amp; 'Hulp (overig)'!$C$16 &amp; "'!A1:A1000"),
                0
            )) *
            IF(
                S180="",
                1,
                (ROW(INDIRECT("'" &amp; 'Hulp (overig)'!$C$16 &amp; "'!B1:B1000")) &lt; MATCH(
                    S180,
                    INDIRECT("'" &amp; 'Hulp (overig)'!$C$16 &amp; "'!A1:A1000"),
                    0
                ))
            ),
            ROW(INDIRECT("'" &amp; 'Hulp (overig)'!$C$16 &amp; "'!B1:B1000"))
        )
    ),0) &lt; 1,
    "",
    IF(INDEX(
        INDIRECT("'" &amp; 'Hulp (overig)'!$C$16 &amp; "'!" &amp;
        'Hulp (overig)'!$C$17 &amp; "1:" &amp; 'Hulp (overig)'!$C$17 &amp; 1000
        ),
        IFERROR(MIN(
            IF(
                (TRIM(INDIRECT("'" &amp; 'Hulp (overig)'!$C$16 &amp; "'!B1:B1000")) = TEXT(R182,"0")) *
                (ROW(INDIRECT("'" &amp; 'Hulp (overig)'!$C$16 &amp; "'!B1:B1000")) &gt;= MATCH(
                    R180,
                    INDIRECT("'" &amp; 'Hulp (overig)'!$C$16 &amp; "'!A1:A1000"),
                    0
                )) *
                IF(
                    S180="",
                    1,
                    (ROW(INDIRECT("'" &amp; 'Hulp (overig)'!$C$16 &amp; "'!B1:B1000")) &lt; MATCH(
                        S180,
                        INDIRECT("'" &amp; 'Hulp (overig)'!$C$16 &amp; "'!A1:A1000"),
                        0
                    ))
                ),
                ROW(INDIRECT("'" &amp; 'Hulp (overig)'!$C$16 &amp; "'!B1:B1000"))
            )
        ),0)
    )=0,"",
INDEX(
        INDIRECT("'" &amp; 'Hulp (overig)'!$C$16 &amp; "'!" &amp;
        'Hulp (overig)'!$C$17 &amp; "1:" &amp; 'Hulp (overig)'!$C$17 &amp; 1000
        ),
        IFERROR(MIN(
            IF(
                (TRIM(INDIRECT("'" &amp; 'Hulp (overig)'!$C$16 &amp; "'!B1:B1000")) = TEXT(R182,"0")) *
                (ROW(INDIRECT("'" &amp; 'Hulp (overig)'!$C$16 &amp; "'!B1:B1000")) &gt;= MATCH(
                    R180,
                    INDIRECT("'" &amp; 'Hulp (overig)'!$C$16 &amp; "'!A1:A1000"),
                    0
                )) *
                IF(
                    S180="",
                    1,
                    (ROW(INDIRECT("'" &amp; 'Hulp (overig)'!$C$16 &amp; "'!B1:B1000")) &lt; MATCH(
                        S180,
                        INDIRECT("'" &amp; 'Hulp (overig)'!$C$16 &amp; "'!A1:A1000"),
                        0
                    ))
                ),
                ROW(INDIRECT("'" &amp; 'Hulp (overig)'!$C$16 &amp; "'!B1:B1000"))
            )
        ),0)
    ))
))))</f>
        <v>#VALUE!</v>
      </c>
      <c r="S183" s="425" t="e" cm="1">
        <f t="array" aca="1" ref="S183" ca="1">IF($BF183, IF(S180="","",
   INDEX(
      INDIRECT("'" &amp; 'Hulp (CAO''s)'!$AE$8 &amp; "'!" &amp;
               'Hulp (overig)'!$C$17 &amp; "1:" &amp;
               'Hulp (overig)'!$C$17 &amp; "1000"),
      MATCH(
         S180,
         INDIRECT("'" &amp; 'Hulp (CAO''s)'!$AE$8 &amp; "'!A1:A1000"),
         0
      )
   )
), IF($D181="Gebruik % van maximum salaris",
IF(
    OR(S180="",S181=""),
    "",
    MAX(
        INDIRECT(
            "'" &amp; 'Hulp (overig)'!$C$16 &amp; "'!" &amp;
            'Hulp (overig)'!$C$17 &amp;
            MATCH(S180, INDIRECT("'" &amp; 'Hulp (overig)'!$C$16 &amp; "'!A1:A1000"), 0) &amp;
            ":" &amp;
            'Hulp (overig)'!$C$17 &amp;
LOOKUP(
    2,
    1 / (
        (ROW(INDIRECT("'" &amp; 'Hulp (overig)'!$C$16 &amp; "'!B1:B1000")) &lt;
            IF(T180&lt;&gt;"",
               MATCH(T180, INDIRECT("'" &amp; 'Hulp (overig)'!$C$16 &amp; "'!A1:A1000"),0),
               1000
            )
        ) *
        (LEFT(TRIM(INDIRECT("'" &amp; 'Hulp (overig)'!$C$16 &amp; "'!B1:B1000")),1) &lt;&gt; "u")
    ),
    ROW(INDIRECT("'" &amp; 'Hulp (overig)'!$C$16 &amp; "'!B1:B1000"))
)
        )
    ) * S181
),
IF(S182="","",
IF(
    IFERROR(MIN(
        IF(
            (TRIM(INDIRECT("'" &amp; 'Hulp (overig)'!$C$16 &amp; "'!B1:B1000")) = TEXT(S182,"0")) *
            (ROW(INDIRECT("'" &amp; 'Hulp (overig)'!$C$16 &amp; "'!B1:B1000")) &gt;= MATCH(
                S180,
                INDIRECT("'" &amp; 'Hulp (overig)'!$C$16 &amp; "'!A1:A1000"),
                0
            )) *
            IF(
                T180="",
                1,
                (ROW(INDIRECT("'" &amp; 'Hulp (overig)'!$C$16 &amp; "'!B1:B1000")) &lt; MATCH(
                    T180,
                    INDIRECT("'" &amp; 'Hulp (overig)'!$C$16 &amp; "'!A1:A1000"),
                    0
                ))
            ),
            ROW(INDIRECT("'" &amp; 'Hulp (overig)'!$C$16 &amp; "'!B1:B1000"))
        )
    ),0) &lt; 1,
    "",
    IF(INDEX(
        INDIRECT("'" &amp; 'Hulp (overig)'!$C$16 &amp; "'!" &amp;
        'Hulp (overig)'!$C$17 &amp; "1:" &amp; 'Hulp (overig)'!$C$17 &amp; 1000
        ),
        IFERROR(MIN(
            IF(
                (TRIM(INDIRECT("'" &amp; 'Hulp (overig)'!$C$16 &amp; "'!B1:B1000")) = TEXT(S182,"0")) *
                (ROW(INDIRECT("'" &amp; 'Hulp (overig)'!$C$16 &amp; "'!B1:B1000")) &gt;= MATCH(
                    S180,
                    INDIRECT("'" &amp; 'Hulp (overig)'!$C$16 &amp; "'!A1:A1000"),
                    0
                )) *
                IF(
                    T180="",
                    1,
                    (ROW(INDIRECT("'" &amp; 'Hulp (overig)'!$C$16 &amp; "'!B1:B1000")) &lt; MATCH(
                        T180,
                        INDIRECT("'" &amp; 'Hulp (overig)'!$C$16 &amp; "'!A1:A1000"),
                        0
                    ))
                ),
                ROW(INDIRECT("'" &amp; 'Hulp (overig)'!$C$16 &amp; "'!B1:B1000"))
            )
        ),0)
    )=0,"",
INDEX(
        INDIRECT("'" &amp; 'Hulp (overig)'!$C$16 &amp; "'!" &amp;
        'Hulp (overig)'!$C$17 &amp; "1:" &amp; 'Hulp (overig)'!$C$17 &amp; 1000
        ),
        IFERROR(MIN(
            IF(
                (TRIM(INDIRECT("'" &amp; 'Hulp (overig)'!$C$16 &amp; "'!B1:B1000")) = TEXT(S182,"0")) *
                (ROW(INDIRECT("'" &amp; 'Hulp (overig)'!$C$16 &amp; "'!B1:B1000")) &gt;= MATCH(
                    S180,
                    INDIRECT("'" &amp; 'Hulp (overig)'!$C$16 &amp; "'!A1:A1000"),
                    0
                )) *
                IF(
                    T180="",
                    1,
                    (ROW(INDIRECT("'" &amp; 'Hulp (overig)'!$C$16 &amp; "'!B1:B1000")) &lt; MATCH(
                        T180,
                        INDIRECT("'" &amp; 'Hulp (overig)'!$C$16 &amp; "'!A1:A1000"),
                        0
                    ))
                ),
                ROW(INDIRECT("'" &amp; 'Hulp (overig)'!$C$16 &amp; "'!B1:B1000"))
            )
        ),0)
    ))
))))</f>
        <v>#VALUE!</v>
      </c>
      <c r="T183" s="425" t="e" cm="1">
        <f t="array" aca="1" ref="T183" ca="1">IF($BF183, IF(T180="","",
   INDEX(
      INDIRECT("'" &amp; 'Hulp (CAO''s)'!$AE$8 &amp; "'!" &amp;
               'Hulp (overig)'!$C$17 &amp; "1:" &amp;
               'Hulp (overig)'!$C$17 &amp; "1000"),
      MATCH(
         T180,
         INDIRECT("'" &amp; 'Hulp (CAO''s)'!$AE$8 &amp; "'!A1:A1000"),
         0
      )
   )
), IF($D181="Gebruik % van maximum salaris",
IF(
    OR(T180="",T181=""),
    "",
    MAX(
        INDIRECT(
            "'" &amp; 'Hulp (overig)'!$C$16 &amp; "'!" &amp;
            'Hulp (overig)'!$C$17 &amp;
            MATCH(T180, INDIRECT("'" &amp; 'Hulp (overig)'!$C$16 &amp; "'!A1:A1000"), 0) &amp;
            ":" &amp;
            'Hulp (overig)'!$C$17 &amp;
LOOKUP(
    2,
    1 / (
        (ROW(INDIRECT("'" &amp; 'Hulp (overig)'!$C$16 &amp; "'!B1:B1000")) &lt;
            IF(U180&lt;&gt;"",
               MATCH(U180, INDIRECT("'" &amp; 'Hulp (overig)'!$C$16 &amp; "'!A1:A1000"),0),
               1000
            )
        ) *
        (LEFT(TRIM(INDIRECT("'" &amp; 'Hulp (overig)'!$C$16 &amp; "'!B1:B1000")),1) &lt;&gt; "u")
    ),
    ROW(INDIRECT("'" &amp; 'Hulp (overig)'!$C$16 &amp; "'!B1:B1000"))
)
        )
    ) * T181
),
IF(T182="","",
IF(
    IFERROR(MIN(
        IF(
            (TRIM(INDIRECT("'" &amp; 'Hulp (overig)'!$C$16 &amp; "'!B1:B1000")) = TEXT(T182,"0")) *
            (ROW(INDIRECT("'" &amp; 'Hulp (overig)'!$C$16 &amp; "'!B1:B1000")) &gt;= MATCH(
                T180,
                INDIRECT("'" &amp; 'Hulp (overig)'!$C$16 &amp; "'!A1:A1000"),
                0
            )) *
            IF(
                U180="",
                1,
                (ROW(INDIRECT("'" &amp; 'Hulp (overig)'!$C$16 &amp; "'!B1:B1000")) &lt; MATCH(
                    U180,
                    INDIRECT("'" &amp; 'Hulp (overig)'!$C$16 &amp; "'!A1:A1000"),
                    0
                ))
            ),
            ROW(INDIRECT("'" &amp; 'Hulp (overig)'!$C$16 &amp; "'!B1:B1000"))
        )
    ),0) &lt; 1,
    "",
    IF(INDEX(
        INDIRECT("'" &amp; 'Hulp (overig)'!$C$16 &amp; "'!" &amp;
        'Hulp (overig)'!$C$17 &amp; "1:" &amp; 'Hulp (overig)'!$C$17 &amp; 1000
        ),
        IFERROR(MIN(
            IF(
                (TRIM(INDIRECT("'" &amp; 'Hulp (overig)'!$C$16 &amp; "'!B1:B1000")) = TEXT(T182,"0")) *
                (ROW(INDIRECT("'" &amp; 'Hulp (overig)'!$C$16 &amp; "'!B1:B1000")) &gt;= MATCH(
                    T180,
                    INDIRECT("'" &amp; 'Hulp (overig)'!$C$16 &amp; "'!A1:A1000"),
                    0
                )) *
                IF(
                    U180="",
                    1,
                    (ROW(INDIRECT("'" &amp; 'Hulp (overig)'!$C$16 &amp; "'!B1:B1000")) &lt; MATCH(
                        U180,
                        INDIRECT("'" &amp; 'Hulp (overig)'!$C$16 &amp; "'!A1:A1000"),
                        0
                    ))
                ),
                ROW(INDIRECT("'" &amp; 'Hulp (overig)'!$C$16 &amp; "'!B1:B1000"))
            )
        ),0)
    )=0,"",
INDEX(
        INDIRECT("'" &amp; 'Hulp (overig)'!$C$16 &amp; "'!" &amp;
        'Hulp (overig)'!$C$17 &amp; "1:" &amp; 'Hulp (overig)'!$C$17 &amp; 1000
        ),
        IFERROR(MIN(
            IF(
                (TRIM(INDIRECT("'" &amp; 'Hulp (overig)'!$C$16 &amp; "'!B1:B1000")) = TEXT(T182,"0")) *
                (ROW(INDIRECT("'" &amp; 'Hulp (overig)'!$C$16 &amp; "'!B1:B1000")) &gt;= MATCH(
                    T180,
                    INDIRECT("'" &amp; 'Hulp (overig)'!$C$16 &amp; "'!A1:A1000"),
                    0
                )) *
                IF(
                    U180="",
                    1,
                    (ROW(INDIRECT("'" &amp; 'Hulp (overig)'!$C$16 &amp; "'!B1:B1000")) &lt; MATCH(
                        U180,
                        INDIRECT("'" &amp; 'Hulp (overig)'!$C$16 &amp; "'!A1:A1000"),
                        0
                    ))
                ),
                ROW(INDIRECT("'" &amp; 'Hulp (overig)'!$C$16 &amp; "'!B1:B1000"))
            )
        ),0)
    ))
))))</f>
        <v>#VALUE!</v>
      </c>
      <c r="U183" s="723" t="e" cm="1">
        <f t="array" aca="1" ref="U183" ca="1">IF($BF183, IF(U180="","",
   INDEX(
      INDIRECT("'" &amp; 'Hulp (CAO''s)'!$AE$8 &amp; "'!" &amp;
               'Hulp (overig)'!$C$17 &amp; "1:" &amp;
               'Hulp (overig)'!$C$17 &amp; "1000"),
      MATCH(
         U180,
         INDIRECT("'" &amp; 'Hulp (CAO''s)'!$AE$8 &amp; "'!A1:A1000"),
         0
      )
   )
), IF($D181="Gebruik % van maximum salaris",
IF(
    OR(U180="",U181=""),
    "",
    MAX(
        INDIRECT(
            "'" &amp; 'Hulp (overig)'!$C$16 &amp; "'!" &amp;
            'Hulp (overig)'!$C$17 &amp;
            MATCH(U180, INDIRECT("'" &amp; 'Hulp (overig)'!$C$16 &amp; "'!A1:A1000"), 0) &amp;
            ":" &amp;
            'Hulp (overig)'!$C$17 &amp;
LOOKUP(
    2,
    1 / (
        (ROW(INDIRECT("'" &amp; 'Hulp (overig)'!$C$16 &amp; "'!B1:B1000")) &lt;
            IF(V180&lt;&gt;"",
               MATCH(V180, INDIRECT("'" &amp; 'Hulp (overig)'!$C$16 &amp; "'!A1:A1000"),0),
               1000
            )
        ) *
        (LEFT(TRIM(INDIRECT("'" &amp; 'Hulp (overig)'!$C$16 &amp; "'!B1:B1000")),1) &lt;&gt; "u")
    ),
    ROW(INDIRECT("'" &amp; 'Hulp (overig)'!$C$16 &amp; "'!B1:B1000"))
)
        )
    ) * U181
),
IF(U182="","",
IF(
    IFERROR(MIN(
        IF(
            (TRIM(INDIRECT("'" &amp; 'Hulp (overig)'!$C$16 &amp; "'!B1:B1000")) = TEXT(U182,"0")) *
            (ROW(INDIRECT("'" &amp; 'Hulp (overig)'!$C$16 &amp; "'!B1:B1000")) &gt;= MATCH(
                U180,
                INDIRECT("'" &amp; 'Hulp (overig)'!$C$16 &amp; "'!A1:A1000"),
                0
            )) *
            IF(
                V180="",
                1,
                (ROW(INDIRECT("'" &amp; 'Hulp (overig)'!$C$16 &amp; "'!B1:B1000")) &lt; MATCH(
                    V180,
                    INDIRECT("'" &amp; 'Hulp (overig)'!$C$16 &amp; "'!A1:A1000"),
                    0
                ))
            ),
            ROW(INDIRECT("'" &amp; 'Hulp (overig)'!$C$16 &amp; "'!B1:B1000"))
        )
    ),0) &lt; 1,
    "",
    IF(INDEX(
        INDIRECT("'" &amp; 'Hulp (overig)'!$C$16 &amp; "'!" &amp;
        'Hulp (overig)'!$C$17 &amp; "1:" &amp; 'Hulp (overig)'!$C$17 &amp; 1000
        ),
        IFERROR(MIN(
            IF(
                (TRIM(INDIRECT("'" &amp; 'Hulp (overig)'!$C$16 &amp; "'!B1:B1000")) = TEXT(U182,"0")) *
                (ROW(INDIRECT("'" &amp; 'Hulp (overig)'!$C$16 &amp; "'!B1:B1000")) &gt;= MATCH(
                    U180,
                    INDIRECT("'" &amp; 'Hulp (overig)'!$C$16 &amp; "'!A1:A1000"),
                    0
                )) *
                IF(
                    V180="",
                    1,
                    (ROW(INDIRECT("'" &amp; 'Hulp (overig)'!$C$16 &amp; "'!B1:B1000")) &lt; MATCH(
                        V180,
                        INDIRECT("'" &amp; 'Hulp (overig)'!$C$16 &amp; "'!A1:A1000"),
                        0
                    ))
                ),
                ROW(INDIRECT("'" &amp; 'Hulp (overig)'!$C$16 &amp; "'!B1:B1000"))
            )
        ),0)
    )=0,"",
INDEX(
        INDIRECT("'" &amp; 'Hulp (overig)'!$C$16 &amp; "'!" &amp;
        'Hulp (overig)'!$C$17 &amp; "1:" &amp; 'Hulp (overig)'!$C$17 &amp; 1000
        ),
        IFERROR(MIN(
            IF(
                (TRIM(INDIRECT("'" &amp; 'Hulp (overig)'!$C$16 &amp; "'!B1:B1000")) = TEXT(U182,"0")) *
                (ROW(INDIRECT("'" &amp; 'Hulp (overig)'!$C$16 &amp; "'!B1:B1000")) &gt;= MATCH(
                    U180,
                    INDIRECT("'" &amp; 'Hulp (overig)'!$C$16 &amp; "'!A1:A1000"),
                    0
                )) *
                IF(
                    V180="",
                    1,
                    (ROW(INDIRECT("'" &amp; 'Hulp (overig)'!$C$16 &amp; "'!B1:B1000")) &lt; MATCH(
                        V180,
                        INDIRECT("'" &amp; 'Hulp (overig)'!$C$16 &amp; "'!A1:A1000"),
                        0
                    ))
                ),
                ROW(INDIRECT("'" &amp; 'Hulp (overig)'!$C$16 &amp; "'!B1:B1000"))
            )
        ),0)
    ))
))))</f>
        <v>#VALUE!</v>
      </c>
      <c r="V183" s="413" t="str" cm="1">
        <f t="array" ref="V183">IF(SUM(F184:U184)=0,"",
IF(SUM(F183:U183)=0,"",
IF(SUMPRODUCT((F184:U184&lt;&gt;0)*(F183:U183=""))&gt;0,"",
(
   SUMPRODUCT(
      IF(F183:U183="",0,F183:U183),
      IF(F184:U184="",0,F184:U184) / SUM(F184:U184)
   )
))))</f>
        <v/>
      </c>
      <c r="W183" s="418"/>
      <c r="X183" s="620"/>
      <c r="Y183" s="419" t="str">
        <f ca="1">IF(B180="","",
        IF(INDIRECT("'Hulp (control forms)'!C" &amp; (13 + INT((ROW()-ROW($B$5))/7))),
            IF(X183="","",X183),
            IF(V183="","",V183)
    )
)</f>
        <v/>
      </c>
      <c r="Z183" s="333"/>
      <c r="AA183" s="771"/>
      <c r="AB183" s="770"/>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c r="BA183" cm="1">
        <f t="array" aca="1" ref="BA183" ca="1">IF(
   SUM(Y183)=0,
   1,
   IF(
      N(INDIRECT("'Hulp (control forms)'!C"&amp;(13+INT((ROW()-ROW($B$5))/7))))&lt;&gt;0,
      MIN(1,
      ('Hulp (overig)'!$C$6/12) /
      (Y183 * BC183 + BD183)),
      MIN(1,
         IF(
            SUM(F183:U183)=0,
            "",
            SUMPRODUCT(
               IF(
                  (IF(F183:U183="",0,F183:U183) * BC183) + BD183
                  &gt; 'Hulp (overig)'!$C$6/12,
                  'Hulp (overig)'!$C$6/12,
                  (IF(F183:U183="",0,F183:U183) * BC183) + BD183
               ),
               IF(F184:U184="",0,F184:U184) / SUM(F184:U184)
            )
         ) /
         ((Y183 * BC183) + BD183)
      )
   )
)</f>
        <v>1</v>
      </c>
      <c r="BB183" cm="1">
        <f t="array" aca="1" ref="BB183" ca="1">IF(
   SUM(Y183)=0,
   1,
   IF(
      N(INDIRECT("'Hulp (control forms)'!C"&amp;(13+INT((ROW()-ROW($B$5))/7))))&lt;&gt;0,
      MIN('Hulp (overig)'!$C$5/12,
      (Y183 * BC183) + BD183) * 12,
         IF(
            SUM(F183:U183)=0,
            "",
            SUMPRODUCT(
               IF(
                  (IF(F183:U183="",0,F183:U183) * BC183) + BD183
                  &gt; 'Hulp (overig)'!$C$5/12,
                  'Hulp (overig)'!$C$5/12,
                  (IF(F183:U183="",0,F183:U183) * BC183) + BD183
               ),
               IF(F184:U184="",0,F184:U184) / SUM(F184:U184)
            )
         ) * 12
   )
)</f>
        <v>1</v>
      </c>
      <c r="BC183" s="287" cm="1">
        <f t="array" aca="1" ref="BC183" ca="1">IFERROR(
   (INDEX('2. Output kostprijs'!$24:$24, 5 + 2*INT((ROW()-8)/7))
    - SUM(INDEX('2. Output kostprijs'!$23:$23, 5 + 2*INT((ROW()-8)/7))))
   / INDEX('2. Output kostprijs'!$19:$19, 5 + 2*INT((ROW()-8)/7)),
   1
)</f>
        <v>1</v>
      </c>
      <c r="BD183" s="287" cm="1">
        <f t="array" aca="1" ref="BD183" ca="1">IFERROR(
   (INDEX('2. Output kostprijs'!$23:$23, 5 + 2*INT((ROW()-8)/7))
    * INDEX('2. Output kostprijs'!$18:$18, 5 + 2*INT((ROW()-8)/7))
   ) / 12,
   0
)</f>
        <v>0</v>
      </c>
      <c r="BE183" t="b">
        <f ca="1">NOT(AND(B180&lt;&gt;"",Y183=""))</f>
        <v>1</v>
      </c>
      <c r="BF183" t="str" cm="1">
        <f t="array" aca="1" ref="BF183" ca="1">INDIRECT("'1a. Input organisatieniveau'!$AD" &amp; 7 + INT((ROW()-ROW($F$8))/7))</f>
        <v/>
      </c>
      <c r="BG183" t="b" cm="1">
        <f t="array" ref="BG183">IFERROR(INDEX('Hulp (control forms)'!C:C, 13 + INT((ROW(A176)-1)/7)),FALSE)</f>
        <v>0</v>
      </c>
    </row>
    <row r="184" spans="1:59" ht="16.05" customHeight="1" thickBot="1" x14ac:dyDescent="0.5">
      <c r="A184" s="289"/>
      <c r="B184" s="343"/>
      <c r="C184" s="325" t="s">
        <v>779</v>
      </c>
      <c r="D184" s="688" t="s">
        <v>60</v>
      </c>
      <c r="E184" s="433" t="s">
        <v>59</v>
      </c>
      <c r="F184" s="624"/>
      <c r="G184" s="624"/>
      <c r="H184" s="624"/>
      <c r="I184" s="624"/>
      <c r="J184" s="624"/>
      <c r="K184" s="624"/>
      <c r="L184" s="624"/>
      <c r="M184" s="624"/>
      <c r="N184" s="624"/>
      <c r="O184" s="624"/>
      <c r="P184" s="624"/>
      <c r="Q184" s="624"/>
      <c r="R184" s="624"/>
      <c r="S184" s="624"/>
      <c r="T184" s="624"/>
      <c r="U184" s="625"/>
      <c r="V184" s="420" t="str">
        <f ca="1">IF($B180="","",IF($D184="Aandeel in %",
   "Totaal: "&amp;SUM(F184:U184)*100&amp;"%",
   "Totaal: "&amp;SUM(F184:U184)&amp;" uur"
))</f>
        <v/>
      </c>
      <c r="W184" s="294"/>
      <c r="X184" s="621"/>
      <c r="Y184" s="328"/>
      <c r="Z184" s="32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row>
    <row r="185" spans="1:59" ht="16.05" customHeight="1" thickBot="1" x14ac:dyDescent="0.5">
      <c r="A185" s="289"/>
      <c r="B185" s="343"/>
      <c r="C185" s="326" t="s">
        <v>779</v>
      </c>
      <c r="D185" s="421"/>
      <c r="E185" s="426"/>
      <c r="F185" s="426"/>
      <c r="G185" s="426"/>
      <c r="H185" s="426"/>
      <c r="I185" s="426"/>
      <c r="J185" s="426"/>
      <c r="K185" s="426"/>
      <c r="L185" s="426"/>
      <c r="M185" s="426"/>
      <c r="N185" s="426"/>
      <c r="O185" s="426"/>
      <c r="P185" s="426"/>
      <c r="Q185" s="426"/>
      <c r="R185" s="426"/>
      <c r="S185" s="426"/>
      <c r="T185" s="427"/>
      <c r="U185" s="427"/>
      <c r="V185" s="421"/>
      <c r="W185" s="421"/>
      <c r="X185" s="622"/>
      <c r="Y185" s="421"/>
      <c r="Z185" s="327"/>
      <c r="AA185" s="289"/>
      <c r="AB185" s="289"/>
      <c r="AC185" s="289"/>
      <c r="AD185" s="289"/>
      <c r="AE185" s="289"/>
      <c r="AF185" s="289"/>
      <c r="AG185" s="289"/>
      <c r="AH185" s="289"/>
      <c r="AI185" s="289"/>
      <c r="AJ185" s="289"/>
      <c r="AK185" s="289"/>
      <c r="AL185" s="289"/>
      <c r="AM185" s="289"/>
      <c r="AN185" s="289"/>
      <c r="AO185" s="289"/>
      <c r="AP185" s="289"/>
      <c r="AQ185" s="289"/>
      <c r="AR185" s="289"/>
      <c r="AS185" s="289"/>
      <c r="AT185" s="289"/>
      <c r="AU185" s="289"/>
      <c r="AV185" s="289"/>
      <c r="AW185" s="289"/>
      <c r="AX185" s="289"/>
      <c r="AY185" s="289"/>
      <c r="AZ185" s="289"/>
    </row>
    <row r="186" spans="1:59" ht="16.05" customHeight="1" thickBot="1" x14ac:dyDescent="0.55000000000000004">
      <c r="A186" s="289"/>
      <c r="B186" s="585" t="str">
        <f ca="1">IF(B187="","",
IF(
   OR(
      INDIRECT("'1a. Input organisatieniveau'!AC" &amp; (7 + INT((ROW()-4)/7)))="",
      INDIRECT("'1a. Input organisatieniveau'!AC" &amp; (7 + INT((ROW()-4)/7)))=0
   ),
   "",
   INDIRECT("'1a. Input organisatieniveau'!AC" &amp; (7 + INT((ROW()-4)/7)))
))</f>
        <v/>
      </c>
      <c r="C186" s="324" t="s">
        <v>779</v>
      </c>
      <c r="D186" s="416"/>
      <c r="E186" s="428"/>
      <c r="F186" s="422" t="str">
        <f t="shared" ref="F186:U186" ca="1" si="26">IF($B187="","",
IF($D188="Gebruik % van maximum salaris",
 IF(OR(AND(AND(F187&lt;&gt;"",F188&lt;&gt;""),F190=""),AND(F190="",F191&lt;&gt;"")),"!",""),
 IF(OR(AND(AND(F187&lt;&gt;"",F189&lt;&gt;""),F190=""),AND(F190="",F191&lt;&gt;"")),"!","")))</f>
        <v/>
      </c>
      <c r="G186" s="422" t="str">
        <f t="shared" ca="1" si="26"/>
        <v/>
      </c>
      <c r="H186" s="422" t="str">
        <f t="shared" ca="1" si="26"/>
        <v/>
      </c>
      <c r="I186" s="422" t="str">
        <f t="shared" ca="1" si="26"/>
        <v/>
      </c>
      <c r="J186" s="422" t="str">
        <f t="shared" ca="1" si="26"/>
        <v/>
      </c>
      <c r="K186" s="422" t="str">
        <f t="shared" ca="1" si="26"/>
        <v/>
      </c>
      <c r="L186" s="422" t="str">
        <f t="shared" ca="1" si="26"/>
        <v/>
      </c>
      <c r="M186" s="422" t="str">
        <f t="shared" ca="1" si="26"/>
        <v/>
      </c>
      <c r="N186" s="422" t="str">
        <f t="shared" ca="1" si="26"/>
        <v/>
      </c>
      <c r="O186" s="422" t="str">
        <f t="shared" ca="1" si="26"/>
        <v/>
      </c>
      <c r="P186" s="422" t="str">
        <f t="shared" ca="1" si="26"/>
        <v/>
      </c>
      <c r="Q186" s="422" t="str">
        <f t="shared" ca="1" si="26"/>
        <v/>
      </c>
      <c r="R186" s="422" t="str">
        <f t="shared" ca="1" si="26"/>
        <v/>
      </c>
      <c r="S186" s="422" t="str">
        <f t="shared" ca="1" si="26"/>
        <v/>
      </c>
      <c r="T186" s="422" t="str">
        <f t="shared" ca="1" si="26"/>
        <v/>
      </c>
      <c r="U186" s="422" t="str">
        <f t="shared" ca="1" si="26"/>
        <v/>
      </c>
      <c r="V186" s="416"/>
      <c r="W186" s="416"/>
      <c r="X186" s="619"/>
      <c r="Y186" s="416"/>
      <c r="Z186" s="330"/>
      <c r="AA186" s="354"/>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row>
    <row r="187" spans="1:59" ht="16.05" customHeight="1" thickBot="1" x14ac:dyDescent="0.5">
      <c r="A187" s="289"/>
      <c r="B187" s="586" t="str">
        <f ca="1">IF(
   OR(
      INDIRECT("'1a. Input organisatieniveau'!AA" &amp; (7 + INT((ROW()-4)/7)))="",
      INDIRECT("'1a. Input organisatieniveau'!AA" &amp; (7 + INT((ROW()-4)/7)))=0
   ),
   "",
   INDIRECT("'1a. Input organisatieniveau'!AA" &amp; (7 + INT((ROW()-4)/7)))
)</f>
        <v/>
      </c>
      <c r="C187" s="325" t="s">
        <v>779</v>
      </c>
      <c r="D187" s="434"/>
      <c r="E187" s="429" t="s">
        <v>28</v>
      </c>
      <c r="F187" s="423" t="str">
        <f ca="1">IF($B187="", "", IF($BF190, IF('Hulp (CAO''s)'!J$8&lt;&gt;"",'Hulp (CAO''s)'!J$8,""), INDEX('Hulp (CAO''s)'!J$3:J$7, MATCH(TRUE, 'Hulp (CAO''s)'!$D$3:$D$7, 0))))</f>
        <v/>
      </c>
      <c r="G187" s="423" t="str">
        <f ca="1">IF($B187="", "", IF($BF190, IF('Hulp (CAO''s)'!K$8&lt;&gt;"",'Hulp (CAO''s)'!K$8,""), INDEX('Hulp (CAO''s)'!K$3:K$7, MATCH(TRUE, 'Hulp (CAO''s)'!$D$3:$D$7, 0))))</f>
        <v/>
      </c>
      <c r="H187" s="423" t="str">
        <f ca="1">IF($B187="", "", IF($BF190, IF('Hulp (CAO''s)'!L$8&lt;&gt;"",'Hulp (CAO''s)'!L$8,""), INDEX('Hulp (CAO''s)'!L$3:L$7, MATCH(TRUE, 'Hulp (CAO''s)'!$D$3:$D$7, 0))))</f>
        <v/>
      </c>
      <c r="I187" s="423" t="str">
        <f ca="1">IF($B187="", "", IF($BF190, IF('Hulp (CAO''s)'!M$8&lt;&gt;"",'Hulp (CAO''s)'!M$8,""), INDEX('Hulp (CAO''s)'!M$3:M$7, MATCH(TRUE, 'Hulp (CAO''s)'!$D$3:$D$7, 0))))</f>
        <v/>
      </c>
      <c r="J187" s="423" t="str">
        <f ca="1">IF($B187="", "", IF($BF190, IF('Hulp (CAO''s)'!N$8&lt;&gt;"",'Hulp (CAO''s)'!N$8,""), INDEX('Hulp (CAO''s)'!N$3:N$7, MATCH(TRUE, 'Hulp (CAO''s)'!$D$3:$D$7, 0))))</f>
        <v/>
      </c>
      <c r="K187" s="423" t="str">
        <f ca="1">IF($B187="", "", IF($BF190, IF('Hulp (CAO''s)'!O$8&lt;&gt;"",'Hulp (CAO''s)'!O$8,""), INDEX('Hulp (CAO''s)'!O$3:O$7, MATCH(TRUE, 'Hulp (CAO''s)'!$D$3:$D$7, 0))))</f>
        <v/>
      </c>
      <c r="L187" s="423" t="str">
        <f ca="1">IF($B187="", "", IF($BF190, IF('Hulp (CAO''s)'!P$8&lt;&gt;"",'Hulp (CAO''s)'!P$8,""), INDEX('Hulp (CAO''s)'!P$3:P$7, MATCH(TRUE, 'Hulp (CAO''s)'!$D$3:$D$7, 0))))</f>
        <v/>
      </c>
      <c r="M187" s="423" t="str">
        <f ca="1">IF($B187="", "", IF($BF190, IF('Hulp (CAO''s)'!Q$8&lt;&gt;"",'Hulp (CAO''s)'!Q$8,""), INDEX('Hulp (CAO''s)'!Q$3:Q$7, MATCH(TRUE, 'Hulp (CAO''s)'!$D$3:$D$7, 0))))</f>
        <v/>
      </c>
      <c r="N187" s="423" t="str">
        <f ca="1">IF($B187="", "", IF($BF190, IF('Hulp (CAO''s)'!R$8&lt;&gt;"",'Hulp (CAO''s)'!R$8,""), INDEX('Hulp (CAO''s)'!R$3:R$7, MATCH(TRUE, 'Hulp (CAO''s)'!$D$3:$D$7, 0))))</f>
        <v/>
      </c>
      <c r="O187" s="423" t="str">
        <f ca="1">IF($B187="", "", IF($BF190, IF('Hulp (CAO''s)'!S$8&lt;&gt;"",'Hulp (CAO''s)'!S$8,""), INDEX('Hulp (CAO''s)'!S$3:S$7, MATCH(TRUE, 'Hulp (CAO''s)'!$D$3:$D$7, 0))))</f>
        <v/>
      </c>
      <c r="P187" s="423" t="str">
        <f ca="1">IF($B187="", "", IF($BF190, IF('Hulp (CAO''s)'!T$8&lt;&gt;"",'Hulp (CAO''s)'!T$8,""), INDEX('Hulp (CAO''s)'!T$3:T$7, MATCH(TRUE, 'Hulp (CAO''s)'!$D$3:$D$7, 0))))</f>
        <v/>
      </c>
      <c r="Q187" s="423" t="str">
        <f ca="1">IF($B187="", "", IF($BF190, IF('Hulp (CAO''s)'!U$8&lt;&gt;"",'Hulp (CAO''s)'!U$8,""), INDEX('Hulp (CAO''s)'!U$3:U$7, MATCH(TRUE, 'Hulp (CAO''s)'!$D$3:$D$7, 0))))</f>
        <v/>
      </c>
      <c r="R187" s="423" t="str">
        <f ca="1">IF($B187="", "", IF($BF190, IF('Hulp (CAO''s)'!V$8&lt;&gt;"",'Hulp (CAO''s)'!V$8,""), INDEX('Hulp (CAO''s)'!V$3:V$7, MATCH(TRUE, 'Hulp (CAO''s)'!$D$3:$D$7, 0))))</f>
        <v/>
      </c>
      <c r="S187" s="423" t="str">
        <f ca="1">IF($B187="", "", IF($BF190, IF('Hulp (CAO''s)'!W$8&lt;&gt;"",'Hulp (CAO''s)'!W$8,""), INDEX('Hulp (CAO''s)'!W$3:W$7, MATCH(TRUE, 'Hulp (CAO''s)'!$D$3:$D$7, 0))))</f>
        <v/>
      </c>
      <c r="T187" s="423" t="str">
        <f ca="1">IF($B187="", "", IF($BF190, IF('Hulp (CAO''s)'!X$8&lt;&gt;"",'Hulp (CAO''s)'!X$8,""), INDEX('Hulp (CAO''s)'!X$3:X$7, MATCH(TRUE, 'Hulp (CAO''s)'!$D$3:$D$7, 0))))</f>
        <v/>
      </c>
      <c r="U187" s="424" t="str">
        <f ca="1">IF($B187="", "", IF($BF190, IF('Hulp (CAO''s)'!Y$8&lt;&gt;"",'Hulp (CAO''s)'!Y$8,""), INDEX('Hulp (CAO''s)'!Y$3:Y$7, MATCH(TRUE, 'Hulp (CAO''s)'!$D$3:$D$7, 0))))</f>
        <v/>
      </c>
      <c r="V187" s="417"/>
      <c r="W187" s="343"/>
      <c r="X187" s="617"/>
      <c r="Y187" s="343"/>
      <c r="Z187" s="329"/>
      <c r="AA187" s="320"/>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row>
    <row r="188" spans="1:59" ht="16.05" customHeight="1" x14ac:dyDescent="0.45">
      <c r="A188" s="289"/>
      <c r="B188" s="343"/>
      <c r="C188" s="325" t="s">
        <v>779</v>
      </c>
      <c r="D188" s="772" t="s">
        <v>772</v>
      </c>
      <c r="E188" s="430" t="e">
        <f ca="1">IF($BF190, "", "% t.o.v. max salaris in de schaal")</f>
        <v>#VALUE!</v>
      </c>
      <c r="F188" s="615"/>
      <c r="G188" s="615"/>
      <c r="H188" s="615"/>
      <c r="I188" s="615"/>
      <c r="J188" s="615"/>
      <c r="K188" s="615"/>
      <c r="L188" s="615"/>
      <c r="M188" s="615"/>
      <c r="N188" s="615"/>
      <c r="O188" s="615"/>
      <c r="P188" s="615"/>
      <c r="Q188" s="615"/>
      <c r="R188" s="615"/>
      <c r="S188" s="615"/>
      <c r="T188" s="615"/>
      <c r="U188" s="616"/>
      <c r="V188" s="774" t="s">
        <v>884</v>
      </c>
      <c r="W188" s="332"/>
      <c r="X188" s="776" t="s">
        <v>882</v>
      </c>
      <c r="Y188" s="778" t="s">
        <v>883</v>
      </c>
      <c r="Z188" s="329"/>
      <c r="AA188" s="771" t="s">
        <v>780</v>
      </c>
      <c r="AB188" s="770" t="s">
        <v>1079</v>
      </c>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row>
    <row r="189" spans="1:59" ht="16.05" customHeight="1" thickBot="1" x14ac:dyDescent="0.5">
      <c r="A189" s="289"/>
      <c r="B189" s="343"/>
      <c r="C189" s="325" t="s">
        <v>779</v>
      </c>
      <c r="D189" s="773"/>
      <c r="E189" s="431" t="e">
        <f ca="1">IF($BF190, "", "Trede (gemiddeld)")</f>
        <v>#VALUE!</v>
      </c>
      <c r="F189" s="737"/>
      <c r="G189" s="737"/>
      <c r="H189" s="737"/>
      <c r="I189" s="737"/>
      <c r="J189" s="737"/>
      <c r="K189" s="737"/>
      <c r="L189" s="737"/>
      <c r="M189" s="737"/>
      <c r="N189" s="737"/>
      <c r="O189" s="737"/>
      <c r="P189" s="737"/>
      <c r="Q189" s="737"/>
      <c r="R189" s="737"/>
      <c r="S189" s="737"/>
      <c r="T189" s="737"/>
      <c r="U189" s="740"/>
      <c r="V189" s="775"/>
      <c r="W189" s="294"/>
      <c r="X189" s="777"/>
      <c r="Y189" s="779"/>
      <c r="Z189" s="329"/>
      <c r="AA189" s="771"/>
      <c r="AB189" s="770"/>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row>
    <row r="190" spans="1:59" ht="16.05" customHeight="1" thickBot="1" x14ac:dyDescent="0.5">
      <c r="A190" s="289"/>
      <c r="B190" s="343"/>
      <c r="C190" s="325" t="s">
        <v>779</v>
      </c>
      <c r="E190" s="432" t="str">
        <f>IFERROR(
   INDEX('Hulp (CAO''s)'!$I$3:$I$7, MATCH(TRUE, 'Hulp (CAO''s)'!$D$3:$D$7, 0)),
"")</f>
        <v>Bruto maandsalaris</v>
      </c>
      <c r="F190" s="425" t="e" cm="1">
        <f t="array" aca="1" ref="F190" ca="1">IF($BF190, IF(F187="","",
   INDEX(
      INDIRECT("'" &amp; 'Hulp (CAO''s)'!$AE$8 &amp; "'!" &amp;
               'Hulp (overig)'!$C$17 &amp; "1:" &amp;
               'Hulp (overig)'!$C$17 &amp; "1000"),
      MATCH(
         F187,
         INDIRECT("'" &amp; 'Hulp (CAO''s)'!$AE$8 &amp; "'!A1:A1000"),
         0
      )
   )
), IF($D188="Gebruik % van maximum salaris",
IF(
    OR(F187="",F188=""),
    "",
    MAX(
        INDIRECT(
            "'" &amp; 'Hulp (overig)'!$C$16 &amp; "'!" &amp;
            'Hulp (overig)'!$C$17 &amp;
            MATCH(F187, INDIRECT("'" &amp; 'Hulp (overig)'!$C$16 &amp; "'!A1:A1000"), 0) &amp;
            ":" &amp;
            'Hulp (overig)'!$C$17 &amp;
LOOKUP(
    2,
    1 / (
        (ROW(INDIRECT("'" &amp; 'Hulp (overig)'!$C$16 &amp; "'!B1:B1000")) &lt;
            IF(G187&lt;&gt;"",
               MATCH(G187, INDIRECT("'" &amp; 'Hulp (overig)'!$C$16 &amp; "'!A1:A1000"),0),
               1000
            )
        ) *
        (LEFT(TRIM(INDIRECT("'" &amp; 'Hulp (overig)'!$C$16 &amp; "'!B1:B1000")),1) &lt;&gt; "u")
    ),
    ROW(INDIRECT("'" &amp; 'Hulp (overig)'!$C$16 &amp; "'!B1:B1000"))
)
        )
    ) * F188
),
IF(F189="","",
IF(
    IFERROR(MIN(
        IF(
            (TRIM(INDIRECT("'" &amp; 'Hulp (overig)'!$C$16 &amp; "'!B1:B1000")) = TEXT(F189,"0")) *
            (ROW(INDIRECT("'" &amp; 'Hulp (overig)'!$C$16 &amp; "'!B1:B1000")) &gt;= MATCH(
                F187,
                INDIRECT("'" &amp; 'Hulp (overig)'!$C$16 &amp; "'!A1:A1000"),
                0
            )) *
            IF(
                G187="",
                1,
                (ROW(INDIRECT("'" &amp; 'Hulp (overig)'!$C$16 &amp; "'!B1:B1000")) &lt; MATCH(
                    G187,
                    INDIRECT("'" &amp; 'Hulp (overig)'!$C$16 &amp; "'!A1:A1000"),
                    0
                ))
            ),
            ROW(INDIRECT("'" &amp; 'Hulp (overig)'!$C$16 &amp; "'!B1:B1000"))
        )
    ),0) &lt; 1,
    "",
    IF(INDEX(
        INDIRECT("'" &amp; 'Hulp (overig)'!$C$16 &amp; "'!" &amp;
        'Hulp (overig)'!$C$17 &amp; "1:" &amp; 'Hulp (overig)'!$C$17 &amp; 1000
        ),
        IFERROR(MIN(
            IF(
                (TRIM(INDIRECT("'" &amp; 'Hulp (overig)'!$C$16 &amp; "'!B1:B1000")) = TEXT(F189,"0")) *
                (ROW(INDIRECT("'" &amp; 'Hulp (overig)'!$C$16 &amp; "'!B1:B1000")) &gt;= MATCH(
                    F187,
                    INDIRECT("'" &amp; 'Hulp (overig)'!$C$16 &amp; "'!A1:A1000"),
                    0
                )) *
                IF(
                    G187="",
                    1,
                    (ROW(INDIRECT("'" &amp; 'Hulp (overig)'!$C$16 &amp; "'!B1:B1000")) &lt; MATCH(
                        G187,
                        INDIRECT("'" &amp; 'Hulp (overig)'!$C$16 &amp; "'!A1:A1000"),
                        0
                    ))
                ),
                ROW(INDIRECT("'" &amp; 'Hulp (overig)'!$C$16 &amp; "'!B1:B1000"))
            )
        ),0)
    )=0,"",
INDEX(
        INDIRECT("'" &amp; 'Hulp (overig)'!$C$16 &amp; "'!" &amp;
        'Hulp (overig)'!$C$17 &amp; "1:" &amp; 'Hulp (overig)'!$C$17 &amp; 1000
        ),
        IFERROR(MIN(
            IF(
                (TRIM(INDIRECT("'" &amp; 'Hulp (overig)'!$C$16 &amp; "'!B1:B1000")) = TEXT(F189,"0")) *
                (ROW(INDIRECT("'" &amp; 'Hulp (overig)'!$C$16 &amp; "'!B1:B1000")) &gt;= MATCH(
                    F187,
                    INDIRECT("'" &amp; 'Hulp (overig)'!$C$16 &amp; "'!A1:A1000"),
                    0
                )) *
                IF(
                    G187="",
                    1,
                    (ROW(INDIRECT("'" &amp; 'Hulp (overig)'!$C$16 &amp; "'!B1:B1000")) &lt; MATCH(
                        G187,
                        INDIRECT("'" &amp; 'Hulp (overig)'!$C$16 &amp; "'!A1:A1000"),
                        0
                    ))
                ),
                ROW(INDIRECT("'" &amp; 'Hulp (overig)'!$C$16 &amp; "'!B1:B1000"))
            )
        ),0)
    ))
))))</f>
        <v>#VALUE!</v>
      </c>
      <c r="G190" s="425" t="e" cm="1">
        <f t="array" aca="1" ref="G190" ca="1">IF($BF190, IF(G187="","",
   INDEX(
      INDIRECT("'" &amp; 'Hulp (CAO''s)'!$AE$8 &amp; "'!" &amp;
               'Hulp (overig)'!$C$17 &amp; "1:" &amp;
               'Hulp (overig)'!$C$17 &amp; "1000"),
      MATCH(
         G187,
         INDIRECT("'" &amp; 'Hulp (CAO''s)'!$AE$8 &amp; "'!A1:A1000"),
         0
      )
   )
), IF($D188="Gebruik % van maximum salaris",
IF(
    OR(G187="",G188=""),
    "",
    MAX(
        INDIRECT(
            "'" &amp; 'Hulp (overig)'!$C$16 &amp; "'!" &amp;
            'Hulp (overig)'!$C$17 &amp;
            MATCH(G187, INDIRECT("'" &amp; 'Hulp (overig)'!$C$16 &amp; "'!A1:A1000"), 0) &amp;
            ":" &amp;
            'Hulp (overig)'!$C$17 &amp;
LOOKUP(
    2,
    1 / (
        (ROW(INDIRECT("'" &amp; 'Hulp (overig)'!$C$16 &amp; "'!B1:B1000")) &lt;
            IF(H187&lt;&gt;"",
               MATCH(H187, INDIRECT("'" &amp; 'Hulp (overig)'!$C$16 &amp; "'!A1:A1000"),0),
               1000
            )
        ) *
        (LEFT(TRIM(INDIRECT("'" &amp; 'Hulp (overig)'!$C$16 &amp; "'!B1:B1000")),1) &lt;&gt; "u")
    ),
    ROW(INDIRECT("'" &amp; 'Hulp (overig)'!$C$16 &amp; "'!B1:B1000"))
)
        )
    ) * G188
),
IF(G189="","",
IF(
    IFERROR(MIN(
        IF(
            (TRIM(INDIRECT("'" &amp; 'Hulp (overig)'!$C$16 &amp; "'!B1:B1000")) = TEXT(G189,"0")) *
            (ROW(INDIRECT("'" &amp; 'Hulp (overig)'!$C$16 &amp; "'!B1:B1000")) &gt;= MATCH(
                G187,
                INDIRECT("'" &amp; 'Hulp (overig)'!$C$16 &amp; "'!A1:A1000"),
                0
            )) *
            IF(
                H187="",
                1,
                (ROW(INDIRECT("'" &amp; 'Hulp (overig)'!$C$16 &amp; "'!B1:B1000")) &lt; MATCH(
                    H187,
                    INDIRECT("'" &amp; 'Hulp (overig)'!$C$16 &amp; "'!A1:A1000"),
                    0
                ))
            ),
            ROW(INDIRECT("'" &amp; 'Hulp (overig)'!$C$16 &amp; "'!B1:B1000"))
        )
    ),0) &lt; 1,
    "",
    IF(INDEX(
        INDIRECT("'" &amp; 'Hulp (overig)'!$C$16 &amp; "'!" &amp;
        'Hulp (overig)'!$C$17 &amp; "1:" &amp; 'Hulp (overig)'!$C$17 &amp; 1000
        ),
        IFERROR(MIN(
            IF(
                (TRIM(INDIRECT("'" &amp; 'Hulp (overig)'!$C$16 &amp; "'!B1:B1000")) = TEXT(G189,"0")) *
                (ROW(INDIRECT("'" &amp; 'Hulp (overig)'!$C$16 &amp; "'!B1:B1000")) &gt;= MATCH(
                    G187,
                    INDIRECT("'" &amp; 'Hulp (overig)'!$C$16 &amp; "'!A1:A1000"),
                    0
                )) *
                IF(
                    H187="",
                    1,
                    (ROW(INDIRECT("'" &amp; 'Hulp (overig)'!$C$16 &amp; "'!B1:B1000")) &lt; MATCH(
                        H187,
                        INDIRECT("'" &amp; 'Hulp (overig)'!$C$16 &amp; "'!A1:A1000"),
                        0
                    ))
                ),
                ROW(INDIRECT("'" &amp; 'Hulp (overig)'!$C$16 &amp; "'!B1:B1000"))
            )
        ),0)
    )=0,"",
INDEX(
        INDIRECT("'" &amp; 'Hulp (overig)'!$C$16 &amp; "'!" &amp;
        'Hulp (overig)'!$C$17 &amp; "1:" &amp; 'Hulp (overig)'!$C$17 &amp; 1000
        ),
        IFERROR(MIN(
            IF(
                (TRIM(INDIRECT("'" &amp; 'Hulp (overig)'!$C$16 &amp; "'!B1:B1000")) = TEXT(G189,"0")) *
                (ROW(INDIRECT("'" &amp; 'Hulp (overig)'!$C$16 &amp; "'!B1:B1000")) &gt;= MATCH(
                    G187,
                    INDIRECT("'" &amp; 'Hulp (overig)'!$C$16 &amp; "'!A1:A1000"),
                    0
                )) *
                IF(
                    H187="",
                    1,
                    (ROW(INDIRECT("'" &amp; 'Hulp (overig)'!$C$16 &amp; "'!B1:B1000")) &lt; MATCH(
                        H187,
                        INDIRECT("'" &amp; 'Hulp (overig)'!$C$16 &amp; "'!A1:A1000"),
                        0
                    ))
                ),
                ROW(INDIRECT("'" &amp; 'Hulp (overig)'!$C$16 &amp; "'!B1:B1000"))
            )
        ),0)
    ))
))))</f>
        <v>#VALUE!</v>
      </c>
      <c r="H190" s="425" t="e" cm="1">
        <f t="array" aca="1" ref="H190" ca="1">IF($BF190, IF(H187="","",
   INDEX(
      INDIRECT("'" &amp; 'Hulp (CAO''s)'!$AE$8 &amp; "'!" &amp;
               'Hulp (overig)'!$C$17 &amp; "1:" &amp;
               'Hulp (overig)'!$C$17 &amp; "1000"),
      MATCH(
         H187,
         INDIRECT("'" &amp; 'Hulp (CAO''s)'!$AE$8 &amp; "'!A1:A1000"),
         0
      )
   )
), IF($D188="Gebruik % van maximum salaris",
IF(
    OR(H187="",H188=""),
    "",
    MAX(
        INDIRECT(
            "'" &amp; 'Hulp (overig)'!$C$16 &amp; "'!" &amp;
            'Hulp (overig)'!$C$17 &amp;
            MATCH(H187, INDIRECT("'" &amp; 'Hulp (overig)'!$C$16 &amp; "'!A1:A1000"), 0) &amp;
            ":" &amp;
            'Hulp (overig)'!$C$17 &amp;
LOOKUP(
    2,
    1 / (
        (ROW(INDIRECT("'" &amp; 'Hulp (overig)'!$C$16 &amp; "'!B1:B1000")) &lt;
            IF(I187&lt;&gt;"",
               MATCH(I187, INDIRECT("'" &amp; 'Hulp (overig)'!$C$16 &amp; "'!A1:A1000"),0),
               1000
            )
        ) *
        (LEFT(TRIM(INDIRECT("'" &amp; 'Hulp (overig)'!$C$16 &amp; "'!B1:B1000")),1) &lt;&gt; "u")
    ),
    ROW(INDIRECT("'" &amp; 'Hulp (overig)'!$C$16 &amp; "'!B1:B1000"))
)
        )
    ) * H188
),
IF(H189="","",
IF(
    IFERROR(MIN(
        IF(
            (TRIM(INDIRECT("'" &amp; 'Hulp (overig)'!$C$16 &amp; "'!B1:B1000")) = TEXT(H189,"0")) *
            (ROW(INDIRECT("'" &amp; 'Hulp (overig)'!$C$16 &amp; "'!B1:B1000")) &gt;= MATCH(
                H187,
                INDIRECT("'" &amp; 'Hulp (overig)'!$C$16 &amp; "'!A1:A1000"),
                0
            )) *
            IF(
                I187="",
                1,
                (ROW(INDIRECT("'" &amp; 'Hulp (overig)'!$C$16 &amp; "'!B1:B1000")) &lt; MATCH(
                    I187,
                    INDIRECT("'" &amp; 'Hulp (overig)'!$C$16 &amp; "'!A1:A1000"),
                    0
                ))
            ),
            ROW(INDIRECT("'" &amp; 'Hulp (overig)'!$C$16 &amp; "'!B1:B1000"))
        )
    ),0) &lt; 1,
    "",
    IF(INDEX(
        INDIRECT("'" &amp; 'Hulp (overig)'!$C$16 &amp; "'!" &amp;
        'Hulp (overig)'!$C$17 &amp; "1:" &amp; 'Hulp (overig)'!$C$17 &amp; 1000
        ),
        IFERROR(MIN(
            IF(
                (TRIM(INDIRECT("'" &amp; 'Hulp (overig)'!$C$16 &amp; "'!B1:B1000")) = TEXT(H189,"0")) *
                (ROW(INDIRECT("'" &amp; 'Hulp (overig)'!$C$16 &amp; "'!B1:B1000")) &gt;= MATCH(
                    H187,
                    INDIRECT("'" &amp; 'Hulp (overig)'!$C$16 &amp; "'!A1:A1000"),
                    0
                )) *
                IF(
                    I187="",
                    1,
                    (ROW(INDIRECT("'" &amp; 'Hulp (overig)'!$C$16 &amp; "'!B1:B1000")) &lt; MATCH(
                        I187,
                        INDIRECT("'" &amp; 'Hulp (overig)'!$C$16 &amp; "'!A1:A1000"),
                        0
                    ))
                ),
                ROW(INDIRECT("'" &amp; 'Hulp (overig)'!$C$16 &amp; "'!B1:B1000"))
            )
        ),0)
    )=0,"",
INDEX(
        INDIRECT("'" &amp; 'Hulp (overig)'!$C$16 &amp; "'!" &amp;
        'Hulp (overig)'!$C$17 &amp; "1:" &amp; 'Hulp (overig)'!$C$17 &amp; 1000
        ),
        IFERROR(MIN(
            IF(
                (TRIM(INDIRECT("'" &amp; 'Hulp (overig)'!$C$16 &amp; "'!B1:B1000")) = TEXT(H189,"0")) *
                (ROW(INDIRECT("'" &amp; 'Hulp (overig)'!$C$16 &amp; "'!B1:B1000")) &gt;= MATCH(
                    H187,
                    INDIRECT("'" &amp; 'Hulp (overig)'!$C$16 &amp; "'!A1:A1000"),
                    0
                )) *
                IF(
                    I187="",
                    1,
                    (ROW(INDIRECT("'" &amp; 'Hulp (overig)'!$C$16 &amp; "'!B1:B1000")) &lt; MATCH(
                        I187,
                        INDIRECT("'" &amp; 'Hulp (overig)'!$C$16 &amp; "'!A1:A1000"),
                        0
                    ))
                ),
                ROW(INDIRECT("'" &amp; 'Hulp (overig)'!$C$16 &amp; "'!B1:B1000"))
            )
        ),0)
    ))
))))</f>
        <v>#VALUE!</v>
      </c>
      <c r="I190" s="425" t="e" cm="1">
        <f t="array" aca="1" ref="I190" ca="1">IF($BF190, IF(I187="","",
   INDEX(
      INDIRECT("'" &amp; 'Hulp (CAO''s)'!$AE$8 &amp; "'!" &amp;
               'Hulp (overig)'!$C$17 &amp; "1:" &amp;
               'Hulp (overig)'!$C$17 &amp; "1000"),
      MATCH(
         I187,
         INDIRECT("'" &amp; 'Hulp (CAO''s)'!$AE$8 &amp; "'!A1:A1000"),
         0
      )
   )
), IF($D188="Gebruik % van maximum salaris",
IF(
    OR(I187="",I188=""),
    "",
    MAX(
        INDIRECT(
            "'" &amp; 'Hulp (overig)'!$C$16 &amp; "'!" &amp;
            'Hulp (overig)'!$C$17 &amp;
            MATCH(I187, INDIRECT("'" &amp; 'Hulp (overig)'!$C$16 &amp; "'!A1:A1000"), 0) &amp;
            ":" &amp;
            'Hulp (overig)'!$C$17 &amp;
LOOKUP(
    2,
    1 / (
        (ROW(INDIRECT("'" &amp; 'Hulp (overig)'!$C$16 &amp; "'!B1:B1000")) &lt;
            IF(J187&lt;&gt;"",
               MATCH(J187, INDIRECT("'" &amp; 'Hulp (overig)'!$C$16 &amp; "'!A1:A1000"),0),
               1000
            )
        ) *
        (LEFT(TRIM(INDIRECT("'" &amp; 'Hulp (overig)'!$C$16 &amp; "'!B1:B1000")),1) &lt;&gt; "u")
    ),
    ROW(INDIRECT("'" &amp; 'Hulp (overig)'!$C$16 &amp; "'!B1:B1000"))
)
        )
    ) * I188
),
IF(I189="","",
IF(
    IFERROR(MIN(
        IF(
            (TRIM(INDIRECT("'" &amp; 'Hulp (overig)'!$C$16 &amp; "'!B1:B1000")) = TEXT(I189,"0")) *
            (ROW(INDIRECT("'" &amp; 'Hulp (overig)'!$C$16 &amp; "'!B1:B1000")) &gt;= MATCH(
                I187,
                INDIRECT("'" &amp; 'Hulp (overig)'!$C$16 &amp; "'!A1:A1000"),
                0
            )) *
            IF(
                J187="",
                1,
                (ROW(INDIRECT("'" &amp; 'Hulp (overig)'!$C$16 &amp; "'!B1:B1000")) &lt; MATCH(
                    J187,
                    INDIRECT("'" &amp; 'Hulp (overig)'!$C$16 &amp; "'!A1:A1000"),
                    0
                ))
            ),
            ROW(INDIRECT("'" &amp; 'Hulp (overig)'!$C$16 &amp; "'!B1:B1000"))
        )
    ),0) &lt; 1,
    "",
    IF(INDEX(
        INDIRECT("'" &amp; 'Hulp (overig)'!$C$16 &amp; "'!" &amp;
        'Hulp (overig)'!$C$17 &amp; "1:" &amp; 'Hulp (overig)'!$C$17 &amp; 1000
        ),
        IFERROR(MIN(
            IF(
                (TRIM(INDIRECT("'" &amp; 'Hulp (overig)'!$C$16 &amp; "'!B1:B1000")) = TEXT(I189,"0")) *
                (ROW(INDIRECT("'" &amp; 'Hulp (overig)'!$C$16 &amp; "'!B1:B1000")) &gt;= MATCH(
                    I187,
                    INDIRECT("'" &amp; 'Hulp (overig)'!$C$16 &amp; "'!A1:A1000"),
                    0
                )) *
                IF(
                    J187="",
                    1,
                    (ROW(INDIRECT("'" &amp; 'Hulp (overig)'!$C$16 &amp; "'!B1:B1000")) &lt; MATCH(
                        J187,
                        INDIRECT("'" &amp; 'Hulp (overig)'!$C$16 &amp; "'!A1:A1000"),
                        0
                    ))
                ),
                ROW(INDIRECT("'" &amp; 'Hulp (overig)'!$C$16 &amp; "'!B1:B1000"))
            )
        ),0)
    )=0,"",
INDEX(
        INDIRECT("'" &amp; 'Hulp (overig)'!$C$16 &amp; "'!" &amp;
        'Hulp (overig)'!$C$17 &amp; "1:" &amp; 'Hulp (overig)'!$C$17 &amp; 1000
        ),
        IFERROR(MIN(
            IF(
                (TRIM(INDIRECT("'" &amp; 'Hulp (overig)'!$C$16 &amp; "'!B1:B1000")) = TEXT(I189,"0")) *
                (ROW(INDIRECT("'" &amp; 'Hulp (overig)'!$C$16 &amp; "'!B1:B1000")) &gt;= MATCH(
                    I187,
                    INDIRECT("'" &amp; 'Hulp (overig)'!$C$16 &amp; "'!A1:A1000"),
                    0
                )) *
                IF(
                    J187="",
                    1,
                    (ROW(INDIRECT("'" &amp; 'Hulp (overig)'!$C$16 &amp; "'!B1:B1000")) &lt; MATCH(
                        J187,
                        INDIRECT("'" &amp; 'Hulp (overig)'!$C$16 &amp; "'!A1:A1000"),
                        0
                    ))
                ),
                ROW(INDIRECT("'" &amp; 'Hulp (overig)'!$C$16 &amp; "'!B1:B1000"))
            )
        ),0)
    ))
))))</f>
        <v>#VALUE!</v>
      </c>
      <c r="J190" s="425" t="e" cm="1">
        <f t="array" aca="1" ref="J190" ca="1">IF($BF190, IF(J187="","",
   INDEX(
      INDIRECT("'" &amp; 'Hulp (CAO''s)'!$AE$8 &amp; "'!" &amp;
               'Hulp (overig)'!$C$17 &amp; "1:" &amp;
               'Hulp (overig)'!$C$17 &amp; "1000"),
      MATCH(
         J187,
         INDIRECT("'" &amp; 'Hulp (CAO''s)'!$AE$8 &amp; "'!A1:A1000"),
         0
      )
   )
), IF($D188="Gebruik % van maximum salaris",
IF(
    OR(J187="",J188=""),
    "",
    MAX(
        INDIRECT(
            "'" &amp; 'Hulp (overig)'!$C$16 &amp; "'!" &amp;
            'Hulp (overig)'!$C$17 &amp;
            MATCH(J187, INDIRECT("'" &amp; 'Hulp (overig)'!$C$16 &amp; "'!A1:A1000"), 0) &amp;
            ":" &amp;
            'Hulp (overig)'!$C$17 &amp;
LOOKUP(
    2,
    1 / (
        (ROW(INDIRECT("'" &amp; 'Hulp (overig)'!$C$16 &amp; "'!B1:B1000")) &lt;
            IF(K187&lt;&gt;"",
               MATCH(K187, INDIRECT("'" &amp; 'Hulp (overig)'!$C$16 &amp; "'!A1:A1000"),0),
               1000
            )
        ) *
        (LEFT(TRIM(INDIRECT("'" &amp; 'Hulp (overig)'!$C$16 &amp; "'!B1:B1000")),1) &lt;&gt; "u")
    ),
    ROW(INDIRECT("'" &amp; 'Hulp (overig)'!$C$16 &amp; "'!B1:B1000"))
)
        )
    ) * J188
),
IF(J189="","",
IF(
    IFERROR(MIN(
        IF(
            (TRIM(INDIRECT("'" &amp; 'Hulp (overig)'!$C$16 &amp; "'!B1:B1000")) = TEXT(J189,"0")) *
            (ROW(INDIRECT("'" &amp; 'Hulp (overig)'!$C$16 &amp; "'!B1:B1000")) &gt;= MATCH(
                J187,
                INDIRECT("'" &amp; 'Hulp (overig)'!$C$16 &amp; "'!A1:A1000"),
                0
            )) *
            IF(
                K187="",
                1,
                (ROW(INDIRECT("'" &amp; 'Hulp (overig)'!$C$16 &amp; "'!B1:B1000")) &lt; MATCH(
                    K187,
                    INDIRECT("'" &amp; 'Hulp (overig)'!$C$16 &amp; "'!A1:A1000"),
                    0
                ))
            ),
            ROW(INDIRECT("'" &amp; 'Hulp (overig)'!$C$16 &amp; "'!B1:B1000"))
        )
    ),0) &lt; 1,
    "",
    IF(INDEX(
        INDIRECT("'" &amp; 'Hulp (overig)'!$C$16 &amp; "'!" &amp;
        'Hulp (overig)'!$C$17 &amp; "1:" &amp; 'Hulp (overig)'!$C$17 &amp; 1000
        ),
        IFERROR(MIN(
            IF(
                (TRIM(INDIRECT("'" &amp; 'Hulp (overig)'!$C$16 &amp; "'!B1:B1000")) = TEXT(J189,"0")) *
                (ROW(INDIRECT("'" &amp; 'Hulp (overig)'!$C$16 &amp; "'!B1:B1000")) &gt;= MATCH(
                    J187,
                    INDIRECT("'" &amp; 'Hulp (overig)'!$C$16 &amp; "'!A1:A1000"),
                    0
                )) *
                IF(
                    K187="",
                    1,
                    (ROW(INDIRECT("'" &amp; 'Hulp (overig)'!$C$16 &amp; "'!B1:B1000")) &lt; MATCH(
                        K187,
                        INDIRECT("'" &amp; 'Hulp (overig)'!$C$16 &amp; "'!A1:A1000"),
                        0
                    ))
                ),
                ROW(INDIRECT("'" &amp; 'Hulp (overig)'!$C$16 &amp; "'!B1:B1000"))
            )
        ),0)
    )=0,"",
INDEX(
        INDIRECT("'" &amp; 'Hulp (overig)'!$C$16 &amp; "'!" &amp;
        'Hulp (overig)'!$C$17 &amp; "1:" &amp; 'Hulp (overig)'!$C$17 &amp; 1000
        ),
        IFERROR(MIN(
            IF(
                (TRIM(INDIRECT("'" &amp; 'Hulp (overig)'!$C$16 &amp; "'!B1:B1000")) = TEXT(J189,"0")) *
                (ROW(INDIRECT("'" &amp; 'Hulp (overig)'!$C$16 &amp; "'!B1:B1000")) &gt;= MATCH(
                    J187,
                    INDIRECT("'" &amp; 'Hulp (overig)'!$C$16 &amp; "'!A1:A1000"),
                    0
                )) *
                IF(
                    K187="",
                    1,
                    (ROW(INDIRECT("'" &amp; 'Hulp (overig)'!$C$16 &amp; "'!B1:B1000")) &lt; MATCH(
                        K187,
                        INDIRECT("'" &amp; 'Hulp (overig)'!$C$16 &amp; "'!A1:A1000"),
                        0
                    ))
                ),
                ROW(INDIRECT("'" &amp; 'Hulp (overig)'!$C$16 &amp; "'!B1:B1000"))
            )
        ),0)
    ))
))))</f>
        <v>#VALUE!</v>
      </c>
      <c r="K190" s="425" t="e" cm="1">
        <f t="array" aca="1" ref="K190" ca="1">IF($BF190, IF(K187="","",
   INDEX(
      INDIRECT("'" &amp; 'Hulp (CAO''s)'!$AE$8 &amp; "'!" &amp;
               'Hulp (overig)'!$C$17 &amp; "1:" &amp;
               'Hulp (overig)'!$C$17 &amp; "1000"),
      MATCH(
         K187,
         INDIRECT("'" &amp; 'Hulp (CAO''s)'!$AE$8 &amp; "'!A1:A1000"),
         0
      )
   )
), IF($D188="Gebruik % van maximum salaris",
IF(
    OR(K187="",K188=""),
    "",
    MAX(
        INDIRECT(
            "'" &amp; 'Hulp (overig)'!$C$16 &amp; "'!" &amp;
            'Hulp (overig)'!$C$17 &amp;
            MATCH(K187, INDIRECT("'" &amp; 'Hulp (overig)'!$C$16 &amp; "'!A1:A1000"), 0) &amp;
            ":" &amp;
            'Hulp (overig)'!$C$17 &amp;
LOOKUP(
    2,
    1 / (
        (ROW(INDIRECT("'" &amp; 'Hulp (overig)'!$C$16 &amp; "'!B1:B1000")) &lt;
            IF(L187&lt;&gt;"",
               MATCH(L187, INDIRECT("'" &amp; 'Hulp (overig)'!$C$16 &amp; "'!A1:A1000"),0),
               1000
            )
        ) *
        (LEFT(TRIM(INDIRECT("'" &amp; 'Hulp (overig)'!$C$16 &amp; "'!B1:B1000")),1) &lt;&gt; "u")
    ),
    ROW(INDIRECT("'" &amp; 'Hulp (overig)'!$C$16 &amp; "'!B1:B1000"))
)
        )
    ) * K188
),
IF(K189="","",
IF(
    IFERROR(MIN(
        IF(
            (TRIM(INDIRECT("'" &amp; 'Hulp (overig)'!$C$16 &amp; "'!B1:B1000")) = TEXT(K189,"0")) *
            (ROW(INDIRECT("'" &amp; 'Hulp (overig)'!$C$16 &amp; "'!B1:B1000")) &gt;= MATCH(
                K187,
                INDIRECT("'" &amp; 'Hulp (overig)'!$C$16 &amp; "'!A1:A1000"),
                0
            )) *
            IF(
                L187="",
                1,
                (ROW(INDIRECT("'" &amp; 'Hulp (overig)'!$C$16 &amp; "'!B1:B1000")) &lt; MATCH(
                    L187,
                    INDIRECT("'" &amp; 'Hulp (overig)'!$C$16 &amp; "'!A1:A1000"),
                    0
                ))
            ),
            ROW(INDIRECT("'" &amp; 'Hulp (overig)'!$C$16 &amp; "'!B1:B1000"))
        )
    ),0) &lt; 1,
    "",
    IF(INDEX(
        INDIRECT("'" &amp; 'Hulp (overig)'!$C$16 &amp; "'!" &amp;
        'Hulp (overig)'!$C$17 &amp; "1:" &amp; 'Hulp (overig)'!$C$17 &amp; 1000
        ),
        IFERROR(MIN(
            IF(
                (TRIM(INDIRECT("'" &amp; 'Hulp (overig)'!$C$16 &amp; "'!B1:B1000")) = TEXT(K189,"0")) *
                (ROW(INDIRECT("'" &amp; 'Hulp (overig)'!$C$16 &amp; "'!B1:B1000")) &gt;= MATCH(
                    K187,
                    INDIRECT("'" &amp; 'Hulp (overig)'!$C$16 &amp; "'!A1:A1000"),
                    0
                )) *
                IF(
                    L187="",
                    1,
                    (ROW(INDIRECT("'" &amp; 'Hulp (overig)'!$C$16 &amp; "'!B1:B1000")) &lt; MATCH(
                        L187,
                        INDIRECT("'" &amp; 'Hulp (overig)'!$C$16 &amp; "'!A1:A1000"),
                        0
                    ))
                ),
                ROW(INDIRECT("'" &amp; 'Hulp (overig)'!$C$16 &amp; "'!B1:B1000"))
            )
        ),0)
    )=0,"",
INDEX(
        INDIRECT("'" &amp; 'Hulp (overig)'!$C$16 &amp; "'!" &amp;
        'Hulp (overig)'!$C$17 &amp; "1:" &amp; 'Hulp (overig)'!$C$17 &amp; 1000
        ),
        IFERROR(MIN(
            IF(
                (TRIM(INDIRECT("'" &amp; 'Hulp (overig)'!$C$16 &amp; "'!B1:B1000")) = TEXT(K189,"0")) *
                (ROW(INDIRECT("'" &amp; 'Hulp (overig)'!$C$16 &amp; "'!B1:B1000")) &gt;= MATCH(
                    K187,
                    INDIRECT("'" &amp; 'Hulp (overig)'!$C$16 &amp; "'!A1:A1000"),
                    0
                )) *
                IF(
                    L187="",
                    1,
                    (ROW(INDIRECT("'" &amp; 'Hulp (overig)'!$C$16 &amp; "'!B1:B1000")) &lt; MATCH(
                        L187,
                        INDIRECT("'" &amp; 'Hulp (overig)'!$C$16 &amp; "'!A1:A1000"),
                        0
                    ))
                ),
                ROW(INDIRECT("'" &amp; 'Hulp (overig)'!$C$16 &amp; "'!B1:B1000"))
            )
        ),0)
    ))
))))</f>
        <v>#VALUE!</v>
      </c>
      <c r="L190" s="425" t="e" cm="1">
        <f t="array" aca="1" ref="L190" ca="1">IF($BF190, IF(L187="","",
   INDEX(
      INDIRECT("'" &amp; 'Hulp (CAO''s)'!$AE$8 &amp; "'!" &amp;
               'Hulp (overig)'!$C$17 &amp; "1:" &amp;
               'Hulp (overig)'!$C$17 &amp; "1000"),
      MATCH(
         L187,
         INDIRECT("'" &amp; 'Hulp (CAO''s)'!$AE$8 &amp; "'!A1:A1000"),
         0
      )
   )
), IF($D188="Gebruik % van maximum salaris",
IF(
    OR(L187="",L188=""),
    "",
    MAX(
        INDIRECT(
            "'" &amp; 'Hulp (overig)'!$C$16 &amp; "'!" &amp;
            'Hulp (overig)'!$C$17 &amp;
            MATCH(L187, INDIRECT("'" &amp; 'Hulp (overig)'!$C$16 &amp; "'!A1:A1000"), 0) &amp;
            ":" &amp;
            'Hulp (overig)'!$C$17 &amp;
LOOKUP(
    2,
    1 / (
        (ROW(INDIRECT("'" &amp; 'Hulp (overig)'!$C$16 &amp; "'!B1:B1000")) &lt;
            IF(M187&lt;&gt;"",
               MATCH(M187, INDIRECT("'" &amp; 'Hulp (overig)'!$C$16 &amp; "'!A1:A1000"),0),
               1000
            )
        ) *
        (LEFT(TRIM(INDIRECT("'" &amp; 'Hulp (overig)'!$C$16 &amp; "'!B1:B1000")),1) &lt;&gt; "u")
    ),
    ROW(INDIRECT("'" &amp; 'Hulp (overig)'!$C$16 &amp; "'!B1:B1000"))
)
        )
    ) * L188
),
IF(L189="","",
IF(
    IFERROR(MIN(
        IF(
            (TRIM(INDIRECT("'" &amp; 'Hulp (overig)'!$C$16 &amp; "'!B1:B1000")) = TEXT(L189,"0")) *
            (ROW(INDIRECT("'" &amp; 'Hulp (overig)'!$C$16 &amp; "'!B1:B1000")) &gt;= MATCH(
                L187,
                INDIRECT("'" &amp; 'Hulp (overig)'!$C$16 &amp; "'!A1:A1000"),
                0
            )) *
            IF(
                M187="",
                1,
                (ROW(INDIRECT("'" &amp; 'Hulp (overig)'!$C$16 &amp; "'!B1:B1000")) &lt; MATCH(
                    M187,
                    INDIRECT("'" &amp; 'Hulp (overig)'!$C$16 &amp; "'!A1:A1000"),
                    0
                ))
            ),
            ROW(INDIRECT("'" &amp; 'Hulp (overig)'!$C$16 &amp; "'!B1:B1000"))
        )
    ),0) &lt; 1,
    "",
    IF(INDEX(
        INDIRECT("'" &amp; 'Hulp (overig)'!$C$16 &amp; "'!" &amp;
        'Hulp (overig)'!$C$17 &amp; "1:" &amp; 'Hulp (overig)'!$C$17 &amp; 1000
        ),
        IFERROR(MIN(
            IF(
                (TRIM(INDIRECT("'" &amp; 'Hulp (overig)'!$C$16 &amp; "'!B1:B1000")) = TEXT(L189,"0")) *
                (ROW(INDIRECT("'" &amp; 'Hulp (overig)'!$C$16 &amp; "'!B1:B1000")) &gt;= MATCH(
                    L187,
                    INDIRECT("'" &amp; 'Hulp (overig)'!$C$16 &amp; "'!A1:A1000"),
                    0
                )) *
                IF(
                    M187="",
                    1,
                    (ROW(INDIRECT("'" &amp; 'Hulp (overig)'!$C$16 &amp; "'!B1:B1000")) &lt; MATCH(
                        M187,
                        INDIRECT("'" &amp; 'Hulp (overig)'!$C$16 &amp; "'!A1:A1000"),
                        0
                    ))
                ),
                ROW(INDIRECT("'" &amp; 'Hulp (overig)'!$C$16 &amp; "'!B1:B1000"))
            )
        ),0)
    )=0,"",
INDEX(
        INDIRECT("'" &amp; 'Hulp (overig)'!$C$16 &amp; "'!" &amp;
        'Hulp (overig)'!$C$17 &amp; "1:" &amp; 'Hulp (overig)'!$C$17 &amp; 1000
        ),
        IFERROR(MIN(
            IF(
                (TRIM(INDIRECT("'" &amp; 'Hulp (overig)'!$C$16 &amp; "'!B1:B1000")) = TEXT(L189,"0")) *
                (ROW(INDIRECT("'" &amp; 'Hulp (overig)'!$C$16 &amp; "'!B1:B1000")) &gt;= MATCH(
                    L187,
                    INDIRECT("'" &amp; 'Hulp (overig)'!$C$16 &amp; "'!A1:A1000"),
                    0
                )) *
                IF(
                    M187="",
                    1,
                    (ROW(INDIRECT("'" &amp; 'Hulp (overig)'!$C$16 &amp; "'!B1:B1000")) &lt; MATCH(
                        M187,
                        INDIRECT("'" &amp; 'Hulp (overig)'!$C$16 &amp; "'!A1:A1000"),
                        0
                    ))
                ),
                ROW(INDIRECT("'" &amp; 'Hulp (overig)'!$C$16 &amp; "'!B1:B1000"))
            )
        ),0)
    ))
))))</f>
        <v>#VALUE!</v>
      </c>
      <c r="M190" s="425" t="e" cm="1">
        <f t="array" aca="1" ref="M190" ca="1">IF($BF190, IF(M187="","",
   INDEX(
      INDIRECT("'" &amp; 'Hulp (CAO''s)'!$AE$8 &amp; "'!" &amp;
               'Hulp (overig)'!$C$17 &amp; "1:" &amp;
               'Hulp (overig)'!$C$17 &amp; "1000"),
      MATCH(
         M187,
         INDIRECT("'" &amp; 'Hulp (CAO''s)'!$AE$8 &amp; "'!A1:A1000"),
         0
      )
   )
), IF($D188="Gebruik % van maximum salaris",
IF(
    OR(M187="",M188=""),
    "",
    MAX(
        INDIRECT(
            "'" &amp; 'Hulp (overig)'!$C$16 &amp; "'!" &amp;
            'Hulp (overig)'!$C$17 &amp;
            MATCH(M187, INDIRECT("'" &amp; 'Hulp (overig)'!$C$16 &amp; "'!A1:A1000"), 0) &amp;
            ":" &amp;
            'Hulp (overig)'!$C$17 &amp;
LOOKUP(
    2,
    1 / (
        (ROW(INDIRECT("'" &amp; 'Hulp (overig)'!$C$16 &amp; "'!B1:B1000")) &lt;
            IF(N187&lt;&gt;"",
               MATCH(N187, INDIRECT("'" &amp; 'Hulp (overig)'!$C$16 &amp; "'!A1:A1000"),0),
               1000
            )
        ) *
        (LEFT(TRIM(INDIRECT("'" &amp; 'Hulp (overig)'!$C$16 &amp; "'!B1:B1000")),1) &lt;&gt; "u")
    ),
    ROW(INDIRECT("'" &amp; 'Hulp (overig)'!$C$16 &amp; "'!B1:B1000"))
)
        )
    ) * M188
),
IF(M189="","",
IF(
    IFERROR(MIN(
        IF(
            (TRIM(INDIRECT("'" &amp; 'Hulp (overig)'!$C$16 &amp; "'!B1:B1000")) = TEXT(M189,"0")) *
            (ROW(INDIRECT("'" &amp; 'Hulp (overig)'!$C$16 &amp; "'!B1:B1000")) &gt;= MATCH(
                M187,
                INDIRECT("'" &amp; 'Hulp (overig)'!$C$16 &amp; "'!A1:A1000"),
                0
            )) *
            IF(
                N187="",
                1,
                (ROW(INDIRECT("'" &amp; 'Hulp (overig)'!$C$16 &amp; "'!B1:B1000")) &lt; MATCH(
                    N187,
                    INDIRECT("'" &amp; 'Hulp (overig)'!$C$16 &amp; "'!A1:A1000"),
                    0
                ))
            ),
            ROW(INDIRECT("'" &amp; 'Hulp (overig)'!$C$16 &amp; "'!B1:B1000"))
        )
    ),0) &lt; 1,
    "",
    IF(INDEX(
        INDIRECT("'" &amp; 'Hulp (overig)'!$C$16 &amp; "'!" &amp;
        'Hulp (overig)'!$C$17 &amp; "1:" &amp; 'Hulp (overig)'!$C$17 &amp; 1000
        ),
        IFERROR(MIN(
            IF(
                (TRIM(INDIRECT("'" &amp; 'Hulp (overig)'!$C$16 &amp; "'!B1:B1000")) = TEXT(M189,"0")) *
                (ROW(INDIRECT("'" &amp; 'Hulp (overig)'!$C$16 &amp; "'!B1:B1000")) &gt;= MATCH(
                    M187,
                    INDIRECT("'" &amp; 'Hulp (overig)'!$C$16 &amp; "'!A1:A1000"),
                    0
                )) *
                IF(
                    N187="",
                    1,
                    (ROW(INDIRECT("'" &amp; 'Hulp (overig)'!$C$16 &amp; "'!B1:B1000")) &lt; MATCH(
                        N187,
                        INDIRECT("'" &amp; 'Hulp (overig)'!$C$16 &amp; "'!A1:A1000"),
                        0
                    ))
                ),
                ROW(INDIRECT("'" &amp; 'Hulp (overig)'!$C$16 &amp; "'!B1:B1000"))
            )
        ),0)
    )=0,"",
INDEX(
        INDIRECT("'" &amp; 'Hulp (overig)'!$C$16 &amp; "'!" &amp;
        'Hulp (overig)'!$C$17 &amp; "1:" &amp; 'Hulp (overig)'!$C$17 &amp; 1000
        ),
        IFERROR(MIN(
            IF(
                (TRIM(INDIRECT("'" &amp; 'Hulp (overig)'!$C$16 &amp; "'!B1:B1000")) = TEXT(M189,"0")) *
                (ROW(INDIRECT("'" &amp; 'Hulp (overig)'!$C$16 &amp; "'!B1:B1000")) &gt;= MATCH(
                    M187,
                    INDIRECT("'" &amp; 'Hulp (overig)'!$C$16 &amp; "'!A1:A1000"),
                    0
                )) *
                IF(
                    N187="",
                    1,
                    (ROW(INDIRECT("'" &amp; 'Hulp (overig)'!$C$16 &amp; "'!B1:B1000")) &lt; MATCH(
                        N187,
                        INDIRECT("'" &amp; 'Hulp (overig)'!$C$16 &amp; "'!A1:A1000"),
                        0
                    ))
                ),
                ROW(INDIRECT("'" &amp; 'Hulp (overig)'!$C$16 &amp; "'!B1:B1000"))
            )
        ),0)
    ))
))))</f>
        <v>#VALUE!</v>
      </c>
      <c r="N190" s="425" t="e" cm="1">
        <f t="array" aca="1" ref="N190" ca="1">IF($BF190, IF(N187="","",
   INDEX(
      INDIRECT("'" &amp; 'Hulp (CAO''s)'!$AE$8 &amp; "'!" &amp;
               'Hulp (overig)'!$C$17 &amp; "1:" &amp;
               'Hulp (overig)'!$C$17 &amp; "1000"),
      MATCH(
         N187,
         INDIRECT("'" &amp; 'Hulp (CAO''s)'!$AE$8 &amp; "'!A1:A1000"),
         0
      )
   )
), IF($D188="Gebruik % van maximum salaris",
IF(
    OR(N187="",N188=""),
    "",
    MAX(
        INDIRECT(
            "'" &amp; 'Hulp (overig)'!$C$16 &amp; "'!" &amp;
            'Hulp (overig)'!$C$17 &amp;
            MATCH(N187, INDIRECT("'" &amp; 'Hulp (overig)'!$C$16 &amp; "'!A1:A1000"), 0) &amp;
            ":" &amp;
            'Hulp (overig)'!$C$17 &amp;
LOOKUP(
    2,
    1 / (
        (ROW(INDIRECT("'" &amp; 'Hulp (overig)'!$C$16 &amp; "'!B1:B1000")) &lt;
            IF(O187&lt;&gt;"",
               MATCH(O187, INDIRECT("'" &amp; 'Hulp (overig)'!$C$16 &amp; "'!A1:A1000"),0),
               1000
            )
        ) *
        (LEFT(TRIM(INDIRECT("'" &amp; 'Hulp (overig)'!$C$16 &amp; "'!B1:B1000")),1) &lt;&gt; "u")
    ),
    ROW(INDIRECT("'" &amp; 'Hulp (overig)'!$C$16 &amp; "'!B1:B1000"))
)
        )
    ) * N188
),
IF(N189="","",
IF(
    IFERROR(MIN(
        IF(
            (TRIM(INDIRECT("'" &amp; 'Hulp (overig)'!$C$16 &amp; "'!B1:B1000")) = TEXT(N189,"0")) *
            (ROW(INDIRECT("'" &amp; 'Hulp (overig)'!$C$16 &amp; "'!B1:B1000")) &gt;= MATCH(
                N187,
                INDIRECT("'" &amp; 'Hulp (overig)'!$C$16 &amp; "'!A1:A1000"),
                0
            )) *
            IF(
                O187="",
                1,
                (ROW(INDIRECT("'" &amp; 'Hulp (overig)'!$C$16 &amp; "'!B1:B1000")) &lt; MATCH(
                    O187,
                    INDIRECT("'" &amp; 'Hulp (overig)'!$C$16 &amp; "'!A1:A1000"),
                    0
                ))
            ),
            ROW(INDIRECT("'" &amp; 'Hulp (overig)'!$C$16 &amp; "'!B1:B1000"))
        )
    ),0) &lt; 1,
    "",
    IF(INDEX(
        INDIRECT("'" &amp; 'Hulp (overig)'!$C$16 &amp; "'!" &amp;
        'Hulp (overig)'!$C$17 &amp; "1:" &amp; 'Hulp (overig)'!$C$17 &amp; 1000
        ),
        IFERROR(MIN(
            IF(
                (TRIM(INDIRECT("'" &amp; 'Hulp (overig)'!$C$16 &amp; "'!B1:B1000")) = TEXT(N189,"0")) *
                (ROW(INDIRECT("'" &amp; 'Hulp (overig)'!$C$16 &amp; "'!B1:B1000")) &gt;= MATCH(
                    N187,
                    INDIRECT("'" &amp; 'Hulp (overig)'!$C$16 &amp; "'!A1:A1000"),
                    0
                )) *
                IF(
                    O187="",
                    1,
                    (ROW(INDIRECT("'" &amp; 'Hulp (overig)'!$C$16 &amp; "'!B1:B1000")) &lt; MATCH(
                        O187,
                        INDIRECT("'" &amp; 'Hulp (overig)'!$C$16 &amp; "'!A1:A1000"),
                        0
                    ))
                ),
                ROW(INDIRECT("'" &amp; 'Hulp (overig)'!$C$16 &amp; "'!B1:B1000"))
            )
        ),0)
    )=0,"",
INDEX(
        INDIRECT("'" &amp; 'Hulp (overig)'!$C$16 &amp; "'!" &amp;
        'Hulp (overig)'!$C$17 &amp; "1:" &amp; 'Hulp (overig)'!$C$17 &amp; 1000
        ),
        IFERROR(MIN(
            IF(
                (TRIM(INDIRECT("'" &amp; 'Hulp (overig)'!$C$16 &amp; "'!B1:B1000")) = TEXT(N189,"0")) *
                (ROW(INDIRECT("'" &amp; 'Hulp (overig)'!$C$16 &amp; "'!B1:B1000")) &gt;= MATCH(
                    N187,
                    INDIRECT("'" &amp; 'Hulp (overig)'!$C$16 &amp; "'!A1:A1000"),
                    0
                )) *
                IF(
                    O187="",
                    1,
                    (ROW(INDIRECT("'" &amp; 'Hulp (overig)'!$C$16 &amp; "'!B1:B1000")) &lt; MATCH(
                        O187,
                        INDIRECT("'" &amp; 'Hulp (overig)'!$C$16 &amp; "'!A1:A1000"),
                        0
                    ))
                ),
                ROW(INDIRECT("'" &amp; 'Hulp (overig)'!$C$16 &amp; "'!B1:B1000"))
            )
        ),0)
    ))
))))</f>
        <v>#VALUE!</v>
      </c>
      <c r="O190" s="425" t="e" cm="1">
        <f t="array" aca="1" ref="O190" ca="1">IF($BF190, IF(O187="","",
   INDEX(
      INDIRECT("'" &amp; 'Hulp (CAO''s)'!$AE$8 &amp; "'!" &amp;
               'Hulp (overig)'!$C$17 &amp; "1:" &amp;
               'Hulp (overig)'!$C$17 &amp; "1000"),
      MATCH(
         O187,
         INDIRECT("'" &amp; 'Hulp (CAO''s)'!$AE$8 &amp; "'!A1:A1000"),
         0
      )
   )
), IF($D188="Gebruik % van maximum salaris",
IF(
    OR(O187="",O188=""),
    "",
    MAX(
        INDIRECT(
            "'" &amp; 'Hulp (overig)'!$C$16 &amp; "'!" &amp;
            'Hulp (overig)'!$C$17 &amp;
            MATCH(O187, INDIRECT("'" &amp; 'Hulp (overig)'!$C$16 &amp; "'!A1:A1000"), 0) &amp;
            ":" &amp;
            'Hulp (overig)'!$C$17 &amp;
LOOKUP(
    2,
    1 / (
        (ROW(INDIRECT("'" &amp; 'Hulp (overig)'!$C$16 &amp; "'!B1:B1000")) &lt;
            IF(P187&lt;&gt;"",
               MATCH(P187, INDIRECT("'" &amp; 'Hulp (overig)'!$C$16 &amp; "'!A1:A1000"),0),
               1000
            )
        ) *
        (LEFT(TRIM(INDIRECT("'" &amp; 'Hulp (overig)'!$C$16 &amp; "'!B1:B1000")),1) &lt;&gt; "u")
    ),
    ROW(INDIRECT("'" &amp; 'Hulp (overig)'!$C$16 &amp; "'!B1:B1000"))
)
        )
    ) * O188
),
IF(O189="","",
IF(
    IFERROR(MIN(
        IF(
            (TRIM(INDIRECT("'" &amp; 'Hulp (overig)'!$C$16 &amp; "'!B1:B1000")) = TEXT(O189,"0")) *
            (ROW(INDIRECT("'" &amp; 'Hulp (overig)'!$C$16 &amp; "'!B1:B1000")) &gt;= MATCH(
                O187,
                INDIRECT("'" &amp; 'Hulp (overig)'!$C$16 &amp; "'!A1:A1000"),
                0
            )) *
            IF(
                P187="",
                1,
                (ROW(INDIRECT("'" &amp; 'Hulp (overig)'!$C$16 &amp; "'!B1:B1000")) &lt; MATCH(
                    P187,
                    INDIRECT("'" &amp; 'Hulp (overig)'!$C$16 &amp; "'!A1:A1000"),
                    0
                ))
            ),
            ROW(INDIRECT("'" &amp; 'Hulp (overig)'!$C$16 &amp; "'!B1:B1000"))
        )
    ),0) &lt; 1,
    "",
    IF(INDEX(
        INDIRECT("'" &amp; 'Hulp (overig)'!$C$16 &amp; "'!" &amp;
        'Hulp (overig)'!$C$17 &amp; "1:" &amp; 'Hulp (overig)'!$C$17 &amp; 1000
        ),
        IFERROR(MIN(
            IF(
                (TRIM(INDIRECT("'" &amp; 'Hulp (overig)'!$C$16 &amp; "'!B1:B1000")) = TEXT(O189,"0")) *
                (ROW(INDIRECT("'" &amp; 'Hulp (overig)'!$C$16 &amp; "'!B1:B1000")) &gt;= MATCH(
                    O187,
                    INDIRECT("'" &amp; 'Hulp (overig)'!$C$16 &amp; "'!A1:A1000"),
                    0
                )) *
                IF(
                    P187="",
                    1,
                    (ROW(INDIRECT("'" &amp; 'Hulp (overig)'!$C$16 &amp; "'!B1:B1000")) &lt; MATCH(
                        P187,
                        INDIRECT("'" &amp; 'Hulp (overig)'!$C$16 &amp; "'!A1:A1000"),
                        0
                    ))
                ),
                ROW(INDIRECT("'" &amp; 'Hulp (overig)'!$C$16 &amp; "'!B1:B1000"))
            )
        ),0)
    )=0,"",
INDEX(
        INDIRECT("'" &amp; 'Hulp (overig)'!$C$16 &amp; "'!" &amp;
        'Hulp (overig)'!$C$17 &amp; "1:" &amp; 'Hulp (overig)'!$C$17 &amp; 1000
        ),
        IFERROR(MIN(
            IF(
                (TRIM(INDIRECT("'" &amp; 'Hulp (overig)'!$C$16 &amp; "'!B1:B1000")) = TEXT(O189,"0")) *
                (ROW(INDIRECT("'" &amp; 'Hulp (overig)'!$C$16 &amp; "'!B1:B1000")) &gt;= MATCH(
                    O187,
                    INDIRECT("'" &amp; 'Hulp (overig)'!$C$16 &amp; "'!A1:A1000"),
                    0
                )) *
                IF(
                    P187="",
                    1,
                    (ROW(INDIRECT("'" &amp; 'Hulp (overig)'!$C$16 &amp; "'!B1:B1000")) &lt; MATCH(
                        P187,
                        INDIRECT("'" &amp; 'Hulp (overig)'!$C$16 &amp; "'!A1:A1000"),
                        0
                    ))
                ),
                ROW(INDIRECT("'" &amp; 'Hulp (overig)'!$C$16 &amp; "'!B1:B1000"))
            )
        ),0)
    ))
))))</f>
        <v>#VALUE!</v>
      </c>
      <c r="P190" s="425" t="e" cm="1">
        <f t="array" aca="1" ref="P190" ca="1">IF($BF190, IF(P187="","",
   INDEX(
      INDIRECT("'" &amp; 'Hulp (CAO''s)'!$AE$8 &amp; "'!" &amp;
               'Hulp (overig)'!$C$17 &amp; "1:" &amp;
               'Hulp (overig)'!$C$17 &amp; "1000"),
      MATCH(
         P187,
         INDIRECT("'" &amp; 'Hulp (CAO''s)'!$AE$8 &amp; "'!A1:A1000"),
         0
      )
   )
), IF($D188="Gebruik % van maximum salaris",
IF(
    OR(P187="",P188=""),
    "",
    MAX(
        INDIRECT(
            "'" &amp; 'Hulp (overig)'!$C$16 &amp; "'!" &amp;
            'Hulp (overig)'!$C$17 &amp;
            MATCH(P187, INDIRECT("'" &amp; 'Hulp (overig)'!$C$16 &amp; "'!A1:A1000"), 0) &amp;
            ":" &amp;
            'Hulp (overig)'!$C$17 &amp;
LOOKUP(
    2,
    1 / (
        (ROW(INDIRECT("'" &amp; 'Hulp (overig)'!$C$16 &amp; "'!B1:B1000")) &lt;
            IF(Q187&lt;&gt;"",
               MATCH(Q187, INDIRECT("'" &amp; 'Hulp (overig)'!$C$16 &amp; "'!A1:A1000"),0),
               1000
            )
        ) *
        (LEFT(TRIM(INDIRECT("'" &amp; 'Hulp (overig)'!$C$16 &amp; "'!B1:B1000")),1) &lt;&gt; "u")
    ),
    ROW(INDIRECT("'" &amp; 'Hulp (overig)'!$C$16 &amp; "'!B1:B1000"))
)
        )
    ) * P188
),
IF(P189="","",
IF(
    IFERROR(MIN(
        IF(
            (TRIM(INDIRECT("'" &amp; 'Hulp (overig)'!$C$16 &amp; "'!B1:B1000")) = TEXT(P189,"0")) *
            (ROW(INDIRECT("'" &amp; 'Hulp (overig)'!$C$16 &amp; "'!B1:B1000")) &gt;= MATCH(
                P187,
                INDIRECT("'" &amp; 'Hulp (overig)'!$C$16 &amp; "'!A1:A1000"),
                0
            )) *
            IF(
                Q187="",
                1,
                (ROW(INDIRECT("'" &amp; 'Hulp (overig)'!$C$16 &amp; "'!B1:B1000")) &lt; MATCH(
                    Q187,
                    INDIRECT("'" &amp; 'Hulp (overig)'!$C$16 &amp; "'!A1:A1000"),
                    0
                ))
            ),
            ROW(INDIRECT("'" &amp; 'Hulp (overig)'!$C$16 &amp; "'!B1:B1000"))
        )
    ),0) &lt; 1,
    "",
    IF(INDEX(
        INDIRECT("'" &amp; 'Hulp (overig)'!$C$16 &amp; "'!" &amp;
        'Hulp (overig)'!$C$17 &amp; "1:" &amp; 'Hulp (overig)'!$C$17 &amp; 1000
        ),
        IFERROR(MIN(
            IF(
                (TRIM(INDIRECT("'" &amp; 'Hulp (overig)'!$C$16 &amp; "'!B1:B1000")) = TEXT(P189,"0")) *
                (ROW(INDIRECT("'" &amp; 'Hulp (overig)'!$C$16 &amp; "'!B1:B1000")) &gt;= MATCH(
                    P187,
                    INDIRECT("'" &amp; 'Hulp (overig)'!$C$16 &amp; "'!A1:A1000"),
                    0
                )) *
                IF(
                    Q187="",
                    1,
                    (ROW(INDIRECT("'" &amp; 'Hulp (overig)'!$C$16 &amp; "'!B1:B1000")) &lt; MATCH(
                        Q187,
                        INDIRECT("'" &amp; 'Hulp (overig)'!$C$16 &amp; "'!A1:A1000"),
                        0
                    ))
                ),
                ROW(INDIRECT("'" &amp; 'Hulp (overig)'!$C$16 &amp; "'!B1:B1000"))
            )
        ),0)
    )=0,"",
INDEX(
        INDIRECT("'" &amp; 'Hulp (overig)'!$C$16 &amp; "'!" &amp;
        'Hulp (overig)'!$C$17 &amp; "1:" &amp; 'Hulp (overig)'!$C$17 &amp; 1000
        ),
        IFERROR(MIN(
            IF(
                (TRIM(INDIRECT("'" &amp; 'Hulp (overig)'!$C$16 &amp; "'!B1:B1000")) = TEXT(P189,"0")) *
                (ROW(INDIRECT("'" &amp; 'Hulp (overig)'!$C$16 &amp; "'!B1:B1000")) &gt;= MATCH(
                    P187,
                    INDIRECT("'" &amp; 'Hulp (overig)'!$C$16 &amp; "'!A1:A1000"),
                    0
                )) *
                IF(
                    Q187="",
                    1,
                    (ROW(INDIRECT("'" &amp; 'Hulp (overig)'!$C$16 &amp; "'!B1:B1000")) &lt; MATCH(
                        Q187,
                        INDIRECT("'" &amp; 'Hulp (overig)'!$C$16 &amp; "'!A1:A1000"),
                        0
                    ))
                ),
                ROW(INDIRECT("'" &amp; 'Hulp (overig)'!$C$16 &amp; "'!B1:B1000"))
            )
        ),0)
    ))
))))</f>
        <v>#VALUE!</v>
      </c>
      <c r="Q190" s="425" t="e" cm="1">
        <f t="array" aca="1" ref="Q190" ca="1">IF($BF190, IF(Q187="","",
   INDEX(
      INDIRECT("'" &amp; 'Hulp (CAO''s)'!$AE$8 &amp; "'!" &amp;
               'Hulp (overig)'!$C$17 &amp; "1:" &amp;
               'Hulp (overig)'!$C$17 &amp; "1000"),
      MATCH(
         Q187,
         INDIRECT("'" &amp; 'Hulp (CAO''s)'!$AE$8 &amp; "'!A1:A1000"),
         0
      )
   )
), IF($D188="Gebruik % van maximum salaris",
IF(
    OR(Q187="",Q188=""),
    "",
    MAX(
        INDIRECT(
            "'" &amp; 'Hulp (overig)'!$C$16 &amp; "'!" &amp;
            'Hulp (overig)'!$C$17 &amp;
            MATCH(Q187, INDIRECT("'" &amp; 'Hulp (overig)'!$C$16 &amp; "'!A1:A1000"), 0) &amp;
            ":" &amp;
            'Hulp (overig)'!$C$17 &amp;
LOOKUP(
    2,
    1 / (
        (ROW(INDIRECT("'" &amp; 'Hulp (overig)'!$C$16 &amp; "'!B1:B1000")) &lt;
            IF(R187&lt;&gt;"",
               MATCH(R187, INDIRECT("'" &amp; 'Hulp (overig)'!$C$16 &amp; "'!A1:A1000"),0),
               1000
            )
        ) *
        (LEFT(TRIM(INDIRECT("'" &amp; 'Hulp (overig)'!$C$16 &amp; "'!B1:B1000")),1) &lt;&gt; "u")
    ),
    ROW(INDIRECT("'" &amp; 'Hulp (overig)'!$C$16 &amp; "'!B1:B1000"))
)
        )
    ) * Q188
),
IF(Q189="","",
IF(
    IFERROR(MIN(
        IF(
            (TRIM(INDIRECT("'" &amp; 'Hulp (overig)'!$C$16 &amp; "'!B1:B1000")) = TEXT(Q189,"0")) *
            (ROW(INDIRECT("'" &amp; 'Hulp (overig)'!$C$16 &amp; "'!B1:B1000")) &gt;= MATCH(
                Q187,
                INDIRECT("'" &amp; 'Hulp (overig)'!$C$16 &amp; "'!A1:A1000"),
                0
            )) *
            IF(
                R187="",
                1,
                (ROW(INDIRECT("'" &amp; 'Hulp (overig)'!$C$16 &amp; "'!B1:B1000")) &lt; MATCH(
                    R187,
                    INDIRECT("'" &amp; 'Hulp (overig)'!$C$16 &amp; "'!A1:A1000"),
                    0
                ))
            ),
            ROW(INDIRECT("'" &amp; 'Hulp (overig)'!$C$16 &amp; "'!B1:B1000"))
        )
    ),0) &lt; 1,
    "",
    IF(INDEX(
        INDIRECT("'" &amp; 'Hulp (overig)'!$C$16 &amp; "'!" &amp;
        'Hulp (overig)'!$C$17 &amp; "1:" &amp; 'Hulp (overig)'!$C$17 &amp; 1000
        ),
        IFERROR(MIN(
            IF(
                (TRIM(INDIRECT("'" &amp; 'Hulp (overig)'!$C$16 &amp; "'!B1:B1000")) = TEXT(Q189,"0")) *
                (ROW(INDIRECT("'" &amp; 'Hulp (overig)'!$C$16 &amp; "'!B1:B1000")) &gt;= MATCH(
                    Q187,
                    INDIRECT("'" &amp; 'Hulp (overig)'!$C$16 &amp; "'!A1:A1000"),
                    0
                )) *
                IF(
                    R187="",
                    1,
                    (ROW(INDIRECT("'" &amp; 'Hulp (overig)'!$C$16 &amp; "'!B1:B1000")) &lt; MATCH(
                        R187,
                        INDIRECT("'" &amp; 'Hulp (overig)'!$C$16 &amp; "'!A1:A1000"),
                        0
                    ))
                ),
                ROW(INDIRECT("'" &amp; 'Hulp (overig)'!$C$16 &amp; "'!B1:B1000"))
            )
        ),0)
    )=0,"",
INDEX(
        INDIRECT("'" &amp; 'Hulp (overig)'!$C$16 &amp; "'!" &amp;
        'Hulp (overig)'!$C$17 &amp; "1:" &amp; 'Hulp (overig)'!$C$17 &amp; 1000
        ),
        IFERROR(MIN(
            IF(
                (TRIM(INDIRECT("'" &amp; 'Hulp (overig)'!$C$16 &amp; "'!B1:B1000")) = TEXT(Q189,"0")) *
                (ROW(INDIRECT("'" &amp; 'Hulp (overig)'!$C$16 &amp; "'!B1:B1000")) &gt;= MATCH(
                    Q187,
                    INDIRECT("'" &amp; 'Hulp (overig)'!$C$16 &amp; "'!A1:A1000"),
                    0
                )) *
                IF(
                    R187="",
                    1,
                    (ROW(INDIRECT("'" &amp; 'Hulp (overig)'!$C$16 &amp; "'!B1:B1000")) &lt; MATCH(
                        R187,
                        INDIRECT("'" &amp; 'Hulp (overig)'!$C$16 &amp; "'!A1:A1000"),
                        0
                    ))
                ),
                ROW(INDIRECT("'" &amp; 'Hulp (overig)'!$C$16 &amp; "'!B1:B1000"))
            )
        ),0)
    ))
))))</f>
        <v>#VALUE!</v>
      </c>
      <c r="R190" s="425" t="e" cm="1">
        <f t="array" aca="1" ref="R190" ca="1">IF($BF190, IF(R187="","",
   INDEX(
      INDIRECT("'" &amp; 'Hulp (CAO''s)'!$AE$8 &amp; "'!" &amp;
               'Hulp (overig)'!$C$17 &amp; "1:" &amp;
               'Hulp (overig)'!$C$17 &amp; "1000"),
      MATCH(
         R187,
         INDIRECT("'" &amp; 'Hulp (CAO''s)'!$AE$8 &amp; "'!A1:A1000"),
         0
      )
   )
), IF($D188="Gebruik % van maximum salaris",
IF(
    OR(R187="",R188=""),
    "",
    MAX(
        INDIRECT(
            "'" &amp; 'Hulp (overig)'!$C$16 &amp; "'!" &amp;
            'Hulp (overig)'!$C$17 &amp;
            MATCH(R187, INDIRECT("'" &amp; 'Hulp (overig)'!$C$16 &amp; "'!A1:A1000"), 0) &amp;
            ":" &amp;
            'Hulp (overig)'!$C$17 &amp;
LOOKUP(
    2,
    1 / (
        (ROW(INDIRECT("'" &amp; 'Hulp (overig)'!$C$16 &amp; "'!B1:B1000")) &lt;
            IF(S187&lt;&gt;"",
               MATCH(S187, INDIRECT("'" &amp; 'Hulp (overig)'!$C$16 &amp; "'!A1:A1000"),0),
               1000
            )
        ) *
        (LEFT(TRIM(INDIRECT("'" &amp; 'Hulp (overig)'!$C$16 &amp; "'!B1:B1000")),1) &lt;&gt; "u")
    ),
    ROW(INDIRECT("'" &amp; 'Hulp (overig)'!$C$16 &amp; "'!B1:B1000"))
)
        )
    ) * R188
),
IF(R189="","",
IF(
    IFERROR(MIN(
        IF(
            (TRIM(INDIRECT("'" &amp; 'Hulp (overig)'!$C$16 &amp; "'!B1:B1000")) = TEXT(R189,"0")) *
            (ROW(INDIRECT("'" &amp; 'Hulp (overig)'!$C$16 &amp; "'!B1:B1000")) &gt;= MATCH(
                R187,
                INDIRECT("'" &amp; 'Hulp (overig)'!$C$16 &amp; "'!A1:A1000"),
                0
            )) *
            IF(
                S187="",
                1,
                (ROW(INDIRECT("'" &amp; 'Hulp (overig)'!$C$16 &amp; "'!B1:B1000")) &lt; MATCH(
                    S187,
                    INDIRECT("'" &amp; 'Hulp (overig)'!$C$16 &amp; "'!A1:A1000"),
                    0
                ))
            ),
            ROW(INDIRECT("'" &amp; 'Hulp (overig)'!$C$16 &amp; "'!B1:B1000"))
        )
    ),0) &lt; 1,
    "",
    IF(INDEX(
        INDIRECT("'" &amp; 'Hulp (overig)'!$C$16 &amp; "'!" &amp;
        'Hulp (overig)'!$C$17 &amp; "1:" &amp; 'Hulp (overig)'!$C$17 &amp; 1000
        ),
        IFERROR(MIN(
            IF(
                (TRIM(INDIRECT("'" &amp; 'Hulp (overig)'!$C$16 &amp; "'!B1:B1000")) = TEXT(R189,"0")) *
                (ROW(INDIRECT("'" &amp; 'Hulp (overig)'!$C$16 &amp; "'!B1:B1000")) &gt;= MATCH(
                    R187,
                    INDIRECT("'" &amp; 'Hulp (overig)'!$C$16 &amp; "'!A1:A1000"),
                    0
                )) *
                IF(
                    S187="",
                    1,
                    (ROW(INDIRECT("'" &amp; 'Hulp (overig)'!$C$16 &amp; "'!B1:B1000")) &lt; MATCH(
                        S187,
                        INDIRECT("'" &amp; 'Hulp (overig)'!$C$16 &amp; "'!A1:A1000"),
                        0
                    ))
                ),
                ROW(INDIRECT("'" &amp; 'Hulp (overig)'!$C$16 &amp; "'!B1:B1000"))
            )
        ),0)
    )=0,"",
INDEX(
        INDIRECT("'" &amp; 'Hulp (overig)'!$C$16 &amp; "'!" &amp;
        'Hulp (overig)'!$C$17 &amp; "1:" &amp; 'Hulp (overig)'!$C$17 &amp; 1000
        ),
        IFERROR(MIN(
            IF(
                (TRIM(INDIRECT("'" &amp; 'Hulp (overig)'!$C$16 &amp; "'!B1:B1000")) = TEXT(R189,"0")) *
                (ROW(INDIRECT("'" &amp; 'Hulp (overig)'!$C$16 &amp; "'!B1:B1000")) &gt;= MATCH(
                    R187,
                    INDIRECT("'" &amp; 'Hulp (overig)'!$C$16 &amp; "'!A1:A1000"),
                    0
                )) *
                IF(
                    S187="",
                    1,
                    (ROW(INDIRECT("'" &amp; 'Hulp (overig)'!$C$16 &amp; "'!B1:B1000")) &lt; MATCH(
                        S187,
                        INDIRECT("'" &amp; 'Hulp (overig)'!$C$16 &amp; "'!A1:A1000"),
                        0
                    ))
                ),
                ROW(INDIRECT("'" &amp; 'Hulp (overig)'!$C$16 &amp; "'!B1:B1000"))
            )
        ),0)
    ))
))))</f>
        <v>#VALUE!</v>
      </c>
      <c r="S190" s="425" t="e" cm="1">
        <f t="array" aca="1" ref="S190" ca="1">IF($BF190, IF(S187="","",
   INDEX(
      INDIRECT("'" &amp; 'Hulp (CAO''s)'!$AE$8 &amp; "'!" &amp;
               'Hulp (overig)'!$C$17 &amp; "1:" &amp;
               'Hulp (overig)'!$C$17 &amp; "1000"),
      MATCH(
         S187,
         INDIRECT("'" &amp; 'Hulp (CAO''s)'!$AE$8 &amp; "'!A1:A1000"),
         0
      )
   )
), IF($D188="Gebruik % van maximum salaris",
IF(
    OR(S187="",S188=""),
    "",
    MAX(
        INDIRECT(
            "'" &amp; 'Hulp (overig)'!$C$16 &amp; "'!" &amp;
            'Hulp (overig)'!$C$17 &amp;
            MATCH(S187, INDIRECT("'" &amp; 'Hulp (overig)'!$C$16 &amp; "'!A1:A1000"), 0) &amp;
            ":" &amp;
            'Hulp (overig)'!$C$17 &amp;
LOOKUP(
    2,
    1 / (
        (ROW(INDIRECT("'" &amp; 'Hulp (overig)'!$C$16 &amp; "'!B1:B1000")) &lt;
            IF(T187&lt;&gt;"",
               MATCH(T187, INDIRECT("'" &amp; 'Hulp (overig)'!$C$16 &amp; "'!A1:A1000"),0),
               1000
            )
        ) *
        (LEFT(TRIM(INDIRECT("'" &amp; 'Hulp (overig)'!$C$16 &amp; "'!B1:B1000")),1) &lt;&gt; "u")
    ),
    ROW(INDIRECT("'" &amp; 'Hulp (overig)'!$C$16 &amp; "'!B1:B1000"))
)
        )
    ) * S188
),
IF(S189="","",
IF(
    IFERROR(MIN(
        IF(
            (TRIM(INDIRECT("'" &amp; 'Hulp (overig)'!$C$16 &amp; "'!B1:B1000")) = TEXT(S189,"0")) *
            (ROW(INDIRECT("'" &amp; 'Hulp (overig)'!$C$16 &amp; "'!B1:B1000")) &gt;= MATCH(
                S187,
                INDIRECT("'" &amp; 'Hulp (overig)'!$C$16 &amp; "'!A1:A1000"),
                0
            )) *
            IF(
                T187="",
                1,
                (ROW(INDIRECT("'" &amp; 'Hulp (overig)'!$C$16 &amp; "'!B1:B1000")) &lt; MATCH(
                    T187,
                    INDIRECT("'" &amp; 'Hulp (overig)'!$C$16 &amp; "'!A1:A1000"),
                    0
                ))
            ),
            ROW(INDIRECT("'" &amp; 'Hulp (overig)'!$C$16 &amp; "'!B1:B1000"))
        )
    ),0) &lt; 1,
    "",
    IF(INDEX(
        INDIRECT("'" &amp; 'Hulp (overig)'!$C$16 &amp; "'!" &amp;
        'Hulp (overig)'!$C$17 &amp; "1:" &amp; 'Hulp (overig)'!$C$17 &amp; 1000
        ),
        IFERROR(MIN(
            IF(
                (TRIM(INDIRECT("'" &amp; 'Hulp (overig)'!$C$16 &amp; "'!B1:B1000")) = TEXT(S189,"0")) *
                (ROW(INDIRECT("'" &amp; 'Hulp (overig)'!$C$16 &amp; "'!B1:B1000")) &gt;= MATCH(
                    S187,
                    INDIRECT("'" &amp; 'Hulp (overig)'!$C$16 &amp; "'!A1:A1000"),
                    0
                )) *
                IF(
                    T187="",
                    1,
                    (ROW(INDIRECT("'" &amp; 'Hulp (overig)'!$C$16 &amp; "'!B1:B1000")) &lt; MATCH(
                        T187,
                        INDIRECT("'" &amp; 'Hulp (overig)'!$C$16 &amp; "'!A1:A1000"),
                        0
                    ))
                ),
                ROW(INDIRECT("'" &amp; 'Hulp (overig)'!$C$16 &amp; "'!B1:B1000"))
            )
        ),0)
    )=0,"",
INDEX(
        INDIRECT("'" &amp; 'Hulp (overig)'!$C$16 &amp; "'!" &amp;
        'Hulp (overig)'!$C$17 &amp; "1:" &amp; 'Hulp (overig)'!$C$17 &amp; 1000
        ),
        IFERROR(MIN(
            IF(
                (TRIM(INDIRECT("'" &amp; 'Hulp (overig)'!$C$16 &amp; "'!B1:B1000")) = TEXT(S189,"0")) *
                (ROW(INDIRECT("'" &amp; 'Hulp (overig)'!$C$16 &amp; "'!B1:B1000")) &gt;= MATCH(
                    S187,
                    INDIRECT("'" &amp; 'Hulp (overig)'!$C$16 &amp; "'!A1:A1000"),
                    0
                )) *
                IF(
                    T187="",
                    1,
                    (ROW(INDIRECT("'" &amp; 'Hulp (overig)'!$C$16 &amp; "'!B1:B1000")) &lt; MATCH(
                        T187,
                        INDIRECT("'" &amp; 'Hulp (overig)'!$C$16 &amp; "'!A1:A1000"),
                        0
                    ))
                ),
                ROW(INDIRECT("'" &amp; 'Hulp (overig)'!$C$16 &amp; "'!B1:B1000"))
            )
        ),0)
    ))
))))</f>
        <v>#VALUE!</v>
      </c>
      <c r="T190" s="425" t="e" cm="1">
        <f t="array" aca="1" ref="T190" ca="1">IF($BF190, IF(T187="","",
   INDEX(
      INDIRECT("'" &amp; 'Hulp (CAO''s)'!$AE$8 &amp; "'!" &amp;
               'Hulp (overig)'!$C$17 &amp; "1:" &amp;
               'Hulp (overig)'!$C$17 &amp; "1000"),
      MATCH(
         T187,
         INDIRECT("'" &amp; 'Hulp (CAO''s)'!$AE$8 &amp; "'!A1:A1000"),
         0
      )
   )
), IF($D188="Gebruik % van maximum salaris",
IF(
    OR(T187="",T188=""),
    "",
    MAX(
        INDIRECT(
            "'" &amp; 'Hulp (overig)'!$C$16 &amp; "'!" &amp;
            'Hulp (overig)'!$C$17 &amp;
            MATCH(T187, INDIRECT("'" &amp; 'Hulp (overig)'!$C$16 &amp; "'!A1:A1000"), 0) &amp;
            ":" &amp;
            'Hulp (overig)'!$C$17 &amp;
LOOKUP(
    2,
    1 / (
        (ROW(INDIRECT("'" &amp; 'Hulp (overig)'!$C$16 &amp; "'!B1:B1000")) &lt;
            IF(U187&lt;&gt;"",
               MATCH(U187, INDIRECT("'" &amp; 'Hulp (overig)'!$C$16 &amp; "'!A1:A1000"),0),
               1000
            )
        ) *
        (LEFT(TRIM(INDIRECT("'" &amp; 'Hulp (overig)'!$C$16 &amp; "'!B1:B1000")),1) &lt;&gt; "u")
    ),
    ROW(INDIRECT("'" &amp; 'Hulp (overig)'!$C$16 &amp; "'!B1:B1000"))
)
        )
    ) * T188
),
IF(T189="","",
IF(
    IFERROR(MIN(
        IF(
            (TRIM(INDIRECT("'" &amp; 'Hulp (overig)'!$C$16 &amp; "'!B1:B1000")) = TEXT(T189,"0")) *
            (ROW(INDIRECT("'" &amp; 'Hulp (overig)'!$C$16 &amp; "'!B1:B1000")) &gt;= MATCH(
                T187,
                INDIRECT("'" &amp; 'Hulp (overig)'!$C$16 &amp; "'!A1:A1000"),
                0
            )) *
            IF(
                U187="",
                1,
                (ROW(INDIRECT("'" &amp; 'Hulp (overig)'!$C$16 &amp; "'!B1:B1000")) &lt; MATCH(
                    U187,
                    INDIRECT("'" &amp; 'Hulp (overig)'!$C$16 &amp; "'!A1:A1000"),
                    0
                ))
            ),
            ROW(INDIRECT("'" &amp; 'Hulp (overig)'!$C$16 &amp; "'!B1:B1000"))
        )
    ),0) &lt; 1,
    "",
    IF(INDEX(
        INDIRECT("'" &amp; 'Hulp (overig)'!$C$16 &amp; "'!" &amp;
        'Hulp (overig)'!$C$17 &amp; "1:" &amp; 'Hulp (overig)'!$C$17 &amp; 1000
        ),
        IFERROR(MIN(
            IF(
                (TRIM(INDIRECT("'" &amp; 'Hulp (overig)'!$C$16 &amp; "'!B1:B1000")) = TEXT(T189,"0")) *
                (ROW(INDIRECT("'" &amp; 'Hulp (overig)'!$C$16 &amp; "'!B1:B1000")) &gt;= MATCH(
                    T187,
                    INDIRECT("'" &amp; 'Hulp (overig)'!$C$16 &amp; "'!A1:A1000"),
                    0
                )) *
                IF(
                    U187="",
                    1,
                    (ROW(INDIRECT("'" &amp; 'Hulp (overig)'!$C$16 &amp; "'!B1:B1000")) &lt; MATCH(
                        U187,
                        INDIRECT("'" &amp; 'Hulp (overig)'!$C$16 &amp; "'!A1:A1000"),
                        0
                    ))
                ),
                ROW(INDIRECT("'" &amp; 'Hulp (overig)'!$C$16 &amp; "'!B1:B1000"))
            )
        ),0)
    )=0,"",
INDEX(
        INDIRECT("'" &amp; 'Hulp (overig)'!$C$16 &amp; "'!" &amp;
        'Hulp (overig)'!$C$17 &amp; "1:" &amp; 'Hulp (overig)'!$C$17 &amp; 1000
        ),
        IFERROR(MIN(
            IF(
                (TRIM(INDIRECT("'" &amp; 'Hulp (overig)'!$C$16 &amp; "'!B1:B1000")) = TEXT(T189,"0")) *
                (ROW(INDIRECT("'" &amp; 'Hulp (overig)'!$C$16 &amp; "'!B1:B1000")) &gt;= MATCH(
                    T187,
                    INDIRECT("'" &amp; 'Hulp (overig)'!$C$16 &amp; "'!A1:A1000"),
                    0
                )) *
                IF(
                    U187="",
                    1,
                    (ROW(INDIRECT("'" &amp; 'Hulp (overig)'!$C$16 &amp; "'!B1:B1000")) &lt; MATCH(
                        U187,
                        INDIRECT("'" &amp; 'Hulp (overig)'!$C$16 &amp; "'!A1:A1000"),
                        0
                    ))
                ),
                ROW(INDIRECT("'" &amp; 'Hulp (overig)'!$C$16 &amp; "'!B1:B1000"))
            )
        ),0)
    ))
))))</f>
        <v>#VALUE!</v>
      </c>
      <c r="U190" s="723" t="e" cm="1">
        <f t="array" aca="1" ref="U190" ca="1">IF($BF190, IF(U187="","",
   INDEX(
      INDIRECT("'" &amp; 'Hulp (CAO''s)'!$AE$8 &amp; "'!" &amp;
               'Hulp (overig)'!$C$17 &amp; "1:" &amp;
               'Hulp (overig)'!$C$17 &amp; "1000"),
      MATCH(
         U187,
         INDIRECT("'" &amp; 'Hulp (CAO''s)'!$AE$8 &amp; "'!A1:A1000"),
         0
      )
   )
), IF($D188="Gebruik % van maximum salaris",
IF(
    OR(U187="",U188=""),
    "",
    MAX(
        INDIRECT(
            "'" &amp; 'Hulp (overig)'!$C$16 &amp; "'!" &amp;
            'Hulp (overig)'!$C$17 &amp;
            MATCH(U187, INDIRECT("'" &amp; 'Hulp (overig)'!$C$16 &amp; "'!A1:A1000"), 0) &amp;
            ":" &amp;
            'Hulp (overig)'!$C$17 &amp;
LOOKUP(
    2,
    1 / (
        (ROW(INDIRECT("'" &amp; 'Hulp (overig)'!$C$16 &amp; "'!B1:B1000")) &lt;
            IF(V187&lt;&gt;"",
               MATCH(V187, INDIRECT("'" &amp; 'Hulp (overig)'!$C$16 &amp; "'!A1:A1000"),0),
               1000
            )
        ) *
        (LEFT(TRIM(INDIRECT("'" &amp; 'Hulp (overig)'!$C$16 &amp; "'!B1:B1000")),1) &lt;&gt; "u")
    ),
    ROW(INDIRECT("'" &amp; 'Hulp (overig)'!$C$16 &amp; "'!B1:B1000"))
)
        )
    ) * U188
),
IF(U189="","",
IF(
    IFERROR(MIN(
        IF(
            (TRIM(INDIRECT("'" &amp; 'Hulp (overig)'!$C$16 &amp; "'!B1:B1000")) = TEXT(U189,"0")) *
            (ROW(INDIRECT("'" &amp; 'Hulp (overig)'!$C$16 &amp; "'!B1:B1000")) &gt;= MATCH(
                U187,
                INDIRECT("'" &amp; 'Hulp (overig)'!$C$16 &amp; "'!A1:A1000"),
                0
            )) *
            IF(
                V187="",
                1,
                (ROW(INDIRECT("'" &amp; 'Hulp (overig)'!$C$16 &amp; "'!B1:B1000")) &lt; MATCH(
                    V187,
                    INDIRECT("'" &amp; 'Hulp (overig)'!$C$16 &amp; "'!A1:A1000"),
                    0
                ))
            ),
            ROW(INDIRECT("'" &amp; 'Hulp (overig)'!$C$16 &amp; "'!B1:B1000"))
        )
    ),0) &lt; 1,
    "",
    IF(INDEX(
        INDIRECT("'" &amp; 'Hulp (overig)'!$C$16 &amp; "'!" &amp;
        'Hulp (overig)'!$C$17 &amp; "1:" &amp; 'Hulp (overig)'!$C$17 &amp; 1000
        ),
        IFERROR(MIN(
            IF(
                (TRIM(INDIRECT("'" &amp; 'Hulp (overig)'!$C$16 &amp; "'!B1:B1000")) = TEXT(U189,"0")) *
                (ROW(INDIRECT("'" &amp; 'Hulp (overig)'!$C$16 &amp; "'!B1:B1000")) &gt;= MATCH(
                    U187,
                    INDIRECT("'" &amp; 'Hulp (overig)'!$C$16 &amp; "'!A1:A1000"),
                    0
                )) *
                IF(
                    V187="",
                    1,
                    (ROW(INDIRECT("'" &amp; 'Hulp (overig)'!$C$16 &amp; "'!B1:B1000")) &lt; MATCH(
                        V187,
                        INDIRECT("'" &amp; 'Hulp (overig)'!$C$16 &amp; "'!A1:A1000"),
                        0
                    ))
                ),
                ROW(INDIRECT("'" &amp; 'Hulp (overig)'!$C$16 &amp; "'!B1:B1000"))
            )
        ),0)
    )=0,"",
INDEX(
        INDIRECT("'" &amp; 'Hulp (overig)'!$C$16 &amp; "'!" &amp;
        'Hulp (overig)'!$C$17 &amp; "1:" &amp; 'Hulp (overig)'!$C$17 &amp; 1000
        ),
        IFERROR(MIN(
            IF(
                (TRIM(INDIRECT("'" &amp; 'Hulp (overig)'!$C$16 &amp; "'!B1:B1000")) = TEXT(U189,"0")) *
                (ROW(INDIRECT("'" &amp; 'Hulp (overig)'!$C$16 &amp; "'!B1:B1000")) &gt;= MATCH(
                    U187,
                    INDIRECT("'" &amp; 'Hulp (overig)'!$C$16 &amp; "'!A1:A1000"),
                    0
                )) *
                IF(
                    V187="",
                    1,
                    (ROW(INDIRECT("'" &amp; 'Hulp (overig)'!$C$16 &amp; "'!B1:B1000")) &lt; MATCH(
                        V187,
                        INDIRECT("'" &amp; 'Hulp (overig)'!$C$16 &amp; "'!A1:A1000"),
                        0
                    ))
                ),
                ROW(INDIRECT("'" &amp; 'Hulp (overig)'!$C$16 &amp; "'!B1:B1000"))
            )
        ),0)
    ))
))))</f>
        <v>#VALUE!</v>
      </c>
      <c r="V190" s="413" t="str" cm="1">
        <f t="array" ref="V190">IF(SUM(F191:U191)=0,"",
IF(SUM(F190:U190)=0,"",
IF(SUMPRODUCT((F191:U191&lt;&gt;0)*(F190:U190=""))&gt;0,"",
(
   SUMPRODUCT(
      IF(F190:U190="",0,F190:U190),
      IF(F191:U191="",0,F191:U191) / SUM(F191:U191)
   )
))))</f>
        <v/>
      </c>
      <c r="W190" s="418"/>
      <c r="X190" s="620"/>
      <c r="Y190" s="419" t="str">
        <f ca="1">IF(B187="","",
        IF(INDIRECT("'Hulp (control forms)'!C" &amp; (13 + INT((ROW()-ROW($B$5))/7))),
            IF(X190="","",X190),
            IF(V190="","",V190)
    )
)</f>
        <v/>
      </c>
      <c r="Z190" s="333"/>
      <c r="AA190" s="771"/>
      <c r="AB190" s="770"/>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c r="BA190" cm="1">
        <f t="array" aca="1" ref="BA190" ca="1">IF(
   SUM(Y190)=0,
   1,
   IF(
      N(INDIRECT("'Hulp (control forms)'!C"&amp;(13+INT((ROW()-ROW($B$5))/7))))&lt;&gt;0,
      MIN(1,
      ('Hulp (overig)'!$C$6/12) /
      (Y190 * BC190 + BD190)),
      MIN(1,
         IF(
            SUM(F190:U190)=0,
            "",
            SUMPRODUCT(
               IF(
                  (IF(F190:U190="",0,F190:U190) * BC190) + BD190
                  &gt; 'Hulp (overig)'!$C$6/12,
                  'Hulp (overig)'!$C$6/12,
                  (IF(F190:U190="",0,F190:U190) * BC190) + BD190
               ),
               IF(F191:U191="",0,F191:U191) / SUM(F191:U191)
            )
         ) /
         ((Y190 * BC190) + BD190)
      )
   )
)</f>
        <v>1</v>
      </c>
      <c r="BB190" cm="1">
        <f t="array" aca="1" ref="BB190" ca="1">IF(
   SUM(Y190)=0,
   1,
   IF(
      N(INDIRECT("'Hulp (control forms)'!C"&amp;(13+INT((ROW()-ROW($B$5))/7))))&lt;&gt;0,
      MIN('Hulp (overig)'!$C$5/12,
      (Y190 * BC190) + BD190) * 12,
         IF(
            SUM(F190:U190)=0,
            "",
            SUMPRODUCT(
               IF(
                  (IF(F190:U190="",0,F190:U190) * BC190) + BD190
                  &gt; 'Hulp (overig)'!$C$5/12,
                  'Hulp (overig)'!$C$5/12,
                  (IF(F190:U190="",0,F190:U190) * BC190) + BD190
               ),
               IF(F191:U191="",0,F191:U191) / SUM(F191:U191)
            )
         ) * 12
   )
)</f>
        <v>1</v>
      </c>
      <c r="BC190" s="287" cm="1">
        <f t="array" aca="1" ref="BC190" ca="1">IFERROR(
   (INDEX('2. Output kostprijs'!$24:$24, 5 + 2*INT((ROW()-8)/7))
    - SUM(INDEX('2. Output kostprijs'!$23:$23, 5 + 2*INT((ROW()-8)/7))))
   / INDEX('2. Output kostprijs'!$19:$19, 5 + 2*INT((ROW()-8)/7)),
   1
)</f>
        <v>1</v>
      </c>
      <c r="BD190" s="287" cm="1">
        <f t="array" aca="1" ref="BD190" ca="1">IFERROR(
   (INDEX('2. Output kostprijs'!$23:$23, 5 + 2*INT((ROW()-8)/7))
    * INDEX('2. Output kostprijs'!$18:$18, 5 + 2*INT((ROW()-8)/7))
   ) / 12,
   0
)</f>
        <v>0</v>
      </c>
      <c r="BE190" t="b">
        <f ca="1">NOT(AND(B187&lt;&gt;"",Y190=""))</f>
        <v>1</v>
      </c>
      <c r="BF190" t="str" cm="1">
        <f t="array" aca="1" ref="BF190" ca="1">INDIRECT("'1a. Input organisatieniveau'!$AD" &amp; 7 + INT((ROW()-ROW($F$8))/7))</f>
        <v/>
      </c>
      <c r="BG190" t="b" cm="1">
        <f t="array" ref="BG190">IFERROR(INDEX('Hulp (control forms)'!C:C, 13 + INT((ROW(A183)-1)/7)),FALSE)</f>
        <v>0</v>
      </c>
    </row>
    <row r="191" spans="1:59" ht="16.05" customHeight="1" thickBot="1" x14ac:dyDescent="0.5">
      <c r="A191" s="289"/>
      <c r="B191" s="343"/>
      <c r="C191" s="325" t="s">
        <v>779</v>
      </c>
      <c r="D191" s="688" t="s">
        <v>60</v>
      </c>
      <c r="E191" s="433" t="s">
        <v>59</v>
      </c>
      <c r="F191" s="624"/>
      <c r="G191" s="624"/>
      <c r="H191" s="624"/>
      <c r="I191" s="624"/>
      <c r="J191" s="624"/>
      <c r="K191" s="624"/>
      <c r="L191" s="624"/>
      <c r="M191" s="624"/>
      <c r="N191" s="624"/>
      <c r="O191" s="624"/>
      <c r="P191" s="624"/>
      <c r="Q191" s="624"/>
      <c r="R191" s="624"/>
      <c r="S191" s="624"/>
      <c r="T191" s="624"/>
      <c r="U191" s="625"/>
      <c r="V191" s="420" t="str">
        <f ca="1">IF($B187="","",IF($D191="Aandeel in %",
   "Totaal: "&amp;SUM(F191:U191)*100&amp;"%",
   "Totaal: "&amp;SUM(F191:U191)&amp;" uur"
))</f>
        <v/>
      </c>
      <c r="W191" s="294"/>
      <c r="X191" s="621"/>
      <c r="Y191" s="328"/>
      <c r="Z191" s="32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row>
    <row r="192" spans="1:59" ht="16.05" customHeight="1" thickBot="1" x14ac:dyDescent="0.5">
      <c r="A192" s="289"/>
      <c r="B192" s="343"/>
      <c r="C192" s="326" t="s">
        <v>779</v>
      </c>
      <c r="D192" s="421"/>
      <c r="E192" s="426"/>
      <c r="F192" s="426"/>
      <c r="G192" s="426"/>
      <c r="H192" s="426"/>
      <c r="I192" s="426"/>
      <c r="J192" s="426"/>
      <c r="K192" s="426"/>
      <c r="L192" s="426"/>
      <c r="M192" s="426"/>
      <c r="N192" s="426"/>
      <c r="O192" s="426"/>
      <c r="P192" s="426"/>
      <c r="Q192" s="426"/>
      <c r="R192" s="426"/>
      <c r="S192" s="426"/>
      <c r="T192" s="427"/>
      <c r="U192" s="427"/>
      <c r="V192" s="421"/>
      <c r="W192" s="421"/>
      <c r="X192" s="622"/>
      <c r="Y192" s="421"/>
      <c r="Z192" s="327"/>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row>
    <row r="193" spans="1:59" ht="16.05" customHeight="1" thickBot="1" x14ac:dyDescent="0.55000000000000004">
      <c r="A193" s="289"/>
      <c r="B193" s="585" t="str">
        <f ca="1">IF(B194="","",
IF(
   OR(
      INDIRECT("'1a. Input organisatieniveau'!AC" &amp; (7 + INT((ROW()-4)/7)))="",
      INDIRECT("'1a. Input organisatieniveau'!AC" &amp; (7 + INT((ROW()-4)/7)))=0
   ),
   "",
   INDIRECT("'1a. Input organisatieniveau'!AC" &amp; (7 + INT((ROW()-4)/7)))
))</f>
        <v/>
      </c>
      <c r="C193" s="324" t="s">
        <v>779</v>
      </c>
      <c r="D193" s="416"/>
      <c r="E193" s="428"/>
      <c r="F193" s="422" t="str">
        <f t="shared" ref="F193:U193" ca="1" si="27">IF($B194="","",
IF($D195="Gebruik % van maximum salaris",
 IF(OR(AND(AND(F194&lt;&gt;"",F195&lt;&gt;""),F197=""),AND(F197="",F198&lt;&gt;"")),"!",""),
 IF(OR(AND(AND(F194&lt;&gt;"",F196&lt;&gt;""),F197=""),AND(F197="",F198&lt;&gt;"")),"!","")))</f>
        <v/>
      </c>
      <c r="G193" s="422" t="str">
        <f t="shared" ca="1" si="27"/>
        <v/>
      </c>
      <c r="H193" s="422" t="str">
        <f t="shared" ca="1" si="27"/>
        <v/>
      </c>
      <c r="I193" s="422" t="str">
        <f t="shared" ca="1" si="27"/>
        <v/>
      </c>
      <c r="J193" s="422" t="str">
        <f t="shared" ca="1" si="27"/>
        <v/>
      </c>
      <c r="K193" s="422" t="str">
        <f t="shared" ca="1" si="27"/>
        <v/>
      </c>
      <c r="L193" s="422" t="str">
        <f t="shared" ca="1" si="27"/>
        <v/>
      </c>
      <c r="M193" s="422" t="str">
        <f t="shared" ca="1" si="27"/>
        <v/>
      </c>
      <c r="N193" s="422" t="str">
        <f t="shared" ca="1" si="27"/>
        <v/>
      </c>
      <c r="O193" s="422" t="str">
        <f t="shared" ca="1" si="27"/>
        <v/>
      </c>
      <c r="P193" s="422" t="str">
        <f t="shared" ca="1" si="27"/>
        <v/>
      </c>
      <c r="Q193" s="422" t="str">
        <f t="shared" ca="1" si="27"/>
        <v/>
      </c>
      <c r="R193" s="422" t="str">
        <f t="shared" ca="1" si="27"/>
        <v/>
      </c>
      <c r="S193" s="422" t="str">
        <f t="shared" ca="1" si="27"/>
        <v/>
      </c>
      <c r="T193" s="422" t="str">
        <f t="shared" ca="1" si="27"/>
        <v/>
      </c>
      <c r="U193" s="422" t="str">
        <f t="shared" ca="1" si="27"/>
        <v/>
      </c>
      <c r="V193" s="416"/>
      <c r="W193" s="416"/>
      <c r="X193" s="619"/>
      <c r="Y193" s="416"/>
      <c r="Z193" s="330"/>
      <c r="AA193" s="354"/>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row>
    <row r="194" spans="1:59" ht="16.05" customHeight="1" thickBot="1" x14ac:dyDescent="0.5">
      <c r="A194" s="289"/>
      <c r="B194" s="586" t="str">
        <f ca="1">IF(
   OR(
      INDIRECT("'1a. Input organisatieniveau'!AA" &amp; (7 + INT((ROW()-4)/7)))="",
      INDIRECT("'1a. Input organisatieniveau'!AA" &amp; (7 + INT((ROW()-4)/7)))=0
   ),
   "",
   INDIRECT("'1a. Input organisatieniveau'!AA" &amp; (7 + INT((ROW()-4)/7)))
)</f>
        <v/>
      </c>
      <c r="C194" s="325" t="s">
        <v>779</v>
      </c>
      <c r="D194" s="434"/>
      <c r="E194" s="429" t="s">
        <v>28</v>
      </c>
      <c r="F194" s="423" t="str">
        <f ca="1">IF($B194="", "", IF($BF197, IF('Hulp (CAO''s)'!J$8&lt;&gt;"",'Hulp (CAO''s)'!J$8,""), INDEX('Hulp (CAO''s)'!J$3:J$7, MATCH(TRUE, 'Hulp (CAO''s)'!$D$3:$D$7, 0))))</f>
        <v/>
      </c>
      <c r="G194" s="423" t="str">
        <f ca="1">IF($B194="", "", IF($BF197, IF('Hulp (CAO''s)'!K$8&lt;&gt;"",'Hulp (CAO''s)'!K$8,""), INDEX('Hulp (CAO''s)'!K$3:K$7, MATCH(TRUE, 'Hulp (CAO''s)'!$D$3:$D$7, 0))))</f>
        <v/>
      </c>
      <c r="H194" s="423" t="str">
        <f ca="1">IF($B194="", "", IF($BF197, IF('Hulp (CAO''s)'!L$8&lt;&gt;"",'Hulp (CAO''s)'!L$8,""), INDEX('Hulp (CAO''s)'!L$3:L$7, MATCH(TRUE, 'Hulp (CAO''s)'!$D$3:$D$7, 0))))</f>
        <v/>
      </c>
      <c r="I194" s="423" t="str">
        <f ca="1">IF($B194="", "", IF($BF197, IF('Hulp (CAO''s)'!M$8&lt;&gt;"",'Hulp (CAO''s)'!M$8,""), INDEX('Hulp (CAO''s)'!M$3:M$7, MATCH(TRUE, 'Hulp (CAO''s)'!$D$3:$D$7, 0))))</f>
        <v/>
      </c>
      <c r="J194" s="423" t="str">
        <f ca="1">IF($B194="", "", IF($BF197, IF('Hulp (CAO''s)'!N$8&lt;&gt;"",'Hulp (CAO''s)'!N$8,""), INDEX('Hulp (CAO''s)'!N$3:N$7, MATCH(TRUE, 'Hulp (CAO''s)'!$D$3:$D$7, 0))))</f>
        <v/>
      </c>
      <c r="K194" s="423" t="str">
        <f ca="1">IF($B194="", "", IF($BF197, IF('Hulp (CAO''s)'!O$8&lt;&gt;"",'Hulp (CAO''s)'!O$8,""), INDEX('Hulp (CAO''s)'!O$3:O$7, MATCH(TRUE, 'Hulp (CAO''s)'!$D$3:$D$7, 0))))</f>
        <v/>
      </c>
      <c r="L194" s="423" t="str">
        <f ca="1">IF($B194="", "", IF($BF197, IF('Hulp (CAO''s)'!P$8&lt;&gt;"",'Hulp (CAO''s)'!P$8,""), INDEX('Hulp (CAO''s)'!P$3:P$7, MATCH(TRUE, 'Hulp (CAO''s)'!$D$3:$D$7, 0))))</f>
        <v/>
      </c>
      <c r="M194" s="423" t="str">
        <f ca="1">IF($B194="", "", IF($BF197, IF('Hulp (CAO''s)'!Q$8&lt;&gt;"",'Hulp (CAO''s)'!Q$8,""), INDEX('Hulp (CAO''s)'!Q$3:Q$7, MATCH(TRUE, 'Hulp (CAO''s)'!$D$3:$D$7, 0))))</f>
        <v/>
      </c>
      <c r="N194" s="423" t="str">
        <f ca="1">IF($B194="", "", IF($BF197, IF('Hulp (CAO''s)'!R$8&lt;&gt;"",'Hulp (CAO''s)'!R$8,""), INDEX('Hulp (CAO''s)'!R$3:R$7, MATCH(TRUE, 'Hulp (CAO''s)'!$D$3:$D$7, 0))))</f>
        <v/>
      </c>
      <c r="O194" s="423" t="str">
        <f ca="1">IF($B194="", "", IF($BF197, IF('Hulp (CAO''s)'!S$8&lt;&gt;"",'Hulp (CAO''s)'!S$8,""), INDEX('Hulp (CAO''s)'!S$3:S$7, MATCH(TRUE, 'Hulp (CAO''s)'!$D$3:$D$7, 0))))</f>
        <v/>
      </c>
      <c r="P194" s="423" t="str">
        <f ca="1">IF($B194="", "", IF($BF197, IF('Hulp (CAO''s)'!T$8&lt;&gt;"",'Hulp (CAO''s)'!T$8,""), INDEX('Hulp (CAO''s)'!T$3:T$7, MATCH(TRUE, 'Hulp (CAO''s)'!$D$3:$D$7, 0))))</f>
        <v/>
      </c>
      <c r="Q194" s="423" t="str">
        <f ca="1">IF($B194="", "", IF($BF197, IF('Hulp (CAO''s)'!U$8&lt;&gt;"",'Hulp (CAO''s)'!U$8,""), INDEX('Hulp (CAO''s)'!U$3:U$7, MATCH(TRUE, 'Hulp (CAO''s)'!$D$3:$D$7, 0))))</f>
        <v/>
      </c>
      <c r="R194" s="423" t="str">
        <f ca="1">IF($B194="", "", IF($BF197, IF('Hulp (CAO''s)'!V$8&lt;&gt;"",'Hulp (CAO''s)'!V$8,""), INDEX('Hulp (CAO''s)'!V$3:V$7, MATCH(TRUE, 'Hulp (CAO''s)'!$D$3:$D$7, 0))))</f>
        <v/>
      </c>
      <c r="S194" s="423" t="str">
        <f ca="1">IF($B194="", "", IF($BF197, IF('Hulp (CAO''s)'!W$8&lt;&gt;"",'Hulp (CAO''s)'!W$8,""), INDEX('Hulp (CAO''s)'!W$3:W$7, MATCH(TRUE, 'Hulp (CAO''s)'!$D$3:$D$7, 0))))</f>
        <v/>
      </c>
      <c r="T194" s="423" t="str">
        <f ca="1">IF($B194="", "", IF($BF197, IF('Hulp (CAO''s)'!X$8&lt;&gt;"",'Hulp (CAO''s)'!X$8,""), INDEX('Hulp (CAO''s)'!X$3:X$7, MATCH(TRUE, 'Hulp (CAO''s)'!$D$3:$D$7, 0))))</f>
        <v/>
      </c>
      <c r="U194" s="424" t="str">
        <f ca="1">IF($B194="", "", IF($BF197, IF('Hulp (CAO''s)'!Y$8&lt;&gt;"",'Hulp (CAO''s)'!Y$8,""), INDEX('Hulp (CAO''s)'!Y$3:Y$7, MATCH(TRUE, 'Hulp (CAO''s)'!$D$3:$D$7, 0))))</f>
        <v/>
      </c>
      <c r="V194" s="417"/>
      <c r="W194" s="343"/>
      <c r="X194" s="617"/>
      <c r="Y194" s="343"/>
      <c r="Z194" s="329"/>
      <c r="AA194" s="320"/>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row>
    <row r="195" spans="1:59" ht="16.05" customHeight="1" x14ac:dyDescent="0.45">
      <c r="A195" s="289"/>
      <c r="B195" s="343"/>
      <c r="C195" s="325" t="s">
        <v>779</v>
      </c>
      <c r="D195" s="772" t="s">
        <v>772</v>
      </c>
      <c r="E195" s="430" t="e">
        <f ca="1">IF($BF197, "", "% t.o.v. max salaris in de schaal")</f>
        <v>#VALUE!</v>
      </c>
      <c r="F195" s="615"/>
      <c r="G195" s="615"/>
      <c r="H195" s="615"/>
      <c r="I195" s="615"/>
      <c r="J195" s="615"/>
      <c r="K195" s="615"/>
      <c r="L195" s="615"/>
      <c r="M195" s="615"/>
      <c r="N195" s="615"/>
      <c r="O195" s="615"/>
      <c r="P195" s="615"/>
      <c r="Q195" s="615"/>
      <c r="R195" s="615"/>
      <c r="S195" s="615"/>
      <c r="T195" s="615"/>
      <c r="U195" s="616"/>
      <c r="V195" s="774" t="s">
        <v>884</v>
      </c>
      <c r="W195" s="332"/>
      <c r="X195" s="776" t="s">
        <v>882</v>
      </c>
      <c r="Y195" s="778" t="s">
        <v>883</v>
      </c>
      <c r="Z195" s="329"/>
      <c r="AA195" s="771" t="s">
        <v>780</v>
      </c>
      <c r="AB195" s="770" t="s">
        <v>1079</v>
      </c>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row>
    <row r="196" spans="1:59" ht="16.05" customHeight="1" thickBot="1" x14ac:dyDescent="0.5">
      <c r="A196" s="289"/>
      <c r="B196" s="343"/>
      <c r="C196" s="325" t="s">
        <v>779</v>
      </c>
      <c r="D196" s="773"/>
      <c r="E196" s="431" t="e">
        <f ca="1">IF($BF197, "", "Trede (gemiddeld)")</f>
        <v>#VALUE!</v>
      </c>
      <c r="F196" s="737"/>
      <c r="G196" s="737"/>
      <c r="H196" s="737"/>
      <c r="I196" s="737"/>
      <c r="J196" s="737"/>
      <c r="K196" s="737"/>
      <c r="L196" s="737"/>
      <c r="M196" s="737"/>
      <c r="N196" s="737"/>
      <c r="O196" s="737"/>
      <c r="P196" s="737"/>
      <c r="Q196" s="737"/>
      <c r="R196" s="737"/>
      <c r="S196" s="737"/>
      <c r="T196" s="737"/>
      <c r="U196" s="740"/>
      <c r="V196" s="775"/>
      <c r="W196" s="294"/>
      <c r="X196" s="777"/>
      <c r="Y196" s="779"/>
      <c r="Z196" s="329"/>
      <c r="AA196" s="771"/>
      <c r="AB196" s="770"/>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row>
    <row r="197" spans="1:59" ht="16.05" customHeight="1" thickBot="1" x14ac:dyDescent="0.5">
      <c r="A197" s="289"/>
      <c r="B197" s="343"/>
      <c r="C197" s="325" t="s">
        <v>779</v>
      </c>
      <c r="E197" s="432" t="str">
        <f>IFERROR(
   INDEX('Hulp (CAO''s)'!$I$3:$I$7, MATCH(TRUE, 'Hulp (CAO''s)'!$D$3:$D$7, 0)),
"")</f>
        <v>Bruto maandsalaris</v>
      </c>
      <c r="F197" s="425" t="e" cm="1">
        <f t="array" aca="1" ref="F197" ca="1">IF($BF197, IF(F194="","",
   INDEX(
      INDIRECT("'" &amp; 'Hulp (CAO''s)'!$AE$8 &amp; "'!" &amp;
               'Hulp (overig)'!$C$17 &amp; "1:" &amp;
               'Hulp (overig)'!$C$17 &amp; "1000"),
      MATCH(
         F194,
         INDIRECT("'" &amp; 'Hulp (CAO''s)'!$AE$8 &amp; "'!A1:A1000"),
         0
      )
   )
), IF($D195="Gebruik % van maximum salaris",
IF(
    OR(F194="",F195=""),
    "",
    MAX(
        INDIRECT(
            "'" &amp; 'Hulp (overig)'!$C$16 &amp; "'!" &amp;
            'Hulp (overig)'!$C$17 &amp;
            MATCH(F194, INDIRECT("'" &amp; 'Hulp (overig)'!$C$16 &amp; "'!A1:A1000"), 0) &amp;
            ":" &amp;
            'Hulp (overig)'!$C$17 &amp;
LOOKUP(
    2,
    1 / (
        (ROW(INDIRECT("'" &amp; 'Hulp (overig)'!$C$16 &amp; "'!B1:B1000")) &lt;
            IF(G194&lt;&gt;"",
               MATCH(G194, INDIRECT("'" &amp; 'Hulp (overig)'!$C$16 &amp; "'!A1:A1000"),0),
               1000
            )
        ) *
        (LEFT(TRIM(INDIRECT("'" &amp; 'Hulp (overig)'!$C$16 &amp; "'!B1:B1000")),1) &lt;&gt; "u")
    ),
    ROW(INDIRECT("'" &amp; 'Hulp (overig)'!$C$16 &amp; "'!B1:B1000"))
)
        )
    ) * F195
),
IF(F196="","",
IF(
    IFERROR(MIN(
        IF(
            (TRIM(INDIRECT("'" &amp; 'Hulp (overig)'!$C$16 &amp; "'!B1:B1000")) = TEXT(F196,"0")) *
            (ROW(INDIRECT("'" &amp; 'Hulp (overig)'!$C$16 &amp; "'!B1:B1000")) &gt;= MATCH(
                F194,
                INDIRECT("'" &amp; 'Hulp (overig)'!$C$16 &amp; "'!A1:A1000"),
                0
            )) *
            IF(
                G194="",
                1,
                (ROW(INDIRECT("'" &amp; 'Hulp (overig)'!$C$16 &amp; "'!B1:B1000")) &lt; MATCH(
                    G194,
                    INDIRECT("'" &amp; 'Hulp (overig)'!$C$16 &amp; "'!A1:A1000"),
                    0
                ))
            ),
            ROW(INDIRECT("'" &amp; 'Hulp (overig)'!$C$16 &amp; "'!B1:B1000"))
        )
    ),0) &lt; 1,
    "",
    IF(INDEX(
        INDIRECT("'" &amp; 'Hulp (overig)'!$C$16 &amp; "'!" &amp;
        'Hulp (overig)'!$C$17 &amp; "1:" &amp; 'Hulp (overig)'!$C$17 &amp; 1000
        ),
        IFERROR(MIN(
            IF(
                (TRIM(INDIRECT("'" &amp; 'Hulp (overig)'!$C$16 &amp; "'!B1:B1000")) = TEXT(F196,"0")) *
                (ROW(INDIRECT("'" &amp; 'Hulp (overig)'!$C$16 &amp; "'!B1:B1000")) &gt;= MATCH(
                    F194,
                    INDIRECT("'" &amp; 'Hulp (overig)'!$C$16 &amp; "'!A1:A1000"),
                    0
                )) *
                IF(
                    G194="",
                    1,
                    (ROW(INDIRECT("'" &amp; 'Hulp (overig)'!$C$16 &amp; "'!B1:B1000")) &lt; MATCH(
                        G194,
                        INDIRECT("'" &amp; 'Hulp (overig)'!$C$16 &amp; "'!A1:A1000"),
                        0
                    ))
                ),
                ROW(INDIRECT("'" &amp; 'Hulp (overig)'!$C$16 &amp; "'!B1:B1000"))
            )
        ),0)
    )=0,"",
INDEX(
        INDIRECT("'" &amp; 'Hulp (overig)'!$C$16 &amp; "'!" &amp;
        'Hulp (overig)'!$C$17 &amp; "1:" &amp; 'Hulp (overig)'!$C$17 &amp; 1000
        ),
        IFERROR(MIN(
            IF(
                (TRIM(INDIRECT("'" &amp; 'Hulp (overig)'!$C$16 &amp; "'!B1:B1000")) = TEXT(F196,"0")) *
                (ROW(INDIRECT("'" &amp; 'Hulp (overig)'!$C$16 &amp; "'!B1:B1000")) &gt;= MATCH(
                    F194,
                    INDIRECT("'" &amp; 'Hulp (overig)'!$C$16 &amp; "'!A1:A1000"),
                    0
                )) *
                IF(
                    G194="",
                    1,
                    (ROW(INDIRECT("'" &amp; 'Hulp (overig)'!$C$16 &amp; "'!B1:B1000")) &lt; MATCH(
                        G194,
                        INDIRECT("'" &amp; 'Hulp (overig)'!$C$16 &amp; "'!A1:A1000"),
                        0
                    ))
                ),
                ROW(INDIRECT("'" &amp; 'Hulp (overig)'!$C$16 &amp; "'!B1:B1000"))
            )
        ),0)
    ))
))))</f>
        <v>#VALUE!</v>
      </c>
      <c r="G197" s="425" t="e" cm="1">
        <f t="array" aca="1" ref="G197" ca="1">IF($BF197, IF(G194="","",
   INDEX(
      INDIRECT("'" &amp; 'Hulp (CAO''s)'!$AE$8 &amp; "'!" &amp;
               'Hulp (overig)'!$C$17 &amp; "1:" &amp;
               'Hulp (overig)'!$C$17 &amp; "1000"),
      MATCH(
         G194,
         INDIRECT("'" &amp; 'Hulp (CAO''s)'!$AE$8 &amp; "'!A1:A1000"),
         0
      )
   )
), IF($D195="Gebruik % van maximum salaris",
IF(
    OR(G194="",G195=""),
    "",
    MAX(
        INDIRECT(
            "'" &amp; 'Hulp (overig)'!$C$16 &amp; "'!" &amp;
            'Hulp (overig)'!$C$17 &amp;
            MATCH(G194, INDIRECT("'" &amp; 'Hulp (overig)'!$C$16 &amp; "'!A1:A1000"), 0) &amp;
            ":" &amp;
            'Hulp (overig)'!$C$17 &amp;
LOOKUP(
    2,
    1 / (
        (ROW(INDIRECT("'" &amp; 'Hulp (overig)'!$C$16 &amp; "'!B1:B1000")) &lt;
            IF(H194&lt;&gt;"",
               MATCH(H194, INDIRECT("'" &amp; 'Hulp (overig)'!$C$16 &amp; "'!A1:A1000"),0),
               1000
            )
        ) *
        (LEFT(TRIM(INDIRECT("'" &amp; 'Hulp (overig)'!$C$16 &amp; "'!B1:B1000")),1) &lt;&gt; "u")
    ),
    ROW(INDIRECT("'" &amp; 'Hulp (overig)'!$C$16 &amp; "'!B1:B1000"))
)
        )
    ) * G195
),
IF(G196="","",
IF(
    IFERROR(MIN(
        IF(
            (TRIM(INDIRECT("'" &amp; 'Hulp (overig)'!$C$16 &amp; "'!B1:B1000")) = TEXT(G196,"0")) *
            (ROW(INDIRECT("'" &amp; 'Hulp (overig)'!$C$16 &amp; "'!B1:B1000")) &gt;= MATCH(
                G194,
                INDIRECT("'" &amp; 'Hulp (overig)'!$C$16 &amp; "'!A1:A1000"),
                0
            )) *
            IF(
                H194="",
                1,
                (ROW(INDIRECT("'" &amp; 'Hulp (overig)'!$C$16 &amp; "'!B1:B1000")) &lt; MATCH(
                    H194,
                    INDIRECT("'" &amp; 'Hulp (overig)'!$C$16 &amp; "'!A1:A1000"),
                    0
                ))
            ),
            ROW(INDIRECT("'" &amp; 'Hulp (overig)'!$C$16 &amp; "'!B1:B1000"))
        )
    ),0) &lt; 1,
    "",
    IF(INDEX(
        INDIRECT("'" &amp; 'Hulp (overig)'!$C$16 &amp; "'!" &amp;
        'Hulp (overig)'!$C$17 &amp; "1:" &amp; 'Hulp (overig)'!$C$17 &amp; 1000
        ),
        IFERROR(MIN(
            IF(
                (TRIM(INDIRECT("'" &amp; 'Hulp (overig)'!$C$16 &amp; "'!B1:B1000")) = TEXT(G196,"0")) *
                (ROW(INDIRECT("'" &amp; 'Hulp (overig)'!$C$16 &amp; "'!B1:B1000")) &gt;= MATCH(
                    G194,
                    INDIRECT("'" &amp; 'Hulp (overig)'!$C$16 &amp; "'!A1:A1000"),
                    0
                )) *
                IF(
                    H194="",
                    1,
                    (ROW(INDIRECT("'" &amp; 'Hulp (overig)'!$C$16 &amp; "'!B1:B1000")) &lt; MATCH(
                        H194,
                        INDIRECT("'" &amp; 'Hulp (overig)'!$C$16 &amp; "'!A1:A1000"),
                        0
                    ))
                ),
                ROW(INDIRECT("'" &amp; 'Hulp (overig)'!$C$16 &amp; "'!B1:B1000"))
            )
        ),0)
    )=0,"",
INDEX(
        INDIRECT("'" &amp; 'Hulp (overig)'!$C$16 &amp; "'!" &amp;
        'Hulp (overig)'!$C$17 &amp; "1:" &amp; 'Hulp (overig)'!$C$17 &amp; 1000
        ),
        IFERROR(MIN(
            IF(
                (TRIM(INDIRECT("'" &amp; 'Hulp (overig)'!$C$16 &amp; "'!B1:B1000")) = TEXT(G196,"0")) *
                (ROW(INDIRECT("'" &amp; 'Hulp (overig)'!$C$16 &amp; "'!B1:B1000")) &gt;= MATCH(
                    G194,
                    INDIRECT("'" &amp; 'Hulp (overig)'!$C$16 &amp; "'!A1:A1000"),
                    0
                )) *
                IF(
                    H194="",
                    1,
                    (ROW(INDIRECT("'" &amp; 'Hulp (overig)'!$C$16 &amp; "'!B1:B1000")) &lt; MATCH(
                        H194,
                        INDIRECT("'" &amp; 'Hulp (overig)'!$C$16 &amp; "'!A1:A1000"),
                        0
                    ))
                ),
                ROW(INDIRECT("'" &amp; 'Hulp (overig)'!$C$16 &amp; "'!B1:B1000"))
            )
        ),0)
    ))
))))</f>
        <v>#VALUE!</v>
      </c>
      <c r="H197" s="425" t="e" cm="1">
        <f t="array" aca="1" ref="H197" ca="1">IF($BF197, IF(H194="","",
   INDEX(
      INDIRECT("'" &amp; 'Hulp (CAO''s)'!$AE$8 &amp; "'!" &amp;
               'Hulp (overig)'!$C$17 &amp; "1:" &amp;
               'Hulp (overig)'!$C$17 &amp; "1000"),
      MATCH(
         H194,
         INDIRECT("'" &amp; 'Hulp (CAO''s)'!$AE$8 &amp; "'!A1:A1000"),
         0
      )
   )
), IF($D195="Gebruik % van maximum salaris",
IF(
    OR(H194="",H195=""),
    "",
    MAX(
        INDIRECT(
            "'" &amp; 'Hulp (overig)'!$C$16 &amp; "'!" &amp;
            'Hulp (overig)'!$C$17 &amp;
            MATCH(H194, INDIRECT("'" &amp; 'Hulp (overig)'!$C$16 &amp; "'!A1:A1000"), 0) &amp;
            ":" &amp;
            'Hulp (overig)'!$C$17 &amp;
LOOKUP(
    2,
    1 / (
        (ROW(INDIRECT("'" &amp; 'Hulp (overig)'!$C$16 &amp; "'!B1:B1000")) &lt;
            IF(I194&lt;&gt;"",
               MATCH(I194, INDIRECT("'" &amp; 'Hulp (overig)'!$C$16 &amp; "'!A1:A1000"),0),
               1000
            )
        ) *
        (LEFT(TRIM(INDIRECT("'" &amp; 'Hulp (overig)'!$C$16 &amp; "'!B1:B1000")),1) &lt;&gt; "u")
    ),
    ROW(INDIRECT("'" &amp; 'Hulp (overig)'!$C$16 &amp; "'!B1:B1000"))
)
        )
    ) * H195
),
IF(H196="","",
IF(
    IFERROR(MIN(
        IF(
            (TRIM(INDIRECT("'" &amp; 'Hulp (overig)'!$C$16 &amp; "'!B1:B1000")) = TEXT(H196,"0")) *
            (ROW(INDIRECT("'" &amp; 'Hulp (overig)'!$C$16 &amp; "'!B1:B1000")) &gt;= MATCH(
                H194,
                INDIRECT("'" &amp; 'Hulp (overig)'!$C$16 &amp; "'!A1:A1000"),
                0
            )) *
            IF(
                I194="",
                1,
                (ROW(INDIRECT("'" &amp; 'Hulp (overig)'!$C$16 &amp; "'!B1:B1000")) &lt; MATCH(
                    I194,
                    INDIRECT("'" &amp; 'Hulp (overig)'!$C$16 &amp; "'!A1:A1000"),
                    0
                ))
            ),
            ROW(INDIRECT("'" &amp; 'Hulp (overig)'!$C$16 &amp; "'!B1:B1000"))
        )
    ),0) &lt; 1,
    "",
    IF(INDEX(
        INDIRECT("'" &amp; 'Hulp (overig)'!$C$16 &amp; "'!" &amp;
        'Hulp (overig)'!$C$17 &amp; "1:" &amp; 'Hulp (overig)'!$C$17 &amp; 1000
        ),
        IFERROR(MIN(
            IF(
                (TRIM(INDIRECT("'" &amp; 'Hulp (overig)'!$C$16 &amp; "'!B1:B1000")) = TEXT(H196,"0")) *
                (ROW(INDIRECT("'" &amp; 'Hulp (overig)'!$C$16 &amp; "'!B1:B1000")) &gt;= MATCH(
                    H194,
                    INDIRECT("'" &amp; 'Hulp (overig)'!$C$16 &amp; "'!A1:A1000"),
                    0
                )) *
                IF(
                    I194="",
                    1,
                    (ROW(INDIRECT("'" &amp; 'Hulp (overig)'!$C$16 &amp; "'!B1:B1000")) &lt; MATCH(
                        I194,
                        INDIRECT("'" &amp; 'Hulp (overig)'!$C$16 &amp; "'!A1:A1000"),
                        0
                    ))
                ),
                ROW(INDIRECT("'" &amp; 'Hulp (overig)'!$C$16 &amp; "'!B1:B1000"))
            )
        ),0)
    )=0,"",
INDEX(
        INDIRECT("'" &amp; 'Hulp (overig)'!$C$16 &amp; "'!" &amp;
        'Hulp (overig)'!$C$17 &amp; "1:" &amp; 'Hulp (overig)'!$C$17 &amp; 1000
        ),
        IFERROR(MIN(
            IF(
                (TRIM(INDIRECT("'" &amp; 'Hulp (overig)'!$C$16 &amp; "'!B1:B1000")) = TEXT(H196,"0")) *
                (ROW(INDIRECT("'" &amp; 'Hulp (overig)'!$C$16 &amp; "'!B1:B1000")) &gt;= MATCH(
                    H194,
                    INDIRECT("'" &amp; 'Hulp (overig)'!$C$16 &amp; "'!A1:A1000"),
                    0
                )) *
                IF(
                    I194="",
                    1,
                    (ROW(INDIRECT("'" &amp; 'Hulp (overig)'!$C$16 &amp; "'!B1:B1000")) &lt; MATCH(
                        I194,
                        INDIRECT("'" &amp; 'Hulp (overig)'!$C$16 &amp; "'!A1:A1000"),
                        0
                    ))
                ),
                ROW(INDIRECT("'" &amp; 'Hulp (overig)'!$C$16 &amp; "'!B1:B1000"))
            )
        ),0)
    ))
))))</f>
        <v>#VALUE!</v>
      </c>
      <c r="I197" s="425" t="e" cm="1">
        <f t="array" aca="1" ref="I197" ca="1">IF($BF197, IF(I194="","",
   INDEX(
      INDIRECT("'" &amp; 'Hulp (CAO''s)'!$AE$8 &amp; "'!" &amp;
               'Hulp (overig)'!$C$17 &amp; "1:" &amp;
               'Hulp (overig)'!$C$17 &amp; "1000"),
      MATCH(
         I194,
         INDIRECT("'" &amp; 'Hulp (CAO''s)'!$AE$8 &amp; "'!A1:A1000"),
         0
      )
   )
), IF($D195="Gebruik % van maximum salaris",
IF(
    OR(I194="",I195=""),
    "",
    MAX(
        INDIRECT(
            "'" &amp; 'Hulp (overig)'!$C$16 &amp; "'!" &amp;
            'Hulp (overig)'!$C$17 &amp;
            MATCH(I194, INDIRECT("'" &amp; 'Hulp (overig)'!$C$16 &amp; "'!A1:A1000"), 0) &amp;
            ":" &amp;
            'Hulp (overig)'!$C$17 &amp;
LOOKUP(
    2,
    1 / (
        (ROW(INDIRECT("'" &amp; 'Hulp (overig)'!$C$16 &amp; "'!B1:B1000")) &lt;
            IF(J194&lt;&gt;"",
               MATCH(J194, INDIRECT("'" &amp; 'Hulp (overig)'!$C$16 &amp; "'!A1:A1000"),0),
               1000
            )
        ) *
        (LEFT(TRIM(INDIRECT("'" &amp; 'Hulp (overig)'!$C$16 &amp; "'!B1:B1000")),1) &lt;&gt; "u")
    ),
    ROW(INDIRECT("'" &amp; 'Hulp (overig)'!$C$16 &amp; "'!B1:B1000"))
)
        )
    ) * I195
),
IF(I196="","",
IF(
    IFERROR(MIN(
        IF(
            (TRIM(INDIRECT("'" &amp; 'Hulp (overig)'!$C$16 &amp; "'!B1:B1000")) = TEXT(I196,"0")) *
            (ROW(INDIRECT("'" &amp; 'Hulp (overig)'!$C$16 &amp; "'!B1:B1000")) &gt;= MATCH(
                I194,
                INDIRECT("'" &amp; 'Hulp (overig)'!$C$16 &amp; "'!A1:A1000"),
                0
            )) *
            IF(
                J194="",
                1,
                (ROW(INDIRECT("'" &amp; 'Hulp (overig)'!$C$16 &amp; "'!B1:B1000")) &lt; MATCH(
                    J194,
                    INDIRECT("'" &amp; 'Hulp (overig)'!$C$16 &amp; "'!A1:A1000"),
                    0
                ))
            ),
            ROW(INDIRECT("'" &amp; 'Hulp (overig)'!$C$16 &amp; "'!B1:B1000"))
        )
    ),0) &lt; 1,
    "",
    IF(INDEX(
        INDIRECT("'" &amp; 'Hulp (overig)'!$C$16 &amp; "'!" &amp;
        'Hulp (overig)'!$C$17 &amp; "1:" &amp; 'Hulp (overig)'!$C$17 &amp; 1000
        ),
        IFERROR(MIN(
            IF(
                (TRIM(INDIRECT("'" &amp; 'Hulp (overig)'!$C$16 &amp; "'!B1:B1000")) = TEXT(I196,"0")) *
                (ROW(INDIRECT("'" &amp; 'Hulp (overig)'!$C$16 &amp; "'!B1:B1000")) &gt;= MATCH(
                    I194,
                    INDIRECT("'" &amp; 'Hulp (overig)'!$C$16 &amp; "'!A1:A1000"),
                    0
                )) *
                IF(
                    J194="",
                    1,
                    (ROW(INDIRECT("'" &amp; 'Hulp (overig)'!$C$16 &amp; "'!B1:B1000")) &lt; MATCH(
                        J194,
                        INDIRECT("'" &amp; 'Hulp (overig)'!$C$16 &amp; "'!A1:A1000"),
                        0
                    ))
                ),
                ROW(INDIRECT("'" &amp; 'Hulp (overig)'!$C$16 &amp; "'!B1:B1000"))
            )
        ),0)
    )=0,"",
INDEX(
        INDIRECT("'" &amp; 'Hulp (overig)'!$C$16 &amp; "'!" &amp;
        'Hulp (overig)'!$C$17 &amp; "1:" &amp; 'Hulp (overig)'!$C$17 &amp; 1000
        ),
        IFERROR(MIN(
            IF(
                (TRIM(INDIRECT("'" &amp; 'Hulp (overig)'!$C$16 &amp; "'!B1:B1000")) = TEXT(I196,"0")) *
                (ROW(INDIRECT("'" &amp; 'Hulp (overig)'!$C$16 &amp; "'!B1:B1000")) &gt;= MATCH(
                    I194,
                    INDIRECT("'" &amp; 'Hulp (overig)'!$C$16 &amp; "'!A1:A1000"),
                    0
                )) *
                IF(
                    J194="",
                    1,
                    (ROW(INDIRECT("'" &amp; 'Hulp (overig)'!$C$16 &amp; "'!B1:B1000")) &lt; MATCH(
                        J194,
                        INDIRECT("'" &amp; 'Hulp (overig)'!$C$16 &amp; "'!A1:A1000"),
                        0
                    ))
                ),
                ROW(INDIRECT("'" &amp; 'Hulp (overig)'!$C$16 &amp; "'!B1:B1000"))
            )
        ),0)
    ))
))))</f>
        <v>#VALUE!</v>
      </c>
      <c r="J197" s="425" t="e" cm="1">
        <f t="array" aca="1" ref="J197" ca="1">IF($BF197, IF(J194="","",
   INDEX(
      INDIRECT("'" &amp; 'Hulp (CAO''s)'!$AE$8 &amp; "'!" &amp;
               'Hulp (overig)'!$C$17 &amp; "1:" &amp;
               'Hulp (overig)'!$C$17 &amp; "1000"),
      MATCH(
         J194,
         INDIRECT("'" &amp; 'Hulp (CAO''s)'!$AE$8 &amp; "'!A1:A1000"),
         0
      )
   )
), IF($D195="Gebruik % van maximum salaris",
IF(
    OR(J194="",J195=""),
    "",
    MAX(
        INDIRECT(
            "'" &amp; 'Hulp (overig)'!$C$16 &amp; "'!" &amp;
            'Hulp (overig)'!$C$17 &amp;
            MATCH(J194, INDIRECT("'" &amp; 'Hulp (overig)'!$C$16 &amp; "'!A1:A1000"), 0) &amp;
            ":" &amp;
            'Hulp (overig)'!$C$17 &amp;
LOOKUP(
    2,
    1 / (
        (ROW(INDIRECT("'" &amp; 'Hulp (overig)'!$C$16 &amp; "'!B1:B1000")) &lt;
            IF(K194&lt;&gt;"",
               MATCH(K194, INDIRECT("'" &amp; 'Hulp (overig)'!$C$16 &amp; "'!A1:A1000"),0),
               1000
            )
        ) *
        (LEFT(TRIM(INDIRECT("'" &amp; 'Hulp (overig)'!$C$16 &amp; "'!B1:B1000")),1) &lt;&gt; "u")
    ),
    ROW(INDIRECT("'" &amp; 'Hulp (overig)'!$C$16 &amp; "'!B1:B1000"))
)
        )
    ) * J195
),
IF(J196="","",
IF(
    IFERROR(MIN(
        IF(
            (TRIM(INDIRECT("'" &amp; 'Hulp (overig)'!$C$16 &amp; "'!B1:B1000")) = TEXT(J196,"0")) *
            (ROW(INDIRECT("'" &amp; 'Hulp (overig)'!$C$16 &amp; "'!B1:B1000")) &gt;= MATCH(
                J194,
                INDIRECT("'" &amp; 'Hulp (overig)'!$C$16 &amp; "'!A1:A1000"),
                0
            )) *
            IF(
                K194="",
                1,
                (ROW(INDIRECT("'" &amp; 'Hulp (overig)'!$C$16 &amp; "'!B1:B1000")) &lt; MATCH(
                    K194,
                    INDIRECT("'" &amp; 'Hulp (overig)'!$C$16 &amp; "'!A1:A1000"),
                    0
                ))
            ),
            ROW(INDIRECT("'" &amp; 'Hulp (overig)'!$C$16 &amp; "'!B1:B1000"))
        )
    ),0) &lt; 1,
    "",
    IF(INDEX(
        INDIRECT("'" &amp; 'Hulp (overig)'!$C$16 &amp; "'!" &amp;
        'Hulp (overig)'!$C$17 &amp; "1:" &amp; 'Hulp (overig)'!$C$17 &amp; 1000
        ),
        IFERROR(MIN(
            IF(
                (TRIM(INDIRECT("'" &amp; 'Hulp (overig)'!$C$16 &amp; "'!B1:B1000")) = TEXT(J196,"0")) *
                (ROW(INDIRECT("'" &amp; 'Hulp (overig)'!$C$16 &amp; "'!B1:B1000")) &gt;= MATCH(
                    J194,
                    INDIRECT("'" &amp; 'Hulp (overig)'!$C$16 &amp; "'!A1:A1000"),
                    0
                )) *
                IF(
                    K194="",
                    1,
                    (ROW(INDIRECT("'" &amp; 'Hulp (overig)'!$C$16 &amp; "'!B1:B1000")) &lt; MATCH(
                        K194,
                        INDIRECT("'" &amp; 'Hulp (overig)'!$C$16 &amp; "'!A1:A1000"),
                        0
                    ))
                ),
                ROW(INDIRECT("'" &amp; 'Hulp (overig)'!$C$16 &amp; "'!B1:B1000"))
            )
        ),0)
    )=0,"",
INDEX(
        INDIRECT("'" &amp; 'Hulp (overig)'!$C$16 &amp; "'!" &amp;
        'Hulp (overig)'!$C$17 &amp; "1:" &amp; 'Hulp (overig)'!$C$17 &amp; 1000
        ),
        IFERROR(MIN(
            IF(
                (TRIM(INDIRECT("'" &amp; 'Hulp (overig)'!$C$16 &amp; "'!B1:B1000")) = TEXT(J196,"0")) *
                (ROW(INDIRECT("'" &amp; 'Hulp (overig)'!$C$16 &amp; "'!B1:B1000")) &gt;= MATCH(
                    J194,
                    INDIRECT("'" &amp; 'Hulp (overig)'!$C$16 &amp; "'!A1:A1000"),
                    0
                )) *
                IF(
                    K194="",
                    1,
                    (ROW(INDIRECT("'" &amp; 'Hulp (overig)'!$C$16 &amp; "'!B1:B1000")) &lt; MATCH(
                        K194,
                        INDIRECT("'" &amp; 'Hulp (overig)'!$C$16 &amp; "'!A1:A1000"),
                        0
                    ))
                ),
                ROW(INDIRECT("'" &amp; 'Hulp (overig)'!$C$16 &amp; "'!B1:B1000"))
            )
        ),0)
    ))
))))</f>
        <v>#VALUE!</v>
      </c>
      <c r="K197" s="425" t="e" cm="1">
        <f t="array" aca="1" ref="K197" ca="1">IF($BF197, IF(K194="","",
   INDEX(
      INDIRECT("'" &amp; 'Hulp (CAO''s)'!$AE$8 &amp; "'!" &amp;
               'Hulp (overig)'!$C$17 &amp; "1:" &amp;
               'Hulp (overig)'!$C$17 &amp; "1000"),
      MATCH(
         K194,
         INDIRECT("'" &amp; 'Hulp (CAO''s)'!$AE$8 &amp; "'!A1:A1000"),
         0
      )
   )
), IF($D195="Gebruik % van maximum salaris",
IF(
    OR(K194="",K195=""),
    "",
    MAX(
        INDIRECT(
            "'" &amp; 'Hulp (overig)'!$C$16 &amp; "'!" &amp;
            'Hulp (overig)'!$C$17 &amp;
            MATCH(K194, INDIRECT("'" &amp; 'Hulp (overig)'!$C$16 &amp; "'!A1:A1000"), 0) &amp;
            ":" &amp;
            'Hulp (overig)'!$C$17 &amp;
LOOKUP(
    2,
    1 / (
        (ROW(INDIRECT("'" &amp; 'Hulp (overig)'!$C$16 &amp; "'!B1:B1000")) &lt;
            IF(L194&lt;&gt;"",
               MATCH(L194, INDIRECT("'" &amp; 'Hulp (overig)'!$C$16 &amp; "'!A1:A1000"),0),
               1000
            )
        ) *
        (LEFT(TRIM(INDIRECT("'" &amp; 'Hulp (overig)'!$C$16 &amp; "'!B1:B1000")),1) &lt;&gt; "u")
    ),
    ROW(INDIRECT("'" &amp; 'Hulp (overig)'!$C$16 &amp; "'!B1:B1000"))
)
        )
    ) * K195
),
IF(K196="","",
IF(
    IFERROR(MIN(
        IF(
            (TRIM(INDIRECT("'" &amp; 'Hulp (overig)'!$C$16 &amp; "'!B1:B1000")) = TEXT(K196,"0")) *
            (ROW(INDIRECT("'" &amp; 'Hulp (overig)'!$C$16 &amp; "'!B1:B1000")) &gt;= MATCH(
                K194,
                INDIRECT("'" &amp; 'Hulp (overig)'!$C$16 &amp; "'!A1:A1000"),
                0
            )) *
            IF(
                L194="",
                1,
                (ROW(INDIRECT("'" &amp; 'Hulp (overig)'!$C$16 &amp; "'!B1:B1000")) &lt; MATCH(
                    L194,
                    INDIRECT("'" &amp; 'Hulp (overig)'!$C$16 &amp; "'!A1:A1000"),
                    0
                ))
            ),
            ROW(INDIRECT("'" &amp; 'Hulp (overig)'!$C$16 &amp; "'!B1:B1000"))
        )
    ),0) &lt; 1,
    "",
    IF(INDEX(
        INDIRECT("'" &amp; 'Hulp (overig)'!$C$16 &amp; "'!" &amp;
        'Hulp (overig)'!$C$17 &amp; "1:" &amp; 'Hulp (overig)'!$C$17 &amp; 1000
        ),
        IFERROR(MIN(
            IF(
                (TRIM(INDIRECT("'" &amp; 'Hulp (overig)'!$C$16 &amp; "'!B1:B1000")) = TEXT(K196,"0")) *
                (ROW(INDIRECT("'" &amp; 'Hulp (overig)'!$C$16 &amp; "'!B1:B1000")) &gt;= MATCH(
                    K194,
                    INDIRECT("'" &amp; 'Hulp (overig)'!$C$16 &amp; "'!A1:A1000"),
                    0
                )) *
                IF(
                    L194="",
                    1,
                    (ROW(INDIRECT("'" &amp; 'Hulp (overig)'!$C$16 &amp; "'!B1:B1000")) &lt; MATCH(
                        L194,
                        INDIRECT("'" &amp; 'Hulp (overig)'!$C$16 &amp; "'!A1:A1000"),
                        0
                    ))
                ),
                ROW(INDIRECT("'" &amp; 'Hulp (overig)'!$C$16 &amp; "'!B1:B1000"))
            )
        ),0)
    )=0,"",
INDEX(
        INDIRECT("'" &amp; 'Hulp (overig)'!$C$16 &amp; "'!" &amp;
        'Hulp (overig)'!$C$17 &amp; "1:" &amp; 'Hulp (overig)'!$C$17 &amp; 1000
        ),
        IFERROR(MIN(
            IF(
                (TRIM(INDIRECT("'" &amp; 'Hulp (overig)'!$C$16 &amp; "'!B1:B1000")) = TEXT(K196,"0")) *
                (ROW(INDIRECT("'" &amp; 'Hulp (overig)'!$C$16 &amp; "'!B1:B1000")) &gt;= MATCH(
                    K194,
                    INDIRECT("'" &amp; 'Hulp (overig)'!$C$16 &amp; "'!A1:A1000"),
                    0
                )) *
                IF(
                    L194="",
                    1,
                    (ROW(INDIRECT("'" &amp; 'Hulp (overig)'!$C$16 &amp; "'!B1:B1000")) &lt; MATCH(
                        L194,
                        INDIRECT("'" &amp; 'Hulp (overig)'!$C$16 &amp; "'!A1:A1000"),
                        0
                    ))
                ),
                ROW(INDIRECT("'" &amp; 'Hulp (overig)'!$C$16 &amp; "'!B1:B1000"))
            )
        ),0)
    ))
))))</f>
        <v>#VALUE!</v>
      </c>
      <c r="L197" s="425" t="e" cm="1">
        <f t="array" aca="1" ref="L197" ca="1">IF($BF197, IF(L194="","",
   INDEX(
      INDIRECT("'" &amp; 'Hulp (CAO''s)'!$AE$8 &amp; "'!" &amp;
               'Hulp (overig)'!$C$17 &amp; "1:" &amp;
               'Hulp (overig)'!$C$17 &amp; "1000"),
      MATCH(
         L194,
         INDIRECT("'" &amp; 'Hulp (CAO''s)'!$AE$8 &amp; "'!A1:A1000"),
         0
      )
   )
), IF($D195="Gebruik % van maximum salaris",
IF(
    OR(L194="",L195=""),
    "",
    MAX(
        INDIRECT(
            "'" &amp; 'Hulp (overig)'!$C$16 &amp; "'!" &amp;
            'Hulp (overig)'!$C$17 &amp;
            MATCH(L194, INDIRECT("'" &amp; 'Hulp (overig)'!$C$16 &amp; "'!A1:A1000"), 0) &amp;
            ":" &amp;
            'Hulp (overig)'!$C$17 &amp;
LOOKUP(
    2,
    1 / (
        (ROW(INDIRECT("'" &amp; 'Hulp (overig)'!$C$16 &amp; "'!B1:B1000")) &lt;
            IF(M194&lt;&gt;"",
               MATCH(M194, INDIRECT("'" &amp; 'Hulp (overig)'!$C$16 &amp; "'!A1:A1000"),0),
               1000
            )
        ) *
        (LEFT(TRIM(INDIRECT("'" &amp; 'Hulp (overig)'!$C$16 &amp; "'!B1:B1000")),1) &lt;&gt; "u")
    ),
    ROW(INDIRECT("'" &amp; 'Hulp (overig)'!$C$16 &amp; "'!B1:B1000"))
)
        )
    ) * L195
),
IF(L196="","",
IF(
    IFERROR(MIN(
        IF(
            (TRIM(INDIRECT("'" &amp; 'Hulp (overig)'!$C$16 &amp; "'!B1:B1000")) = TEXT(L196,"0")) *
            (ROW(INDIRECT("'" &amp; 'Hulp (overig)'!$C$16 &amp; "'!B1:B1000")) &gt;= MATCH(
                L194,
                INDIRECT("'" &amp; 'Hulp (overig)'!$C$16 &amp; "'!A1:A1000"),
                0
            )) *
            IF(
                M194="",
                1,
                (ROW(INDIRECT("'" &amp; 'Hulp (overig)'!$C$16 &amp; "'!B1:B1000")) &lt; MATCH(
                    M194,
                    INDIRECT("'" &amp; 'Hulp (overig)'!$C$16 &amp; "'!A1:A1000"),
                    0
                ))
            ),
            ROW(INDIRECT("'" &amp; 'Hulp (overig)'!$C$16 &amp; "'!B1:B1000"))
        )
    ),0) &lt; 1,
    "",
    IF(INDEX(
        INDIRECT("'" &amp; 'Hulp (overig)'!$C$16 &amp; "'!" &amp;
        'Hulp (overig)'!$C$17 &amp; "1:" &amp; 'Hulp (overig)'!$C$17 &amp; 1000
        ),
        IFERROR(MIN(
            IF(
                (TRIM(INDIRECT("'" &amp; 'Hulp (overig)'!$C$16 &amp; "'!B1:B1000")) = TEXT(L196,"0")) *
                (ROW(INDIRECT("'" &amp; 'Hulp (overig)'!$C$16 &amp; "'!B1:B1000")) &gt;= MATCH(
                    L194,
                    INDIRECT("'" &amp; 'Hulp (overig)'!$C$16 &amp; "'!A1:A1000"),
                    0
                )) *
                IF(
                    M194="",
                    1,
                    (ROW(INDIRECT("'" &amp; 'Hulp (overig)'!$C$16 &amp; "'!B1:B1000")) &lt; MATCH(
                        M194,
                        INDIRECT("'" &amp; 'Hulp (overig)'!$C$16 &amp; "'!A1:A1000"),
                        0
                    ))
                ),
                ROW(INDIRECT("'" &amp; 'Hulp (overig)'!$C$16 &amp; "'!B1:B1000"))
            )
        ),0)
    )=0,"",
INDEX(
        INDIRECT("'" &amp; 'Hulp (overig)'!$C$16 &amp; "'!" &amp;
        'Hulp (overig)'!$C$17 &amp; "1:" &amp; 'Hulp (overig)'!$C$17 &amp; 1000
        ),
        IFERROR(MIN(
            IF(
                (TRIM(INDIRECT("'" &amp; 'Hulp (overig)'!$C$16 &amp; "'!B1:B1000")) = TEXT(L196,"0")) *
                (ROW(INDIRECT("'" &amp; 'Hulp (overig)'!$C$16 &amp; "'!B1:B1000")) &gt;= MATCH(
                    L194,
                    INDIRECT("'" &amp; 'Hulp (overig)'!$C$16 &amp; "'!A1:A1000"),
                    0
                )) *
                IF(
                    M194="",
                    1,
                    (ROW(INDIRECT("'" &amp; 'Hulp (overig)'!$C$16 &amp; "'!B1:B1000")) &lt; MATCH(
                        M194,
                        INDIRECT("'" &amp; 'Hulp (overig)'!$C$16 &amp; "'!A1:A1000"),
                        0
                    ))
                ),
                ROW(INDIRECT("'" &amp; 'Hulp (overig)'!$C$16 &amp; "'!B1:B1000"))
            )
        ),0)
    ))
))))</f>
        <v>#VALUE!</v>
      </c>
      <c r="M197" s="425" t="e" cm="1">
        <f t="array" aca="1" ref="M197" ca="1">IF($BF197, IF(M194="","",
   INDEX(
      INDIRECT("'" &amp; 'Hulp (CAO''s)'!$AE$8 &amp; "'!" &amp;
               'Hulp (overig)'!$C$17 &amp; "1:" &amp;
               'Hulp (overig)'!$C$17 &amp; "1000"),
      MATCH(
         M194,
         INDIRECT("'" &amp; 'Hulp (CAO''s)'!$AE$8 &amp; "'!A1:A1000"),
         0
      )
   )
), IF($D195="Gebruik % van maximum salaris",
IF(
    OR(M194="",M195=""),
    "",
    MAX(
        INDIRECT(
            "'" &amp; 'Hulp (overig)'!$C$16 &amp; "'!" &amp;
            'Hulp (overig)'!$C$17 &amp;
            MATCH(M194, INDIRECT("'" &amp; 'Hulp (overig)'!$C$16 &amp; "'!A1:A1000"), 0) &amp;
            ":" &amp;
            'Hulp (overig)'!$C$17 &amp;
LOOKUP(
    2,
    1 / (
        (ROW(INDIRECT("'" &amp; 'Hulp (overig)'!$C$16 &amp; "'!B1:B1000")) &lt;
            IF(N194&lt;&gt;"",
               MATCH(N194, INDIRECT("'" &amp; 'Hulp (overig)'!$C$16 &amp; "'!A1:A1000"),0),
               1000
            )
        ) *
        (LEFT(TRIM(INDIRECT("'" &amp; 'Hulp (overig)'!$C$16 &amp; "'!B1:B1000")),1) &lt;&gt; "u")
    ),
    ROW(INDIRECT("'" &amp; 'Hulp (overig)'!$C$16 &amp; "'!B1:B1000"))
)
        )
    ) * M195
),
IF(M196="","",
IF(
    IFERROR(MIN(
        IF(
            (TRIM(INDIRECT("'" &amp; 'Hulp (overig)'!$C$16 &amp; "'!B1:B1000")) = TEXT(M196,"0")) *
            (ROW(INDIRECT("'" &amp; 'Hulp (overig)'!$C$16 &amp; "'!B1:B1000")) &gt;= MATCH(
                M194,
                INDIRECT("'" &amp; 'Hulp (overig)'!$C$16 &amp; "'!A1:A1000"),
                0
            )) *
            IF(
                N194="",
                1,
                (ROW(INDIRECT("'" &amp; 'Hulp (overig)'!$C$16 &amp; "'!B1:B1000")) &lt; MATCH(
                    N194,
                    INDIRECT("'" &amp; 'Hulp (overig)'!$C$16 &amp; "'!A1:A1000"),
                    0
                ))
            ),
            ROW(INDIRECT("'" &amp; 'Hulp (overig)'!$C$16 &amp; "'!B1:B1000"))
        )
    ),0) &lt; 1,
    "",
    IF(INDEX(
        INDIRECT("'" &amp; 'Hulp (overig)'!$C$16 &amp; "'!" &amp;
        'Hulp (overig)'!$C$17 &amp; "1:" &amp; 'Hulp (overig)'!$C$17 &amp; 1000
        ),
        IFERROR(MIN(
            IF(
                (TRIM(INDIRECT("'" &amp; 'Hulp (overig)'!$C$16 &amp; "'!B1:B1000")) = TEXT(M196,"0")) *
                (ROW(INDIRECT("'" &amp; 'Hulp (overig)'!$C$16 &amp; "'!B1:B1000")) &gt;= MATCH(
                    M194,
                    INDIRECT("'" &amp; 'Hulp (overig)'!$C$16 &amp; "'!A1:A1000"),
                    0
                )) *
                IF(
                    N194="",
                    1,
                    (ROW(INDIRECT("'" &amp; 'Hulp (overig)'!$C$16 &amp; "'!B1:B1000")) &lt; MATCH(
                        N194,
                        INDIRECT("'" &amp; 'Hulp (overig)'!$C$16 &amp; "'!A1:A1000"),
                        0
                    ))
                ),
                ROW(INDIRECT("'" &amp; 'Hulp (overig)'!$C$16 &amp; "'!B1:B1000"))
            )
        ),0)
    )=0,"",
INDEX(
        INDIRECT("'" &amp; 'Hulp (overig)'!$C$16 &amp; "'!" &amp;
        'Hulp (overig)'!$C$17 &amp; "1:" &amp; 'Hulp (overig)'!$C$17 &amp; 1000
        ),
        IFERROR(MIN(
            IF(
                (TRIM(INDIRECT("'" &amp; 'Hulp (overig)'!$C$16 &amp; "'!B1:B1000")) = TEXT(M196,"0")) *
                (ROW(INDIRECT("'" &amp; 'Hulp (overig)'!$C$16 &amp; "'!B1:B1000")) &gt;= MATCH(
                    M194,
                    INDIRECT("'" &amp; 'Hulp (overig)'!$C$16 &amp; "'!A1:A1000"),
                    0
                )) *
                IF(
                    N194="",
                    1,
                    (ROW(INDIRECT("'" &amp; 'Hulp (overig)'!$C$16 &amp; "'!B1:B1000")) &lt; MATCH(
                        N194,
                        INDIRECT("'" &amp; 'Hulp (overig)'!$C$16 &amp; "'!A1:A1000"),
                        0
                    ))
                ),
                ROW(INDIRECT("'" &amp; 'Hulp (overig)'!$C$16 &amp; "'!B1:B1000"))
            )
        ),0)
    ))
))))</f>
        <v>#VALUE!</v>
      </c>
      <c r="N197" s="425" t="e" cm="1">
        <f t="array" aca="1" ref="N197" ca="1">IF($BF197, IF(N194="","",
   INDEX(
      INDIRECT("'" &amp; 'Hulp (CAO''s)'!$AE$8 &amp; "'!" &amp;
               'Hulp (overig)'!$C$17 &amp; "1:" &amp;
               'Hulp (overig)'!$C$17 &amp; "1000"),
      MATCH(
         N194,
         INDIRECT("'" &amp; 'Hulp (CAO''s)'!$AE$8 &amp; "'!A1:A1000"),
         0
      )
   )
), IF($D195="Gebruik % van maximum salaris",
IF(
    OR(N194="",N195=""),
    "",
    MAX(
        INDIRECT(
            "'" &amp; 'Hulp (overig)'!$C$16 &amp; "'!" &amp;
            'Hulp (overig)'!$C$17 &amp;
            MATCH(N194, INDIRECT("'" &amp; 'Hulp (overig)'!$C$16 &amp; "'!A1:A1000"), 0) &amp;
            ":" &amp;
            'Hulp (overig)'!$C$17 &amp;
LOOKUP(
    2,
    1 / (
        (ROW(INDIRECT("'" &amp; 'Hulp (overig)'!$C$16 &amp; "'!B1:B1000")) &lt;
            IF(O194&lt;&gt;"",
               MATCH(O194, INDIRECT("'" &amp; 'Hulp (overig)'!$C$16 &amp; "'!A1:A1000"),0),
               1000
            )
        ) *
        (LEFT(TRIM(INDIRECT("'" &amp; 'Hulp (overig)'!$C$16 &amp; "'!B1:B1000")),1) &lt;&gt; "u")
    ),
    ROW(INDIRECT("'" &amp; 'Hulp (overig)'!$C$16 &amp; "'!B1:B1000"))
)
        )
    ) * N195
),
IF(N196="","",
IF(
    IFERROR(MIN(
        IF(
            (TRIM(INDIRECT("'" &amp; 'Hulp (overig)'!$C$16 &amp; "'!B1:B1000")) = TEXT(N196,"0")) *
            (ROW(INDIRECT("'" &amp; 'Hulp (overig)'!$C$16 &amp; "'!B1:B1000")) &gt;= MATCH(
                N194,
                INDIRECT("'" &amp; 'Hulp (overig)'!$C$16 &amp; "'!A1:A1000"),
                0
            )) *
            IF(
                O194="",
                1,
                (ROW(INDIRECT("'" &amp; 'Hulp (overig)'!$C$16 &amp; "'!B1:B1000")) &lt; MATCH(
                    O194,
                    INDIRECT("'" &amp; 'Hulp (overig)'!$C$16 &amp; "'!A1:A1000"),
                    0
                ))
            ),
            ROW(INDIRECT("'" &amp; 'Hulp (overig)'!$C$16 &amp; "'!B1:B1000"))
        )
    ),0) &lt; 1,
    "",
    IF(INDEX(
        INDIRECT("'" &amp; 'Hulp (overig)'!$C$16 &amp; "'!" &amp;
        'Hulp (overig)'!$C$17 &amp; "1:" &amp; 'Hulp (overig)'!$C$17 &amp; 1000
        ),
        IFERROR(MIN(
            IF(
                (TRIM(INDIRECT("'" &amp; 'Hulp (overig)'!$C$16 &amp; "'!B1:B1000")) = TEXT(N196,"0")) *
                (ROW(INDIRECT("'" &amp; 'Hulp (overig)'!$C$16 &amp; "'!B1:B1000")) &gt;= MATCH(
                    N194,
                    INDIRECT("'" &amp; 'Hulp (overig)'!$C$16 &amp; "'!A1:A1000"),
                    0
                )) *
                IF(
                    O194="",
                    1,
                    (ROW(INDIRECT("'" &amp; 'Hulp (overig)'!$C$16 &amp; "'!B1:B1000")) &lt; MATCH(
                        O194,
                        INDIRECT("'" &amp; 'Hulp (overig)'!$C$16 &amp; "'!A1:A1000"),
                        0
                    ))
                ),
                ROW(INDIRECT("'" &amp; 'Hulp (overig)'!$C$16 &amp; "'!B1:B1000"))
            )
        ),0)
    )=0,"",
INDEX(
        INDIRECT("'" &amp; 'Hulp (overig)'!$C$16 &amp; "'!" &amp;
        'Hulp (overig)'!$C$17 &amp; "1:" &amp; 'Hulp (overig)'!$C$17 &amp; 1000
        ),
        IFERROR(MIN(
            IF(
                (TRIM(INDIRECT("'" &amp; 'Hulp (overig)'!$C$16 &amp; "'!B1:B1000")) = TEXT(N196,"0")) *
                (ROW(INDIRECT("'" &amp; 'Hulp (overig)'!$C$16 &amp; "'!B1:B1000")) &gt;= MATCH(
                    N194,
                    INDIRECT("'" &amp; 'Hulp (overig)'!$C$16 &amp; "'!A1:A1000"),
                    0
                )) *
                IF(
                    O194="",
                    1,
                    (ROW(INDIRECT("'" &amp; 'Hulp (overig)'!$C$16 &amp; "'!B1:B1000")) &lt; MATCH(
                        O194,
                        INDIRECT("'" &amp; 'Hulp (overig)'!$C$16 &amp; "'!A1:A1000"),
                        0
                    ))
                ),
                ROW(INDIRECT("'" &amp; 'Hulp (overig)'!$C$16 &amp; "'!B1:B1000"))
            )
        ),0)
    ))
))))</f>
        <v>#VALUE!</v>
      </c>
      <c r="O197" s="425" t="e" cm="1">
        <f t="array" aca="1" ref="O197" ca="1">IF($BF197, IF(O194="","",
   INDEX(
      INDIRECT("'" &amp; 'Hulp (CAO''s)'!$AE$8 &amp; "'!" &amp;
               'Hulp (overig)'!$C$17 &amp; "1:" &amp;
               'Hulp (overig)'!$C$17 &amp; "1000"),
      MATCH(
         O194,
         INDIRECT("'" &amp; 'Hulp (CAO''s)'!$AE$8 &amp; "'!A1:A1000"),
         0
      )
   )
), IF($D195="Gebruik % van maximum salaris",
IF(
    OR(O194="",O195=""),
    "",
    MAX(
        INDIRECT(
            "'" &amp; 'Hulp (overig)'!$C$16 &amp; "'!" &amp;
            'Hulp (overig)'!$C$17 &amp;
            MATCH(O194, INDIRECT("'" &amp; 'Hulp (overig)'!$C$16 &amp; "'!A1:A1000"), 0) &amp;
            ":" &amp;
            'Hulp (overig)'!$C$17 &amp;
LOOKUP(
    2,
    1 / (
        (ROW(INDIRECT("'" &amp; 'Hulp (overig)'!$C$16 &amp; "'!B1:B1000")) &lt;
            IF(P194&lt;&gt;"",
               MATCH(P194, INDIRECT("'" &amp; 'Hulp (overig)'!$C$16 &amp; "'!A1:A1000"),0),
               1000
            )
        ) *
        (LEFT(TRIM(INDIRECT("'" &amp; 'Hulp (overig)'!$C$16 &amp; "'!B1:B1000")),1) &lt;&gt; "u")
    ),
    ROW(INDIRECT("'" &amp; 'Hulp (overig)'!$C$16 &amp; "'!B1:B1000"))
)
        )
    ) * O195
),
IF(O196="","",
IF(
    IFERROR(MIN(
        IF(
            (TRIM(INDIRECT("'" &amp; 'Hulp (overig)'!$C$16 &amp; "'!B1:B1000")) = TEXT(O196,"0")) *
            (ROW(INDIRECT("'" &amp; 'Hulp (overig)'!$C$16 &amp; "'!B1:B1000")) &gt;= MATCH(
                O194,
                INDIRECT("'" &amp; 'Hulp (overig)'!$C$16 &amp; "'!A1:A1000"),
                0
            )) *
            IF(
                P194="",
                1,
                (ROW(INDIRECT("'" &amp; 'Hulp (overig)'!$C$16 &amp; "'!B1:B1000")) &lt; MATCH(
                    P194,
                    INDIRECT("'" &amp; 'Hulp (overig)'!$C$16 &amp; "'!A1:A1000"),
                    0
                ))
            ),
            ROW(INDIRECT("'" &amp; 'Hulp (overig)'!$C$16 &amp; "'!B1:B1000"))
        )
    ),0) &lt; 1,
    "",
    IF(INDEX(
        INDIRECT("'" &amp; 'Hulp (overig)'!$C$16 &amp; "'!" &amp;
        'Hulp (overig)'!$C$17 &amp; "1:" &amp; 'Hulp (overig)'!$C$17 &amp; 1000
        ),
        IFERROR(MIN(
            IF(
                (TRIM(INDIRECT("'" &amp; 'Hulp (overig)'!$C$16 &amp; "'!B1:B1000")) = TEXT(O196,"0")) *
                (ROW(INDIRECT("'" &amp; 'Hulp (overig)'!$C$16 &amp; "'!B1:B1000")) &gt;= MATCH(
                    O194,
                    INDIRECT("'" &amp; 'Hulp (overig)'!$C$16 &amp; "'!A1:A1000"),
                    0
                )) *
                IF(
                    P194="",
                    1,
                    (ROW(INDIRECT("'" &amp; 'Hulp (overig)'!$C$16 &amp; "'!B1:B1000")) &lt; MATCH(
                        P194,
                        INDIRECT("'" &amp; 'Hulp (overig)'!$C$16 &amp; "'!A1:A1000"),
                        0
                    ))
                ),
                ROW(INDIRECT("'" &amp; 'Hulp (overig)'!$C$16 &amp; "'!B1:B1000"))
            )
        ),0)
    )=0,"",
INDEX(
        INDIRECT("'" &amp; 'Hulp (overig)'!$C$16 &amp; "'!" &amp;
        'Hulp (overig)'!$C$17 &amp; "1:" &amp; 'Hulp (overig)'!$C$17 &amp; 1000
        ),
        IFERROR(MIN(
            IF(
                (TRIM(INDIRECT("'" &amp; 'Hulp (overig)'!$C$16 &amp; "'!B1:B1000")) = TEXT(O196,"0")) *
                (ROW(INDIRECT("'" &amp; 'Hulp (overig)'!$C$16 &amp; "'!B1:B1000")) &gt;= MATCH(
                    O194,
                    INDIRECT("'" &amp; 'Hulp (overig)'!$C$16 &amp; "'!A1:A1000"),
                    0
                )) *
                IF(
                    P194="",
                    1,
                    (ROW(INDIRECT("'" &amp; 'Hulp (overig)'!$C$16 &amp; "'!B1:B1000")) &lt; MATCH(
                        P194,
                        INDIRECT("'" &amp; 'Hulp (overig)'!$C$16 &amp; "'!A1:A1000"),
                        0
                    ))
                ),
                ROW(INDIRECT("'" &amp; 'Hulp (overig)'!$C$16 &amp; "'!B1:B1000"))
            )
        ),0)
    ))
))))</f>
        <v>#VALUE!</v>
      </c>
      <c r="P197" s="425" t="e" cm="1">
        <f t="array" aca="1" ref="P197" ca="1">IF($BF197, IF(P194="","",
   INDEX(
      INDIRECT("'" &amp; 'Hulp (CAO''s)'!$AE$8 &amp; "'!" &amp;
               'Hulp (overig)'!$C$17 &amp; "1:" &amp;
               'Hulp (overig)'!$C$17 &amp; "1000"),
      MATCH(
         P194,
         INDIRECT("'" &amp; 'Hulp (CAO''s)'!$AE$8 &amp; "'!A1:A1000"),
         0
      )
   )
), IF($D195="Gebruik % van maximum salaris",
IF(
    OR(P194="",P195=""),
    "",
    MAX(
        INDIRECT(
            "'" &amp; 'Hulp (overig)'!$C$16 &amp; "'!" &amp;
            'Hulp (overig)'!$C$17 &amp;
            MATCH(P194, INDIRECT("'" &amp; 'Hulp (overig)'!$C$16 &amp; "'!A1:A1000"), 0) &amp;
            ":" &amp;
            'Hulp (overig)'!$C$17 &amp;
LOOKUP(
    2,
    1 / (
        (ROW(INDIRECT("'" &amp; 'Hulp (overig)'!$C$16 &amp; "'!B1:B1000")) &lt;
            IF(Q194&lt;&gt;"",
               MATCH(Q194, INDIRECT("'" &amp; 'Hulp (overig)'!$C$16 &amp; "'!A1:A1000"),0),
               1000
            )
        ) *
        (LEFT(TRIM(INDIRECT("'" &amp; 'Hulp (overig)'!$C$16 &amp; "'!B1:B1000")),1) &lt;&gt; "u")
    ),
    ROW(INDIRECT("'" &amp; 'Hulp (overig)'!$C$16 &amp; "'!B1:B1000"))
)
        )
    ) * P195
),
IF(P196="","",
IF(
    IFERROR(MIN(
        IF(
            (TRIM(INDIRECT("'" &amp; 'Hulp (overig)'!$C$16 &amp; "'!B1:B1000")) = TEXT(P196,"0")) *
            (ROW(INDIRECT("'" &amp; 'Hulp (overig)'!$C$16 &amp; "'!B1:B1000")) &gt;= MATCH(
                P194,
                INDIRECT("'" &amp; 'Hulp (overig)'!$C$16 &amp; "'!A1:A1000"),
                0
            )) *
            IF(
                Q194="",
                1,
                (ROW(INDIRECT("'" &amp; 'Hulp (overig)'!$C$16 &amp; "'!B1:B1000")) &lt; MATCH(
                    Q194,
                    INDIRECT("'" &amp; 'Hulp (overig)'!$C$16 &amp; "'!A1:A1000"),
                    0
                ))
            ),
            ROW(INDIRECT("'" &amp; 'Hulp (overig)'!$C$16 &amp; "'!B1:B1000"))
        )
    ),0) &lt; 1,
    "",
    IF(INDEX(
        INDIRECT("'" &amp; 'Hulp (overig)'!$C$16 &amp; "'!" &amp;
        'Hulp (overig)'!$C$17 &amp; "1:" &amp; 'Hulp (overig)'!$C$17 &amp; 1000
        ),
        IFERROR(MIN(
            IF(
                (TRIM(INDIRECT("'" &amp; 'Hulp (overig)'!$C$16 &amp; "'!B1:B1000")) = TEXT(P196,"0")) *
                (ROW(INDIRECT("'" &amp; 'Hulp (overig)'!$C$16 &amp; "'!B1:B1000")) &gt;= MATCH(
                    P194,
                    INDIRECT("'" &amp; 'Hulp (overig)'!$C$16 &amp; "'!A1:A1000"),
                    0
                )) *
                IF(
                    Q194="",
                    1,
                    (ROW(INDIRECT("'" &amp; 'Hulp (overig)'!$C$16 &amp; "'!B1:B1000")) &lt; MATCH(
                        Q194,
                        INDIRECT("'" &amp; 'Hulp (overig)'!$C$16 &amp; "'!A1:A1000"),
                        0
                    ))
                ),
                ROW(INDIRECT("'" &amp; 'Hulp (overig)'!$C$16 &amp; "'!B1:B1000"))
            )
        ),0)
    )=0,"",
INDEX(
        INDIRECT("'" &amp; 'Hulp (overig)'!$C$16 &amp; "'!" &amp;
        'Hulp (overig)'!$C$17 &amp; "1:" &amp; 'Hulp (overig)'!$C$17 &amp; 1000
        ),
        IFERROR(MIN(
            IF(
                (TRIM(INDIRECT("'" &amp; 'Hulp (overig)'!$C$16 &amp; "'!B1:B1000")) = TEXT(P196,"0")) *
                (ROW(INDIRECT("'" &amp; 'Hulp (overig)'!$C$16 &amp; "'!B1:B1000")) &gt;= MATCH(
                    P194,
                    INDIRECT("'" &amp; 'Hulp (overig)'!$C$16 &amp; "'!A1:A1000"),
                    0
                )) *
                IF(
                    Q194="",
                    1,
                    (ROW(INDIRECT("'" &amp; 'Hulp (overig)'!$C$16 &amp; "'!B1:B1000")) &lt; MATCH(
                        Q194,
                        INDIRECT("'" &amp; 'Hulp (overig)'!$C$16 &amp; "'!A1:A1000"),
                        0
                    ))
                ),
                ROW(INDIRECT("'" &amp; 'Hulp (overig)'!$C$16 &amp; "'!B1:B1000"))
            )
        ),0)
    ))
))))</f>
        <v>#VALUE!</v>
      </c>
      <c r="Q197" s="425" t="e" cm="1">
        <f t="array" aca="1" ref="Q197" ca="1">IF($BF197, IF(Q194="","",
   INDEX(
      INDIRECT("'" &amp; 'Hulp (CAO''s)'!$AE$8 &amp; "'!" &amp;
               'Hulp (overig)'!$C$17 &amp; "1:" &amp;
               'Hulp (overig)'!$C$17 &amp; "1000"),
      MATCH(
         Q194,
         INDIRECT("'" &amp; 'Hulp (CAO''s)'!$AE$8 &amp; "'!A1:A1000"),
         0
      )
   )
), IF($D195="Gebruik % van maximum salaris",
IF(
    OR(Q194="",Q195=""),
    "",
    MAX(
        INDIRECT(
            "'" &amp; 'Hulp (overig)'!$C$16 &amp; "'!" &amp;
            'Hulp (overig)'!$C$17 &amp;
            MATCH(Q194, INDIRECT("'" &amp; 'Hulp (overig)'!$C$16 &amp; "'!A1:A1000"), 0) &amp;
            ":" &amp;
            'Hulp (overig)'!$C$17 &amp;
LOOKUP(
    2,
    1 / (
        (ROW(INDIRECT("'" &amp; 'Hulp (overig)'!$C$16 &amp; "'!B1:B1000")) &lt;
            IF(R194&lt;&gt;"",
               MATCH(R194, INDIRECT("'" &amp; 'Hulp (overig)'!$C$16 &amp; "'!A1:A1000"),0),
               1000
            )
        ) *
        (LEFT(TRIM(INDIRECT("'" &amp; 'Hulp (overig)'!$C$16 &amp; "'!B1:B1000")),1) &lt;&gt; "u")
    ),
    ROW(INDIRECT("'" &amp; 'Hulp (overig)'!$C$16 &amp; "'!B1:B1000"))
)
        )
    ) * Q195
),
IF(Q196="","",
IF(
    IFERROR(MIN(
        IF(
            (TRIM(INDIRECT("'" &amp; 'Hulp (overig)'!$C$16 &amp; "'!B1:B1000")) = TEXT(Q196,"0")) *
            (ROW(INDIRECT("'" &amp; 'Hulp (overig)'!$C$16 &amp; "'!B1:B1000")) &gt;= MATCH(
                Q194,
                INDIRECT("'" &amp; 'Hulp (overig)'!$C$16 &amp; "'!A1:A1000"),
                0
            )) *
            IF(
                R194="",
                1,
                (ROW(INDIRECT("'" &amp; 'Hulp (overig)'!$C$16 &amp; "'!B1:B1000")) &lt; MATCH(
                    R194,
                    INDIRECT("'" &amp; 'Hulp (overig)'!$C$16 &amp; "'!A1:A1000"),
                    0
                ))
            ),
            ROW(INDIRECT("'" &amp; 'Hulp (overig)'!$C$16 &amp; "'!B1:B1000"))
        )
    ),0) &lt; 1,
    "",
    IF(INDEX(
        INDIRECT("'" &amp; 'Hulp (overig)'!$C$16 &amp; "'!" &amp;
        'Hulp (overig)'!$C$17 &amp; "1:" &amp; 'Hulp (overig)'!$C$17 &amp; 1000
        ),
        IFERROR(MIN(
            IF(
                (TRIM(INDIRECT("'" &amp; 'Hulp (overig)'!$C$16 &amp; "'!B1:B1000")) = TEXT(Q196,"0")) *
                (ROW(INDIRECT("'" &amp; 'Hulp (overig)'!$C$16 &amp; "'!B1:B1000")) &gt;= MATCH(
                    Q194,
                    INDIRECT("'" &amp; 'Hulp (overig)'!$C$16 &amp; "'!A1:A1000"),
                    0
                )) *
                IF(
                    R194="",
                    1,
                    (ROW(INDIRECT("'" &amp; 'Hulp (overig)'!$C$16 &amp; "'!B1:B1000")) &lt; MATCH(
                        R194,
                        INDIRECT("'" &amp; 'Hulp (overig)'!$C$16 &amp; "'!A1:A1000"),
                        0
                    ))
                ),
                ROW(INDIRECT("'" &amp; 'Hulp (overig)'!$C$16 &amp; "'!B1:B1000"))
            )
        ),0)
    )=0,"",
INDEX(
        INDIRECT("'" &amp; 'Hulp (overig)'!$C$16 &amp; "'!" &amp;
        'Hulp (overig)'!$C$17 &amp; "1:" &amp; 'Hulp (overig)'!$C$17 &amp; 1000
        ),
        IFERROR(MIN(
            IF(
                (TRIM(INDIRECT("'" &amp; 'Hulp (overig)'!$C$16 &amp; "'!B1:B1000")) = TEXT(Q196,"0")) *
                (ROW(INDIRECT("'" &amp; 'Hulp (overig)'!$C$16 &amp; "'!B1:B1000")) &gt;= MATCH(
                    Q194,
                    INDIRECT("'" &amp; 'Hulp (overig)'!$C$16 &amp; "'!A1:A1000"),
                    0
                )) *
                IF(
                    R194="",
                    1,
                    (ROW(INDIRECT("'" &amp; 'Hulp (overig)'!$C$16 &amp; "'!B1:B1000")) &lt; MATCH(
                        R194,
                        INDIRECT("'" &amp; 'Hulp (overig)'!$C$16 &amp; "'!A1:A1000"),
                        0
                    ))
                ),
                ROW(INDIRECT("'" &amp; 'Hulp (overig)'!$C$16 &amp; "'!B1:B1000"))
            )
        ),0)
    ))
))))</f>
        <v>#VALUE!</v>
      </c>
      <c r="R197" s="425" t="e" cm="1">
        <f t="array" aca="1" ref="R197" ca="1">IF($BF197, IF(R194="","",
   INDEX(
      INDIRECT("'" &amp; 'Hulp (CAO''s)'!$AE$8 &amp; "'!" &amp;
               'Hulp (overig)'!$C$17 &amp; "1:" &amp;
               'Hulp (overig)'!$C$17 &amp; "1000"),
      MATCH(
         R194,
         INDIRECT("'" &amp; 'Hulp (CAO''s)'!$AE$8 &amp; "'!A1:A1000"),
         0
      )
   )
), IF($D195="Gebruik % van maximum salaris",
IF(
    OR(R194="",R195=""),
    "",
    MAX(
        INDIRECT(
            "'" &amp; 'Hulp (overig)'!$C$16 &amp; "'!" &amp;
            'Hulp (overig)'!$C$17 &amp;
            MATCH(R194, INDIRECT("'" &amp; 'Hulp (overig)'!$C$16 &amp; "'!A1:A1000"), 0) &amp;
            ":" &amp;
            'Hulp (overig)'!$C$17 &amp;
LOOKUP(
    2,
    1 / (
        (ROW(INDIRECT("'" &amp; 'Hulp (overig)'!$C$16 &amp; "'!B1:B1000")) &lt;
            IF(S194&lt;&gt;"",
               MATCH(S194, INDIRECT("'" &amp; 'Hulp (overig)'!$C$16 &amp; "'!A1:A1000"),0),
               1000
            )
        ) *
        (LEFT(TRIM(INDIRECT("'" &amp; 'Hulp (overig)'!$C$16 &amp; "'!B1:B1000")),1) &lt;&gt; "u")
    ),
    ROW(INDIRECT("'" &amp; 'Hulp (overig)'!$C$16 &amp; "'!B1:B1000"))
)
        )
    ) * R195
),
IF(R196="","",
IF(
    IFERROR(MIN(
        IF(
            (TRIM(INDIRECT("'" &amp; 'Hulp (overig)'!$C$16 &amp; "'!B1:B1000")) = TEXT(R196,"0")) *
            (ROW(INDIRECT("'" &amp; 'Hulp (overig)'!$C$16 &amp; "'!B1:B1000")) &gt;= MATCH(
                R194,
                INDIRECT("'" &amp; 'Hulp (overig)'!$C$16 &amp; "'!A1:A1000"),
                0
            )) *
            IF(
                S194="",
                1,
                (ROW(INDIRECT("'" &amp; 'Hulp (overig)'!$C$16 &amp; "'!B1:B1000")) &lt; MATCH(
                    S194,
                    INDIRECT("'" &amp; 'Hulp (overig)'!$C$16 &amp; "'!A1:A1000"),
                    0
                ))
            ),
            ROW(INDIRECT("'" &amp; 'Hulp (overig)'!$C$16 &amp; "'!B1:B1000"))
        )
    ),0) &lt; 1,
    "",
    IF(INDEX(
        INDIRECT("'" &amp; 'Hulp (overig)'!$C$16 &amp; "'!" &amp;
        'Hulp (overig)'!$C$17 &amp; "1:" &amp; 'Hulp (overig)'!$C$17 &amp; 1000
        ),
        IFERROR(MIN(
            IF(
                (TRIM(INDIRECT("'" &amp; 'Hulp (overig)'!$C$16 &amp; "'!B1:B1000")) = TEXT(R196,"0")) *
                (ROW(INDIRECT("'" &amp; 'Hulp (overig)'!$C$16 &amp; "'!B1:B1000")) &gt;= MATCH(
                    R194,
                    INDIRECT("'" &amp; 'Hulp (overig)'!$C$16 &amp; "'!A1:A1000"),
                    0
                )) *
                IF(
                    S194="",
                    1,
                    (ROW(INDIRECT("'" &amp; 'Hulp (overig)'!$C$16 &amp; "'!B1:B1000")) &lt; MATCH(
                        S194,
                        INDIRECT("'" &amp; 'Hulp (overig)'!$C$16 &amp; "'!A1:A1000"),
                        0
                    ))
                ),
                ROW(INDIRECT("'" &amp; 'Hulp (overig)'!$C$16 &amp; "'!B1:B1000"))
            )
        ),0)
    )=0,"",
INDEX(
        INDIRECT("'" &amp; 'Hulp (overig)'!$C$16 &amp; "'!" &amp;
        'Hulp (overig)'!$C$17 &amp; "1:" &amp; 'Hulp (overig)'!$C$17 &amp; 1000
        ),
        IFERROR(MIN(
            IF(
                (TRIM(INDIRECT("'" &amp; 'Hulp (overig)'!$C$16 &amp; "'!B1:B1000")) = TEXT(R196,"0")) *
                (ROW(INDIRECT("'" &amp; 'Hulp (overig)'!$C$16 &amp; "'!B1:B1000")) &gt;= MATCH(
                    R194,
                    INDIRECT("'" &amp; 'Hulp (overig)'!$C$16 &amp; "'!A1:A1000"),
                    0
                )) *
                IF(
                    S194="",
                    1,
                    (ROW(INDIRECT("'" &amp; 'Hulp (overig)'!$C$16 &amp; "'!B1:B1000")) &lt; MATCH(
                        S194,
                        INDIRECT("'" &amp; 'Hulp (overig)'!$C$16 &amp; "'!A1:A1000"),
                        0
                    ))
                ),
                ROW(INDIRECT("'" &amp; 'Hulp (overig)'!$C$16 &amp; "'!B1:B1000"))
            )
        ),0)
    ))
))))</f>
        <v>#VALUE!</v>
      </c>
      <c r="S197" s="425" t="e" cm="1">
        <f t="array" aca="1" ref="S197" ca="1">IF($BF197, IF(S194="","",
   INDEX(
      INDIRECT("'" &amp; 'Hulp (CAO''s)'!$AE$8 &amp; "'!" &amp;
               'Hulp (overig)'!$C$17 &amp; "1:" &amp;
               'Hulp (overig)'!$C$17 &amp; "1000"),
      MATCH(
         S194,
         INDIRECT("'" &amp; 'Hulp (CAO''s)'!$AE$8 &amp; "'!A1:A1000"),
         0
      )
   )
), IF($D195="Gebruik % van maximum salaris",
IF(
    OR(S194="",S195=""),
    "",
    MAX(
        INDIRECT(
            "'" &amp; 'Hulp (overig)'!$C$16 &amp; "'!" &amp;
            'Hulp (overig)'!$C$17 &amp;
            MATCH(S194, INDIRECT("'" &amp; 'Hulp (overig)'!$C$16 &amp; "'!A1:A1000"), 0) &amp;
            ":" &amp;
            'Hulp (overig)'!$C$17 &amp;
LOOKUP(
    2,
    1 / (
        (ROW(INDIRECT("'" &amp; 'Hulp (overig)'!$C$16 &amp; "'!B1:B1000")) &lt;
            IF(T194&lt;&gt;"",
               MATCH(T194, INDIRECT("'" &amp; 'Hulp (overig)'!$C$16 &amp; "'!A1:A1000"),0),
               1000
            )
        ) *
        (LEFT(TRIM(INDIRECT("'" &amp; 'Hulp (overig)'!$C$16 &amp; "'!B1:B1000")),1) &lt;&gt; "u")
    ),
    ROW(INDIRECT("'" &amp; 'Hulp (overig)'!$C$16 &amp; "'!B1:B1000"))
)
        )
    ) * S195
),
IF(S196="","",
IF(
    IFERROR(MIN(
        IF(
            (TRIM(INDIRECT("'" &amp; 'Hulp (overig)'!$C$16 &amp; "'!B1:B1000")) = TEXT(S196,"0")) *
            (ROW(INDIRECT("'" &amp; 'Hulp (overig)'!$C$16 &amp; "'!B1:B1000")) &gt;= MATCH(
                S194,
                INDIRECT("'" &amp; 'Hulp (overig)'!$C$16 &amp; "'!A1:A1000"),
                0
            )) *
            IF(
                T194="",
                1,
                (ROW(INDIRECT("'" &amp; 'Hulp (overig)'!$C$16 &amp; "'!B1:B1000")) &lt; MATCH(
                    T194,
                    INDIRECT("'" &amp; 'Hulp (overig)'!$C$16 &amp; "'!A1:A1000"),
                    0
                ))
            ),
            ROW(INDIRECT("'" &amp; 'Hulp (overig)'!$C$16 &amp; "'!B1:B1000"))
        )
    ),0) &lt; 1,
    "",
    IF(INDEX(
        INDIRECT("'" &amp; 'Hulp (overig)'!$C$16 &amp; "'!" &amp;
        'Hulp (overig)'!$C$17 &amp; "1:" &amp; 'Hulp (overig)'!$C$17 &amp; 1000
        ),
        IFERROR(MIN(
            IF(
                (TRIM(INDIRECT("'" &amp; 'Hulp (overig)'!$C$16 &amp; "'!B1:B1000")) = TEXT(S196,"0")) *
                (ROW(INDIRECT("'" &amp; 'Hulp (overig)'!$C$16 &amp; "'!B1:B1000")) &gt;= MATCH(
                    S194,
                    INDIRECT("'" &amp; 'Hulp (overig)'!$C$16 &amp; "'!A1:A1000"),
                    0
                )) *
                IF(
                    T194="",
                    1,
                    (ROW(INDIRECT("'" &amp; 'Hulp (overig)'!$C$16 &amp; "'!B1:B1000")) &lt; MATCH(
                        T194,
                        INDIRECT("'" &amp; 'Hulp (overig)'!$C$16 &amp; "'!A1:A1000"),
                        0
                    ))
                ),
                ROW(INDIRECT("'" &amp; 'Hulp (overig)'!$C$16 &amp; "'!B1:B1000"))
            )
        ),0)
    )=0,"",
INDEX(
        INDIRECT("'" &amp; 'Hulp (overig)'!$C$16 &amp; "'!" &amp;
        'Hulp (overig)'!$C$17 &amp; "1:" &amp; 'Hulp (overig)'!$C$17 &amp; 1000
        ),
        IFERROR(MIN(
            IF(
                (TRIM(INDIRECT("'" &amp; 'Hulp (overig)'!$C$16 &amp; "'!B1:B1000")) = TEXT(S196,"0")) *
                (ROW(INDIRECT("'" &amp; 'Hulp (overig)'!$C$16 &amp; "'!B1:B1000")) &gt;= MATCH(
                    S194,
                    INDIRECT("'" &amp; 'Hulp (overig)'!$C$16 &amp; "'!A1:A1000"),
                    0
                )) *
                IF(
                    T194="",
                    1,
                    (ROW(INDIRECT("'" &amp; 'Hulp (overig)'!$C$16 &amp; "'!B1:B1000")) &lt; MATCH(
                        T194,
                        INDIRECT("'" &amp; 'Hulp (overig)'!$C$16 &amp; "'!A1:A1000"),
                        0
                    ))
                ),
                ROW(INDIRECT("'" &amp; 'Hulp (overig)'!$C$16 &amp; "'!B1:B1000"))
            )
        ),0)
    ))
))))</f>
        <v>#VALUE!</v>
      </c>
      <c r="T197" s="425" t="e" cm="1">
        <f t="array" aca="1" ref="T197" ca="1">IF($BF197, IF(T194="","",
   INDEX(
      INDIRECT("'" &amp; 'Hulp (CAO''s)'!$AE$8 &amp; "'!" &amp;
               'Hulp (overig)'!$C$17 &amp; "1:" &amp;
               'Hulp (overig)'!$C$17 &amp; "1000"),
      MATCH(
         T194,
         INDIRECT("'" &amp; 'Hulp (CAO''s)'!$AE$8 &amp; "'!A1:A1000"),
         0
      )
   )
), IF($D195="Gebruik % van maximum salaris",
IF(
    OR(T194="",T195=""),
    "",
    MAX(
        INDIRECT(
            "'" &amp; 'Hulp (overig)'!$C$16 &amp; "'!" &amp;
            'Hulp (overig)'!$C$17 &amp;
            MATCH(T194, INDIRECT("'" &amp; 'Hulp (overig)'!$C$16 &amp; "'!A1:A1000"), 0) &amp;
            ":" &amp;
            'Hulp (overig)'!$C$17 &amp;
LOOKUP(
    2,
    1 / (
        (ROW(INDIRECT("'" &amp; 'Hulp (overig)'!$C$16 &amp; "'!B1:B1000")) &lt;
            IF(U194&lt;&gt;"",
               MATCH(U194, INDIRECT("'" &amp; 'Hulp (overig)'!$C$16 &amp; "'!A1:A1000"),0),
               1000
            )
        ) *
        (LEFT(TRIM(INDIRECT("'" &amp; 'Hulp (overig)'!$C$16 &amp; "'!B1:B1000")),1) &lt;&gt; "u")
    ),
    ROW(INDIRECT("'" &amp; 'Hulp (overig)'!$C$16 &amp; "'!B1:B1000"))
)
        )
    ) * T195
),
IF(T196="","",
IF(
    IFERROR(MIN(
        IF(
            (TRIM(INDIRECT("'" &amp; 'Hulp (overig)'!$C$16 &amp; "'!B1:B1000")) = TEXT(T196,"0")) *
            (ROW(INDIRECT("'" &amp; 'Hulp (overig)'!$C$16 &amp; "'!B1:B1000")) &gt;= MATCH(
                T194,
                INDIRECT("'" &amp; 'Hulp (overig)'!$C$16 &amp; "'!A1:A1000"),
                0
            )) *
            IF(
                U194="",
                1,
                (ROW(INDIRECT("'" &amp; 'Hulp (overig)'!$C$16 &amp; "'!B1:B1000")) &lt; MATCH(
                    U194,
                    INDIRECT("'" &amp; 'Hulp (overig)'!$C$16 &amp; "'!A1:A1000"),
                    0
                ))
            ),
            ROW(INDIRECT("'" &amp; 'Hulp (overig)'!$C$16 &amp; "'!B1:B1000"))
        )
    ),0) &lt; 1,
    "",
    IF(INDEX(
        INDIRECT("'" &amp; 'Hulp (overig)'!$C$16 &amp; "'!" &amp;
        'Hulp (overig)'!$C$17 &amp; "1:" &amp; 'Hulp (overig)'!$C$17 &amp; 1000
        ),
        IFERROR(MIN(
            IF(
                (TRIM(INDIRECT("'" &amp; 'Hulp (overig)'!$C$16 &amp; "'!B1:B1000")) = TEXT(T196,"0")) *
                (ROW(INDIRECT("'" &amp; 'Hulp (overig)'!$C$16 &amp; "'!B1:B1000")) &gt;= MATCH(
                    T194,
                    INDIRECT("'" &amp; 'Hulp (overig)'!$C$16 &amp; "'!A1:A1000"),
                    0
                )) *
                IF(
                    U194="",
                    1,
                    (ROW(INDIRECT("'" &amp; 'Hulp (overig)'!$C$16 &amp; "'!B1:B1000")) &lt; MATCH(
                        U194,
                        INDIRECT("'" &amp; 'Hulp (overig)'!$C$16 &amp; "'!A1:A1000"),
                        0
                    ))
                ),
                ROW(INDIRECT("'" &amp; 'Hulp (overig)'!$C$16 &amp; "'!B1:B1000"))
            )
        ),0)
    )=0,"",
INDEX(
        INDIRECT("'" &amp; 'Hulp (overig)'!$C$16 &amp; "'!" &amp;
        'Hulp (overig)'!$C$17 &amp; "1:" &amp; 'Hulp (overig)'!$C$17 &amp; 1000
        ),
        IFERROR(MIN(
            IF(
                (TRIM(INDIRECT("'" &amp; 'Hulp (overig)'!$C$16 &amp; "'!B1:B1000")) = TEXT(T196,"0")) *
                (ROW(INDIRECT("'" &amp; 'Hulp (overig)'!$C$16 &amp; "'!B1:B1000")) &gt;= MATCH(
                    T194,
                    INDIRECT("'" &amp; 'Hulp (overig)'!$C$16 &amp; "'!A1:A1000"),
                    0
                )) *
                IF(
                    U194="",
                    1,
                    (ROW(INDIRECT("'" &amp; 'Hulp (overig)'!$C$16 &amp; "'!B1:B1000")) &lt; MATCH(
                        U194,
                        INDIRECT("'" &amp; 'Hulp (overig)'!$C$16 &amp; "'!A1:A1000"),
                        0
                    ))
                ),
                ROW(INDIRECT("'" &amp; 'Hulp (overig)'!$C$16 &amp; "'!B1:B1000"))
            )
        ),0)
    ))
))))</f>
        <v>#VALUE!</v>
      </c>
      <c r="U197" s="723" t="e" cm="1">
        <f t="array" aca="1" ref="U197" ca="1">IF($BF197, IF(U194="","",
   INDEX(
      INDIRECT("'" &amp; 'Hulp (CAO''s)'!$AE$8 &amp; "'!" &amp;
               'Hulp (overig)'!$C$17 &amp; "1:" &amp;
               'Hulp (overig)'!$C$17 &amp; "1000"),
      MATCH(
         U194,
         INDIRECT("'" &amp; 'Hulp (CAO''s)'!$AE$8 &amp; "'!A1:A1000"),
         0
      )
   )
), IF($D195="Gebruik % van maximum salaris",
IF(
    OR(U194="",U195=""),
    "",
    MAX(
        INDIRECT(
            "'" &amp; 'Hulp (overig)'!$C$16 &amp; "'!" &amp;
            'Hulp (overig)'!$C$17 &amp;
            MATCH(U194, INDIRECT("'" &amp; 'Hulp (overig)'!$C$16 &amp; "'!A1:A1000"), 0) &amp;
            ":" &amp;
            'Hulp (overig)'!$C$17 &amp;
LOOKUP(
    2,
    1 / (
        (ROW(INDIRECT("'" &amp; 'Hulp (overig)'!$C$16 &amp; "'!B1:B1000")) &lt;
            IF(V194&lt;&gt;"",
               MATCH(V194, INDIRECT("'" &amp; 'Hulp (overig)'!$C$16 &amp; "'!A1:A1000"),0),
               1000
            )
        ) *
        (LEFT(TRIM(INDIRECT("'" &amp; 'Hulp (overig)'!$C$16 &amp; "'!B1:B1000")),1) &lt;&gt; "u")
    ),
    ROW(INDIRECT("'" &amp; 'Hulp (overig)'!$C$16 &amp; "'!B1:B1000"))
)
        )
    ) * U195
),
IF(U196="","",
IF(
    IFERROR(MIN(
        IF(
            (TRIM(INDIRECT("'" &amp; 'Hulp (overig)'!$C$16 &amp; "'!B1:B1000")) = TEXT(U196,"0")) *
            (ROW(INDIRECT("'" &amp; 'Hulp (overig)'!$C$16 &amp; "'!B1:B1000")) &gt;= MATCH(
                U194,
                INDIRECT("'" &amp; 'Hulp (overig)'!$C$16 &amp; "'!A1:A1000"),
                0
            )) *
            IF(
                V194="",
                1,
                (ROW(INDIRECT("'" &amp; 'Hulp (overig)'!$C$16 &amp; "'!B1:B1000")) &lt; MATCH(
                    V194,
                    INDIRECT("'" &amp; 'Hulp (overig)'!$C$16 &amp; "'!A1:A1000"),
                    0
                ))
            ),
            ROW(INDIRECT("'" &amp; 'Hulp (overig)'!$C$16 &amp; "'!B1:B1000"))
        )
    ),0) &lt; 1,
    "",
    IF(INDEX(
        INDIRECT("'" &amp; 'Hulp (overig)'!$C$16 &amp; "'!" &amp;
        'Hulp (overig)'!$C$17 &amp; "1:" &amp; 'Hulp (overig)'!$C$17 &amp; 1000
        ),
        IFERROR(MIN(
            IF(
                (TRIM(INDIRECT("'" &amp; 'Hulp (overig)'!$C$16 &amp; "'!B1:B1000")) = TEXT(U196,"0")) *
                (ROW(INDIRECT("'" &amp; 'Hulp (overig)'!$C$16 &amp; "'!B1:B1000")) &gt;= MATCH(
                    U194,
                    INDIRECT("'" &amp; 'Hulp (overig)'!$C$16 &amp; "'!A1:A1000"),
                    0
                )) *
                IF(
                    V194="",
                    1,
                    (ROW(INDIRECT("'" &amp; 'Hulp (overig)'!$C$16 &amp; "'!B1:B1000")) &lt; MATCH(
                        V194,
                        INDIRECT("'" &amp; 'Hulp (overig)'!$C$16 &amp; "'!A1:A1000"),
                        0
                    ))
                ),
                ROW(INDIRECT("'" &amp; 'Hulp (overig)'!$C$16 &amp; "'!B1:B1000"))
            )
        ),0)
    )=0,"",
INDEX(
        INDIRECT("'" &amp; 'Hulp (overig)'!$C$16 &amp; "'!" &amp;
        'Hulp (overig)'!$C$17 &amp; "1:" &amp; 'Hulp (overig)'!$C$17 &amp; 1000
        ),
        IFERROR(MIN(
            IF(
                (TRIM(INDIRECT("'" &amp; 'Hulp (overig)'!$C$16 &amp; "'!B1:B1000")) = TEXT(U196,"0")) *
                (ROW(INDIRECT("'" &amp; 'Hulp (overig)'!$C$16 &amp; "'!B1:B1000")) &gt;= MATCH(
                    U194,
                    INDIRECT("'" &amp; 'Hulp (overig)'!$C$16 &amp; "'!A1:A1000"),
                    0
                )) *
                IF(
                    V194="",
                    1,
                    (ROW(INDIRECT("'" &amp; 'Hulp (overig)'!$C$16 &amp; "'!B1:B1000")) &lt; MATCH(
                        V194,
                        INDIRECT("'" &amp; 'Hulp (overig)'!$C$16 &amp; "'!A1:A1000"),
                        0
                    ))
                ),
                ROW(INDIRECT("'" &amp; 'Hulp (overig)'!$C$16 &amp; "'!B1:B1000"))
            )
        ),0)
    ))
))))</f>
        <v>#VALUE!</v>
      </c>
      <c r="V197" s="413" t="str" cm="1">
        <f t="array" ref="V197">IF(SUM(F198:U198)=0,"",
IF(SUM(F197:U197)=0,"",
IF(SUMPRODUCT((F198:U198&lt;&gt;0)*(F197:U197=""))&gt;0,"",
(
   SUMPRODUCT(
      IF(F197:U197="",0,F197:U197),
      IF(F198:U198="",0,F198:U198) / SUM(F198:U198)
   )
))))</f>
        <v/>
      </c>
      <c r="W197" s="418"/>
      <c r="X197" s="620"/>
      <c r="Y197" s="419" t="str">
        <f ca="1">IF(B194="","",
        IF(INDIRECT("'Hulp (control forms)'!C" &amp; (13 + INT((ROW()-ROW($B$5))/7))),
            IF(X197="","",X197),
            IF(V197="","",V197)
    )
)</f>
        <v/>
      </c>
      <c r="Z197" s="333"/>
      <c r="AA197" s="771"/>
      <c r="AB197" s="770"/>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c r="BA197" cm="1">
        <f t="array" aca="1" ref="BA197" ca="1">IF(
   SUM(Y197)=0,
   1,
   IF(
      N(INDIRECT("'Hulp (control forms)'!C"&amp;(13+INT((ROW()-ROW($B$5))/7))))&lt;&gt;0,
      MIN(1,
      ('Hulp (overig)'!$C$6/12) /
      (Y197 * BC197 + BD197)),
      MIN(1,
         IF(
            SUM(F197:U197)=0,
            "",
            SUMPRODUCT(
               IF(
                  (IF(F197:U197="",0,F197:U197) * BC197) + BD197
                  &gt; 'Hulp (overig)'!$C$6/12,
                  'Hulp (overig)'!$C$6/12,
                  (IF(F197:U197="",0,F197:U197) * BC197) + BD197
               ),
               IF(F198:U198="",0,F198:U198) / SUM(F198:U198)
            )
         ) /
         ((Y197 * BC197) + BD197)
      )
   )
)</f>
        <v>1</v>
      </c>
      <c r="BB197" cm="1">
        <f t="array" aca="1" ref="BB197" ca="1">IF(
   SUM(Y197)=0,
   1,
   IF(
      N(INDIRECT("'Hulp (control forms)'!C"&amp;(13+INT((ROW()-ROW($B$5))/7))))&lt;&gt;0,
      MIN('Hulp (overig)'!$C$5/12,
      (Y197 * BC197) + BD197) * 12,
         IF(
            SUM(F197:U197)=0,
            "",
            SUMPRODUCT(
               IF(
                  (IF(F197:U197="",0,F197:U197) * BC197) + BD197
                  &gt; 'Hulp (overig)'!$C$5/12,
                  'Hulp (overig)'!$C$5/12,
                  (IF(F197:U197="",0,F197:U197) * BC197) + BD197
               ),
               IF(F198:U198="",0,F198:U198) / SUM(F198:U198)
            )
         ) * 12
   )
)</f>
        <v>1</v>
      </c>
      <c r="BC197" s="287" cm="1">
        <f t="array" aca="1" ref="BC197" ca="1">IFERROR(
   (INDEX('2. Output kostprijs'!$24:$24, 5 + 2*INT((ROW()-8)/7))
    - SUM(INDEX('2. Output kostprijs'!$23:$23, 5 + 2*INT((ROW()-8)/7))))
   / INDEX('2. Output kostprijs'!$19:$19, 5 + 2*INT((ROW()-8)/7)),
   1
)</f>
        <v>1</v>
      </c>
      <c r="BD197" s="287" cm="1">
        <f t="array" aca="1" ref="BD197" ca="1">IFERROR(
   (INDEX('2. Output kostprijs'!$23:$23, 5 + 2*INT((ROW()-8)/7))
    * INDEX('2. Output kostprijs'!$18:$18, 5 + 2*INT((ROW()-8)/7))
   ) / 12,
   0
)</f>
        <v>0</v>
      </c>
      <c r="BE197" t="b">
        <f ca="1">NOT(AND(B194&lt;&gt;"",Y197=""))</f>
        <v>1</v>
      </c>
      <c r="BF197" t="str" cm="1">
        <f t="array" aca="1" ref="BF197" ca="1">INDIRECT("'1a. Input organisatieniveau'!$AD" &amp; 7 + INT((ROW()-ROW($F$8))/7))</f>
        <v/>
      </c>
      <c r="BG197" t="b" cm="1">
        <f t="array" ref="BG197">IFERROR(INDEX('Hulp (control forms)'!C:C, 13 + INT((ROW(A190)-1)/7)),FALSE)</f>
        <v>0</v>
      </c>
    </row>
    <row r="198" spans="1:59" ht="16.05" customHeight="1" thickBot="1" x14ac:dyDescent="0.5">
      <c r="A198" s="289"/>
      <c r="B198" s="343"/>
      <c r="C198" s="325" t="s">
        <v>779</v>
      </c>
      <c r="D198" s="688" t="s">
        <v>60</v>
      </c>
      <c r="E198" s="433" t="s">
        <v>59</v>
      </c>
      <c r="F198" s="624"/>
      <c r="G198" s="624"/>
      <c r="H198" s="624"/>
      <c r="I198" s="624"/>
      <c r="J198" s="624"/>
      <c r="K198" s="624"/>
      <c r="L198" s="624"/>
      <c r="M198" s="624"/>
      <c r="N198" s="624"/>
      <c r="O198" s="624"/>
      <c r="P198" s="624"/>
      <c r="Q198" s="624"/>
      <c r="R198" s="624"/>
      <c r="S198" s="624"/>
      <c r="T198" s="624"/>
      <c r="U198" s="625"/>
      <c r="V198" s="420" t="str">
        <f ca="1">IF($B194="","",IF($D198="Aandeel in %",
   "Totaal: "&amp;SUM(F198:U198)*100&amp;"%",
   "Totaal: "&amp;SUM(F198:U198)&amp;" uur"
))</f>
        <v/>
      </c>
      <c r="W198" s="294"/>
      <c r="X198" s="621"/>
      <c r="Y198" s="328"/>
      <c r="Z198" s="32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row>
    <row r="199" spans="1:59" ht="16.05" customHeight="1" thickBot="1" x14ac:dyDescent="0.5">
      <c r="A199" s="289"/>
      <c r="B199" s="343"/>
      <c r="C199" s="326" t="s">
        <v>779</v>
      </c>
      <c r="D199" s="421"/>
      <c r="E199" s="426"/>
      <c r="F199" s="426"/>
      <c r="G199" s="426"/>
      <c r="H199" s="426"/>
      <c r="I199" s="426"/>
      <c r="J199" s="426"/>
      <c r="K199" s="426"/>
      <c r="L199" s="426"/>
      <c r="M199" s="426"/>
      <c r="N199" s="426"/>
      <c r="O199" s="426"/>
      <c r="P199" s="426"/>
      <c r="Q199" s="426"/>
      <c r="R199" s="426"/>
      <c r="S199" s="426"/>
      <c r="T199" s="427"/>
      <c r="U199" s="427"/>
      <c r="V199" s="421"/>
      <c r="W199" s="421"/>
      <c r="X199" s="622"/>
      <c r="Y199" s="421"/>
      <c r="Z199" s="327"/>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row>
    <row r="200" spans="1:59" ht="16.05" customHeight="1" thickBot="1" x14ac:dyDescent="0.55000000000000004">
      <c r="A200" s="289"/>
      <c r="B200" s="585" t="str">
        <f ca="1">IF(B201="","",
IF(
   OR(
      INDIRECT("'1a. Input organisatieniveau'!AC" &amp; (7 + INT((ROW()-4)/7)))="",
      INDIRECT("'1a. Input organisatieniveau'!AC" &amp; (7 + INT((ROW()-4)/7)))=0
   ),
   "",
   INDIRECT("'1a. Input organisatieniveau'!AC" &amp; (7 + INT((ROW()-4)/7)))
))</f>
        <v/>
      </c>
      <c r="C200" s="324" t="s">
        <v>779</v>
      </c>
      <c r="D200" s="416"/>
      <c r="E200" s="428"/>
      <c r="F200" s="422" t="str">
        <f t="shared" ref="F200:U200" ca="1" si="28">IF($B201="","",
IF($D202="Gebruik % van maximum salaris",
 IF(OR(AND(AND(F201&lt;&gt;"",F202&lt;&gt;""),F204=""),AND(F204="",F205&lt;&gt;"")),"!",""),
 IF(OR(AND(AND(F201&lt;&gt;"",F203&lt;&gt;""),F204=""),AND(F204="",F205&lt;&gt;"")),"!","")))</f>
        <v/>
      </c>
      <c r="G200" s="422" t="str">
        <f t="shared" ca="1" si="28"/>
        <v/>
      </c>
      <c r="H200" s="422" t="str">
        <f t="shared" ca="1" si="28"/>
        <v/>
      </c>
      <c r="I200" s="422" t="str">
        <f t="shared" ca="1" si="28"/>
        <v/>
      </c>
      <c r="J200" s="422" t="str">
        <f t="shared" ca="1" si="28"/>
        <v/>
      </c>
      <c r="K200" s="422" t="str">
        <f t="shared" ca="1" si="28"/>
        <v/>
      </c>
      <c r="L200" s="422" t="str">
        <f t="shared" ca="1" si="28"/>
        <v/>
      </c>
      <c r="M200" s="422" t="str">
        <f t="shared" ca="1" si="28"/>
        <v/>
      </c>
      <c r="N200" s="422" t="str">
        <f t="shared" ca="1" si="28"/>
        <v/>
      </c>
      <c r="O200" s="422" t="str">
        <f t="shared" ca="1" si="28"/>
        <v/>
      </c>
      <c r="P200" s="422" t="str">
        <f t="shared" ca="1" si="28"/>
        <v/>
      </c>
      <c r="Q200" s="422" t="str">
        <f t="shared" ca="1" si="28"/>
        <v/>
      </c>
      <c r="R200" s="422" t="str">
        <f t="shared" ca="1" si="28"/>
        <v/>
      </c>
      <c r="S200" s="422" t="str">
        <f t="shared" ca="1" si="28"/>
        <v/>
      </c>
      <c r="T200" s="422" t="str">
        <f t="shared" ca="1" si="28"/>
        <v/>
      </c>
      <c r="U200" s="422" t="str">
        <f t="shared" ca="1" si="28"/>
        <v/>
      </c>
      <c r="V200" s="416"/>
      <c r="W200" s="416"/>
      <c r="X200" s="619"/>
      <c r="Y200" s="416"/>
      <c r="Z200" s="330"/>
      <c r="AA200" s="354"/>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row>
    <row r="201" spans="1:59" ht="16.05" customHeight="1" thickBot="1" x14ac:dyDescent="0.5">
      <c r="A201" s="289"/>
      <c r="B201" s="586" t="str">
        <f ca="1">IF(
   OR(
      INDIRECT("'1a. Input organisatieniveau'!AA" &amp; (7 + INT((ROW()-4)/7)))="",
      INDIRECT("'1a. Input organisatieniveau'!AA" &amp; (7 + INT((ROW()-4)/7)))=0
   ),
   "",
   INDIRECT("'1a. Input organisatieniveau'!AA" &amp; (7 + INT((ROW()-4)/7)))
)</f>
        <v/>
      </c>
      <c r="C201" s="325" t="s">
        <v>779</v>
      </c>
      <c r="D201" s="434"/>
      <c r="E201" s="429" t="s">
        <v>28</v>
      </c>
      <c r="F201" s="423" t="str">
        <f ca="1">IF($B201="", "", IF($BF204, IF('Hulp (CAO''s)'!J$8&lt;&gt;"",'Hulp (CAO''s)'!J$8,""), INDEX('Hulp (CAO''s)'!J$3:J$7, MATCH(TRUE, 'Hulp (CAO''s)'!$D$3:$D$7, 0))))</f>
        <v/>
      </c>
      <c r="G201" s="423" t="str">
        <f ca="1">IF($B201="", "", IF($BF204, IF('Hulp (CAO''s)'!K$8&lt;&gt;"",'Hulp (CAO''s)'!K$8,""), INDEX('Hulp (CAO''s)'!K$3:K$7, MATCH(TRUE, 'Hulp (CAO''s)'!$D$3:$D$7, 0))))</f>
        <v/>
      </c>
      <c r="H201" s="423" t="str">
        <f ca="1">IF($B201="", "", IF($BF204, IF('Hulp (CAO''s)'!L$8&lt;&gt;"",'Hulp (CAO''s)'!L$8,""), INDEX('Hulp (CAO''s)'!L$3:L$7, MATCH(TRUE, 'Hulp (CAO''s)'!$D$3:$D$7, 0))))</f>
        <v/>
      </c>
      <c r="I201" s="423" t="str">
        <f ca="1">IF($B201="", "", IF($BF204, IF('Hulp (CAO''s)'!M$8&lt;&gt;"",'Hulp (CAO''s)'!M$8,""), INDEX('Hulp (CAO''s)'!M$3:M$7, MATCH(TRUE, 'Hulp (CAO''s)'!$D$3:$D$7, 0))))</f>
        <v/>
      </c>
      <c r="J201" s="423" t="str">
        <f ca="1">IF($B201="", "", IF($BF204, IF('Hulp (CAO''s)'!N$8&lt;&gt;"",'Hulp (CAO''s)'!N$8,""), INDEX('Hulp (CAO''s)'!N$3:N$7, MATCH(TRUE, 'Hulp (CAO''s)'!$D$3:$D$7, 0))))</f>
        <v/>
      </c>
      <c r="K201" s="423" t="str">
        <f ca="1">IF($B201="", "", IF($BF204, IF('Hulp (CAO''s)'!O$8&lt;&gt;"",'Hulp (CAO''s)'!O$8,""), INDEX('Hulp (CAO''s)'!O$3:O$7, MATCH(TRUE, 'Hulp (CAO''s)'!$D$3:$D$7, 0))))</f>
        <v/>
      </c>
      <c r="L201" s="423" t="str">
        <f ca="1">IF($B201="", "", IF($BF204, IF('Hulp (CAO''s)'!P$8&lt;&gt;"",'Hulp (CAO''s)'!P$8,""), INDEX('Hulp (CAO''s)'!P$3:P$7, MATCH(TRUE, 'Hulp (CAO''s)'!$D$3:$D$7, 0))))</f>
        <v/>
      </c>
      <c r="M201" s="423" t="str">
        <f ca="1">IF($B201="", "", IF($BF204, IF('Hulp (CAO''s)'!Q$8&lt;&gt;"",'Hulp (CAO''s)'!Q$8,""), INDEX('Hulp (CAO''s)'!Q$3:Q$7, MATCH(TRUE, 'Hulp (CAO''s)'!$D$3:$D$7, 0))))</f>
        <v/>
      </c>
      <c r="N201" s="423" t="str">
        <f ca="1">IF($B201="", "", IF($BF204, IF('Hulp (CAO''s)'!R$8&lt;&gt;"",'Hulp (CAO''s)'!R$8,""), INDEX('Hulp (CAO''s)'!R$3:R$7, MATCH(TRUE, 'Hulp (CAO''s)'!$D$3:$D$7, 0))))</f>
        <v/>
      </c>
      <c r="O201" s="423" t="str">
        <f ca="1">IF($B201="", "", IF($BF204, IF('Hulp (CAO''s)'!S$8&lt;&gt;"",'Hulp (CAO''s)'!S$8,""), INDEX('Hulp (CAO''s)'!S$3:S$7, MATCH(TRUE, 'Hulp (CAO''s)'!$D$3:$D$7, 0))))</f>
        <v/>
      </c>
      <c r="P201" s="423" t="str">
        <f ca="1">IF($B201="", "", IF($BF204, IF('Hulp (CAO''s)'!T$8&lt;&gt;"",'Hulp (CAO''s)'!T$8,""), INDEX('Hulp (CAO''s)'!T$3:T$7, MATCH(TRUE, 'Hulp (CAO''s)'!$D$3:$D$7, 0))))</f>
        <v/>
      </c>
      <c r="Q201" s="423" t="str">
        <f ca="1">IF($B201="", "", IF($BF204, IF('Hulp (CAO''s)'!U$8&lt;&gt;"",'Hulp (CAO''s)'!U$8,""), INDEX('Hulp (CAO''s)'!U$3:U$7, MATCH(TRUE, 'Hulp (CAO''s)'!$D$3:$D$7, 0))))</f>
        <v/>
      </c>
      <c r="R201" s="423" t="str">
        <f ca="1">IF($B201="", "", IF($BF204, IF('Hulp (CAO''s)'!V$8&lt;&gt;"",'Hulp (CAO''s)'!V$8,""), INDEX('Hulp (CAO''s)'!V$3:V$7, MATCH(TRUE, 'Hulp (CAO''s)'!$D$3:$D$7, 0))))</f>
        <v/>
      </c>
      <c r="S201" s="423" t="str">
        <f ca="1">IF($B201="", "", IF($BF204, IF('Hulp (CAO''s)'!W$8&lt;&gt;"",'Hulp (CAO''s)'!W$8,""), INDEX('Hulp (CAO''s)'!W$3:W$7, MATCH(TRUE, 'Hulp (CAO''s)'!$D$3:$D$7, 0))))</f>
        <v/>
      </c>
      <c r="T201" s="423" t="str">
        <f ca="1">IF($B201="", "", IF($BF204, IF('Hulp (CAO''s)'!X$8&lt;&gt;"",'Hulp (CAO''s)'!X$8,""), INDEX('Hulp (CAO''s)'!X$3:X$7, MATCH(TRUE, 'Hulp (CAO''s)'!$D$3:$D$7, 0))))</f>
        <v/>
      </c>
      <c r="U201" s="424" t="str">
        <f ca="1">IF($B201="", "", IF($BF204, IF('Hulp (CAO''s)'!Y$8&lt;&gt;"",'Hulp (CAO''s)'!Y$8,""), INDEX('Hulp (CAO''s)'!Y$3:Y$7, MATCH(TRUE, 'Hulp (CAO''s)'!$D$3:$D$7, 0))))</f>
        <v/>
      </c>
      <c r="V201" s="417"/>
      <c r="W201" s="343"/>
      <c r="X201" s="617"/>
      <c r="Y201" s="343"/>
      <c r="Z201" s="329"/>
      <c r="AA201" s="320"/>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c r="AW201" s="289"/>
      <c r="AX201" s="289"/>
      <c r="AY201" s="289"/>
      <c r="AZ201" s="289"/>
    </row>
    <row r="202" spans="1:59" ht="16.05" customHeight="1" x14ac:dyDescent="0.45">
      <c r="A202" s="289"/>
      <c r="B202" s="343"/>
      <c r="C202" s="325" t="s">
        <v>779</v>
      </c>
      <c r="D202" s="772" t="s">
        <v>772</v>
      </c>
      <c r="E202" s="430" t="e">
        <f ca="1">IF($BF204, "", "% t.o.v. max salaris in de schaal")</f>
        <v>#VALUE!</v>
      </c>
      <c r="F202" s="615"/>
      <c r="G202" s="615"/>
      <c r="H202" s="615"/>
      <c r="I202" s="615"/>
      <c r="J202" s="615"/>
      <c r="K202" s="615"/>
      <c r="L202" s="615"/>
      <c r="M202" s="615"/>
      <c r="N202" s="615"/>
      <c r="O202" s="615"/>
      <c r="P202" s="615"/>
      <c r="Q202" s="615"/>
      <c r="R202" s="615"/>
      <c r="S202" s="615"/>
      <c r="T202" s="615"/>
      <c r="U202" s="616"/>
      <c r="V202" s="774" t="s">
        <v>884</v>
      </c>
      <c r="W202" s="332"/>
      <c r="X202" s="776" t="s">
        <v>882</v>
      </c>
      <c r="Y202" s="778" t="s">
        <v>883</v>
      </c>
      <c r="Z202" s="329"/>
      <c r="AA202" s="771" t="s">
        <v>780</v>
      </c>
      <c r="AB202" s="770" t="s">
        <v>1079</v>
      </c>
      <c r="AC202" s="289"/>
      <c r="AD202" s="289"/>
      <c r="AE202" s="289"/>
      <c r="AF202" s="289"/>
      <c r="AG202" s="289"/>
      <c r="AH202" s="289"/>
      <c r="AI202" s="289"/>
      <c r="AJ202" s="289"/>
      <c r="AK202" s="289"/>
      <c r="AL202" s="289"/>
      <c r="AM202" s="289"/>
      <c r="AN202" s="289"/>
      <c r="AO202" s="289"/>
      <c r="AP202" s="289"/>
      <c r="AQ202" s="289"/>
      <c r="AR202" s="289"/>
      <c r="AS202" s="289"/>
      <c r="AT202" s="289"/>
      <c r="AU202" s="289"/>
      <c r="AV202" s="289"/>
      <c r="AW202" s="289"/>
      <c r="AX202" s="289"/>
      <c r="AY202" s="289"/>
      <c r="AZ202" s="289"/>
    </row>
    <row r="203" spans="1:59" ht="16.05" customHeight="1" thickBot="1" x14ac:dyDescent="0.5">
      <c r="A203" s="289"/>
      <c r="B203" s="343"/>
      <c r="C203" s="325" t="s">
        <v>779</v>
      </c>
      <c r="D203" s="773"/>
      <c r="E203" s="431" t="e">
        <f ca="1">IF($BF204, "", "Trede (gemiddeld)")</f>
        <v>#VALUE!</v>
      </c>
      <c r="F203" s="737"/>
      <c r="G203" s="737"/>
      <c r="H203" s="737"/>
      <c r="I203" s="737"/>
      <c r="J203" s="737"/>
      <c r="K203" s="737"/>
      <c r="L203" s="737"/>
      <c r="M203" s="737"/>
      <c r="N203" s="737"/>
      <c r="O203" s="737"/>
      <c r="P203" s="737"/>
      <c r="Q203" s="737"/>
      <c r="R203" s="737"/>
      <c r="S203" s="737"/>
      <c r="T203" s="737"/>
      <c r="U203" s="740"/>
      <c r="V203" s="775"/>
      <c r="W203" s="294"/>
      <c r="X203" s="777"/>
      <c r="Y203" s="779"/>
      <c r="Z203" s="329"/>
      <c r="AA203" s="771"/>
      <c r="AB203" s="770"/>
      <c r="AC203" s="289"/>
      <c r="AD203" s="289"/>
      <c r="AE203" s="289"/>
      <c r="AF203" s="289"/>
      <c r="AG203" s="289"/>
      <c r="AH203" s="289"/>
      <c r="AI203" s="289"/>
      <c r="AJ203" s="289"/>
      <c r="AK203" s="289"/>
      <c r="AL203" s="289"/>
      <c r="AM203" s="289"/>
      <c r="AN203" s="289"/>
      <c r="AO203" s="289"/>
      <c r="AP203" s="289"/>
      <c r="AQ203" s="289"/>
      <c r="AR203" s="289"/>
      <c r="AS203" s="289"/>
      <c r="AT203" s="289"/>
      <c r="AU203" s="289"/>
      <c r="AV203" s="289"/>
      <c r="AW203" s="289"/>
      <c r="AX203" s="289"/>
      <c r="AY203" s="289"/>
      <c r="AZ203" s="289"/>
    </row>
    <row r="204" spans="1:59" ht="16.05" customHeight="1" thickBot="1" x14ac:dyDescent="0.5">
      <c r="A204" s="289"/>
      <c r="B204" s="343"/>
      <c r="C204" s="325" t="s">
        <v>779</v>
      </c>
      <c r="E204" s="432" t="str">
        <f>IFERROR(
   INDEX('Hulp (CAO''s)'!$I$3:$I$7, MATCH(TRUE, 'Hulp (CAO''s)'!$D$3:$D$7, 0)),
"")</f>
        <v>Bruto maandsalaris</v>
      </c>
      <c r="F204" s="425" t="e" cm="1">
        <f t="array" aca="1" ref="F204" ca="1">IF($BF204, IF(F201="","",
   INDEX(
      INDIRECT("'" &amp; 'Hulp (CAO''s)'!$AE$8 &amp; "'!" &amp;
               'Hulp (overig)'!$C$17 &amp; "1:" &amp;
               'Hulp (overig)'!$C$17 &amp; "1000"),
      MATCH(
         F201,
         INDIRECT("'" &amp; 'Hulp (CAO''s)'!$AE$8 &amp; "'!A1:A1000"),
         0
      )
   )
), IF($D202="Gebruik % van maximum salaris",
IF(
    OR(F201="",F202=""),
    "",
    MAX(
        INDIRECT(
            "'" &amp; 'Hulp (overig)'!$C$16 &amp; "'!" &amp;
            'Hulp (overig)'!$C$17 &amp;
            MATCH(F201, INDIRECT("'" &amp; 'Hulp (overig)'!$C$16 &amp; "'!A1:A1000"), 0) &amp;
            ":" &amp;
            'Hulp (overig)'!$C$17 &amp;
LOOKUP(
    2,
    1 / (
        (ROW(INDIRECT("'" &amp; 'Hulp (overig)'!$C$16 &amp; "'!B1:B1000")) &lt;
            IF(G201&lt;&gt;"",
               MATCH(G201, INDIRECT("'" &amp; 'Hulp (overig)'!$C$16 &amp; "'!A1:A1000"),0),
               1000
            )
        ) *
        (LEFT(TRIM(INDIRECT("'" &amp; 'Hulp (overig)'!$C$16 &amp; "'!B1:B1000")),1) &lt;&gt; "u")
    ),
    ROW(INDIRECT("'" &amp; 'Hulp (overig)'!$C$16 &amp; "'!B1:B1000"))
)
        )
    ) * F202
),
IF(F203="","",
IF(
    IFERROR(MIN(
        IF(
            (TRIM(INDIRECT("'" &amp; 'Hulp (overig)'!$C$16 &amp; "'!B1:B1000")) = TEXT(F203,"0")) *
            (ROW(INDIRECT("'" &amp; 'Hulp (overig)'!$C$16 &amp; "'!B1:B1000")) &gt;= MATCH(
                F201,
                INDIRECT("'" &amp; 'Hulp (overig)'!$C$16 &amp; "'!A1:A1000"),
                0
            )) *
            IF(
                G201="",
                1,
                (ROW(INDIRECT("'" &amp; 'Hulp (overig)'!$C$16 &amp; "'!B1:B1000")) &lt; MATCH(
                    G201,
                    INDIRECT("'" &amp; 'Hulp (overig)'!$C$16 &amp; "'!A1:A1000"),
                    0
                ))
            ),
            ROW(INDIRECT("'" &amp; 'Hulp (overig)'!$C$16 &amp; "'!B1:B1000"))
        )
    ),0) &lt; 1,
    "",
    IF(INDEX(
        INDIRECT("'" &amp; 'Hulp (overig)'!$C$16 &amp; "'!" &amp;
        'Hulp (overig)'!$C$17 &amp; "1:" &amp; 'Hulp (overig)'!$C$17 &amp; 1000
        ),
        IFERROR(MIN(
            IF(
                (TRIM(INDIRECT("'" &amp; 'Hulp (overig)'!$C$16 &amp; "'!B1:B1000")) = TEXT(F203,"0")) *
                (ROW(INDIRECT("'" &amp; 'Hulp (overig)'!$C$16 &amp; "'!B1:B1000")) &gt;= MATCH(
                    F201,
                    INDIRECT("'" &amp; 'Hulp (overig)'!$C$16 &amp; "'!A1:A1000"),
                    0
                )) *
                IF(
                    G201="",
                    1,
                    (ROW(INDIRECT("'" &amp; 'Hulp (overig)'!$C$16 &amp; "'!B1:B1000")) &lt; MATCH(
                        G201,
                        INDIRECT("'" &amp; 'Hulp (overig)'!$C$16 &amp; "'!A1:A1000"),
                        0
                    ))
                ),
                ROW(INDIRECT("'" &amp; 'Hulp (overig)'!$C$16 &amp; "'!B1:B1000"))
            )
        ),0)
    )=0,"",
INDEX(
        INDIRECT("'" &amp; 'Hulp (overig)'!$C$16 &amp; "'!" &amp;
        'Hulp (overig)'!$C$17 &amp; "1:" &amp; 'Hulp (overig)'!$C$17 &amp; 1000
        ),
        IFERROR(MIN(
            IF(
                (TRIM(INDIRECT("'" &amp; 'Hulp (overig)'!$C$16 &amp; "'!B1:B1000")) = TEXT(F203,"0")) *
                (ROW(INDIRECT("'" &amp; 'Hulp (overig)'!$C$16 &amp; "'!B1:B1000")) &gt;= MATCH(
                    F201,
                    INDIRECT("'" &amp; 'Hulp (overig)'!$C$16 &amp; "'!A1:A1000"),
                    0
                )) *
                IF(
                    G201="",
                    1,
                    (ROW(INDIRECT("'" &amp; 'Hulp (overig)'!$C$16 &amp; "'!B1:B1000")) &lt; MATCH(
                        G201,
                        INDIRECT("'" &amp; 'Hulp (overig)'!$C$16 &amp; "'!A1:A1000"),
                        0
                    ))
                ),
                ROW(INDIRECT("'" &amp; 'Hulp (overig)'!$C$16 &amp; "'!B1:B1000"))
            )
        ),0)
    ))
))))</f>
        <v>#VALUE!</v>
      </c>
      <c r="G204" s="425" t="e" cm="1">
        <f t="array" aca="1" ref="G204" ca="1">IF($BF204, IF(G201="","",
   INDEX(
      INDIRECT("'" &amp; 'Hulp (CAO''s)'!$AE$8 &amp; "'!" &amp;
               'Hulp (overig)'!$C$17 &amp; "1:" &amp;
               'Hulp (overig)'!$C$17 &amp; "1000"),
      MATCH(
         G201,
         INDIRECT("'" &amp; 'Hulp (CAO''s)'!$AE$8 &amp; "'!A1:A1000"),
         0
      )
   )
), IF($D202="Gebruik % van maximum salaris",
IF(
    OR(G201="",G202=""),
    "",
    MAX(
        INDIRECT(
            "'" &amp; 'Hulp (overig)'!$C$16 &amp; "'!" &amp;
            'Hulp (overig)'!$C$17 &amp;
            MATCH(G201, INDIRECT("'" &amp; 'Hulp (overig)'!$C$16 &amp; "'!A1:A1000"), 0) &amp;
            ":" &amp;
            'Hulp (overig)'!$C$17 &amp;
LOOKUP(
    2,
    1 / (
        (ROW(INDIRECT("'" &amp; 'Hulp (overig)'!$C$16 &amp; "'!B1:B1000")) &lt;
            IF(H201&lt;&gt;"",
               MATCH(H201, INDIRECT("'" &amp; 'Hulp (overig)'!$C$16 &amp; "'!A1:A1000"),0),
               1000
            )
        ) *
        (LEFT(TRIM(INDIRECT("'" &amp; 'Hulp (overig)'!$C$16 &amp; "'!B1:B1000")),1) &lt;&gt; "u")
    ),
    ROW(INDIRECT("'" &amp; 'Hulp (overig)'!$C$16 &amp; "'!B1:B1000"))
)
        )
    ) * G202
),
IF(G203="","",
IF(
    IFERROR(MIN(
        IF(
            (TRIM(INDIRECT("'" &amp; 'Hulp (overig)'!$C$16 &amp; "'!B1:B1000")) = TEXT(G203,"0")) *
            (ROW(INDIRECT("'" &amp; 'Hulp (overig)'!$C$16 &amp; "'!B1:B1000")) &gt;= MATCH(
                G201,
                INDIRECT("'" &amp; 'Hulp (overig)'!$C$16 &amp; "'!A1:A1000"),
                0
            )) *
            IF(
                H201="",
                1,
                (ROW(INDIRECT("'" &amp; 'Hulp (overig)'!$C$16 &amp; "'!B1:B1000")) &lt; MATCH(
                    H201,
                    INDIRECT("'" &amp; 'Hulp (overig)'!$C$16 &amp; "'!A1:A1000"),
                    0
                ))
            ),
            ROW(INDIRECT("'" &amp; 'Hulp (overig)'!$C$16 &amp; "'!B1:B1000"))
        )
    ),0) &lt; 1,
    "",
    IF(INDEX(
        INDIRECT("'" &amp; 'Hulp (overig)'!$C$16 &amp; "'!" &amp;
        'Hulp (overig)'!$C$17 &amp; "1:" &amp; 'Hulp (overig)'!$C$17 &amp; 1000
        ),
        IFERROR(MIN(
            IF(
                (TRIM(INDIRECT("'" &amp; 'Hulp (overig)'!$C$16 &amp; "'!B1:B1000")) = TEXT(G203,"0")) *
                (ROW(INDIRECT("'" &amp; 'Hulp (overig)'!$C$16 &amp; "'!B1:B1000")) &gt;= MATCH(
                    G201,
                    INDIRECT("'" &amp; 'Hulp (overig)'!$C$16 &amp; "'!A1:A1000"),
                    0
                )) *
                IF(
                    H201="",
                    1,
                    (ROW(INDIRECT("'" &amp; 'Hulp (overig)'!$C$16 &amp; "'!B1:B1000")) &lt; MATCH(
                        H201,
                        INDIRECT("'" &amp; 'Hulp (overig)'!$C$16 &amp; "'!A1:A1000"),
                        0
                    ))
                ),
                ROW(INDIRECT("'" &amp; 'Hulp (overig)'!$C$16 &amp; "'!B1:B1000"))
            )
        ),0)
    )=0,"",
INDEX(
        INDIRECT("'" &amp; 'Hulp (overig)'!$C$16 &amp; "'!" &amp;
        'Hulp (overig)'!$C$17 &amp; "1:" &amp; 'Hulp (overig)'!$C$17 &amp; 1000
        ),
        IFERROR(MIN(
            IF(
                (TRIM(INDIRECT("'" &amp; 'Hulp (overig)'!$C$16 &amp; "'!B1:B1000")) = TEXT(G203,"0")) *
                (ROW(INDIRECT("'" &amp; 'Hulp (overig)'!$C$16 &amp; "'!B1:B1000")) &gt;= MATCH(
                    G201,
                    INDIRECT("'" &amp; 'Hulp (overig)'!$C$16 &amp; "'!A1:A1000"),
                    0
                )) *
                IF(
                    H201="",
                    1,
                    (ROW(INDIRECT("'" &amp; 'Hulp (overig)'!$C$16 &amp; "'!B1:B1000")) &lt; MATCH(
                        H201,
                        INDIRECT("'" &amp; 'Hulp (overig)'!$C$16 &amp; "'!A1:A1000"),
                        0
                    ))
                ),
                ROW(INDIRECT("'" &amp; 'Hulp (overig)'!$C$16 &amp; "'!B1:B1000"))
            )
        ),0)
    ))
))))</f>
        <v>#VALUE!</v>
      </c>
      <c r="H204" s="425" t="e" cm="1">
        <f t="array" aca="1" ref="H204" ca="1">IF($BF204, IF(H201="","",
   INDEX(
      INDIRECT("'" &amp; 'Hulp (CAO''s)'!$AE$8 &amp; "'!" &amp;
               'Hulp (overig)'!$C$17 &amp; "1:" &amp;
               'Hulp (overig)'!$C$17 &amp; "1000"),
      MATCH(
         H201,
         INDIRECT("'" &amp; 'Hulp (CAO''s)'!$AE$8 &amp; "'!A1:A1000"),
         0
      )
   )
), IF($D202="Gebruik % van maximum salaris",
IF(
    OR(H201="",H202=""),
    "",
    MAX(
        INDIRECT(
            "'" &amp; 'Hulp (overig)'!$C$16 &amp; "'!" &amp;
            'Hulp (overig)'!$C$17 &amp;
            MATCH(H201, INDIRECT("'" &amp; 'Hulp (overig)'!$C$16 &amp; "'!A1:A1000"), 0) &amp;
            ":" &amp;
            'Hulp (overig)'!$C$17 &amp;
LOOKUP(
    2,
    1 / (
        (ROW(INDIRECT("'" &amp; 'Hulp (overig)'!$C$16 &amp; "'!B1:B1000")) &lt;
            IF(I201&lt;&gt;"",
               MATCH(I201, INDIRECT("'" &amp; 'Hulp (overig)'!$C$16 &amp; "'!A1:A1000"),0),
               1000
            )
        ) *
        (LEFT(TRIM(INDIRECT("'" &amp; 'Hulp (overig)'!$C$16 &amp; "'!B1:B1000")),1) &lt;&gt; "u")
    ),
    ROW(INDIRECT("'" &amp; 'Hulp (overig)'!$C$16 &amp; "'!B1:B1000"))
)
        )
    ) * H202
),
IF(H203="","",
IF(
    IFERROR(MIN(
        IF(
            (TRIM(INDIRECT("'" &amp; 'Hulp (overig)'!$C$16 &amp; "'!B1:B1000")) = TEXT(H203,"0")) *
            (ROW(INDIRECT("'" &amp; 'Hulp (overig)'!$C$16 &amp; "'!B1:B1000")) &gt;= MATCH(
                H201,
                INDIRECT("'" &amp; 'Hulp (overig)'!$C$16 &amp; "'!A1:A1000"),
                0
            )) *
            IF(
                I201="",
                1,
                (ROW(INDIRECT("'" &amp; 'Hulp (overig)'!$C$16 &amp; "'!B1:B1000")) &lt; MATCH(
                    I201,
                    INDIRECT("'" &amp; 'Hulp (overig)'!$C$16 &amp; "'!A1:A1000"),
                    0
                ))
            ),
            ROW(INDIRECT("'" &amp; 'Hulp (overig)'!$C$16 &amp; "'!B1:B1000"))
        )
    ),0) &lt; 1,
    "",
    IF(INDEX(
        INDIRECT("'" &amp; 'Hulp (overig)'!$C$16 &amp; "'!" &amp;
        'Hulp (overig)'!$C$17 &amp; "1:" &amp; 'Hulp (overig)'!$C$17 &amp; 1000
        ),
        IFERROR(MIN(
            IF(
                (TRIM(INDIRECT("'" &amp; 'Hulp (overig)'!$C$16 &amp; "'!B1:B1000")) = TEXT(H203,"0")) *
                (ROW(INDIRECT("'" &amp; 'Hulp (overig)'!$C$16 &amp; "'!B1:B1000")) &gt;= MATCH(
                    H201,
                    INDIRECT("'" &amp; 'Hulp (overig)'!$C$16 &amp; "'!A1:A1000"),
                    0
                )) *
                IF(
                    I201="",
                    1,
                    (ROW(INDIRECT("'" &amp; 'Hulp (overig)'!$C$16 &amp; "'!B1:B1000")) &lt; MATCH(
                        I201,
                        INDIRECT("'" &amp; 'Hulp (overig)'!$C$16 &amp; "'!A1:A1000"),
                        0
                    ))
                ),
                ROW(INDIRECT("'" &amp; 'Hulp (overig)'!$C$16 &amp; "'!B1:B1000"))
            )
        ),0)
    )=0,"",
INDEX(
        INDIRECT("'" &amp; 'Hulp (overig)'!$C$16 &amp; "'!" &amp;
        'Hulp (overig)'!$C$17 &amp; "1:" &amp; 'Hulp (overig)'!$C$17 &amp; 1000
        ),
        IFERROR(MIN(
            IF(
                (TRIM(INDIRECT("'" &amp; 'Hulp (overig)'!$C$16 &amp; "'!B1:B1000")) = TEXT(H203,"0")) *
                (ROW(INDIRECT("'" &amp; 'Hulp (overig)'!$C$16 &amp; "'!B1:B1000")) &gt;= MATCH(
                    H201,
                    INDIRECT("'" &amp; 'Hulp (overig)'!$C$16 &amp; "'!A1:A1000"),
                    0
                )) *
                IF(
                    I201="",
                    1,
                    (ROW(INDIRECT("'" &amp; 'Hulp (overig)'!$C$16 &amp; "'!B1:B1000")) &lt; MATCH(
                        I201,
                        INDIRECT("'" &amp; 'Hulp (overig)'!$C$16 &amp; "'!A1:A1000"),
                        0
                    ))
                ),
                ROW(INDIRECT("'" &amp; 'Hulp (overig)'!$C$16 &amp; "'!B1:B1000"))
            )
        ),0)
    ))
))))</f>
        <v>#VALUE!</v>
      </c>
      <c r="I204" s="425" t="e" cm="1">
        <f t="array" aca="1" ref="I204" ca="1">IF($BF204, IF(I201="","",
   INDEX(
      INDIRECT("'" &amp; 'Hulp (CAO''s)'!$AE$8 &amp; "'!" &amp;
               'Hulp (overig)'!$C$17 &amp; "1:" &amp;
               'Hulp (overig)'!$C$17 &amp; "1000"),
      MATCH(
         I201,
         INDIRECT("'" &amp; 'Hulp (CAO''s)'!$AE$8 &amp; "'!A1:A1000"),
         0
      )
   )
), IF($D202="Gebruik % van maximum salaris",
IF(
    OR(I201="",I202=""),
    "",
    MAX(
        INDIRECT(
            "'" &amp; 'Hulp (overig)'!$C$16 &amp; "'!" &amp;
            'Hulp (overig)'!$C$17 &amp;
            MATCH(I201, INDIRECT("'" &amp; 'Hulp (overig)'!$C$16 &amp; "'!A1:A1000"), 0) &amp;
            ":" &amp;
            'Hulp (overig)'!$C$17 &amp;
LOOKUP(
    2,
    1 / (
        (ROW(INDIRECT("'" &amp; 'Hulp (overig)'!$C$16 &amp; "'!B1:B1000")) &lt;
            IF(J201&lt;&gt;"",
               MATCH(J201, INDIRECT("'" &amp; 'Hulp (overig)'!$C$16 &amp; "'!A1:A1000"),0),
               1000
            )
        ) *
        (LEFT(TRIM(INDIRECT("'" &amp; 'Hulp (overig)'!$C$16 &amp; "'!B1:B1000")),1) &lt;&gt; "u")
    ),
    ROW(INDIRECT("'" &amp; 'Hulp (overig)'!$C$16 &amp; "'!B1:B1000"))
)
        )
    ) * I202
),
IF(I203="","",
IF(
    IFERROR(MIN(
        IF(
            (TRIM(INDIRECT("'" &amp; 'Hulp (overig)'!$C$16 &amp; "'!B1:B1000")) = TEXT(I203,"0")) *
            (ROW(INDIRECT("'" &amp; 'Hulp (overig)'!$C$16 &amp; "'!B1:B1000")) &gt;= MATCH(
                I201,
                INDIRECT("'" &amp; 'Hulp (overig)'!$C$16 &amp; "'!A1:A1000"),
                0
            )) *
            IF(
                J201="",
                1,
                (ROW(INDIRECT("'" &amp; 'Hulp (overig)'!$C$16 &amp; "'!B1:B1000")) &lt; MATCH(
                    J201,
                    INDIRECT("'" &amp; 'Hulp (overig)'!$C$16 &amp; "'!A1:A1000"),
                    0
                ))
            ),
            ROW(INDIRECT("'" &amp; 'Hulp (overig)'!$C$16 &amp; "'!B1:B1000"))
        )
    ),0) &lt; 1,
    "",
    IF(INDEX(
        INDIRECT("'" &amp; 'Hulp (overig)'!$C$16 &amp; "'!" &amp;
        'Hulp (overig)'!$C$17 &amp; "1:" &amp; 'Hulp (overig)'!$C$17 &amp; 1000
        ),
        IFERROR(MIN(
            IF(
                (TRIM(INDIRECT("'" &amp; 'Hulp (overig)'!$C$16 &amp; "'!B1:B1000")) = TEXT(I203,"0")) *
                (ROW(INDIRECT("'" &amp; 'Hulp (overig)'!$C$16 &amp; "'!B1:B1000")) &gt;= MATCH(
                    I201,
                    INDIRECT("'" &amp; 'Hulp (overig)'!$C$16 &amp; "'!A1:A1000"),
                    0
                )) *
                IF(
                    J201="",
                    1,
                    (ROW(INDIRECT("'" &amp; 'Hulp (overig)'!$C$16 &amp; "'!B1:B1000")) &lt; MATCH(
                        J201,
                        INDIRECT("'" &amp; 'Hulp (overig)'!$C$16 &amp; "'!A1:A1000"),
                        0
                    ))
                ),
                ROW(INDIRECT("'" &amp; 'Hulp (overig)'!$C$16 &amp; "'!B1:B1000"))
            )
        ),0)
    )=0,"",
INDEX(
        INDIRECT("'" &amp; 'Hulp (overig)'!$C$16 &amp; "'!" &amp;
        'Hulp (overig)'!$C$17 &amp; "1:" &amp; 'Hulp (overig)'!$C$17 &amp; 1000
        ),
        IFERROR(MIN(
            IF(
                (TRIM(INDIRECT("'" &amp; 'Hulp (overig)'!$C$16 &amp; "'!B1:B1000")) = TEXT(I203,"0")) *
                (ROW(INDIRECT("'" &amp; 'Hulp (overig)'!$C$16 &amp; "'!B1:B1000")) &gt;= MATCH(
                    I201,
                    INDIRECT("'" &amp; 'Hulp (overig)'!$C$16 &amp; "'!A1:A1000"),
                    0
                )) *
                IF(
                    J201="",
                    1,
                    (ROW(INDIRECT("'" &amp; 'Hulp (overig)'!$C$16 &amp; "'!B1:B1000")) &lt; MATCH(
                        J201,
                        INDIRECT("'" &amp; 'Hulp (overig)'!$C$16 &amp; "'!A1:A1000"),
                        0
                    ))
                ),
                ROW(INDIRECT("'" &amp; 'Hulp (overig)'!$C$16 &amp; "'!B1:B1000"))
            )
        ),0)
    ))
))))</f>
        <v>#VALUE!</v>
      </c>
      <c r="J204" s="425" t="e" cm="1">
        <f t="array" aca="1" ref="J204" ca="1">IF($BF204, IF(J201="","",
   INDEX(
      INDIRECT("'" &amp; 'Hulp (CAO''s)'!$AE$8 &amp; "'!" &amp;
               'Hulp (overig)'!$C$17 &amp; "1:" &amp;
               'Hulp (overig)'!$C$17 &amp; "1000"),
      MATCH(
         J201,
         INDIRECT("'" &amp; 'Hulp (CAO''s)'!$AE$8 &amp; "'!A1:A1000"),
         0
      )
   )
), IF($D202="Gebruik % van maximum salaris",
IF(
    OR(J201="",J202=""),
    "",
    MAX(
        INDIRECT(
            "'" &amp; 'Hulp (overig)'!$C$16 &amp; "'!" &amp;
            'Hulp (overig)'!$C$17 &amp;
            MATCH(J201, INDIRECT("'" &amp; 'Hulp (overig)'!$C$16 &amp; "'!A1:A1000"), 0) &amp;
            ":" &amp;
            'Hulp (overig)'!$C$17 &amp;
LOOKUP(
    2,
    1 / (
        (ROW(INDIRECT("'" &amp; 'Hulp (overig)'!$C$16 &amp; "'!B1:B1000")) &lt;
            IF(K201&lt;&gt;"",
               MATCH(K201, INDIRECT("'" &amp; 'Hulp (overig)'!$C$16 &amp; "'!A1:A1000"),0),
               1000
            )
        ) *
        (LEFT(TRIM(INDIRECT("'" &amp; 'Hulp (overig)'!$C$16 &amp; "'!B1:B1000")),1) &lt;&gt; "u")
    ),
    ROW(INDIRECT("'" &amp; 'Hulp (overig)'!$C$16 &amp; "'!B1:B1000"))
)
        )
    ) * J202
),
IF(J203="","",
IF(
    IFERROR(MIN(
        IF(
            (TRIM(INDIRECT("'" &amp; 'Hulp (overig)'!$C$16 &amp; "'!B1:B1000")) = TEXT(J203,"0")) *
            (ROW(INDIRECT("'" &amp; 'Hulp (overig)'!$C$16 &amp; "'!B1:B1000")) &gt;= MATCH(
                J201,
                INDIRECT("'" &amp; 'Hulp (overig)'!$C$16 &amp; "'!A1:A1000"),
                0
            )) *
            IF(
                K201="",
                1,
                (ROW(INDIRECT("'" &amp; 'Hulp (overig)'!$C$16 &amp; "'!B1:B1000")) &lt; MATCH(
                    K201,
                    INDIRECT("'" &amp; 'Hulp (overig)'!$C$16 &amp; "'!A1:A1000"),
                    0
                ))
            ),
            ROW(INDIRECT("'" &amp; 'Hulp (overig)'!$C$16 &amp; "'!B1:B1000"))
        )
    ),0) &lt; 1,
    "",
    IF(INDEX(
        INDIRECT("'" &amp; 'Hulp (overig)'!$C$16 &amp; "'!" &amp;
        'Hulp (overig)'!$C$17 &amp; "1:" &amp; 'Hulp (overig)'!$C$17 &amp; 1000
        ),
        IFERROR(MIN(
            IF(
                (TRIM(INDIRECT("'" &amp; 'Hulp (overig)'!$C$16 &amp; "'!B1:B1000")) = TEXT(J203,"0")) *
                (ROW(INDIRECT("'" &amp; 'Hulp (overig)'!$C$16 &amp; "'!B1:B1000")) &gt;= MATCH(
                    J201,
                    INDIRECT("'" &amp; 'Hulp (overig)'!$C$16 &amp; "'!A1:A1000"),
                    0
                )) *
                IF(
                    K201="",
                    1,
                    (ROW(INDIRECT("'" &amp; 'Hulp (overig)'!$C$16 &amp; "'!B1:B1000")) &lt; MATCH(
                        K201,
                        INDIRECT("'" &amp; 'Hulp (overig)'!$C$16 &amp; "'!A1:A1000"),
                        0
                    ))
                ),
                ROW(INDIRECT("'" &amp; 'Hulp (overig)'!$C$16 &amp; "'!B1:B1000"))
            )
        ),0)
    )=0,"",
INDEX(
        INDIRECT("'" &amp; 'Hulp (overig)'!$C$16 &amp; "'!" &amp;
        'Hulp (overig)'!$C$17 &amp; "1:" &amp; 'Hulp (overig)'!$C$17 &amp; 1000
        ),
        IFERROR(MIN(
            IF(
                (TRIM(INDIRECT("'" &amp; 'Hulp (overig)'!$C$16 &amp; "'!B1:B1000")) = TEXT(J203,"0")) *
                (ROW(INDIRECT("'" &amp; 'Hulp (overig)'!$C$16 &amp; "'!B1:B1000")) &gt;= MATCH(
                    J201,
                    INDIRECT("'" &amp; 'Hulp (overig)'!$C$16 &amp; "'!A1:A1000"),
                    0
                )) *
                IF(
                    K201="",
                    1,
                    (ROW(INDIRECT("'" &amp; 'Hulp (overig)'!$C$16 &amp; "'!B1:B1000")) &lt; MATCH(
                        K201,
                        INDIRECT("'" &amp; 'Hulp (overig)'!$C$16 &amp; "'!A1:A1000"),
                        0
                    ))
                ),
                ROW(INDIRECT("'" &amp; 'Hulp (overig)'!$C$16 &amp; "'!B1:B1000"))
            )
        ),0)
    ))
))))</f>
        <v>#VALUE!</v>
      </c>
      <c r="K204" s="425" t="e" cm="1">
        <f t="array" aca="1" ref="K204" ca="1">IF($BF204, IF(K201="","",
   INDEX(
      INDIRECT("'" &amp; 'Hulp (CAO''s)'!$AE$8 &amp; "'!" &amp;
               'Hulp (overig)'!$C$17 &amp; "1:" &amp;
               'Hulp (overig)'!$C$17 &amp; "1000"),
      MATCH(
         K201,
         INDIRECT("'" &amp; 'Hulp (CAO''s)'!$AE$8 &amp; "'!A1:A1000"),
         0
      )
   )
), IF($D202="Gebruik % van maximum salaris",
IF(
    OR(K201="",K202=""),
    "",
    MAX(
        INDIRECT(
            "'" &amp; 'Hulp (overig)'!$C$16 &amp; "'!" &amp;
            'Hulp (overig)'!$C$17 &amp;
            MATCH(K201, INDIRECT("'" &amp; 'Hulp (overig)'!$C$16 &amp; "'!A1:A1000"), 0) &amp;
            ":" &amp;
            'Hulp (overig)'!$C$17 &amp;
LOOKUP(
    2,
    1 / (
        (ROW(INDIRECT("'" &amp; 'Hulp (overig)'!$C$16 &amp; "'!B1:B1000")) &lt;
            IF(L201&lt;&gt;"",
               MATCH(L201, INDIRECT("'" &amp; 'Hulp (overig)'!$C$16 &amp; "'!A1:A1000"),0),
               1000
            )
        ) *
        (LEFT(TRIM(INDIRECT("'" &amp; 'Hulp (overig)'!$C$16 &amp; "'!B1:B1000")),1) &lt;&gt; "u")
    ),
    ROW(INDIRECT("'" &amp; 'Hulp (overig)'!$C$16 &amp; "'!B1:B1000"))
)
        )
    ) * K202
),
IF(K203="","",
IF(
    IFERROR(MIN(
        IF(
            (TRIM(INDIRECT("'" &amp; 'Hulp (overig)'!$C$16 &amp; "'!B1:B1000")) = TEXT(K203,"0")) *
            (ROW(INDIRECT("'" &amp; 'Hulp (overig)'!$C$16 &amp; "'!B1:B1000")) &gt;= MATCH(
                K201,
                INDIRECT("'" &amp; 'Hulp (overig)'!$C$16 &amp; "'!A1:A1000"),
                0
            )) *
            IF(
                L201="",
                1,
                (ROW(INDIRECT("'" &amp; 'Hulp (overig)'!$C$16 &amp; "'!B1:B1000")) &lt; MATCH(
                    L201,
                    INDIRECT("'" &amp; 'Hulp (overig)'!$C$16 &amp; "'!A1:A1000"),
                    0
                ))
            ),
            ROW(INDIRECT("'" &amp; 'Hulp (overig)'!$C$16 &amp; "'!B1:B1000"))
        )
    ),0) &lt; 1,
    "",
    IF(INDEX(
        INDIRECT("'" &amp; 'Hulp (overig)'!$C$16 &amp; "'!" &amp;
        'Hulp (overig)'!$C$17 &amp; "1:" &amp; 'Hulp (overig)'!$C$17 &amp; 1000
        ),
        IFERROR(MIN(
            IF(
                (TRIM(INDIRECT("'" &amp; 'Hulp (overig)'!$C$16 &amp; "'!B1:B1000")) = TEXT(K203,"0")) *
                (ROW(INDIRECT("'" &amp; 'Hulp (overig)'!$C$16 &amp; "'!B1:B1000")) &gt;= MATCH(
                    K201,
                    INDIRECT("'" &amp; 'Hulp (overig)'!$C$16 &amp; "'!A1:A1000"),
                    0
                )) *
                IF(
                    L201="",
                    1,
                    (ROW(INDIRECT("'" &amp; 'Hulp (overig)'!$C$16 &amp; "'!B1:B1000")) &lt; MATCH(
                        L201,
                        INDIRECT("'" &amp; 'Hulp (overig)'!$C$16 &amp; "'!A1:A1000"),
                        0
                    ))
                ),
                ROW(INDIRECT("'" &amp; 'Hulp (overig)'!$C$16 &amp; "'!B1:B1000"))
            )
        ),0)
    )=0,"",
INDEX(
        INDIRECT("'" &amp; 'Hulp (overig)'!$C$16 &amp; "'!" &amp;
        'Hulp (overig)'!$C$17 &amp; "1:" &amp; 'Hulp (overig)'!$C$17 &amp; 1000
        ),
        IFERROR(MIN(
            IF(
                (TRIM(INDIRECT("'" &amp; 'Hulp (overig)'!$C$16 &amp; "'!B1:B1000")) = TEXT(K203,"0")) *
                (ROW(INDIRECT("'" &amp; 'Hulp (overig)'!$C$16 &amp; "'!B1:B1000")) &gt;= MATCH(
                    K201,
                    INDIRECT("'" &amp; 'Hulp (overig)'!$C$16 &amp; "'!A1:A1000"),
                    0
                )) *
                IF(
                    L201="",
                    1,
                    (ROW(INDIRECT("'" &amp; 'Hulp (overig)'!$C$16 &amp; "'!B1:B1000")) &lt; MATCH(
                        L201,
                        INDIRECT("'" &amp; 'Hulp (overig)'!$C$16 &amp; "'!A1:A1000"),
                        0
                    ))
                ),
                ROW(INDIRECT("'" &amp; 'Hulp (overig)'!$C$16 &amp; "'!B1:B1000"))
            )
        ),0)
    ))
))))</f>
        <v>#VALUE!</v>
      </c>
      <c r="L204" s="425" t="e" cm="1">
        <f t="array" aca="1" ref="L204" ca="1">IF($BF204, IF(L201="","",
   INDEX(
      INDIRECT("'" &amp; 'Hulp (CAO''s)'!$AE$8 &amp; "'!" &amp;
               'Hulp (overig)'!$C$17 &amp; "1:" &amp;
               'Hulp (overig)'!$C$17 &amp; "1000"),
      MATCH(
         L201,
         INDIRECT("'" &amp; 'Hulp (CAO''s)'!$AE$8 &amp; "'!A1:A1000"),
         0
      )
   )
), IF($D202="Gebruik % van maximum salaris",
IF(
    OR(L201="",L202=""),
    "",
    MAX(
        INDIRECT(
            "'" &amp; 'Hulp (overig)'!$C$16 &amp; "'!" &amp;
            'Hulp (overig)'!$C$17 &amp;
            MATCH(L201, INDIRECT("'" &amp; 'Hulp (overig)'!$C$16 &amp; "'!A1:A1000"), 0) &amp;
            ":" &amp;
            'Hulp (overig)'!$C$17 &amp;
LOOKUP(
    2,
    1 / (
        (ROW(INDIRECT("'" &amp; 'Hulp (overig)'!$C$16 &amp; "'!B1:B1000")) &lt;
            IF(M201&lt;&gt;"",
               MATCH(M201, INDIRECT("'" &amp; 'Hulp (overig)'!$C$16 &amp; "'!A1:A1000"),0),
               1000
            )
        ) *
        (LEFT(TRIM(INDIRECT("'" &amp; 'Hulp (overig)'!$C$16 &amp; "'!B1:B1000")),1) &lt;&gt; "u")
    ),
    ROW(INDIRECT("'" &amp; 'Hulp (overig)'!$C$16 &amp; "'!B1:B1000"))
)
        )
    ) * L202
),
IF(L203="","",
IF(
    IFERROR(MIN(
        IF(
            (TRIM(INDIRECT("'" &amp; 'Hulp (overig)'!$C$16 &amp; "'!B1:B1000")) = TEXT(L203,"0")) *
            (ROW(INDIRECT("'" &amp; 'Hulp (overig)'!$C$16 &amp; "'!B1:B1000")) &gt;= MATCH(
                L201,
                INDIRECT("'" &amp; 'Hulp (overig)'!$C$16 &amp; "'!A1:A1000"),
                0
            )) *
            IF(
                M201="",
                1,
                (ROW(INDIRECT("'" &amp; 'Hulp (overig)'!$C$16 &amp; "'!B1:B1000")) &lt; MATCH(
                    M201,
                    INDIRECT("'" &amp; 'Hulp (overig)'!$C$16 &amp; "'!A1:A1000"),
                    0
                ))
            ),
            ROW(INDIRECT("'" &amp; 'Hulp (overig)'!$C$16 &amp; "'!B1:B1000"))
        )
    ),0) &lt; 1,
    "",
    IF(INDEX(
        INDIRECT("'" &amp; 'Hulp (overig)'!$C$16 &amp; "'!" &amp;
        'Hulp (overig)'!$C$17 &amp; "1:" &amp; 'Hulp (overig)'!$C$17 &amp; 1000
        ),
        IFERROR(MIN(
            IF(
                (TRIM(INDIRECT("'" &amp; 'Hulp (overig)'!$C$16 &amp; "'!B1:B1000")) = TEXT(L203,"0")) *
                (ROW(INDIRECT("'" &amp; 'Hulp (overig)'!$C$16 &amp; "'!B1:B1000")) &gt;= MATCH(
                    L201,
                    INDIRECT("'" &amp; 'Hulp (overig)'!$C$16 &amp; "'!A1:A1000"),
                    0
                )) *
                IF(
                    M201="",
                    1,
                    (ROW(INDIRECT("'" &amp; 'Hulp (overig)'!$C$16 &amp; "'!B1:B1000")) &lt; MATCH(
                        M201,
                        INDIRECT("'" &amp; 'Hulp (overig)'!$C$16 &amp; "'!A1:A1000"),
                        0
                    ))
                ),
                ROW(INDIRECT("'" &amp; 'Hulp (overig)'!$C$16 &amp; "'!B1:B1000"))
            )
        ),0)
    )=0,"",
INDEX(
        INDIRECT("'" &amp; 'Hulp (overig)'!$C$16 &amp; "'!" &amp;
        'Hulp (overig)'!$C$17 &amp; "1:" &amp; 'Hulp (overig)'!$C$17 &amp; 1000
        ),
        IFERROR(MIN(
            IF(
                (TRIM(INDIRECT("'" &amp; 'Hulp (overig)'!$C$16 &amp; "'!B1:B1000")) = TEXT(L203,"0")) *
                (ROW(INDIRECT("'" &amp; 'Hulp (overig)'!$C$16 &amp; "'!B1:B1000")) &gt;= MATCH(
                    L201,
                    INDIRECT("'" &amp; 'Hulp (overig)'!$C$16 &amp; "'!A1:A1000"),
                    0
                )) *
                IF(
                    M201="",
                    1,
                    (ROW(INDIRECT("'" &amp; 'Hulp (overig)'!$C$16 &amp; "'!B1:B1000")) &lt; MATCH(
                        M201,
                        INDIRECT("'" &amp; 'Hulp (overig)'!$C$16 &amp; "'!A1:A1000"),
                        0
                    ))
                ),
                ROW(INDIRECT("'" &amp; 'Hulp (overig)'!$C$16 &amp; "'!B1:B1000"))
            )
        ),0)
    ))
))))</f>
        <v>#VALUE!</v>
      </c>
      <c r="M204" s="425" t="e" cm="1">
        <f t="array" aca="1" ref="M204" ca="1">IF($BF204, IF(M201="","",
   INDEX(
      INDIRECT("'" &amp; 'Hulp (CAO''s)'!$AE$8 &amp; "'!" &amp;
               'Hulp (overig)'!$C$17 &amp; "1:" &amp;
               'Hulp (overig)'!$C$17 &amp; "1000"),
      MATCH(
         M201,
         INDIRECT("'" &amp; 'Hulp (CAO''s)'!$AE$8 &amp; "'!A1:A1000"),
         0
      )
   )
), IF($D202="Gebruik % van maximum salaris",
IF(
    OR(M201="",M202=""),
    "",
    MAX(
        INDIRECT(
            "'" &amp; 'Hulp (overig)'!$C$16 &amp; "'!" &amp;
            'Hulp (overig)'!$C$17 &amp;
            MATCH(M201, INDIRECT("'" &amp; 'Hulp (overig)'!$C$16 &amp; "'!A1:A1000"), 0) &amp;
            ":" &amp;
            'Hulp (overig)'!$C$17 &amp;
LOOKUP(
    2,
    1 / (
        (ROW(INDIRECT("'" &amp; 'Hulp (overig)'!$C$16 &amp; "'!B1:B1000")) &lt;
            IF(N201&lt;&gt;"",
               MATCH(N201, INDIRECT("'" &amp; 'Hulp (overig)'!$C$16 &amp; "'!A1:A1000"),0),
               1000
            )
        ) *
        (LEFT(TRIM(INDIRECT("'" &amp; 'Hulp (overig)'!$C$16 &amp; "'!B1:B1000")),1) &lt;&gt; "u")
    ),
    ROW(INDIRECT("'" &amp; 'Hulp (overig)'!$C$16 &amp; "'!B1:B1000"))
)
        )
    ) * M202
),
IF(M203="","",
IF(
    IFERROR(MIN(
        IF(
            (TRIM(INDIRECT("'" &amp; 'Hulp (overig)'!$C$16 &amp; "'!B1:B1000")) = TEXT(M203,"0")) *
            (ROW(INDIRECT("'" &amp; 'Hulp (overig)'!$C$16 &amp; "'!B1:B1000")) &gt;= MATCH(
                M201,
                INDIRECT("'" &amp; 'Hulp (overig)'!$C$16 &amp; "'!A1:A1000"),
                0
            )) *
            IF(
                N201="",
                1,
                (ROW(INDIRECT("'" &amp; 'Hulp (overig)'!$C$16 &amp; "'!B1:B1000")) &lt; MATCH(
                    N201,
                    INDIRECT("'" &amp; 'Hulp (overig)'!$C$16 &amp; "'!A1:A1000"),
                    0
                ))
            ),
            ROW(INDIRECT("'" &amp; 'Hulp (overig)'!$C$16 &amp; "'!B1:B1000"))
        )
    ),0) &lt; 1,
    "",
    IF(INDEX(
        INDIRECT("'" &amp; 'Hulp (overig)'!$C$16 &amp; "'!" &amp;
        'Hulp (overig)'!$C$17 &amp; "1:" &amp; 'Hulp (overig)'!$C$17 &amp; 1000
        ),
        IFERROR(MIN(
            IF(
                (TRIM(INDIRECT("'" &amp; 'Hulp (overig)'!$C$16 &amp; "'!B1:B1000")) = TEXT(M203,"0")) *
                (ROW(INDIRECT("'" &amp; 'Hulp (overig)'!$C$16 &amp; "'!B1:B1000")) &gt;= MATCH(
                    M201,
                    INDIRECT("'" &amp; 'Hulp (overig)'!$C$16 &amp; "'!A1:A1000"),
                    0
                )) *
                IF(
                    N201="",
                    1,
                    (ROW(INDIRECT("'" &amp; 'Hulp (overig)'!$C$16 &amp; "'!B1:B1000")) &lt; MATCH(
                        N201,
                        INDIRECT("'" &amp; 'Hulp (overig)'!$C$16 &amp; "'!A1:A1000"),
                        0
                    ))
                ),
                ROW(INDIRECT("'" &amp; 'Hulp (overig)'!$C$16 &amp; "'!B1:B1000"))
            )
        ),0)
    )=0,"",
INDEX(
        INDIRECT("'" &amp; 'Hulp (overig)'!$C$16 &amp; "'!" &amp;
        'Hulp (overig)'!$C$17 &amp; "1:" &amp; 'Hulp (overig)'!$C$17 &amp; 1000
        ),
        IFERROR(MIN(
            IF(
                (TRIM(INDIRECT("'" &amp; 'Hulp (overig)'!$C$16 &amp; "'!B1:B1000")) = TEXT(M203,"0")) *
                (ROW(INDIRECT("'" &amp; 'Hulp (overig)'!$C$16 &amp; "'!B1:B1000")) &gt;= MATCH(
                    M201,
                    INDIRECT("'" &amp; 'Hulp (overig)'!$C$16 &amp; "'!A1:A1000"),
                    0
                )) *
                IF(
                    N201="",
                    1,
                    (ROW(INDIRECT("'" &amp; 'Hulp (overig)'!$C$16 &amp; "'!B1:B1000")) &lt; MATCH(
                        N201,
                        INDIRECT("'" &amp; 'Hulp (overig)'!$C$16 &amp; "'!A1:A1000"),
                        0
                    ))
                ),
                ROW(INDIRECT("'" &amp; 'Hulp (overig)'!$C$16 &amp; "'!B1:B1000"))
            )
        ),0)
    ))
))))</f>
        <v>#VALUE!</v>
      </c>
      <c r="N204" s="425" t="e" cm="1">
        <f t="array" aca="1" ref="N204" ca="1">IF($BF204, IF(N201="","",
   INDEX(
      INDIRECT("'" &amp; 'Hulp (CAO''s)'!$AE$8 &amp; "'!" &amp;
               'Hulp (overig)'!$C$17 &amp; "1:" &amp;
               'Hulp (overig)'!$C$17 &amp; "1000"),
      MATCH(
         N201,
         INDIRECT("'" &amp; 'Hulp (CAO''s)'!$AE$8 &amp; "'!A1:A1000"),
         0
      )
   )
), IF($D202="Gebruik % van maximum salaris",
IF(
    OR(N201="",N202=""),
    "",
    MAX(
        INDIRECT(
            "'" &amp; 'Hulp (overig)'!$C$16 &amp; "'!" &amp;
            'Hulp (overig)'!$C$17 &amp;
            MATCH(N201, INDIRECT("'" &amp; 'Hulp (overig)'!$C$16 &amp; "'!A1:A1000"), 0) &amp;
            ":" &amp;
            'Hulp (overig)'!$C$17 &amp;
LOOKUP(
    2,
    1 / (
        (ROW(INDIRECT("'" &amp; 'Hulp (overig)'!$C$16 &amp; "'!B1:B1000")) &lt;
            IF(O201&lt;&gt;"",
               MATCH(O201, INDIRECT("'" &amp; 'Hulp (overig)'!$C$16 &amp; "'!A1:A1000"),0),
               1000
            )
        ) *
        (LEFT(TRIM(INDIRECT("'" &amp; 'Hulp (overig)'!$C$16 &amp; "'!B1:B1000")),1) &lt;&gt; "u")
    ),
    ROW(INDIRECT("'" &amp; 'Hulp (overig)'!$C$16 &amp; "'!B1:B1000"))
)
        )
    ) * N202
),
IF(N203="","",
IF(
    IFERROR(MIN(
        IF(
            (TRIM(INDIRECT("'" &amp; 'Hulp (overig)'!$C$16 &amp; "'!B1:B1000")) = TEXT(N203,"0")) *
            (ROW(INDIRECT("'" &amp; 'Hulp (overig)'!$C$16 &amp; "'!B1:B1000")) &gt;= MATCH(
                N201,
                INDIRECT("'" &amp; 'Hulp (overig)'!$C$16 &amp; "'!A1:A1000"),
                0
            )) *
            IF(
                O201="",
                1,
                (ROW(INDIRECT("'" &amp; 'Hulp (overig)'!$C$16 &amp; "'!B1:B1000")) &lt; MATCH(
                    O201,
                    INDIRECT("'" &amp; 'Hulp (overig)'!$C$16 &amp; "'!A1:A1000"),
                    0
                ))
            ),
            ROW(INDIRECT("'" &amp; 'Hulp (overig)'!$C$16 &amp; "'!B1:B1000"))
        )
    ),0) &lt; 1,
    "",
    IF(INDEX(
        INDIRECT("'" &amp; 'Hulp (overig)'!$C$16 &amp; "'!" &amp;
        'Hulp (overig)'!$C$17 &amp; "1:" &amp; 'Hulp (overig)'!$C$17 &amp; 1000
        ),
        IFERROR(MIN(
            IF(
                (TRIM(INDIRECT("'" &amp; 'Hulp (overig)'!$C$16 &amp; "'!B1:B1000")) = TEXT(N203,"0")) *
                (ROW(INDIRECT("'" &amp; 'Hulp (overig)'!$C$16 &amp; "'!B1:B1000")) &gt;= MATCH(
                    N201,
                    INDIRECT("'" &amp; 'Hulp (overig)'!$C$16 &amp; "'!A1:A1000"),
                    0
                )) *
                IF(
                    O201="",
                    1,
                    (ROW(INDIRECT("'" &amp; 'Hulp (overig)'!$C$16 &amp; "'!B1:B1000")) &lt; MATCH(
                        O201,
                        INDIRECT("'" &amp; 'Hulp (overig)'!$C$16 &amp; "'!A1:A1000"),
                        0
                    ))
                ),
                ROW(INDIRECT("'" &amp; 'Hulp (overig)'!$C$16 &amp; "'!B1:B1000"))
            )
        ),0)
    )=0,"",
INDEX(
        INDIRECT("'" &amp; 'Hulp (overig)'!$C$16 &amp; "'!" &amp;
        'Hulp (overig)'!$C$17 &amp; "1:" &amp; 'Hulp (overig)'!$C$17 &amp; 1000
        ),
        IFERROR(MIN(
            IF(
                (TRIM(INDIRECT("'" &amp; 'Hulp (overig)'!$C$16 &amp; "'!B1:B1000")) = TEXT(N203,"0")) *
                (ROW(INDIRECT("'" &amp; 'Hulp (overig)'!$C$16 &amp; "'!B1:B1000")) &gt;= MATCH(
                    N201,
                    INDIRECT("'" &amp; 'Hulp (overig)'!$C$16 &amp; "'!A1:A1000"),
                    0
                )) *
                IF(
                    O201="",
                    1,
                    (ROW(INDIRECT("'" &amp; 'Hulp (overig)'!$C$16 &amp; "'!B1:B1000")) &lt; MATCH(
                        O201,
                        INDIRECT("'" &amp; 'Hulp (overig)'!$C$16 &amp; "'!A1:A1000"),
                        0
                    ))
                ),
                ROW(INDIRECT("'" &amp; 'Hulp (overig)'!$C$16 &amp; "'!B1:B1000"))
            )
        ),0)
    ))
))))</f>
        <v>#VALUE!</v>
      </c>
      <c r="O204" s="425" t="e" cm="1">
        <f t="array" aca="1" ref="O204" ca="1">IF($BF204, IF(O201="","",
   INDEX(
      INDIRECT("'" &amp; 'Hulp (CAO''s)'!$AE$8 &amp; "'!" &amp;
               'Hulp (overig)'!$C$17 &amp; "1:" &amp;
               'Hulp (overig)'!$C$17 &amp; "1000"),
      MATCH(
         O201,
         INDIRECT("'" &amp; 'Hulp (CAO''s)'!$AE$8 &amp; "'!A1:A1000"),
         0
      )
   )
), IF($D202="Gebruik % van maximum salaris",
IF(
    OR(O201="",O202=""),
    "",
    MAX(
        INDIRECT(
            "'" &amp; 'Hulp (overig)'!$C$16 &amp; "'!" &amp;
            'Hulp (overig)'!$C$17 &amp;
            MATCH(O201, INDIRECT("'" &amp; 'Hulp (overig)'!$C$16 &amp; "'!A1:A1000"), 0) &amp;
            ":" &amp;
            'Hulp (overig)'!$C$17 &amp;
LOOKUP(
    2,
    1 / (
        (ROW(INDIRECT("'" &amp; 'Hulp (overig)'!$C$16 &amp; "'!B1:B1000")) &lt;
            IF(P201&lt;&gt;"",
               MATCH(P201, INDIRECT("'" &amp; 'Hulp (overig)'!$C$16 &amp; "'!A1:A1000"),0),
               1000
            )
        ) *
        (LEFT(TRIM(INDIRECT("'" &amp; 'Hulp (overig)'!$C$16 &amp; "'!B1:B1000")),1) &lt;&gt; "u")
    ),
    ROW(INDIRECT("'" &amp; 'Hulp (overig)'!$C$16 &amp; "'!B1:B1000"))
)
        )
    ) * O202
),
IF(O203="","",
IF(
    IFERROR(MIN(
        IF(
            (TRIM(INDIRECT("'" &amp; 'Hulp (overig)'!$C$16 &amp; "'!B1:B1000")) = TEXT(O203,"0")) *
            (ROW(INDIRECT("'" &amp; 'Hulp (overig)'!$C$16 &amp; "'!B1:B1000")) &gt;= MATCH(
                O201,
                INDIRECT("'" &amp; 'Hulp (overig)'!$C$16 &amp; "'!A1:A1000"),
                0
            )) *
            IF(
                P201="",
                1,
                (ROW(INDIRECT("'" &amp; 'Hulp (overig)'!$C$16 &amp; "'!B1:B1000")) &lt; MATCH(
                    P201,
                    INDIRECT("'" &amp; 'Hulp (overig)'!$C$16 &amp; "'!A1:A1000"),
                    0
                ))
            ),
            ROW(INDIRECT("'" &amp; 'Hulp (overig)'!$C$16 &amp; "'!B1:B1000"))
        )
    ),0) &lt; 1,
    "",
    IF(INDEX(
        INDIRECT("'" &amp; 'Hulp (overig)'!$C$16 &amp; "'!" &amp;
        'Hulp (overig)'!$C$17 &amp; "1:" &amp; 'Hulp (overig)'!$C$17 &amp; 1000
        ),
        IFERROR(MIN(
            IF(
                (TRIM(INDIRECT("'" &amp; 'Hulp (overig)'!$C$16 &amp; "'!B1:B1000")) = TEXT(O203,"0")) *
                (ROW(INDIRECT("'" &amp; 'Hulp (overig)'!$C$16 &amp; "'!B1:B1000")) &gt;= MATCH(
                    O201,
                    INDIRECT("'" &amp; 'Hulp (overig)'!$C$16 &amp; "'!A1:A1000"),
                    0
                )) *
                IF(
                    P201="",
                    1,
                    (ROW(INDIRECT("'" &amp; 'Hulp (overig)'!$C$16 &amp; "'!B1:B1000")) &lt; MATCH(
                        P201,
                        INDIRECT("'" &amp; 'Hulp (overig)'!$C$16 &amp; "'!A1:A1000"),
                        0
                    ))
                ),
                ROW(INDIRECT("'" &amp; 'Hulp (overig)'!$C$16 &amp; "'!B1:B1000"))
            )
        ),0)
    )=0,"",
INDEX(
        INDIRECT("'" &amp; 'Hulp (overig)'!$C$16 &amp; "'!" &amp;
        'Hulp (overig)'!$C$17 &amp; "1:" &amp; 'Hulp (overig)'!$C$17 &amp; 1000
        ),
        IFERROR(MIN(
            IF(
                (TRIM(INDIRECT("'" &amp; 'Hulp (overig)'!$C$16 &amp; "'!B1:B1000")) = TEXT(O203,"0")) *
                (ROW(INDIRECT("'" &amp; 'Hulp (overig)'!$C$16 &amp; "'!B1:B1000")) &gt;= MATCH(
                    O201,
                    INDIRECT("'" &amp; 'Hulp (overig)'!$C$16 &amp; "'!A1:A1000"),
                    0
                )) *
                IF(
                    P201="",
                    1,
                    (ROW(INDIRECT("'" &amp; 'Hulp (overig)'!$C$16 &amp; "'!B1:B1000")) &lt; MATCH(
                        P201,
                        INDIRECT("'" &amp; 'Hulp (overig)'!$C$16 &amp; "'!A1:A1000"),
                        0
                    ))
                ),
                ROW(INDIRECT("'" &amp; 'Hulp (overig)'!$C$16 &amp; "'!B1:B1000"))
            )
        ),0)
    ))
))))</f>
        <v>#VALUE!</v>
      </c>
      <c r="P204" s="425" t="e" cm="1">
        <f t="array" aca="1" ref="P204" ca="1">IF($BF204, IF(P201="","",
   INDEX(
      INDIRECT("'" &amp; 'Hulp (CAO''s)'!$AE$8 &amp; "'!" &amp;
               'Hulp (overig)'!$C$17 &amp; "1:" &amp;
               'Hulp (overig)'!$C$17 &amp; "1000"),
      MATCH(
         P201,
         INDIRECT("'" &amp; 'Hulp (CAO''s)'!$AE$8 &amp; "'!A1:A1000"),
         0
      )
   )
), IF($D202="Gebruik % van maximum salaris",
IF(
    OR(P201="",P202=""),
    "",
    MAX(
        INDIRECT(
            "'" &amp; 'Hulp (overig)'!$C$16 &amp; "'!" &amp;
            'Hulp (overig)'!$C$17 &amp;
            MATCH(P201, INDIRECT("'" &amp; 'Hulp (overig)'!$C$16 &amp; "'!A1:A1000"), 0) &amp;
            ":" &amp;
            'Hulp (overig)'!$C$17 &amp;
LOOKUP(
    2,
    1 / (
        (ROW(INDIRECT("'" &amp; 'Hulp (overig)'!$C$16 &amp; "'!B1:B1000")) &lt;
            IF(Q201&lt;&gt;"",
               MATCH(Q201, INDIRECT("'" &amp; 'Hulp (overig)'!$C$16 &amp; "'!A1:A1000"),0),
               1000
            )
        ) *
        (LEFT(TRIM(INDIRECT("'" &amp; 'Hulp (overig)'!$C$16 &amp; "'!B1:B1000")),1) &lt;&gt; "u")
    ),
    ROW(INDIRECT("'" &amp; 'Hulp (overig)'!$C$16 &amp; "'!B1:B1000"))
)
        )
    ) * P202
),
IF(P203="","",
IF(
    IFERROR(MIN(
        IF(
            (TRIM(INDIRECT("'" &amp; 'Hulp (overig)'!$C$16 &amp; "'!B1:B1000")) = TEXT(P203,"0")) *
            (ROW(INDIRECT("'" &amp; 'Hulp (overig)'!$C$16 &amp; "'!B1:B1000")) &gt;= MATCH(
                P201,
                INDIRECT("'" &amp; 'Hulp (overig)'!$C$16 &amp; "'!A1:A1000"),
                0
            )) *
            IF(
                Q201="",
                1,
                (ROW(INDIRECT("'" &amp; 'Hulp (overig)'!$C$16 &amp; "'!B1:B1000")) &lt; MATCH(
                    Q201,
                    INDIRECT("'" &amp; 'Hulp (overig)'!$C$16 &amp; "'!A1:A1000"),
                    0
                ))
            ),
            ROW(INDIRECT("'" &amp; 'Hulp (overig)'!$C$16 &amp; "'!B1:B1000"))
        )
    ),0) &lt; 1,
    "",
    IF(INDEX(
        INDIRECT("'" &amp; 'Hulp (overig)'!$C$16 &amp; "'!" &amp;
        'Hulp (overig)'!$C$17 &amp; "1:" &amp; 'Hulp (overig)'!$C$17 &amp; 1000
        ),
        IFERROR(MIN(
            IF(
                (TRIM(INDIRECT("'" &amp; 'Hulp (overig)'!$C$16 &amp; "'!B1:B1000")) = TEXT(P203,"0")) *
                (ROW(INDIRECT("'" &amp; 'Hulp (overig)'!$C$16 &amp; "'!B1:B1000")) &gt;= MATCH(
                    P201,
                    INDIRECT("'" &amp; 'Hulp (overig)'!$C$16 &amp; "'!A1:A1000"),
                    0
                )) *
                IF(
                    Q201="",
                    1,
                    (ROW(INDIRECT("'" &amp; 'Hulp (overig)'!$C$16 &amp; "'!B1:B1000")) &lt; MATCH(
                        Q201,
                        INDIRECT("'" &amp; 'Hulp (overig)'!$C$16 &amp; "'!A1:A1000"),
                        0
                    ))
                ),
                ROW(INDIRECT("'" &amp; 'Hulp (overig)'!$C$16 &amp; "'!B1:B1000"))
            )
        ),0)
    )=0,"",
INDEX(
        INDIRECT("'" &amp; 'Hulp (overig)'!$C$16 &amp; "'!" &amp;
        'Hulp (overig)'!$C$17 &amp; "1:" &amp; 'Hulp (overig)'!$C$17 &amp; 1000
        ),
        IFERROR(MIN(
            IF(
                (TRIM(INDIRECT("'" &amp; 'Hulp (overig)'!$C$16 &amp; "'!B1:B1000")) = TEXT(P203,"0")) *
                (ROW(INDIRECT("'" &amp; 'Hulp (overig)'!$C$16 &amp; "'!B1:B1000")) &gt;= MATCH(
                    P201,
                    INDIRECT("'" &amp; 'Hulp (overig)'!$C$16 &amp; "'!A1:A1000"),
                    0
                )) *
                IF(
                    Q201="",
                    1,
                    (ROW(INDIRECT("'" &amp; 'Hulp (overig)'!$C$16 &amp; "'!B1:B1000")) &lt; MATCH(
                        Q201,
                        INDIRECT("'" &amp; 'Hulp (overig)'!$C$16 &amp; "'!A1:A1000"),
                        0
                    ))
                ),
                ROW(INDIRECT("'" &amp; 'Hulp (overig)'!$C$16 &amp; "'!B1:B1000"))
            )
        ),0)
    ))
))))</f>
        <v>#VALUE!</v>
      </c>
      <c r="Q204" s="425" t="e" cm="1">
        <f t="array" aca="1" ref="Q204" ca="1">IF($BF204, IF(Q201="","",
   INDEX(
      INDIRECT("'" &amp; 'Hulp (CAO''s)'!$AE$8 &amp; "'!" &amp;
               'Hulp (overig)'!$C$17 &amp; "1:" &amp;
               'Hulp (overig)'!$C$17 &amp; "1000"),
      MATCH(
         Q201,
         INDIRECT("'" &amp; 'Hulp (CAO''s)'!$AE$8 &amp; "'!A1:A1000"),
         0
      )
   )
), IF($D202="Gebruik % van maximum salaris",
IF(
    OR(Q201="",Q202=""),
    "",
    MAX(
        INDIRECT(
            "'" &amp; 'Hulp (overig)'!$C$16 &amp; "'!" &amp;
            'Hulp (overig)'!$C$17 &amp;
            MATCH(Q201, INDIRECT("'" &amp; 'Hulp (overig)'!$C$16 &amp; "'!A1:A1000"), 0) &amp;
            ":" &amp;
            'Hulp (overig)'!$C$17 &amp;
LOOKUP(
    2,
    1 / (
        (ROW(INDIRECT("'" &amp; 'Hulp (overig)'!$C$16 &amp; "'!B1:B1000")) &lt;
            IF(R201&lt;&gt;"",
               MATCH(R201, INDIRECT("'" &amp; 'Hulp (overig)'!$C$16 &amp; "'!A1:A1000"),0),
               1000
            )
        ) *
        (LEFT(TRIM(INDIRECT("'" &amp; 'Hulp (overig)'!$C$16 &amp; "'!B1:B1000")),1) &lt;&gt; "u")
    ),
    ROW(INDIRECT("'" &amp; 'Hulp (overig)'!$C$16 &amp; "'!B1:B1000"))
)
        )
    ) * Q202
),
IF(Q203="","",
IF(
    IFERROR(MIN(
        IF(
            (TRIM(INDIRECT("'" &amp; 'Hulp (overig)'!$C$16 &amp; "'!B1:B1000")) = TEXT(Q203,"0")) *
            (ROW(INDIRECT("'" &amp; 'Hulp (overig)'!$C$16 &amp; "'!B1:B1000")) &gt;= MATCH(
                Q201,
                INDIRECT("'" &amp; 'Hulp (overig)'!$C$16 &amp; "'!A1:A1000"),
                0
            )) *
            IF(
                R201="",
                1,
                (ROW(INDIRECT("'" &amp; 'Hulp (overig)'!$C$16 &amp; "'!B1:B1000")) &lt; MATCH(
                    R201,
                    INDIRECT("'" &amp; 'Hulp (overig)'!$C$16 &amp; "'!A1:A1000"),
                    0
                ))
            ),
            ROW(INDIRECT("'" &amp; 'Hulp (overig)'!$C$16 &amp; "'!B1:B1000"))
        )
    ),0) &lt; 1,
    "",
    IF(INDEX(
        INDIRECT("'" &amp; 'Hulp (overig)'!$C$16 &amp; "'!" &amp;
        'Hulp (overig)'!$C$17 &amp; "1:" &amp; 'Hulp (overig)'!$C$17 &amp; 1000
        ),
        IFERROR(MIN(
            IF(
                (TRIM(INDIRECT("'" &amp; 'Hulp (overig)'!$C$16 &amp; "'!B1:B1000")) = TEXT(Q203,"0")) *
                (ROW(INDIRECT("'" &amp; 'Hulp (overig)'!$C$16 &amp; "'!B1:B1000")) &gt;= MATCH(
                    Q201,
                    INDIRECT("'" &amp; 'Hulp (overig)'!$C$16 &amp; "'!A1:A1000"),
                    0
                )) *
                IF(
                    R201="",
                    1,
                    (ROW(INDIRECT("'" &amp; 'Hulp (overig)'!$C$16 &amp; "'!B1:B1000")) &lt; MATCH(
                        R201,
                        INDIRECT("'" &amp; 'Hulp (overig)'!$C$16 &amp; "'!A1:A1000"),
                        0
                    ))
                ),
                ROW(INDIRECT("'" &amp; 'Hulp (overig)'!$C$16 &amp; "'!B1:B1000"))
            )
        ),0)
    )=0,"",
INDEX(
        INDIRECT("'" &amp; 'Hulp (overig)'!$C$16 &amp; "'!" &amp;
        'Hulp (overig)'!$C$17 &amp; "1:" &amp; 'Hulp (overig)'!$C$17 &amp; 1000
        ),
        IFERROR(MIN(
            IF(
                (TRIM(INDIRECT("'" &amp; 'Hulp (overig)'!$C$16 &amp; "'!B1:B1000")) = TEXT(Q203,"0")) *
                (ROW(INDIRECT("'" &amp; 'Hulp (overig)'!$C$16 &amp; "'!B1:B1000")) &gt;= MATCH(
                    Q201,
                    INDIRECT("'" &amp; 'Hulp (overig)'!$C$16 &amp; "'!A1:A1000"),
                    0
                )) *
                IF(
                    R201="",
                    1,
                    (ROW(INDIRECT("'" &amp; 'Hulp (overig)'!$C$16 &amp; "'!B1:B1000")) &lt; MATCH(
                        R201,
                        INDIRECT("'" &amp; 'Hulp (overig)'!$C$16 &amp; "'!A1:A1000"),
                        0
                    ))
                ),
                ROW(INDIRECT("'" &amp; 'Hulp (overig)'!$C$16 &amp; "'!B1:B1000"))
            )
        ),0)
    ))
))))</f>
        <v>#VALUE!</v>
      </c>
      <c r="R204" s="425" t="e" cm="1">
        <f t="array" aca="1" ref="R204" ca="1">IF($BF204, IF(R201="","",
   INDEX(
      INDIRECT("'" &amp; 'Hulp (CAO''s)'!$AE$8 &amp; "'!" &amp;
               'Hulp (overig)'!$C$17 &amp; "1:" &amp;
               'Hulp (overig)'!$C$17 &amp; "1000"),
      MATCH(
         R201,
         INDIRECT("'" &amp; 'Hulp (CAO''s)'!$AE$8 &amp; "'!A1:A1000"),
         0
      )
   )
), IF($D202="Gebruik % van maximum salaris",
IF(
    OR(R201="",R202=""),
    "",
    MAX(
        INDIRECT(
            "'" &amp; 'Hulp (overig)'!$C$16 &amp; "'!" &amp;
            'Hulp (overig)'!$C$17 &amp;
            MATCH(R201, INDIRECT("'" &amp; 'Hulp (overig)'!$C$16 &amp; "'!A1:A1000"), 0) &amp;
            ":" &amp;
            'Hulp (overig)'!$C$17 &amp;
LOOKUP(
    2,
    1 / (
        (ROW(INDIRECT("'" &amp; 'Hulp (overig)'!$C$16 &amp; "'!B1:B1000")) &lt;
            IF(S201&lt;&gt;"",
               MATCH(S201, INDIRECT("'" &amp; 'Hulp (overig)'!$C$16 &amp; "'!A1:A1000"),0),
               1000
            )
        ) *
        (LEFT(TRIM(INDIRECT("'" &amp; 'Hulp (overig)'!$C$16 &amp; "'!B1:B1000")),1) &lt;&gt; "u")
    ),
    ROW(INDIRECT("'" &amp; 'Hulp (overig)'!$C$16 &amp; "'!B1:B1000"))
)
        )
    ) * R202
),
IF(R203="","",
IF(
    IFERROR(MIN(
        IF(
            (TRIM(INDIRECT("'" &amp; 'Hulp (overig)'!$C$16 &amp; "'!B1:B1000")) = TEXT(R203,"0")) *
            (ROW(INDIRECT("'" &amp; 'Hulp (overig)'!$C$16 &amp; "'!B1:B1000")) &gt;= MATCH(
                R201,
                INDIRECT("'" &amp; 'Hulp (overig)'!$C$16 &amp; "'!A1:A1000"),
                0
            )) *
            IF(
                S201="",
                1,
                (ROW(INDIRECT("'" &amp; 'Hulp (overig)'!$C$16 &amp; "'!B1:B1000")) &lt; MATCH(
                    S201,
                    INDIRECT("'" &amp; 'Hulp (overig)'!$C$16 &amp; "'!A1:A1000"),
                    0
                ))
            ),
            ROW(INDIRECT("'" &amp; 'Hulp (overig)'!$C$16 &amp; "'!B1:B1000"))
        )
    ),0) &lt; 1,
    "",
    IF(INDEX(
        INDIRECT("'" &amp; 'Hulp (overig)'!$C$16 &amp; "'!" &amp;
        'Hulp (overig)'!$C$17 &amp; "1:" &amp; 'Hulp (overig)'!$C$17 &amp; 1000
        ),
        IFERROR(MIN(
            IF(
                (TRIM(INDIRECT("'" &amp; 'Hulp (overig)'!$C$16 &amp; "'!B1:B1000")) = TEXT(R203,"0")) *
                (ROW(INDIRECT("'" &amp; 'Hulp (overig)'!$C$16 &amp; "'!B1:B1000")) &gt;= MATCH(
                    R201,
                    INDIRECT("'" &amp; 'Hulp (overig)'!$C$16 &amp; "'!A1:A1000"),
                    0
                )) *
                IF(
                    S201="",
                    1,
                    (ROW(INDIRECT("'" &amp; 'Hulp (overig)'!$C$16 &amp; "'!B1:B1000")) &lt; MATCH(
                        S201,
                        INDIRECT("'" &amp; 'Hulp (overig)'!$C$16 &amp; "'!A1:A1000"),
                        0
                    ))
                ),
                ROW(INDIRECT("'" &amp; 'Hulp (overig)'!$C$16 &amp; "'!B1:B1000"))
            )
        ),0)
    )=0,"",
INDEX(
        INDIRECT("'" &amp; 'Hulp (overig)'!$C$16 &amp; "'!" &amp;
        'Hulp (overig)'!$C$17 &amp; "1:" &amp; 'Hulp (overig)'!$C$17 &amp; 1000
        ),
        IFERROR(MIN(
            IF(
                (TRIM(INDIRECT("'" &amp; 'Hulp (overig)'!$C$16 &amp; "'!B1:B1000")) = TEXT(R203,"0")) *
                (ROW(INDIRECT("'" &amp; 'Hulp (overig)'!$C$16 &amp; "'!B1:B1000")) &gt;= MATCH(
                    R201,
                    INDIRECT("'" &amp; 'Hulp (overig)'!$C$16 &amp; "'!A1:A1000"),
                    0
                )) *
                IF(
                    S201="",
                    1,
                    (ROW(INDIRECT("'" &amp; 'Hulp (overig)'!$C$16 &amp; "'!B1:B1000")) &lt; MATCH(
                        S201,
                        INDIRECT("'" &amp; 'Hulp (overig)'!$C$16 &amp; "'!A1:A1000"),
                        0
                    ))
                ),
                ROW(INDIRECT("'" &amp; 'Hulp (overig)'!$C$16 &amp; "'!B1:B1000"))
            )
        ),0)
    ))
))))</f>
        <v>#VALUE!</v>
      </c>
      <c r="S204" s="425" t="e" cm="1">
        <f t="array" aca="1" ref="S204" ca="1">IF($BF204, IF(S201="","",
   INDEX(
      INDIRECT("'" &amp; 'Hulp (CAO''s)'!$AE$8 &amp; "'!" &amp;
               'Hulp (overig)'!$C$17 &amp; "1:" &amp;
               'Hulp (overig)'!$C$17 &amp; "1000"),
      MATCH(
         S201,
         INDIRECT("'" &amp; 'Hulp (CAO''s)'!$AE$8 &amp; "'!A1:A1000"),
         0
      )
   )
), IF($D202="Gebruik % van maximum salaris",
IF(
    OR(S201="",S202=""),
    "",
    MAX(
        INDIRECT(
            "'" &amp; 'Hulp (overig)'!$C$16 &amp; "'!" &amp;
            'Hulp (overig)'!$C$17 &amp;
            MATCH(S201, INDIRECT("'" &amp; 'Hulp (overig)'!$C$16 &amp; "'!A1:A1000"), 0) &amp;
            ":" &amp;
            'Hulp (overig)'!$C$17 &amp;
LOOKUP(
    2,
    1 / (
        (ROW(INDIRECT("'" &amp; 'Hulp (overig)'!$C$16 &amp; "'!B1:B1000")) &lt;
            IF(T201&lt;&gt;"",
               MATCH(T201, INDIRECT("'" &amp; 'Hulp (overig)'!$C$16 &amp; "'!A1:A1000"),0),
               1000
            )
        ) *
        (LEFT(TRIM(INDIRECT("'" &amp; 'Hulp (overig)'!$C$16 &amp; "'!B1:B1000")),1) &lt;&gt; "u")
    ),
    ROW(INDIRECT("'" &amp; 'Hulp (overig)'!$C$16 &amp; "'!B1:B1000"))
)
        )
    ) * S202
),
IF(S203="","",
IF(
    IFERROR(MIN(
        IF(
            (TRIM(INDIRECT("'" &amp; 'Hulp (overig)'!$C$16 &amp; "'!B1:B1000")) = TEXT(S203,"0")) *
            (ROW(INDIRECT("'" &amp; 'Hulp (overig)'!$C$16 &amp; "'!B1:B1000")) &gt;= MATCH(
                S201,
                INDIRECT("'" &amp; 'Hulp (overig)'!$C$16 &amp; "'!A1:A1000"),
                0
            )) *
            IF(
                T201="",
                1,
                (ROW(INDIRECT("'" &amp; 'Hulp (overig)'!$C$16 &amp; "'!B1:B1000")) &lt; MATCH(
                    T201,
                    INDIRECT("'" &amp; 'Hulp (overig)'!$C$16 &amp; "'!A1:A1000"),
                    0
                ))
            ),
            ROW(INDIRECT("'" &amp; 'Hulp (overig)'!$C$16 &amp; "'!B1:B1000"))
        )
    ),0) &lt; 1,
    "",
    IF(INDEX(
        INDIRECT("'" &amp; 'Hulp (overig)'!$C$16 &amp; "'!" &amp;
        'Hulp (overig)'!$C$17 &amp; "1:" &amp; 'Hulp (overig)'!$C$17 &amp; 1000
        ),
        IFERROR(MIN(
            IF(
                (TRIM(INDIRECT("'" &amp; 'Hulp (overig)'!$C$16 &amp; "'!B1:B1000")) = TEXT(S203,"0")) *
                (ROW(INDIRECT("'" &amp; 'Hulp (overig)'!$C$16 &amp; "'!B1:B1000")) &gt;= MATCH(
                    S201,
                    INDIRECT("'" &amp; 'Hulp (overig)'!$C$16 &amp; "'!A1:A1000"),
                    0
                )) *
                IF(
                    T201="",
                    1,
                    (ROW(INDIRECT("'" &amp; 'Hulp (overig)'!$C$16 &amp; "'!B1:B1000")) &lt; MATCH(
                        T201,
                        INDIRECT("'" &amp; 'Hulp (overig)'!$C$16 &amp; "'!A1:A1000"),
                        0
                    ))
                ),
                ROW(INDIRECT("'" &amp; 'Hulp (overig)'!$C$16 &amp; "'!B1:B1000"))
            )
        ),0)
    )=0,"",
INDEX(
        INDIRECT("'" &amp; 'Hulp (overig)'!$C$16 &amp; "'!" &amp;
        'Hulp (overig)'!$C$17 &amp; "1:" &amp; 'Hulp (overig)'!$C$17 &amp; 1000
        ),
        IFERROR(MIN(
            IF(
                (TRIM(INDIRECT("'" &amp; 'Hulp (overig)'!$C$16 &amp; "'!B1:B1000")) = TEXT(S203,"0")) *
                (ROW(INDIRECT("'" &amp; 'Hulp (overig)'!$C$16 &amp; "'!B1:B1000")) &gt;= MATCH(
                    S201,
                    INDIRECT("'" &amp; 'Hulp (overig)'!$C$16 &amp; "'!A1:A1000"),
                    0
                )) *
                IF(
                    T201="",
                    1,
                    (ROW(INDIRECT("'" &amp; 'Hulp (overig)'!$C$16 &amp; "'!B1:B1000")) &lt; MATCH(
                        T201,
                        INDIRECT("'" &amp; 'Hulp (overig)'!$C$16 &amp; "'!A1:A1000"),
                        0
                    ))
                ),
                ROW(INDIRECT("'" &amp; 'Hulp (overig)'!$C$16 &amp; "'!B1:B1000"))
            )
        ),0)
    ))
))))</f>
        <v>#VALUE!</v>
      </c>
      <c r="T204" s="425" t="e" cm="1">
        <f t="array" aca="1" ref="T204" ca="1">IF($BF204, IF(T201="","",
   INDEX(
      INDIRECT("'" &amp; 'Hulp (CAO''s)'!$AE$8 &amp; "'!" &amp;
               'Hulp (overig)'!$C$17 &amp; "1:" &amp;
               'Hulp (overig)'!$C$17 &amp; "1000"),
      MATCH(
         T201,
         INDIRECT("'" &amp; 'Hulp (CAO''s)'!$AE$8 &amp; "'!A1:A1000"),
         0
      )
   )
), IF($D202="Gebruik % van maximum salaris",
IF(
    OR(T201="",T202=""),
    "",
    MAX(
        INDIRECT(
            "'" &amp; 'Hulp (overig)'!$C$16 &amp; "'!" &amp;
            'Hulp (overig)'!$C$17 &amp;
            MATCH(T201, INDIRECT("'" &amp; 'Hulp (overig)'!$C$16 &amp; "'!A1:A1000"), 0) &amp;
            ":" &amp;
            'Hulp (overig)'!$C$17 &amp;
LOOKUP(
    2,
    1 / (
        (ROW(INDIRECT("'" &amp; 'Hulp (overig)'!$C$16 &amp; "'!B1:B1000")) &lt;
            IF(U201&lt;&gt;"",
               MATCH(U201, INDIRECT("'" &amp; 'Hulp (overig)'!$C$16 &amp; "'!A1:A1000"),0),
               1000
            )
        ) *
        (LEFT(TRIM(INDIRECT("'" &amp; 'Hulp (overig)'!$C$16 &amp; "'!B1:B1000")),1) &lt;&gt; "u")
    ),
    ROW(INDIRECT("'" &amp; 'Hulp (overig)'!$C$16 &amp; "'!B1:B1000"))
)
        )
    ) * T202
),
IF(T203="","",
IF(
    IFERROR(MIN(
        IF(
            (TRIM(INDIRECT("'" &amp; 'Hulp (overig)'!$C$16 &amp; "'!B1:B1000")) = TEXT(T203,"0")) *
            (ROW(INDIRECT("'" &amp; 'Hulp (overig)'!$C$16 &amp; "'!B1:B1000")) &gt;= MATCH(
                T201,
                INDIRECT("'" &amp; 'Hulp (overig)'!$C$16 &amp; "'!A1:A1000"),
                0
            )) *
            IF(
                U201="",
                1,
                (ROW(INDIRECT("'" &amp; 'Hulp (overig)'!$C$16 &amp; "'!B1:B1000")) &lt; MATCH(
                    U201,
                    INDIRECT("'" &amp; 'Hulp (overig)'!$C$16 &amp; "'!A1:A1000"),
                    0
                ))
            ),
            ROW(INDIRECT("'" &amp; 'Hulp (overig)'!$C$16 &amp; "'!B1:B1000"))
        )
    ),0) &lt; 1,
    "",
    IF(INDEX(
        INDIRECT("'" &amp; 'Hulp (overig)'!$C$16 &amp; "'!" &amp;
        'Hulp (overig)'!$C$17 &amp; "1:" &amp; 'Hulp (overig)'!$C$17 &amp; 1000
        ),
        IFERROR(MIN(
            IF(
                (TRIM(INDIRECT("'" &amp; 'Hulp (overig)'!$C$16 &amp; "'!B1:B1000")) = TEXT(T203,"0")) *
                (ROW(INDIRECT("'" &amp; 'Hulp (overig)'!$C$16 &amp; "'!B1:B1000")) &gt;= MATCH(
                    T201,
                    INDIRECT("'" &amp; 'Hulp (overig)'!$C$16 &amp; "'!A1:A1000"),
                    0
                )) *
                IF(
                    U201="",
                    1,
                    (ROW(INDIRECT("'" &amp; 'Hulp (overig)'!$C$16 &amp; "'!B1:B1000")) &lt; MATCH(
                        U201,
                        INDIRECT("'" &amp; 'Hulp (overig)'!$C$16 &amp; "'!A1:A1000"),
                        0
                    ))
                ),
                ROW(INDIRECT("'" &amp; 'Hulp (overig)'!$C$16 &amp; "'!B1:B1000"))
            )
        ),0)
    )=0,"",
INDEX(
        INDIRECT("'" &amp; 'Hulp (overig)'!$C$16 &amp; "'!" &amp;
        'Hulp (overig)'!$C$17 &amp; "1:" &amp; 'Hulp (overig)'!$C$17 &amp; 1000
        ),
        IFERROR(MIN(
            IF(
                (TRIM(INDIRECT("'" &amp; 'Hulp (overig)'!$C$16 &amp; "'!B1:B1000")) = TEXT(T203,"0")) *
                (ROW(INDIRECT("'" &amp; 'Hulp (overig)'!$C$16 &amp; "'!B1:B1000")) &gt;= MATCH(
                    T201,
                    INDIRECT("'" &amp; 'Hulp (overig)'!$C$16 &amp; "'!A1:A1000"),
                    0
                )) *
                IF(
                    U201="",
                    1,
                    (ROW(INDIRECT("'" &amp; 'Hulp (overig)'!$C$16 &amp; "'!B1:B1000")) &lt; MATCH(
                        U201,
                        INDIRECT("'" &amp; 'Hulp (overig)'!$C$16 &amp; "'!A1:A1000"),
                        0
                    ))
                ),
                ROW(INDIRECT("'" &amp; 'Hulp (overig)'!$C$16 &amp; "'!B1:B1000"))
            )
        ),0)
    ))
))))</f>
        <v>#VALUE!</v>
      </c>
      <c r="U204" s="723" t="e" cm="1">
        <f t="array" aca="1" ref="U204" ca="1">IF($BF204, IF(U201="","",
   INDEX(
      INDIRECT("'" &amp; 'Hulp (CAO''s)'!$AE$8 &amp; "'!" &amp;
               'Hulp (overig)'!$C$17 &amp; "1:" &amp;
               'Hulp (overig)'!$C$17 &amp; "1000"),
      MATCH(
         U201,
         INDIRECT("'" &amp; 'Hulp (CAO''s)'!$AE$8 &amp; "'!A1:A1000"),
         0
      )
   )
), IF($D202="Gebruik % van maximum salaris",
IF(
    OR(U201="",U202=""),
    "",
    MAX(
        INDIRECT(
            "'" &amp; 'Hulp (overig)'!$C$16 &amp; "'!" &amp;
            'Hulp (overig)'!$C$17 &amp;
            MATCH(U201, INDIRECT("'" &amp; 'Hulp (overig)'!$C$16 &amp; "'!A1:A1000"), 0) &amp;
            ":" &amp;
            'Hulp (overig)'!$C$17 &amp;
LOOKUP(
    2,
    1 / (
        (ROW(INDIRECT("'" &amp; 'Hulp (overig)'!$C$16 &amp; "'!B1:B1000")) &lt;
            IF(V201&lt;&gt;"",
               MATCH(V201, INDIRECT("'" &amp; 'Hulp (overig)'!$C$16 &amp; "'!A1:A1000"),0),
               1000
            )
        ) *
        (LEFT(TRIM(INDIRECT("'" &amp; 'Hulp (overig)'!$C$16 &amp; "'!B1:B1000")),1) &lt;&gt; "u")
    ),
    ROW(INDIRECT("'" &amp; 'Hulp (overig)'!$C$16 &amp; "'!B1:B1000"))
)
        )
    ) * U202
),
IF(U203="","",
IF(
    IFERROR(MIN(
        IF(
            (TRIM(INDIRECT("'" &amp; 'Hulp (overig)'!$C$16 &amp; "'!B1:B1000")) = TEXT(U203,"0")) *
            (ROW(INDIRECT("'" &amp; 'Hulp (overig)'!$C$16 &amp; "'!B1:B1000")) &gt;= MATCH(
                U201,
                INDIRECT("'" &amp; 'Hulp (overig)'!$C$16 &amp; "'!A1:A1000"),
                0
            )) *
            IF(
                V201="",
                1,
                (ROW(INDIRECT("'" &amp; 'Hulp (overig)'!$C$16 &amp; "'!B1:B1000")) &lt; MATCH(
                    V201,
                    INDIRECT("'" &amp; 'Hulp (overig)'!$C$16 &amp; "'!A1:A1000"),
                    0
                ))
            ),
            ROW(INDIRECT("'" &amp; 'Hulp (overig)'!$C$16 &amp; "'!B1:B1000"))
        )
    ),0) &lt; 1,
    "",
    IF(INDEX(
        INDIRECT("'" &amp; 'Hulp (overig)'!$C$16 &amp; "'!" &amp;
        'Hulp (overig)'!$C$17 &amp; "1:" &amp; 'Hulp (overig)'!$C$17 &amp; 1000
        ),
        IFERROR(MIN(
            IF(
                (TRIM(INDIRECT("'" &amp; 'Hulp (overig)'!$C$16 &amp; "'!B1:B1000")) = TEXT(U203,"0")) *
                (ROW(INDIRECT("'" &amp; 'Hulp (overig)'!$C$16 &amp; "'!B1:B1000")) &gt;= MATCH(
                    U201,
                    INDIRECT("'" &amp; 'Hulp (overig)'!$C$16 &amp; "'!A1:A1000"),
                    0
                )) *
                IF(
                    V201="",
                    1,
                    (ROW(INDIRECT("'" &amp; 'Hulp (overig)'!$C$16 &amp; "'!B1:B1000")) &lt; MATCH(
                        V201,
                        INDIRECT("'" &amp; 'Hulp (overig)'!$C$16 &amp; "'!A1:A1000"),
                        0
                    ))
                ),
                ROW(INDIRECT("'" &amp; 'Hulp (overig)'!$C$16 &amp; "'!B1:B1000"))
            )
        ),0)
    )=0,"",
INDEX(
        INDIRECT("'" &amp; 'Hulp (overig)'!$C$16 &amp; "'!" &amp;
        'Hulp (overig)'!$C$17 &amp; "1:" &amp; 'Hulp (overig)'!$C$17 &amp; 1000
        ),
        IFERROR(MIN(
            IF(
                (TRIM(INDIRECT("'" &amp; 'Hulp (overig)'!$C$16 &amp; "'!B1:B1000")) = TEXT(U203,"0")) *
                (ROW(INDIRECT("'" &amp; 'Hulp (overig)'!$C$16 &amp; "'!B1:B1000")) &gt;= MATCH(
                    U201,
                    INDIRECT("'" &amp; 'Hulp (overig)'!$C$16 &amp; "'!A1:A1000"),
                    0
                )) *
                IF(
                    V201="",
                    1,
                    (ROW(INDIRECT("'" &amp; 'Hulp (overig)'!$C$16 &amp; "'!B1:B1000")) &lt; MATCH(
                        V201,
                        INDIRECT("'" &amp; 'Hulp (overig)'!$C$16 &amp; "'!A1:A1000"),
                        0
                    ))
                ),
                ROW(INDIRECT("'" &amp; 'Hulp (overig)'!$C$16 &amp; "'!B1:B1000"))
            )
        ),0)
    ))
))))</f>
        <v>#VALUE!</v>
      </c>
      <c r="V204" s="413" t="str" cm="1">
        <f t="array" ref="V204">IF(SUM(F205:U205)=0,"",
IF(SUM(F204:U204)=0,"",
IF(SUMPRODUCT((F205:U205&lt;&gt;0)*(F204:U204=""))&gt;0,"",
(
   SUMPRODUCT(
      IF(F204:U204="",0,F204:U204),
      IF(F205:U205="",0,F205:U205) / SUM(F205:U205)
   )
))))</f>
        <v/>
      </c>
      <c r="W204" s="418"/>
      <c r="X204" s="620"/>
      <c r="Y204" s="419" t="str">
        <f ca="1">IF(B201="","",
        IF(INDIRECT("'Hulp (control forms)'!C" &amp; (13 + INT((ROW()-ROW($B$5))/7))),
            IF(X204="","",X204),
            IF(V204="","",V204)
    )
)</f>
        <v/>
      </c>
      <c r="Z204" s="333"/>
      <c r="AA204" s="771"/>
      <c r="AB204" s="770"/>
      <c r="AC204" s="289"/>
      <c r="AD204" s="289"/>
      <c r="AE204" s="289"/>
      <c r="AF204" s="289"/>
      <c r="AG204" s="289"/>
      <c r="AH204" s="289"/>
      <c r="AI204" s="289"/>
      <c r="AJ204" s="289"/>
      <c r="AK204" s="289"/>
      <c r="AL204" s="289"/>
      <c r="AM204" s="289"/>
      <c r="AN204" s="289"/>
      <c r="AO204" s="289"/>
      <c r="AP204" s="289"/>
      <c r="AQ204" s="289"/>
      <c r="AR204" s="289"/>
      <c r="AS204" s="289"/>
      <c r="AT204" s="289"/>
      <c r="AU204" s="289"/>
      <c r="AV204" s="289"/>
      <c r="AW204" s="289"/>
      <c r="AX204" s="289"/>
      <c r="AY204" s="289"/>
      <c r="AZ204" s="289"/>
      <c r="BA204" cm="1">
        <f t="array" aca="1" ref="BA204" ca="1">IF(
   SUM(Y204)=0,
   1,
   IF(
      N(INDIRECT("'Hulp (control forms)'!C"&amp;(13+INT((ROW()-ROW($B$5))/7))))&lt;&gt;0,
      MIN(1,
      ('Hulp (overig)'!$C$6/12) /
      (Y204 * BC204 + BD204)),
      MIN(1,
         IF(
            SUM(F204:U204)=0,
            "",
            SUMPRODUCT(
               IF(
                  (IF(F204:U204="",0,F204:U204) * BC204) + BD204
                  &gt; 'Hulp (overig)'!$C$6/12,
                  'Hulp (overig)'!$C$6/12,
                  (IF(F204:U204="",0,F204:U204) * BC204) + BD204
               ),
               IF(F205:U205="",0,F205:U205) / SUM(F205:U205)
            )
         ) /
         ((Y204 * BC204) + BD204)
      )
   )
)</f>
        <v>1</v>
      </c>
      <c r="BB204" cm="1">
        <f t="array" aca="1" ref="BB204" ca="1">IF(
   SUM(Y204)=0,
   1,
   IF(
      N(INDIRECT("'Hulp (control forms)'!C"&amp;(13+INT((ROW()-ROW($B$5))/7))))&lt;&gt;0,
      MIN('Hulp (overig)'!$C$5/12,
      (Y204 * BC204) + BD204) * 12,
         IF(
            SUM(F204:U204)=0,
            "",
            SUMPRODUCT(
               IF(
                  (IF(F204:U204="",0,F204:U204) * BC204) + BD204
                  &gt; 'Hulp (overig)'!$C$5/12,
                  'Hulp (overig)'!$C$5/12,
                  (IF(F204:U204="",0,F204:U204) * BC204) + BD204
               ),
               IF(F205:U205="",0,F205:U205) / SUM(F205:U205)
            )
         ) * 12
   )
)</f>
        <v>1</v>
      </c>
      <c r="BC204" s="287" cm="1">
        <f t="array" aca="1" ref="BC204" ca="1">IFERROR(
   (INDEX('2. Output kostprijs'!$24:$24, 5 + 2*INT((ROW()-8)/7))
    - SUM(INDEX('2. Output kostprijs'!$23:$23, 5 + 2*INT((ROW()-8)/7))))
   / INDEX('2. Output kostprijs'!$19:$19, 5 + 2*INT((ROW()-8)/7)),
   1
)</f>
        <v>1</v>
      </c>
      <c r="BD204" s="287" cm="1">
        <f t="array" aca="1" ref="BD204" ca="1">IFERROR(
   (INDEX('2. Output kostprijs'!$23:$23, 5 + 2*INT((ROW()-8)/7))
    * INDEX('2. Output kostprijs'!$18:$18, 5 + 2*INT((ROW()-8)/7))
   ) / 12,
   0
)</f>
        <v>0</v>
      </c>
      <c r="BE204" t="b">
        <f ca="1">NOT(AND(B201&lt;&gt;"",Y204=""))</f>
        <v>1</v>
      </c>
      <c r="BF204" t="str" cm="1">
        <f t="array" aca="1" ref="BF204" ca="1">INDIRECT("'1a. Input organisatieniveau'!$AD" &amp; 7 + INT((ROW()-ROW($F$8))/7))</f>
        <v/>
      </c>
      <c r="BG204" t="b" cm="1">
        <f t="array" ref="BG204">IFERROR(INDEX('Hulp (control forms)'!C:C, 13 + INT((ROW(A197)-1)/7)),FALSE)</f>
        <v>0</v>
      </c>
    </row>
    <row r="205" spans="1:59" ht="16.05" customHeight="1" thickBot="1" x14ac:dyDescent="0.5">
      <c r="A205" s="289"/>
      <c r="B205" s="343"/>
      <c r="C205" s="325" t="s">
        <v>779</v>
      </c>
      <c r="D205" s="688" t="s">
        <v>60</v>
      </c>
      <c r="E205" s="433" t="s">
        <v>59</v>
      </c>
      <c r="F205" s="624"/>
      <c r="G205" s="624"/>
      <c r="H205" s="624"/>
      <c r="I205" s="624"/>
      <c r="J205" s="624"/>
      <c r="K205" s="624"/>
      <c r="L205" s="624"/>
      <c r="M205" s="624"/>
      <c r="N205" s="624"/>
      <c r="O205" s="624"/>
      <c r="P205" s="624"/>
      <c r="Q205" s="624"/>
      <c r="R205" s="624"/>
      <c r="S205" s="624"/>
      <c r="T205" s="624"/>
      <c r="U205" s="625"/>
      <c r="V205" s="420" t="str">
        <f ca="1">IF($B201="","",IF($D205="Aandeel in %",
   "Totaal: "&amp;SUM(F205:U205)*100&amp;"%",
   "Totaal: "&amp;SUM(F205:U205)&amp;" uur"
))</f>
        <v/>
      </c>
      <c r="W205" s="294"/>
      <c r="X205" s="621"/>
      <c r="Y205" s="328"/>
      <c r="Z205" s="329"/>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c r="AW205" s="289"/>
      <c r="AX205" s="289"/>
      <c r="AY205" s="289"/>
      <c r="AZ205" s="289"/>
    </row>
    <row r="206" spans="1:59" ht="16.05" customHeight="1" thickBot="1" x14ac:dyDescent="0.5">
      <c r="A206" s="289"/>
      <c r="B206" s="343"/>
      <c r="C206" s="326" t="s">
        <v>779</v>
      </c>
      <c r="D206" s="421"/>
      <c r="E206" s="426"/>
      <c r="F206" s="426"/>
      <c r="G206" s="426"/>
      <c r="H206" s="426"/>
      <c r="I206" s="426"/>
      <c r="J206" s="426"/>
      <c r="K206" s="426"/>
      <c r="L206" s="426"/>
      <c r="M206" s="426"/>
      <c r="N206" s="426"/>
      <c r="O206" s="426"/>
      <c r="P206" s="426"/>
      <c r="Q206" s="426"/>
      <c r="R206" s="426"/>
      <c r="S206" s="426"/>
      <c r="T206" s="427"/>
      <c r="U206" s="427"/>
      <c r="V206" s="421"/>
      <c r="W206" s="421"/>
      <c r="X206" s="622"/>
      <c r="Y206" s="421"/>
      <c r="Z206" s="327"/>
      <c r="AA206" s="289"/>
      <c r="AB206" s="289"/>
      <c r="AC206" s="289"/>
      <c r="AD206" s="289"/>
      <c r="AE206" s="289"/>
      <c r="AF206" s="289"/>
      <c r="AG206" s="289"/>
      <c r="AH206" s="289"/>
      <c r="AI206" s="289"/>
      <c r="AJ206" s="289"/>
      <c r="AK206" s="289"/>
      <c r="AL206" s="289"/>
      <c r="AM206" s="289"/>
      <c r="AN206" s="289"/>
      <c r="AO206" s="289"/>
      <c r="AP206" s="289"/>
      <c r="AQ206" s="289"/>
      <c r="AR206" s="289"/>
      <c r="AS206" s="289"/>
      <c r="AT206" s="289"/>
      <c r="AU206" s="289"/>
      <c r="AV206" s="289"/>
      <c r="AW206" s="289"/>
      <c r="AX206" s="289"/>
      <c r="AY206" s="289"/>
      <c r="AZ206" s="289"/>
    </row>
    <row r="207" spans="1:59" ht="16.05" customHeight="1" thickBot="1" x14ac:dyDescent="0.55000000000000004">
      <c r="A207" s="289"/>
      <c r="B207" s="585" t="str">
        <f ca="1">IF(B208="","",
IF(
   OR(
      INDIRECT("'1a. Input organisatieniveau'!AC" &amp; (7 + INT((ROW()-4)/7)))="",
      INDIRECT("'1a. Input organisatieniveau'!AC" &amp; (7 + INT((ROW()-4)/7)))=0
   ),
   "",
   INDIRECT("'1a. Input organisatieniveau'!AC" &amp; (7 + INT((ROW()-4)/7)))
))</f>
        <v/>
      </c>
      <c r="C207" s="324" t="s">
        <v>779</v>
      </c>
      <c r="D207" s="416"/>
      <c r="E207" s="428"/>
      <c r="F207" s="422" t="str">
        <f t="shared" ref="F207:U207" ca="1" si="29">IF($B208="","",
IF($D209="Gebruik % van maximum salaris",
 IF(OR(AND(AND(F208&lt;&gt;"",F209&lt;&gt;""),F211=""),AND(F211="",F212&lt;&gt;"")),"!",""),
 IF(OR(AND(AND(F208&lt;&gt;"",F210&lt;&gt;""),F211=""),AND(F211="",F212&lt;&gt;"")),"!","")))</f>
        <v/>
      </c>
      <c r="G207" s="422" t="str">
        <f t="shared" ca="1" si="29"/>
        <v/>
      </c>
      <c r="H207" s="422" t="str">
        <f t="shared" ca="1" si="29"/>
        <v/>
      </c>
      <c r="I207" s="422" t="str">
        <f t="shared" ca="1" si="29"/>
        <v/>
      </c>
      <c r="J207" s="422" t="str">
        <f t="shared" ca="1" si="29"/>
        <v/>
      </c>
      <c r="K207" s="422" t="str">
        <f t="shared" ca="1" si="29"/>
        <v/>
      </c>
      <c r="L207" s="422" t="str">
        <f t="shared" ca="1" si="29"/>
        <v/>
      </c>
      <c r="M207" s="422" t="str">
        <f t="shared" ca="1" si="29"/>
        <v/>
      </c>
      <c r="N207" s="422" t="str">
        <f t="shared" ca="1" si="29"/>
        <v/>
      </c>
      <c r="O207" s="422" t="str">
        <f t="shared" ca="1" si="29"/>
        <v/>
      </c>
      <c r="P207" s="422" t="str">
        <f t="shared" ca="1" si="29"/>
        <v/>
      </c>
      <c r="Q207" s="422" t="str">
        <f t="shared" ca="1" si="29"/>
        <v/>
      </c>
      <c r="R207" s="422" t="str">
        <f t="shared" ca="1" si="29"/>
        <v/>
      </c>
      <c r="S207" s="422" t="str">
        <f t="shared" ca="1" si="29"/>
        <v/>
      </c>
      <c r="T207" s="422" t="str">
        <f t="shared" ca="1" si="29"/>
        <v/>
      </c>
      <c r="U207" s="422" t="str">
        <f t="shared" ca="1" si="29"/>
        <v/>
      </c>
      <c r="V207" s="416"/>
      <c r="W207" s="416"/>
      <c r="X207" s="619"/>
      <c r="Y207" s="416"/>
      <c r="Z207" s="330"/>
      <c r="AA207" s="354"/>
      <c r="AB207" s="289"/>
      <c r="AC207" s="289"/>
      <c r="AD207" s="289"/>
      <c r="AE207" s="289"/>
      <c r="AF207" s="289"/>
      <c r="AG207" s="289"/>
      <c r="AH207" s="289"/>
      <c r="AI207" s="289"/>
      <c r="AJ207" s="289"/>
      <c r="AK207" s="289"/>
      <c r="AL207" s="289"/>
      <c r="AM207" s="289"/>
      <c r="AN207" s="289"/>
      <c r="AO207" s="289"/>
      <c r="AP207" s="289"/>
      <c r="AQ207" s="289"/>
      <c r="AR207" s="289"/>
      <c r="AS207" s="289"/>
      <c r="AT207" s="289"/>
      <c r="AU207" s="289"/>
      <c r="AV207" s="289"/>
      <c r="AW207" s="289"/>
      <c r="AX207" s="289"/>
      <c r="AY207" s="289"/>
      <c r="AZ207" s="289"/>
    </row>
    <row r="208" spans="1:59" ht="16.05" customHeight="1" thickBot="1" x14ac:dyDescent="0.5">
      <c r="A208" s="289"/>
      <c r="B208" s="586" t="str">
        <f ca="1">IF(
   OR(
      INDIRECT("'1a. Input organisatieniveau'!AA" &amp; (7 + INT((ROW()-4)/7)))="",
      INDIRECT("'1a. Input organisatieniveau'!AA" &amp; (7 + INT((ROW()-4)/7)))=0
   ),
   "",
   INDIRECT("'1a. Input organisatieniveau'!AA" &amp; (7 + INT((ROW()-4)/7)))
)</f>
        <v/>
      </c>
      <c r="C208" s="325" t="s">
        <v>779</v>
      </c>
      <c r="D208" s="434"/>
      <c r="E208" s="429" t="s">
        <v>28</v>
      </c>
      <c r="F208" s="423" t="str">
        <f ca="1">IF($B208="", "", IF($BF211, IF('Hulp (CAO''s)'!J$8&lt;&gt;"",'Hulp (CAO''s)'!J$8,""), INDEX('Hulp (CAO''s)'!J$3:J$7, MATCH(TRUE, 'Hulp (CAO''s)'!$D$3:$D$7, 0))))</f>
        <v/>
      </c>
      <c r="G208" s="423" t="str">
        <f ca="1">IF($B208="", "", IF($BF211, IF('Hulp (CAO''s)'!K$8&lt;&gt;"",'Hulp (CAO''s)'!K$8,""), INDEX('Hulp (CAO''s)'!K$3:K$7, MATCH(TRUE, 'Hulp (CAO''s)'!$D$3:$D$7, 0))))</f>
        <v/>
      </c>
      <c r="H208" s="423" t="str">
        <f ca="1">IF($B208="", "", IF($BF211, IF('Hulp (CAO''s)'!L$8&lt;&gt;"",'Hulp (CAO''s)'!L$8,""), INDEX('Hulp (CAO''s)'!L$3:L$7, MATCH(TRUE, 'Hulp (CAO''s)'!$D$3:$D$7, 0))))</f>
        <v/>
      </c>
      <c r="I208" s="423" t="str">
        <f ca="1">IF($B208="", "", IF($BF211, IF('Hulp (CAO''s)'!M$8&lt;&gt;"",'Hulp (CAO''s)'!M$8,""), INDEX('Hulp (CAO''s)'!M$3:M$7, MATCH(TRUE, 'Hulp (CAO''s)'!$D$3:$D$7, 0))))</f>
        <v/>
      </c>
      <c r="J208" s="423" t="str">
        <f ca="1">IF($B208="", "", IF($BF211, IF('Hulp (CAO''s)'!N$8&lt;&gt;"",'Hulp (CAO''s)'!N$8,""), INDEX('Hulp (CAO''s)'!N$3:N$7, MATCH(TRUE, 'Hulp (CAO''s)'!$D$3:$D$7, 0))))</f>
        <v/>
      </c>
      <c r="K208" s="423" t="str">
        <f ca="1">IF($B208="", "", IF($BF211, IF('Hulp (CAO''s)'!O$8&lt;&gt;"",'Hulp (CAO''s)'!O$8,""), INDEX('Hulp (CAO''s)'!O$3:O$7, MATCH(TRUE, 'Hulp (CAO''s)'!$D$3:$D$7, 0))))</f>
        <v/>
      </c>
      <c r="L208" s="423" t="str">
        <f ca="1">IF($B208="", "", IF($BF211, IF('Hulp (CAO''s)'!P$8&lt;&gt;"",'Hulp (CAO''s)'!P$8,""), INDEX('Hulp (CAO''s)'!P$3:P$7, MATCH(TRUE, 'Hulp (CAO''s)'!$D$3:$D$7, 0))))</f>
        <v/>
      </c>
      <c r="M208" s="423" t="str">
        <f ca="1">IF($B208="", "", IF($BF211, IF('Hulp (CAO''s)'!Q$8&lt;&gt;"",'Hulp (CAO''s)'!Q$8,""), INDEX('Hulp (CAO''s)'!Q$3:Q$7, MATCH(TRUE, 'Hulp (CAO''s)'!$D$3:$D$7, 0))))</f>
        <v/>
      </c>
      <c r="N208" s="423" t="str">
        <f ca="1">IF($B208="", "", IF($BF211, IF('Hulp (CAO''s)'!R$8&lt;&gt;"",'Hulp (CAO''s)'!R$8,""), INDEX('Hulp (CAO''s)'!R$3:R$7, MATCH(TRUE, 'Hulp (CAO''s)'!$D$3:$D$7, 0))))</f>
        <v/>
      </c>
      <c r="O208" s="423" t="str">
        <f ca="1">IF($B208="", "", IF($BF211, IF('Hulp (CAO''s)'!S$8&lt;&gt;"",'Hulp (CAO''s)'!S$8,""), INDEX('Hulp (CAO''s)'!S$3:S$7, MATCH(TRUE, 'Hulp (CAO''s)'!$D$3:$D$7, 0))))</f>
        <v/>
      </c>
      <c r="P208" s="423" t="str">
        <f ca="1">IF($B208="", "", IF($BF211, IF('Hulp (CAO''s)'!T$8&lt;&gt;"",'Hulp (CAO''s)'!T$8,""), INDEX('Hulp (CAO''s)'!T$3:T$7, MATCH(TRUE, 'Hulp (CAO''s)'!$D$3:$D$7, 0))))</f>
        <v/>
      </c>
      <c r="Q208" s="423" t="str">
        <f ca="1">IF($B208="", "", IF($BF211, IF('Hulp (CAO''s)'!U$8&lt;&gt;"",'Hulp (CAO''s)'!U$8,""), INDEX('Hulp (CAO''s)'!U$3:U$7, MATCH(TRUE, 'Hulp (CAO''s)'!$D$3:$D$7, 0))))</f>
        <v/>
      </c>
      <c r="R208" s="423" t="str">
        <f ca="1">IF($B208="", "", IF($BF211, IF('Hulp (CAO''s)'!V$8&lt;&gt;"",'Hulp (CAO''s)'!V$8,""), INDEX('Hulp (CAO''s)'!V$3:V$7, MATCH(TRUE, 'Hulp (CAO''s)'!$D$3:$D$7, 0))))</f>
        <v/>
      </c>
      <c r="S208" s="423" t="str">
        <f ca="1">IF($B208="", "", IF($BF211, IF('Hulp (CAO''s)'!W$8&lt;&gt;"",'Hulp (CAO''s)'!W$8,""), INDEX('Hulp (CAO''s)'!W$3:W$7, MATCH(TRUE, 'Hulp (CAO''s)'!$D$3:$D$7, 0))))</f>
        <v/>
      </c>
      <c r="T208" s="423" t="str">
        <f ca="1">IF($B208="", "", IF($BF211, IF('Hulp (CAO''s)'!X$8&lt;&gt;"",'Hulp (CAO''s)'!X$8,""), INDEX('Hulp (CAO''s)'!X$3:X$7, MATCH(TRUE, 'Hulp (CAO''s)'!$D$3:$D$7, 0))))</f>
        <v/>
      </c>
      <c r="U208" s="424" t="str">
        <f ca="1">IF($B208="", "", IF($BF211, IF('Hulp (CAO''s)'!Y$8&lt;&gt;"",'Hulp (CAO''s)'!Y$8,""), INDEX('Hulp (CAO''s)'!Y$3:Y$7, MATCH(TRUE, 'Hulp (CAO''s)'!$D$3:$D$7, 0))))</f>
        <v/>
      </c>
      <c r="V208" s="417"/>
      <c r="W208" s="343"/>
      <c r="X208" s="617"/>
      <c r="Y208" s="343"/>
      <c r="Z208" s="329"/>
      <c r="AA208" s="320"/>
      <c r="AB208" s="289"/>
      <c r="AC208" s="289"/>
      <c r="AD208" s="289"/>
      <c r="AE208" s="289"/>
      <c r="AF208" s="289"/>
      <c r="AG208" s="289"/>
      <c r="AH208" s="289"/>
      <c r="AI208" s="289"/>
      <c r="AJ208" s="289"/>
      <c r="AK208" s="289"/>
      <c r="AL208" s="289"/>
      <c r="AM208" s="289"/>
      <c r="AN208" s="289"/>
      <c r="AO208" s="289"/>
      <c r="AP208" s="289"/>
      <c r="AQ208" s="289"/>
      <c r="AR208" s="289"/>
      <c r="AS208" s="289"/>
      <c r="AT208" s="289"/>
      <c r="AU208" s="289"/>
      <c r="AV208" s="289"/>
      <c r="AW208" s="289"/>
      <c r="AX208" s="289"/>
      <c r="AY208" s="289"/>
      <c r="AZ208" s="289"/>
    </row>
    <row r="209" spans="1:59" ht="16.05" customHeight="1" x14ac:dyDescent="0.45">
      <c r="A209" s="289"/>
      <c r="B209" s="343"/>
      <c r="C209" s="325" t="s">
        <v>779</v>
      </c>
      <c r="D209" s="772" t="s">
        <v>772</v>
      </c>
      <c r="E209" s="430" t="e">
        <f ca="1">IF($BF211, "", "% t.o.v. max salaris in de schaal")</f>
        <v>#VALUE!</v>
      </c>
      <c r="F209" s="615"/>
      <c r="G209" s="615"/>
      <c r="H209" s="615"/>
      <c r="I209" s="615"/>
      <c r="J209" s="615"/>
      <c r="K209" s="615"/>
      <c r="L209" s="615"/>
      <c r="M209" s="615"/>
      <c r="N209" s="615"/>
      <c r="O209" s="615"/>
      <c r="P209" s="615"/>
      <c r="Q209" s="615"/>
      <c r="R209" s="615"/>
      <c r="S209" s="615"/>
      <c r="T209" s="615"/>
      <c r="U209" s="616"/>
      <c r="V209" s="774" t="s">
        <v>884</v>
      </c>
      <c r="W209" s="332"/>
      <c r="X209" s="776" t="s">
        <v>882</v>
      </c>
      <c r="Y209" s="778" t="s">
        <v>883</v>
      </c>
      <c r="Z209" s="329"/>
      <c r="AA209" s="771" t="s">
        <v>780</v>
      </c>
      <c r="AB209" s="770" t="s">
        <v>1079</v>
      </c>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c r="AW209" s="289"/>
      <c r="AX209" s="289"/>
      <c r="AY209" s="289"/>
      <c r="AZ209" s="289"/>
    </row>
    <row r="210" spans="1:59" ht="16.05" customHeight="1" thickBot="1" x14ac:dyDescent="0.5">
      <c r="A210" s="289"/>
      <c r="B210" s="343"/>
      <c r="C210" s="325" t="s">
        <v>779</v>
      </c>
      <c r="D210" s="773"/>
      <c r="E210" s="431" t="e">
        <f ca="1">IF($BF211, "", "Trede (gemiddeld)")</f>
        <v>#VALUE!</v>
      </c>
      <c r="F210" s="737"/>
      <c r="G210" s="737"/>
      <c r="H210" s="737"/>
      <c r="I210" s="737"/>
      <c r="J210" s="737"/>
      <c r="K210" s="737"/>
      <c r="L210" s="737"/>
      <c r="M210" s="737"/>
      <c r="N210" s="737"/>
      <c r="O210" s="737"/>
      <c r="P210" s="737"/>
      <c r="Q210" s="737"/>
      <c r="R210" s="737"/>
      <c r="S210" s="737"/>
      <c r="T210" s="737"/>
      <c r="U210" s="740"/>
      <c r="V210" s="775"/>
      <c r="W210" s="294"/>
      <c r="X210" s="777"/>
      <c r="Y210" s="779"/>
      <c r="Z210" s="329"/>
      <c r="AA210" s="771"/>
      <c r="AB210" s="770"/>
      <c r="AC210" s="289"/>
      <c r="AD210" s="289"/>
      <c r="AE210" s="289"/>
      <c r="AF210" s="289"/>
      <c r="AG210" s="289"/>
      <c r="AH210" s="289"/>
      <c r="AI210" s="289"/>
      <c r="AJ210" s="289"/>
      <c r="AK210" s="289"/>
      <c r="AL210" s="289"/>
      <c r="AM210" s="289"/>
      <c r="AN210" s="289"/>
      <c r="AO210" s="289"/>
      <c r="AP210" s="289"/>
      <c r="AQ210" s="289"/>
      <c r="AR210" s="289"/>
      <c r="AS210" s="289"/>
      <c r="AT210" s="289"/>
      <c r="AU210" s="289"/>
      <c r="AV210" s="289"/>
      <c r="AW210" s="289"/>
      <c r="AX210" s="289"/>
      <c r="AY210" s="289"/>
      <c r="AZ210" s="289"/>
    </row>
    <row r="211" spans="1:59" ht="16.05" customHeight="1" thickBot="1" x14ac:dyDescent="0.5">
      <c r="A211" s="289"/>
      <c r="B211" s="343"/>
      <c r="C211" s="325" t="s">
        <v>779</v>
      </c>
      <c r="E211" s="432" t="str">
        <f>IFERROR(
   INDEX('Hulp (CAO''s)'!$I$3:$I$7, MATCH(TRUE, 'Hulp (CAO''s)'!$D$3:$D$7, 0)),
"")</f>
        <v>Bruto maandsalaris</v>
      </c>
      <c r="F211" s="425" t="e" cm="1">
        <f t="array" aca="1" ref="F211" ca="1">IF($BF211, IF(F208="","",
   INDEX(
      INDIRECT("'" &amp; 'Hulp (CAO''s)'!$AE$8 &amp; "'!" &amp;
               'Hulp (overig)'!$C$17 &amp; "1:" &amp;
               'Hulp (overig)'!$C$17 &amp; "1000"),
      MATCH(
         F208,
         INDIRECT("'" &amp; 'Hulp (CAO''s)'!$AE$8 &amp; "'!A1:A1000"),
         0
      )
   )
), IF($D209="Gebruik % van maximum salaris",
IF(
    OR(F208="",F209=""),
    "",
    MAX(
        INDIRECT(
            "'" &amp; 'Hulp (overig)'!$C$16 &amp; "'!" &amp;
            'Hulp (overig)'!$C$17 &amp;
            MATCH(F208, INDIRECT("'" &amp; 'Hulp (overig)'!$C$16 &amp; "'!A1:A1000"), 0) &amp;
            ":" &amp;
            'Hulp (overig)'!$C$17 &amp;
LOOKUP(
    2,
    1 / (
        (ROW(INDIRECT("'" &amp; 'Hulp (overig)'!$C$16 &amp; "'!B1:B1000")) &lt;
            IF(G208&lt;&gt;"",
               MATCH(G208, INDIRECT("'" &amp; 'Hulp (overig)'!$C$16 &amp; "'!A1:A1000"),0),
               1000
            )
        ) *
        (LEFT(TRIM(INDIRECT("'" &amp; 'Hulp (overig)'!$C$16 &amp; "'!B1:B1000")),1) &lt;&gt; "u")
    ),
    ROW(INDIRECT("'" &amp; 'Hulp (overig)'!$C$16 &amp; "'!B1:B1000"))
)
        )
    ) * F209
),
IF(F210="","",
IF(
    IFERROR(MIN(
        IF(
            (TRIM(INDIRECT("'" &amp; 'Hulp (overig)'!$C$16 &amp; "'!B1:B1000")) = TEXT(F210,"0")) *
            (ROW(INDIRECT("'" &amp; 'Hulp (overig)'!$C$16 &amp; "'!B1:B1000")) &gt;= MATCH(
                F208,
                INDIRECT("'" &amp; 'Hulp (overig)'!$C$16 &amp; "'!A1:A1000"),
                0
            )) *
            IF(
                G208="",
                1,
                (ROW(INDIRECT("'" &amp; 'Hulp (overig)'!$C$16 &amp; "'!B1:B1000")) &lt; MATCH(
                    G208,
                    INDIRECT("'" &amp; 'Hulp (overig)'!$C$16 &amp; "'!A1:A1000"),
                    0
                ))
            ),
            ROW(INDIRECT("'" &amp; 'Hulp (overig)'!$C$16 &amp; "'!B1:B1000"))
        )
    ),0) &lt; 1,
    "",
    IF(INDEX(
        INDIRECT("'" &amp; 'Hulp (overig)'!$C$16 &amp; "'!" &amp;
        'Hulp (overig)'!$C$17 &amp; "1:" &amp; 'Hulp (overig)'!$C$17 &amp; 1000
        ),
        IFERROR(MIN(
            IF(
                (TRIM(INDIRECT("'" &amp; 'Hulp (overig)'!$C$16 &amp; "'!B1:B1000")) = TEXT(F210,"0")) *
                (ROW(INDIRECT("'" &amp; 'Hulp (overig)'!$C$16 &amp; "'!B1:B1000")) &gt;= MATCH(
                    F208,
                    INDIRECT("'" &amp; 'Hulp (overig)'!$C$16 &amp; "'!A1:A1000"),
                    0
                )) *
                IF(
                    G208="",
                    1,
                    (ROW(INDIRECT("'" &amp; 'Hulp (overig)'!$C$16 &amp; "'!B1:B1000")) &lt; MATCH(
                        G208,
                        INDIRECT("'" &amp; 'Hulp (overig)'!$C$16 &amp; "'!A1:A1000"),
                        0
                    ))
                ),
                ROW(INDIRECT("'" &amp; 'Hulp (overig)'!$C$16 &amp; "'!B1:B1000"))
            )
        ),0)
    )=0,"",
INDEX(
        INDIRECT("'" &amp; 'Hulp (overig)'!$C$16 &amp; "'!" &amp;
        'Hulp (overig)'!$C$17 &amp; "1:" &amp; 'Hulp (overig)'!$C$17 &amp; 1000
        ),
        IFERROR(MIN(
            IF(
                (TRIM(INDIRECT("'" &amp; 'Hulp (overig)'!$C$16 &amp; "'!B1:B1000")) = TEXT(F210,"0")) *
                (ROW(INDIRECT("'" &amp; 'Hulp (overig)'!$C$16 &amp; "'!B1:B1000")) &gt;= MATCH(
                    F208,
                    INDIRECT("'" &amp; 'Hulp (overig)'!$C$16 &amp; "'!A1:A1000"),
                    0
                )) *
                IF(
                    G208="",
                    1,
                    (ROW(INDIRECT("'" &amp; 'Hulp (overig)'!$C$16 &amp; "'!B1:B1000")) &lt; MATCH(
                        G208,
                        INDIRECT("'" &amp; 'Hulp (overig)'!$C$16 &amp; "'!A1:A1000"),
                        0
                    ))
                ),
                ROW(INDIRECT("'" &amp; 'Hulp (overig)'!$C$16 &amp; "'!B1:B1000"))
            )
        ),0)
    ))
))))</f>
        <v>#VALUE!</v>
      </c>
      <c r="G211" s="425" t="e" cm="1">
        <f t="array" aca="1" ref="G211" ca="1">IF($BF211, IF(G208="","",
   INDEX(
      INDIRECT("'" &amp; 'Hulp (CAO''s)'!$AE$8 &amp; "'!" &amp;
               'Hulp (overig)'!$C$17 &amp; "1:" &amp;
               'Hulp (overig)'!$C$17 &amp; "1000"),
      MATCH(
         G208,
         INDIRECT("'" &amp; 'Hulp (CAO''s)'!$AE$8 &amp; "'!A1:A1000"),
         0
      )
   )
), IF($D209="Gebruik % van maximum salaris",
IF(
    OR(G208="",G209=""),
    "",
    MAX(
        INDIRECT(
            "'" &amp; 'Hulp (overig)'!$C$16 &amp; "'!" &amp;
            'Hulp (overig)'!$C$17 &amp;
            MATCH(G208, INDIRECT("'" &amp; 'Hulp (overig)'!$C$16 &amp; "'!A1:A1000"), 0) &amp;
            ":" &amp;
            'Hulp (overig)'!$C$17 &amp;
LOOKUP(
    2,
    1 / (
        (ROW(INDIRECT("'" &amp; 'Hulp (overig)'!$C$16 &amp; "'!B1:B1000")) &lt;
            IF(H208&lt;&gt;"",
               MATCH(H208, INDIRECT("'" &amp; 'Hulp (overig)'!$C$16 &amp; "'!A1:A1000"),0),
               1000
            )
        ) *
        (LEFT(TRIM(INDIRECT("'" &amp; 'Hulp (overig)'!$C$16 &amp; "'!B1:B1000")),1) &lt;&gt; "u")
    ),
    ROW(INDIRECT("'" &amp; 'Hulp (overig)'!$C$16 &amp; "'!B1:B1000"))
)
        )
    ) * G209
),
IF(G210="","",
IF(
    IFERROR(MIN(
        IF(
            (TRIM(INDIRECT("'" &amp; 'Hulp (overig)'!$C$16 &amp; "'!B1:B1000")) = TEXT(G210,"0")) *
            (ROW(INDIRECT("'" &amp; 'Hulp (overig)'!$C$16 &amp; "'!B1:B1000")) &gt;= MATCH(
                G208,
                INDIRECT("'" &amp; 'Hulp (overig)'!$C$16 &amp; "'!A1:A1000"),
                0
            )) *
            IF(
                H208="",
                1,
                (ROW(INDIRECT("'" &amp; 'Hulp (overig)'!$C$16 &amp; "'!B1:B1000")) &lt; MATCH(
                    H208,
                    INDIRECT("'" &amp; 'Hulp (overig)'!$C$16 &amp; "'!A1:A1000"),
                    0
                ))
            ),
            ROW(INDIRECT("'" &amp; 'Hulp (overig)'!$C$16 &amp; "'!B1:B1000"))
        )
    ),0) &lt; 1,
    "",
    IF(INDEX(
        INDIRECT("'" &amp; 'Hulp (overig)'!$C$16 &amp; "'!" &amp;
        'Hulp (overig)'!$C$17 &amp; "1:" &amp; 'Hulp (overig)'!$C$17 &amp; 1000
        ),
        IFERROR(MIN(
            IF(
                (TRIM(INDIRECT("'" &amp; 'Hulp (overig)'!$C$16 &amp; "'!B1:B1000")) = TEXT(G210,"0")) *
                (ROW(INDIRECT("'" &amp; 'Hulp (overig)'!$C$16 &amp; "'!B1:B1000")) &gt;= MATCH(
                    G208,
                    INDIRECT("'" &amp; 'Hulp (overig)'!$C$16 &amp; "'!A1:A1000"),
                    0
                )) *
                IF(
                    H208="",
                    1,
                    (ROW(INDIRECT("'" &amp; 'Hulp (overig)'!$C$16 &amp; "'!B1:B1000")) &lt; MATCH(
                        H208,
                        INDIRECT("'" &amp; 'Hulp (overig)'!$C$16 &amp; "'!A1:A1000"),
                        0
                    ))
                ),
                ROW(INDIRECT("'" &amp; 'Hulp (overig)'!$C$16 &amp; "'!B1:B1000"))
            )
        ),0)
    )=0,"",
INDEX(
        INDIRECT("'" &amp; 'Hulp (overig)'!$C$16 &amp; "'!" &amp;
        'Hulp (overig)'!$C$17 &amp; "1:" &amp; 'Hulp (overig)'!$C$17 &amp; 1000
        ),
        IFERROR(MIN(
            IF(
                (TRIM(INDIRECT("'" &amp; 'Hulp (overig)'!$C$16 &amp; "'!B1:B1000")) = TEXT(G210,"0")) *
                (ROW(INDIRECT("'" &amp; 'Hulp (overig)'!$C$16 &amp; "'!B1:B1000")) &gt;= MATCH(
                    G208,
                    INDIRECT("'" &amp; 'Hulp (overig)'!$C$16 &amp; "'!A1:A1000"),
                    0
                )) *
                IF(
                    H208="",
                    1,
                    (ROW(INDIRECT("'" &amp; 'Hulp (overig)'!$C$16 &amp; "'!B1:B1000")) &lt; MATCH(
                        H208,
                        INDIRECT("'" &amp; 'Hulp (overig)'!$C$16 &amp; "'!A1:A1000"),
                        0
                    ))
                ),
                ROW(INDIRECT("'" &amp; 'Hulp (overig)'!$C$16 &amp; "'!B1:B1000"))
            )
        ),0)
    ))
))))</f>
        <v>#VALUE!</v>
      </c>
      <c r="H211" s="425" t="e" cm="1">
        <f t="array" aca="1" ref="H211" ca="1">IF($BF211, IF(H208="","",
   INDEX(
      INDIRECT("'" &amp; 'Hulp (CAO''s)'!$AE$8 &amp; "'!" &amp;
               'Hulp (overig)'!$C$17 &amp; "1:" &amp;
               'Hulp (overig)'!$C$17 &amp; "1000"),
      MATCH(
         H208,
         INDIRECT("'" &amp; 'Hulp (CAO''s)'!$AE$8 &amp; "'!A1:A1000"),
         0
      )
   )
), IF($D209="Gebruik % van maximum salaris",
IF(
    OR(H208="",H209=""),
    "",
    MAX(
        INDIRECT(
            "'" &amp; 'Hulp (overig)'!$C$16 &amp; "'!" &amp;
            'Hulp (overig)'!$C$17 &amp;
            MATCH(H208, INDIRECT("'" &amp; 'Hulp (overig)'!$C$16 &amp; "'!A1:A1000"), 0) &amp;
            ":" &amp;
            'Hulp (overig)'!$C$17 &amp;
LOOKUP(
    2,
    1 / (
        (ROW(INDIRECT("'" &amp; 'Hulp (overig)'!$C$16 &amp; "'!B1:B1000")) &lt;
            IF(I208&lt;&gt;"",
               MATCH(I208, INDIRECT("'" &amp; 'Hulp (overig)'!$C$16 &amp; "'!A1:A1000"),0),
               1000
            )
        ) *
        (LEFT(TRIM(INDIRECT("'" &amp; 'Hulp (overig)'!$C$16 &amp; "'!B1:B1000")),1) &lt;&gt; "u")
    ),
    ROW(INDIRECT("'" &amp; 'Hulp (overig)'!$C$16 &amp; "'!B1:B1000"))
)
        )
    ) * H209
),
IF(H210="","",
IF(
    IFERROR(MIN(
        IF(
            (TRIM(INDIRECT("'" &amp; 'Hulp (overig)'!$C$16 &amp; "'!B1:B1000")) = TEXT(H210,"0")) *
            (ROW(INDIRECT("'" &amp; 'Hulp (overig)'!$C$16 &amp; "'!B1:B1000")) &gt;= MATCH(
                H208,
                INDIRECT("'" &amp; 'Hulp (overig)'!$C$16 &amp; "'!A1:A1000"),
                0
            )) *
            IF(
                I208="",
                1,
                (ROW(INDIRECT("'" &amp; 'Hulp (overig)'!$C$16 &amp; "'!B1:B1000")) &lt; MATCH(
                    I208,
                    INDIRECT("'" &amp; 'Hulp (overig)'!$C$16 &amp; "'!A1:A1000"),
                    0
                ))
            ),
            ROW(INDIRECT("'" &amp; 'Hulp (overig)'!$C$16 &amp; "'!B1:B1000"))
        )
    ),0) &lt; 1,
    "",
    IF(INDEX(
        INDIRECT("'" &amp; 'Hulp (overig)'!$C$16 &amp; "'!" &amp;
        'Hulp (overig)'!$C$17 &amp; "1:" &amp; 'Hulp (overig)'!$C$17 &amp; 1000
        ),
        IFERROR(MIN(
            IF(
                (TRIM(INDIRECT("'" &amp; 'Hulp (overig)'!$C$16 &amp; "'!B1:B1000")) = TEXT(H210,"0")) *
                (ROW(INDIRECT("'" &amp; 'Hulp (overig)'!$C$16 &amp; "'!B1:B1000")) &gt;= MATCH(
                    H208,
                    INDIRECT("'" &amp; 'Hulp (overig)'!$C$16 &amp; "'!A1:A1000"),
                    0
                )) *
                IF(
                    I208="",
                    1,
                    (ROW(INDIRECT("'" &amp; 'Hulp (overig)'!$C$16 &amp; "'!B1:B1000")) &lt; MATCH(
                        I208,
                        INDIRECT("'" &amp; 'Hulp (overig)'!$C$16 &amp; "'!A1:A1000"),
                        0
                    ))
                ),
                ROW(INDIRECT("'" &amp; 'Hulp (overig)'!$C$16 &amp; "'!B1:B1000"))
            )
        ),0)
    )=0,"",
INDEX(
        INDIRECT("'" &amp; 'Hulp (overig)'!$C$16 &amp; "'!" &amp;
        'Hulp (overig)'!$C$17 &amp; "1:" &amp; 'Hulp (overig)'!$C$17 &amp; 1000
        ),
        IFERROR(MIN(
            IF(
                (TRIM(INDIRECT("'" &amp; 'Hulp (overig)'!$C$16 &amp; "'!B1:B1000")) = TEXT(H210,"0")) *
                (ROW(INDIRECT("'" &amp; 'Hulp (overig)'!$C$16 &amp; "'!B1:B1000")) &gt;= MATCH(
                    H208,
                    INDIRECT("'" &amp; 'Hulp (overig)'!$C$16 &amp; "'!A1:A1000"),
                    0
                )) *
                IF(
                    I208="",
                    1,
                    (ROW(INDIRECT("'" &amp; 'Hulp (overig)'!$C$16 &amp; "'!B1:B1000")) &lt; MATCH(
                        I208,
                        INDIRECT("'" &amp; 'Hulp (overig)'!$C$16 &amp; "'!A1:A1000"),
                        0
                    ))
                ),
                ROW(INDIRECT("'" &amp; 'Hulp (overig)'!$C$16 &amp; "'!B1:B1000"))
            )
        ),0)
    ))
))))</f>
        <v>#VALUE!</v>
      </c>
      <c r="I211" s="425" t="e" cm="1">
        <f t="array" aca="1" ref="I211" ca="1">IF($BF211, IF(I208="","",
   INDEX(
      INDIRECT("'" &amp; 'Hulp (CAO''s)'!$AE$8 &amp; "'!" &amp;
               'Hulp (overig)'!$C$17 &amp; "1:" &amp;
               'Hulp (overig)'!$C$17 &amp; "1000"),
      MATCH(
         I208,
         INDIRECT("'" &amp; 'Hulp (CAO''s)'!$AE$8 &amp; "'!A1:A1000"),
         0
      )
   )
), IF($D209="Gebruik % van maximum salaris",
IF(
    OR(I208="",I209=""),
    "",
    MAX(
        INDIRECT(
            "'" &amp; 'Hulp (overig)'!$C$16 &amp; "'!" &amp;
            'Hulp (overig)'!$C$17 &amp;
            MATCH(I208, INDIRECT("'" &amp; 'Hulp (overig)'!$C$16 &amp; "'!A1:A1000"), 0) &amp;
            ":" &amp;
            'Hulp (overig)'!$C$17 &amp;
LOOKUP(
    2,
    1 / (
        (ROW(INDIRECT("'" &amp; 'Hulp (overig)'!$C$16 &amp; "'!B1:B1000")) &lt;
            IF(J208&lt;&gt;"",
               MATCH(J208, INDIRECT("'" &amp; 'Hulp (overig)'!$C$16 &amp; "'!A1:A1000"),0),
               1000
            )
        ) *
        (LEFT(TRIM(INDIRECT("'" &amp; 'Hulp (overig)'!$C$16 &amp; "'!B1:B1000")),1) &lt;&gt; "u")
    ),
    ROW(INDIRECT("'" &amp; 'Hulp (overig)'!$C$16 &amp; "'!B1:B1000"))
)
        )
    ) * I209
),
IF(I210="","",
IF(
    IFERROR(MIN(
        IF(
            (TRIM(INDIRECT("'" &amp; 'Hulp (overig)'!$C$16 &amp; "'!B1:B1000")) = TEXT(I210,"0")) *
            (ROW(INDIRECT("'" &amp; 'Hulp (overig)'!$C$16 &amp; "'!B1:B1000")) &gt;= MATCH(
                I208,
                INDIRECT("'" &amp; 'Hulp (overig)'!$C$16 &amp; "'!A1:A1000"),
                0
            )) *
            IF(
                J208="",
                1,
                (ROW(INDIRECT("'" &amp; 'Hulp (overig)'!$C$16 &amp; "'!B1:B1000")) &lt; MATCH(
                    J208,
                    INDIRECT("'" &amp; 'Hulp (overig)'!$C$16 &amp; "'!A1:A1000"),
                    0
                ))
            ),
            ROW(INDIRECT("'" &amp; 'Hulp (overig)'!$C$16 &amp; "'!B1:B1000"))
        )
    ),0) &lt; 1,
    "",
    IF(INDEX(
        INDIRECT("'" &amp; 'Hulp (overig)'!$C$16 &amp; "'!" &amp;
        'Hulp (overig)'!$C$17 &amp; "1:" &amp; 'Hulp (overig)'!$C$17 &amp; 1000
        ),
        IFERROR(MIN(
            IF(
                (TRIM(INDIRECT("'" &amp; 'Hulp (overig)'!$C$16 &amp; "'!B1:B1000")) = TEXT(I210,"0")) *
                (ROW(INDIRECT("'" &amp; 'Hulp (overig)'!$C$16 &amp; "'!B1:B1000")) &gt;= MATCH(
                    I208,
                    INDIRECT("'" &amp; 'Hulp (overig)'!$C$16 &amp; "'!A1:A1000"),
                    0
                )) *
                IF(
                    J208="",
                    1,
                    (ROW(INDIRECT("'" &amp; 'Hulp (overig)'!$C$16 &amp; "'!B1:B1000")) &lt; MATCH(
                        J208,
                        INDIRECT("'" &amp; 'Hulp (overig)'!$C$16 &amp; "'!A1:A1000"),
                        0
                    ))
                ),
                ROW(INDIRECT("'" &amp; 'Hulp (overig)'!$C$16 &amp; "'!B1:B1000"))
            )
        ),0)
    )=0,"",
INDEX(
        INDIRECT("'" &amp; 'Hulp (overig)'!$C$16 &amp; "'!" &amp;
        'Hulp (overig)'!$C$17 &amp; "1:" &amp; 'Hulp (overig)'!$C$17 &amp; 1000
        ),
        IFERROR(MIN(
            IF(
                (TRIM(INDIRECT("'" &amp; 'Hulp (overig)'!$C$16 &amp; "'!B1:B1000")) = TEXT(I210,"0")) *
                (ROW(INDIRECT("'" &amp; 'Hulp (overig)'!$C$16 &amp; "'!B1:B1000")) &gt;= MATCH(
                    I208,
                    INDIRECT("'" &amp; 'Hulp (overig)'!$C$16 &amp; "'!A1:A1000"),
                    0
                )) *
                IF(
                    J208="",
                    1,
                    (ROW(INDIRECT("'" &amp; 'Hulp (overig)'!$C$16 &amp; "'!B1:B1000")) &lt; MATCH(
                        J208,
                        INDIRECT("'" &amp; 'Hulp (overig)'!$C$16 &amp; "'!A1:A1000"),
                        0
                    ))
                ),
                ROW(INDIRECT("'" &amp; 'Hulp (overig)'!$C$16 &amp; "'!B1:B1000"))
            )
        ),0)
    ))
))))</f>
        <v>#VALUE!</v>
      </c>
      <c r="J211" s="425" t="e" cm="1">
        <f t="array" aca="1" ref="J211" ca="1">IF($BF211, IF(J208="","",
   INDEX(
      INDIRECT("'" &amp; 'Hulp (CAO''s)'!$AE$8 &amp; "'!" &amp;
               'Hulp (overig)'!$C$17 &amp; "1:" &amp;
               'Hulp (overig)'!$C$17 &amp; "1000"),
      MATCH(
         J208,
         INDIRECT("'" &amp; 'Hulp (CAO''s)'!$AE$8 &amp; "'!A1:A1000"),
         0
      )
   )
), IF($D209="Gebruik % van maximum salaris",
IF(
    OR(J208="",J209=""),
    "",
    MAX(
        INDIRECT(
            "'" &amp; 'Hulp (overig)'!$C$16 &amp; "'!" &amp;
            'Hulp (overig)'!$C$17 &amp;
            MATCH(J208, INDIRECT("'" &amp; 'Hulp (overig)'!$C$16 &amp; "'!A1:A1000"), 0) &amp;
            ":" &amp;
            'Hulp (overig)'!$C$17 &amp;
LOOKUP(
    2,
    1 / (
        (ROW(INDIRECT("'" &amp; 'Hulp (overig)'!$C$16 &amp; "'!B1:B1000")) &lt;
            IF(K208&lt;&gt;"",
               MATCH(K208, INDIRECT("'" &amp; 'Hulp (overig)'!$C$16 &amp; "'!A1:A1000"),0),
               1000
            )
        ) *
        (LEFT(TRIM(INDIRECT("'" &amp; 'Hulp (overig)'!$C$16 &amp; "'!B1:B1000")),1) &lt;&gt; "u")
    ),
    ROW(INDIRECT("'" &amp; 'Hulp (overig)'!$C$16 &amp; "'!B1:B1000"))
)
        )
    ) * J209
),
IF(J210="","",
IF(
    IFERROR(MIN(
        IF(
            (TRIM(INDIRECT("'" &amp; 'Hulp (overig)'!$C$16 &amp; "'!B1:B1000")) = TEXT(J210,"0")) *
            (ROW(INDIRECT("'" &amp; 'Hulp (overig)'!$C$16 &amp; "'!B1:B1000")) &gt;= MATCH(
                J208,
                INDIRECT("'" &amp; 'Hulp (overig)'!$C$16 &amp; "'!A1:A1000"),
                0
            )) *
            IF(
                K208="",
                1,
                (ROW(INDIRECT("'" &amp; 'Hulp (overig)'!$C$16 &amp; "'!B1:B1000")) &lt; MATCH(
                    K208,
                    INDIRECT("'" &amp; 'Hulp (overig)'!$C$16 &amp; "'!A1:A1000"),
                    0
                ))
            ),
            ROW(INDIRECT("'" &amp; 'Hulp (overig)'!$C$16 &amp; "'!B1:B1000"))
        )
    ),0) &lt; 1,
    "",
    IF(INDEX(
        INDIRECT("'" &amp; 'Hulp (overig)'!$C$16 &amp; "'!" &amp;
        'Hulp (overig)'!$C$17 &amp; "1:" &amp; 'Hulp (overig)'!$C$17 &amp; 1000
        ),
        IFERROR(MIN(
            IF(
                (TRIM(INDIRECT("'" &amp; 'Hulp (overig)'!$C$16 &amp; "'!B1:B1000")) = TEXT(J210,"0")) *
                (ROW(INDIRECT("'" &amp; 'Hulp (overig)'!$C$16 &amp; "'!B1:B1000")) &gt;= MATCH(
                    J208,
                    INDIRECT("'" &amp; 'Hulp (overig)'!$C$16 &amp; "'!A1:A1000"),
                    0
                )) *
                IF(
                    K208="",
                    1,
                    (ROW(INDIRECT("'" &amp; 'Hulp (overig)'!$C$16 &amp; "'!B1:B1000")) &lt; MATCH(
                        K208,
                        INDIRECT("'" &amp; 'Hulp (overig)'!$C$16 &amp; "'!A1:A1000"),
                        0
                    ))
                ),
                ROW(INDIRECT("'" &amp; 'Hulp (overig)'!$C$16 &amp; "'!B1:B1000"))
            )
        ),0)
    )=0,"",
INDEX(
        INDIRECT("'" &amp; 'Hulp (overig)'!$C$16 &amp; "'!" &amp;
        'Hulp (overig)'!$C$17 &amp; "1:" &amp; 'Hulp (overig)'!$C$17 &amp; 1000
        ),
        IFERROR(MIN(
            IF(
                (TRIM(INDIRECT("'" &amp; 'Hulp (overig)'!$C$16 &amp; "'!B1:B1000")) = TEXT(J210,"0")) *
                (ROW(INDIRECT("'" &amp; 'Hulp (overig)'!$C$16 &amp; "'!B1:B1000")) &gt;= MATCH(
                    J208,
                    INDIRECT("'" &amp; 'Hulp (overig)'!$C$16 &amp; "'!A1:A1000"),
                    0
                )) *
                IF(
                    K208="",
                    1,
                    (ROW(INDIRECT("'" &amp; 'Hulp (overig)'!$C$16 &amp; "'!B1:B1000")) &lt; MATCH(
                        K208,
                        INDIRECT("'" &amp; 'Hulp (overig)'!$C$16 &amp; "'!A1:A1000"),
                        0
                    ))
                ),
                ROW(INDIRECT("'" &amp; 'Hulp (overig)'!$C$16 &amp; "'!B1:B1000"))
            )
        ),0)
    ))
))))</f>
        <v>#VALUE!</v>
      </c>
      <c r="K211" s="425" t="e" cm="1">
        <f t="array" aca="1" ref="K211" ca="1">IF($BF211, IF(K208="","",
   INDEX(
      INDIRECT("'" &amp; 'Hulp (CAO''s)'!$AE$8 &amp; "'!" &amp;
               'Hulp (overig)'!$C$17 &amp; "1:" &amp;
               'Hulp (overig)'!$C$17 &amp; "1000"),
      MATCH(
         K208,
         INDIRECT("'" &amp; 'Hulp (CAO''s)'!$AE$8 &amp; "'!A1:A1000"),
         0
      )
   )
), IF($D209="Gebruik % van maximum salaris",
IF(
    OR(K208="",K209=""),
    "",
    MAX(
        INDIRECT(
            "'" &amp; 'Hulp (overig)'!$C$16 &amp; "'!" &amp;
            'Hulp (overig)'!$C$17 &amp;
            MATCH(K208, INDIRECT("'" &amp; 'Hulp (overig)'!$C$16 &amp; "'!A1:A1000"), 0) &amp;
            ":" &amp;
            'Hulp (overig)'!$C$17 &amp;
LOOKUP(
    2,
    1 / (
        (ROW(INDIRECT("'" &amp; 'Hulp (overig)'!$C$16 &amp; "'!B1:B1000")) &lt;
            IF(L208&lt;&gt;"",
               MATCH(L208, INDIRECT("'" &amp; 'Hulp (overig)'!$C$16 &amp; "'!A1:A1000"),0),
               1000
            )
        ) *
        (LEFT(TRIM(INDIRECT("'" &amp; 'Hulp (overig)'!$C$16 &amp; "'!B1:B1000")),1) &lt;&gt; "u")
    ),
    ROW(INDIRECT("'" &amp; 'Hulp (overig)'!$C$16 &amp; "'!B1:B1000"))
)
        )
    ) * K209
),
IF(K210="","",
IF(
    IFERROR(MIN(
        IF(
            (TRIM(INDIRECT("'" &amp; 'Hulp (overig)'!$C$16 &amp; "'!B1:B1000")) = TEXT(K210,"0")) *
            (ROW(INDIRECT("'" &amp; 'Hulp (overig)'!$C$16 &amp; "'!B1:B1000")) &gt;= MATCH(
                K208,
                INDIRECT("'" &amp; 'Hulp (overig)'!$C$16 &amp; "'!A1:A1000"),
                0
            )) *
            IF(
                L208="",
                1,
                (ROW(INDIRECT("'" &amp; 'Hulp (overig)'!$C$16 &amp; "'!B1:B1000")) &lt; MATCH(
                    L208,
                    INDIRECT("'" &amp; 'Hulp (overig)'!$C$16 &amp; "'!A1:A1000"),
                    0
                ))
            ),
            ROW(INDIRECT("'" &amp; 'Hulp (overig)'!$C$16 &amp; "'!B1:B1000"))
        )
    ),0) &lt; 1,
    "",
    IF(INDEX(
        INDIRECT("'" &amp; 'Hulp (overig)'!$C$16 &amp; "'!" &amp;
        'Hulp (overig)'!$C$17 &amp; "1:" &amp; 'Hulp (overig)'!$C$17 &amp; 1000
        ),
        IFERROR(MIN(
            IF(
                (TRIM(INDIRECT("'" &amp; 'Hulp (overig)'!$C$16 &amp; "'!B1:B1000")) = TEXT(K210,"0")) *
                (ROW(INDIRECT("'" &amp; 'Hulp (overig)'!$C$16 &amp; "'!B1:B1000")) &gt;= MATCH(
                    K208,
                    INDIRECT("'" &amp; 'Hulp (overig)'!$C$16 &amp; "'!A1:A1000"),
                    0
                )) *
                IF(
                    L208="",
                    1,
                    (ROW(INDIRECT("'" &amp; 'Hulp (overig)'!$C$16 &amp; "'!B1:B1000")) &lt; MATCH(
                        L208,
                        INDIRECT("'" &amp; 'Hulp (overig)'!$C$16 &amp; "'!A1:A1000"),
                        0
                    ))
                ),
                ROW(INDIRECT("'" &amp; 'Hulp (overig)'!$C$16 &amp; "'!B1:B1000"))
            )
        ),0)
    )=0,"",
INDEX(
        INDIRECT("'" &amp; 'Hulp (overig)'!$C$16 &amp; "'!" &amp;
        'Hulp (overig)'!$C$17 &amp; "1:" &amp; 'Hulp (overig)'!$C$17 &amp; 1000
        ),
        IFERROR(MIN(
            IF(
                (TRIM(INDIRECT("'" &amp; 'Hulp (overig)'!$C$16 &amp; "'!B1:B1000")) = TEXT(K210,"0")) *
                (ROW(INDIRECT("'" &amp; 'Hulp (overig)'!$C$16 &amp; "'!B1:B1000")) &gt;= MATCH(
                    K208,
                    INDIRECT("'" &amp; 'Hulp (overig)'!$C$16 &amp; "'!A1:A1000"),
                    0
                )) *
                IF(
                    L208="",
                    1,
                    (ROW(INDIRECT("'" &amp; 'Hulp (overig)'!$C$16 &amp; "'!B1:B1000")) &lt; MATCH(
                        L208,
                        INDIRECT("'" &amp; 'Hulp (overig)'!$C$16 &amp; "'!A1:A1000"),
                        0
                    ))
                ),
                ROW(INDIRECT("'" &amp; 'Hulp (overig)'!$C$16 &amp; "'!B1:B1000"))
            )
        ),0)
    ))
))))</f>
        <v>#VALUE!</v>
      </c>
      <c r="L211" s="425" t="e" cm="1">
        <f t="array" aca="1" ref="L211" ca="1">IF($BF211, IF(L208="","",
   INDEX(
      INDIRECT("'" &amp; 'Hulp (CAO''s)'!$AE$8 &amp; "'!" &amp;
               'Hulp (overig)'!$C$17 &amp; "1:" &amp;
               'Hulp (overig)'!$C$17 &amp; "1000"),
      MATCH(
         L208,
         INDIRECT("'" &amp; 'Hulp (CAO''s)'!$AE$8 &amp; "'!A1:A1000"),
         0
      )
   )
), IF($D209="Gebruik % van maximum salaris",
IF(
    OR(L208="",L209=""),
    "",
    MAX(
        INDIRECT(
            "'" &amp; 'Hulp (overig)'!$C$16 &amp; "'!" &amp;
            'Hulp (overig)'!$C$17 &amp;
            MATCH(L208, INDIRECT("'" &amp; 'Hulp (overig)'!$C$16 &amp; "'!A1:A1000"), 0) &amp;
            ":" &amp;
            'Hulp (overig)'!$C$17 &amp;
LOOKUP(
    2,
    1 / (
        (ROW(INDIRECT("'" &amp; 'Hulp (overig)'!$C$16 &amp; "'!B1:B1000")) &lt;
            IF(M208&lt;&gt;"",
               MATCH(M208, INDIRECT("'" &amp; 'Hulp (overig)'!$C$16 &amp; "'!A1:A1000"),0),
               1000
            )
        ) *
        (LEFT(TRIM(INDIRECT("'" &amp; 'Hulp (overig)'!$C$16 &amp; "'!B1:B1000")),1) &lt;&gt; "u")
    ),
    ROW(INDIRECT("'" &amp; 'Hulp (overig)'!$C$16 &amp; "'!B1:B1000"))
)
        )
    ) * L209
),
IF(L210="","",
IF(
    IFERROR(MIN(
        IF(
            (TRIM(INDIRECT("'" &amp; 'Hulp (overig)'!$C$16 &amp; "'!B1:B1000")) = TEXT(L210,"0")) *
            (ROW(INDIRECT("'" &amp; 'Hulp (overig)'!$C$16 &amp; "'!B1:B1000")) &gt;= MATCH(
                L208,
                INDIRECT("'" &amp; 'Hulp (overig)'!$C$16 &amp; "'!A1:A1000"),
                0
            )) *
            IF(
                M208="",
                1,
                (ROW(INDIRECT("'" &amp; 'Hulp (overig)'!$C$16 &amp; "'!B1:B1000")) &lt; MATCH(
                    M208,
                    INDIRECT("'" &amp; 'Hulp (overig)'!$C$16 &amp; "'!A1:A1000"),
                    0
                ))
            ),
            ROW(INDIRECT("'" &amp; 'Hulp (overig)'!$C$16 &amp; "'!B1:B1000"))
        )
    ),0) &lt; 1,
    "",
    IF(INDEX(
        INDIRECT("'" &amp; 'Hulp (overig)'!$C$16 &amp; "'!" &amp;
        'Hulp (overig)'!$C$17 &amp; "1:" &amp; 'Hulp (overig)'!$C$17 &amp; 1000
        ),
        IFERROR(MIN(
            IF(
                (TRIM(INDIRECT("'" &amp; 'Hulp (overig)'!$C$16 &amp; "'!B1:B1000")) = TEXT(L210,"0")) *
                (ROW(INDIRECT("'" &amp; 'Hulp (overig)'!$C$16 &amp; "'!B1:B1000")) &gt;= MATCH(
                    L208,
                    INDIRECT("'" &amp; 'Hulp (overig)'!$C$16 &amp; "'!A1:A1000"),
                    0
                )) *
                IF(
                    M208="",
                    1,
                    (ROW(INDIRECT("'" &amp; 'Hulp (overig)'!$C$16 &amp; "'!B1:B1000")) &lt; MATCH(
                        M208,
                        INDIRECT("'" &amp; 'Hulp (overig)'!$C$16 &amp; "'!A1:A1000"),
                        0
                    ))
                ),
                ROW(INDIRECT("'" &amp; 'Hulp (overig)'!$C$16 &amp; "'!B1:B1000"))
            )
        ),0)
    )=0,"",
INDEX(
        INDIRECT("'" &amp; 'Hulp (overig)'!$C$16 &amp; "'!" &amp;
        'Hulp (overig)'!$C$17 &amp; "1:" &amp; 'Hulp (overig)'!$C$17 &amp; 1000
        ),
        IFERROR(MIN(
            IF(
                (TRIM(INDIRECT("'" &amp; 'Hulp (overig)'!$C$16 &amp; "'!B1:B1000")) = TEXT(L210,"0")) *
                (ROW(INDIRECT("'" &amp; 'Hulp (overig)'!$C$16 &amp; "'!B1:B1000")) &gt;= MATCH(
                    L208,
                    INDIRECT("'" &amp; 'Hulp (overig)'!$C$16 &amp; "'!A1:A1000"),
                    0
                )) *
                IF(
                    M208="",
                    1,
                    (ROW(INDIRECT("'" &amp; 'Hulp (overig)'!$C$16 &amp; "'!B1:B1000")) &lt; MATCH(
                        M208,
                        INDIRECT("'" &amp; 'Hulp (overig)'!$C$16 &amp; "'!A1:A1000"),
                        0
                    ))
                ),
                ROW(INDIRECT("'" &amp; 'Hulp (overig)'!$C$16 &amp; "'!B1:B1000"))
            )
        ),0)
    ))
))))</f>
        <v>#VALUE!</v>
      </c>
      <c r="M211" s="425" t="e" cm="1">
        <f t="array" aca="1" ref="M211" ca="1">IF($BF211, IF(M208="","",
   INDEX(
      INDIRECT("'" &amp; 'Hulp (CAO''s)'!$AE$8 &amp; "'!" &amp;
               'Hulp (overig)'!$C$17 &amp; "1:" &amp;
               'Hulp (overig)'!$C$17 &amp; "1000"),
      MATCH(
         M208,
         INDIRECT("'" &amp; 'Hulp (CAO''s)'!$AE$8 &amp; "'!A1:A1000"),
         0
      )
   )
), IF($D209="Gebruik % van maximum salaris",
IF(
    OR(M208="",M209=""),
    "",
    MAX(
        INDIRECT(
            "'" &amp; 'Hulp (overig)'!$C$16 &amp; "'!" &amp;
            'Hulp (overig)'!$C$17 &amp;
            MATCH(M208, INDIRECT("'" &amp; 'Hulp (overig)'!$C$16 &amp; "'!A1:A1000"), 0) &amp;
            ":" &amp;
            'Hulp (overig)'!$C$17 &amp;
LOOKUP(
    2,
    1 / (
        (ROW(INDIRECT("'" &amp; 'Hulp (overig)'!$C$16 &amp; "'!B1:B1000")) &lt;
            IF(N208&lt;&gt;"",
               MATCH(N208, INDIRECT("'" &amp; 'Hulp (overig)'!$C$16 &amp; "'!A1:A1000"),0),
               1000
            )
        ) *
        (LEFT(TRIM(INDIRECT("'" &amp; 'Hulp (overig)'!$C$16 &amp; "'!B1:B1000")),1) &lt;&gt; "u")
    ),
    ROW(INDIRECT("'" &amp; 'Hulp (overig)'!$C$16 &amp; "'!B1:B1000"))
)
        )
    ) * M209
),
IF(M210="","",
IF(
    IFERROR(MIN(
        IF(
            (TRIM(INDIRECT("'" &amp; 'Hulp (overig)'!$C$16 &amp; "'!B1:B1000")) = TEXT(M210,"0")) *
            (ROW(INDIRECT("'" &amp; 'Hulp (overig)'!$C$16 &amp; "'!B1:B1000")) &gt;= MATCH(
                M208,
                INDIRECT("'" &amp; 'Hulp (overig)'!$C$16 &amp; "'!A1:A1000"),
                0
            )) *
            IF(
                N208="",
                1,
                (ROW(INDIRECT("'" &amp; 'Hulp (overig)'!$C$16 &amp; "'!B1:B1000")) &lt; MATCH(
                    N208,
                    INDIRECT("'" &amp; 'Hulp (overig)'!$C$16 &amp; "'!A1:A1000"),
                    0
                ))
            ),
            ROW(INDIRECT("'" &amp; 'Hulp (overig)'!$C$16 &amp; "'!B1:B1000"))
        )
    ),0) &lt; 1,
    "",
    IF(INDEX(
        INDIRECT("'" &amp; 'Hulp (overig)'!$C$16 &amp; "'!" &amp;
        'Hulp (overig)'!$C$17 &amp; "1:" &amp; 'Hulp (overig)'!$C$17 &amp; 1000
        ),
        IFERROR(MIN(
            IF(
                (TRIM(INDIRECT("'" &amp; 'Hulp (overig)'!$C$16 &amp; "'!B1:B1000")) = TEXT(M210,"0")) *
                (ROW(INDIRECT("'" &amp; 'Hulp (overig)'!$C$16 &amp; "'!B1:B1000")) &gt;= MATCH(
                    M208,
                    INDIRECT("'" &amp; 'Hulp (overig)'!$C$16 &amp; "'!A1:A1000"),
                    0
                )) *
                IF(
                    N208="",
                    1,
                    (ROW(INDIRECT("'" &amp; 'Hulp (overig)'!$C$16 &amp; "'!B1:B1000")) &lt; MATCH(
                        N208,
                        INDIRECT("'" &amp; 'Hulp (overig)'!$C$16 &amp; "'!A1:A1000"),
                        0
                    ))
                ),
                ROW(INDIRECT("'" &amp; 'Hulp (overig)'!$C$16 &amp; "'!B1:B1000"))
            )
        ),0)
    )=0,"",
INDEX(
        INDIRECT("'" &amp; 'Hulp (overig)'!$C$16 &amp; "'!" &amp;
        'Hulp (overig)'!$C$17 &amp; "1:" &amp; 'Hulp (overig)'!$C$17 &amp; 1000
        ),
        IFERROR(MIN(
            IF(
                (TRIM(INDIRECT("'" &amp; 'Hulp (overig)'!$C$16 &amp; "'!B1:B1000")) = TEXT(M210,"0")) *
                (ROW(INDIRECT("'" &amp; 'Hulp (overig)'!$C$16 &amp; "'!B1:B1000")) &gt;= MATCH(
                    M208,
                    INDIRECT("'" &amp; 'Hulp (overig)'!$C$16 &amp; "'!A1:A1000"),
                    0
                )) *
                IF(
                    N208="",
                    1,
                    (ROW(INDIRECT("'" &amp; 'Hulp (overig)'!$C$16 &amp; "'!B1:B1000")) &lt; MATCH(
                        N208,
                        INDIRECT("'" &amp; 'Hulp (overig)'!$C$16 &amp; "'!A1:A1000"),
                        0
                    ))
                ),
                ROW(INDIRECT("'" &amp; 'Hulp (overig)'!$C$16 &amp; "'!B1:B1000"))
            )
        ),0)
    ))
))))</f>
        <v>#VALUE!</v>
      </c>
      <c r="N211" s="425" t="e" cm="1">
        <f t="array" aca="1" ref="N211" ca="1">IF($BF211, IF(N208="","",
   INDEX(
      INDIRECT("'" &amp; 'Hulp (CAO''s)'!$AE$8 &amp; "'!" &amp;
               'Hulp (overig)'!$C$17 &amp; "1:" &amp;
               'Hulp (overig)'!$C$17 &amp; "1000"),
      MATCH(
         N208,
         INDIRECT("'" &amp; 'Hulp (CAO''s)'!$AE$8 &amp; "'!A1:A1000"),
         0
      )
   )
), IF($D209="Gebruik % van maximum salaris",
IF(
    OR(N208="",N209=""),
    "",
    MAX(
        INDIRECT(
            "'" &amp; 'Hulp (overig)'!$C$16 &amp; "'!" &amp;
            'Hulp (overig)'!$C$17 &amp;
            MATCH(N208, INDIRECT("'" &amp; 'Hulp (overig)'!$C$16 &amp; "'!A1:A1000"), 0) &amp;
            ":" &amp;
            'Hulp (overig)'!$C$17 &amp;
LOOKUP(
    2,
    1 / (
        (ROW(INDIRECT("'" &amp; 'Hulp (overig)'!$C$16 &amp; "'!B1:B1000")) &lt;
            IF(O208&lt;&gt;"",
               MATCH(O208, INDIRECT("'" &amp; 'Hulp (overig)'!$C$16 &amp; "'!A1:A1000"),0),
               1000
            )
        ) *
        (LEFT(TRIM(INDIRECT("'" &amp; 'Hulp (overig)'!$C$16 &amp; "'!B1:B1000")),1) &lt;&gt; "u")
    ),
    ROW(INDIRECT("'" &amp; 'Hulp (overig)'!$C$16 &amp; "'!B1:B1000"))
)
        )
    ) * N209
),
IF(N210="","",
IF(
    IFERROR(MIN(
        IF(
            (TRIM(INDIRECT("'" &amp; 'Hulp (overig)'!$C$16 &amp; "'!B1:B1000")) = TEXT(N210,"0")) *
            (ROW(INDIRECT("'" &amp; 'Hulp (overig)'!$C$16 &amp; "'!B1:B1000")) &gt;= MATCH(
                N208,
                INDIRECT("'" &amp; 'Hulp (overig)'!$C$16 &amp; "'!A1:A1000"),
                0
            )) *
            IF(
                O208="",
                1,
                (ROW(INDIRECT("'" &amp; 'Hulp (overig)'!$C$16 &amp; "'!B1:B1000")) &lt; MATCH(
                    O208,
                    INDIRECT("'" &amp; 'Hulp (overig)'!$C$16 &amp; "'!A1:A1000"),
                    0
                ))
            ),
            ROW(INDIRECT("'" &amp; 'Hulp (overig)'!$C$16 &amp; "'!B1:B1000"))
        )
    ),0) &lt; 1,
    "",
    IF(INDEX(
        INDIRECT("'" &amp; 'Hulp (overig)'!$C$16 &amp; "'!" &amp;
        'Hulp (overig)'!$C$17 &amp; "1:" &amp; 'Hulp (overig)'!$C$17 &amp; 1000
        ),
        IFERROR(MIN(
            IF(
                (TRIM(INDIRECT("'" &amp; 'Hulp (overig)'!$C$16 &amp; "'!B1:B1000")) = TEXT(N210,"0")) *
                (ROW(INDIRECT("'" &amp; 'Hulp (overig)'!$C$16 &amp; "'!B1:B1000")) &gt;= MATCH(
                    N208,
                    INDIRECT("'" &amp; 'Hulp (overig)'!$C$16 &amp; "'!A1:A1000"),
                    0
                )) *
                IF(
                    O208="",
                    1,
                    (ROW(INDIRECT("'" &amp; 'Hulp (overig)'!$C$16 &amp; "'!B1:B1000")) &lt; MATCH(
                        O208,
                        INDIRECT("'" &amp; 'Hulp (overig)'!$C$16 &amp; "'!A1:A1000"),
                        0
                    ))
                ),
                ROW(INDIRECT("'" &amp; 'Hulp (overig)'!$C$16 &amp; "'!B1:B1000"))
            )
        ),0)
    )=0,"",
INDEX(
        INDIRECT("'" &amp; 'Hulp (overig)'!$C$16 &amp; "'!" &amp;
        'Hulp (overig)'!$C$17 &amp; "1:" &amp; 'Hulp (overig)'!$C$17 &amp; 1000
        ),
        IFERROR(MIN(
            IF(
                (TRIM(INDIRECT("'" &amp; 'Hulp (overig)'!$C$16 &amp; "'!B1:B1000")) = TEXT(N210,"0")) *
                (ROW(INDIRECT("'" &amp; 'Hulp (overig)'!$C$16 &amp; "'!B1:B1000")) &gt;= MATCH(
                    N208,
                    INDIRECT("'" &amp; 'Hulp (overig)'!$C$16 &amp; "'!A1:A1000"),
                    0
                )) *
                IF(
                    O208="",
                    1,
                    (ROW(INDIRECT("'" &amp; 'Hulp (overig)'!$C$16 &amp; "'!B1:B1000")) &lt; MATCH(
                        O208,
                        INDIRECT("'" &amp; 'Hulp (overig)'!$C$16 &amp; "'!A1:A1000"),
                        0
                    ))
                ),
                ROW(INDIRECT("'" &amp; 'Hulp (overig)'!$C$16 &amp; "'!B1:B1000"))
            )
        ),0)
    ))
))))</f>
        <v>#VALUE!</v>
      </c>
      <c r="O211" s="425" t="e" cm="1">
        <f t="array" aca="1" ref="O211" ca="1">IF($BF211, IF(O208="","",
   INDEX(
      INDIRECT("'" &amp; 'Hulp (CAO''s)'!$AE$8 &amp; "'!" &amp;
               'Hulp (overig)'!$C$17 &amp; "1:" &amp;
               'Hulp (overig)'!$C$17 &amp; "1000"),
      MATCH(
         O208,
         INDIRECT("'" &amp; 'Hulp (CAO''s)'!$AE$8 &amp; "'!A1:A1000"),
         0
      )
   )
), IF($D209="Gebruik % van maximum salaris",
IF(
    OR(O208="",O209=""),
    "",
    MAX(
        INDIRECT(
            "'" &amp; 'Hulp (overig)'!$C$16 &amp; "'!" &amp;
            'Hulp (overig)'!$C$17 &amp;
            MATCH(O208, INDIRECT("'" &amp; 'Hulp (overig)'!$C$16 &amp; "'!A1:A1000"), 0) &amp;
            ":" &amp;
            'Hulp (overig)'!$C$17 &amp;
LOOKUP(
    2,
    1 / (
        (ROW(INDIRECT("'" &amp; 'Hulp (overig)'!$C$16 &amp; "'!B1:B1000")) &lt;
            IF(P208&lt;&gt;"",
               MATCH(P208, INDIRECT("'" &amp; 'Hulp (overig)'!$C$16 &amp; "'!A1:A1000"),0),
               1000
            )
        ) *
        (LEFT(TRIM(INDIRECT("'" &amp; 'Hulp (overig)'!$C$16 &amp; "'!B1:B1000")),1) &lt;&gt; "u")
    ),
    ROW(INDIRECT("'" &amp; 'Hulp (overig)'!$C$16 &amp; "'!B1:B1000"))
)
        )
    ) * O209
),
IF(O210="","",
IF(
    IFERROR(MIN(
        IF(
            (TRIM(INDIRECT("'" &amp; 'Hulp (overig)'!$C$16 &amp; "'!B1:B1000")) = TEXT(O210,"0")) *
            (ROW(INDIRECT("'" &amp; 'Hulp (overig)'!$C$16 &amp; "'!B1:B1000")) &gt;= MATCH(
                O208,
                INDIRECT("'" &amp; 'Hulp (overig)'!$C$16 &amp; "'!A1:A1000"),
                0
            )) *
            IF(
                P208="",
                1,
                (ROW(INDIRECT("'" &amp; 'Hulp (overig)'!$C$16 &amp; "'!B1:B1000")) &lt; MATCH(
                    P208,
                    INDIRECT("'" &amp; 'Hulp (overig)'!$C$16 &amp; "'!A1:A1000"),
                    0
                ))
            ),
            ROW(INDIRECT("'" &amp; 'Hulp (overig)'!$C$16 &amp; "'!B1:B1000"))
        )
    ),0) &lt; 1,
    "",
    IF(INDEX(
        INDIRECT("'" &amp; 'Hulp (overig)'!$C$16 &amp; "'!" &amp;
        'Hulp (overig)'!$C$17 &amp; "1:" &amp; 'Hulp (overig)'!$C$17 &amp; 1000
        ),
        IFERROR(MIN(
            IF(
                (TRIM(INDIRECT("'" &amp; 'Hulp (overig)'!$C$16 &amp; "'!B1:B1000")) = TEXT(O210,"0")) *
                (ROW(INDIRECT("'" &amp; 'Hulp (overig)'!$C$16 &amp; "'!B1:B1000")) &gt;= MATCH(
                    O208,
                    INDIRECT("'" &amp; 'Hulp (overig)'!$C$16 &amp; "'!A1:A1000"),
                    0
                )) *
                IF(
                    P208="",
                    1,
                    (ROW(INDIRECT("'" &amp; 'Hulp (overig)'!$C$16 &amp; "'!B1:B1000")) &lt; MATCH(
                        P208,
                        INDIRECT("'" &amp; 'Hulp (overig)'!$C$16 &amp; "'!A1:A1000"),
                        0
                    ))
                ),
                ROW(INDIRECT("'" &amp; 'Hulp (overig)'!$C$16 &amp; "'!B1:B1000"))
            )
        ),0)
    )=0,"",
INDEX(
        INDIRECT("'" &amp; 'Hulp (overig)'!$C$16 &amp; "'!" &amp;
        'Hulp (overig)'!$C$17 &amp; "1:" &amp; 'Hulp (overig)'!$C$17 &amp; 1000
        ),
        IFERROR(MIN(
            IF(
                (TRIM(INDIRECT("'" &amp; 'Hulp (overig)'!$C$16 &amp; "'!B1:B1000")) = TEXT(O210,"0")) *
                (ROW(INDIRECT("'" &amp; 'Hulp (overig)'!$C$16 &amp; "'!B1:B1000")) &gt;= MATCH(
                    O208,
                    INDIRECT("'" &amp; 'Hulp (overig)'!$C$16 &amp; "'!A1:A1000"),
                    0
                )) *
                IF(
                    P208="",
                    1,
                    (ROW(INDIRECT("'" &amp; 'Hulp (overig)'!$C$16 &amp; "'!B1:B1000")) &lt; MATCH(
                        P208,
                        INDIRECT("'" &amp; 'Hulp (overig)'!$C$16 &amp; "'!A1:A1000"),
                        0
                    ))
                ),
                ROW(INDIRECT("'" &amp; 'Hulp (overig)'!$C$16 &amp; "'!B1:B1000"))
            )
        ),0)
    ))
))))</f>
        <v>#VALUE!</v>
      </c>
      <c r="P211" s="425" t="e" cm="1">
        <f t="array" aca="1" ref="P211" ca="1">IF($BF211, IF(P208="","",
   INDEX(
      INDIRECT("'" &amp; 'Hulp (CAO''s)'!$AE$8 &amp; "'!" &amp;
               'Hulp (overig)'!$C$17 &amp; "1:" &amp;
               'Hulp (overig)'!$C$17 &amp; "1000"),
      MATCH(
         P208,
         INDIRECT("'" &amp; 'Hulp (CAO''s)'!$AE$8 &amp; "'!A1:A1000"),
         0
      )
   )
), IF($D209="Gebruik % van maximum salaris",
IF(
    OR(P208="",P209=""),
    "",
    MAX(
        INDIRECT(
            "'" &amp; 'Hulp (overig)'!$C$16 &amp; "'!" &amp;
            'Hulp (overig)'!$C$17 &amp;
            MATCH(P208, INDIRECT("'" &amp; 'Hulp (overig)'!$C$16 &amp; "'!A1:A1000"), 0) &amp;
            ":" &amp;
            'Hulp (overig)'!$C$17 &amp;
LOOKUP(
    2,
    1 / (
        (ROW(INDIRECT("'" &amp; 'Hulp (overig)'!$C$16 &amp; "'!B1:B1000")) &lt;
            IF(Q208&lt;&gt;"",
               MATCH(Q208, INDIRECT("'" &amp; 'Hulp (overig)'!$C$16 &amp; "'!A1:A1000"),0),
               1000
            )
        ) *
        (LEFT(TRIM(INDIRECT("'" &amp; 'Hulp (overig)'!$C$16 &amp; "'!B1:B1000")),1) &lt;&gt; "u")
    ),
    ROW(INDIRECT("'" &amp; 'Hulp (overig)'!$C$16 &amp; "'!B1:B1000"))
)
        )
    ) * P209
),
IF(P210="","",
IF(
    IFERROR(MIN(
        IF(
            (TRIM(INDIRECT("'" &amp; 'Hulp (overig)'!$C$16 &amp; "'!B1:B1000")) = TEXT(P210,"0")) *
            (ROW(INDIRECT("'" &amp; 'Hulp (overig)'!$C$16 &amp; "'!B1:B1000")) &gt;= MATCH(
                P208,
                INDIRECT("'" &amp; 'Hulp (overig)'!$C$16 &amp; "'!A1:A1000"),
                0
            )) *
            IF(
                Q208="",
                1,
                (ROW(INDIRECT("'" &amp; 'Hulp (overig)'!$C$16 &amp; "'!B1:B1000")) &lt; MATCH(
                    Q208,
                    INDIRECT("'" &amp; 'Hulp (overig)'!$C$16 &amp; "'!A1:A1000"),
                    0
                ))
            ),
            ROW(INDIRECT("'" &amp; 'Hulp (overig)'!$C$16 &amp; "'!B1:B1000"))
        )
    ),0) &lt; 1,
    "",
    IF(INDEX(
        INDIRECT("'" &amp; 'Hulp (overig)'!$C$16 &amp; "'!" &amp;
        'Hulp (overig)'!$C$17 &amp; "1:" &amp; 'Hulp (overig)'!$C$17 &amp; 1000
        ),
        IFERROR(MIN(
            IF(
                (TRIM(INDIRECT("'" &amp; 'Hulp (overig)'!$C$16 &amp; "'!B1:B1000")) = TEXT(P210,"0")) *
                (ROW(INDIRECT("'" &amp; 'Hulp (overig)'!$C$16 &amp; "'!B1:B1000")) &gt;= MATCH(
                    P208,
                    INDIRECT("'" &amp; 'Hulp (overig)'!$C$16 &amp; "'!A1:A1000"),
                    0
                )) *
                IF(
                    Q208="",
                    1,
                    (ROW(INDIRECT("'" &amp; 'Hulp (overig)'!$C$16 &amp; "'!B1:B1000")) &lt; MATCH(
                        Q208,
                        INDIRECT("'" &amp; 'Hulp (overig)'!$C$16 &amp; "'!A1:A1000"),
                        0
                    ))
                ),
                ROW(INDIRECT("'" &amp; 'Hulp (overig)'!$C$16 &amp; "'!B1:B1000"))
            )
        ),0)
    )=0,"",
INDEX(
        INDIRECT("'" &amp; 'Hulp (overig)'!$C$16 &amp; "'!" &amp;
        'Hulp (overig)'!$C$17 &amp; "1:" &amp; 'Hulp (overig)'!$C$17 &amp; 1000
        ),
        IFERROR(MIN(
            IF(
                (TRIM(INDIRECT("'" &amp; 'Hulp (overig)'!$C$16 &amp; "'!B1:B1000")) = TEXT(P210,"0")) *
                (ROW(INDIRECT("'" &amp; 'Hulp (overig)'!$C$16 &amp; "'!B1:B1000")) &gt;= MATCH(
                    P208,
                    INDIRECT("'" &amp; 'Hulp (overig)'!$C$16 &amp; "'!A1:A1000"),
                    0
                )) *
                IF(
                    Q208="",
                    1,
                    (ROW(INDIRECT("'" &amp; 'Hulp (overig)'!$C$16 &amp; "'!B1:B1000")) &lt; MATCH(
                        Q208,
                        INDIRECT("'" &amp; 'Hulp (overig)'!$C$16 &amp; "'!A1:A1000"),
                        0
                    ))
                ),
                ROW(INDIRECT("'" &amp; 'Hulp (overig)'!$C$16 &amp; "'!B1:B1000"))
            )
        ),0)
    ))
))))</f>
        <v>#VALUE!</v>
      </c>
      <c r="Q211" s="425" t="e" cm="1">
        <f t="array" aca="1" ref="Q211" ca="1">IF($BF211, IF(Q208="","",
   INDEX(
      INDIRECT("'" &amp; 'Hulp (CAO''s)'!$AE$8 &amp; "'!" &amp;
               'Hulp (overig)'!$C$17 &amp; "1:" &amp;
               'Hulp (overig)'!$C$17 &amp; "1000"),
      MATCH(
         Q208,
         INDIRECT("'" &amp; 'Hulp (CAO''s)'!$AE$8 &amp; "'!A1:A1000"),
         0
      )
   )
), IF($D209="Gebruik % van maximum salaris",
IF(
    OR(Q208="",Q209=""),
    "",
    MAX(
        INDIRECT(
            "'" &amp; 'Hulp (overig)'!$C$16 &amp; "'!" &amp;
            'Hulp (overig)'!$C$17 &amp;
            MATCH(Q208, INDIRECT("'" &amp; 'Hulp (overig)'!$C$16 &amp; "'!A1:A1000"), 0) &amp;
            ":" &amp;
            'Hulp (overig)'!$C$17 &amp;
LOOKUP(
    2,
    1 / (
        (ROW(INDIRECT("'" &amp; 'Hulp (overig)'!$C$16 &amp; "'!B1:B1000")) &lt;
            IF(R208&lt;&gt;"",
               MATCH(R208, INDIRECT("'" &amp; 'Hulp (overig)'!$C$16 &amp; "'!A1:A1000"),0),
               1000
            )
        ) *
        (LEFT(TRIM(INDIRECT("'" &amp; 'Hulp (overig)'!$C$16 &amp; "'!B1:B1000")),1) &lt;&gt; "u")
    ),
    ROW(INDIRECT("'" &amp; 'Hulp (overig)'!$C$16 &amp; "'!B1:B1000"))
)
        )
    ) * Q209
),
IF(Q210="","",
IF(
    IFERROR(MIN(
        IF(
            (TRIM(INDIRECT("'" &amp; 'Hulp (overig)'!$C$16 &amp; "'!B1:B1000")) = TEXT(Q210,"0")) *
            (ROW(INDIRECT("'" &amp; 'Hulp (overig)'!$C$16 &amp; "'!B1:B1000")) &gt;= MATCH(
                Q208,
                INDIRECT("'" &amp; 'Hulp (overig)'!$C$16 &amp; "'!A1:A1000"),
                0
            )) *
            IF(
                R208="",
                1,
                (ROW(INDIRECT("'" &amp; 'Hulp (overig)'!$C$16 &amp; "'!B1:B1000")) &lt; MATCH(
                    R208,
                    INDIRECT("'" &amp; 'Hulp (overig)'!$C$16 &amp; "'!A1:A1000"),
                    0
                ))
            ),
            ROW(INDIRECT("'" &amp; 'Hulp (overig)'!$C$16 &amp; "'!B1:B1000"))
        )
    ),0) &lt; 1,
    "",
    IF(INDEX(
        INDIRECT("'" &amp; 'Hulp (overig)'!$C$16 &amp; "'!" &amp;
        'Hulp (overig)'!$C$17 &amp; "1:" &amp; 'Hulp (overig)'!$C$17 &amp; 1000
        ),
        IFERROR(MIN(
            IF(
                (TRIM(INDIRECT("'" &amp; 'Hulp (overig)'!$C$16 &amp; "'!B1:B1000")) = TEXT(Q210,"0")) *
                (ROW(INDIRECT("'" &amp; 'Hulp (overig)'!$C$16 &amp; "'!B1:B1000")) &gt;= MATCH(
                    Q208,
                    INDIRECT("'" &amp; 'Hulp (overig)'!$C$16 &amp; "'!A1:A1000"),
                    0
                )) *
                IF(
                    R208="",
                    1,
                    (ROW(INDIRECT("'" &amp; 'Hulp (overig)'!$C$16 &amp; "'!B1:B1000")) &lt; MATCH(
                        R208,
                        INDIRECT("'" &amp; 'Hulp (overig)'!$C$16 &amp; "'!A1:A1000"),
                        0
                    ))
                ),
                ROW(INDIRECT("'" &amp; 'Hulp (overig)'!$C$16 &amp; "'!B1:B1000"))
            )
        ),0)
    )=0,"",
INDEX(
        INDIRECT("'" &amp; 'Hulp (overig)'!$C$16 &amp; "'!" &amp;
        'Hulp (overig)'!$C$17 &amp; "1:" &amp; 'Hulp (overig)'!$C$17 &amp; 1000
        ),
        IFERROR(MIN(
            IF(
                (TRIM(INDIRECT("'" &amp; 'Hulp (overig)'!$C$16 &amp; "'!B1:B1000")) = TEXT(Q210,"0")) *
                (ROW(INDIRECT("'" &amp; 'Hulp (overig)'!$C$16 &amp; "'!B1:B1000")) &gt;= MATCH(
                    Q208,
                    INDIRECT("'" &amp; 'Hulp (overig)'!$C$16 &amp; "'!A1:A1000"),
                    0
                )) *
                IF(
                    R208="",
                    1,
                    (ROW(INDIRECT("'" &amp; 'Hulp (overig)'!$C$16 &amp; "'!B1:B1000")) &lt; MATCH(
                        R208,
                        INDIRECT("'" &amp; 'Hulp (overig)'!$C$16 &amp; "'!A1:A1000"),
                        0
                    ))
                ),
                ROW(INDIRECT("'" &amp; 'Hulp (overig)'!$C$16 &amp; "'!B1:B1000"))
            )
        ),0)
    ))
))))</f>
        <v>#VALUE!</v>
      </c>
      <c r="R211" s="425" t="e" cm="1">
        <f t="array" aca="1" ref="R211" ca="1">IF($BF211, IF(R208="","",
   INDEX(
      INDIRECT("'" &amp; 'Hulp (CAO''s)'!$AE$8 &amp; "'!" &amp;
               'Hulp (overig)'!$C$17 &amp; "1:" &amp;
               'Hulp (overig)'!$C$17 &amp; "1000"),
      MATCH(
         R208,
         INDIRECT("'" &amp; 'Hulp (CAO''s)'!$AE$8 &amp; "'!A1:A1000"),
         0
      )
   )
), IF($D209="Gebruik % van maximum salaris",
IF(
    OR(R208="",R209=""),
    "",
    MAX(
        INDIRECT(
            "'" &amp; 'Hulp (overig)'!$C$16 &amp; "'!" &amp;
            'Hulp (overig)'!$C$17 &amp;
            MATCH(R208, INDIRECT("'" &amp; 'Hulp (overig)'!$C$16 &amp; "'!A1:A1000"), 0) &amp;
            ":" &amp;
            'Hulp (overig)'!$C$17 &amp;
LOOKUP(
    2,
    1 / (
        (ROW(INDIRECT("'" &amp; 'Hulp (overig)'!$C$16 &amp; "'!B1:B1000")) &lt;
            IF(S208&lt;&gt;"",
               MATCH(S208, INDIRECT("'" &amp; 'Hulp (overig)'!$C$16 &amp; "'!A1:A1000"),0),
               1000
            )
        ) *
        (LEFT(TRIM(INDIRECT("'" &amp; 'Hulp (overig)'!$C$16 &amp; "'!B1:B1000")),1) &lt;&gt; "u")
    ),
    ROW(INDIRECT("'" &amp; 'Hulp (overig)'!$C$16 &amp; "'!B1:B1000"))
)
        )
    ) * R209
),
IF(R210="","",
IF(
    IFERROR(MIN(
        IF(
            (TRIM(INDIRECT("'" &amp; 'Hulp (overig)'!$C$16 &amp; "'!B1:B1000")) = TEXT(R210,"0")) *
            (ROW(INDIRECT("'" &amp; 'Hulp (overig)'!$C$16 &amp; "'!B1:B1000")) &gt;= MATCH(
                R208,
                INDIRECT("'" &amp; 'Hulp (overig)'!$C$16 &amp; "'!A1:A1000"),
                0
            )) *
            IF(
                S208="",
                1,
                (ROW(INDIRECT("'" &amp; 'Hulp (overig)'!$C$16 &amp; "'!B1:B1000")) &lt; MATCH(
                    S208,
                    INDIRECT("'" &amp; 'Hulp (overig)'!$C$16 &amp; "'!A1:A1000"),
                    0
                ))
            ),
            ROW(INDIRECT("'" &amp; 'Hulp (overig)'!$C$16 &amp; "'!B1:B1000"))
        )
    ),0) &lt; 1,
    "",
    IF(INDEX(
        INDIRECT("'" &amp; 'Hulp (overig)'!$C$16 &amp; "'!" &amp;
        'Hulp (overig)'!$C$17 &amp; "1:" &amp; 'Hulp (overig)'!$C$17 &amp; 1000
        ),
        IFERROR(MIN(
            IF(
                (TRIM(INDIRECT("'" &amp; 'Hulp (overig)'!$C$16 &amp; "'!B1:B1000")) = TEXT(R210,"0")) *
                (ROW(INDIRECT("'" &amp; 'Hulp (overig)'!$C$16 &amp; "'!B1:B1000")) &gt;= MATCH(
                    R208,
                    INDIRECT("'" &amp; 'Hulp (overig)'!$C$16 &amp; "'!A1:A1000"),
                    0
                )) *
                IF(
                    S208="",
                    1,
                    (ROW(INDIRECT("'" &amp; 'Hulp (overig)'!$C$16 &amp; "'!B1:B1000")) &lt; MATCH(
                        S208,
                        INDIRECT("'" &amp; 'Hulp (overig)'!$C$16 &amp; "'!A1:A1000"),
                        0
                    ))
                ),
                ROW(INDIRECT("'" &amp; 'Hulp (overig)'!$C$16 &amp; "'!B1:B1000"))
            )
        ),0)
    )=0,"",
INDEX(
        INDIRECT("'" &amp; 'Hulp (overig)'!$C$16 &amp; "'!" &amp;
        'Hulp (overig)'!$C$17 &amp; "1:" &amp; 'Hulp (overig)'!$C$17 &amp; 1000
        ),
        IFERROR(MIN(
            IF(
                (TRIM(INDIRECT("'" &amp; 'Hulp (overig)'!$C$16 &amp; "'!B1:B1000")) = TEXT(R210,"0")) *
                (ROW(INDIRECT("'" &amp; 'Hulp (overig)'!$C$16 &amp; "'!B1:B1000")) &gt;= MATCH(
                    R208,
                    INDIRECT("'" &amp; 'Hulp (overig)'!$C$16 &amp; "'!A1:A1000"),
                    0
                )) *
                IF(
                    S208="",
                    1,
                    (ROW(INDIRECT("'" &amp; 'Hulp (overig)'!$C$16 &amp; "'!B1:B1000")) &lt; MATCH(
                        S208,
                        INDIRECT("'" &amp; 'Hulp (overig)'!$C$16 &amp; "'!A1:A1000"),
                        0
                    ))
                ),
                ROW(INDIRECT("'" &amp; 'Hulp (overig)'!$C$16 &amp; "'!B1:B1000"))
            )
        ),0)
    ))
))))</f>
        <v>#VALUE!</v>
      </c>
      <c r="S211" s="425" t="e" cm="1">
        <f t="array" aca="1" ref="S211" ca="1">IF($BF211, IF(S208="","",
   INDEX(
      INDIRECT("'" &amp; 'Hulp (CAO''s)'!$AE$8 &amp; "'!" &amp;
               'Hulp (overig)'!$C$17 &amp; "1:" &amp;
               'Hulp (overig)'!$C$17 &amp; "1000"),
      MATCH(
         S208,
         INDIRECT("'" &amp; 'Hulp (CAO''s)'!$AE$8 &amp; "'!A1:A1000"),
         0
      )
   )
), IF($D209="Gebruik % van maximum salaris",
IF(
    OR(S208="",S209=""),
    "",
    MAX(
        INDIRECT(
            "'" &amp; 'Hulp (overig)'!$C$16 &amp; "'!" &amp;
            'Hulp (overig)'!$C$17 &amp;
            MATCH(S208, INDIRECT("'" &amp; 'Hulp (overig)'!$C$16 &amp; "'!A1:A1000"), 0) &amp;
            ":" &amp;
            'Hulp (overig)'!$C$17 &amp;
LOOKUP(
    2,
    1 / (
        (ROW(INDIRECT("'" &amp; 'Hulp (overig)'!$C$16 &amp; "'!B1:B1000")) &lt;
            IF(T208&lt;&gt;"",
               MATCH(T208, INDIRECT("'" &amp; 'Hulp (overig)'!$C$16 &amp; "'!A1:A1000"),0),
               1000
            )
        ) *
        (LEFT(TRIM(INDIRECT("'" &amp; 'Hulp (overig)'!$C$16 &amp; "'!B1:B1000")),1) &lt;&gt; "u")
    ),
    ROW(INDIRECT("'" &amp; 'Hulp (overig)'!$C$16 &amp; "'!B1:B1000"))
)
        )
    ) * S209
),
IF(S210="","",
IF(
    IFERROR(MIN(
        IF(
            (TRIM(INDIRECT("'" &amp; 'Hulp (overig)'!$C$16 &amp; "'!B1:B1000")) = TEXT(S210,"0")) *
            (ROW(INDIRECT("'" &amp; 'Hulp (overig)'!$C$16 &amp; "'!B1:B1000")) &gt;= MATCH(
                S208,
                INDIRECT("'" &amp; 'Hulp (overig)'!$C$16 &amp; "'!A1:A1000"),
                0
            )) *
            IF(
                T208="",
                1,
                (ROW(INDIRECT("'" &amp; 'Hulp (overig)'!$C$16 &amp; "'!B1:B1000")) &lt; MATCH(
                    T208,
                    INDIRECT("'" &amp; 'Hulp (overig)'!$C$16 &amp; "'!A1:A1000"),
                    0
                ))
            ),
            ROW(INDIRECT("'" &amp; 'Hulp (overig)'!$C$16 &amp; "'!B1:B1000"))
        )
    ),0) &lt; 1,
    "",
    IF(INDEX(
        INDIRECT("'" &amp; 'Hulp (overig)'!$C$16 &amp; "'!" &amp;
        'Hulp (overig)'!$C$17 &amp; "1:" &amp; 'Hulp (overig)'!$C$17 &amp; 1000
        ),
        IFERROR(MIN(
            IF(
                (TRIM(INDIRECT("'" &amp; 'Hulp (overig)'!$C$16 &amp; "'!B1:B1000")) = TEXT(S210,"0")) *
                (ROW(INDIRECT("'" &amp; 'Hulp (overig)'!$C$16 &amp; "'!B1:B1000")) &gt;= MATCH(
                    S208,
                    INDIRECT("'" &amp; 'Hulp (overig)'!$C$16 &amp; "'!A1:A1000"),
                    0
                )) *
                IF(
                    T208="",
                    1,
                    (ROW(INDIRECT("'" &amp; 'Hulp (overig)'!$C$16 &amp; "'!B1:B1000")) &lt; MATCH(
                        T208,
                        INDIRECT("'" &amp; 'Hulp (overig)'!$C$16 &amp; "'!A1:A1000"),
                        0
                    ))
                ),
                ROW(INDIRECT("'" &amp; 'Hulp (overig)'!$C$16 &amp; "'!B1:B1000"))
            )
        ),0)
    )=0,"",
INDEX(
        INDIRECT("'" &amp; 'Hulp (overig)'!$C$16 &amp; "'!" &amp;
        'Hulp (overig)'!$C$17 &amp; "1:" &amp; 'Hulp (overig)'!$C$17 &amp; 1000
        ),
        IFERROR(MIN(
            IF(
                (TRIM(INDIRECT("'" &amp; 'Hulp (overig)'!$C$16 &amp; "'!B1:B1000")) = TEXT(S210,"0")) *
                (ROW(INDIRECT("'" &amp; 'Hulp (overig)'!$C$16 &amp; "'!B1:B1000")) &gt;= MATCH(
                    S208,
                    INDIRECT("'" &amp; 'Hulp (overig)'!$C$16 &amp; "'!A1:A1000"),
                    0
                )) *
                IF(
                    T208="",
                    1,
                    (ROW(INDIRECT("'" &amp; 'Hulp (overig)'!$C$16 &amp; "'!B1:B1000")) &lt; MATCH(
                        T208,
                        INDIRECT("'" &amp; 'Hulp (overig)'!$C$16 &amp; "'!A1:A1000"),
                        0
                    ))
                ),
                ROW(INDIRECT("'" &amp; 'Hulp (overig)'!$C$16 &amp; "'!B1:B1000"))
            )
        ),0)
    ))
))))</f>
        <v>#VALUE!</v>
      </c>
      <c r="T211" s="425" t="e" cm="1">
        <f t="array" aca="1" ref="T211" ca="1">IF($BF211, IF(T208="","",
   INDEX(
      INDIRECT("'" &amp; 'Hulp (CAO''s)'!$AE$8 &amp; "'!" &amp;
               'Hulp (overig)'!$C$17 &amp; "1:" &amp;
               'Hulp (overig)'!$C$17 &amp; "1000"),
      MATCH(
         T208,
         INDIRECT("'" &amp; 'Hulp (CAO''s)'!$AE$8 &amp; "'!A1:A1000"),
         0
      )
   )
), IF($D209="Gebruik % van maximum salaris",
IF(
    OR(T208="",T209=""),
    "",
    MAX(
        INDIRECT(
            "'" &amp; 'Hulp (overig)'!$C$16 &amp; "'!" &amp;
            'Hulp (overig)'!$C$17 &amp;
            MATCH(T208, INDIRECT("'" &amp; 'Hulp (overig)'!$C$16 &amp; "'!A1:A1000"), 0) &amp;
            ":" &amp;
            'Hulp (overig)'!$C$17 &amp;
LOOKUP(
    2,
    1 / (
        (ROW(INDIRECT("'" &amp; 'Hulp (overig)'!$C$16 &amp; "'!B1:B1000")) &lt;
            IF(U208&lt;&gt;"",
               MATCH(U208, INDIRECT("'" &amp; 'Hulp (overig)'!$C$16 &amp; "'!A1:A1000"),0),
               1000
            )
        ) *
        (LEFT(TRIM(INDIRECT("'" &amp; 'Hulp (overig)'!$C$16 &amp; "'!B1:B1000")),1) &lt;&gt; "u")
    ),
    ROW(INDIRECT("'" &amp; 'Hulp (overig)'!$C$16 &amp; "'!B1:B1000"))
)
        )
    ) * T209
),
IF(T210="","",
IF(
    IFERROR(MIN(
        IF(
            (TRIM(INDIRECT("'" &amp; 'Hulp (overig)'!$C$16 &amp; "'!B1:B1000")) = TEXT(T210,"0")) *
            (ROW(INDIRECT("'" &amp; 'Hulp (overig)'!$C$16 &amp; "'!B1:B1000")) &gt;= MATCH(
                T208,
                INDIRECT("'" &amp; 'Hulp (overig)'!$C$16 &amp; "'!A1:A1000"),
                0
            )) *
            IF(
                U208="",
                1,
                (ROW(INDIRECT("'" &amp; 'Hulp (overig)'!$C$16 &amp; "'!B1:B1000")) &lt; MATCH(
                    U208,
                    INDIRECT("'" &amp; 'Hulp (overig)'!$C$16 &amp; "'!A1:A1000"),
                    0
                ))
            ),
            ROW(INDIRECT("'" &amp; 'Hulp (overig)'!$C$16 &amp; "'!B1:B1000"))
        )
    ),0) &lt; 1,
    "",
    IF(INDEX(
        INDIRECT("'" &amp; 'Hulp (overig)'!$C$16 &amp; "'!" &amp;
        'Hulp (overig)'!$C$17 &amp; "1:" &amp; 'Hulp (overig)'!$C$17 &amp; 1000
        ),
        IFERROR(MIN(
            IF(
                (TRIM(INDIRECT("'" &amp; 'Hulp (overig)'!$C$16 &amp; "'!B1:B1000")) = TEXT(T210,"0")) *
                (ROW(INDIRECT("'" &amp; 'Hulp (overig)'!$C$16 &amp; "'!B1:B1000")) &gt;= MATCH(
                    T208,
                    INDIRECT("'" &amp; 'Hulp (overig)'!$C$16 &amp; "'!A1:A1000"),
                    0
                )) *
                IF(
                    U208="",
                    1,
                    (ROW(INDIRECT("'" &amp; 'Hulp (overig)'!$C$16 &amp; "'!B1:B1000")) &lt; MATCH(
                        U208,
                        INDIRECT("'" &amp; 'Hulp (overig)'!$C$16 &amp; "'!A1:A1000"),
                        0
                    ))
                ),
                ROW(INDIRECT("'" &amp; 'Hulp (overig)'!$C$16 &amp; "'!B1:B1000"))
            )
        ),0)
    )=0,"",
INDEX(
        INDIRECT("'" &amp; 'Hulp (overig)'!$C$16 &amp; "'!" &amp;
        'Hulp (overig)'!$C$17 &amp; "1:" &amp; 'Hulp (overig)'!$C$17 &amp; 1000
        ),
        IFERROR(MIN(
            IF(
                (TRIM(INDIRECT("'" &amp; 'Hulp (overig)'!$C$16 &amp; "'!B1:B1000")) = TEXT(T210,"0")) *
                (ROW(INDIRECT("'" &amp; 'Hulp (overig)'!$C$16 &amp; "'!B1:B1000")) &gt;= MATCH(
                    T208,
                    INDIRECT("'" &amp; 'Hulp (overig)'!$C$16 &amp; "'!A1:A1000"),
                    0
                )) *
                IF(
                    U208="",
                    1,
                    (ROW(INDIRECT("'" &amp; 'Hulp (overig)'!$C$16 &amp; "'!B1:B1000")) &lt; MATCH(
                        U208,
                        INDIRECT("'" &amp; 'Hulp (overig)'!$C$16 &amp; "'!A1:A1000"),
                        0
                    ))
                ),
                ROW(INDIRECT("'" &amp; 'Hulp (overig)'!$C$16 &amp; "'!B1:B1000"))
            )
        ),0)
    ))
))))</f>
        <v>#VALUE!</v>
      </c>
      <c r="U211" s="723" t="e" cm="1">
        <f t="array" aca="1" ref="U211" ca="1">IF($BF211, IF(U208="","",
   INDEX(
      INDIRECT("'" &amp; 'Hulp (CAO''s)'!$AE$8 &amp; "'!" &amp;
               'Hulp (overig)'!$C$17 &amp; "1:" &amp;
               'Hulp (overig)'!$C$17 &amp; "1000"),
      MATCH(
         U208,
         INDIRECT("'" &amp; 'Hulp (CAO''s)'!$AE$8 &amp; "'!A1:A1000"),
         0
      )
   )
), IF($D209="Gebruik % van maximum salaris",
IF(
    OR(U208="",U209=""),
    "",
    MAX(
        INDIRECT(
            "'" &amp; 'Hulp (overig)'!$C$16 &amp; "'!" &amp;
            'Hulp (overig)'!$C$17 &amp;
            MATCH(U208, INDIRECT("'" &amp; 'Hulp (overig)'!$C$16 &amp; "'!A1:A1000"), 0) &amp;
            ":" &amp;
            'Hulp (overig)'!$C$17 &amp;
LOOKUP(
    2,
    1 / (
        (ROW(INDIRECT("'" &amp; 'Hulp (overig)'!$C$16 &amp; "'!B1:B1000")) &lt;
            IF(V208&lt;&gt;"",
               MATCH(V208, INDIRECT("'" &amp; 'Hulp (overig)'!$C$16 &amp; "'!A1:A1000"),0),
               1000
            )
        ) *
        (LEFT(TRIM(INDIRECT("'" &amp; 'Hulp (overig)'!$C$16 &amp; "'!B1:B1000")),1) &lt;&gt; "u")
    ),
    ROW(INDIRECT("'" &amp; 'Hulp (overig)'!$C$16 &amp; "'!B1:B1000"))
)
        )
    ) * U209
),
IF(U210="","",
IF(
    IFERROR(MIN(
        IF(
            (TRIM(INDIRECT("'" &amp; 'Hulp (overig)'!$C$16 &amp; "'!B1:B1000")) = TEXT(U210,"0")) *
            (ROW(INDIRECT("'" &amp; 'Hulp (overig)'!$C$16 &amp; "'!B1:B1000")) &gt;= MATCH(
                U208,
                INDIRECT("'" &amp; 'Hulp (overig)'!$C$16 &amp; "'!A1:A1000"),
                0
            )) *
            IF(
                V208="",
                1,
                (ROW(INDIRECT("'" &amp; 'Hulp (overig)'!$C$16 &amp; "'!B1:B1000")) &lt; MATCH(
                    V208,
                    INDIRECT("'" &amp; 'Hulp (overig)'!$C$16 &amp; "'!A1:A1000"),
                    0
                ))
            ),
            ROW(INDIRECT("'" &amp; 'Hulp (overig)'!$C$16 &amp; "'!B1:B1000"))
        )
    ),0) &lt; 1,
    "",
    IF(INDEX(
        INDIRECT("'" &amp; 'Hulp (overig)'!$C$16 &amp; "'!" &amp;
        'Hulp (overig)'!$C$17 &amp; "1:" &amp; 'Hulp (overig)'!$C$17 &amp; 1000
        ),
        IFERROR(MIN(
            IF(
                (TRIM(INDIRECT("'" &amp; 'Hulp (overig)'!$C$16 &amp; "'!B1:B1000")) = TEXT(U210,"0")) *
                (ROW(INDIRECT("'" &amp; 'Hulp (overig)'!$C$16 &amp; "'!B1:B1000")) &gt;= MATCH(
                    U208,
                    INDIRECT("'" &amp; 'Hulp (overig)'!$C$16 &amp; "'!A1:A1000"),
                    0
                )) *
                IF(
                    V208="",
                    1,
                    (ROW(INDIRECT("'" &amp; 'Hulp (overig)'!$C$16 &amp; "'!B1:B1000")) &lt; MATCH(
                        V208,
                        INDIRECT("'" &amp; 'Hulp (overig)'!$C$16 &amp; "'!A1:A1000"),
                        0
                    ))
                ),
                ROW(INDIRECT("'" &amp; 'Hulp (overig)'!$C$16 &amp; "'!B1:B1000"))
            )
        ),0)
    )=0,"",
INDEX(
        INDIRECT("'" &amp; 'Hulp (overig)'!$C$16 &amp; "'!" &amp;
        'Hulp (overig)'!$C$17 &amp; "1:" &amp; 'Hulp (overig)'!$C$17 &amp; 1000
        ),
        IFERROR(MIN(
            IF(
                (TRIM(INDIRECT("'" &amp; 'Hulp (overig)'!$C$16 &amp; "'!B1:B1000")) = TEXT(U210,"0")) *
                (ROW(INDIRECT("'" &amp; 'Hulp (overig)'!$C$16 &amp; "'!B1:B1000")) &gt;= MATCH(
                    U208,
                    INDIRECT("'" &amp; 'Hulp (overig)'!$C$16 &amp; "'!A1:A1000"),
                    0
                )) *
                IF(
                    V208="",
                    1,
                    (ROW(INDIRECT("'" &amp; 'Hulp (overig)'!$C$16 &amp; "'!B1:B1000")) &lt; MATCH(
                        V208,
                        INDIRECT("'" &amp; 'Hulp (overig)'!$C$16 &amp; "'!A1:A1000"),
                        0
                    ))
                ),
                ROW(INDIRECT("'" &amp; 'Hulp (overig)'!$C$16 &amp; "'!B1:B1000"))
            )
        ),0)
    ))
))))</f>
        <v>#VALUE!</v>
      </c>
      <c r="V211" s="413" t="str" cm="1">
        <f t="array" ref="V211">IF(SUM(F212:U212)=0,"",
IF(SUM(F211:U211)=0,"",
IF(SUMPRODUCT((F212:U212&lt;&gt;0)*(F211:U211=""))&gt;0,"",
(
   SUMPRODUCT(
      IF(F211:U211="",0,F211:U211),
      IF(F212:U212="",0,F212:U212) / SUM(F212:U212)
   )
))))</f>
        <v/>
      </c>
      <c r="W211" s="418"/>
      <c r="X211" s="620"/>
      <c r="Y211" s="419" t="str">
        <f ca="1">IF(B208="","",
        IF(INDIRECT("'Hulp (control forms)'!C" &amp; (13 + INT((ROW()-ROW($B$5))/7))),
            IF(X211="","",X211),
            IF(V211="","",V211)
    )
)</f>
        <v/>
      </c>
      <c r="Z211" s="333"/>
      <c r="AA211" s="771"/>
      <c r="AB211" s="770"/>
      <c r="AC211" s="289"/>
      <c r="AD211" s="289"/>
      <c r="AE211" s="289"/>
      <c r="AF211" s="289"/>
      <c r="AG211" s="289"/>
      <c r="AH211" s="289"/>
      <c r="AI211" s="289"/>
      <c r="AJ211" s="289"/>
      <c r="AK211" s="289"/>
      <c r="AL211" s="289"/>
      <c r="AM211" s="289"/>
      <c r="AN211" s="289"/>
      <c r="AO211" s="289"/>
      <c r="AP211" s="289"/>
      <c r="AQ211" s="289"/>
      <c r="AR211" s="289"/>
      <c r="AS211" s="289"/>
      <c r="AT211" s="289"/>
      <c r="AU211" s="289"/>
      <c r="AV211" s="289"/>
      <c r="AW211" s="289"/>
      <c r="AX211" s="289"/>
      <c r="AY211" s="289"/>
      <c r="AZ211" s="289"/>
      <c r="BA211" cm="1">
        <f t="array" aca="1" ref="BA211" ca="1">IF(
   SUM(Y211)=0,
   1,
   IF(
      N(INDIRECT("'Hulp (control forms)'!C"&amp;(13+INT((ROW()-ROW($B$5))/7))))&lt;&gt;0,
      MIN(1,
      ('Hulp (overig)'!$C$6/12) /
      (Y211 * BC211 + BD211)),
      MIN(1,
         IF(
            SUM(F211:U211)=0,
            "",
            SUMPRODUCT(
               IF(
                  (IF(F211:U211="",0,F211:U211) * BC211) + BD211
                  &gt; 'Hulp (overig)'!$C$6/12,
                  'Hulp (overig)'!$C$6/12,
                  (IF(F211:U211="",0,F211:U211) * BC211) + BD211
               ),
               IF(F212:U212="",0,F212:U212) / SUM(F212:U212)
            )
         ) /
         ((Y211 * BC211) + BD211)
      )
   )
)</f>
        <v>1</v>
      </c>
      <c r="BB211" cm="1">
        <f t="array" aca="1" ref="BB211" ca="1">IF(
   SUM(Y211)=0,
   1,
   IF(
      N(INDIRECT("'Hulp (control forms)'!C"&amp;(13+INT((ROW()-ROW($B$5))/7))))&lt;&gt;0,
      MIN('Hulp (overig)'!$C$5/12,
      (Y211 * BC211) + BD211) * 12,
         IF(
            SUM(F211:U211)=0,
            "",
            SUMPRODUCT(
               IF(
                  (IF(F211:U211="",0,F211:U211) * BC211) + BD211
                  &gt; 'Hulp (overig)'!$C$5/12,
                  'Hulp (overig)'!$C$5/12,
                  (IF(F211:U211="",0,F211:U211) * BC211) + BD211
               ),
               IF(F212:U212="",0,F212:U212) / SUM(F212:U212)
            )
         ) * 12
   )
)</f>
        <v>1</v>
      </c>
      <c r="BC211" s="287" cm="1">
        <f t="array" aca="1" ref="BC211" ca="1">IFERROR(
   (INDEX('2. Output kostprijs'!$24:$24, 5 + 2*INT((ROW()-8)/7))
    - SUM(INDEX('2. Output kostprijs'!$23:$23, 5 + 2*INT((ROW()-8)/7))))
   / INDEX('2. Output kostprijs'!$19:$19, 5 + 2*INT((ROW()-8)/7)),
   1
)</f>
        <v>1</v>
      </c>
      <c r="BD211" s="287" cm="1">
        <f t="array" aca="1" ref="BD211" ca="1">IFERROR(
   (INDEX('2. Output kostprijs'!$23:$23, 5 + 2*INT((ROW()-8)/7))
    * INDEX('2. Output kostprijs'!$18:$18, 5 + 2*INT((ROW()-8)/7))
   ) / 12,
   0
)</f>
        <v>0</v>
      </c>
      <c r="BE211" t="b">
        <f ca="1">NOT(AND(B208&lt;&gt;"",Y211=""))</f>
        <v>1</v>
      </c>
      <c r="BF211" t="str" cm="1">
        <f t="array" aca="1" ref="BF211" ca="1">INDIRECT("'1a. Input organisatieniveau'!$AD" &amp; 7 + INT((ROW()-ROW($F$8))/7))</f>
        <v/>
      </c>
      <c r="BG211" t="b" cm="1">
        <f t="array" ref="BG211">IFERROR(INDEX('Hulp (control forms)'!C:C, 13 + INT((ROW(A204)-1)/7)),FALSE)</f>
        <v>0</v>
      </c>
    </row>
    <row r="212" spans="1:59" ht="16.05" customHeight="1" thickBot="1" x14ac:dyDescent="0.5">
      <c r="A212" s="289"/>
      <c r="B212" s="343"/>
      <c r="C212" s="325" t="s">
        <v>779</v>
      </c>
      <c r="D212" s="688" t="s">
        <v>60</v>
      </c>
      <c r="E212" s="433" t="s">
        <v>59</v>
      </c>
      <c r="F212" s="624"/>
      <c r="G212" s="624"/>
      <c r="H212" s="624"/>
      <c r="I212" s="624"/>
      <c r="J212" s="624"/>
      <c r="K212" s="624"/>
      <c r="L212" s="624"/>
      <c r="M212" s="624"/>
      <c r="N212" s="624"/>
      <c r="O212" s="624"/>
      <c r="P212" s="624"/>
      <c r="Q212" s="624"/>
      <c r="R212" s="624"/>
      <c r="S212" s="624"/>
      <c r="T212" s="624"/>
      <c r="U212" s="625"/>
      <c r="V212" s="420" t="str">
        <f ca="1">IF($B208="","",IF($D212="Aandeel in %",
   "Totaal: "&amp;SUM(F212:U212)*100&amp;"%",
   "Totaal: "&amp;SUM(F212:U212)&amp;" uur"
))</f>
        <v/>
      </c>
      <c r="W212" s="294"/>
      <c r="X212" s="621"/>
      <c r="Y212" s="328"/>
      <c r="Z212" s="329"/>
      <c r="AA212" s="289"/>
      <c r="AB212" s="289"/>
      <c r="AC212" s="289"/>
      <c r="AD212" s="289"/>
      <c r="AE212" s="289"/>
      <c r="AF212" s="289"/>
      <c r="AG212" s="289"/>
      <c r="AH212" s="289"/>
      <c r="AI212" s="289"/>
      <c r="AJ212" s="289"/>
      <c r="AK212" s="289"/>
      <c r="AL212" s="289"/>
      <c r="AM212" s="289"/>
      <c r="AN212" s="289"/>
      <c r="AO212" s="289"/>
      <c r="AP212" s="289"/>
      <c r="AQ212" s="289"/>
      <c r="AR212" s="289"/>
      <c r="AS212" s="289"/>
      <c r="AT212" s="289"/>
      <c r="AU212" s="289"/>
      <c r="AV212" s="289"/>
      <c r="AW212" s="289"/>
      <c r="AX212" s="289"/>
      <c r="AY212" s="289"/>
      <c r="AZ212" s="289"/>
    </row>
    <row r="213" spans="1:59" ht="16.05" customHeight="1" thickBot="1" x14ac:dyDescent="0.5">
      <c r="A213" s="289"/>
      <c r="B213" s="343"/>
      <c r="C213" s="326" t="s">
        <v>779</v>
      </c>
      <c r="D213" s="421"/>
      <c r="E213" s="426"/>
      <c r="F213" s="426"/>
      <c r="G213" s="426"/>
      <c r="H213" s="426"/>
      <c r="I213" s="426"/>
      <c r="J213" s="426"/>
      <c r="K213" s="426"/>
      <c r="L213" s="426"/>
      <c r="M213" s="426"/>
      <c r="N213" s="426"/>
      <c r="O213" s="426"/>
      <c r="P213" s="426"/>
      <c r="Q213" s="426"/>
      <c r="R213" s="426"/>
      <c r="S213" s="426"/>
      <c r="T213" s="427"/>
      <c r="U213" s="427"/>
      <c r="V213" s="421"/>
      <c r="W213" s="421"/>
      <c r="X213" s="622"/>
      <c r="Y213" s="421"/>
      <c r="Z213" s="327"/>
      <c r="AA213" s="289"/>
      <c r="AB213" s="289"/>
      <c r="AC213" s="289"/>
      <c r="AD213" s="289"/>
      <c r="AE213" s="289"/>
      <c r="AF213" s="289"/>
      <c r="AG213" s="289"/>
      <c r="AH213" s="289"/>
      <c r="AI213" s="289"/>
      <c r="AJ213" s="289"/>
      <c r="AK213" s="289"/>
      <c r="AL213" s="289"/>
      <c r="AM213" s="289"/>
      <c r="AN213" s="289"/>
      <c r="AO213" s="289"/>
      <c r="AP213" s="289"/>
      <c r="AQ213" s="289"/>
      <c r="AR213" s="289"/>
      <c r="AS213" s="289"/>
      <c r="AT213" s="289"/>
      <c r="AU213" s="289"/>
      <c r="AV213" s="289"/>
      <c r="AW213" s="289"/>
      <c r="AX213" s="289"/>
      <c r="AY213" s="289"/>
      <c r="AZ213" s="289"/>
    </row>
    <row r="214" spans="1:59" ht="16.05" customHeight="1" thickBot="1" x14ac:dyDescent="0.55000000000000004">
      <c r="A214" s="289"/>
      <c r="B214" s="585" t="str">
        <f ca="1">IF(B215="","",
IF(
   OR(
      INDIRECT("'1a. Input organisatieniveau'!AC" &amp; (7 + INT((ROW()-4)/7)))="",
      INDIRECT("'1a. Input organisatieniveau'!AC" &amp; (7 + INT((ROW()-4)/7)))=0
   ),
   "",
   INDIRECT("'1a. Input organisatieniveau'!AC" &amp; (7 + INT((ROW()-4)/7)))
))</f>
        <v/>
      </c>
      <c r="C214" s="324" t="s">
        <v>779</v>
      </c>
      <c r="D214" s="416"/>
      <c r="E214" s="428"/>
      <c r="F214" s="422" t="str">
        <f t="shared" ref="F214:U214" ca="1" si="30">IF($B215="","",
IF($D216="Gebruik % van maximum salaris",
 IF(OR(AND(AND(F215&lt;&gt;"",F216&lt;&gt;""),F218=""),AND(F218="",F219&lt;&gt;"")),"!",""),
 IF(OR(AND(AND(F215&lt;&gt;"",F217&lt;&gt;""),F218=""),AND(F218="",F219&lt;&gt;"")),"!","")))</f>
        <v/>
      </c>
      <c r="G214" s="422" t="str">
        <f t="shared" ca="1" si="30"/>
        <v/>
      </c>
      <c r="H214" s="422" t="str">
        <f t="shared" ca="1" si="30"/>
        <v/>
      </c>
      <c r="I214" s="422" t="str">
        <f t="shared" ca="1" si="30"/>
        <v/>
      </c>
      <c r="J214" s="422" t="str">
        <f t="shared" ca="1" si="30"/>
        <v/>
      </c>
      <c r="K214" s="422" t="str">
        <f t="shared" ca="1" si="30"/>
        <v/>
      </c>
      <c r="L214" s="422" t="str">
        <f t="shared" ca="1" si="30"/>
        <v/>
      </c>
      <c r="M214" s="422" t="str">
        <f t="shared" ca="1" si="30"/>
        <v/>
      </c>
      <c r="N214" s="422" t="str">
        <f t="shared" ca="1" si="30"/>
        <v/>
      </c>
      <c r="O214" s="422" t="str">
        <f t="shared" ca="1" si="30"/>
        <v/>
      </c>
      <c r="P214" s="422" t="str">
        <f t="shared" ca="1" si="30"/>
        <v/>
      </c>
      <c r="Q214" s="422" t="str">
        <f t="shared" ca="1" si="30"/>
        <v/>
      </c>
      <c r="R214" s="422" t="str">
        <f t="shared" ca="1" si="30"/>
        <v/>
      </c>
      <c r="S214" s="422" t="str">
        <f t="shared" ca="1" si="30"/>
        <v/>
      </c>
      <c r="T214" s="422" t="str">
        <f t="shared" ca="1" si="30"/>
        <v/>
      </c>
      <c r="U214" s="422" t="str">
        <f t="shared" ca="1" si="30"/>
        <v/>
      </c>
      <c r="V214" s="416"/>
      <c r="W214" s="416"/>
      <c r="X214" s="619"/>
      <c r="Y214" s="416"/>
      <c r="Z214" s="330"/>
      <c r="AA214" s="354"/>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c r="AW214" s="289"/>
      <c r="AX214" s="289"/>
      <c r="AY214" s="289"/>
      <c r="AZ214" s="289"/>
    </row>
    <row r="215" spans="1:59" ht="16.05" customHeight="1" thickBot="1" x14ac:dyDescent="0.5">
      <c r="A215" s="289"/>
      <c r="B215" s="586" t="str">
        <f ca="1">IF(
   OR(
      INDIRECT("'1a. Input organisatieniveau'!AA" &amp; (7 + INT((ROW()-4)/7)))="",
      INDIRECT("'1a. Input organisatieniveau'!AA" &amp; (7 + INT((ROW()-4)/7)))=0
   ),
   "",
   INDIRECT("'1a. Input organisatieniveau'!AA" &amp; (7 + INT((ROW()-4)/7)))
)</f>
        <v/>
      </c>
      <c r="C215" s="325" t="s">
        <v>779</v>
      </c>
      <c r="D215" s="434"/>
      <c r="E215" s="429" t="s">
        <v>28</v>
      </c>
      <c r="F215" s="423" t="str">
        <f ca="1">IF($B215="", "", IF($BF218, IF('Hulp (CAO''s)'!J$8&lt;&gt;"",'Hulp (CAO''s)'!J$8,""), INDEX('Hulp (CAO''s)'!J$3:J$7, MATCH(TRUE, 'Hulp (CAO''s)'!$D$3:$D$7, 0))))</f>
        <v/>
      </c>
      <c r="G215" s="423" t="str">
        <f ca="1">IF($B215="", "", IF($BF218, IF('Hulp (CAO''s)'!K$8&lt;&gt;"",'Hulp (CAO''s)'!K$8,""), INDEX('Hulp (CAO''s)'!K$3:K$7, MATCH(TRUE, 'Hulp (CAO''s)'!$D$3:$D$7, 0))))</f>
        <v/>
      </c>
      <c r="H215" s="423" t="str">
        <f ca="1">IF($B215="", "", IF($BF218, IF('Hulp (CAO''s)'!L$8&lt;&gt;"",'Hulp (CAO''s)'!L$8,""), INDEX('Hulp (CAO''s)'!L$3:L$7, MATCH(TRUE, 'Hulp (CAO''s)'!$D$3:$D$7, 0))))</f>
        <v/>
      </c>
      <c r="I215" s="423" t="str">
        <f ca="1">IF($B215="", "", IF($BF218, IF('Hulp (CAO''s)'!M$8&lt;&gt;"",'Hulp (CAO''s)'!M$8,""), INDEX('Hulp (CAO''s)'!M$3:M$7, MATCH(TRUE, 'Hulp (CAO''s)'!$D$3:$D$7, 0))))</f>
        <v/>
      </c>
      <c r="J215" s="423" t="str">
        <f ca="1">IF($B215="", "", IF($BF218, IF('Hulp (CAO''s)'!N$8&lt;&gt;"",'Hulp (CAO''s)'!N$8,""), INDEX('Hulp (CAO''s)'!N$3:N$7, MATCH(TRUE, 'Hulp (CAO''s)'!$D$3:$D$7, 0))))</f>
        <v/>
      </c>
      <c r="K215" s="423" t="str">
        <f ca="1">IF($B215="", "", IF($BF218, IF('Hulp (CAO''s)'!O$8&lt;&gt;"",'Hulp (CAO''s)'!O$8,""), INDEX('Hulp (CAO''s)'!O$3:O$7, MATCH(TRUE, 'Hulp (CAO''s)'!$D$3:$D$7, 0))))</f>
        <v/>
      </c>
      <c r="L215" s="423" t="str">
        <f ca="1">IF($B215="", "", IF($BF218, IF('Hulp (CAO''s)'!P$8&lt;&gt;"",'Hulp (CAO''s)'!P$8,""), INDEX('Hulp (CAO''s)'!P$3:P$7, MATCH(TRUE, 'Hulp (CAO''s)'!$D$3:$D$7, 0))))</f>
        <v/>
      </c>
      <c r="M215" s="423" t="str">
        <f ca="1">IF($B215="", "", IF($BF218, IF('Hulp (CAO''s)'!Q$8&lt;&gt;"",'Hulp (CAO''s)'!Q$8,""), INDEX('Hulp (CAO''s)'!Q$3:Q$7, MATCH(TRUE, 'Hulp (CAO''s)'!$D$3:$D$7, 0))))</f>
        <v/>
      </c>
      <c r="N215" s="423" t="str">
        <f ca="1">IF($B215="", "", IF($BF218, IF('Hulp (CAO''s)'!R$8&lt;&gt;"",'Hulp (CAO''s)'!R$8,""), INDEX('Hulp (CAO''s)'!R$3:R$7, MATCH(TRUE, 'Hulp (CAO''s)'!$D$3:$D$7, 0))))</f>
        <v/>
      </c>
      <c r="O215" s="423" t="str">
        <f ca="1">IF($B215="", "", IF($BF218, IF('Hulp (CAO''s)'!S$8&lt;&gt;"",'Hulp (CAO''s)'!S$8,""), INDEX('Hulp (CAO''s)'!S$3:S$7, MATCH(TRUE, 'Hulp (CAO''s)'!$D$3:$D$7, 0))))</f>
        <v/>
      </c>
      <c r="P215" s="423" t="str">
        <f ca="1">IF($B215="", "", IF($BF218, IF('Hulp (CAO''s)'!T$8&lt;&gt;"",'Hulp (CAO''s)'!T$8,""), INDEX('Hulp (CAO''s)'!T$3:T$7, MATCH(TRUE, 'Hulp (CAO''s)'!$D$3:$D$7, 0))))</f>
        <v/>
      </c>
      <c r="Q215" s="423" t="str">
        <f ca="1">IF($B215="", "", IF($BF218, IF('Hulp (CAO''s)'!U$8&lt;&gt;"",'Hulp (CAO''s)'!U$8,""), INDEX('Hulp (CAO''s)'!U$3:U$7, MATCH(TRUE, 'Hulp (CAO''s)'!$D$3:$D$7, 0))))</f>
        <v/>
      </c>
      <c r="R215" s="423" t="str">
        <f ca="1">IF($B215="", "", IF($BF218, IF('Hulp (CAO''s)'!V$8&lt;&gt;"",'Hulp (CAO''s)'!V$8,""), INDEX('Hulp (CAO''s)'!V$3:V$7, MATCH(TRUE, 'Hulp (CAO''s)'!$D$3:$D$7, 0))))</f>
        <v/>
      </c>
      <c r="S215" s="423" t="str">
        <f ca="1">IF($B215="", "", IF($BF218, IF('Hulp (CAO''s)'!W$8&lt;&gt;"",'Hulp (CAO''s)'!W$8,""), INDEX('Hulp (CAO''s)'!W$3:W$7, MATCH(TRUE, 'Hulp (CAO''s)'!$D$3:$D$7, 0))))</f>
        <v/>
      </c>
      <c r="T215" s="423" t="str">
        <f ca="1">IF($B215="", "", IF($BF218, IF('Hulp (CAO''s)'!X$8&lt;&gt;"",'Hulp (CAO''s)'!X$8,""), INDEX('Hulp (CAO''s)'!X$3:X$7, MATCH(TRUE, 'Hulp (CAO''s)'!$D$3:$D$7, 0))))</f>
        <v/>
      </c>
      <c r="U215" s="424" t="str">
        <f ca="1">IF($B215="", "", IF($BF218, IF('Hulp (CAO''s)'!Y$8&lt;&gt;"",'Hulp (CAO''s)'!Y$8,""), INDEX('Hulp (CAO''s)'!Y$3:Y$7, MATCH(TRUE, 'Hulp (CAO''s)'!$D$3:$D$7, 0))))</f>
        <v/>
      </c>
      <c r="V215" s="417"/>
      <c r="W215" s="343"/>
      <c r="X215" s="617"/>
      <c r="Y215" s="343"/>
      <c r="Z215" s="329"/>
      <c r="AA215" s="320"/>
      <c r="AB215" s="289"/>
      <c r="AC215" s="289"/>
      <c r="AD215" s="289"/>
      <c r="AE215" s="289"/>
      <c r="AF215" s="289"/>
      <c r="AG215" s="289"/>
      <c r="AH215" s="289"/>
      <c r="AI215" s="289"/>
      <c r="AJ215" s="289"/>
      <c r="AK215" s="289"/>
      <c r="AL215" s="289"/>
      <c r="AM215" s="289"/>
      <c r="AN215" s="289"/>
      <c r="AO215" s="289"/>
      <c r="AP215" s="289"/>
      <c r="AQ215" s="289"/>
      <c r="AR215" s="289"/>
      <c r="AS215" s="289"/>
      <c r="AT215" s="289"/>
      <c r="AU215" s="289"/>
      <c r="AV215" s="289"/>
      <c r="AW215" s="289"/>
      <c r="AX215" s="289"/>
      <c r="AY215" s="289"/>
      <c r="AZ215" s="289"/>
    </row>
    <row r="216" spans="1:59" ht="16.05" customHeight="1" x14ac:dyDescent="0.45">
      <c r="A216" s="289"/>
      <c r="B216" s="343"/>
      <c r="C216" s="325" t="s">
        <v>779</v>
      </c>
      <c r="D216" s="772" t="s">
        <v>772</v>
      </c>
      <c r="E216" s="430" t="e">
        <f ca="1">IF($BF218, "", "% t.o.v. max salaris in de schaal")</f>
        <v>#VALUE!</v>
      </c>
      <c r="F216" s="615"/>
      <c r="G216" s="615"/>
      <c r="H216" s="615"/>
      <c r="I216" s="615"/>
      <c r="J216" s="615"/>
      <c r="K216" s="615"/>
      <c r="L216" s="615"/>
      <c r="M216" s="615"/>
      <c r="N216" s="615"/>
      <c r="O216" s="615"/>
      <c r="P216" s="615"/>
      <c r="Q216" s="615"/>
      <c r="R216" s="615"/>
      <c r="S216" s="615"/>
      <c r="T216" s="615"/>
      <c r="U216" s="616"/>
      <c r="V216" s="774" t="s">
        <v>884</v>
      </c>
      <c r="W216" s="332"/>
      <c r="X216" s="776" t="s">
        <v>882</v>
      </c>
      <c r="Y216" s="778" t="s">
        <v>883</v>
      </c>
      <c r="Z216" s="329"/>
      <c r="AA216" s="771" t="s">
        <v>780</v>
      </c>
      <c r="AB216" s="770" t="s">
        <v>1079</v>
      </c>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c r="AW216" s="289"/>
      <c r="AX216" s="289"/>
      <c r="AY216" s="289"/>
      <c r="AZ216" s="289"/>
    </row>
    <row r="217" spans="1:59" ht="16.05" customHeight="1" thickBot="1" x14ac:dyDescent="0.5">
      <c r="A217" s="289"/>
      <c r="B217" s="343"/>
      <c r="C217" s="325" t="s">
        <v>779</v>
      </c>
      <c r="D217" s="773"/>
      <c r="E217" s="431" t="e">
        <f ca="1">IF($BF218, "", "Trede (gemiddeld)")</f>
        <v>#VALUE!</v>
      </c>
      <c r="F217" s="737"/>
      <c r="G217" s="737"/>
      <c r="H217" s="737"/>
      <c r="I217" s="737"/>
      <c r="J217" s="737"/>
      <c r="K217" s="737"/>
      <c r="L217" s="737"/>
      <c r="M217" s="737"/>
      <c r="N217" s="737"/>
      <c r="O217" s="737"/>
      <c r="P217" s="737"/>
      <c r="Q217" s="737"/>
      <c r="R217" s="737"/>
      <c r="S217" s="737"/>
      <c r="T217" s="737"/>
      <c r="U217" s="740"/>
      <c r="V217" s="775"/>
      <c r="W217" s="294"/>
      <c r="X217" s="777"/>
      <c r="Y217" s="779"/>
      <c r="Z217" s="329"/>
      <c r="AA217" s="771"/>
      <c r="AB217" s="770"/>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c r="AW217" s="289"/>
      <c r="AX217" s="289"/>
      <c r="AY217" s="289"/>
      <c r="AZ217" s="289"/>
    </row>
    <row r="218" spans="1:59" ht="16.05" customHeight="1" thickBot="1" x14ac:dyDescent="0.5">
      <c r="A218" s="289"/>
      <c r="B218" s="343"/>
      <c r="C218" s="325" t="s">
        <v>779</v>
      </c>
      <c r="E218" s="432" t="str">
        <f>IFERROR(
   INDEX('Hulp (CAO''s)'!$I$3:$I$7, MATCH(TRUE, 'Hulp (CAO''s)'!$D$3:$D$7, 0)),
"")</f>
        <v>Bruto maandsalaris</v>
      </c>
      <c r="F218" s="425" t="e" cm="1">
        <f t="array" aca="1" ref="F218" ca="1">IF($BF218, IF(F215="","",
   INDEX(
      INDIRECT("'" &amp; 'Hulp (CAO''s)'!$AE$8 &amp; "'!" &amp;
               'Hulp (overig)'!$C$17 &amp; "1:" &amp;
               'Hulp (overig)'!$C$17 &amp; "1000"),
      MATCH(
         F215,
         INDIRECT("'" &amp; 'Hulp (CAO''s)'!$AE$8 &amp; "'!A1:A1000"),
         0
      )
   )
), IF($D216="Gebruik % van maximum salaris",
IF(
    OR(F215="",F216=""),
    "",
    MAX(
        INDIRECT(
            "'" &amp; 'Hulp (overig)'!$C$16 &amp; "'!" &amp;
            'Hulp (overig)'!$C$17 &amp;
            MATCH(F215, INDIRECT("'" &amp; 'Hulp (overig)'!$C$16 &amp; "'!A1:A1000"), 0) &amp;
            ":" &amp;
            'Hulp (overig)'!$C$17 &amp;
LOOKUP(
    2,
    1 / (
        (ROW(INDIRECT("'" &amp; 'Hulp (overig)'!$C$16 &amp; "'!B1:B1000")) &lt;
            IF(G215&lt;&gt;"",
               MATCH(G215, INDIRECT("'" &amp; 'Hulp (overig)'!$C$16 &amp; "'!A1:A1000"),0),
               1000
            )
        ) *
        (LEFT(TRIM(INDIRECT("'" &amp; 'Hulp (overig)'!$C$16 &amp; "'!B1:B1000")),1) &lt;&gt; "u")
    ),
    ROW(INDIRECT("'" &amp; 'Hulp (overig)'!$C$16 &amp; "'!B1:B1000"))
)
        )
    ) * F216
),
IF(F217="","",
IF(
    IFERROR(MIN(
        IF(
            (TRIM(INDIRECT("'" &amp; 'Hulp (overig)'!$C$16 &amp; "'!B1:B1000")) = TEXT(F217,"0")) *
            (ROW(INDIRECT("'" &amp; 'Hulp (overig)'!$C$16 &amp; "'!B1:B1000")) &gt;= MATCH(
                F215,
                INDIRECT("'" &amp; 'Hulp (overig)'!$C$16 &amp; "'!A1:A1000"),
                0
            )) *
            IF(
                G215="",
                1,
                (ROW(INDIRECT("'" &amp; 'Hulp (overig)'!$C$16 &amp; "'!B1:B1000")) &lt; MATCH(
                    G215,
                    INDIRECT("'" &amp; 'Hulp (overig)'!$C$16 &amp; "'!A1:A1000"),
                    0
                ))
            ),
            ROW(INDIRECT("'" &amp; 'Hulp (overig)'!$C$16 &amp; "'!B1:B1000"))
        )
    ),0) &lt; 1,
    "",
    IF(INDEX(
        INDIRECT("'" &amp; 'Hulp (overig)'!$C$16 &amp; "'!" &amp;
        'Hulp (overig)'!$C$17 &amp; "1:" &amp; 'Hulp (overig)'!$C$17 &amp; 1000
        ),
        IFERROR(MIN(
            IF(
                (TRIM(INDIRECT("'" &amp; 'Hulp (overig)'!$C$16 &amp; "'!B1:B1000")) = TEXT(F217,"0")) *
                (ROW(INDIRECT("'" &amp; 'Hulp (overig)'!$C$16 &amp; "'!B1:B1000")) &gt;= MATCH(
                    F215,
                    INDIRECT("'" &amp; 'Hulp (overig)'!$C$16 &amp; "'!A1:A1000"),
                    0
                )) *
                IF(
                    G215="",
                    1,
                    (ROW(INDIRECT("'" &amp; 'Hulp (overig)'!$C$16 &amp; "'!B1:B1000")) &lt; MATCH(
                        G215,
                        INDIRECT("'" &amp; 'Hulp (overig)'!$C$16 &amp; "'!A1:A1000"),
                        0
                    ))
                ),
                ROW(INDIRECT("'" &amp; 'Hulp (overig)'!$C$16 &amp; "'!B1:B1000"))
            )
        ),0)
    )=0,"",
INDEX(
        INDIRECT("'" &amp; 'Hulp (overig)'!$C$16 &amp; "'!" &amp;
        'Hulp (overig)'!$C$17 &amp; "1:" &amp; 'Hulp (overig)'!$C$17 &amp; 1000
        ),
        IFERROR(MIN(
            IF(
                (TRIM(INDIRECT("'" &amp; 'Hulp (overig)'!$C$16 &amp; "'!B1:B1000")) = TEXT(F217,"0")) *
                (ROW(INDIRECT("'" &amp; 'Hulp (overig)'!$C$16 &amp; "'!B1:B1000")) &gt;= MATCH(
                    F215,
                    INDIRECT("'" &amp; 'Hulp (overig)'!$C$16 &amp; "'!A1:A1000"),
                    0
                )) *
                IF(
                    G215="",
                    1,
                    (ROW(INDIRECT("'" &amp; 'Hulp (overig)'!$C$16 &amp; "'!B1:B1000")) &lt; MATCH(
                        G215,
                        INDIRECT("'" &amp; 'Hulp (overig)'!$C$16 &amp; "'!A1:A1000"),
                        0
                    ))
                ),
                ROW(INDIRECT("'" &amp; 'Hulp (overig)'!$C$16 &amp; "'!B1:B1000"))
            )
        ),0)
    ))
))))</f>
        <v>#VALUE!</v>
      </c>
      <c r="G218" s="425" t="e" cm="1">
        <f t="array" aca="1" ref="G218" ca="1">IF($BF218, IF(G215="","",
   INDEX(
      INDIRECT("'" &amp; 'Hulp (CAO''s)'!$AE$8 &amp; "'!" &amp;
               'Hulp (overig)'!$C$17 &amp; "1:" &amp;
               'Hulp (overig)'!$C$17 &amp; "1000"),
      MATCH(
         G215,
         INDIRECT("'" &amp; 'Hulp (CAO''s)'!$AE$8 &amp; "'!A1:A1000"),
         0
      )
   )
), IF($D216="Gebruik % van maximum salaris",
IF(
    OR(G215="",G216=""),
    "",
    MAX(
        INDIRECT(
            "'" &amp; 'Hulp (overig)'!$C$16 &amp; "'!" &amp;
            'Hulp (overig)'!$C$17 &amp;
            MATCH(G215, INDIRECT("'" &amp; 'Hulp (overig)'!$C$16 &amp; "'!A1:A1000"), 0) &amp;
            ":" &amp;
            'Hulp (overig)'!$C$17 &amp;
LOOKUP(
    2,
    1 / (
        (ROW(INDIRECT("'" &amp; 'Hulp (overig)'!$C$16 &amp; "'!B1:B1000")) &lt;
            IF(H215&lt;&gt;"",
               MATCH(H215, INDIRECT("'" &amp; 'Hulp (overig)'!$C$16 &amp; "'!A1:A1000"),0),
               1000
            )
        ) *
        (LEFT(TRIM(INDIRECT("'" &amp; 'Hulp (overig)'!$C$16 &amp; "'!B1:B1000")),1) &lt;&gt; "u")
    ),
    ROW(INDIRECT("'" &amp; 'Hulp (overig)'!$C$16 &amp; "'!B1:B1000"))
)
        )
    ) * G216
),
IF(G217="","",
IF(
    IFERROR(MIN(
        IF(
            (TRIM(INDIRECT("'" &amp; 'Hulp (overig)'!$C$16 &amp; "'!B1:B1000")) = TEXT(G217,"0")) *
            (ROW(INDIRECT("'" &amp; 'Hulp (overig)'!$C$16 &amp; "'!B1:B1000")) &gt;= MATCH(
                G215,
                INDIRECT("'" &amp; 'Hulp (overig)'!$C$16 &amp; "'!A1:A1000"),
                0
            )) *
            IF(
                H215="",
                1,
                (ROW(INDIRECT("'" &amp; 'Hulp (overig)'!$C$16 &amp; "'!B1:B1000")) &lt; MATCH(
                    H215,
                    INDIRECT("'" &amp; 'Hulp (overig)'!$C$16 &amp; "'!A1:A1000"),
                    0
                ))
            ),
            ROW(INDIRECT("'" &amp; 'Hulp (overig)'!$C$16 &amp; "'!B1:B1000"))
        )
    ),0) &lt; 1,
    "",
    IF(INDEX(
        INDIRECT("'" &amp; 'Hulp (overig)'!$C$16 &amp; "'!" &amp;
        'Hulp (overig)'!$C$17 &amp; "1:" &amp; 'Hulp (overig)'!$C$17 &amp; 1000
        ),
        IFERROR(MIN(
            IF(
                (TRIM(INDIRECT("'" &amp; 'Hulp (overig)'!$C$16 &amp; "'!B1:B1000")) = TEXT(G217,"0")) *
                (ROW(INDIRECT("'" &amp; 'Hulp (overig)'!$C$16 &amp; "'!B1:B1000")) &gt;= MATCH(
                    G215,
                    INDIRECT("'" &amp; 'Hulp (overig)'!$C$16 &amp; "'!A1:A1000"),
                    0
                )) *
                IF(
                    H215="",
                    1,
                    (ROW(INDIRECT("'" &amp; 'Hulp (overig)'!$C$16 &amp; "'!B1:B1000")) &lt; MATCH(
                        H215,
                        INDIRECT("'" &amp; 'Hulp (overig)'!$C$16 &amp; "'!A1:A1000"),
                        0
                    ))
                ),
                ROW(INDIRECT("'" &amp; 'Hulp (overig)'!$C$16 &amp; "'!B1:B1000"))
            )
        ),0)
    )=0,"",
INDEX(
        INDIRECT("'" &amp; 'Hulp (overig)'!$C$16 &amp; "'!" &amp;
        'Hulp (overig)'!$C$17 &amp; "1:" &amp; 'Hulp (overig)'!$C$17 &amp; 1000
        ),
        IFERROR(MIN(
            IF(
                (TRIM(INDIRECT("'" &amp; 'Hulp (overig)'!$C$16 &amp; "'!B1:B1000")) = TEXT(G217,"0")) *
                (ROW(INDIRECT("'" &amp; 'Hulp (overig)'!$C$16 &amp; "'!B1:B1000")) &gt;= MATCH(
                    G215,
                    INDIRECT("'" &amp; 'Hulp (overig)'!$C$16 &amp; "'!A1:A1000"),
                    0
                )) *
                IF(
                    H215="",
                    1,
                    (ROW(INDIRECT("'" &amp; 'Hulp (overig)'!$C$16 &amp; "'!B1:B1000")) &lt; MATCH(
                        H215,
                        INDIRECT("'" &amp; 'Hulp (overig)'!$C$16 &amp; "'!A1:A1000"),
                        0
                    ))
                ),
                ROW(INDIRECT("'" &amp; 'Hulp (overig)'!$C$16 &amp; "'!B1:B1000"))
            )
        ),0)
    ))
))))</f>
        <v>#VALUE!</v>
      </c>
      <c r="H218" s="425" t="e" cm="1">
        <f t="array" aca="1" ref="H218" ca="1">IF($BF218, IF(H215="","",
   INDEX(
      INDIRECT("'" &amp; 'Hulp (CAO''s)'!$AE$8 &amp; "'!" &amp;
               'Hulp (overig)'!$C$17 &amp; "1:" &amp;
               'Hulp (overig)'!$C$17 &amp; "1000"),
      MATCH(
         H215,
         INDIRECT("'" &amp; 'Hulp (CAO''s)'!$AE$8 &amp; "'!A1:A1000"),
         0
      )
   )
), IF($D216="Gebruik % van maximum salaris",
IF(
    OR(H215="",H216=""),
    "",
    MAX(
        INDIRECT(
            "'" &amp; 'Hulp (overig)'!$C$16 &amp; "'!" &amp;
            'Hulp (overig)'!$C$17 &amp;
            MATCH(H215, INDIRECT("'" &amp; 'Hulp (overig)'!$C$16 &amp; "'!A1:A1000"), 0) &amp;
            ":" &amp;
            'Hulp (overig)'!$C$17 &amp;
LOOKUP(
    2,
    1 / (
        (ROW(INDIRECT("'" &amp; 'Hulp (overig)'!$C$16 &amp; "'!B1:B1000")) &lt;
            IF(I215&lt;&gt;"",
               MATCH(I215, INDIRECT("'" &amp; 'Hulp (overig)'!$C$16 &amp; "'!A1:A1000"),0),
               1000
            )
        ) *
        (LEFT(TRIM(INDIRECT("'" &amp; 'Hulp (overig)'!$C$16 &amp; "'!B1:B1000")),1) &lt;&gt; "u")
    ),
    ROW(INDIRECT("'" &amp; 'Hulp (overig)'!$C$16 &amp; "'!B1:B1000"))
)
        )
    ) * H216
),
IF(H217="","",
IF(
    IFERROR(MIN(
        IF(
            (TRIM(INDIRECT("'" &amp; 'Hulp (overig)'!$C$16 &amp; "'!B1:B1000")) = TEXT(H217,"0")) *
            (ROW(INDIRECT("'" &amp; 'Hulp (overig)'!$C$16 &amp; "'!B1:B1000")) &gt;= MATCH(
                H215,
                INDIRECT("'" &amp; 'Hulp (overig)'!$C$16 &amp; "'!A1:A1000"),
                0
            )) *
            IF(
                I215="",
                1,
                (ROW(INDIRECT("'" &amp; 'Hulp (overig)'!$C$16 &amp; "'!B1:B1000")) &lt; MATCH(
                    I215,
                    INDIRECT("'" &amp; 'Hulp (overig)'!$C$16 &amp; "'!A1:A1000"),
                    0
                ))
            ),
            ROW(INDIRECT("'" &amp; 'Hulp (overig)'!$C$16 &amp; "'!B1:B1000"))
        )
    ),0) &lt; 1,
    "",
    IF(INDEX(
        INDIRECT("'" &amp; 'Hulp (overig)'!$C$16 &amp; "'!" &amp;
        'Hulp (overig)'!$C$17 &amp; "1:" &amp; 'Hulp (overig)'!$C$17 &amp; 1000
        ),
        IFERROR(MIN(
            IF(
                (TRIM(INDIRECT("'" &amp; 'Hulp (overig)'!$C$16 &amp; "'!B1:B1000")) = TEXT(H217,"0")) *
                (ROW(INDIRECT("'" &amp; 'Hulp (overig)'!$C$16 &amp; "'!B1:B1000")) &gt;= MATCH(
                    H215,
                    INDIRECT("'" &amp; 'Hulp (overig)'!$C$16 &amp; "'!A1:A1000"),
                    0
                )) *
                IF(
                    I215="",
                    1,
                    (ROW(INDIRECT("'" &amp; 'Hulp (overig)'!$C$16 &amp; "'!B1:B1000")) &lt; MATCH(
                        I215,
                        INDIRECT("'" &amp; 'Hulp (overig)'!$C$16 &amp; "'!A1:A1000"),
                        0
                    ))
                ),
                ROW(INDIRECT("'" &amp; 'Hulp (overig)'!$C$16 &amp; "'!B1:B1000"))
            )
        ),0)
    )=0,"",
INDEX(
        INDIRECT("'" &amp; 'Hulp (overig)'!$C$16 &amp; "'!" &amp;
        'Hulp (overig)'!$C$17 &amp; "1:" &amp; 'Hulp (overig)'!$C$17 &amp; 1000
        ),
        IFERROR(MIN(
            IF(
                (TRIM(INDIRECT("'" &amp; 'Hulp (overig)'!$C$16 &amp; "'!B1:B1000")) = TEXT(H217,"0")) *
                (ROW(INDIRECT("'" &amp; 'Hulp (overig)'!$C$16 &amp; "'!B1:B1000")) &gt;= MATCH(
                    H215,
                    INDIRECT("'" &amp; 'Hulp (overig)'!$C$16 &amp; "'!A1:A1000"),
                    0
                )) *
                IF(
                    I215="",
                    1,
                    (ROW(INDIRECT("'" &amp; 'Hulp (overig)'!$C$16 &amp; "'!B1:B1000")) &lt; MATCH(
                        I215,
                        INDIRECT("'" &amp; 'Hulp (overig)'!$C$16 &amp; "'!A1:A1000"),
                        0
                    ))
                ),
                ROW(INDIRECT("'" &amp; 'Hulp (overig)'!$C$16 &amp; "'!B1:B1000"))
            )
        ),0)
    ))
))))</f>
        <v>#VALUE!</v>
      </c>
      <c r="I218" s="425" t="e" cm="1">
        <f t="array" aca="1" ref="I218" ca="1">IF($BF218, IF(I215="","",
   INDEX(
      INDIRECT("'" &amp; 'Hulp (CAO''s)'!$AE$8 &amp; "'!" &amp;
               'Hulp (overig)'!$C$17 &amp; "1:" &amp;
               'Hulp (overig)'!$C$17 &amp; "1000"),
      MATCH(
         I215,
         INDIRECT("'" &amp; 'Hulp (CAO''s)'!$AE$8 &amp; "'!A1:A1000"),
         0
      )
   )
), IF($D216="Gebruik % van maximum salaris",
IF(
    OR(I215="",I216=""),
    "",
    MAX(
        INDIRECT(
            "'" &amp; 'Hulp (overig)'!$C$16 &amp; "'!" &amp;
            'Hulp (overig)'!$C$17 &amp;
            MATCH(I215, INDIRECT("'" &amp; 'Hulp (overig)'!$C$16 &amp; "'!A1:A1000"), 0) &amp;
            ":" &amp;
            'Hulp (overig)'!$C$17 &amp;
LOOKUP(
    2,
    1 / (
        (ROW(INDIRECT("'" &amp; 'Hulp (overig)'!$C$16 &amp; "'!B1:B1000")) &lt;
            IF(J215&lt;&gt;"",
               MATCH(J215, INDIRECT("'" &amp; 'Hulp (overig)'!$C$16 &amp; "'!A1:A1000"),0),
               1000
            )
        ) *
        (LEFT(TRIM(INDIRECT("'" &amp; 'Hulp (overig)'!$C$16 &amp; "'!B1:B1000")),1) &lt;&gt; "u")
    ),
    ROW(INDIRECT("'" &amp; 'Hulp (overig)'!$C$16 &amp; "'!B1:B1000"))
)
        )
    ) * I216
),
IF(I217="","",
IF(
    IFERROR(MIN(
        IF(
            (TRIM(INDIRECT("'" &amp; 'Hulp (overig)'!$C$16 &amp; "'!B1:B1000")) = TEXT(I217,"0")) *
            (ROW(INDIRECT("'" &amp; 'Hulp (overig)'!$C$16 &amp; "'!B1:B1000")) &gt;= MATCH(
                I215,
                INDIRECT("'" &amp; 'Hulp (overig)'!$C$16 &amp; "'!A1:A1000"),
                0
            )) *
            IF(
                J215="",
                1,
                (ROW(INDIRECT("'" &amp; 'Hulp (overig)'!$C$16 &amp; "'!B1:B1000")) &lt; MATCH(
                    J215,
                    INDIRECT("'" &amp; 'Hulp (overig)'!$C$16 &amp; "'!A1:A1000"),
                    0
                ))
            ),
            ROW(INDIRECT("'" &amp; 'Hulp (overig)'!$C$16 &amp; "'!B1:B1000"))
        )
    ),0) &lt; 1,
    "",
    IF(INDEX(
        INDIRECT("'" &amp; 'Hulp (overig)'!$C$16 &amp; "'!" &amp;
        'Hulp (overig)'!$C$17 &amp; "1:" &amp; 'Hulp (overig)'!$C$17 &amp; 1000
        ),
        IFERROR(MIN(
            IF(
                (TRIM(INDIRECT("'" &amp; 'Hulp (overig)'!$C$16 &amp; "'!B1:B1000")) = TEXT(I217,"0")) *
                (ROW(INDIRECT("'" &amp; 'Hulp (overig)'!$C$16 &amp; "'!B1:B1000")) &gt;= MATCH(
                    I215,
                    INDIRECT("'" &amp; 'Hulp (overig)'!$C$16 &amp; "'!A1:A1000"),
                    0
                )) *
                IF(
                    J215="",
                    1,
                    (ROW(INDIRECT("'" &amp; 'Hulp (overig)'!$C$16 &amp; "'!B1:B1000")) &lt; MATCH(
                        J215,
                        INDIRECT("'" &amp; 'Hulp (overig)'!$C$16 &amp; "'!A1:A1000"),
                        0
                    ))
                ),
                ROW(INDIRECT("'" &amp; 'Hulp (overig)'!$C$16 &amp; "'!B1:B1000"))
            )
        ),0)
    )=0,"",
INDEX(
        INDIRECT("'" &amp; 'Hulp (overig)'!$C$16 &amp; "'!" &amp;
        'Hulp (overig)'!$C$17 &amp; "1:" &amp; 'Hulp (overig)'!$C$17 &amp; 1000
        ),
        IFERROR(MIN(
            IF(
                (TRIM(INDIRECT("'" &amp; 'Hulp (overig)'!$C$16 &amp; "'!B1:B1000")) = TEXT(I217,"0")) *
                (ROW(INDIRECT("'" &amp; 'Hulp (overig)'!$C$16 &amp; "'!B1:B1000")) &gt;= MATCH(
                    I215,
                    INDIRECT("'" &amp; 'Hulp (overig)'!$C$16 &amp; "'!A1:A1000"),
                    0
                )) *
                IF(
                    J215="",
                    1,
                    (ROW(INDIRECT("'" &amp; 'Hulp (overig)'!$C$16 &amp; "'!B1:B1000")) &lt; MATCH(
                        J215,
                        INDIRECT("'" &amp; 'Hulp (overig)'!$C$16 &amp; "'!A1:A1000"),
                        0
                    ))
                ),
                ROW(INDIRECT("'" &amp; 'Hulp (overig)'!$C$16 &amp; "'!B1:B1000"))
            )
        ),0)
    ))
))))</f>
        <v>#VALUE!</v>
      </c>
      <c r="J218" s="425" t="e" cm="1">
        <f t="array" aca="1" ref="J218" ca="1">IF($BF218, IF(J215="","",
   INDEX(
      INDIRECT("'" &amp; 'Hulp (CAO''s)'!$AE$8 &amp; "'!" &amp;
               'Hulp (overig)'!$C$17 &amp; "1:" &amp;
               'Hulp (overig)'!$C$17 &amp; "1000"),
      MATCH(
         J215,
         INDIRECT("'" &amp; 'Hulp (CAO''s)'!$AE$8 &amp; "'!A1:A1000"),
         0
      )
   )
), IF($D216="Gebruik % van maximum salaris",
IF(
    OR(J215="",J216=""),
    "",
    MAX(
        INDIRECT(
            "'" &amp; 'Hulp (overig)'!$C$16 &amp; "'!" &amp;
            'Hulp (overig)'!$C$17 &amp;
            MATCH(J215, INDIRECT("'" &amp; 'Hulp (overig)'!$C$16 &amp; "'!A1:A1000"), 0) &amp;
            ":" &amp;
            'Hulp (overig)'!$C$17 &amp;
LOOKUP(
    2,
    1 / (
        (ROW(INDIRECT("'" &amp; 'Hulp (overig)'!$C$16 &amp; "'!B1:B1000")) &lt;
            IF(K215&lt;&gt;"",
               MATCH(K215, INDIRECT("'" &amp; 'Hulp (overig)'!$C$16 &amp; "'!A1:A1000"),0),
               1000
            )
        ) *
        (LEFT(TRIM(INDIRECT("'" &amp; 'Hulp (overig)'!$C$16 &amp; "'!B1:B1000")),1) &lt;&gt; "u")
    ),
    ROW(INDIRECT("'" &amp; 'Hulp (overig)'!$C$16 &amp; "'!B1:B1000"))
)
        )
    ) * J216
),
IF(J217="","",
IF(
    IFERROR(MIN(
        IF(
            (TRIM(INDIRECT("'" &amp; 'Hulp (overig)'!$C$16 &amp; "'!B1:B1000")) = TEXT(J217,"0")) *
            (ROW(INDIRECT("'" &amp; 'Hulp (overig)'!$C$16 &amp; "'!B1:B1000")) &gt;= MATCH(
                J215,
                INDIRECT("'" &amp; 'Hulp (overig)'!$C$16 &amp; "'!A1:A1000"),
                0
            )) *
            IF(
                K215="",
                1,
                (ROW(INDIRECT("'" &amp; 'Hulp (overig)'!$C$16 &amp; "'!B1:B1000")) &lt; MATCH(
                    K215,
                    INDIRECT("'" &amp; 'Hulp (overig)'!$C$16 &amp; "'!A1:A1000"),
                    0
                ))
            ),
            ROW(INDIRECT("'" &amp; 'Hulp (overig)'!$C$16 &amp; "'!B1:B1000"))
        )
    ),0) &lt; 1,
    "",
    IF(INDEX(
        INDIRECT("'" &amp; 'Hulp (overig)'!$C$16 &amp; "'!" &amp;
        'Hulp (overig)'!$C$17 &amp; "1:" &amp; 'Hulp (overig)'!$C$17 &amp; 1000
        ),
        IFERROR(MIN(
            IF(
                (TRIM(INDIRECT("'" &amp; 'Hulp (overig)'!$C$16 &amp; "'!B1:B1000")) = TEXT(J217,"0")) *
                (ROW(INDIRECT("'" &amp; 'Hulp (overig)'!$C$16 &amp; "'!B1:B1000")) &gt;= MATCH(
                    J215,
                    INDIRECT("'" &amp; 'Hulp (overig)'!$C$16 &amp; "'!A1:A1000"),
                    0
                )) *
                IF(
                    K215="",
                    1,
                    (ROW(INDIRECT("'" &amp; 'Hulp (overig)'!$C$16 &amp; "'!B1:B1000")) &lt; MATCH(
                        K215,
                        INDIRECT("'" &amp; 'Hulp (overig)'!$C$16 &amp; "'!A1:A1000"),
                        0
                    ))
                ),
                ROW(INDIRECT("'" &amp; 'Hulp (overig)'!$C$16 &amp; "'!B1:B1000"))
            )
        ),0)
    )=0,"",
INDEX(
        INDIRECT("'" &amp; 'Hulp (overig)'!$C$16 &amp; "'!" &amp;
        'Hulp (overig)'!$C$17 &amp; "1:" &amp; 'Hulp (overig)'!$C$17 &amp; 1000
        ),
        IFERROR(MIN(
            IF(
                (TRIM(INDIRECT("'" &amp; 'Hulp (overig)'!$C$16 &amp; "'!B1:B1000")) = TEXT(J217,"0")) *
                (ROW(INDIRECT("'" &amp; 'Hulp (overig)'!$C$16 &amp; "'!B1:B1000")) &gt;= MATCH(
                    J215,
                    INDIRECT("'" &amp; 'Hulp (overig)'!$C$16 &amp; "'!A1:A1000"),
                    0
                )) *
                IF(
                    K215="",
                    1,
                    (ROW(INDIRECT("'" &amp; 'Hulp (overig)'!$C$16 &amp; "'!B1:B1000")) &lt; MATCH(
                        K215,
                        INDIRECT("'" &amp; 'Hulp (overig)'!$C$16 &amp; "'!A1:A1000"),
                        0
                    ))
                ),
                ROW(INDIRECT("'" &amp; 'Hulp (overig)'!$C$16 &amp; "'!B1:B1000"))
            )
        ),0)
    ))
))))</f>
        <v>#VALUE!</v>
      </c>
      <c r="K218" s="425" t="e" cm="1">
        <f t="array" aca="1" ref="K218" ca="1">IF($BF218, IF(K215="","",
   INDEX(
      INDIRECT("'" &amp; 'Hulp (CAO''s)'!$AE$8 &amp; "'!" &amp;
               'Hulp (overig)'!$C$17 &amp; "1:" &amp;
               'Hulp (overig)'!$C$17 &amp; "1000"),
      MATCH(
         K215,
         INDIRECT("'" &amp; 'Hulp (CAO''s)'!$AE$8 &amp; "'!A1:A1000"),
         0
      )
   )
), IF($D216="Gebruik % van maximum salaris",
IF(
    OR(K215="",K216=""),
    "",
    MAX(
        INDIRECT(
            "'" &amp; 'Hulp (overig)'!$C$16 &amp; "'!" &amp;
            'Hulp (overig)'!$C$17 &amp;
            MATCH(K215, INDIRECT("'" &amp; 'Hulp (overig)'!$C$16 &amp; "'!A1:A1000"), 0) &amp;
            ":" &amp;
            'Hulp (overig)'!$C$17 &amp;
LOOKUP(
    2,
    1 / (
        (ROW(INDIRECT("'" &amp; 'Hulp (overig)'!$C$16 &amp; "'!B1:B1000")) &lt;
            IF(L215&lt;&gt;"",
               MATCH(L215, INDIRECT("'" &amp; 'Hulp (overig)'!$C$16 &amp; "'!A1:A1000"),0),
               1000
            )
        ) *
        (LEFT(TRIM(INDIRECT("'" &amp; 'Hulp (overig)'!$C$16 &amp; "'!B1:B1000")),1) &lt;&gt; "u")
    ),
    ROW(INDIRECT("'" &amp; 'Hulp (overig)'!$C$16 &amp; "'!B1:B1000"))
)
        )
    ) * K216
),
IF(K217="","",
IF(
    IFERROR(MIN(
        IF(
            (TRIM(INDIRECT("'" &amp; 'Hulp (overig)'!$C$16 &amp; "'!B1:B1000")) = TEXT(K217,"0")) *
            (ROW(INDIRECT("'" &amp; 'Hulp (overig)'!$C$16 &amp; "'!B1:B1000")) &gt;= MATCH(
                K215,
                INDIRECT("'" &amp; 'Hulp (overig)'!$C$16 &amp; "'!A1:A1000"),
                0
            )) *
            IF(
                L215="",
                1,
                (ROW(INDIRECT("'" &amp; 'Hulp (overig)'!$C$16 &amp; "'!B1:B1000")) &lt; MATCH(
                    L215,
                    INDIRECT("'" &amp; 'Hulp (overig)'!$C$16 &amp; "'!A1:A1000"),
                    0
                ))
            ),
            ROW(INDIRECT("'" &amp; 'Hulp (overig)'!$C$16 &amp; "'!B1:B1000"))
        )
    ),0) &lt; 1,
    "",
    IF(INDEX(
        INDIRECT("'" &amp; 'Hulp (overig)'!$C$16 &amp; "'!" &amp;
        'Hulp (overig)'!$C$17 &amp; "1:" &amp; 'Hulp (overig)'!$C$17 &amp; 1000
        ),
        IFERROR(MIN(
            IF(
                (TRIM(INDIRECT("'" &amp; 'Hulp (overig)'!$C$16 &amp; "'!B1:B1000")) = TEXT(K217,"0")) *
                (ROW(INDIRECT("'" &amp; 'Hulp (overig)'!$C$16 &amp; "'!B1:B1000")) &gt;= MATCH(
                    K215,
                    INDIRECT("'" &amp; 'Hulp (overig)'!$C$16 &amp; "'!A1:A1000"),
                    0
                )) *
                IF(
                    L215="",
                    1,
                    (ROW(INDIRECT("'" &amp; 'Hulp (overig)'!$C$16 &amp; "'!B1:B1000")) &lt; MATCH(
                        L215,
                        INDIRECT("'" &amp; 'Hulp (overig)'!$C$16 &amp; "'!A1:A1000"),
                        0
                    ))
                ),
                ROW(INDIRECT("'" &amp; 'Hulp (overig)'!$C$16 &amp; "'!B1:B1000"))
            )
        ),0)
    )=0,"",
INDEX(
        INDIRECT("'" &amp; 'Hulp (overig)'!$C$16 &amp; "'!" &amp;
        'Hulp (overig)'!$C$17 &amp; "1:" &amp; 'Hulp (overig)'!$C$17 &amp; 1000
        ),
        IFERROR(MIN(
            IF(
                (TRIM(INDIRECT("'" &amp; 'Hulp (overig)'!$C$16 &amp; "'!B1:B1000")) = TEXT(K217,"0")) *
                (ROW(INDIRECT("'" &amp; 'Hulp (overig)'!$C$16 &amp; "'!B1:B1000")) &gt;= MATCH(
                    K215,
                    INDIRECT("'" &amp; 'Hulp (overig)'!$C$16 &amp; "'!A1:A1000"),
                    0
                )) *
                IF(
                    L215="",
                    1,
                    (ROW(INDIRECT("'" &amp; 'Hulp (overig)'!$C$16 &amp; "'!B1:B1000")) &lt; MATCH(
                        L215,
                        INDIRECT("'" &amp; 'Hulp (overig)'!$C$16 &amp; "'!A1:A1000"),
                        0
                    ))
                ),
                ROW(INDIRECT("'" &amp; 'Hulp (overig)'!$C$16 &amp; "'!B1:B1000"))
            )
        ),0)
    ))
))))</f>
        <v>#VALUE!</v>
      </c>
      <c r="L218" s="425" t="e" cm="1">
        <f t="array" aca="1" ref="L218" ca="1">IF($BF218, IF(L215="","",
   INDEX(
      INDIRECT("'" &amp; 'Hulp (CAO''s)'!$AE$8 &amp; "'!" &amp;
               'Hulp (overig)'!$C$17 &amp; "1:" &amp;
               'Hulp (overig)'!$C$17 &amp; "1000"),
      MATCH(
         L215,
         INDIRECT("'" &amp; 'Hulp (CAO''s)'!$AE$8 &amp; "'!A1:A1000"),
         0
      )
   )
), IF($D216="Gebruik % van maximum salaris",
IF(
    OR(L215="",L216=""),
    "",
    MAX(
        INDIRECT(
            "'" &amp; 'Hulp (overig)'!$C$16 &amp; "'!" &amp;
            'Hulp (overig)'!$C$17 &amp;
            MATCH(L215, INDIRECT("'" &amp; 'Hulp (overig)'!$C$16 &amp; "'!A1:A1000"), 0) &amp;
            ":" &amp;
            'Hulp (overig)'!$C$17 &amp;
LOOKUP(
    2,
    1 / (
        (ROW(INDIRECT("'" &amp; 'Hulp (overig)'!$C$16 &amp; "'!B1:B1000")) &lt;
            IF(M215&lt;&gt;"",
               MATCH(M215, INDIRECT("'" &amp; 'Hulp (overig)'!$C$16 &amp; "'!A1:A1000"),0),
               1000
            )
        ) *
        (LEFT(TRIM(INDIRECT("'" &amp; 'Hulp (overig)'!$C$16 &amp; "'!B1:B1000")),1) &lt;&gt; "u")
    ),
    ROW(INDIRECT("'" &amp; 'Hulp (overig)'!$C$16 &amp; "'!B1:B1000"))
)
        )
    ) * L216
),
IF(L217="","",
IF(
    IFERROR(MIN(
        IF(
            (TRIM(INDIRECT("'" &amp; 'Hulp (overig)'!$C$16 &amp; "'!B1:B1000")) = TEXT(L217,"0")) *
            (ROW(INDIRECT("'" &amp; 'Hulp (overig)'!$C$16 &amp; "'!B1:B1000")) &gt;= MATCH(
                L215,
                INDIRECT("'" &amp; 'Hulp (overig)'!$C$16 &amp; "'!A1:A1000"),
                0
            )) *
            IF(
                M215="",
                1,
                (ROW(INDIRECT("'" &amp; 'Hulp (overig)'!$C$16 &amp; "'!B1:B1000")) &lt; MATCH(
                    M215,
                    INDIRECT("'" &amp; 'Hulp (overig)'!$C$16 &amp; "'!A1:A1000"),
                    0
                ))
            ),
            ROW(INDIRECT("'" &amp; 'Hulp (overig)'!$C$16 &amp; "'!B1:B1000"))
        )
    ),0) &lt; 1,
    "",
    IF(INDEX(
        INDIRECT("'" &amp; 'Hulp (overig)'!$C$16 &amp; "'!" &amp;
        'Hulp (overig)'!$C$17 &amp; "1:" &amp; 'Hulp (overig)'!$C$17 &amp; 1000
        ),
        IFERROR(MIN(
            IF(
                (TRIM(INDIRECT("'" &amp; 'Hulp (overig)'!$C$16 &amp; "'!B1:B1000")) = TEXT(L217,"0")) *
                (ROW(INDIRECT("'" &amp; 'Hulp (overig)'!$C$16 &amp; "'!B1:B1000")) &gt;= MATCH(
                    L215,
                    INDIRECT("'" &amp; 'Hulp (overig)'!$C$16 &amp; "'!A1:A1000"),
                    0
                )) *
                IF(
                    M215="",
                    1,
                    (ROW(INDIRECT("'" &amp; 'Hulp (overig)'!$C$16 &amp; "'!B1:B1000")) &lt; MATCH(
                        M215,
                        INDIRECT("'" &amp; 'Hulp (overig)'!$C$16 &amp; "'!A1:A1000"),
                        0
                    ))
                ),
                ROW(INDIRECT("'" &amp; 'Hulp (overig)'!$C$16 &amp; "'!B1:B1000"))
            )
        ),0)
    )=0,"",
INDEX(
        INDIRECT("'" &amp; 'Hulp (overig)'!$C$16 &amp; "'!" &amp;
        'Hulp (overig)'!$C$17 &amp; "1:" &amp; 'Hulp (overig)'!$C$17 &amp; 1000
        ),
        IFERROR(MIN(
            IF(
                (TRIM(INDIRECT("'" &amp; 'Hulp (overig)'!$C$16 &amp; "'!B1:B1000")) = TEXT(L217,"0")) *
                (ROW(INDIRECT("'" &amp; 'Hulp (overig)'!$C$16 &amp; "'!B1:B1000")) &gt;= MATCH(
                    L215,
                    INDIRECT("'" &amp; 'Hulp (overig)'!$C$16 &amp; "'!A1:A1000"),
                    0
                )) *
                IF(
                    M215="",
                    1,
                    (ROW(INDIRECT("'" &amp; 'Hulp (overig)'!$C$16 &amp; "'!B1:B1000")) &lt; MATCH(
                        M215,
                        INDIRECT("'" &amp; 'Hulp (overig)'!$C$16 &amp; "'!A1:A1000"),
                        0
                    ))
                ),
                ROW(INDIRECT("'" &amp; 'Hulp (overig)'!$C$16 &amp; "'!B1:B1000"))
            )
        ),0)
    ))
))))</f>
        <v>#VALUE!</v>
      </c>
      <c r="M218" s="425" t="e" cm="1">
        <f t="array" aca="1" ref="M218" ca="1">IF($BF218, IF(M215="","",
   INDEX(
      INDIRECT("'" &amp; 'Hulp (CAO''s)'!$AE$8 &amp; "'!" &amp;
               'Hulp (overig)'!$C$17 &amp; "1:" &amp;
               'Hulp (overig)'!$C$17 &amp; "1000"),
      MATCH(
         M215,
         INDIRECT("'" &amp; 'Hulp (CAO''s)'!$AE$8 &amp; "'!A1:A1000"),
         0
      )
   )
), IF($D216="Gebruik % van maximum salaris",
IF(
    OR(M215="",M216=""),
    "",
    MAX(
        INDIRECT(
            "'" &amp; 'Hulp (overig)'!$C$16 &amp; "'!" &amp;
            'Hulp (overig)'!$C$17 &amp;
            MATCH(M215, INDIRECT("'" &amp; 'Hulp (overig)'!$C$16 &amp; "'!A1:A1000"), 0) &amp;
            ":" &amp;
            'Hulp (overig)'!$C$17 &amp;
LOOKUP(
    2,
    1 / (
        (ROW(INDIRECT("'" &amp; 'Hulp (overig)'!$C$16 &amp; "'!B1:B1000")) &lt;
            IF(N215&lt;&gt;"",
               MATCH(N215, INDIRECT("'" &amp; 'Hulp (overig)'!$C$16 &amp; "'!A1:A1000"),0),
               1000
            )
        ) *
        (LEFT(TRIM(INDIRECT("'" &amp; 'Hulp (overig)'!$C$16 &amp; "'!B1:B1000")),1) &lt;&gt; "u")
    ),
    ROW(INDIRECT("'" &amp; 'Hulp (overig)'!$C$16 &amp; "'!B1:B1000"))
)
        )
    ) * M216
),
IF(M217="","",
IF(
    IFERROR(MIN(
        IF(
            (TRIM(INDIRECT("'" &amp; 'Hulp (overig)'!$C$16 &amp; "'!B1:B1000")) = TEXT(M217,"0")) *
            (ROW(INDIRECT("'" &amp; 'Hulp (overig)'!$C$16 &amp; "'!B1:B1000")) &gt;= MATCH(
                M215,
                INDIRECT("'" &amp; 'Hulp (overig)'!$C$16 &amp; "'!A1:A1000"),
                0
            )) *
            IF(
                N215="",
                1,
                (ROW(INDIRECT("'" &amp; 'Hulp (overig)'!$C$16 &amp; "'!B1:B1000")) &lt; MATCH(
                    N215,
                    INDIRECT("'" &amp; 'Hulp (overig)'!$C$16 &amp; "'!A1:A1000"),
                    0
                ))
            ),
            ROW(INDIRECT("'" &amp; 'Hulp (overig)'!$C$16 &amp; "'!B1:B1000"))
        )
    ),0) &lt; 1,
    "",
    IF(INDEX(
        INDIRECT("'" &amp; 'Hulp (overig)'!$C$16 &amp; "'!" &amp;
        'Hulp (overig)'!$C$17 &amp; "1:" &amp; 'Hulp (overig)'!$C$17 &amp; 1000
        ),
        IFERROR(MIN(
            IF(
                (TRIM(INDIRECT("'" &amp; 'Hulp (overig)'!$C$16 &amp; "'!B1:B1000")) = TEXT(M217,"0")) *
                (ROW(INDIRECT("'" &amp; 'Hulp (overig)'!$C$16 &amp; "'!B1:B1000")) &gt;= MATCH(
                    M215,
                    INDIRECT("'" &amp; 'Hulp (overig)'!$C$16 &amp; "'!A1:A1000"),
                    0
                )) *
                IF(
                    N215="",
                    1,
                    (ROW(INDIRECT("'" &amp; 'Hulp (overig)'!$C$16 &amp; "'!B1:B1000")) &lt; MATCH(
                        N215,
                        INDIRECT("'" &amp; 'Hulp (overig)'!$C$16 &amp; "'!A1:A1000"),
                        0
                    ))
                ),
                ROW(INDIRECT("'" &amp; 'Hulp (overig)'!$C$16 &amp; "'!B1:B1000"))
            )
        ),0)
    )=0,"",
INDEX(
        INDIRECT("'" &amp; 'Hulp (overig)'!$C$16 &amp; "'!" &amp;
        'Hulp (overig)'!$C$17 &amp; "1:" &amp; 'Hulp (overig)'!$C$17 &amp; 1000
        ),
        IFERROR(MIN(
            IF(
                (TRIM(INDIRECT("'" &amp; 'Hulp (overig)'!$C$16 &amp; "'!B1:B1000")) = TEXT(M217,"0")) *
                (ROW(INDIRECT("'" &amp; 'Hulp (overig)'!$C$16 &amp; "'!B1:B1000")) &gt;= MATCH(
                    M215,
                    INDIRECT("'" &amp; 'Hulp (overig)'!$C$16 &amp; "'!A1:A1000"),
                    0
                )) *
                IF(
                    N215="",
                    1,
                    (ROW(INDIRECT("'" &amp; 'Hulp (overig)'!$C$16 &amp; "'!B1:B1000")) &lt; MATCH(
                        N215,
                        INDIRECT("'" &amp; 'Hulp (overig)'!$C$16 &amp; "'!A1:A1000"),
                        0
                    ))
                ),
                ROW(INDIRECT("'" &amp; 'Hulp (overig)'!$C$16 &amp; "'!B1:B1000"))
            )
        ),0)
    ))
))))</f>
        <v>#VALUE!</v>
      </c>
      <c r="N218" s="425" t="e" cm="1">
        <f t="array" aca="1" ref="N218" ca="1">IF($BF218, IF(N215="","",
   INDEX(
      INDIRECT("'" &amp; 'Hulp (CAO''s)'!$AE$8 &amp; "'!" &amp;
               'Hulp (overig)'!$C$17 &amp; "1:" &amp;
               'Hulp (overig)'!$C$17 &amp; "1000"),
      MATCH(
         N215,
         INDIRECT("'" &amp; 'Hulp (CAO''s)'!$AE$8 &amp; "'!A1:A1000"),
         0
      )
   )
), IF($D216="Gebruik % van maximum salaris",
IF(
    OR(N215="",N216=""),
    "",
    MAX(
        INDIRECT(
            "'" &amp; 'Hulp (overig)'!$C$16 &amp; "'!" &amp;
            'Hulp (overig)'!$C$17 &amp;
            MATCH(N215, INDIRECT("'" &amp; 'Hulp (overig)'!$C$16 &amp; "'!A1:A1000"), 0) &amp;
            ":" &amp;
            'Hulp (overig)'!$C$17 &amp;
LOOKUP(
    2,
    1 / (
        (ROW(INDIRECT("'" &amp; 'Hulp (overig)'!$C$16 &amp; "'!B1:B1000")) &lt;
            IF(O215&lt;&gt;"",
               MATCH(O215, INDIRECT("'" &amp; 'Hulp (overig)'!$C$16 &amp; "'!A1:A1000"),0),
               1000
            )
        ) *
        (LEFT(TRIM(INDIRECT("'" &amp; 'Hulp (overig)'!$C$16 &amp; "'!B1:B1000")),1) &lt;&gt; "u")
    ),
    ROW(INDIRECT("'" &amp; 'Hulp (overig)'!$C$16 &amp; "'!B1:B1000"))
)
        )
    ) * N216
),
IF(N217="","",
IF(
    IFERROR(MIN(
        IF(
            (TRIM(INDIRECT("'" &amp; 'Hulp (overig)'!$C$16 &amp; "'!B1:B1000")) = TEXT(N217,"0")) *
            (ROW(INDIRECT("'" &amp; 'Hulp (overig)'!$C$16 &amp; "'!B1:B1000")) &gt;= MATCH(
                N215,
                INDIRECT("'" &amp; 'Hulp (overig)'!$C$16 &amp; "'!A1:A1000"),
                0
            )) *
            IF(
                O215="",
                1,
                (ROW(INDIRECT("'" &amp; 'Hulp (overig)'!$C$16 &amp; "'!B1:B1000")) &lt; MATCH(
                    O215,
                    INDIRECT("'" &amp; 'Hulp (overig)'!$C$16 &amp; "'!A1:A1000"),
                    0
                ))
            ),
            ROW(INDIRECT("'" &amp; 'Hulp (overig)'!$C$16 &amp; "'!B1:B1000"))
        )
    ),0) &lt; 1,
    "",
    IF(INDEX(
        INDIRECT("'" &amp; 'Hulp (overig)'!$C$16 &amp; "'!" &amp;
        'Hulp (overig)'!$C$17 &amp; "1:" &amp; 'Hulp (overig)'!$C$17 &amp; 1000
        ),
        IFERROR(MIN(
            IF(
                (TRIM(INDIRECT("'" &amp; 'Hulp (overig)'!$C$16 &amp; "'!B1:B1000")) = TEXT(N217,"0")) *
                (ROW(INDIRECT("'" &amp; 'Hulp (overig)'!$C$16 &amp; "'!B1:B1000")) &gt;= MATCH(
                    N215,
                    INDIRECT("'" &amp; 'Hulp (overig)'!$C$16 &amp; "'!A1:A1000"),
                    0
                )) *
                IF(
                    O215="",
                    1,
                    (ROW(INDIRECT("'" &amp; 'Hulp (overig)'!$C$16 &amp; "'!B1:B1000")) &lt; MATCH(
                        O215,
                        INDIRECT("'" &amp; 'Hulp (overig)'!$C$16 &amp; "'!A1:A1000"),
                        0
                    ))
                ),
                ROW(INDIRECT("'" &amp; 'Hulp (overig)'!$C$16 &amp; "'!B1:B1000"))
            )
        ),0)
    )=0,"",
INDEX(
        INDIRECT("'" &amp; 'Hulp (overig)'!$C$16 &amp; "'!" &amp;
        'Hulp (overig)'!$C$17 &amp; "1:" &amp; 'Hulp (overig)'!$C$17 &amp; 1000
        ),
        IFERROR(MIN(
            IF(
                (TRIM(INDIRECT("'" &amp; 'Hulp (overig)'!$C$16 &amp; "'!B1:B1000")) = TEXT(N217,"0")) *
                (ROW(INDIRECT("'" &amp; 'Hulp (overig)'!$C$16 &amp; "'!B1:B1000")) &gt;= MATCH(
                    N215,
                    INDIRECT("'" &amp; 'Hulp (overig)'!$C$16 &amp; "'!A1:A1000"),
                    0
                )) *
                IF(
                    O215="",
                    1,
                    (ROW(INDIRECT("'" &amp; 'Hulp (overig)'!$C$16 &amp; "'!B1:B1000")) &lt; MATCH(
                        O215,
                        INDIRECT("'" &amp; 'Hulp (overig)'!$C$16 &amp; "'!A1:A1000"),
                        0
                    ))
                ),
                ROW(INDIRECT("'" &amp; 'Hulp (overig)'!$C$16 &amp; "'!B1:B1000"))
            )
        ),0)
    ))
))))</f>
        <v>#VALUE!</v>
      </c>
      <c r="O218" s="425" t="e" cm="1">
        <f t="array" aca="1" ref="O218" ca="1">IF($BF218, IF(O215="","",
   INDEX(
      INDIRECT("'" &amp; 'Hulp (CAO''s)'!$AE$8 &amp; "'!" &amp;
               'Hulp (overig)'!$C$17 &amp; "1:" &amp;
               'Hulp (overig)'!$C$17 &amp; "1000"),
      MATCH(
         O215,
         INDIRECT("'" &amp; 'Hulp (CAO''s)'!$AE$8 &amp; "'!A1:A1000"),
         0
      )
   )
), IF($D216="Gebruik % van maximum salaris",
IF(
    OR(O215="",O216=""),
    "",
    MAX(
        INDIRECT(
            "'" &amp; 'Hulp (overig)'!$C$16 &amp; "'!" &amp;
            'Hulp (overig)'!$C$17 &amp;
            MATCH(O215, INDIRECT("'" &amp; 'Hulp (overig)'!$C$16 &amp; "'!A1:A1000"), 0) &amp;
            ":" &amp;
            'Hulp (overig)'!$C$17 &amp;
LOOKUP(
    2,
    1 / (
        (ROW(INDIRECT("'" &amp; 'Hulp (overig)'!$C$16 &amp; "'!B1:B1000")) &lt;
            IF(P215&lt;&gt;"",
               MATCH(P215, INDIRECT("'" &amp; 'Hulp (overig)'!$C$16 &amp; "'!A1:A1000"),0),
               1000
            )
        ) *
        (LEFT(TRIM(INDIRECT("'" &amp; 'Hulp (overig)'!$C$16 &amp; "'!B1:B1000")),1) &lt;&gt; "u")
    ),
    ROW(INDIRECT("'" &amp; 'Hulp (overig)'!$C$16 &amp; "'!B1:B1000"))
)
        )
    ) * O216
),
IF(O217="","",
IF(
    IFERROR(MIN(
        IF(
            (TRIM(INDIRECT("'" &amp; 'Hulp (overig)'!$C$16 &amp; "'!B1:B1000")) = TEXT(O217,"0")) *
            (ROW(INDIRECT("'" &amp; 'Hulp (overig)'!$C$16 &amp; "'!B1:B1000")) &gt;= MATCH(
                O215,
                INDIRECT("'" &amp; 'Hulp (overig)'!$C$16 &amp; "'!A1:A1000"),
                0
            )) *
            IF(
                P215="",
                1,
                (ROW(INDIRECT("'" &amp; 'Hulp (overig)'!$C$16 &amp; "'!B1:B1000")) &lt; MATCH(
                    P215,
                    INDIRECT("'" &amp; 'Hulp (overig)'!$C$16 &amp; "'!A1:A1000"),
                    0
                ))
            ),
            ROW(INDIRECT("'" &amp; 'Hulp (overig)'!$C$16 &amp; "'!B1:B1000"))
        )
    ),0) &lt; 1,
    "",
    IF(INDEX(
        INDIRECT("'" &amp; 'Hulp (overig)'!$C$16 &amp; "'!" &amp;
        'Hulp (overig)'!$C$17 &amp; "1:" &amp; 'Hulp (overig)'!$C$17 &amp; 1000
        ),
        IFERROR(MIN(
            IF(
                (TRIM(INDIRECT("'" &amp; 'Hulp (overig)'!$C$16 &amp; "'!B1:B1000")) = TEXT(O217,"0")) *
                (ROW(INDIRECT("'" &amp; 'Hulp (overig)'!$C$16 &amp; "'!B1:B1000")) &gt;= MATCH(
                    O215,
                    INDIRECT("'" &amp; 'Hulp (overig)'!$C$16 &amp; "'!A1:A1000"),
                    0
                )) *
                IF(
                    P215="",
                    1,
                    (ROW(INDIRECT("'" &amp; 'Hulp (overig)'!$C$16 &amp; "'!B1:B1000")) &lt; MATCH(
                        P215,
                        INDIRECT("'" &amp; 'Hulp (overig)'!$C$16 &amp; "'!A1:A1000"),
                        0
                    ))
                ),
                ROW(INDIRECT("'" &amp; 'Hulp (overig)'!$C$16 &amp; "'!B1:B1000"))
            )
        ),0)
    )=0,"",
INDEX(
        INDIRECT("'" &amp; 'Hulp (overig)'!$C$16 &amp; "'!" &amp;
        'Hulp (overig)'!$C$17 &amp; "1:" &amp; 'Hulp (overig)'!$C$17 &amp; 1000
        ),
        IFERROR(MIN(
            IF(
                (TRIM(INDIRECT("'" &amp; 'Hulp (overig)'!$C$16 &amp; "'!B1:B1000")) = TEXT(O217,"0")) *
                (ROW(INDIRECT("'" &amp; 'Hulp (overig)'!$C$16 &amp; "'!B1:B1000")) &gt;= MATCH(
                    O215,
                    INDIRECT("'" &amp; 'Hulp (overig)'!$C$16 &amp; "'!A1:A1000"),
                    0
                )) *
                IF(
                    P215="",
                    1,
                    (ROW(INDIRECT("'" &amp; 'Hulp (overig)'!$C$16 &amp; "'!B1:B1000")) &lt; MATCH(
                        P215,
                        INDIRECT("'" &amp; 'Hulp (overig)'!$C$16 &amp; "'!A1:A1000"),
                        0
                    ))
                ),
                ROW(INDIRECT("'" &amp; 'Hulp (overig)'!$C$16 &amp; "'!B1:B1000"))
            )
        ),0)
    ))
))))</f>
        <v>#VALUE!</v>
      </c>
      <c r="P218" s="425" t="e" cm="1">
        <f t="array" aca="1" ref="P218" ca="1">IF($BF218, IF(P215="","",
   INDEX(
      INDIRECT("'" &amp; 'Hulp (CAO''s)'!$AE$8 &amp; "'!" &amp;
               'Hulp (overig)'!$C$17 &amp; "1:" &amp;
               'Hulp (overig)'!$C$17 &amp; "1000"),
      MATCH(
         P215,
         INDIRECT("'" &amp; 'Hulp (CAO''s)'!$AE$8 &amp; "'!A1:A1000"),
         0
      )
   )
), IF($D216="Gebruik % van maximum salaris",
IF(
    OR(P215="",P216=""),
    "",
    MAX(
        INDIRECT(
            "'" &amp; 'Hulp (overig)'!$C$16 &amp; "'!" &amp;
            'Hulp (overig)'!$C$17 &amp;
            MATCH(P215, INDIRECT("'" &amp; 'Hulp (overig)'!$C$16 &amp; "'!A1:A1000"), 0) &amp;
            ":" &amp;
            'Hulp (overig)'!$C$17 &amp;
LOOKUP(
    2,
    1 / (
        (ROW(INDIRECT("'" &amp; 'Hulp (overig)'!$C$16 &amp; "'!B1:B1000")) &lt;
            IF(Q215&lt;&gt;"",
               MATCH(Q215, INDIRECT("'" &amp; 'Hulp (overig)'!$C$16 &amp; "'!A1:A1000"),0),
               1000
            )
        ) *
        (LEFT(TRIM(INDIRECT("'" &amp; 'Hulp (overig)'!$C$16 &amp; "'!B1:B1000")),1) &lt;&gt; "u")
    ),
    ROW(INDIRECT("'" &amp; 'Hulp (overig)'!$C$16 &amp; "'!B1:B1000"))
)
        )
    ) * P216
),
IF(P217="","",
IF(
    IFERROR(MIN(
        IF(
            (TRIM(INDIRECT("'" &amp; 'Hulp (overig)'!$C$16 &amp; "'!B1:B1000")) = TEXT(P217,"0")) *
            (ROW(INDIRECT("'" &amp; 'Hulp (overig)'!$C$16 &amp; "'!B1:B1000")) &gt;= MATCH(
                P215,
                INDIRECT("'" &amp; 'Hulp (overig)'!$C$16 &amp; "'!A1:A1000"),
                0
            )) *
            IF(
                Q215="",
                1,
                (ROW(INDIRECT("'" &amp; 'Hulp (overig)'!$C$16 &amp; "'!B1:B1000")) &lt; MATCH(
                    Q215,
                    INDIRECT("'" &amp; 'Hulp (overig)'!$C$16 &amp; "'!A1:A1000"),
                    0
                ))
            ),
            ROW(INDIRECT("'" &amp; 'Hulp (overig)'!$C$16 &amp; "'!B1:B1000"))
        )
    ),0) &lt; 1,
    "",
    IF(INDEX(
        INDIRECT("'" &amp; 'Hulp (overig)'!$C$16 &amp; "'!" &amp;
        'Hulp (overig)'!$C$17 &amp; "1:" &amp; 'Hulp (overig)'!$C$17 &amp; 1000
        ),
        IFERROR(MIN(
            IF(
                (TRIM(INDIRECT("'" &amp; 'Hulp (overig)'!$C$16 &amp; "'!B1:B1000")) = TEXT(P217,"0")) *
                (ROW(INDIRECT("'" &amp; 'Hulp (overig)'!$C$16 &amp; "'!B1:B1000")) &gt;= MATCH(
                    P215,
                    INDIRECT("'" &amp; 'Hulp (overig)'!$C$16 &amp; "'!A1:A1000"),
                    0
                )) *
                IF(
                    Q215="",
                    1,
                    (ROW(INDIRECT("'" &amp; 'Hulp (overig)'!$C$16 &amp; "'!B1:B1000")) &lt; MATCH(
                        Q215,
                        INDIRECT("'" &amp; 'Hulp (overig)'!$C$16 &amp; "'!A1:A1000"),
                        0
                    ))
                ),
                ROW(INDIRECT("'" &amp; 'Hulp (overig)'!$C$16 &amp; "'!B1:B1000"))
            )
        ),0)
    )=0,"",
INDEX(
        INDIRECT("'" &amp; 'Hulp (overig)'!$C$16 &amp; "'!" &amp;
        'Hulp (overig)'!$C$17 &amp; "1:" &amp; 'Hulp (overig)'!$C$17 &amp; 1000
        ),
        IFERROR(MIN(
            IF(
                (TRIM(INDIRECT("'" &amp; 'Hulp (overig)'!$C$16 &amp; "'!B1:B1000")) = TEXT(P217,"0")) *
                (ROW(INDIRECT("'" &amp; 'Hulp (overig)'!$C$16 &amp; "'!B1:B1000")) &gt;= MATCH(
                    P215,
                    INDIRECT("'" &amp; 'Hulp (overig)'!$C$16 &amp; "'!A1:A1000"),
                    0
                )) *
                IF(
                    Q215="",
                    1,
                    (ROW(INDIRECT("'" &amp; 'Hulp (overig)'!$C$16 &amp; "'!B1:B1000")) &lt; MATCH(
                        Q215,
                        INDIRECT("'" &amp; 'Hulp (overig)'!$C$16 &amp; "'!A1:A1000"),
                        0
                    ))
                ),
                ROW(INDIRECT("'" &amp; 'Hulp (overig)'!$C$16 &amp; "'!B1:B1000"))
            )
        ),0)
    ))
))))</f>
        <v>#VALUE!</v>
      </c>
      <c r="Q218" s="425" t="e" cm="1">
        <f t="array" aca="1" ref="Q218" ca="1">IF($BF218, IF(Q215="","",
   INDEX(
      INDIRECT("'" &amp; 'Hulp (CAO''s)'!$AE$8 &amp; "'!" &amp;
               'Hulp (overig)'!$C$17 &amp; "1:" &amp;
               'Hulp (overig)'!$C$17 &amp; "1000"),
      MATCH(
         Q215,
         INDIRECT("'" &amp; 'Hulp (CAO''s)'!$AE$8 &amp; "'!A1:A1000"),
         0
      )
   )
), IF($D216="Gebruik % van maximum salaris",
IF(
    OR(Q215="",Q216=""),
    "",
    MAX(
        INDIRECT(
            "'" &amp; 'Hulp (overig)'!$C$16 &amp; "'!" &amp;
            'Hulp (overig)'!$C$17 &amp;
            MATCH(Q215, INDIRECT("'" &amp; 'Hulp (overig)'!$C$16 &amp; "'!A1:A1000"), 0) &amp;
            ":" &amp;
            'Hulp (overig)'!$C$17 &amp;
LOOKUP(
    2,
    1 / (
        (ROW(INDIRECT("'" &amp; 'Hulp (overig)'!$C$16 &amp; "'!B1:B1000")) &lt;
            IF(R215&lt;&gt;"",
               MATCH(R215, INDIRECT("'" &amp; 'Hulp (overig)'!$C$16 &amp; "'!A1:A1000"),0),
               1000
            )
        ) *
        (LEFT(TRIM(INDIRECT("'" &amp; 'Hulp (overig)'!$C$16 &amp; "'!B1:B1000")),1) &lt;&gt; "u")
    ),
    ROW(INDIRECT("'" &amp; 'Hulp (overig)'!$C$16 &amp; "'!B1:B1000"))
)
        )
    ) * Q216
),
IF(Q217="","",
IF(
    IFERROR(MIN(
        IF(
            (TRIM(INDIRECT("'" &amp; 'Hulp (overig)'!$C$16 &amp; "'!B1:B1000")) = TEXT(Q217,"0")) *
            (ROW(INDIRECT("'" &amp; 'Hulp (overig)'!$C$16 &amp; "'!B1:B1000")) &gt;= MATCH(
                Q215,
                INDIRECT("'" &amp; 'Hulp (overig)'!$C$16 &amp; "'!A1:A1000"),
                0
            )) *
            IF(
                R215="",
                1,
                (ROW(INDIRECT("'" &amp; 'Hulp (overig)'!$C$16 &amp; "'!B1:B1000")) &lt; MATCH(
                    R215,
                    INDIRECT("'" &amp; 'Hulp (overig)'!$C$16 &amp; "'!A1:A1000"),
                    0
                ))
            ),
            ROW(INDIRECT("'" &amp; 'Hulp (overig)'!$C$16 &amp; "'!B1:B1000"))
        )
    ),0) &lt; 1,
    "",
    IF(INDEX(
        INDIRECT("'" &amp; 'Hulp (overig)'!$C$16 &amp; "'!" &amp;
        'Hulp (overig)'!$C$17 &amp; "1:" &amp; 'Hulp (overig)'!$C$17 &amp; 1000
        ),
        IFERROR(MIN(
            IF(
                (TRIM(INDIRECT("'" &amp; 'Hulp (overig)'!$C$16 &amp; "'!B1:B1000")) = TEXT(Q217,"0")) *
                (ROW(INDIRECT("'" &amp; 'Hulp (overig)'!$C$16 &amp; "'!B1:B1000")) &gt;= MATCH(
                    Q215,
                    INDIRECT("'" &amp; 'Hulp (overig)'!$C$16 &amp; "'!A1:A1000"),
                    0
                )) *
                IF(
                    R215="",
                    1,
                    (ROW(INDIRECT("'" &amp; 'Hulp (overig)'!$C$16 &amp; "'!B1:B1000")) &lt; MATCH(
                        R215,
                        INDIRECT("'" &amp; 'Hulp (overig)'!$C$16 &amp; "'!A1:A1000"),
                        0
                    ))
                ),
                ROW(INDIRECT("'" &amp; 'Hulp (overig)'!$C$16 &amp; "'!B1:B1000"))
            )
        ),0)
    )=0,"",
INDEX(
        INDIRECT("'" &amp; 'Hulp (overig)'!$C$16 &amp; "'!" &amp;
        'Hulp (overig)'!$C$17 &amp; "1:" &amp; 'Hulp (overig)'!$C$17 &amp; 1000
        ),
        IFERROR(MIN(
            IF(
                (TRIM(INDIRECT("'" &amp; 'Hulp (overig)'!$C$16 &amp; "'!B1:B1000")) = TEXT(Q217,"0")) *
                (ROW(INDIRECT("'" &amp; 'Hulp (overig)'!$C$16 &amp; "'!B1:B1000")) &gt;= MATCH(
                    Q215,
                    INDIRECT("'" &amp; 'Hulp (overig)'!$C$16 &amp; "'!A1:A1000"),
                    0
                )) *
                IF(
                    R215="",
                    1,
                    (ROW(INDIRECT("'" &amp; 'Hulp (overig)'!$C$16 &amp; "'!B1:B1000")) &lt; MATCH(
                        R215,
                        INDIRECT("'" &amp; 'Hulp (overig)'!$C$16 &amp; "'!A1:A1000"),
                        0
                    ))
                ),
                ROW(INDIRECT("'" &amp; 'Hulp (overig)'!$C$16 &amp; "'!B1:B1000"))
            )
        ),0)
    ))
))))</f>
        <v>#VALUE!</v>
      </c>
      <c r="R218" s="425" t="e" cm="1">
        <f t="array" aca="1" ref="R218" ca="1">IF($BF218, IF(R215="","",
   INDEX(
      INDIRECT("'" &amp; 'Hulp (CAO''s)'!$AE$8 &amp; "'!" &amp;
               'Hulp (overig)'!$C$17 &amp; "1:" &amp;
               'Hulp (overig)'!$C$17 &amp; "1000"),
      MATCH(
         R215,
         INDIRECT("'" &amp; 'Hulp (CAO''s)'!$AE$8 &amp; "'!A1:A1000"),
         0
      )
   )
), IF($D216="Gebruik % van maximum salaris",
IF(
    OR(R215="",R216=""),
    "",
    MAX(
        INDIRECT(
            "'" &amp; 'Hulp (overig)'!$C$16 &amp; "'!" &amp;
            'Hulp (overig)'!$C$17 &amp;
            MATCH(R215, INDIRECT("'" &amp; 'Hulp (overig)'!$C$16 &amp; "'!A1:A1000"), 0) &amp;
            ":" &amp;
            'Hulp (overig)'!$C$17 &amp;
LOOKUP(
    2,
    1 / (
        (ROW(INDIRECT("'" &amp; 'Hulp (overig)'!$C$16 &amp; "'!B1:B1000")) &lt;
            IF(S215&lt;&gt;"",
               MATCH(S215, INDIRECT("'" &amp; 'Hulp (overig)'!$C$16 &amp; "'!A1:A1000"),0),
               1000
            )
        ) *
        (LEFT(TRIM(INDIRECT("'" &amp; 'Hulp (overig)'!$C$16 &amp; "'!B1:B1000")),1) &lt;&gt; "u")
    ),
    ROW(INDIRECT("'" &amp; 'Hulp (overig)'!$C$16 &amp; "'!B1:B1000"))
)
        )
    ) * R216
),
IF(R217="","",
IF(
    IFERROR(MIN(
        IF(
            (TRIM(INDIRECT("'" &amp; 'Hulp (overig)'!$C$16 &amp; "'!B1:B1000")) = TEXT(R217,"0")) *
            (ROW(INDIRECT("'" &amp; 'Hulp (overig)'!$C$16 &amp; "'!B1:B1000")) &gt;= MATCH(
                R215,
                INDIRECT("'" &amp; 'Hulp (overig)'!$C$16 &amp; "'!A1:A1000"),
                0
            )) *
            IF(
                S215="",
                1,
                (ROW(INDIRECT("'" &amp; 'Hulp (overig)'!$C$16 &amp; "'!B1:B1000")) &lt; MATCH(
                    S215,
                    INDIRECT("'" &amp; 'Hulp (overig)'!$C$16 &amp; "'!A1:A1000"),
                    0
                ))
            ),
            ROW(INDIRECT("'" &amp; 'Hulp (overig)'!$C$16 &amp; "'!B1:B1000"))
        )
    ),0) &lt; 1,
    "",
    IF(INDEX(
        INDIRECT("'" &amp; 'Hulp (overig)'!$C$16 &amp; "'!" &amp;
        'Hulp (overig)'!$C$17 &amp; "1:" &amp; 'Hulp (overig)'!$C$17 &amp; 1000
        ),
        IFERROR(MIN(
            IF(
                (TRIM(INDIRECT("'" &amp; 'Hulp (overig)'!$C$16 &amp; "'!B1:B1000")) = TEXT(R217,"0")) *
                (ROW(INDIRECT("'" &amp; 'Hulp (overig)'!$C$16 &amp; "'!B1:B1000")) &gt;= MATCH(
                    R215,
                    INDIRECT("'" &amp; 'Hulp (overig)'!$C$16 &amp; "'!A1:A1000"),
                    0
                )) *
                IF(
                    S215="",
                    1,
                    (ROW(INDIRECT("'" &amp; 'Hulp (overig)'!$C$16 &amp; "'!B1:B1000")) &lt; MATCH(
                        S215,
                        INDIRECT("'" &amp; 'Hulp (overig)'!$C$16 &amp; "'!A1:A1000"),
                        0
                    ))
                ),
                ROW(INDIRECT("'" &amp; 'Hulp (overig)'!$C$16 &amp; "'!B1:B1000"))
            )
        ),0)
    )=0,"",
INDEX(
        INDIRECT("'" &amp; 'Hulp (overig)'!$C$16 &amp; "'!" &amp;
        'Hulp (overig)'!$C$17 &amp; "1:" &amp; 'Hulp (overig)'!$C$17 &amp; 1000
        ),
        IFERROR(MIN(
            IF(
                (TRIM(INDIRECT("'" &amp; 'Hulp (overig)'!$C$16 &amp; "'!B1:B1000")) = TEXT(R217,"0")) *
                (ROW(INDIRECT("'" &amp; 'Hulp (overig)'!$C$16 &amp; "'!B1:B1000")) &gt;= MATCH(
                    R215,
                    INDIRECT("'" &amp; 'Hulp (overig)'!$C$16 &amp; "'!A1:A1000"),
                    0
                )) *
                IF(
                    S215="",
                    1,
                    (ROW(INDIRECT("'" &amp; 'Hulp (overig)'!$C$16 &amp; "'!B1:B1000")) &lt; MATCH(
                        S215,
                        INDIRECT("'" &amp; 'Hulp (overig)'!$C$16 &amp; "'!A1:A1000"),
                        0
                    ))
                ),
                ROW(INDIRECT("'" &amp; 'Hulp (overig)'!$C$16 &amp; "'!B1:B1000"))
            )
        ),0)
    ))
))))</f>
        <v>#VALUE!</v>
      </c>
      <c r="S218" s="425" t="e" cm="1">
        <f t="array" aca="1" ref="S218" ca="1">IF($BF218, IF(S215="","",
   INDEX(
      INDIRECT("'" &amp; 'Hulp (CAO''s)'!$AE$8 &amp; "'!" &amp;
               'Hulp (overig)'!$C$17 &amp; "1:" &amp;
               'Hulp (overig)'!$C$17 &amp; "1000"),
      MATCH(
         S215,
         INDIRECT("'" &amp; 'Hulp (CAO''s)'!$AE$8 &amp; "'!A1:A1000"),
         0
      )
   )
), IF($D216="Gebruik % van maximum salaris",
IF(
    OR(S215="",S216=""),
    "",
    MAX(
        INDIRECT(
            "'" &amp; 'Hulp (overig)'!$C$16 &amp; "'!" &amp;
            'Hulp (overig)'!$C$17 &amp;
            MATCH(S215, INDIRECT("'" &amp; 'Hulp (overig)'!$C$16 &amp; "'!A1:A1000"), 0) &amp;
            ":" &amp;
            'Hulp (overig)'!$C$17 &amp;
LOOKUP(
    2,
    1 / (
        (ROW(INDIRECT("'" &amp; 'Hulp (overig)'!$C$16 &amp; "'!B1:B1000")) &lt;
            IF(T215&lt;&gt;"",
               MATCH(T215, INDIRECT("'" &amp; 'Hulp (overig)'!$C$16 &amp; "'!A1:A1000"),0),
               1000
            )
        ) *
        (LEFT(TRIM(INDIRECT("'" &amp; 'Hulp (overig)'!$C$16 &amp; "'!B1:B1000")),1) &lt;&gt; "u")
    ),
    ROW(INDIRECT("'" &amp; 'Hulp (overig)'!$C$16 &amp; "'!B1:B1000"))
)
        )
    ) * S216
),
IF(S217="","",
IF(
    IFERROR(MIN(
        IF(
            (TRIM(INDIRECT("'" &amp; 'Hulp (overig)'!$C$16 &amp; "'!B1:B1000")) = TEXT(S217,"0")) *
            (ROW(INDIRECT("'" &amp; 'Hulp (overig)'!$C$16 &amp; "'!B1:B1000")) &gt;= MATCH(
                S215,
                INDIRECT("'" &amp; 'Hulp (overig)'!$C$16 &amp; "'!A1:A1000"),
                0
            )) *
            IF(
                T215="",
                1,
                (ROW(INDIRECT("'" &amp; 'Hulp (overig)'!$C$16 &amp; "'!B1:B1000")) &lt; MATCH(
                    T215,
                    INDIRECT("'" &amp; 'Hulp (overig)'!$C$16 &amp; "'!A1:A1000"),
                    0
                ))
            ),
            ROW(INDIRECT("'" &amp; 'Hulp (overig)'!$C$16 &amp; "'!B1:B1000"))
        )
    ),0) &lt; 1,
    "",
    IF(INDEX(
        INDIRECT("'" &amp; 'Hulp (overig)'!$C$16 &amp; "'!" &amp;
        'Hulp (overig)'!$C$17 &amp; "1:" &amp; 'Hulp (overig)'!$C$17 &amp; 1000
        ),
        IFERROR(MIN(
            IF(
                (TRIM(INDIRECT("'" &amp; 'Hulp (overig)'!$C$16 &amp; "'!B1:B1000")) = TEXT(S217,"0")) *
                (ROW(INDIRECT("'" &amp; 'Hulp (overig)'!$C$16 &amp; "'!B1:B1000")) &gt;= MATCH(
                    S215,
                    INDIRECT("'" &amp; 'Hulp (overig)'!$C$16 &amp; "'!A1:A1000"),
                    0
                )) *
                IF(
                    T215="",
                    1,
                    (ROW(INDIRECT("'" &amp; 'Hulp (overig)'!$C$16 &amp; "'!B1:B1000")) &lt; MATCH(
                        T215,
                        INDIRECT("'" &amp; 'Hulp (overig)'!$C$16 &amp; "'!A1:A1000"),
                        0
                    ))
                ),
                ROW(INDIRECT("'" &amp; 'Hulp (overig)'!$C$16 &amp; "'!B1:B1000"))
            )
        ),0)
    )=0,"",
INDEX(
        INDIRECT("'" &amp; 'Hulp (overig)'!$C$16 &amp; "'!" &amp;
        'Hulp (overig)'!$C$17 &amp; "1:" &amp; 'Hulp (overig)'!$C$17 &amp; 1000
        ),
        IFERROR(MIN(
            IF(
                (TRIM(INDIRECT("'" &amp; 'Hulp (overig)'!$C$16 &amp; "'!B1:B1000")) = TEXT(S217,"0")) *
                (ROW(INDIRECT("'" &amp; 'Hulp (overig)'!$C$16 &amp; "'!B1:B1000")) &gt;= MATCH(
                    S215,
                    INDIRECT("'" &amp; 'Hulp (overig)'!$C$16 &amp; "'!A1:A1000"),
                    0
                )) *
                IF(
                    T215="",
                    1,
                    (ROW(INDIRECT("'" &amp; 'Hulp (overig)'!$C$16 &amp; "'!B1:B1000")) &lt; MATCH(
                        T215,
                        INDIRECT("'" &amp; 'Hulp (overig)'!$C$16 &amp; "'!A1:A1000"),
                        0
                    ))
                ),
                ROW(INDIRECT("'" &amp; 'Hulp (overig)'!$C$16 &amp; "'!B1:B1000"))
            )
        ),0)
    ))
))))</f>
        <v>#VALUE!</v>
      </c>
      <c r="T218" s="425" t="e" cm="1">
        <f t="array" aca="1" ref="T218" ca="1">IF($BF218, IF(T215="","",
   INDEX(
      INDIRECT("'" &amp; 'Hulp (CAO''s)'!$AE$8 &amp; "'!" &amp;
               'Hulp (overig)'!$C$17 &amp; "1:" &amp;
               'Hulp (overig)'!$C$17 &amp; "1000"),
      MATCH(
         T215,
         INDIRECT("'" &amp; 'Hulp (CAO''s)'!$AE$8 &amp; "'!A1:A1000"),
         0
      )
   )
), IF($D216="Gebruik % van maximum salaris",
IF(
    OR(T215="",T216=""),
    "",
    MAX(
        INDIRECT(
            "'" &amp; 'Hulp (overig)'!$C$16 &amp; "'!" &amp;
            'Hulp (overig)'!$C$17 &amp;
            MATCH(T215, INDIRECT("'" &amp; 'Hulp (overig)'!$C$16 &amp; "'!A1:A1000"), 0) &amp;
            ":" &amp;
            'Hulp (overig)'!$C$17 &amp;
LOOKUP(
    2,
    1 / (
        (ROW(INDIRECT("'" &amp; 'Hulp (overig)'!$C$16 &amp; "'!B1:B1000")) &lt;
            IF(U215&lt;&gt;"",
               MATCH(U215, INDIRECT("'" &amp; 'Hulp (overig)'!$C$16 &amp; "'!A1:A1000"),0),
               1000
            )
        ) *
        (LEFT(TRIM(INDIRECT("'" &amp; 'Hulp (overig)'!$C$16 &amp; "'!B1:B1000")),1) &lt;&gt; "u")
    ),
    ROW(INDIRECT("'" &amp; 'Hulp (overig)'!$C$16 &amp; "'!B1:B1000"))
)
        )
    ) * T216
),
IF(T217="","",
IF(
    IFERROR(MIN(
        IF(
            (TRIM(INDIRECT("'" &amp; 'Hulp (overig)'!$C$16 &amp; "'!B1:B1000")) = TEXT(T217,"0")) *
            (ROW(INDIRECT("'" &amp; 'Hulp (overig)'!$C$16 &amp; "'!B1:B1000")) &gt;= MATCH(
                T215,
                INDIRECT("'" &amp; 'Hulp (overig)'!$C$16 &amp; "'!A1:A1000"),
                0
            )) *
            IF(
                U215="",
                1,
                (ROW(INDIRECT("'" &amp; 'Hulp (overig)'!$C$16 &amp; "'!B1:B1000")) &lt; MATCH(
                    U215,
                    INDIRECT("'" &amp; 'Hulp (overig)'!$C$16 &amp; "'!A1:A1000"),
                    0
                ))
            ),
            ROW(INDIRECT("'" &amp; 'Hulp (overig)'!$C$16 &amp; "'!B1:B1000"))
        )
    ),0) &lt; 1,
    "",
    IF(INDEX(
        INDIRECT("'" &amp; 'Hulp (overig)'!$C$16 &amp; "'!" &amp;
        'Hulp (overig)'!$C$17 &amp; "1:" &amp; 'Hulp (overig)'!$C$17 &amp; 1000
        ),
        IFERROR(MIN(
            IF(
                (TRIM(INDIRECT("'" &amp; 'Hulp (overig)'!$C$16 &amp; "'!B1:B1000")) = TEXT(T217,"0")) *
                (ROW(INDIRECT("'" &amp; 'Hulp (overig)'!$C$16 &amp; "'!B1:B1000")) &gt;= MATCH(
                    T215,
                    INDIRECT("'" &amp; 'Hulp (overig)'!$C$16 &amp; "'!A1:A1000"),
                    0
                )) *
                IF(
                    U215="",
                    1,
                    (ROW(INDIRECT("'" &amp; 'Hulp (overig)'!$C$16 &amp; "'!B1:B1000")) &lt; MATCH(
                        U215,
                        INDIRECT("'" &amp; 'Hulp (overig)'!$C$16 &amp; "'!A1:A1000"),
                        0
                    ))
                ),
                ROW(INDIRECT("'" &amp; 'Hulp (overig)'!$C$16 &amp; "'!B1:B1000"))
            )
        ),0)
    )=0,"",
INDEX(
        INDIRECT("'" &amp; 'Hulp (overig)'!$C$16 &amp; "'!" &amp;
        'Hulp (overig)'!$C$17 &amp; "1:" &amp; 'Hulp (overig)'!$C$17 &amp; 1000
        ),
        IFERROR(MIN(
            IF(
                (TRIM(INDIRECT("'" &amp; 'Hulp (overig)'!$C$16 &amp; "'!B1:B1000")) = TEXT(T217,"0")) *
                (ROW(INDIRECT("'" &amp; 'Hulp (overig)'!$C$16 &amp; "'!B1:B1000")) &gt;= MATCH(
                    T215,
                    INDIRECT("'" &amp; 'Hulp (overig)'!$C$16 &amp; "'!A1:A1000"),
                    0
                )) *
                IF(
                    U215="",
                    1,
                    (ROW(INDIRECT("'" &amp; 'Hulp (overig)'!$C$16 &amp; "'!B1:B1000")) &lt; MATCH(
                        U215,
                        INDIRECT("'" &amp; 'Hulp (overig)'!$C$16 &amp; "'!A1:A1000"),
                        0
                    ))
                ),
                ROW(INDIRECT("'" &amp; 'Hulp (overig)'!$C$16 &amp; "'!B1:B1000"))
            )
        ),0)
    ))
))))</f>
        <v>#VALUE!</v>
      </c>
      <c r="U218" s="723" t="e" cm="1">
        <f t="array" aca="1" ref="U218" ca="1">IF($BF218, IF(U215="","",
   INDEX(
      INDIRECT("'" &amp; 'Hulp (CAO''s)'!$AE$8 &amp; "'!" &amp;
               'Hulp (overig)'!$C$17 &amp; "1:" &amp;
               'Hulp (overig)'!$C$17 &amp; "1000"),
      MATCH(
         U215,
         INDIRECT("'" &amp; 'Hulp (CAO''s)'!$AE$8 &amp; "'!A1:A1000"),
         0
      )
   )
), IF($D216="Gebruik % van maximum salaris",
IF(
    OR(U215="",U216=""),
    "",
    MAX(
        INDIRECT(
            "'" &amp; 'Hulp (overig)'!$C$16 &amp; "'!" &amp;
            'Hulp (overig)'!$C$17 &amp;
            MATCH(U215, INDIRECT("'" &amp; 'Hulp (overig)'!$C$16 &amp; "'!A1:A1000"), 0) &amp;
            ":" &amp;
            'Hulp (overig)'!$C$17 &amp;
LOOKUP(
    2,
    1 / (
        (ROW(INDIRECT("'" &amp; 'Hulp (overig)'!$C$16 &amp; "'!B1:B1000")) &lt;
            IF(V215&lt;&gt;"",
               MATCH(V215, INDIRECT("'" &amp; 'Hulp (overig)'!$C$16 &amp; "'!A1:A1000"),0),
               1000
            )
        ) *
        (LEFT(TRIM(INDIRECT("'" &amp; 'Hulp (overig)'!$C$16 &amp; "'!B1:B1000")),1) &lt;&gt; "u")
    ),
    ROW(INDIRECT("'" &amp; 'Hulp (overig)'!$C$16 &amp; "'!B1:B1000"))
)
        )
    ) * U216
),
IF(U217="","",
IF(
    IFERROR(MIN(
        IF(
            (TRIM(INDIRECT("'" &amp; 'Hulp (overig)'!$C$16 &amp; "'!B1:B1000")) = TEXT(U217,"0")) *
            (ROW(INDIRECT("'" &amp; 'Hulp (overig)'!$C$16 &amp; "'!B1:B1000")) &gt;= MATCH(
                U215,
                INDIRECT("'" &amp; 'Hulp (overig)'!$C$16 &amp; "'!A1:A1000"),
                0
            )) *
            IF(
                V215="",
                1,
                (ROW(INDIRECT("'" &amp; 'Hulp (overig)'!$C$16 &amp; "'!B1:B1000")) &lt; MATCH(
                    V215,
                    INDIRECT("'" &amp; 'Hulp (overig)'!$C$16 &amp; "'!A1:A1000"),
                    0
                ))
            ),
            ROW(INDIRECT("'" &amp; 'Hulp (overig)'!$C$16 &amp; "'!B1:B1000"))
        )
    ),0) &lt; 1,
    "",
    IF(INDEX(
        INDIRECT("'" &amp; 'Hulp (overig)'!$C$16 &amp; "'!" &amp;
        'Hulp (overig)'!$C$17 &amp; "1:" &amp; 'Hulp (overig)'!$C$17 &amp; 1000
        ),
        IFERROR(MIN(
            IF(
                (TRIM(INDIRECT("'" &amp; 'Hulp (overig)'!$C$16 &amp; "'!B1:B1000")) = TEXT(U217,"0")) *
                (ROW(INDIRECT("'" &amp; 'Hulp (overig)'!$C$16 &amp; "'!B1:B1000")) &gt;= MATCH(
                    U215,
                    INDIRECT("'" &amp; 'Hulp (overig)'!$C$16 &amp; "'!A1:A1000"),
                    0
                )) *
                IF(
                    V215="",
                    1,
                    (ROW(INDIRECT("'" &amp; 'Hulp (overig)'!$C$16 &amp; "'!B1:B1000")) &lt; MATCH(
                        V215,
                        INDIRECT("'" &amp; 'Hulp (overig)'!$C$16 &amp; "'!A1:A1000"),
                        0
                    ))
                ),
                ROW(INDIRECT("'" &amp; 'Hulp (overig)'!$C$16 &amp; "'!B1:B1000"))
            )
        ),0)
    )=0,"",
INDEX(
        INDIRECT("'" &amp; 'Hulp (overig)'!$C$16 &amp; "'!" &amp;
        'Hulp (overig)'!$C$17 &amp; "1:" &amp; 'Hulp (overig)'!$C$17 &amp; 1000
        ),
        IFERROR(MIN(
            IF(
                (TRIM(INDIRECT("'" &amp; 'Hulp (overig)'!$C$16 &amp; "'!B1:B1000")) = TEXT(U217,"0")) *
                (ROW(INDIRECT("'" &amp; 'Hulp (overig)'!$C$16 &amp; "'!B1:B1000")) &gt;= MATCH(
                    U215,
                    INDIRECT("'" &amp; 'Hulp (overig)'!$C$16 &amp; "'!A1:A1000"),
                    0
                )) *
                IF(
                    V215="",
                    1,
                    (ROW(INDIRECT("'" &amp; 'Hulp (overig)'!$C$16 &amp; "'!B1:B1000")) &lt; MATCH(
                        V215,
                        INDIRECT("'" &amp; 'Hulp (overig)'!$C$16 &amp; "'!A1:A1000"),
                        0
                    ))
                ),
                ROW(INDIRECT("'" &amp; 'Hulp (overig)'!$C$16 &amp; "'!B1:B1000"))
            )
        ),0)
    ))
))))</f>
        <v>#VALUE!</v>
      </c>
      <c r="V218" s="413" t="str" cm="1">
        <f t="array" ref="V218">IF(SUM(F219:U219)=0,"",
IF(SUM(F218:U218)=0,"",
IF(SUMPRODUCT((F219:U219&lt;&gt;0)*(F218:U218=""))&gt;0,"",
(
   SUMPRODUCT(
      IF(F218:U218="",0,F218:U218),
      IF(F219:U219="",0,F219:U219) / SUM(F219:U219)
   )
))))</f>
        <v/>
      </c>
      <c r="W218" s="418"/>
      <c r="X218" s="620"/>
      <c r="Y218" s="419" t="str">
        <f ca="1">IF(B215="","",
        IF(INDIRECT("'Hulp (control forms)'!C" &amp; (13 + INT((ROW()-ROW($B$5))/7))),
            IF(X218="","",X218),
            IF(V218="","",V218)
    )
)</f>
        <v/>
      </c>
      <c r="Z218" s="333"/>
      <c r="AA218" s="771"/>
      <c r="AB218" s="770"/>
      <c r="AC218" s="289"/>
      <c r="AD218" s="289"/>
      <c r="AE218" s="289"/>
      <c r="AF218" s="289"/>
      <c r="AG218" s="289"/>
      <c r="AH218" s="289"/>
      <c r="AI218" s="289"/>
      <c r="AJ218" s="289"/>
      <c r="AK218" s="289"/>
      <c r="AL218" s="289"/>
      <c r="AM218" s="289"/>
      <c r="AN218" s="289"/>
      <c r="AO218" s="289"/>
      <c r="AP218" s="289"/>
      <c r="AQ218" s="289"/>
      <c r="AR218" s="289"/>
      <c r="AS218" s="289"/>
      <c r="AT218" s="289"/>
      <c r="AU218" s="289"/>
      <c r="AV218" s="289"/>
      <c r="AW218" s="289"/>
      <c r="AX218" s="289"/>
      <c r="AY218" s="289"/>
      <c r="AZ218" s="289"/>
      <c r="BA218" cm="1">
        <f t="array" aca="1" ref="BA218" ca="1">IF(
   SUM(Y218)=0,
   1,
   IF(
      N(INDIRECT("'Hulp (control forms)'!C"&amp;(13+INT((ROW()-ROW($B$5))/7))))&lt;&gt;0,
      MIN(1,
      ('Hulp (overig)'!$C$6/12) /
      (Y218 * BC218 + BD218)),
      MIN(1,
         IF(
            SUM(F218:U218)=0,
            "",
            SUMPRODUCT(
               IF(
                  (IF(F218:U218="",0,F218:U218) * BC218) + BD218
                  &gt; 'Hulp (overig)'!$C$6/12,
                  'Hulp (overig)'!$C$6/12,
                  (IF(F218:U218="",0,F218:U218) * BC218) + BD218
               ),
               IF(F219:U219="",0,F219:U219) / SUM(F219:U219)
            )
         ) /
         ((Y218 * BC218) + BD218)
      )
   )
)</f>
        <v>1</v>
      </c>
      <c r="BB218" cm="1">
        <f t="array" aca="1" ref="BB218" ca="1">IF(
   SUM(Y218)=0,
   1,
   IF(
      N(INDIRECT("'Hulp (control forms)'!C"&amp;(13+INT((ROW()-ROW($B$5))/7))))&lt;&gt;0,
      MIN('Hulp (overig)'!$C$5/12,
      (Y218 * BC218) + BD218) * 12,
         IF(
            SUM(F218:U218)=0,
            "",
            SUMPRODUCT(
               IF(
                  (IF(F218:U218="",0,F218:U218) * BC218) + BD218
                  &gt; 'Hulp (overig)'!$C$5/12,
                  'Hulp (overig)'!$C$5/12,
                  (IF(F218:U218="",0,F218:U218) * BC218) + BD218
               ),
               IF(F219:U219="",0,F219:U219) / SUM(F219:U219)
            )
         ) * 12
   )
)</f>
        <v>1</v>
      </c>
      <c r="BC218" s="287" cm="1">
        <f t="array" aca="1" ref="BC218" ca="1">IFERROR(
   (INDEX('2. Output kostprijs'!$24:$24, 5 + 2*INT((ROW()-8)/7))
    - SUM(INDEX('2. Output kostprijs'!$23:$23, 5 + 2*INT((ROW()-8)/7))))
   / INDEX('2. Output kostprijs'!$19:$19, 5 + 2*INT((ROW()-8)/7)),
   1
)</f>
        <v>1</v>
      </c>
      <c r="BD218" s="287" cm="1">
        <f t="array" aca="1" ref="BD218" ca="1">IFERROR(
   (INDEX('2. Output kostprijs'!$23:$23, 5 + 2*INT((ROW()-8)/7))
    * INDEX('2. Output kostprijs'!$18:$18, 5 + 2*INT((ROW()-8)/7))
   ) / 12,
   0
)</f>
        <v>0</v>
      </c>
      <c r="BE218" t="b">
        <f ca="1">NOT(AND(B215&lt;&gt;"",Y218=""))</f>
        <v>1</v>
      </c>
      <c r="BF218" t="str" cm="1">
        <f t="array" aca="1" ref="BF218" ca="1">INDIRECT("'1a. Input organisatieniveau'!$AD" &amp; 7 + INT((ROW()-ROW($F$8))/7))</f>
        <v/>
      </c>
      <c r="BG218" t="b" cm="1">
        <f t="array" ref="BG218">IFERROR(INDEX('Hulp (control forms)'!C:C, 13 + INT((ROW(A211)-1)/7)),FALSE)</f>
        <v>0</v>
      </c>
    </row>
    <row r="219" spans="1:59" ht="16.05" customHeight="1" thickBot="1" x14ac:dyDescent="0.5">
      <c r="A219" s="289"/>
      <c r="B219" s="343"/>
      <c r="C219" s="325" t="s">
        <v>779</v>
      </c>
      <c r="D219" s="688" t="s">
        <v>60</v>
      </c>
      <c r="E219" s="433" t="s">
        <v>59</v>
      </c>
      <c r="F219" s="624"/>
      <c r="G219" s="624"/>
      <c r="H219" s="624"/>
      <c r="I219" s="624"/>
      <c r="J219" s="624"/>
      <c r="K219" s="624"/>
      <c r="L219" s="624"/>
      <c r="M219" s="624"/>
      <c r="N219" s="624"/>
      <c r="O219" s="624"/>
      <c r="P219" s="624"/>
      <c r="Q219" s="624"/>
      <c r="R219" s="624"/>
      <c r="S219" s="624"/>
      <c r="T219" s="624"/>
      <c r="U219" s="625"/>
      <c r="V219" s="420" t="str">
        <f ca="1">IF($B215="","",IF($D219="Aandeel in %",
   "Totaal: "&amp;SUM(F219:U219)*100&amp;"%",
   "Totaal: "&amp;SUM(F219:U219)&amp;" uur"
))</f>
        <v/>
      </c>
      <c r="W219" s="294"/>
      <c r="X219" s="621"/>
      <c r="Y219" s="328"/>
      <c r="Z219" s="329"/>
      <c r="AA219" s="289"/>
      <c r="AB219" s="289"/>
      <c r="AC219" s="289"/>
      <c r="AD219" s="289"/>
      <c r="AE219" s="289"/>
      <c r="AF219" s="289"/>
      <c r="AG219" s="289"/>
      <c r="AH219" s="289"/>
      <c r="AI219" s="289"/>
      <c r="AJ219" s="289"/>
      <c r="AK219" s="289"/>
      <c r="AL219" s="289"/>
      <c r="AM219" s="289"/>
      <c r="AN219" s="289"/>
      <c r="AO219" s="289"/>
      <c r="AP219" s="289"/>
      <c r="AQ219" s="289"/>
      <c r="AR219" s="289"/>
      <c r="AS219" s="289"/>
      <c r="AT219" s="289"/>
      <c r="AU219" s="289"/>
      <c r="AV219" s="289"/>
      <c r="AW219" s="289"/>
      <c r="AX219" s="289"/>
      <c r="AY219" s="289"/>
      <c r="AZ219" s="289"/>
    </row>
    <row r="220" spans="1:59" ht="16.05" customHeight="1" thickBot="1" x14ac:dyDescent="0.5">
      <c r="A220" s="289"/>
      <c r="B220" s="343"/>
      <c r="C220" s="326" t="s">
        <v>779</v>
      </c>
      <c r="D220" s="421"/>
      <c r="E220" s="426"/>
      <c r="F220" s="426"/>
      <c r="G220" s="426"/>
      <c r="H220" s="426"/>
      <c r="I220" s="426"/>
      <c r="J220" s="426"/>
      <c r="K220" s="426"/>
      <c r="L220" s="426"/>
      <c r="M220" s="426"/>
      <c r="N220" s="426"/>
      <c r="O220" s="426"/>
      <c r="P220" s="426"/>
      <c r="Q220" s="426"/>
      <c r="R220" s="426"/>
      <c r="S220" s="426"/>
      <c r="T220" s="427"/>
      <c r="U220" s="427"/>
      <c r="V220" s="421"/>
      <c r="W220" s="421"/>
      <c r="X220" s="622"/>
      <c r="Y220" s="421"/>
      <c r="Z220" s="327"/>
      <c r="AA220" s="289"/>
      <c r="AB220" s="289"/>
      <c r="AC220" s="289"/>
      <c r="AD220" s="289"/>
      <c r="AE220" s="289"/>
      <c r="AF220" s="289"/>
      <c r="AG220" s="289"/>
      <c r="AH220" s="289"/>
      <c r="AI220" s="289"/>
      <c r="AJ220" s="289"/>
      <c r="AK220" s="289"/>
      <c r="AL220" s="289"/>
      <c r="AM220" s="289"/>
      <c r="AN220" s="289"/>
      <c r="AO220" s="289"/>
      <c r="AP220" s="289"/>
      <c r="AQ220" s="289"/>
      <c r="AR220" s="289"/>
      <c r="AS220" s="289"/>
      <c r="AT220" s="289"/>
      <c r="AU220" s="289"/>
      <c r="AV220" s="289"/>
      <c r="AW220" s="289"/>
      <c r="AX220" s="289"/>
      <c r="AY220" s="289"/>
      <c r="AZ220" s="289"/>
    </row>
    <row r="221" spans="1:59" ht="16.05" customHeight="1" thickBot="1" x14ac:dyDescent="0.55000000000000004">
      <c r="A221" s="289"/>
      <c r="B221" s="585" t="str">
        <f ca="1">IF(B222="","",
IF(
   OR(
      INDIRECT("'1a. Input organisatieniveau'!AC" &amp; (7 + INT((ROW()-4)/7)))="",
      INDIRECT("'1a. Input organisatieniveau'!AC" &amp; (7 + INT((ROW()-4)/7)))=0
   ),
   "",
   INDIRECT("'1a. Input organisatieniveau'!AC" &amp; (7 + INT((ROW()-4)/7)))
))</f>
        <v/>
      </c>
      <c r="C221" s="324" t="s">
        <v>779</v>
      </c>
      <c r="D221" s="416"/>
      <c r="E221" s="428"/>
      <c r="F221" s="422" t="str">
        <f t="shared" ref="F221:U221" ca="1" si="31">IF($B222="","",
IF($D223="Gebruik % van maximum salaris",
 IF(OR(AND(AND(F222&lt;&gt;"",F223&lt;&gt;""),F225=""),AND(F225="",F226&lt;&gt;"")),"!",""),
 IF(OR(AND(AND(F222&lt;&gt;"",F224&lt;&gt;""),F225=""),AND(F225="",F226&lt;&gt;"")),"!","")))</f>
        <v/>
      </c>
      <c r="G221" s="422" t="str">
        <f t="shared" ca="1" si="31"/>
        <v/>
      </c>
      <c r="H221" s="422" t="str">
        <f t="shared" ca="1" si="31"/>
        <v/>
      </c>
      <c r="I221" s="422" t="str">
        <f t="shared" ca="1" si="31"/>
        <v/>
      </c>
      <c r="J221" s="422" t="str">
        <f t="shared" ca="1" si="31"/>
        <v/>
      </c>
      <c r="K221" s="422" t="str">
        <f t="shared" ca="1" si="31"/>
        <v/>
      </c>
      <c r="L221" s="422" t="str">
        <f t="shared" ca="1" si="31"/>
        <v/>
      </c>
      <c r="M221" s="422" t="str">
        <f t="shared" ca="1" si="31"/>
        <v/>
      </c>
      <c r="N221" s="422" t="str">
        <f t="shared" ca="1" si="31"/>
        <v/>
      </c>
      <c r="O221" s="422" t="str">
        <f t="shared" ca="1" si="31"/>
        <v/>
      </c>
      <c r="P221" s="422" t="str">
        <f t="shared" ca="1" si="31"/>
        <v/>
      </c>
      <c r="Q221" s="422" t="str">
        <f t="shared" ca="1" si="31"/>
        <v/>
      </c>
      <c r="R221" s="422" t="str">
        <f t="shared" ca="1" si="31"/>
        <v/>
      </c>
      <c r="S221" s="422" t="str">
        <f t="shared" ca="1" si="31"/>
        <v/>
      </c>
      <c r="T221" s="422" t="str">
        <f t="shared" ca="1" si="31"/>
        <v/>
      </c>
      <c r="U221" s="422" t="str">
        <f t="shared" ca="1" si="31"/>
        <v/>
      </c>
      <c r="V221" s="416"/>
      <c r="W221" s="416"/>
      <c r="X221" s="619"/>
      <c r="Y221" s="416"/>
      <c r="Z221" s="330"/>
      <c r="AA221" s="354"/>
      <c r="AB221" s="289"/>
      <c r="AC221" s="289"/>
      <c r="AD221" s="289"/>
      <c r="AE221" s="289"/>
      <c r="AF221" s="289"/>
      <c r="AG221" s="289"/>
      <c r="AH221" s="289"/>
      <c r="AI221" s="289"/>
      <c r="AJ221" s="289"/>
      <c r="AK221" s="289"/>
      <c r="AL221" s="289"/>
      <c r="AM221" s="289"/>
      <c r="AN221" s="289"/>
      <c r="AO221" s="289"/>
      <c r="AP221" s="289"/>
      <c r="AQ221" s="289"/>
      <c r="AR221" s="289"/>
      <c r="AS221" s="289"/>
      <c r="AT221" s="289"/>
      <c r="AU221" s="289"/>
      <c r="AV221" s="289"/>
      <c r="AW221" s="289"/>
      <c r="AX221" s="289"/>
      <c r="AY221" s="289"/>
      <c r="AZ221" s="289"/>
    </row>
    <row r="222" spans="1:59" ht="16.05" customHeight="1" thickBot="1" x14ac:dyDescent="0.5">
      <c r="A222" s="289"/>
      <c r="B222" s="586" t="str">
        <f ca="1">IF(
   OR(
      INDIRECT("'1a. Input organisatieniveau'!AA" &amp; (7 + INT((ROW()-4)/7)))="",
      INDIRECT("'1a. Input organisatieniveau'!AA" &amp; (7 + INT((ROW()-4)/7)))=0
   ),
   "",
   INDIRECT("'1a. Input organisatieniveau'!AA" &amp; (7 + INT((ROW()-4)/7)))
)</f>
        <v/>
      </c>
      <c r="C222" s="325" t="s">
        <v>779</v>
      </c>
      <c r="D222" s="434"/>
      <c r="E222" s="429" t="s">
        <v>28</v>
      </c>
      <c r="F222" s="423" t="str">
        <f ca="1">IF($B222="", "", IF($BF225, IF('Hulp (CAO''s)'!J$8&lt;&gt;"",'Hulp (CAO''s)'!J$8,""), INDEX('Hulp (CAO''s)'!J$3:J$7, MATCH(TRUE, 'Hulp (CAO''s)'!$D$3:$D$7, 0))))</f>
        <v/>
      </c>
      <c r="G222" s="423" t="str">
        <f ca="1">IF($B222="", "", IF($BF225, IF('Hulp (CAO''s)'!K$8&lt;&gt;"",'Hulp (CAO''s)'!K$8,""), INDEX('Hulp (CAO''s)'!K$3:K$7, MATCH(TRUE, 'Hulp (CAO''s)'!$D$3:$D$7, 0))))</f>
        <v/>
      </c>
      <c r="H222" s="423" t="str">
        <f ca="1">IF($B222="", "", IF($BF225, IF('Hulp (CAO''s)'!L$8&lt;&gt;"",'Hulp (CAO''s)'!L$8,""), INDEX('Hulp (CAO''s)'!L$3:L$7, MATCH(TRUE, 'Hulp (CAO''s)'!$D$3:$D$7, 0))))</f>
        <v/>
      </c>
      <c r="I222" s="423" t="str">
        <f ca="1">IF($B222="", "", IF($BF225, IF('Hulp (CAO''s)'!M$8&lt;&gt;"",'Hulp (CAO''s)'!M$8,""), INDEX('Hulp (CAO''s)'!M$3:M$7, MATCH(TRUE, 'Hulp (CAO''s)'!$D$3:$D$7, 0))))</f>
        <v/>
      </c>
      <c r="J222" s="423" t="str">
        <f ca="1">IF($B222="", "", IF($BF225, IF('Hulp (CAO''s)'!N$8&lt;&gt;"",'Hulp (CAO''s)'!N$8,""), INDEX('Hulp (CAO''s)'!N$3:N$7, MATCH(TRUE, 'Hulp (CAO''s)'!$D$3:$D$7, 0))))</f>
        <v/>
      </c>
      <c r="K222" s="423" t="str">
        <f ca="1">IF($B222="", "", IF($BF225, IF('Hulp (CAO''s)'!O$8&lt;&gt;"",'Hulp (CAO''s)'!O$8,""), INDEX('Hulp (CAO''s)'!O$3:O$7, MATCH(TRUE, 'Hulp (CAO''s)'!$D$3:$D$7, 0))))</f>
        <v/>
      </c>
      <c r="L222" s="423" t="str">
        <f ca="1">IF($B222="", "", IF($BF225, IF('Hulp (CAO''s)'!P$8&lt;&gt;"",'Hulp (CAO''s)'!P$8,""), INDEX('Hulp (CAO''s)'!P$3:P$7, MATCH(TRUE, 'Hulp (CAO''s)'!$D$3:$D$7, 0))))</f>
        <v/>
      </c>
      <c r="M222" s="423" t="str">
        <f ca="1">IF($B222="", "", IF($BF225, IF('Hulp (CAO''s)'!Q$8&lt;&gt;"",'Hulp (CAO''s)'!Q$8,""), INDEX('Hulp (CAO''s)'!Q$3:Q$7, MATCH(TRUE, 'Hulp (CAO''s)'!$D$3:$D$7, 0))))</f>
        <v/>
      </c>
      <c r="N222" s="423" t="str">
        <f ca="1">IF($B222="", "", IF($BF225, IF('Hulp (CAO''s)'!R$8&lt;&gt;"",'Hulp (CAO''s)'!R$8,""), INDEX('Hulp (CAO''s)'!R$3:R$7, MATCH(TRUE, 'Hulp (CAO''s)'!$D$3:$D$7, 0))))</f>
        <v/>
      </c>
      <c r="O222" s="423" t="str">
        <f ca="1">IF($B222="", "", IF($BF225, IF('Hulp (CAO''s)'!S$8&lt;&gt;"",'Hulp (CAO''s)'!S$8,""), INDEX('Hulp (CAO''s)'!S$3:S$7, MATCH(TRUE, 'Hulp (CAO''s)'!$D$3:$D$7, 0))))</f>
        <v/>
      </c>
      <c r="P222" s="423" t="str">
        <f ca="1">IF($B222="", "", IF($BF225, IF('Hulp (CAO''s)'!T$8&lt;&gt;"",'Hulp (CAO''s)'!T$8,""), INDEX('Hulp (CAO''s)'!T$3:T$7, MATCH(TRUE, 'Hulp (CAO''s)'!$D$3:$D$7, 0))))</f>
        <v/>
      </c>
      <c r="Q222" s="423" t="str">
        <f ca="1">IF($B222="", "", IF($BF225, IF('Hulp (CAO''s)'!U$8&lt;&gt;"",'Hulp (CAO''s)'!U$8,""), INDEX('Hulp (CAO''s)'!U$3:U$7, MATCH(TRUE, 'Hulp (CAO''s)'!$D$3:$D$7, 0))))</f>
        <v/>
      </c>
      <c r="R222" s="423" t="str">
        <f ca="1">IF($B222="", "", IF($BF225, IF('Hulp (CAO''s)'!V$8&lt;&gt;"",'Hulp (CAO''s)'!V$8,""), INDEX('Hulp (CAO''s)'!V$3:V$7, MATCH(TRUE, 'Hulp (CAO''s)'!$D$3:$D$7, 0))))</f>
        <v/>
      </c>
      <c r="S222" s="423" t="str">
        <f ca="1">IF($B222="", "", IF($BF225, IF('Hulp (CAO''s)'!W$8&lt;&gt;"",'Hulp (CAO''s)'!W$8,""), INDEX('Hulp (CAO''s)'!W$3:W$7, MATCH(TRUE, 'Hulp (CAO''s)'!$D$3:$D$7, 0))))</f>
        <v/>
      </c>
      <c r="T222" s="423" t="str">
        <f ca="1">IF($B222="", "", IF($BF225, IF('Hulp (CAO''s)'!X$8&lt;&gt;"",'Hulp (CAO''s)'!X$8,""), INDEX('Hulp (CAO''s)'!X$3:X$7, MATCH(TRUE, 'Hulp (CAO''s)'!$D$3:$D$7, 0))))</f>
        <v/>
      </c>
      <c r="U222" s="424" t="str">
        <f ca="1">IF($B222="", "", IF($BF225, IF('Hulp (CAO''s)'!Y$8&lt;&gt;"",'Hulp (CAO''s)'!Y$8,""), INDEX('Hulp (CAO''s)'!Y$3:Y$7, MATCH(TRUE, 'Hulp (CAO''s)'!$D$3:$D$7, 0))))</f>
        <v/>
      </c>
      <c r="V222" s="417"/>
      <c r="W222" s="343"/>
      <c r="X222" s="617"/>
      <c r="Y222" s="343"/>
      <c r="Z222" s="329"/>
      <c r="AA222" s="320"/>
      <c r="AB222" s="289"/>
      <c r="AC222" s="289"/>
      <c r="AD222" s="289"/>
      <c r="AE222" s="289"/>
      <c r="AF222" s="289"/>
      <c r="AG222" s="289"/>
      <c r="AH222" s="289"/>
      <c r="AI222" s="289"/>
      <c r="AJ222" s="289"/>
      <c r="AK222" s="289"/>
      <c r="AL222" s="289"/>
      <c r="AM222" s="289"/>
      <c r="AN222" s="289"/>
      <c r="AO222" s="289"/>
      <c r="AP222" s="289"/>
      <c r="AQ222" s="289"/>
      <c r="AR222" s="289"/>
      <c r="AS222" s="289"/>
      <c r="AT222" s="289"/>
      <c r="AU222" s="289"/>
      <c r="AV222" s="289"/>
      <c r="AW222" s="289"/>
      <c r="AX222" s="289"/>
      <c r="AY222" s="289"/>
      <c r="AZ222" s="289"/>
    </row>
    <row r="223" spans="1:59" ht="16.05" customHeight="1" x14ac:dyDescent="0.45">
      <c r="A223" s="289"/>
      <c r="B223" s="343"/>
      <c r="C223" s="325" t="s">
        <v>779</v>
      </c>
      <c r="D223" s="772" t="s">
        <v>772</v>
      </c>
      <c r="E223" s="430" t="e">
        <f ca="1">IF($BF225, "", "% t.o.v. max salaris in de schaal")</f>
        <v>#VALUE!</v>
      </c>
      <c r="F223" s="615"/>
      <c r="G223" s="615"/>
      <c r="H223" s="615"/>
      <c r="I223" s="615"/>
      <c r="J223" s="615"/>
      <c r="K223" s="615"/>
      <c r="L223" s="615"/>
      <c r="M223" s="615"/>
      <c r="N223" s="615"/>
      <c r="O223" s="615"/>
      <c r="P223" s="615"/>
      <c r="Q223" s="615"/>
      <c r="R223" s="615"/>
      <c r="S223" s="615"/>
      <c r="T223" s="615"/>
      <c r="U223" s="616"/>
      <c r="V223" s="774" t="s">
        <v>884</v>
      </c>
      <c r="W223" s="332"/>
      <c r="X223" s="776" t="s">
        <v>882</v>
      </c>
      <c r="Y223" s="778" t="s">
        <v>883</v>
      </c>
      <c r="Z223" s="329"/>
      <c r="AA223" s="771" t="s">
        <v>780</v>
      </c>
      <c r="AB223" s="770" t="s">
        <v>1079</v>
      </c>
      <c r="AC223" s="289"/>
      <c r="AD223" s="289"/>
      <c r="AE223" s="289"/>
      <c r="AF223" s="289"/>
      <c r="AG223" s="289"/>
      <c r="AH223" s="289"/>
      <c r="AI223" s="289"/>
      <c r="AJ223" s="289"/>
      <c r="AK223" s="289"/>
      <c r="AL223" s="289"/>
      <c r="AM223" s="289"/>
      <c r="AN223" s="289"/>
      <c r="AO223" s="289"/>
      <c r="AP223" s="289"/>
      <c r="AQ223" s="289"/>
      <c r="AR223" s="289"/>
      <c r="AS223" s="289"/>
      <c r="AT223" s="289"/>
      <c r="AU223" s="289"/>
      <c r="AV223" s="289"/>
      <c r="AW223" s="289"/>
      <c r="AX223" s="289"/>
      <c r="AY223" s="289"/>
      <c r="AZ223" s="289"/>
    </row>
    <row r="224" spans="1:59" ht="16.05" customHeight="1" thickBot="1" x14ac:dyDescent="0.5">
      <c r="A224" s="289"/>
      <c r="B224" s="343"/>
      <c r="C224" s="325" t="s">
        <v>779</v>
      </c>
      <c r="D224" s="773"/>
      <c r="E224" s="431" t="e">
        <f ca="1">IF($BF225, "", "Trede (gemiddeld)")</f>
        <v>#VALUE!</v>
      </c>
      <c r="F224" s="737"/>
      <c r="G224" s="737"/>
      <c r="H224" s="737"/>
      <c r="I224" s="737"/>
      <c r="J224" s="737"/>
      <c r="K224" s="737"/>
      <c r="L224" s="737"/>
      <c r="M224" s="737"/>
      <c r="N224" s="737"/>
      <c r="O224" s="737"/>
      <c r="P224" s="737"/>
      <c r="Q224" s="737"/>
      <c r="R224" s="737"/>
      <c r="S224" s="737"/>
      <c r="T224" s="737"/>
      <c r="U224" s="740"/>
      <c r="V224" s="775"/>
      <c r="W224" s="294"/>
      <c r="X224" s="777"/>
      <c r="Y224" s="779"/>
      <c r="Z224" s="329"/>
      <c r="AA224" s="771"/>
      <c r="AB224" s="770"/>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c r="AW224" s="289"/>
      <c r="AX224" s="289"/>
      <c r="AY224" s="289"/>
      <c r="AZ224" s="289"/>
    </row>
    <row r="225" spans="1:59" ht="16.05" customHeight="1" thickBot="1" x14ac:dyDescent="0.5">
      <c r="A225" s="289"/>
      <c r="B225" s="343"/>
      <c r="C225" s="325" t="s">
        <v>779</v>
      </c>
      <c r="E225" s="432" t="str">
        <f>IFERROR(
   INDEX('Hulp (CAO''s)'!$I$3:$I$7, MATCH(TRUE, 'Hulp (CAO''s)'!$D$3:$D$7, 0)),
"")</f>
        <v>Bruto maandsalaris</v>
      </c>
      <c r="F225" s="425" t="e" cm="1">
        <f t="array" aca="1" ref="F225" ca="1">IF($BF225, IF(F222="","",
   INDEX(
      INDIRECT("'" &amp; 'Hulp (CAO''s)'!$AE$8 &amp; "'!" &amp;
               'Hulp (overig)'!$C$17 &amp; "1:" &amp;
               'Hulp (overig)'!$C$17 &amp; "1000"),
      MATCH(
         F222,
         INDIRECT("'" &amp; 'Hulp (CAO''s)'!$AE$8 &amp; "'!A1:A1000"),
         0
      )
   )
), IF($D223="Gebruik % van maximum salaris",
IF(
    OR(F222="",F223=""),
    "",
    MAX(
        INDIRECT(
            "'" &amp; 'Hulp (overig)'!$C$16 &amp; "'!" &amp;
            'Hulp (overig)'!$C$17 &amp;
            MATCH(F222, INDIRECT("'" &amp; 'Hulp (overig)'!$C$16 &amp; "'!A1:A1000"), 0) &amp;
            ":" &amp;
            'Hulp (overig)'!$C$17 &amp;
LOOKUP(
    2,
    1 / (
        (ROW(INDIRECT("'" &amp; 'Hulp (overig)'!$C$16 &amp; "'!B1:B1000")) &lt;
            IF(G222&lt;&gt;"",
               MATCH(G222, INDIRECT("'" &amp; 'Hulp (overig)'!$C$16 &amp; "'!A1:A1000"),0),
               1000
            )
        ) *
        (LEFT(TRIM(INDIRECT("'" &amp; 'Hulp (overig)'!$C$16 &amp; "'!B1:B1000")),1) &lt;&gt; "u")
    ),
    ROW(INDIRECT("'" &amp; 'Hulp (overig)'!$C$16 &amp; "'!B1:B1000"))
)
        )
    ) * F223
),
IF(F224="","",
IF(
    IFERROR(MIN(
        IF(
            (TRIM(INDIRECT("'" &amp; 'Hulp (overig)'!$C$16 &amp; "'!B1:B1000")) = TEXT(F224,"0")) *
            (ROW(INDIRECT("'" &amp; 'Hulp (overig)'!$C$16 &amp; "'!B1:B1000")) &gt;= MATCH(
                F222,
                INDIRECT("'" &amp; 'Hulp (overig)'!$C$16 &amp; "'!A1:A1000"),
                0
            )) *
            IF(
                G222="",
                1,
                (ROW(INDIRECT("'" &amp; 'Hulp (overig)'!$C$16 &amp; "'!B1:B1000")) &lt; MATCH(
                    G222,
                    INDIRECT("'" &amp; 'Hulp (overig)'!$C$16 &amp; "'!A1:A1000"),
                    0
                ))
            ),
            ROW(INDIRECT("'" &amp; 'Hulp (overig)'!$C$16 &amp; "'!B1:B1000"))
        )
    ),0) &lt; 1,
    "",
    IF(INDEX(
        INDIRECT("'" &amp; 'Hulp (overig)'!$C$16 &amp; "'!" &amp;
        'Hulp (overig)'!$C$17 &amp; "1:" &amp; 'Hulp (overig)'!$C$17 &amp; 1000
        ),
        IFERROR(MIN(
            IF(
                (TRIM(INDIRECT("'" &amp; 'Hulp (overig)'!$C$16 &amp; "'!B1:B1000")) = TEXT(F224,"0")) *
                (ROW(INDIRECT("'" &amp; 'Hulp (overig)'!$C$16 &amp; "'!B1:B1000")) &gt;= MATCH(
                    F222,
                    INDIRECT("'" &amp; 'Hulp (overig)'!$C$16 &amp; "'!A1:A1000"),
                    0
                )) *
                IF(
                    G222="",
                    1,
                    (ROW(INDIRECT("'" &amp; 'Hulp (overig)'!$C$16 &amp; "'!B1:B1000")) &lt; MATCH(
                        G222,
                        INDIRECT("'" &amp; 'Hulp (overig)'!$C$16 &amp; "'!A1:A1000"),
                        0
                    ))
                ),
                ROW(INDIRECT("'" &amp; 'Hulp (overig)'!$C$16 &amp; "'!B1:B1000"))
            )
        ),0)
    )=0,"",
INDEX(
        INDIRECT("'" &amp; 'Hulp (overig)'!$C$16 &amp; "'!" &amp;
        'Hulp (overig)'!$C$17 &amp; "1:" &amp; 'Hulp (overig)'!$C$17 &amp; 1000
        ),
        IFERROR(MIN(
            IF(
                (TRIM(INDIRECT("'" &amp; 'Hulp (overig)'!$C$16 &amp; "'!B1:B1000")) = TEXT(F224,"0")) *
                (ROW(INDIRECT("'" &amp; 'Hulp (overig)'!$C$16 &amp; "'!B1:B1000")) &gt;= MATCH(
                    F222,
                    INDIRECT("'" &amp; 'Hulp (overig)'!$C$16 &amp; "'!A1:A1000"),
                    0
                )) *
                IF(
                    G222="",
                    1,
                    (ROW(INDIRECT("'" &amp; 'Hulp (overig)'!$C$16 &amp; "'!B1:B1000")) &lt; MATCH(
                        G222,
                        INDIRECT("'" &amp; 'Hulp (overig)'!$C$16 &amp; "'!A1:A1000"),
                        0
                    ))
                ),
                ROW(INDIRECT("'" &amp; 'Hulp (overig)'!$C$16 &amp; "'!B1:B1000"))
            )
        ),0)
    ))
))))</f>
        <v>#VALUE!</v>
      </c>
      <c r="G225" s="425" t="e" cm="1">
        <f t="array" aca="1" ref="G225" ca="1">IF($BF225, IF(G222="","",
   INDEX(
      INDIRECT("'" &amp; 'Hulp (CAO''s)'!$AE$8 &amp; "'!" &amp;
               'Hulp (overig)'!$C$17 &amp; "1:" &amp;
               'Hulp (overig)'!$C$17 &amp; "1000"),
      MATCH(
         G222,
         INDIRECT("'" &amp; 'Hulp (CAO''s)'!$AE$8 &amp; "'!A1:A1000"),
         0
      )
   )
), IF($D223="Gebruik % van maximum salaris",
IF(
    OR(G222="",G223=""),
    "",
    MAX(
        INDIRECT(
            "'" &amp; 'Hulp (overig)'!$C$16 &amp; "'!" &amp;
            'Hulp (overig)'!$C$17 &amp;
            MATCH(G222, INDIRECT("'" &amp; 'Hulp (overig)'!$C$16 &amp; "'!A1:A1000"), 0) &amp;
            ":" &amp;
            'Hulp (overig)'!$C$17 &amp;
LOOKUP(
    2,
    1 / (
        (ROW(INDIRECT("'" &amp; 'Hulp (overig)'!$C$16 &amp; "'!B1:B1000")) &lt;
            IF(H222&lt;&gt;"",
               MATCH(H222, INDIRECT("'" &amp; 'Hulp (overig)'!$C$16 &amp; "'!A1:A1000"),0),
               1000
            )
        ) *
        (LEFT(TRIM(INDIRECT("'" &amp; 'Hulp (overig)'!$C$16 &amp; "'!B1:B1000")),1) &lt;&gt; "u")
    ),
    ROW(INDIRECT("'" &amp; 'Hulp (overig)'!$C$16 &amp; "'!B1:B1000"))
)
        )
    ) * G223
),
IF(G224="","",
IF(
    IFERROR(MIN(
        IF(
            (TRIM(INDIRECT("'" &amp; 'Hulp (overig)'!$C$16 &amp; "'!B1:B1000")) = TEXT(G224,"0")) *
            (ROW(INDIRECT("'" &amp; 'Hulp (overig)'!$C$16 &amp; "'!B1:B1000")) &gt;= MATCH(
                G222,
                INDIRECT("'" &amp; 'Hulp (overig)'!$C$16 &amp; "'!A1:A1000"),
                0
            )) *
            IF(
                H222="",
                1,
                (ROW(INDIRECT("'" &amp; 'Hulp (overig)'!$C$16 &amp; "'!B1:B1000")) &lt; MATCH(
                    H222,
                    INDIRECT("'" &amp; 'Hulp (overig)'!$C$16 &amp; "'!A1:A1000"),
                    0
                ))
            ),
            ROW(INDIRECT("'" &amp; 'Hulp (overig)'!$C$16 &amp; "'!B1:B1000"))
        )
    ),0) &lt; 1,
    "",
    IF(INDEX(
        INDIRECT("'" &amp; 'Hulp (overig)'!$C$16 &amp; "'!" &amp;
        'Hulp (overig)'!$C$17 &amp; "1:" &amp; 'Hulp (overig)'!$C$17 &amp; 1000
        ),
        IFERROR(MIN(
            IF(
                (TRIM(INDIRECT("'" &amp; 'Hulp (overig)'!$C$16 &amp; "'!B1:B1000")) = TEXT(G224,"0")) *
                (ROW(INDIRECT("'" &amp; 'Hulp (overig)'!$C$16 &amp; "'!B1:B1000")) &gt;= MATCH(
                    G222,
                    INDIRECT("'" &amp; 'Hulp (overig)'!$C$16 &amp; "'!A1:A1000"),
                    0
                )) *
                IF(
                    H222="",
                    1,
                    (ROW(INDIRECT("'" &amp; 'Hulp (overig)'!$C$16 &amp; "'!B1:B1000")) &lt; MATCH(
                        H222,
                        INDIRECT("'" &amp; 'Hulp (overig)'!$C$16 &amp; "'!A1:A1000"),
                        0
                    ))
                ),
                ROW(INDIRECT("'" &amp; 'Hulp (overig)'!$C$16 &amp; "'!B1:B1000"))
            )
        ),0)
    )=0,"",
INDEX(
        INDIRECT("'" &amp; 'Hulp (overig)'!$C$16 &amp; "'!" &amp;
        'Hulp (overig)'!$C$17 &amp; "1:" &amp; 'Hulp (overig)'!$C$17 &amp; 1000
        ),
        IFERROR(MIN(
            IF(
                (TRIM(INDIRECT("'" &amp; 'Hulp (overig)'!$C$16 &amp; "'!B1:B1000")) = TEXT(G224,"0")) *
                (ROW(INDIRECT("'" &amp; 'Hulp (overig)'!$C$16 &amp; "'!B1:B1000")) &gt;= MATCH(
                    G222,
                    INDIRECT("'" &amp; 'Hulp (overig)'!$C$16 &amp; "'!A1:A1000"),
                    0
                )) *
                IF(
                    H222="",
                    1,
                    (ROW(INDIRECT("'" &amp; 'Hulp (overig)'!$C$16 &amp; "'!B1:B1000")) &lt; MATCH(
                        H222,
                        INDIRECT("'" &amp; 'Hulp (overig)'!$C$16 &amp; "'!A1:A1000"),
                        0
                    ))
                ),
                ROW(INDIRECT("'" &amp; 'Hulp (overig)'!$C$16 &amp; "'!B1:B1000"))
            )
        ),0)
    ))
))))</f>
        <v>#VALUE!</v>
      </c>
      <c r="H225" s="425" t="e" cm="1">
        <f t="array" aca="1" ref="H225" ca="1">IF($BF225, IF(H222="","",
   INDEX(
      INDIRECT("'" &amp; 'Hulp (CAO''s)'!$AE$8 &amp; "'!" &amp;
               'Hulp (overig)'!$C$17 &amp; "1:" &amp;
               'Hulp (overig)'!$C$17 &amp; "1000"),
      MATCH(
         H222,
         INDIRECT("'" &amp; 'Hulp (CAO''s)'!$AE$8 &amp; "'!A1:A1000"),
         0
      )
   )
), IF($D223="Gebruik % van maximum salaris",
IF(
    OR(H222="",H223=""),
    "",
    MAX(
        INDIRECT(
            "'" &amp; 'Hulp (overig)'!$C$16 &amp; "'!" &amp;
            'Hulp (overig)'!$C$17 &amp;
            MATCH(H222, INDIRECT("'" &amp; 'Hulp (overig)'!$C$16 &amp; "'!A1:A1000"), 0) &amp;
            ":" &amp;
            'Hulp (overig)'!$C$17 &amp;
LOOKUP(
    2,
    1 / (
        (ROW(INDIRECT("'" &amp; 'Hulp (overig)'!$C$16 &amp; "'!B1:B1000")) &lt;
            IF(I222&lt;&gt;"",
               MATCH(I222, INDIRECT("'" &amp; 'Hulp (overig)'!$C$16 &amp; "'!A1:A1000"),0),
               1000
            )
        ) *
        (LEFT(TRIM(INDIRECT("'" &amp; 'Hulp (overig)'!$C$16 &amp; "'!B1:B1000")),1) &lt;&gt; "u")
    ),
    ROW(INDIRECT("'" &amp; 'Hulp (overig)'!$C$16 &amp; "'!B1:B1000"))
)
        )
    ) * H223
),
IF(H224="","",
IF(
    IFERROR(MIN(
        IF(
            (TRIM(INDIRECT("'" &amp; 'Hulp (overig)'!$C$16 &amp; "'!B1:B1000")) = TEXT(H224,"0")) *
            (ROW(INDIRECT("'" &amp; 'Hulp (overig)'!$C$16 &amp; "'!B1:B1000")) &gt;= MATCH(
                H222,
                INDIRECT("'" &amp; 'Hulp (overig)'!$C$16 &amp; "'!A1:A1000"),
                0
            )) *
            IF(
                I222="",
                1,
                (ROW(INDIRECT("'" &amp; 'Hulp (overig)'!$C$16 &amp; "'!B1:B1000")) &lt; MATCH(
                    I222,
                    INDIRECT("'" &amp; 'Hulp (overig)'!$C$16 &amp; "'!A1:A1000"),
                    0
                ))
            ),
            ROW(INDIRECT("'" &amp; 'Hulp (overig)'!$C$16 &amp; "'!B1:B1000"))
        )
    ),0) &lt; 1,
    "",
    IF(INDEX(
        INDIRECT("'" &amp; 'Hulp (overig)'!$C$16 &amp; "'!" &amp;
        'Hulp (overig)'!$C$17 &amp; "1:" &amp; 'Hulp (overig)'!$C$17 &amp; 1000
        ),
        IFERROR(MIN(
            IF(
                (TRIM(INDIRECT("'" &amp; 'Hulp (overig)'!$C$16 &amp; "'!B1:B1000")) = TEXT(H224,"0")) *
                (ROW(INDIRECT("'" &amp; 'Hulp (overig)'!$C$16 &amp; "'!B1:B1000")) &gt;= MATCH(
                    H222,
                    INDIRECT("'" &amp; 'Hulp (overig)'!$C$16 &amp; "'!A1:A1000"),
                    0
                )) *
                IF(
                    I222="",
                    1,
                    (ROW(INDIRECT("'" &amp; 'Hulp (overig)'!$C$16 &amp; "'!B1:B1000")) &lt; MATCH(
                        I222,
                        INDIRECT("'" &amp; 'Hulp (overig)'!$C$16 &amp; "'!A1:A1000"),
                        0
                    ))
                ),
                ROW(INDIRECT("'" &amp; 'Hulp (overig)'!$C$16 &amp; "'!B1:B1000"))
            )
        ),0)
    )=0,"",
INDEX(
        INDIRECT("'" &amp; 'Hulp (overig)'!$C$16 &amp; "'!" &amp;
        'Hulp (overig)'!$C$17 &amp; "1:" &amp; 'Hulp (overig)'!$C$17 &amp; 1000
        ),
        IFERROR(MIN(
            IF(
                (TRIM(INDIRECT("'" &amp; 'Hulp (overig)'!$C$16 &amp; "'!B1:B1000")) = TEXT(H224,"0")) *
                (ROW(INDIRECT("'" &amp; 'Hulp (overig)'!$C$16 &amp; "'!B1:B1000")) &gt;= MATCH(
                    H222,
                    INDIRECT("'" &amp; 'Hulp (overig)'!$C$16 &amp; "'!A1:A1000"),
                    0
                )) *
                IF(
                    I222="",
                    1,
                    (ROW(INDIRECT("'" &amp; 'Hulp (overig)'!$C$16 &amp; "'!B1:B1000")) &lt; MATCH(
                        I222,
                        INDIRECT("'" &amp; 'Hulp (overig)'!$C$16 &amp; "'!A1:A1000"),
                        0
                    ))
                ),
                ROW(INDIRECT("'" &amp; 'Hulp (overig)'!$C$16 &amp; "'!B1:B1000"))
            )
        ),0)
    ))
))))</f>
        <v>#VALUE!</v>
      </c>
      <c r="I225" s="425" t="e" cm="1">
        <f t="array" aca="1" ref="I225" ca="1">IF($BF225, IF(I222="","",
   INDEX(
      INDIRECT("'" &amp; 'Hulp (CAO''s)'!$AE$8 &amp; "'!" &amp;
               'Hulp (overig)'!$C$17 &amp; "1:" &amp;
               'Hulp (overig)'!$C$17 &amp; "1000"),
      MATCH(
         I222,
         INDIRECT("'" &amp; 'Hulp (CAO''s)'!$AE$8 &amp; "'!A1:A1000"),
         0
      )
   )
), IF($D223="Gebruik % van maximum salaris",
IF(
    OR(I222="",I223=""),
    "",
    MAX(
        INDIRECT(
            "'" &amp; 'Hulp (overig)'!$C$16 &amp; "'!" &amp;
            'Hulp (overig)'!$C$17 &amp;
            MATCH(I222, INDIRECT("'" &amp; 'Hulp (overig)'!$C$16 &amp; "'!A1:A1000"), 0) &amp;
            ":" &amp;
            'Hulp (overig)'!$C$17 &amp;
LOOKUP(
    2,
    1 / (
        (ROW(INDIRECT("'" &amp; 'Hulp (overig)'!$C$16 &amp; "'!B1:B1000")) &lt;
            IF(J222&lt;&gt;"",
               MATCH(J222, INDIRECT("'" &amp; 'Hulp (overig)'!$C$16 &amp; "'!A1:A1000"),0),
               1000
            )
        ) *
        (LEFT(TRIM(INDIRECT("'" &amp; 'Hulp (overig)'!$C$16 &amp; "'!B1:B1000")),1) &lt;&gt; "u")
    ),
    ROW(INDIRECT("'" &amp; 'Hulp (overig)'!$C$16 &amp; "'!B1:B1000"))
)
        )
    ) * I223
),
IF(I224="","",
IF(
    IFERROR(MIN(
        IF(
            (TRIM(INDIRECT("'" &amp; 'Hulp (overig)'!$C$16 &amp; "'!B1:B1000")) = TEXT(I224,"0")) *
            (ROW(INDIRECT("'" &amp; 'Hulp (overig)'!$C$16 &amp; "'!B1:B1000")) &gt;= MATCH(
                I222,
                INDIRECT("'" &amp; 'Hulp (overig)'!$C$16 &amp; "'!A1:A1000"),
                0
            )) *
            IF(
                J222="",
                1,
                (ROW(INDIRECT("'" &amp; 'Hulp (overig)'!$C$16 &amp; "'!B1:B1000")) &lt; MATCH(
                    J222,
                    INDIRECT("'" &amp; 'Hulp (overig)'!$C$16 &amp; "'!A1:A1000"),
                    0
                ))
            ),
            ROW(INDIRECT("'" &amp; 'Hulp (overig)'!$C$16 &amp; "'!B1:B1000"))
        )
    ),0) &lt; 1,
    "",
    IF(INDEX(
        INDIRECT("'" &amp; 'Hulp (overig)'!$C$16 &amp; "'!" &amp;
        'Hulp (overig)'!$C$17 &amp; "1:" &amp; 'Hulp (overig)'!$C$17 &amp; 1000
        ),
        IFERROR(MIN(
            IF(
                (TRIM(INDIRECT("'" &amp; 'Hulp (overig)'!$C$16 &amp; "'!B1:B1000")) = TEXT(I224,"0")) *
                (ROW(INDIRECT("'" &amp; 'Hulp (overig)'!$C$16 &amp; "'!B1:B1000")) &gt;= MATCH(
                    I222,
                    INDIRECT("'" &amp; 'Hulp (overig)'!$C$16 &amp; "'!A1:A1000"),
                    0
                )) *
                IF(
                    J222="",
                    1,
                    (ROW(INDIRECT("'" &amp; 'Hulp (overig)'!$C$16 &amp; "'!B1:B1000")) &lt; MATCH(
                        J222,
                        INDIRECT("'" &amp; 'Hulp (overig)'!$C$16 &amp; "'!A1:A1000"),
                        0
                    ))
                ),
                ROW(INDIRECT("'" &amp; 'Hulp (overig)'!$C$16 &amp; "'!B1:B1000"))
            )
        ),0)
    )=0,"",
INDEX(
        INDIRECT("'" &amp; 'Hulp (overig)'!$C$16 &amp; "'!" &amp;
        'Hulp (overig)'!$C$17 &amp; "1:" &amp; 'Hulp (overig)'!$C$17 &amp; 1000
        ),
        IFERROR(MIN(
            IF(
                (TRIM(INDIRECT("'" &amp; 'Hulp (overig)'!$C$16 &amp; "'!B1:B1000")) = TEXT(I224,"0")) *
                (ROW(INDIRECT("'" &amp; 'Hulp (overig)'!$C$16 &amp; "'!B1:B1000")) &gt;= MATCH(
                    I222,
                    INDIRECT("'" &amp; 'Hulp (overig)'!$C$16 &amp; "'!A1:A1000"),
                    0
                )) *
                IF(
                    J222="",
                    1,
                    (ROW(INDIRECT("'" &amp; 'Hulp (overig)'!$C$16 &amp; "'!B1:B1000")) &lt; MATCH(
                        J222,
                        INDIRECT("'" &amp; 'Hulp (overig)'!$C$16 &amp; "'!A1:A1000"),
                        0
                    ))
                ),
                ROW(INDIRECT("'" &amp; 'Hulp (overig)'!$C$16 &amp; "'!B1:B1000"))
            )
        ),0)
    ))
))))</f>
        <v>#VALUE!</v>
      </c>
      <c r="J225" s="425" t="e" cm="1">
        <f t="array" aca="1" ref="J225" ca="1">IF($BF225, IF(J222="","",
   INDEX(
      INDIRECT("'" &amp; 'Hulp (CAO''s)'!$AE$8 &amp; "'!" &amp;
               'Hulp (overig)'!$C$17 &amp; "1:" &amp;
               'Hulp (overig)'!$C$17 &amp; "1000"),
      MATCH(
         J222,
         INDIRECT("'" &amp; 'Hulp (CAO''s)'!$AE$8 &amp; "'!A1:A1000"),
         0
      )
   )
), IF($D223="Gebruik % van maximum salaris",
IF(
    OR(J222="",J223=""),
    "",
    MAX(
        INDIRECT(
            "'" &amp; 'Hulp (overig)'!$C$16 &amp; "'!" &amp;
            'Hulp (overig)'!$C$17 &amp;
            MATCH(J222, INDIRECT("'" &amp; 'Hulp (overig)'!$C$16 &amp; "'!A1:A1000"), 0) &amp;
            ":" &amp;
            'Hulp (overig)'!$C$17 &amp;
LOOKUP(
    2,
    1 / (
        (ROW(INDIRECT("'" &amp; 'Hulp (overig)'!$C$16 &amp; "'!B1:B1000")) &lt;
            IF(K222&lt;&gt;"",
               MATCH(K222, INDIRECT("'" &amp; 'Hulp (overig)'!$C$16 &amp; "'!A1:A1000"),0),
               1000
            )
        ) *
        (LEFT(TRIM(INDIRECT("'" &amp; 'Hulp (overig)'!$C$16 &amp; "'!B1:B1000")),1) &lt;&gt; "u")
    ),
    ROW(INDIRECT("'" &amp; 'Hulp (overig)'!$C$16 &amp; "'!B1:B1000"))
)
        )
    ) * J223
),
IF(J224="","",
IF(
    IFERROR(MIN(
        IF(
            (TRIM(INDIRECT("'" &amp; 'Hulp (overig)'!$C$16 &amp; "'!B1:B1000")) = TEXT(J224,"0")) *
            (ROW(INDIRECT("'" &amp; 'Hulp (overig)'!$C$16 &amp; "'!B1:B1000")) &gt;= MATCH(
                J222,
                INDIRECT("'" &amp; 'Hulp (overig)'!$C$16 &amp; "'!A1:A1000"),
                0
            )) *
            IF(
                K222="",
                1,
                (ROW(INDIRECT("'" &amp; 'Hulp (overig)'!$C$16 &amp; "'!B1:B1000")) &lt; MATCH(
                    K222,
                    INDIRECT("'" &amp; 'Hulp (overig)'!$C$16 &amp; "'!A1:A1000"),
                    0
                ))
            ),
            ROW(INDIRECT("'" &amp; 'Hulp (overig)'!$C$16 &amp; "'!B1:B1000"))
        )
    ),0) &lt; 1,
    "",
    IF(INDEX(
        INDIRECT("'" &amp; 'Hulp (overig)'!$C$16 &amp; "'!" &amp;
        'Hulp (overig)'!$C$17 &amp; "1:" &amp; 'Hulp (overig)'!$C$17 &amp; 1000
        ),
        IFERROR(MIN(
            IF(
                (TRIM(INDIRECT("'" &amp; 'Hulp (overig)'!$C$16 &amp; "'!B1:B1000")) = TEXT(J224,"0")) *
                (ROW(INDIRECT("'" &amp; 'Hulp (overig)'!$C$16 &amp; "'!B1:B1000")) &gt;= MATCH(
                    J222,
                    INDIRECT("'" &amp; 'Hulp (overig)'!$C$16 &amp; "'!A1:A1000"),
                    0
                )) *
                IF(
                    K222="",
                    1,
                    (ROW(INDIRECT("'" &amp; 'Hulp (overig)'!$C$16 &amp; "'!B1:B1000")) &lt; MATCH(
                        K222,
                        INDIRECT("'" &amp; 'Hulp (overig)'!$C$16 &amp; "'!A1:A1000"),
                        0
                    ))
                ),
                ROW(INDIRECT("'" &amp; 'Hulp (overig)'!$C$16 &amp; "'!B1:B1000"))
            )
        ),0)
    )=0,"",
INDEX(
        INDIRECT("'" &amp; 'Hulp (overig)'!$C$16 &amp; "'!" &amp;
        'Hulp (overig)'!$C$17 &amp; "1:" &amp; 'Hulp (overig)'!$C$17 &amp; 1000
        ),
        IFERROR(MIN(
            IF(
                (TRIM(INDIRECT("'" &amp; 'Hulp (overig)'!$C$16 &amp; "'!B1:B1000")) = TEXT(J224,"0")) *
                (ROW(INDIRECT("'" &amp; 'Hulp (overig)'!$C$16 &amp; "'!B1:B1000")) &gt;= MATCH(
                    J222,
                    INDIRECT("'" &amp; 'Hulp (overig)'!$C$16 &amp; "'!A1:A1000"),
                    0
                )) *
                IF(
                    K222="",
                    1,
                    (ROW(INDIRECT("'" &amp; 'Hulp (overig)'!$C$16 &amp; "'!B1:B1000")) &lt; MATCH(
                        K222,
                        INDIRECT("'" &amp; 'Hulp (overig)'!$C$16 &amp; "'!A1:A1000"),
                        0
                    ))
                ),
                ROW(INDIRECT("'" &amp; 'Hulp (overig)'!$C$16 &amp; "'!B1:B1000"))
            )
        ),0)
    ))
))))</f>
        <v>#VALUE!</v>
      </c>
      <c r="K225" s="425" t="e" cm="1">
        <f t="array" aca="1" ref="K225" ca="1">IF($BF225, IF(K222="","",
   INDEX(
      INDIRECT("'" &amp; 'Hulp (CAO''s)'!$AE$8 &amp; "'!" &amp;
               'Hulp (overig)'!$C$17 &amp; "1:" &amp;
               'Hulp (overig)'!$C$17 &amp; "1000"),
      MATCH(
         K222,
         INDIRECT("'" &amp; 'Hulp (CAO''s)'!$AE$8 &amp; "'!A1:A1000"),
         0
      )
   )
), IF($D223="Gebruik % van maximum salaris",
IF(
    OR(K222="",K223=""),
    "",
    MAX(
        INDIRECT(
            "'" &amp; 'Hulp (overig)'!$C$16 &amp; "'!" &amp;
            'Hulp (overig)'!$C$17 &amp;
            MATCH(K222, INDIRECT("'" &amp; 'Hulp (overig)'!$C$16 &amp; "'!A1:A1000"), 0) &amp;
            ":" &amp;
            'Hulp (overig)'!$C$17 &amp;
LOOKUP(
    2,
    1 / (
        (ROW(INDIRECT("'" &amp; 'Hulp (overig)'!$C$16 &amp; "'!B1:B1000")) &lt;
            IF(L222&lt;&gt;"",
               MATCH(L222, INDIRECT("'" &amp; 'Hulp (overig)'!$C$16 &amp; "'!A1:A1000"),0),
               1000
            )
        ) *
        (LEFT(TRIM(INDIRECT("'" &amp; 'Hulp (overig)'!$C$16 &amp; "'!B1:B1000")),1) &lt;&gt; "u")
    ),
    ROW(INDIRECT("'" &amp; 'Hulp (overig)'!$C$16 &amp; "'!B1:B1000"))
)
        )
    ) * K223
),
IF(K224="","",
IF(
    IFERROR(MIN(
        IF(
            (TRIM(INDIRECT("'" &amp; 'Hulp (overig)'!$C$16 &amp; "'!B1:B1000")) = TEXT(K224,"0")) *
            (ROW(INDIRECT("'" &amp; 'Hulp (overig)'!$C$16 &amp; "'!B1:B1000")) &gt;= MATCH(
                K222,
                INDIRECT("'" &amp; 'Hulp (overig)'!$C$16 &amp; "'!A1:A1000"),
                0
            )) *
            IF(
                L222="",
                1,
                (ROW(INDIRECT("'" &amp; 'Hulp (overig)'!$C$16 &amp; "'!B1:B1000")) &lt; MATCH(
                    L222,
                    INDIRECT("'" &amp; 'Hulp (overig)'!$C$16 &amp; "'!A1:A1000"),
                    0
                ))
            ),
            ROW(INDIRECT("'" &amp; 'Hulp (overig)'!$C$16 &amp; "'!B1:B1000"))
        )
    ),0) &lt; 1,
    "",
    IF(INDEX(
        INDIRECT("'" &amp; 'Hulp (overig)'!$C$16 &amp; "'!" &amp;
        'Hulp (overig)'!$C$17 &amp; "1:" &amp; 'Hulp (overig)'!$C$17 &amp; 1000
        ),
        IFERROR(MIN(
            IF(
                (TRIM(INDIRECT("'" &amp; 'Hulp (overig)'!$C$16 &amp; "'!B1:B1000")) = TEXT(K224,"0")) *
                (ROW(INDIRECT("'" &amp; 'Hulp (overig)'!$C$16 &amp; "'!B1:B1000")) &gt;= MATCH(
                    K222,
                    INDIRECT("'" &amp; 'Hulp (overig)'!$C$16 &amp; "'!A1:A1000"),
                    0
                )) *
                IF(
                    L222="",
                    1,
                    (ROW(INDIRECT("'" &amp; 'Hulp (overig)'!$C$16 &amp; "'!B1:B1000")) &lt; MATCH(
                        L222,
                        INDIRECT("'" &amp; 'Hulp (overig)'!$C$16 &amp; "'!A1:A1000"),
                        0
                    ))
                ),
                ROW(INDIRECT("'" &amp; 'Hulp (overig)'!$C$16 &amp; "'!B1:B1000"))
            )
        ),0)
    )=0,"",
INDEX(
        INDIRECT("'" &amp; 'Hulp (overig)'!$C$16 &amp; "'!" &amp;
        'Hulp (overig)'!$C$17 &amp; "1:" &amp; 'Hulp (overig)'!$C$17 &amp; 1000
        ),
        IFERROR(MIN(
            IF(
                (TRIM(INDIRECT("'" &amp; 'Hulp (overig)'!$C$16 &amp; "'!B1:B1000")) = TEXT(K224,"0")) *
                (ROW(INDIRECT("'" &amp; 'Hulp (overig)'!$C$16 &amp; "'!B1:B1000")) &gt;= MATCH(
                    K222,
                    INDIRECT("'" &amp; 'Hulp (overig)'!$C$16 &amp; "'!A1:A1000"),
                    0
                )) *
                IF(
                    L222="",
                    1,
                    (ROW(INDIRECT("'" &amp; 'Hulp (overig)'!$C$16 &amp; "'!B1:B1000")) &lt; MATCH(
                        L222,
                        INDIRECT("'" &amp; 'Hulp (overig)'!$C$16 &amp; "'!A1:A1000"),
                        0
                    ))
                ),
                ROW(INDIRECT("'" &amp; 'Hulp (overig)'!$C$16 &amp; "'!B1:B1000"))
            )
        ),0)
    ))
))))</f>
        <v>#VALUE!</v>
      </c>
      <c r="L225" s="425" t="e" cm="1">
        <f t="array" aca="1" ref="L225" ca="1">IF($BF225, IF(L222="","",
   INDEX(
      INDIRECT("'" &amp; 'Hulp (CAO''s)'!$AE$8 &amp; "'!" &amp;
               'Hulp (overig)'!$C$17 &amp; "1:" &amp;
               'Hulp (overig)'!$C$17 &amp; "1000"),
      MATCH(
         L222,
         INDIRECT("'" &amp; 'Hulp (CAO''s)'!$AE$8 &amp; "'!A1:A1000"),
         0
      )
   )
), IF($D223="Gebruik % van maximum salaris",
IF(
    OR(L222="",L223=""),
    "",
    MAX(
        INDIRECT(
            "'" &amp; 'Hulp (overig)'!$C$16 &amp; "'!" &amp;
            'Hulp (overig)'!$C$17 &amp;
            MATCH(L222, INDIRECT("'" &amp; 'Hulp (overig)'!$C$16 &amp; "'!A1:A1000"), 0) &amp;
            ":" &amp;
            'Hulp (overig)'!$C$17 &amp;
LOOKUP(
    2,
    1 / (
        (ROW(INDIRECT("'" &amp; 'Hulp (overig)'!$C$16 &amp; "'!B1:B1000")) &lt;
            IF(M222&lt;&gt;"",
               MATCH(M222, INDIRECT("'" &amp; 'Hulp (overig)'!$C$16 &amp; "'!A1:A1000"),0),
               1000
            )
        ) *
        (LEFT(TRIM(INDIRECT("'" &amp; 'Hulp (overig)'!$C$16 &amp; "'!B1:B1000")),1) &lt;&gt; "u")
    ),
    ROW(INDIRECT("'" &amp; 'Hulp (overig)'!$C$16 &amp; "'!B1:B1000"))
)
        )
    ) * L223
),
IF(L224="","",
IF(
    IFERROR(MIN(
        IF(
            (TRIM(INDIRECT("'" &amp; 'Hulp (overig)'!$C$16 &amp; "'!B1:B1000")) = TEXT(L224,"0")) *
            (ROW(INDIRECT("'" &amp; 'Hulp (overig)'!$C$16 &amp; "'!B1:B1000")) &gt;= MATCH(
                L222,
                INDIRECT("'" &amp; 'Hulp (overig)'!$C$16 &amp; "'!A1:A1000"),
                0
            )) *
            IF(
                M222="",
                1,
                (ROW(INDIRECT("'" &amp; 'Hulp (overig)'!$C$16 &amp; "'!B1:B1000")) &lt; MATCH(
                    M222,
                    INDIRECT("'" &amp; 'Hulp (overig)'!$C$16 &amp; "'!A1:A1000"),
                    0
                ))
            ),
            ROW(INDIRECT("'" &amp; 'Hulp (overig)'!$C$16 &amp; "'!B1:B1000"))
        )
    ),0) &lt; 1,
    "",
    IF(INDEX(
        INDIRECT("'" &amp; 'Hulp (overig)'!$C$16 &amp; "'!" &amp;
        'Hulp (overig)'!$C$17 &amp; "1:" &amp; 'Hulp (overig)'!$C$17 &amp; 1000
        ),
        IFERROR(MIN(
            IF(
                (TRIM(INDIRECT("'" &amp; 'Hulp (overig)'!$C$16 &amp; "'!B1:B1000")) = TEXT(L224,"0")) *
                (ROW(INDIRECT("'" &amp; 'Hulp (overig)'!$C$16 &amp; "'!B1:B1000")) &gt;= MATCH(
                    L222,
                    INDIRECT("'" &amp; 'Hulp (overig)'!$C$16 &amp; "'!A1:A1000"),
                    0
                )) *
                IF(
                    M222="",
                    1,
                    (ROW(INDIRECT("'" &amp; 'Hulp (overig)'!$C$16 &amp; "'!B1:B1000")) &lt; MATCH(
                        M222,
                        INDIRECT("'" &amp; 'Hulp (overig)'!$C$16 &amp; "'!A1:A1000"),
                        0
                    ))
                ),
                ROW(INDIRECT("'" &amp; 'Hulp (overig)'!$C$16 &amp; "'!B1:B1000"))
            )
        ),0)
    )=0,"",
INDEX(
        INDIRECT("'" &amp; 'Hulp (overig)'!$C$16 &amp; "'!" &amp;
        'Hulp (overig)'!$C$17 &amp; "1:" &amp; 'Hulp (overig)'!$C$17 &amp; 1000
        ),
        IFERROR(MIN(
            IF(
                (TRIM(INDIRECT("'" &amp; 'Hulp (overig)'!$C$16 &amp; "'!B1:B1000")) = TEXT(L224,"0")) *
                (ROW(INDIRECT("'" &amp; 'Hulp (overig)'!$C$16 &amp; "'!B1:B1000")) &gt;= MATCH(
                    L222,
                    INDIRECT("'" &amp; 'Hulp (overig)'!$C$16 &amp; "'!A1:A1000"),
                    0
                )) *
                IF(
                    M222="",
                    1,
                    (ROW(INDIRECT("'" &amp; 'Hulp (overig)'!$C$16 &amp; "'!B1:B1000")) &lt; MATCH(
                        M222,
                        INDIRECT("'" &amp; 'Hulp (overig)'!$C$16 &amp; "'!A1:A1000"),
                        0
                    ))
                ),
                ROW(INDIRECT("'" &amp; 'Hulp (overig)'!$C$16 &amp; "'!B1:B1000"))
            )
        ),0)
    ))
))))</f>
        <v>#VALUE!</v>
      </c>
      <c r="M225" s="425" t="e" cm="1">
        <f t="array" aca="1" ref="M225" ca="1">IF($BF225, IF(M222="","",
   INDEX(
      INDIRECT("'" &amp; 'Hulp (CAO''s)'!$AE$8 &amp; "'!" &amp;
               'Hulp (overig)'!$C$17 &amp; "1:" &amp;
               'Hulp (overig)'!$C$17 &amp; "1000"),
      MATCH(
         M222,
         INDIRECT("'" &amp; 'Hulp (CAO''s)'!$AE$8 &amp; "'!A1:A1000"),
         0
      )
   )
), IF($D223="Gebruik % van maximum salaris",
IF(
    OR(M222="",M223=""),
    "",
    MAX(
        INDIRECT(
            "'" &amp; 'Hulp (overig)'!$C$16 &amp; "'!" &amp;
            'Hulp (overig)'!$C$17 &amp;
            MATCH(M222, INDIRECT("'" &amp; 'Hulp (overig)'!$C$16 &amp; "'!A1:A1000"), 0) &amp;
            ":" &amp;
            'Hulp (overig)'!$C$17 &amp;
LOOKUP(
    2,
    1 / (
        (ROW(INDIRECT("'" &amp; 'Hulp (overig)'!$C$16 &amp; "'!B1:B1000")) &lt;
            IF(N222&lt;&gt;"",
               MATCH(N222, INDIRECT("'" &amp; 'Hulp (overig)'!$C$16 &amp; "'!A1:A1000"),0),
               1000
            )
        ) *
        (LEFT(TRIM(INDIRECT("'" &amp; 'Hulp (overig)'!$C$16 &amp; "'!B1:B1000")),1) &lt;&gt; "u")
    ),
    ROW(INDIRECT("'" &amp; 'Hulp (overig)'!$C$16 &amp; "'!B1:B1000"))
)
        )
    ) * M223
),
IF(M224="","",
IF(
    IFERROR(MIN(
        IF(
            (TRIM(INDIRECT("'" &amp; 'Hulp (overig)'!$C$16 &amp; "'!B1:B1000")) = TEXT(M224,"0")) *
            (ROW(INDIRECT("'" &amp; 'Hulp (overig)'!$C$16 &amp; "'!B1:B1000")) &gt;= MATCH(
                M222,
                INDIRECT("'" &amp; 'Hulp (overig)'!$C$16 &amp; "'!A1:A1000"),
                0
            )) *
            IF(
                N222="",
                1,
                (ROW(INDIRECT("'" &amp; 'Hulp (overig)'!$C$16 &amp; "'!B1:B1000")) &lt; MATCH(
                    N222,
                    INDIRECT("'" &amp; 'Hulp (overig)'!$C$16 &amp; "'!A1:A1000"),
                    0
                ))
            ),
            ROW(INDIRECT("'" &amp; 'Hulp (overig)'!$C$16 &amp; "'!B1:B1000"))
        )
    ),0) &lt; 1,
    "",
    IF(INDEX(
        INDIRECT("'" &amp; 'Hulp (overig)'!$C$16 &amp; "'!" &amp;
        'Hulp (overig)'!$C$17 &amp; "1:" &amp; 'Hulp (overig)'!$C$17 &amp; 1000
        ),
        IFERROR(MIN(
            IF(
                (TRIM(INDIRECT("'" &amp; 'Hulp (overig)'!$C$16 &amp; "'!B1:B1000")) = TEXT(M224,"0")) *
                (ROW(INDIRECT("'" &amp; 'Hulp (overig)'!$C$16 &amp; "'!B1:B1000")) &gt;= MATCH(
                    M222,
                    INDIRECT("'" &amp; 'Hulp (overig)'!$C$16 &amp; "'!A1:A1000"),
                    0
                )) *
                IF(
                    N222="",
                    1,
                    (ROW(INDIRECT("'" &amp; 'Hulp (overig)'!$C$16 &amp; "'!B1:B1000")) &lt; MATCH(
                        N222,
                        INDIRECT("'" &amp; 'Hulp (overig)'!$C$16 &amp; "'!A1:A1000"),
                        0
                    ))
                ),
                ROW(INDIRECT("'" &amp; 'Hulp (overig)'!$C$16 &amp; "'!B1:B1000"))
            )
        ),0)
    )=0,"",
INDEX(
        INDIRECT("'" &amp; 'Hulp (overig)'!$C$16 &amp; "'!" &amp;
        'Hulp (overig)'!$C$17 &amp; "1:" &amp; 'Hulp (overig)'!$C$17 &amp; 1000
        ),
        IFERROR(MIN(
            IF(
                (TRIM(INDIRECT("'" &amp; 'Hulp (overig)'!$C$16 &amp; "'!B1:B1000")) = TEXT(M224,"0")) *
                (ROW(INDIRECT("'" &amp; 'Hulp (overig)'!$C$16 &amp; "'!B1:B1000")) &gt;= MATCH(
                    M222,
                    INDIRECT("'" &amp; 'Hulp (overig)'!$C$16 &amp; "'!A1:A1000"),
                    0
                )) *
                IF(
                    N222="",
                    1,
                    (ROW(INDIRECT("'" &amp; 'Hulp (overig)'!$C$16 &amp; "'!B1:B1000")) &lt; MATCH(
                        N222,
                        INDIRECT("'" &amp; 'Hulp (overig)'!$C$16 &amp; "'!A1:A1000"),
                        0
                    ))
                ),
                ROW(INDIRECT("'" &amp; 'Hulp (overig)'!$C$16 &amp; "'!B1:B1000"))
            )
        ),0)
    ))
))))</f>
        <v>#VALUE!</v>
      </c>
      <c r="N225" s="425" t="e" cm="1">
        <f t="array" aca="1" ref="N225" ca="1">IF($BF225, IF(N222="","",
   INDEX(
      INDIRECT("'" &amp; 'Hulp (CAO''s)'!$AE$8 &amp; "'!" &amp;
               'Hulp (overig)'!$C$17 &amp; "1:" &amp;
               'Hulp (overig)'!$C$17 &amp; "1000"),
      MATCH(
         N222,
         INDIRECT("'" &amp; 'Hulp (CAO''s)'!$AE$8 &amp; "'!A1:A1000"),
         0
      )
   )
), IF($D223="Gebruik % van maximum salaris",
IF(
    OR(N222="",N223=""),
    "",
    MAX(
        INDIRECT(
            "'" &amp; 'Hulp (overig)'!$C$16 &amp; "'!" &amp;
            'Hulp (overig)'!$C$17 &amp;
            MATCH(N222, INDIRECT("'" &amp; 'Hulp (overig)'!$C$16 &amp; "'!A1:A1000"), 0) &amp;
            ":" &amp;
            'Hulp (overig)'!$C$17 &amp;
LOOKUP(
    2,
    1 / (
        (ROW(INDIRECT("'" &amp; 'Hulp (overig)'!$C$16 &amp; "'!B1:B1000")) &lt;
            IF(O222&lt;&gt;"",
               MATCH(O222, INDIRECT("'" &amp; 'Hulp (overig)'!$C$16 &amp; "'!A1:A1000"),0),
               1000
            )
        ) *
        (LEFT(TRIM(INDIRECT("'" &amp; 'Hulp (overig)'!$C$16 &amp; "'!B1:B1000")),1) &lt;&gt; "u")
    ),
    ROW(INDIRECT("'" &amp; 'Hulp (overig)'!$C$16 &amp; "'!B1:B1000"))
)
        )
    ) * N223
),
IF(N224="","",
IF(
    IFERROR(MIN(
        IF(
            (TRIM(INDIRECT("'" &amp; 'Hulp (overig)'!$C$16 &amp; "'!B1:B1000")) = TEXT(N224,"0")) *
            (ROW(INDIRECT("'" &amp; 'Hulp (overig)'!$C$16 &amp; "'!B1:B1000")) &gt;= MATCH(
                N222,
                INDIRECT("'" &amp; 'Hulp (overig)'!$C$16 &amp; "'!A1:A1000"),
                0
            )) *
            IF(
                O222="",
                1,
                (ROW(INDIRECT("'" &amp; 'Hulp (overig)'!$C$16 &amp; "'!B1:B1000")) &lt; MATCH(
                    O222,
                    INDIRECT("'" &amp; 'Hulp (overig)'!$C$16 &amp; "'!A1:A1000"),
                    0
                ))
            ),
            ROW(INDIRECT("'" &amp; 'Hulp (overig)'!$C$16 &amp; "'!B1:B1000"))
        )
    ),0) &lt; 1,
    "",
    IF(INDEX(
        INDIRECT("'" &amp; 'Hulp (overig)'!$C$16 &amp; "'!" &amp;
        'Hulp (overig)'!$C$17 &amp; "1:" &amp; 'Hulp (overig)'!$C$17 &amp; 1000
        ),
        IFERROR(MIN(
            IF(
                (TRIM(INDIRECT("'" &amp; 'Hulp (overig)'!$C$16 &amp; "'!B1:B1000")) = TEXT(N224,"0")) *
                (ROW(INDIRECT("'" &amp; 'Hulp (overig)'!$C$16 &amp; "'!B1:B1000")) &gt;= MATCH(
                    N222,
                    INDIRECT("'" &amp; 'Hulp (overig)'!$C$16 &amp; "'!A1:A1000"),
                    0
                )) *
                IF(
                    O222="",
                    1,
                    (ROW(INDIRECT("'" &amp; 'Hulp (overig)'!$C$16 &amp; "'!B1:B1000")) &lt; MATCH(
                        O222,
                        INDIRECT("'" &amp; 'Hulp (overig)'!$C$16 &amp; "'!A1:A1000"),
                        0
                    ))
                ),
                ROW(INDIRECT("'" &amp; 'Hulp (overig)'!$C$16 &amp; "'!B1:B1000"))
            )
        ),0)
    )=0,"",
INDEX(
        INDIRECT("'" &amp; 'Hulp (overig)'!$C$16 &amp; "'!" &amp;
        'Hulp (overig)'!$C$17 &amp; "1:" &amp; 'Hulp (overig)'!$C$17 &amp; 1000
        ),
        IFERROR(MIN(
            IF(
                (TRIM(INDIRECT("'" &amp; 'Hulp (overig)'!$C$16 &amp; "'!B1:B1000")) = TEXT(N224,"0")) *
                (ROW(INDIRECT("'" &amp; 'Hulp (overig)'!$C$16 &amp; "'!B1:B1000")) &gt;= MATCH(
                    N222,
                    INDIRECT("'" &amp; 'Hulp (overig)'!$C$16 &amp; "'!A1:A1000"),
                    0
                )) *
                IF(
                    O222="",
                    1,
                    (ROW(INDIRECT("'" &amp; 'Hulp (overig)'!$C$16 &amp; "'!B1:B1000")) &lt; MATCH(
                        O222,
                        INDIRECT("'" &amp; 'Hulp (overig)'!$C$16 &amp; "'!A1:A1000"),
                        0
                    ))
                ),
                ROW(INDIRECT("'" &amp; 'Hulp (overig)'!$C$16 &amp; "'!B1:B1000"))
            )
        ),0)
    ))
))))</f>
        <v>#VALUE!</v>
      </c>
      <c r="O225" s="425" t="e" cm="1">
        <f t="array" aca="1" ref="O225" ca="1">IF($BF225, IF(O222="","",
   INDEX(
      INDIRECT("'" &amp; 'Hulp (CAO''s)'!$AE$8 &amp; "'!" &amp;
               'Hulp (overig)'!$C$17 &amp; "1:" &amp;
               'Hulp (overig)'!$C$17 &amp; "1000"),
      MATCH(
         O222,
         INDIRECT("'" &amp; 'Hulp (CAO''s)'!$AE$8 &amp; "'!A1:A1000"),
         0
      )
   )
), IF($D223="Gebruik % van maximum salaris",
IF(
    OR(O222="",O223=""),
    "",
    MAX(
        INDIRECT(
            "'" &amp; 'Hulp (overig)'!$C$16 &amp; "'!" &amp;
            'Hulp (overig)'!$C$17 &amp;
            MATCH(O222, INDIRECT("'" &amp; 'Hulp (overig)'!$C$16 &amp; "'!A1:A1000"), 0) &amp;
            ":" &amp;
            'Hulp (overig)'!$C$17 &amp;
LOOKUP(
    2,
    1 / (
        (ROW(INDIRECT("'" &amp; 'Hulp (overig)'!$C$16 &amp; "'!B1:B1000")) &lt;
            IF(P222&lt;&gt;"",
               MATCH(P222, INDIRECT("'" &amp; 'Hulp (overig)'!$C$16 &amp; "'!A1:A1000"),0),
               1000
            )
        ) *
        (LEFT(TRIM(INDIRECT("'" &amp; 'Hulp (overig)'!$C$16 &amp; "'!B1:B1000")),1) &lt;&gt; "u")
    ),
    ROW(INDIRECT("'" &amp; 'Hulp (overig)'!$C$16 &amp; "'!B1:B1000"))
)
        )
    ) * O223
),
IF(O224="","",
IF(
    IFERROR(MIN(
        IF(
            (TRIM(INDIRECT("'" &amp; 'Hulp (overig)'!$C$16 &amp; "'!B1:B1000")) = TEXT(O224,"0")) *
            (ROW(INDIRECT("'" &amp; 'Hulp (overig)'!$C$16 &amp; "'!B1:B1000")) &gt;= MATCH(
                O222,
                INDIRECT("'" &amp; 'Hulp (overig)'!$C$16 &amp; "'!A1:A1000"),
                0
            )) *
            IF(
                P222="",
                1,
                (ROW(INDIRECT("'" &amp; 'Hulp (overig)'!$C$16 &amp; "'!B1:B1000")) &lt; MATCH(
                    P222,
                    INDIRECT("'" &amp; 'Hulp (overig)'!$C$16 &amp; "'!A1:A1000"),
                    0
                ))
            ),
            ROW(INDIRECT("'" &amp; 'Hulp (overig)'!$C$16 &amp; "'!B1:B1000"))
        )
    ),0) &lt; 1,
    "",
    IF(INDEX(
        INDIRECT("'" &amp; 'Hulp (overig)'!$C$16 &amp; "'!" &amp;
        'Hulp (overig)'!$C$17 &amp; "1:" &amp; 'Hulp (overig)'!$C$17 &amp; 1000
        ),
        IFERROR(MIN(
            IF(
                (TRIM(INDIRECT("'" &amp; 'Hulp (overig)'!$C$16 &amp; "'!B1:B1000")) = TEXT(O224,"0")) *
                (ROW(INDIRECT("'" &amp; 'Hulp (overig)'!$C$16 &amp; "'!B1:B1000")) &gt;= MATCH(
                    O222,
                    INDIRECT("'" &amp; 'Hulp (overig)'!$C$16 &amp; "'!A1:A1000"),
                    0
                )) *
                IF(
                    P222="",
                    1,
                    (ROW(INDIRECT("'" &amp; 'Hulp (overig)'!$C$16 &amp; "'!B1:B1000")) &lt; MATCH(
                        P222,
                        INDIRECT("'" &amp; 'Hulp (overig)'!$C$16 &amp; "'!A1:A1000"),
                        0
                    ))
                ),
                ROW(INDIRECT("'" &amp; 'Hulp (overig)'!$C$16 &amp; "'!B1:B1000"))
            )
        ),0)
    )=0,"",
INDEX(
        INDIRECT("'" &amp; 'Hulp (overig)'!$C$16 &amp; "'!" &amp;
        'Hulp (overig)'!$C$17 &amp; "1:" &amp; 'Hulp (overig)'!$C$17 &amp; 1000
        ),
        IFERROR(MIN(
            IF(
                (TRIM(INDIRECT("'" &amp; 'Hulp (overig)'!$C$16 &amp; "'!B1:B1000")) = TEXT(O224,"0")) *
                (ROW(INDIRECT("'" &amp; 'Hulp (overig)'!$C$16 &amp; "'!B1:B1000")) &gt;= MATCH(
                    O222,
                    INDIRECT("'" &amp; 'Hulp (overig)'!$C$16 &amp; "'!A1:A1000"),
                    0
                )) *
                IF(
                    P222="",
                    1,
                    (ROW(INDIRECT("'" &amp; 'Hulp (overig)'!$C$16 &amp; "'!B1:B1000")) &lt; MATCH(
                        P222,
                        INDIRECT("'" &amp; 'Hulp (overig)'!$C$16 &amp; "'!A1:A1000"),
                        0
                    ))
                ),
                ROW(INDIRECT("'" &amp; 'Hulp (overig)'!$C$16 &amp; "'!B1:B1000"))
            )
        ),0)
    ))
))))</f>
        <v>#VALUE!</v>
      </c>
      <c r="P225" s="425" t="e" cm="1">
        <f t="array" aca="1" ref="P225" ca="1">IF($BF225, IF(P222="","",
   INDEX(
      INDIRECT("'" &amp; 'Hulp (CAO''s)'!$AE$8 &amp; "'!" &amp;
               'Hulp (overig)'!$C$17 &amp; "1:" &amp;
               'Hulp (overig)'!$C$17 &amp; "1000"),
      MATCH(
         P222,
         INDIRECT("'" &amp; 'Hulp (CAO''s)'!$AE$8 &amp; "'!A1:A1000"),
         0
      )
   )
), IF($D223="Gebruik % van maximum salaris",
IF(
    OR(P222="",P223=""),
    "",
    MAX(
        INDIRECT(
            "'" &amp; 'Hulp (overig)'!$C$16 &amp; "'!" &amp;
            'Hulp (overig)'!$C$17 &amp;
            MATCH(P222, INDIRECT("'" &amp; 'Hulp (overig)'!$C$16 &amp; "'!A1:A1000"), 0) &amp;
            ":" &amp;
            'Hulp (overig)'!$C$17 &amp;
LOOKUP(
    2,
    1 / (
        (ROW(INDIRECT("'" &amp; 'Hulp (overig)'!$C$16 &amp; "'!B1:B1000")) &lt;
            IF(Q222&lt;&gt;"",
               MATCH(Q222, INDIRECT("'" &amp; 'Hulp (overig)'!$C$16 &amp; "'!A1:A1000"),0),
               1000
            )
        ) *
        (LEFT(TRIM(INDIRECT("'" &amp; 'Hulp (overig)'!$C$16 &amp; "'!B1:B1000")),1) &lt;&gt; "u")
    ),
    ROW(INDIRECT("'" &amp; 'Hulp (overig)'!$C$16 &amp; "'!B1:B1000"))
)
        )
    ) * P223
),
IF(P224="","",
IF(
    IFERROR(MIN(
        IF(
            (TRIM(INDIRECT("'" &amp; 'Hulp (overig)'!$C$16 &amp; "'!B1:B1000")) = TEXT(P224,"0")) *
            (ROW(INDIRECT("'" &amp; 'Hulp (overig)'!$C$16 &amp; "'!B1:B1000")) &gt;= MATCH(
                P222,
                INDIRECT("'" &amp; 'Hulp (overig)'!$C$16 &amp; "'!A1:A1000"),
                0
            )) *
            IF(
                Q222="",
                1,
                (ROW(INDIRECT("'" &amp; 'Hulp (overig)'!$C$16 &amp; "'!B1:B1000")) &lt; MATCH(
                    Q222,
                    INDIRECT("'" &amp; 'Hulp (overig)'!$C$16 &amp; "'!A1:A1000"),
                    0
                ))
            ),
            ROW(INDIRECT("'" &amp; 'Hulp (overig)'!$C$16 &amp; "'!B1:B1000"))
        )
    ),0) &lt; 1,
    "",
    IF(INDEX(
        INDIRECT("'" &amp; 'Hulp (overig)'!$C$16 &amp; "'!" &amp;
        'Hulp (overig)'!$C$17 &amp; "1:" &amp; 'Hulp (overig)'!$C$17 &amp; 1000
        ),
        IFERROR(MIN(
            IF(
                (TRIM(INDIRECT("'" &amp; 'Hulp (overig)'!$C$16 &amp; "'!B1:B1000")) = TEXT(P224,"0")) *
                (ROW(INDIRECT("'" &amp; 'Hulp (overig)'!$C$16 &amp; "'!B1:B1000")) &gt;= MATCH(
                    P222,
                    INDIRECT("'" &amp; 'Hulp (overig)'!$C$16 &amp; "'!A1:A1000"),
                    0
                )) *
                IF(
                    Q222="",
                    1,
                    (ROW(INDIRECT("'" &amp; 'Hulp (overig)'!$C$16 &amp; "'!B1:B1000")) &lt; MATCH(
                        Q222,
                        INDIRECT("'" &amp; 'Hulp (overig)'!$C$16 &amp; "'!A1:A1000"),
                        0
                    ))
                ),
                ROW(INDIRECT("'" &amp; 'Hulp (overig)'!$C$16 &amp; "'!B1:B1000"))
            )
        ),0)
    )=0,"",
INDEX(
        INDIRECT("'" &amp; 'Hulp (overig)'!$C$16 &amp; "'!" &amp;
        'Hulp (overig)'!$C$17 &amp; "1:" &amp; 'Hulp (overig)'!$C$17 &amp; 1000
        ),
        IFERROR(MIN(
            IF(
                (TRIM(INDIRECT("'" &amp; 'Hulp (overig)'!$C$16 &amp; "'!B1:B1000")) = TEXT(P224,"0")) *
                (ROW(INDIRECT("'" &amp; 'Hulp (overig)'!$C$16 &amp; "'!B1:B1000")) &gt;= MATCH(
                    P222,
                    INDIRECT("'" &amp; 'Hulp (overig)'!$C$16 &amp; "'!A1:A1000"),
                    0
                )) *
                IF(
                    Q222="",
                    1,
                    (ROW(INDIRECT("'" &amp; 'Hulp (overig)'!$C$16 &amp; "'!B1:B1000")) &lt; MATCH(
                        Q222,
                        INDIRECT("'" &amp; 'Hulp (overig)'!$C$16 &amp; "'!A1:A1000"),
                        0
                    ))
                ),
                ROW(INDIRECT("'" &amp; 'Hulp (overig)'!$C$16 &amp; "'!B1:B1000"))
            )
        ),0)
    ))
))))</f>
        <v>#VALUE!</v>
      </c>
      <c r="Q225" s="425" t="e" cm="1">
        <f t="array" aca="1" ref="Q225" ca="1">IF($BF225, IF(Q222="","",
   INDEX(
      INDIRECT("'" &amp; 'Hulp (CAO''s)'!$AE$8 &amp; "'!" &amp;
               'Hulp (overig)'!$C$17 &amp; "1:" &amp;
               'Hulp (overig)'!$C$17 &amp; "1000"),
      MATCH(
         Q222,
         INDIRECT("'" &amp; 'Hulp (CAO''s)'!$AE$8 &amp; "'!A1:A1000"),
         0
      )
   )
), IF($D223="Gebruik % van maximum salaris",
IF(
    OR(Q222="",Q223=""),
    "",
    MAX(
        INDIRECT(
            "'" &amp; 'Hulp (overig)'!$C$16 &amp; "'!" &amp;
            'Hulp (overig)'!$C$17 &amp;
            MATCH(Q222, INDIRECT("'" &amp; 'Hulp (overig)'!$C$16 &amp; "'!A1:A1000"), 0) &amp;
            ":" &amp;
            'Hulp (overig)'!$C$17 &amp;
LOOKUP(
    2,
    1 / (
        (ROW(INDIRECT("'" &amp; 'Hulp (overig)'!$C$16 &amp; "'!B1:B1000")) &lt;
            IF(R222&lt;&gt;"",
               MATCH(R222, INDIRECT("'" &amp; 'Hulp (overig)'!$C$16 &amp; "'!A1:A1000"),0),
               1000
            )
        ) *
        (LEFT(TRIM(INDIRECT("'" &amp; 'Hulp (overig)'!$C$16 &amp; "'!B1:B1000")),1) &lt;&gt; "u")
    ),
    ROW(INDIRECT("'" &amp; 'Hulp (overig)'!$C$16 &amp; "'!B1:B1000"))
)
        )
    ) * Q223
),
IF(Q224="","",
IF(
    IFERROR(MIN(
        IF(
            (TRIM(INDIRECT("'" &amp; 'Hulp (overig)'!$C$16 &amp; "'!B1:B1000")) = TEXT(Q224,"0")) *
            (ROW(INDIRECT("'" &amp; 'Hulp (overig)'!$C$16 &amp; "'!B1:B1000")) &gt;= MATCH(
                Q222,
                INDIRECT("'" &amp; 'Hulp (overig)'!$C$16 &amp; "'!A1:A1000"),
                0
            )) *
            IF(
                R222="",
                1,
                (ROW(INDIRECT("'" &amp; 'Hulp (overig)'!$C$16 &amp; "'!B1:B1000")) &lt; MATCH(
                    R222,
                    INDIRECT("'" &amp; 'Hulp (overig)'!$C$16 &amp; "'!A1:A1000"),
                    0
                ))
            ),
            ROW(INDIRECT("'" &amp; 'Hulp (overig)'!$C$16 &amp; "'!B1:B1000"))
        )
    ),0) &lt; 1,
    "",
    IF(INDEX(
        INDIRECT("'" &amp; 'Hulp (overig)'!$C$16 &amp; "'!" &amp;
        'Hulp (overig)'!$C$17 &amp; "1:" &amp; 'Hulp (overig)'!$C$17 &amp; 1000
        ),
        IFERROR(MIN(
            IF(
                (TRIM(INDIRECT("'" &amp; 'Hulp (overig)'!$C$16 &amp; "'!B1:B1000")) = TEXT(Q224,"0")) *
                (ROW(INDIRECT("'" &amp; 'Hulp (overig)'!$C$16 &amp; "'!B1:B1000")) &gt;= MATCH(
                    Q222,
                    INDIRECT("'" &amp; 'Hulp (overig)'!$C$16 &amp; "'!A1:A1000"),
                    0
                )) *
                IF(
                    R222="",
                    1,
                    (ROW(INDIRECT("'" &amp; 'Hulp (overig)'!$C$16 &amp; "'!B1:B1000")) &lt; MATCH(
                        R222,
                        INDIRECT("'" &amp; 'Hulp (overig)'!$C$16 &amp; "'!A1:A1000"),
                        0
                    ))
                ),
                ROW(INDIRECT("'" &amp; 'Hulp (overig)'!$C$16 &amp; "'!B1:B1000"))
            )
        ),0)
    )=0,"",
INDEX(
        INDIRECT("'" &amp; 'Hulp (overig)'!$C$16 &amp; "'!" &amp;
        'Hulp (overig)'!$C$17 &amp; "1:" &amp; 'Hulp (overig)'!$C$17 &amp; 1000
        ),
        IFERROR(MIN(
            IF(
                (TRIM(INDIRECT("'" &amp; 'Hulp (overig)'!$C$16 &amp; "'!B1:B1000")) = TEXT(Q224,"0")) *
                (ROW(INDIRECT("'" &amp; 'Hulp (overig)'!$C$16 &amp; "'!B1:B1000")) &gt;= MATCH(
                    Q222,
                    INDIRECT("'" &amp; 'Hulp (overig)'!$C$16 &amp; "'!A1:A1000"),
                    0
                )) *
                IF(
                    R222="",
                    1,
                    (ROW(INDIRECT("'" &amp; 'Hulp (overig)'!$C$16 &amp; "'!B1:B1000")) &lt; MATCH(
                        R222,
                        INDIRECT("'" &amp; 'Hulp (overig)'!$C$16 &amp; "'!A1:A1000"),
                        0
                    ))
                ),
                ROW(INDIRECT("'" &amp; 'Hulp (overig)'!$C$16 &amp; "'!B1:B1000"))
            )
        ),0)
    ))
))))</f>
        <v>#VALUE!</v>
      </c>
      <c r="R225" s="425" t="e" cm="1">
        <f t="array" aca="1" ref="R225" ca="1">IF($BF225, IF(R222="","",
   INDEX(
      INDIRECT("'" &amp; 'Hulp (CAO''s)'!$AE$8 &amp; "'!" &amp;
               'Hulp (overig)'!$C$17 &amp; "1:" &amp;
               'Hulp (overig)'!$C$17 &amp; "1000"),
      MATCH(
         R222,
         INDIRECT("'" &amp; 'Hulp (CAO''s)'!$AE$8 &amp; "'!A1:A1000"),
         0
      )
   )
), IF($D223="Gebruik % van maximum salaris",
IF(
    OR(R222="",R223=""),
    "",
    MAX(
        INDIRECT(
            "'" &amp; 'Hulp (overig)'!$C$16 &amp; "'!" &amp;
            'Hulp (overig)'!$C$17 &amp;
            MATCH(R222, INDIRECT("'" &amp; 'Hulp (overig)'!$C$16 &amp; "'!A1:A1000"), 0) &amp;
            ":" &amp;
            'Hulp (overig)'!$C$17 &amp;
LOOKUP(
    2,
    1 / (
        (ROW(INDIRECT("'" &amp; 'Hulp (overig)'!$C$16 &amp; "'!B1:B1000")) &lt;
            IF(S222&lt;&gt;"",
               MATCH(S222, INDIRECT("'" &amp; 'Hulp (overig)'!$C$16 &amp; "'!A1:A1000"),0),
               1000
            )
        ) *
        (LEFT(TRIM(INDIRECT("'" &amp; 'Hulp (overig)'!$C$16 &amp; "'!B1:B1000")),1) &lt;&gt; "u")
    ),
    ROW(INDIRECT("'" &amp; 'Hulp (overig)'!$C$16 &amp; "'!B1:B1000"))
)
        )
    ) * R223
),
IF(R224="","",
IF(
    IFERROR(MIN(
        IF(
            (TRIM(INDIRECT("'" &amp; 'Hulp (overig)'!$C$16 &amp; "'!B1:B1000")) = TEXT(R224,"0")) *
            (ROW(INDIRECT("'" &amp; 'Hulp (overig)'!$C$16 &amp; "'!B1:B1000")) &gt;= MATCH(
                R222,
                INDIRECT("'" &amp; 'Hulp (overig)'!$C$16 &amp; "'!A1:A1000"),
                0
            )) *
            IF(
                S222="",
                1,
                (ROW(INDIRECT("'" &amp; 'Hulp (overig)'!$C$16 &amp; "'!B1:B1000")) &lt; MATCH(
                    S222,
                    INDIRECT("'" &amp; 'Hulp (overig)'!$C$16 &amp; "'!A1:A1000"),
                    0
                ))
            ),
            ROW(INDIRECT("'" &amp; 'Hulp (overig)'!$C$16 &amp; "'!B1:B1000"))
        )
    ),0) &lt; 1,
    "",
    IF(INDEX(
        INDIRECT("'" &amp; 'Hulp (overig)'!$C$16 &amp; "'!" &amp;
        'Hulp (overig)'!$C$17 &amp; "1:" &amp; 'Hulp (overig)'!$C$17 &amp; 1000
        ),
        IFERROR(MIN(
            IF(
                (TRIM(INDIRECT("'" &amp; 'Hulp (overig)'!$C$16 &amp; "'!B1:B1000")) = TEXT(R224,"0")) *
                (ROW(INDIRECT("'" &amp; 'Hulp (overig)'!$C$16 &amp; "'!B1:B1000")) &gt;= MATCH(
                    R222,
                    INDIRECT("'" &amp; 'Hulp (overig)'!$C$16 &amp; "'!A1:A1000"),
                    0
                )) *
                IF(
                    S222="",
                    1,
                    (ROW(INDIRECT("'" &amp; 'Hulp (overig)'!$C$16 &amp; "'!B1:B1000")) &lt; MATCH(
                        S222,
                        INDIRECT("'" &amp; 'Hulp (overig)'!$C$16 &amp; "'!A1:A1000"),
                        0
                    ))
                ),
                ROW(INDIRECT("'" &amp; 'Hulp (overig)'!$C$16 &amp; "'!B1:B1000"))
            )
        ),0)
    )=0,"",
INDEX(
        INDIRECT("'" &amp; 'Hulp (overig)'!$C$16 &amp; "'!" &amp;
        'Hulp (overig)'!$C$17 &amp; "1:" &amp; 'Hulp (overig)'!$C$17 &amp; 1000
        ),
        IFERROR(MIN(
            IF(
                (TRIM(INDIRECT("'" &amp; 'Hulp (overig)'!$C$16 &amp; "'!B1:B1000")) = TEXT(R224,"0")) *
                (ROW(INDIRECT("'" &amp; 'Hulp (overig)'!$C$16 &amp; "'!B1:B1000")) &gt;= MATCH(
                    R222,
                    INDIRECT("'" &amp; 'Hulp (overig)'!$C$16 &amp; "'!A1:A1000"),
                    0
                )) *
                IF(
                    S222="",
                    1,
                    (ROW(INDIRECT("'" &amp; 'Hulp (overig)'!$C$16 &amp; "'!B1:B1000")) &lt; MATCH(
                        S222,
                        INDIRECT("'" &amp; 'Hulp (overig)'!$C$16 &amp; "'!A1:A1000"),
                        0
                    ))
                ),
                ROW(INDIRECT("'" &amp; 'Hulp (overig)'!$C$16 &amp; "'!B1:B1000"))
            )
        ),0)
    ))
))))</f>
        <v>#VALUE!</v>
      </c>
      <c r="S225" s="425" t="e" cm="1">
        <f t="array" aca="1" ref="S225" ca="1">IF($BF225, IF(S222="","",
   INDEX(
      INDIRECT("'" &amp; 'Hulp (CAO''s)'!$AE$8 &amp; "'!" &amp;
               'Hulp (overig)'!$C$17 &amp; "1:" &amp;
               'Hulp (overig)'!$C$17 &amp; "1000"),
      MATCH(
         S222,
         INDIRECT("'" &amp; 'Hulp (CAO''s)'!$AE$8 &amp; "'!A1:A1000"),
         0
      )
   )
), IF($D223="Gebruik % van maximum salaris",
IF(
    OR(S222="",S223=""),
    "",
    MAX(
        INDIRECT(
            "'" &amp; 'Hulp (overig)'!$C$16 &amp; "'!" &amp;
            'Hulp (overig)'!$C$17 &amp;
            MATCH(S222, INDIRECT("'" &amp; 'Hulp (overig)'!$C$16 &amp; "'!A1:A1000"), 0) &amp;
            ":" &amp;
            'Hulp (overig)'!$C$17 &amp;
LOOKUP(
    2,
    1 / (
        (ROW(INDIRECT("'" &amp; 'Hulp (overig)'!$C$16 &amp; "'!B1:B1000")) &lt;
            IF(T222&lt;&gt;"",
               MATCH(T222, INDIRECT("'" &amp; 'Hulp (overig)'!$C$16 &amp; "'!A1:A1000"),0),
               1000
            )
        ) *
        (LEFT(TRIM(INDIRECT("'" &amp; 'Hulp (overig)'!$C$16 &amp; "'!B1:B1000")),1) &lt;&gt; "u")
    ),
    ROW(INDIRECT("'" &amp; 'Hulp (overig)'!$C$16 &amp; "'!B1:B1000"))
)
        )
    ) * S223
),
IF(S224="","",
IF(
    IFERROR(MIN(
        IF(
            (TRIM(INDIRECT("'" &amp; 'Hulp (overig)'!$C$16 &amp; "'!B1:B1000")) = TEXT(S224,"0")) *
            (ROW(INDIRECT("'" &amp; 'Hulp (overig)'!$C$16 &amp; "'!B1:B1000")) &gt;= MATCH(
                S222,
                INDIRECT("'" &amp; 'Hulp (overig)'!$C$16 &amp; "'!A1:A1000"),
                0
            )) *
            IF(
                T222="",
                1,
                (ROW(INDIRECT("'" &amp; 'Hulp (overig)'!$C$16 &amp; "'!B1:B1000")) &lt; MATCH(
                    T222,
                    INDIRECT("'" &amp; 'Hulp (overig)'!$C$16 &amp; "'!A1:A1000"),
                    0
                ))
            ),
            ROW(INDIRECT("'" &amp; 'Hulp (overig)'!$C$16 &amp; "'!B1:B1000"))
        )
    ),0) &lt; 1,
    "",
    IF(INDEX(
        INDIRECT("'" &amp; 'Hulp (overig)'!$C$16 &amp; "'!" &amp;
        'Hulp (overig)'!$C$17 &amp; "1:" &amp; 'Hulp (overig)'!$C$17 &amp; 1000
        ),
        IFERROR(MIN(
            IF(
                (TRIM(INDIRECT("'" &amp; 'Hulp (overig)'!$C$16 &amp; "'!B1:B1000")) = TEXT(S224,"0")) *
                (ROW(INDIRECT("'" &amp; 'Hulp (overig)'!$C$16 &amp; "'!B1:B1000")) &gt;= MATCH(
                    S222,
                    INDIRECT("'" &amp; 'Hulp (overig)'!$C$16 &amp; "'!A1:A1000"),
                    0
                )) *
                IF(
                    T222="",
                    1,
                    (ROW(INDIRECT("'" &amp; 'Hulp (overig)'!$C$16 &amp; "'!B1:B1000")) &lt; MATCH(
                        T222,
                        INDIRECT("'" &amp; 'Hulp (overig)'!$C$16 &amp; "'!A1:A1000"),
                        0
                    ))
                ),
                ROW(INDIRECT("'" &amp; 'Hulp (overig)'!$C$16 &amp; "'!B1:B1000"))
            )
        ),0)
    )=0,"",
INDEX(
        INDIRECT("'" &amp; 'Hulp (overig)'!$C$16 &amp; "'!" &amp;
        'Hulp (overig)'!$C$17 &amp; "1:" &amp; 'Hulp (overig)'!$C$17 &amp; 1000
        ),
        IFERROR(MIN(
            IF(
                (TRIM(INDIRECT("'" &amp; 'Hulp (overig)'!$C$16 &amp; "'!B1:B1000")) = TEXT(S224,"0")) *
                (ROW(INDIRECT("'" &amp; 'Hulp (overig)'!$C$16 &amp; "'!B1:B1000")) &gt;= MATCH(
                    S222,
                    INDIRECT("'" &amp; 'Hulp (overig)'!$C$16 &amp; "'!A1:A1000"),
                    0
                )) *
                IF(
                    T222="",
                    1,
                    (ROW(INDIRECT("'" &amp; 'Hulp (overig)'!$C$16 &amp; "'!B1:B1000")) &lt; MATCH(
                        T222,
                        INDIRECT("'" &amp; 'Hulp (overig)'!$C$16 &amp; "'!A1:A1000"),
                        0
                    ))
                ),
                ROW(INDIRECT("'" &amp; 'Hulp (overig)'!$C$16 &amp; "'!B1:B1000"))
            )
        ),0)
    ))
))))</f>
        <v>#VALUE!</v>
      </c>
      <c r="T225" s="425" t="e" cm="1">
        <f t="array" aca="1" ref="T225" ca="1">IF($BF225, IF(T222="","",
   INDEX(
      INDIRECT("'" &amp; 'Hulp (CAO''s)'!$AE$8 &amp; "'!" &amp;
               'Hulp (overig)'!$C$17 &amp; "1:" &amp;
               'Hulp (overig)'!$C$17 &amp; "1000"),
      MATCH(
         T222,
         INDIRECT("'" &amp; 'Hulp (CAO''s)'!$AE$8 &amp; "'!A1:A1000"),
         0
      )
   )
), IF($D223="Gebruik % van maximum salaris",
IF(
    OR(T222="",T223=""),
    "",
    MAX(
        INDIRECT(
            "'" &amp; 'Hulp (overig)'!$C$16 &amp; "'!" &amp;
            'Hulp (overig)'!$C$17 &amp;
            MATCH(T222, INDIRECT("'" &amp; 'Hulp (overig)'!$C$16 &amp; "'!A1:A1000"), 0) &amp;
            ":" &amp;
            'Hulp (overig)'!$C$17 &amp;
LOOKUP(
    2,
    1 / (
        (ROW(INDIRECT("'" &amp; 'Hulp (overig)'!$C$16 &amp; "'!B1:B1000")) &lt;
            IF(U222&lt;&gt;"",
               MATCH(U222, INDIRECT("'" &amp; 'Hulp (overig)'!$C$16 &amp; "'!A1:A1000"),0),
               1000
            )
        ) *
        (LEFT(TRIM(INDIRECT("'" &amp; 'Hulp (overig)'!$C$16 &amp; "'!B1:B1000")),1) &lt;&gt; "u")
    ),
    ROW(INDIRECT("'" &amp; 'Hulp (overig)'!$C$16 &amp; "'!B1:B1000"))
)
        )
    ) * T223
),
IF(T224="","",
IF(
    IFERROR(MIN(
        IF(
            (TRIM(INDIRECT("'" &amp; 'Hulp (overig)'!$C$16 &amp; "'!B1:B1000")) = TEXT(T224,"0")) *
            (ROW(INDIRECT("'" &amp; 'Hulp (overig)'!$C$16 &amp; "'!B1:B1000")) &gt;= MATCH(
                T222,
                INDIRECT("'" &amp; 'Hulp (overig)'!$C$16 &amp; "'!A1:A1000"),
                0
            )) *
            IF(
                U222="",
                1,
                (ROW(INDIRECT("'" &amp; 'Hulp (overig)'!$C$16 &amp; "'!B1:B1000")) &lt; MATCH(
                    U222,
                    INDIRECT("'" &amp; 'Hulp (overig)'!$C$16 &amp; "'!A1:A1000"),
                    0
                ))
            ),
            ROW(INDIRECT("'" &amp; 'Hulp (overig)'!$C$16 &amp; "'!B1:B1000"))
        )
    ),0) &lt; 1,
    "",
    IF(INDEX(
        INDIRECT("'" &amp; 'Hulp (overig)'!$C$16 &amp; "'!" &amp;
        'Hulp (overig)'!$C$17 &amp; "1:" &amp; 'Hulp (overig)'!$C$17 &amp; 1000
        ),
        IFERROR(MIN(
            IF(
                (TRIM(INDIRECT("'" &amp; 'Hulp (overig)'!$C$16 &amp; "'!B1:B1000")) = TEXT(T224,"0")) *
                (ROW(INDIRECT("'" &amp; 'Hulp (overig)'!$C$16 &amp; "'!B1:B1000")) &gt;= MATCH(
                    T222,
                    INDIRECT("'" &amp; 'Hulp (overig)'!$C$16 &amp; "'!A1:A1000"),
                    0
                )) *
                IF(
                    U222="",
                    1,
                    (ROW(INDIRECT("'" &amp; 'Hulp (overig)'!$C$16 &amp; "'!B1:B1000")) &lt; MATCH(
                        U222,
                        INDIRECT("'" &amp; 'Hulp (overig)'!$C$16 &amp; "'!A1:A1000"),
                        0
                    ))
                ),
                ROW(INDIRECT("'" &amp; 'Hulp (overig)'!$C$16 &amp; "'!B1:B1000"))
            )
        ),0)
    )=0,"",
INDEX(
        INDIRECT("'" &amp; 'Hulp (overig)'!$C$16 &amp; "'!" &amp;
        'Hulp (overig)'!$C$17 &amp; "1:" &amp; 'Hulp (overig)'!$C$17 &amp; 1000
        ),
        IFERROR(MIN(
            IF(
                (TRIM(INDIRECT("'" &amp; 'Hulp (overig)'!$C$16 &amp; "'!B1:B1000")) = TEXT(T224,"0")) *
                (ROW(INDIRECT("'" &amp; 'Hulp (overig)'!$C$16 &amp; "'!B1:B1000")) &gt;= MATCH(
                    T222,
                    INDIRECT("'" &amp; 'Hulp (overig)'!$C$16 &amp; "'!A1:A1000"),
                    0
                )) *
                IF(
                    U222="",
                    1,
                    (ROW(INDIRECT("'" &amp; 'Hulp (overig)'!$C$16 &amp; "'!B1:B1000")) &lt; MATCH(
                        U222,
                        INDIRECT("'" &amp; 'Hulp (overig)'!$C$16 &amp; "'!A1:A1000"),
                        0
                    ))
                ),
                ROW(INDIRECT("'" &amp; 'Hulp (overig)'!$C$16 &amp; "'!B1:B1000"))
            )
        ),0)
    ))
))))</f>
        <v>#VALUE!</v>
      </c>
      <c r="U225" s="723" t="e" cm="1">
        <f t="array" aca="1" ref="U225" ca="1">IF($BF225, IF(U222="","",
   INDEX(
      INDIRECT("'" &amp; 'Hulp (CAO''s)'!$AE$8 &amp; "'!" &amp;
               'Hulp (overig)'!$C$17 &amp; "1:" &amp;
               'Hulp (overig)'!$C$17 &amp; "1000"),
      MATCH(
         U222,
         INDIRECT("'" &amp; 'Hulp (CAO''s)'!$AE$8 &amp; "'!A1:A1000"),
         0
      )
   )
), IF($D223="Gebruik % van maximum salaris",
IF(
    OR(U222="",U223=""),
    "",
    MAX(
        INDIRECT(
            "'" &amp; 'Hulp (overig)'!$C$16 &amp; "'!" &amp;
            'Hulp (overig)'!$C$17 &amp;
            MATCH(U222, INDIRECT("'" &amp; 'Hulp (overig)'!$C$16 &amp; "'!A1:A1000"), 0) &amp;
            ":" &amp;
            'Hulp (overig)'!$C$17 &amp;
LOOKUP(
    2,
    1 / (
        (ROW(INDIRECT("'" &amp; 'Hulp (overig)'!$C$16 &amp; "'!B1:B1000")) &lt;
            IF(V222&lt;&gt;"",
               MATCH(V222, INDIRECT("'" &amp; 'Hulp (overig)'!$C$16 &amp; "'!A1:A1000"),0),
               1000
            )
        ) *
        (LEFT(TRIM(INDIRECT("'" &amp; 'Hulp (overig)'!$C$16 &amp; "'!B1:B1000")),1) &lt;&gt; "u")
    ),
    ROW(INDIRECT("'" &amp; 'Hulp (overig)'!$C$16 &amp; "'!B1:B1000"))
)
        )
    ) * U223
),
IF(U224="","",
IF(
    IFERROR(MIN(
        IF(
            (TRIM(INDIRECT("'" &amp; 'Hulp (overig)'!$C$16 &amp; "'!B1:B1000")) = TEXT(U224,"0")) *
            (ROW(INDIRECT("'" &amp; 'Hulp (overig)'!$C$16 &amp; "'!B1:B1000")) &gt;= MATCH(
                U222,
                INDIRECT("'" &amp; 'Hulp (overig)'!$C$16 &amp; "'!A1:A1000"),
                0
            )) *
            IF(
                V222="",
                1,
                (ROW(INDIRECT("'" &amp; 'Hulp (overig)'!$C$16 &amp; "'!B1:B1000")) &lt; MATCH(
                    V222,
                    INDIRECT("'" &amp; 'Hulp (overig)'!$C$16 &amp; "'!A1:A1000"),
                    0
                ))
            ),
            ROW(INDIRECT("'" &amp; 'Hulp (overig)'!$C$16 &amp; "'!B1:B1000"))
        )
    ),0) &lt; 1,
    "",
    IF(INDEX(
        INDIRECT("'" &amp; 'Hulp (overig)'!$C$16 &amp; "'!" &amp;
        'Hulp (overig)'!$C$17 &amp; "1:" &amp; 'Hulp (overig)'!$C$17 &amp; 1000
        ),
        IFERROR(MIN(
            IF(
                (TRIM(INDIRECT("'" &amp; 'Hulp (overig)'!$C$16 &amp; "'!B1:B1000")) = TEXT(U224,"0")) *
                (ROW(INDIRECT("'" &amp; 'Hulp (overig)'!$C$16 &amp; "'!B1:B1000")) &gt;= MATCH(
                    U222,
                    INDIRECT("'" &amp; 'Hulp (overig)'!$C$16 &amp; "'!A1:A1000"),
                    0
                )) *
                IF(
                    V222="",
                    1,
                    (ROW(INDIRECT("'" &amp; 'Hulp (overig)'!$C$16 &amp; "'!B1:B1000")) &lt; MATCH(
                        V222,
                        INDIRECT("'" &amp; 'Hulp (overig)'!$C$16 &amp; "'!A1:A1000"),
                        0
                    ))
                ),
                ROW(INDIRECT("'" &amp; 'Hulp (overig)'!$C$16 &amp; "'!B1:B1000"))
            )
        ),0)
    )=0,"",
INDEX(
        INDIRECT("'" &amp; 'Hulp (overig)'!$C$16 &amp; "'!" &amp;
        'Hulp (overig)'!$C$17 &amp; "1:" &amp; 'Hulp (overig)'!$C$17 &amp; 1000
        ),
        IFERROR(MIN(
            IF(
                (TRIM(INDIRECT("'" &amp; 'Hulp (overig)'!$C$16 &amp; "'!B1:B1000")) = TEXT(U224,"0")) *
                (ROW(INDIRECT("'" &amp; 'Hulp (overig)'!$C$16 &amp; "'!B1:B1000")) &gt;= MATCH(
                    U222,
                    INDIRECT("'" &amp; 'Hulp (overig)'!$C$16 &amp; "'!A1:A1000"),
                    0
                )) *
                IF(
                    V222="",
                    1,
                    (ROW(INDIRECT("'" &amp; 'Hulp (overig)'!$C$16 &amp; "'!B1:B1000")) &lt; MATCH(
                        V222,
                        INDIRECT("'" &amp; 'Hulp (overig)'!$C$16 &amp; "'!A1:A1000"),
                        0
                    ))
                ),
                ROW(INDIRECT("'" &amp; 'Hulp (overig)'!$C$16 &amp; "'!B1:B1000"))
            )
        ),0)
    ))
))))</f>
        <v>#VALUE!</v>
      </c>
      <c r="V225" s="413" t="str" cm="1">
        <f t="array" ref="V225">IF(SUM(F226:U226)=0,"",
IF(SUM(F225:U225)=0,"",
IF(SUMPRODUCT((F226:U226&lt;&gt;0)*(F225:U225=""))&gt;0,"",
(
   SUMPRODUCT(
      IF(F225:U225="",0,F225:U225),
      IF(F226:U226="",0,F226:U226) / SUM(F226:U226)
   )
))))</f>
        <v/>
      </c>
      <c r="W225" s="418"/>
      <c r="X225" s="620"/>
      <c r="Y225" s="419" t="str">
        <f ca="1">IF(B222="","",
        IF(INDIRECT("'Hulp (control forms)'!C" &amp; (13 + INT((ROW()-ROW($B$5))/7))),
            IF(X225="","",X225),
            IF(V225="","",V225)
    )
)</f>
        <v/>
      </c>
      <c r="Z225" s="333"/>
      <c r="AA225" s="771"/>
      <c r="AB225" s="770"/>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cm="1">
        <f t="array" aca="1" ref="BA225" ca="1">IF(
   SUM(Y225)=0,
   1,
   IF(
      N(INDIRECT("'Hulp (control forms)'!C"&amp;(13+INT((ROW()-ROW($B$5))/7))))&lt;&gt;0,
      MIN(1,
      ('Hulp (overig)'!$C$6/12) /
      (Y225 * BC225 + BD225)),
      MIN(1,
         IF(
            SUM(F225:U225)=0,
            "",
            SUMPRODUCT(
               IF(
                  (IF(F225:U225="",0,F225:U225) * BC225) + BD225
                  &gt; 'Hulp (overig)'!$C$6/12,
                  'Hulp (overig)'!$C$6/12,
                  (IF(F225:U225="",0,F225:U225) * BC225) + BD225
               ),
               IF(F226:U226="",0,F226:U226) / SUM(F226:U226)
            )
         ) /
         ((Y225 * BC225) + BD225)
      )
   )
)</f>
        <v>1</v>
      </c>
      <c r="BB225" cm="1">
        <f t="array" aca="1" ref="BB225" ca="1">IF(
   SUM(Y225)=0,
   1,
   IF(
      N(INDIRECT("'Hulp (control forms)'!C"&amp;(13+INT((ROW()-ROW($B$5))/7))))&lt;&gt;0,
      MIN('Hulp (overig)'!$C$5/12,
      (Y225 * BC225) + BD225) * 12,
         IF(
            SUM(F225:U225)=0,
            "",
            SUMPRODUCT(
               IF(
                  (IF(F225:U225="",0,F225:U225) * BC225) + BD225
                  &gt; 'Hulp (overig)'!$C$5/12,
                  'Hulp (overig)'!$C$5/12,
                  (IF(F225:U225="",0,F225:U225) * BC225) + BD225
               ),
               IF(F226:U226="",0,F226:U226) / SUM(F226:U226)
            )
         ) * 12
   )
)</f>
        <v>1</v>
      </c>
      <c r="BC225" s="287" cm="1">
        <f t="array" aca="1" ref="BC225" ca="1">IFERROR(
   (INDEX('2. Output kostprijs'!$24:$24, 5 + 2*INT((ROW()-8)/7))
    - SUM(INDEX('2. Output kostprijs'!$23:$23, 5 + 2*INT((ROW()-8)/7))))
   / INDEX('2. Output kostprijs'!$19:$19, 5 + 2*INT((ROW()-8)/7)),
   1
)</f>
        <v>1</v>
      </c>
      <c r="BD225" s="287" cm="1">
        <f t="array" aca="1" ref="BD225" ca="1">IFERROR(
   (INDEX('2. Output kostprijs'!$23:$23, 5 + 2*INT((ROW()-8)/7))
    * INDEX('2. Output kostprijs'!$18:$18, 5 + 2*INT((ROW()-8)/7))
   ) / 12,
   0
)</f>
        <v>0</v>
      </c>
      <c r="BE225" t="b">
        <f ca="1">NOT(AND(B222&lt;&gt;"",Y225=""))</f>
        <v>1</v>
      </c>
      <c r="BF225" t="str" cm="1">
        <f t="array" aca="1" ref="BF225" ca="1">INDIRECT("'1a. Input organisatieniveau'!$AD" &amp; 7 + INT((ROW()-ROW($F$8))/7))</f>
        <v/>
      </c>
      <c r="BG225" t="b" cm="1">
        <f t="array" ref="BG225">IFERROR(INDEX('Hulp (control forms)'!C:C, 13 + INT((ROW(A218)-1)/7)),FALSE)</f>
        <v>0</v>
      </c>
    </row>
    <row r="226" spans="1:59" ht="16.05" customHeight="1" thickBot="1" x14ac:dyDescent="0.5">
      <c r="A226" s="289"/>
      <c r="B226" s="343"/>
      <c r="C226" s="325" t="s">
        <v>779</v>
      </c>
      <c r="D226" s="688" t="s">
        <v>60</v>
      </c>
      <c r="E226" s="433" t="s">
        <v>59</v>
      </c>
      <c r="F226" s="624"/>
      <c r="G226" s="624"/>
      <c r="H226" s="624"/>
      <c r="I226" s="624"/>
      <c r="J226" s="624"/>
      <c r="K226" s="624"/>
      <c r="L226" s="624"/>
      <c r="M226" s="624"/>
      <c r="N226" s="624"/>
      <c r="O226" s="624"/>
      <c r="P226" s="624"/>
      <c r="Q226" s="624"/>
      <c r="R226" s="624"/>
      <c r="S226" s="624"/>
      <c r="T226" s="624"/>
      <c r="U226" s="625"/>
      <c r="V226" s="420" t="str">
        <f ca="1">IF($B222="","",IF($D226="Aandeel in %",
   "Totaal: "&amp;SUM(F226:U226)*100&amp;"%",
   "Totaal: "&amp;SUM(F226:U226)&amp;" uur"
))</f>
        <v/>
      </c>
      <c r="W226" s="294"/>
      <c r="X226" s="621"/>
      <c r="Y226" s="328"/>
      <c r="Z226" s="329"/>
      <c r="AA226" s="289"/>
      <c r="AB226" s="289"/>
      <c r="AC226" s="289"/>
      <c r="AD226" s="289"/>
      <c r="AE226" s="289"/>
      <c r="AF226" s="289"/>
      <c r="AG226" s="289"/>
      <c r="AH226" s="289"/>
      <c r="AI226" s="289"/>
      <c r="AJ226" s="289"/>
      <c r="AK226" s="289"/>
      <c r="AL226" s="289"/>
      <c r="AM226" s="289"/>
      <c r="AN226" s="289"/>
      <c r="AO226" s="289"/>
      <c r="AP226" s="289"/>
      <c r="AQ226" s="289"/>
      <c r="AR226" s="289"/>
      <c r="AS226" s="289"/>
      <c r="AT226" s="289"/>
      <c r="AU226" s="289"/>
      <c r="AV226" s="289"/>
      <c r="AW226" s="289"/>
      <c r="AX226" s="289"/>
      <c r="AY226" s="289"/>
      <c r="AZ226" s="289"/>
    </row>
    <row r="227" spans="1:59" ht="16.05" customHeight="1" thickBot="1" x14ac:dyDescent="0.5">
      <c r="A227" s="289"/>
      <c r="B227" s="343"/>
      <c r="C227" s="326" t="s">
        <v>779</v>
      </c>
      <c r="D227" s="421"/>
      <c r="E227" s="426"/>
      <c r="F227" s="426"/>
      <c r="G227" s="426"/>
      <c r="H227" s="426"/>
      <c r="I227" s="426"/>
      <c r="J227" s="426"/>
      <c r="K227" s="426"/>
      <c r="L227" s="426"/>
      <c r="M227" s="426"/>
      <c r="N227" s="426"/>
      <c r="O227" s="426"/>
      <c r="P227" s="426"/>
      <c r="Q227" s="426"/>
      <c r="R227" s="426"/>
      <c r="S227" s="426"/>
      <c r="T227" s="427"/>
      <c r="U227" s="427"/>
      <c r="V227" s="421"/>
      <c r="W227" s="421"/>
      <c r="X227" s="622"/>
      <c r="Y227" s="421"/>
      <c r="Z227" s="327"/>
      <c r="AA227" s="289"/>
      <c r="AB227" s="289"/>
      <c r="AC227" s="289"/>
      <c r="AD227" s="289"/>
      <c r="AE227" s="289"/>
      <c r="AF227" s="289"/>
      <c r="AG227" s="289"/>
      <c r="AH227" s="289"/>
      <c r="AI227" s="289"/>
      <c r="AJ227" s="289"/>
      <c r="AK227" s="289"/>
      <c r="AL227" s="289"/>
      <c r="AM227" s="289"/>
      <c r="AN227" s="289"/>
      <c r="AO227" s="289"/>
      <c r="AP227" s="289"/>
      <c r="AQ227" s="289"/>
      <c r="AR227" s="289"/>
      <c r="AS227" s="289"/>
      <c r="AT227" s="289"/>
      <c r="AU227" s="289"/>
      <c r="AV227" s="289"/>
      <c r="AW227" s="289"/>
      <c r="AX227" s="289"/>
      <c r="AY227" s="289"/>
      <c r="AZ227" s="289"/>
    </row>
    <row r="228" spans="1:59" ht="16.05" customHeight="1" thickBot="1" x14ac:dyDescent="0.55000000000000004">
      <c r="A228" s="289"/>
      <c r="B228" s="585" t="str">
        <f ca="1">IF(B229="","",
IF(
   OR(
      INDIRECT("'1a. Input organisatieniveau'!AC" &amp; (7 + INT((ROW()-4)/7)))="",
      INDIRECT("'1a. Input organisatieniveau'!AC" &amp; (7 + INT((ROW()-4)/7)))=0
   ),
   "",
   INDIRECT("'1a. Input organisatieniveau'!AC" &amp; (7 + INT((ROW()-4)/7)))
))</f>
        <v/>
      </c>
      <c r="C228" s="324" t="s">
        <v>779</v>
      </c>
      <c r="D228" s="416"/>
      <c r="E228" s="428"/>
      <c r="F228" s="422" t="str">
        <f t="shared" ref="F228:U228" ca="1" si="32">IF($B229="","",
IF($D230="Gebruik % van maximum salaris",
 IF(OR(AND(AND(F229&lt;&gt;"",F230&lt;&gt;""),F232=""),AND(F232="",F233&lt;&gt;"")),"!",""),
 IF(OR(AND(AND(F229&lt;&gt;"",F231&lt;&gt;""),F232=""),AND(F232="",F233&lt;&gt;"")),"!","")))</f>
        <v/>
      </c>
      <c r="G228" s="422" t="str">
        <f t="shared" ca="1" si="32"/>
        <v/>
      </c>
      <c r="H228" s="422" t="str">
        <f t="shared" ca="1" si="32"/>
        <v/>
      </c>
      <c r="I228" s="422" t="str">
        <f t="shared" ca="1" si="32"/>
        <v/>
      </c>
      <c r="J228" s="422" t="str">
        <f t="shared" ca="1" si="32"/>
        <v/>
      </c>
      <c r="K228" s="422" t="str">
        <f t="shared" ca="1" si="32"/>
        <v/>
      </c>
      <c r="L228" s="422" t="str">
        <f t="shared" ca="1" si="32"/>
        <v/>
      </c>
      <c r="M228" s="422" t="str">
        <f t="shared" ca="1" si="32"/>
        <v/>
      </c>
      <c r="N228" s="422" t="str">
        <f t="shared" ca="1" si="32"/>
        <v/>
      </c>
      <c r="O228" s="422" t="str">
        <f t="shared" ca="1" si="32"/>
        <v/>
      </c>
      <c r="P228" s="422" t="str">
        <f t="shared" ca="1" si="32"/>
        <v/>
      </c>
      <c r="Q228" s="422" t="str">
        <f t="shared" ca="1" si="32"/>
        <v/>
      </c>
      <c r="R228" s="422" t="str">
        <f t="shared" ca="1" si="32"/>
        <v/>
      </c>
      <c r="S228" s="422" t="str">
        <f t="shared" ca="1" si="32"/>
        <v/>
      </c>
      <c r="T228" s="422" t="str">
        <f t="shared" ca="1" si="32"/>
        <v/>
      </c>
      <c r="U228" s="422" t="str">
        <f t="shared" ca="1" si="32"/>
        <v/>
      </c>
      <c r="V228" s="416"/>
      <c r="W228" s="416"/>
      <c r="X228" s="619"/>
      <c r="Y228" s="416"/>
      <c r="Z228" s="330"/>
      <c r="AA228" s="354"/>
      <c r="AB228" s="289"/>
      <c r="AC228" s="289"/>
      <c r="AD228" s="289"/>
      <c r="AE228" s="289"/>
      <c r="AF228" s="289"/>
      <c r="AG228" s="289"/>
      <c r="AH228" s="289"/>
      <c r="AI228" s="289"/>
      <c r="AJ228" s="289"/>
      <c r="AK228" s="289"/>
      <c r="AL228" s="289"/>
      <c r="AM228" s="289"/>
      <c r="AN228" s="289"/>
      <c r="AO228" s="289"/>
      <c r="AP228" s="289"/>
      <c r="AQ228" s="289"/>
      <c r="AR228" s="289"/>
      <c r="AS228" s="289"/>
      <c r="AT228" s="289"/>
      <c r="AU228" s="289"/>
      <c r="AV228" s="289"/>
      <c r="AW228" s="289"/>
      <c r="AX228" s="289"/>
      <c r="AY228" s="289"/>
      <c r="AZ228" s="289"/>
    </row>
    <row r="229" spans="1:59" ht="16.05" customHeight="1" thickBot="1" x14ac:dyDescent="0.5">
      <c r="A229" s="289"/>
      <c r="B229" s="586" t="str">
        <f ca="1">IF(
   OR(
      INDIRECT("'1a. Input organisatieniveau'!AA" &amp; (7 + INT((ROW()-4)/7)))="",
      INDIRECT("'1a. Input organisatieniveau'!AA" &amp; (7 + INT((ROW()-4)/7)))=0
   ),
   "",
   INDIRECT("'1a. Input organisatieniveau'!AA" &amp; (7 + INT((ROW()-4)/7)))
)</f>
        <v/>
      </c>
      <c r="C229" s="325" t="s">
        <v>779</v>
      </c>
      <c r="D229" s="434"/>
      <c r="E229" s="429" t="s">
        <v>28</v>
      </c>
      <c r="F229" s="423" t="str">
        <f ca="1">IF($B229="", "", IF($BF232, IF('Hulp (CAO''s)'!J$8&lt;&gt;"",'Hulp (CAO''s)'!J$8,""), INDEX('Hulp (CAO''s)'!J$3:J$7, MATCH(TRUE, 'Hulp (CAO''s)'!$D$3:$D$7, 0))))</f>
        <v/>
      </c>
      <c r="G229" s="423" t="str">
        <f ca="1">IF($B229="", "", IF($BF232, IF('Hulp (CAO''s)'!K$8&lt;&gt;"",'Hulp (CAO''s)'!K$8,""), INDEX('Hulp (CAO''s)'!K$3:K$7, MATCH(TRUE, 'Hulp (CAO''s)'!$D$3:$D$7, 0))))</f>
        <v/>
      </c>
      <c r="H229" s="423" t="str">
        <f ca="1">IF($B229="", "", IF($BF232, IF('Hulp (CAO''s)'!L$8&lt;&gt;"",'Hulp (CAO''s)'!L$8,""), INDEX('Hulp (CAO''s)'!L$3:L$7, MATCH(TRUE, 'Hulp (CAO''s)'!$D$3:$D$7, 0))))</f>
        <v/>
      </c>
      <c r="I229" s="423" t="str">
        <f ca="1">IF($B229="", "", IF($BF232, IF('Hulp (CAO''s)'!M$8&lt;&gt;"",'Hulp (CAO''s)'!M$8,""), INDEX('Hulp (CAO''s)'!M$3:M$7, MATCH(TRUE, 'Hulp (CAO''s)'!$D$3:$D$7, 0))))</f>
        <v/>
      </c>
      <c r="J229" s="423" t="str">
        <f ca="1">IF($B229="", "", IF($BF232, IF('Hulp (CAO''s)'!N$8&lt;&gt;"",'Hulp (CAO''s)'!N$8,""), INDEX('Hulp (CAO''s)'!N$3:N$7, MATCH(TRUE, 'Hulp (CAO''s)'!$D$3:$D$7, 0))))</f>
        <v/>
      </c>
      <c r="K229" s="423" t="str">
        <f ca="1">IF($B229="", "", IF($BF232, IF('Hulp (CAO''s)'!O$8&lt;&gt;"",'Hulp (CAO''s)'!O$8,""), INDEX('Hulp (CAO''s)'!O$3:O$7, MATCH(TRUE, 'Hulp (CAO''s)'!$D$3:$D$7, 0))))</f>
        <v/>
      </c>
      <c r="L229" s="423" t="str">
        <f ca="1">IF($B229="", "", IF($BF232, IF('Hulp (CAO''s)'!P$8&lt;&gt;"",'Hulp (CAO''s)'!P$8,""), INDEX('Hulp (CAO''s)'!P$3:P$7, MATCH(TRUE, 'Hulp (CAO''s)'!$D$3:$D$7, 0))))</f>
        <v/>
      </c>
      <c r="M229" s="423" t="str">
        <f ca="1">IF($B229="", "", IF($BF232, IF('Hulp (CAO''s)'!Q$8&lt;&gt;"",'Hulp (CAO''s)'!Q$8,""), INDEX('Hulp (CAO''s)'!Q$3:Q$7, MATCH(TRUE, 'Hulp (CAO''s)'!$D$3:$D$7, 0))))</f>
        <v/>
      </c>
      <c r="N229" s="423" t="str">
        <f ca="1">IF($B229="", "", IF($BF232, IF('Hulp (CAO''s)'!R$8&lt;&gt;"",'Hulp (CAO''s)'!R$8,""), INDEX('Hulp (CAO''s)'!R$3:R$7, MATCH(TRUE, 'Hulp (CAO''s)'!$D$3:$D$7, 0))))</f>
        <v/>
      </c>
      <c r="O229" s="423" t="str">
        <f ca="1">IF($B229="", "", IF($BF232, IF('Hulp (CAO''s)'!S$8&lt;&gt;"",'Hulp (CAO''s)'!S$8,""), INDEX('Hulp (CAO''s)'!S$3:S$7, MATCH(TRUE, 'Hulp (CAO''s)'!$D$3:$D$7, 0))))</f>
        <v/>
      </c>
      <c r="P229" s="423" t="str">
        <f ca="1">IF($B229="", "", IF($BF232, IF('Hulp (CAO''s)'!T$8&lt;&gt;"",'Hulp (CAO''s)'!T$8,""), INDEX('Hulp (CAO''s)'!T$3:T$7, MATCH(TRUE, 'Hulp (CAO''s)'!$D$3:$D$7, 0))))</f>
        <v/>
      </c>
      <c r="Q229" s="423" t="str">
        <f ca="1">IF($B229="", "", IF($BF232, IF('Hulp (CAO''s)'!U$8&lt;&gt;"",'Hulp (CAO''s)'!U$8,""), INDEX('Hulp (CAO''s)'!U$3:U$7, MATCH(TRUE, 'Hulp (CAO''s)'!$D$3:$D$7, 0))))</f>
        <v/>
      </c>
      <c r="R229" s="423" t="str">
        <f ca="1">IF($B229="", "", IF($BF232, IF('Hulp (CAO''s)'!V$8&lt;&gt;"",'Hulp (CAO''s)'!V$8,""), INDEX('Hulp (CAO''s)'!V$3:V$7, MATCH(TRUE, 'Hulp (CAO''s)'!$D$3:$D$7, 0))))</f>
        <v/>
      </c>
      <c r="S229" s="423" t="str">
        <f ca="1">IF($B229="", "", IF($BF232, IF('Hulp (CAO''s)'!W$8&lt;&gt;"",'Hulp (CAO''s)'!W$8,""), INDEX('Hulp (CAO''s)'!W$3:W$7, MATCH(TRUE, 'Hulp (CAO''s)'!$D$3:$D$7, 0))))</f>
        <v/>
      </c>
      <c r="T229" s="423" t="str">
        <f ca="1">IF($B229="", "", IF($BF232, IF('Hulp (CAO''s)'!X$8&lt;&gt;"",'Hulp (CAO''s)'!X$8,""), INDEX('Hulp (CAO''s)'!X$3:X$7, MATCH(TRUE, 'Hulp (CAO''s)'!$D$3:$D$7, 0))))</f>
        <v/>
      </c>
      <c r="U229" s="424" t="str">
        <f ca="1">IF($B229="", "", IF($BF232, IF('Hulp (CAO''s)'!Y$8&lt;&gt;"",'Hulp (CAO''s)'!Y$8,""), INDEX('Hulp (CAO''s)'!Y$3:Y$7, MATCH(TRUE, 'Hulp (CAO''s)'!$D$3:$D$7, 0))))</f>
        <v/>
      </c>
      <c r="V229" s="417"/>
      <c r="W229" s="343"/>
      <c r="X229" s="617"/>
      <c r="Y229" s="343"/>
      <c r="Z229" s="329"/>
      <c r="AA229" s="320"/>
      <c r="AB229" s="289"/>
      <c r="AC229" s="289"/>
      <c r="AD229" s="289"/>
      <c r="AE229" s="289"/>
      <c r="AF229" s="289"/>
      <c r="AG229" s="289"/>
      <c r="AH229" s="289"/>
      <c r="AI229" s="289"/>
      <c r="AJ229" s="289"/>
      <c r="AK229" s="289"/>
      <c r="AL229" s="289"/>
      <c r="AM229" s="289"/>
      <c r="AN229" s="289"/>
      <c r="AO229" s="289"/>
      <c r="AP229" s="289"/>
      <c r="AQ229" s="289"/>
      <c r="AR229" s="289"/>
      <c r="AS229" s="289"/>
      <c r="AT229" s="289"/>
      <c r="AU229" s="289"/>
      <c r="AV229" s="289"/>
      <c r="AW229" s="289"/>
      <c r="AX229" s="289"/>
      <c r="AY229" s="289"/>
      <c r="AZ229" s="289"/>
    </row>
    <row r="230" spans="1:59" ht="16.05" customHeight="1" x14ac:dyDescent="0.45">
      <c r="A230" s="289"/>
      <c r="B230" s="343"/>
      <c r="C230" s="325" t="s">
        <v>779</v>
      </c>
      <c r="D230" s="772" t="s">
        <v>772</v>
      </c>
      <c r="E230" s="430" t="e">
        <f ca="1">IF($BF232, "", "% t.o.v. max salaris in de schaal")</f>
        <v>#VALUE!</v>
      </c>
      <c r="F230" s="615"/>
      <c r="G230" s="615"/>
      <c r="H230" s="615"/>
      <c r="I230" s="615"/>
      <c r="J230" s="615"/>
      <c r="K230" s="615"/>
      <c r="L230" s="615"/>
      <c r="M230" s="615"/>
      <c r="N230" s="615"/>
      <c r="O230" s="615"/>
      <c r="P230" s="615"/>
      <c r="Q230" s="615"/>
      <c r="R230" s="615"/>
      <c r="S230" s="615"/>
      <c r="T230" s="615"/>
      <c r="U230" s="616"/>
      <c r="V230" s="774" t="s">
        <v>884</v>
      </c>
      <c r="W230" s="332"/>
      <c r="X230" s="776" t="s">
        <v>882</v>
      </c>
      <c r="Y230" s="778" t="s">
        <v>883</v>
      </c>
      <c r="Z230" s="329"/>
      <c r="AA230" s="771" t="s">
        <v>780</v>
      </c>
      <c r="AB230" s="770" t="s">
        <v>1079</v>
      </c>
      <c r="AC230" s="289"/>
      <c r="AD230" s="289"/>
      <c r="AE230" s="289"/>
      <c r="AF230" s="289"/>
      <c r="AG230" s="289"/>
      <c r="AH230" s="289"/>
      <c r="AI230" s="289"/>
      <c r="AJ230" s="289"/>
      <c r="AK230" s="289"/>
      <c r="AL230" s="289"/>
      <c r="AM230" s="289"/>
      <c r="AN230" s="289"/>
      <c r="AO230" s="289"/>
      <c r="AP230" s="289"/>
      <c r="AQ230" s="289"/>
      <c r="AR230" s="289"/>
      <c r="AS230" s="289"/>
      <c r="AT230" s="289"/>
      <c r="AU230" s="289"/>
      <c r="AV230" s="289"/>
      <c r="AW230" s="289"/>
      <c r="AX230" s="289"/>
      <c r="AY230" s="289"/>
      <c r="AZ230" s="289"/>
    </row>
    <row r="231" spans="1:59" ht="16.05" customHeight="1" thickBot="1" x14ac:dyDescent="0.5">
      <c r="A231" s="289"/>
      <c r="B231" s="343"/>
      <c r="C231" s="325" t="s">
        <v>779</v>
      </c>
      <c r="D231" s="773"/>
      <c r="E231" s="431" t="e">
        <f ca="1">IF($BF232, "", "Trede (gemiddeld)")</f>
        <v>#VALUE!</v>
      </c>
      <c r="F231" s="737"/>
      <c r="G231" s="737"/>
      <c r="H231" s="737"/>
      <c r="I231" s="737"/>
      <c r="J231" s="737"/>
      <c r="K231" s="737"/>
      <c r="L231" s="737"/>
      <c r="M231" s="737"/>
      <c r="N231" s="737"/>
      <c r="O231" s="737"/>
      <c r="P231" s="737"/>
      <c r="Q231" s="737"/>
      <c r="R231" s="737"/>
      <c r="S231" s="737"/>
      <c r="T231" s="737"/>
      <c r="U231" s="740"/>
      <c r="V231" s="775"/>
      <c r="W231" s="294"/>
      <c r="X231" s="777"/>
      <c r="Y231" s="779"/>
      <c r="Z231" s="329"/>
      <c r="AA231" s="771"/>
      <c r="AB231" s="770"/>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row>
    <row r="232" spans="1:59" ht="16.05" customHeight="1" thickBot="1" x14ac:dyDescent="0.5">
      <c r="A232" s="289"/>
      <c r="B232" s="343"/>
      <c r="C232" s="325" t="s">
        <v>779</v>
      </c>
      <c r="E232" s="432" t="str">
        <f>IFERROR(
   INDEX('Hulp (CAO''s)'!$I$3:$I$7, MATCH(TRUE, 'Hulp (CAO''s)'!$D$3:$D$7, 0)),
"")</f>
        <v>Bruto maandsalaris</v>
      </c>
      <c r="F232" s="425" t="e" cm="1">
        <f t="array" aca="1" ref="F232" ca="1">IF($BF232, IF(F229="","",
   INDEX(
      INDIRECT("'" &amp; 'Hulp (CAO''s)'!$AE$8 &amp; "'!" &amp;
               'Hulp (overig)'!$C$17 &amp; "1:" &amp;
               'Hulp (overig)'!$C$17 &amp; "1000"),
      MATCH(
         F229,
         INDIRECT("'" &amp; 'Hulp (CAO''s)'!$AE$8 &amp; "'!A1:A1000"),
         0
      )
   )
), IF($D230="Gebruik % van maximum salaris",
IF(
    OR(F229="",F230=""),
    "",
    MAX(
        INDIRECT(
            "'" &amp; 'Hulp (overig)'!$C$16 &amp; "'!" &amp;
            'Hulp (overig)'!$C$17 &amp;
            MATCH(F229, INDIRECT("'" &amp; 'Hulp (overig)'!$C$16 &amp; "'!A1:A1000"), 0) &amp;
            ":" &amp;
            'Hulp (overig)'!$C$17 &amp;
LOOKUP(
    2,
    1 / (
        (ROW(INDIRECT("'" &amp; 'Hulp (overig)'!$C$16 &amp; "'!B1:B1000")) &lt;
            IF(G229&lt;&gt;"",
               MATCH(G229, INDIRECT("'" &amp; 'Hulp (overig)'!$C$16 &amp; "'!A1:A1000"),0),
               1000
            )
        ) *
        (LEFT(TRIM(INDIRECT("'" &amp; 'Hulp (overig)'!$C$16 &amp; "'!B1:B1000")),1) &lt;&gt; "u")
    ),
    ROW(INDIRECT("'" &amp; 'Hulp (overig)'!$C$16 &amp; "'!B1:B1000"))
)
        )
    ) * F230
),
IF(F231="","",
IF(
    IFERROR(MIN(
        IF(
            (TRIM(INDIRECT("'" &amp; 'Hulp (overig)'!$C$16 &amp; "'!B1:B1000")) = TEXT(F231,"0")) *
            (ROW(INDIRECT("'" &amp; 'Hulp (overig)'!$C$16 &amp; "'!B1:B1000")) &gt;= MATCH(
                F229,
                INDIRECT("'" &amp; 'Hulp (overig)'!$C$16 &amp; "'!A1:A1000"),
                0
            )) *
            IF(
                G229="",
                1,
                (ROW(INDIRECT("'" &amp; 'Hulp (overig)'!$C$16 &amp; "'!B1:B1000")) &lt; MATCH(
                    G229,
                    INDIRECT("'" &amp; 'Hulp (overig)'!$C$16 &amp; "'!A1:A1000"),
                    0
                ))
            ),
            ROW(INDIRECT("'" &amp; 'Hulp (overig)'!$C$16 &amp; "'!B1:B1000"))
        )
    ),0) &lt; 1,
    "",
    IF(INDEX(
        INDIRECT("'" &amp; 'Hulp (overig)'!$C$16 &amp; "'!" &amp;
        'Hulp (overig)'!$C$17 &amp; "1:" &amp; 'Hulp (overig)'!$C$17 &amp; 1000
        ),
        IFERROR(MIN(
            IF(
                (TRIM(INDIRECT("'" &amp; 'Hulp (overig)'!$C$16 &amp; "'!B1:B1000")) = TEXT(F231,"0")) *
                (ROW(INDIRECT("'" &amp; 'Hulp (overig)'!$C$16 &amp; "'!B1:B1000")) &gt;= MATCH(
                    F229,
                    INDIRECT("'" &amp; 'Hulp (overig)'!$C$16 &amp; "'!A1:A1000"),
                    0
                )) *
                IF(
                    G229="",
                    1,
                    (ROW(INDIRECT("'" &amp; 'Hulp (overig)'!$C$16 &amp; "'!B1:B1000")) &lt; MATCH(
                        G229,
                        INDIRECT("'" &amp; 'Hulp (overig)'!$C$16 &amp; "'!A1:A1000"),
                        0
                    ))
                ),
                ROW(INDIRECT("'" &amp; 'Hulp (overig)'!$C$16 &amp; "'!B1:B1000"))
            )
        ),0)
    )=0,"",
INDEX(
        INDIRECT("'" &amp; 'Hulp (overig)'!$C$16 &amp; "'!" &amp;
        'Hulp (overig)'!$C$17 &amp; "1:" &amp; 'Hulp (overig)'!$C$17 &amp; 1000
        ),
        IFERROR(MIN(
            IF(
                (TRIM(INDIRECT("'" &amp; 'Hulp (overig)'!$C$16 &amp; "'!B1:B1000")) = TEXT(F231,"0")) *
                (ROW(INDIRECT("'" &amp; 'Hulp (overig)'!$C$16 &amp; "'!B1:B1000")) &gt;= MATCH(
                    F229,
                    INDIRECT("'" &amp; 'Hulp (overig)'!$C$16 &amp; "'!A1:A1000"),
                    0
                )) *
                IF(
                    G229="",
                    1,
                    (ROW(INDIRECT("'" &amp; 'Hulp (overig)'!$C$16 &amp; "'!B1:B1000")) &lt; MATCH(
                        G229,
                        INDIRECT("'" &amp; 'Hulp (overig)'!$C$16 &amp; "'!A1:A1000"),
                        0
                    ))
                ),
                ROW(INDIRECT("'" &amp; 'Hulp (overig)'!$C$16 &amp; "'!B1:B1000"))
            )
        ),0)
    ))
))))</f>
        <v>#VALUE!</v>
      </c>
      <c r="G232" s="425" t="e" cm="1">
        <f t="array" aca="1" ref="G232" ca="1">IF($BF232, IF(G229="","",
   INDEX(
      INDIRECT("'" &amp; 'Hulp (CAO''s)'!$AE$8 &amp; "'!" &amp;
               'Hulp (overig)'!$C$17 &amp; "1:" &amp;
               'Hulp (overig)'!$C$17 &amp; "1000"),
      MATCH(
         G229,
         INDIRECT("'" &amp; 'Hulp (CAO''s)'!$AE$8 &amp; "'!A1:A1000"),
         0
      )
   )
), IF($D230="Gebruik % van maximum salaris",
IF(
    OR(G229="",G230=""),
    "",
    MAX(
        INDIRECT(
            "'" &amp; 'Hulp (overig)'!$C$16 &amp; "'!" &amp;
            'Hulp (overig)'!$C$17 &amp;
            MATCH(G229, INDIRECT("'" &amp; 'Hulp (overig)'!$C$16 &amp; "'!A1:A1000"), 0) &amp;
            ":" &amp;
            'Hulp (overig)'!$C$17 &amp;
LOOKUP(
    2,
    1 / (
        (ROW(INDIRECT("'" &amp; 'Hulp (overig)'!$C$16 &amp; "'!B1:B1000")) &lt;
            IF(H229&lt;&gt;"",
               MATCH(H229, INDIRECT("'" &amp; 'Hulp (overig)'!$C$16 &amp; "'!A1:A1000"),0),
               1000
            )
        ) *
        (LEFT(TRIM(INDIRECT("'" &amp; 'Hulp (overig)'!$C$16 &amp; "'!B1:B1000")),1) &lt;&gt; "u")
    ),
    ROW(INDIRECT("'" &amp; 'Hulp (overig)'!$C$16 &amp; "'!B1:B1000"))
)
        )
    ) * G230
),
IF(G231="","",
IF(
    IFERROR(MIN(
        IF(
            (TRIM(INDIRECT("'" &amp; 'Hulp (overig)'!$C$16 &amp; "'!B1:B1000")) = TEXT(G231,"0")) *
            (ROW(INDIRECT("'" &amp; 'Hulp (overig)'!$C$16 &amp; "'!B1:B1000")) &gt;= MATCH(
                G229,
                INDIRECT("'" &amp; 'Hulp (overig)'!$C$16 &amp; "'!A1:A1000"),
                0
            )) *
            IF(
                H229="",
                1,
                (ROW(INDIRECT("'" &amp; 'Hulp (overig)'!$C$16 &amp; "'!B1:B1000")) &lt; MATCH(
                    H229,
                    INDIRECT("'" &amp; 'Hulp (overig)'!$C$16 &amp; "'!A1:A1000"),
                    0
                ))
            ),
            ROW(INDIRECT("'" &amp; 'Hulp (overig)'!$C$16 &amp; "'!B1:B1000"))
        )
    ),0) &lt; 1,
    "",
    IF(INDEX(
        INDIRECT("'" &amp; 'Hulp (overig)'!$C$16 &amp; "'!" &amp;
        'Hulp (overig)'!$C$17 &amp; "1:" &amp; 'Hulp (overig)'!$C$17 &amp; 1000
        ),
        IFERROR(MIN(
            IF(
                (TRIM(INDIRECT("'" &amp; 'Hulp (overig)'!$C$16 &amp; "'!B1:B1000")) = TEXT(G231,"0")) *
                (ROW(INDIRECT("'" &amp; 'Hulp (overig)'!$C$16 &amp; "'!B1:B1000")) &gt;= MATCH(
                    G229,
                    INDIRECT("'" &amp; 'Hulp (overig)'!$C$16 &amp; "'!A1:A1000"),
                    0
                )) *
                IF(
                    H229="",
                    1,
                    (ROW(INDIRECT("'" &amp; 'Hulp (overig)'!$C$16 &amp; "'!B1:B1000")) &lt; MATCH(
                        H229,
                        INDIRECT("'" &amp; 'Hulp (overig)'!$C$16 &amp; "'!A1:A1000"),
                        0
                    ))
                ),
                ROW(INDIRECT("'" &amp; 'Hulp (overig)'!$C$16 &amp; "'!B1:B1000"))
            )
        ),0)
    )=0,"",
INDEX(
        INDIRECT("'" &amp; 'Hulp (overig)'!$C$16 &amp; "'!" &amp;
        'Hulp (overig)'!$C$17 &amp; "1:" &amp; 'Hulp (overig)'!$C$17 &amp; 1000
        ),
        IFERROR(MIN(
            IF(
                (TRIM(INDIRECT("'" &amp; 'Hulp (overig)'!$C$16 &amp; "'!B1:B1000")) = TEXT(G231,"0")) *
                (ROW(INDIRECT("'" &amp; 'Hulp (overig)'!$C$16 &amp; "'!B1:B1000")) &gt;= MATCH(
                    G229,
                    INDIRECT("'" &amp; 'Hulp (overig)'!$C$16 &amp; "'!A1:A1000"),
                    0
                )) *
                IF(
                    H229="",
                    1,
                    (ROW(INDIRECT("'" &amp; 'Hulp (overig)'!$C$16 &amp; "'!B1:B1000")) &lt; MATCH(
                        H229,
                        INDIRECT("'" &amp; 'Hulp (overig)'!$C$16 &amp; "'!A1:A1000"),
                        0
                    ))
                ),
                ROW(INDIRECT("'" &amp; 'Hulp (overig)'!$C$16 &amp; "'!B1:B1000"))
            )
        ),0)
    ))
))))</f>
        <v>#VALUE!</v>
      </c>
      <c r="H232" s="425" t="e" cm="1">
        <f t="array" aca="1" ref="H232" ca="1">IF($BF232, IF(H229="","",
   INDEX(
      INDIRECT("'" &amp; 'Hulp (CAO''s)'!$AE$8 &amp; "'!" &amp;
               'Hulp (overig)'!$C$17 &amp; "1:" &amp;
               'Hulp (overig)'!$C$17 &amp; "1000"),
      MATCH(
         H229,
         INDIRECT("'" &amp; 'Hulp (CAO''s)'!$AE$8 &amp; "'!A1:A1000"),
         0
      )
   )
), IF($D230="Gebruik % van maximum salaris",
IF(
    OR(H229="",H230=""),
    "",
    MAX(
        INDIRECT(
            "'" &amp; 'Hulp (overig)'!$C$16 &amp; "'!" &amp;
            'Hulp (overig)'!$C$17 &amp;
            MATCH(H229, INDIRECT("'" &amp; 'Hulp (overig)'!$C$16 &amp; "'!A1:A1000"), 0) &amp;
            ":" &amp;
            'Hulp (overig)'!$C$17 &amp;
LOOKUP(
    2,
    1 / (
        (ROW(INDIRECT("'" &amp; 'Hulp (overig)'!$C$16 &amp; "'!B1:B1000")) &lt;
            IF(I229&lt;&gt;"",
               MATCH(I229, INDIRECT("'" &amp; 'Hulp (overig)'!$C$16 &amp; "'!A1:A1000"),0),
               1000
            )
        ) *
        (LEFT(TRIM(INDIRECT("'" &amp; 'Hulp (overig)'!$C$16 &amp; "'!B1:B1000")),1) &lt;&gt; "u")
    ),
    ROW(INDIRECT("'" &amp; 'Hulp (overig)'!$C$16 &amp; "'!B1:B1000"))
)
        )
    ) * H230
),
IF(H231="","",
IF(
    IFERROR(MIN(
        IF(
            (TRIM(INDIRECT("'" &amp; 'Hulp (overig)'!$C$16 &amp; "'!B1:B1000")) = TEXT(H231,"0")) *
            (ROW(INDIRECT("'" &amp; 'Hulp (overig)'!$C$16 &amp; "'!B1:B1000")) &gt;= MATCH(
                H229,
                INDIRECT("'" &amp; 'Hulp (overig)'!$C$16 &amp; "'!A1:A1000"),
                0
            )) *
            IF(
                I229="",
                1,
                (ROW(INDIRECT("'" &amp; 'Hulp (overig)'!$C$16 &amp; "'!B1:B1000")) &lt; MATCH(
                    I229,
                    INDIRECT("'" &amp; 'Hulp (overig)'!$C$16 &amp; "'!A1:A1000"),
                    0
                ))
            ),
            ROW(INDIRECT("'" &amp; 'Hulp (overig)'!$C$16 &amp; "'!B1:B1000"))
        )
    ),0) &lt; 1,
    "",
    IF(INDEX(
        INDIRECT("'" &amp; 'Hulp (overig)'!$C$16 &amp; "'!" &amp;
        'Hulp (overig)'!$C$17 &amp; "1:" &amp; 'Hulp (overig)'!$C$17 &amp; 1000
        ),
        IFERROR(MIN(
            IF(
                (TRIM(INDIRECT("'" &amp; 'Hulp (overig)'!$C$16 &amp; "'!B1:B1000")) = TEXT(H231,"0")) *
                (ROW(INDIRECT("'" &amp; 'Hulp (overig)'!$C$16 &amp; "'!B1:B1000")) &gt;= MATCH(
                    H229,
                    INDIRECT("'" &amp; 'Hulp (overig)'!$C$16 &amp; "'!A1:A1000"),
                    0
                )) *
                IF(
                    I229="",
                    1,
                    (ROW(INDIRECT("'" &amp; 'Hulp (overig)'!$C$16 &amp; "'!B1:B1000")) &lt; MATCH(
                        I229,
                        INDIRECT("'" &amp; 'Hulp (overig)'!$C$16 &amp; "'!A1:A1000"),
                        0
                    ))
                ),
                ROW(INDIRECT("'" &amp; 'Hulp (overig)'!$C$16 &amp; "'!B1:B1000"))
            )
        ),0)
    )=0,"",
INDEX(
        INDIRECT("'" &amp; 'Hulp (overig)'!$C$16 &amp; "'!" &amp;
        'Hulp (overig)'!$C$17 &amp; "1:" &amp; 'Hulp (overig)'!$C$17 &amp; 1000
        ),
        IFERROR(MIN(
            IF(
                (TRIM(INDIRECT("'" &amp; 'Hulp (overig)'!$C$16 &amp; "'!B1:B1000")) = TEXT(H231,"0")) *
                (ROW(INDIRECT("'" &amp; 'Hulp (overig)'!$C$16 &amp; "'!B1:B1000")) &gt;= MATCH(
                    H229,
                    INDIRECT("'" &amp; 'Hulp (overig)'!$C$16 &amp; "'!A1:A1000"),
                    0
                )) *
                IF(
                    I229="",
                    1,
                    (ROW(INDIRECT("'" &amp; 'Hulp (overig)'!$C$16 &amp; "'!B1:B1000")) &lt; MATCH(
                        I229,
                        INDIRECT("'" &amp; 'Hulp (overig)'!$C$16 &amp; "'!A1:A1000"),
                        0
                    ))
                ),
                ROW(INDIRECT("'" &amp; 'Hulp (overig)'!$C$16 &amp; "'!B1:B1000"))
            )
        ),0)
    ))
))))</f>
        <v>#VALUE!</v>
      </c>
      <c r="I232" s="425" t="e" cm="1">
        <f t="array" aca="1" ref="I232" ca="1">IF($BF232, IF(I229="","",
   INDEX(
      INDIRECT("'" &amp; 'Hulp (CAO''s)'!$AE$8 &amp; "'!" &amp;
               'Hulp (overig)'!$C$17 &amp; "1:" &amp;
               'Hulp (overig)'!$C$17 &amp; "1000"),
      MATCH(
         I229,
         INDIRECT("'" &amp; 'Hulp (CAO''s)'!$AE$8 &amp; "'!A1:A1000"),
         0
      )
   )
), IF($D230="Gebruik % van maximum salaris",
IF(
    OR(I229="",I230=""),
    "",
    MAX(
        INDIRECT(
            "'" &amp; 'Hulp (overig)'!$C$16 &amp; "'!" &amp;
            'Hulp (overig)'!$C$17 &amp;
            MATCH(I229, INDIRECT("'" &amp; 'Hulp (overig)'!$C$16 &amp; "'!A1:A1000"), 0) &amp;
            ":" &amp;
            'Hulp (overig)'!$C$17 &amp;
LOOKUP(
    2,
    1 / (
        (ROW(INDIRECT("'" &amp; 'Hulp (overig)'!$C$16 &amp; "'!B1:B1000")) &lt;
            IF(J229&lt;&gt;"",
               MATCH(J229, INDIRECT("'" &amp; 'Hulp (overig)'!$C$16 &amp; "'!A1:A1000"),0),
               1000
            )
        ) *
        (LEFT(TRIM(INDIRECT("'" &amp; 'Hulp (overig)'!$C$16 &amp; "'!B1:B1000")),1) &lt;&gt; "u")
    ),
    ROW(INDIRECT("'" &amp; 'Hulp (overig)'!$C$16 &amp; "'!B1:B1000"))
)
        )
    ) * I230
),
IF(I231="","",
IF(
    IFERROR(MIN(
        IF(
            (TRIM(INDIRECT("'" &amp; 'Hulp (overig)'!$C$16 &amp; "'!B1:B1000")) = TEXT(I231,"0")) *
            (ROW(INDIRECT("'" &amp; 'Hulp (overig)'!$C$16 &amp; "'!B1:B1000")) &gt;= MATCH(
                I229,
                INDIRECT("'" &amp; 'Hulp (overig)'!$C$16 &amp; "'!A1:A1000"),
                0
            )) *
            IF(
                J229="",
                1,
                (ROW(INDIRECT("'" &amp; 'Hulp (overig)'!$C$16 &amp; "'!B1:B1000")) &lt; MATCH(
                    J229,
                    INDIRECT("'" &amp; 'Hulp (overig)'!$C$16 &amp; "'!A1:A1000"),
                    0
                ))
            ),
            ROW(INDIRECT("'" &amp; 'Hulp (overig)'!$C$16 &amp; "'!B1:B1000"))
        )
    ),0) &lt; 1,
    "",
    IF(INDEX(
        INDIRECT("'" &amp; 'Hulp (overig)'!$C$16 &amp; "'!" &amp;
        'Hulp (overig)'!$C$17 &amp; "1:" &amp; 'Hulp (overig)'!$C$17 &amp; 1000
        ),
        IFERROR(MIN(
            IF(
                (TRIM(INDIRECT("'" &amp; 'Hulp (overig)'!$C$16 &amp; "'!B1:B1000")) = TEXT(I231,"0")) *
                (ROW(INDIRECT("'" &amp; 'Hulp (overig)'!$C$16 &amp; "'!B1:B1000")) &gt;= MATCH(
                    I229,
                    INDIRECT("'" &amp; 'Hulp (overig)'!$C$16 &amp; "'!A1:A1000"),
                    0
                )) *
                IF(
                    J229="",
                    1,
                    (ROW(INDIRECT("'" &amp; 'Hulp (overig)'!$C$16 &amp; "'!B1:B1000")) &lt; MATCH(
                        J229,
                        INDIRECT("'" &amp; 'Hulp (overig)'!$C$16 &amp; "'!A1:A1000"),
                        0
                    ))
                ),
                ROW(INDIRECT("'" &amp; 'Hulp (overig)'!$C$16 &amp; "'!B1:B1000"))
            )
        ),0)
    )=0,"",
INDEX(
        INDIRECT("'" &amp; 'Hulp (overig)'!$C$16 &amp; "'!" &amp;
        'Hulp (overig)'!$C$17 &amp; "1:" &amp; 'Hulp (overig)'!$C$17 &amp; 1000
        ),
        IFERROR(MIN(
            IF(
                (TRIM(INDIRECT("'" &amp; 'Hulp (overig)'!$C$16 &amp; "'!B1:B1000")) = TEXT(I231,"0")) *
                (ROW(INDIRECT("'" &amp; 'Hulp (overig)'!$C$16 &amp; "'!B1:B1000")) &gt;= MATCH(
                    I229,
                    INDIRECT("'" &amp; 'Hulp (overig)'!$C$16 &amp; "'!A1:A1000"),
                    0
                )) *
                IF(
                    J229="",
                    1,
                    (ROW(INDIRECT("'" &amp; 'Hulp (overig)'!$C$16 &amp; "'!B1:B1000")) &lt; MATCH(
                        J229,
                        INDIRECT("'" &amp; 'Hulp (overig)'!$C$16 &amp; "'!A1:A1000"),
                        0
                    ))
                ),
                ROW(INDIRECT("'" &amp; 'Hulp (overig)'!$C$16 &amp; "'!B1:B1000"))
            )
        ),0)
    ))
))))</f>
        <v>#VALUE!</v>
      </c>
      <c r="J232" s="425" t="e" cm="1">
        <f t="array" aca="1" ref="J232" ca="1">IF($BF232, IF(J229="","",
   INDEX(
      INDIRECT("'" &amp; 'Hulp (CAO''s)'!$AE$8 &amp; "'!" &amp;
               'Hulp (overig)'!$C$17 &amp; "1:" &amp;
               'Hulp (overig)'!$C$17 &amp; "1000"),
      MATCH(
         J229,
         INDIRECT("'" &amp; 'Hulp (CAO''s)'!$AE$8 &amp; "'!A1:A1000"),
         0
      )
   )
), IF($D230="Gebruik % van maximum salaris",
IF(
    OR(J229="",J230=""),
    "",
    MAX(
        INDIRECT(
            "'" &amp; 'Hulp (overig)'!$C$16 &amp; "'!" &amp;
            'Hulp (overig)'!$C$17 &amp;
            MATCH(J229, INDIRECT("'" &amp; 'Hulp (overig)'!$C$16 &amp; "'!A1:A1000"), 0) &amp;
            ":" &amp;
            'Hulp (overig)'!$C$17 &amp;
LOOKUP(
    2,
    1 / (
        (ROW(INDIRECT("'" &amp; 'Hulp (overig)'!$C$16 &amp; "'!B1:B1000")) &lt;
            IF(K229&lt;&gt;"",
               MATCH(K229, INDIRECT("'" &amp; 'Hulp (overig)'!$C$16 &amp; "'!A1:A1000"),0),
               1000
            )
        ) *
        (LEFT(TRIM(INDIRECT("'" &amp; 'Hulp (overig)'!$C$16 &amp; "'!B1:B1000")),1) &lt;&gt; "u")
    ),
    ROW(INDIRECT("'" &amp; 'Hulp (overig)'!$C$16 &amp; "'!B1:B1000"))
)
        )
    ) * J230
),
IF(J231="","",
IF(
    IFERROR(MIN(
        IF(
            (TRIM(INDIRECT("'" &amp; 'Hulp (overig)'!$C$16 &amp; "'!B1:B1000")) = TEXT(J231,"0")) *
            (ROW(INDIRECT("'" &amp; 'Hulp (overig)'!$C$16 &amp; "'!B1:B1000")) &gt;= MATCH(
                J229,
                INDIRECT("'" &amp; 'Hulp (overig)'!$C$16 &amp; "'!A1:A1000"),
                0
            )) *
            IF(
                K229="",
                1,
                (ROW(INDIRECT("'" &amp; 'Hulp (overig)'!$C$16 &amp; "'!B1:B1000")) &lt; MATCH(
                    K229,
                    INDIRECT("'" &amp; 'Hulp (overig)'!$C$16 &amp; "'!A1:A1000"),
                    0
                ))
            ),
            ROW(INDIRECT("'" &amp; 'Hulp (overig)'!$C$16 &amp; "'!B1:B1000"))
        )
    ),0) &lt; 1,
    "",
    IF(INDEX(
        INDIRECT("'" &amp; 'Hulp (overig)'!$C$16 &amp; "'!" &amp;
        'Hulp (overig)'!$C$17 &amp; "1:" &amp; 'Hulp (overig)'!$C$17 &amp; 1000
        ),
        IFERROR(MIN(
            IF(
                (TRIM(INDIRECT("'" &amp; 'Hulp (overig)'!$C$16 &amp; "'!B1:B1000")) = TEXT(J231,"0")) *
                (ROW(INDIRECT("'" &amp; 'Hulp (overig)'!$C$16 &amp; "'!B1:B1000")) &gt;= MATCH(
                    J229,
                    INDIRECT("'" &amp; 'Hulp (overig)'!$C$16 &amp; "'!A1:A1000"),
                    0
                )) *
                IF(
                    K229="",
                    1,
                    (ROW(INDIRECT("'" &amp; 'Hulp (overig)'!$C$16 &amp; "'!B1:B1000")) &lt; MATCH(
                        K229,
                        INDIRECT("'" &amp; 'Hulp (overig)'!$C$16 &amp; "'!A1:A1000"),
                        0
                    ))
                ),
                ROW(INDIRECT("'" &amp; 'Hulp (overig)'!$C$16 &amp; "'!B1:B1000"))
            )
        ),0)
    )=0,"",
INDEX(
        INDIRECT("'" &amp; 'Hulp (overig)'!$C$16 &amp; "'!" &amp;
        'Hulp (overig)'!$C$17 &amp; "1:" &amp; 'Hulp (overig)'!$C$17 &amp; 1000
        ),
        IFERROR(MIN(
            IF(
                (TRIM(INDIRECT("'" &amp; 'Hulp (overig)'!$C$16 &amp; "'!B1:B1000")) = TEXT(J231,"0")) *
                (ROW(INDIRECT("'" &amp; 'Hulp (overig)'!$C$16 &amp; "'!B1:B1000")) &gt;= MATCH(
                    J229,
                    INDIRECT("'" &amp; 'Hulp (overig)'!$C$16 &amp; "'!A1:A1000"),
                    0
                )) *
                IF(
                    K229="",
                    1,
                    (ROW(INDIRECT("'" &amp; 'Hulp (overig)'!$C$16 &amp; "'!B1:B1000")) &lt; MATCH(
                        K229,
                        INDIRECT("'" &amp; 'Hulp (overig)'!$C$16 &amp; "'!A1:A1000"),
                        0
                    ))
                ),
                ROW(INDIRECT("'" &amp; 'Hulp (overig)'!$C$16 &amp; "'!B1:B1000"))
            )
        ),0)
    ))
))))</f>
        <v>#VALUE!</v>
      </c>
      <c r="K232" s="425" t="e" cm="1">
        <f t="array" aca="1" ref="K232" ca="1">IF($BF232, IF(K229="","",
   INDEX(
      INDIRECT("'" &amp; 'Hulp (CAO''s)'!$AE$8 &amp; "'!" &amp;
               'Hulp (overig)'!$C$17 &amp; "1:" &amp;
               'Hulp (overig)'!$C$17 &amp; "1000"),
      MATCH(
         K229,
         INDIRECT("'" &amp; 'Hulp (CAO''s)'!$AE$8 &amp; "'!A1:A1000"),
         0
      )
   )
), IF($D230="Gebruik % van maximum salaris",
IF(
    OR(K229="",K230=""),
    "",
    MAX(
        INDIRECT(
            "'" &amp; 'Hulp (overig)'!$C$16 &amp; "'!" &amp;
            'Hulp (overig)'!$C$17 &amp;
            MATCH(K229, INDIRECT("'" &amp; 'Hulp (overig)'!$C$16 &amp; "'!A1:A1000"), 0) &amp;
            ":" &amp;
            'Hulp (overig)'!$C$17 &amp;
LOOKUP(
    2,
    1 / (
        (ROW(INDIRECT("'" &amp; 'Hulp (overig)'!$C$16 &amp; "'!B1:B1000")) &lt;
            IF(L229&lt;&gt;"",
               MATCH(L229, INDIRECT("'" &amp; 'Hulp (overig)'!$C$16 &amp; "'!A1:A1000"),0),
               1000
            )
        ) *
        (LEFT(TRIM(INDIRECT("'" &amp; 'Hulp (overig)'!$C$16 &amp; "'!B1:B1000")),1) &lt;&gt; "u")
    ),
    ROW(INDIRECT("'" &amp; 'Hulp (overig)'!$C$16 &amp; "'!B1:B1000"))
)
        )
    ) * K230
),
IF(K231="","",
IF(
    IFERROR(MIN(
        IF(
            (TRIM(INDIRECT("'" &amp; 'Hulp (overig)'!$C$16 &amp; "'!B1:B1000")) = TEXT(K231,"0")) *
            (ROW(INDIRECT("'" &amp; 'Hulp (overig)'!$C$16 &amp; "'!B1:B1000")) &gt;= MATCH(
                K229,
                INDIRECT("'" &amp; 'Hulp (overig)'!$C$16 &amp; "'!A1:A1000"),
                0
            )) *
            IF(
                L229="",
                1,
                (ROW(INDIRECT("'" &amp; 'Hulp (overig)'!$C$16 &amp; "'!B1:B1000")) &lt; MATCH(
                    L229,
                    INDIRECT("'" &amp; 'Hulp (overig)'!$C$16 &amp; "'!A1:A1000"),
                    0
                ))
            ),
            ROW(INDIRECT("'" &amp; 'Hulp (overig)'!$C$16 &amp; "'!B1:B1000"))
        )
    ),0) &lt; 1,
    "",
    IF(INDEX(
        INDIRECT("'" &amp; 'Hulp (overig)'!$C$16 &amp; "'!" &amp;
        'Hulp (overig)'!$C$17 &amp; "1:" &amp; 'Hulp (overig)'!$C$17 &amp; 1000
        ),
        IFERROR(MIN(
            IF(
                (TRIM(INDIRECT("'" &amp; 'Hulp (overig)'!$C$16 &amp; "'!B1:B1000")) = TEXT(K231,"0")) *
                (ROW(INDIRECT("'" &amp; 'Hulp (overig)'!$C$16 &amp; "'!B1:B1000")) &gt;= MATCH(
                    K229,
                    INDIRECT("'" &amp; 'Hulp (overig)'!$C$16 &amp; "'!A1:A1000"),
                    0
                )) *
                IF(
                    L229="",
                    1,
                    (ROW(INDIRECT("'" &amp; 'Hulp (overig)'!$C$16 &amp; "'!B1:B1000")) &lt; MATCH(
                        L229,
                        INDIRECT("'" &amp; 'Hulp (overig)'!$C$16 &amp; "'!A1:A1000"),
                        0
                    ))
                ),
                ROW(INDIRECT("'" &amp; 'Hulp (overig)'!$C$16 &amp; "'!B1:B1000"))
            )
        ),0)
    )=0,"",
INDEX(
        INDIRECT("'" &amp; 'Hulp (overig)'!$C$16 &amp; "'!" &amp;
        'Hulp (overig)'!$C$17 &amp; "1:" &amp; 'Hulp (overig)'!$C$17 &amp; 1000
        ),
        IFERROR(MIN(
            IF(
                (TRIM(INDIRECT("'" &amp; 'Hulp (overig)'!$C$16 &amp; "'!B1:B1000")) = TEXT(K231,"0")) *
                (ROW(INDIRECT("'" &amp; 'Hulp (overig)'!$C$16 &amp; "'!B1:B1000")) &gt;= MATCH(
                    K229,
                    INDIRECT("'" &amp; 'Hulp (overig)'!$C$16 &amp; "'!A1:A1000"),
                    0
                )) *
                IF(
                    L229="",
                    1,
                    (ROW(INDIRECT("'" &amp; 'Hulp (overig)'!$C$16 &amp; "'!B1:B1000")) &lt; MATCH(
                        L229,
                        INDIRECT("'" &amp; 'Hulp (overig)'!$C$16 &amp; "'!A1:A1000"),
                        0
                    ))
                ),
                ROW(INDIRECT("'" &amp; 'Hulp (overig)'!$C$16 &amp; "'!B1:B1000"))
            )
        ),0)
    ))
))))</f>
        <v>#VALUE!</v>
      </c>
      <c r="L232" s="425" t="e" cm="1">
        <f t="array" aca="1" ref="L232" ca="1">IF($BF232, IF(L229="","",
   INDEX(
      INDIRECT("'" &amp; 'Hulp (CAO''s)'!$AE$8 &amp; "'!" &amp;
               'Hulp (overig)'!$C$17 &amp; "1:" &amp;
               'Hulp (overig)'!$C$17 &amp; "1000"),
      MATCH(
         L229,
         INDIRECT("'" &amp; 'Hulp (CAO''s)'!$AE$8 &amp; "'!A1:A1000"),
         0
      )
   )
), IF($D230="Gebruik % van maximum salaris",
IF(
    OR(L229="",L230=""),
    "",
    MAX(
        INDIRECT(
            "'" &amp; 'Hulp (overig)'!$C$16 &amp; "'!" &amp;
            'Hulp (overig)'!$C$17 &amp;
            MATCH(L229, INDIRECT("'" &amp; 'Hulp (overig)'!$C$16 &amp; "'!A1:A1000"), 0) &amp;
            ":" &amp;
            'Hulp (overig)'!$C$17 &amp;
LOOKUP(
    2,
    1 / (
        (ROW(INDIRECT("'" &amp; 'Hulp (overig)'!$C$16 &amp; "'!B1:B1000")) &lt;
            IF(M229&lt;&gt;"",
               MATCH(M229, INDIRECT("'" &amp; 'Hulp (overig)'!$C$16 &amp; "'!A1:A1000"),0),
               1000
            )
        ) *
        (LEFT(TRIM(INDIRECT("'" &amp; 'Hulp (overig)'!$C$16 &amp; "'!B1:B1000")),1) &lt;&gt; "u")
    ),
    ROW(INDIRECT("'" &amp; 'Hulp (overig)'!$C$16 &amp; "'!B1:B1000"))
)
        )
    ) * L230
),
IF(L231="","",
IF(
    IFERROR(MIN(
        IF(
            (TRIM(INDIRECT("'" &amp; 'Hulp (overig)'!$C$16 &amp; "'!B1:B1000")) = TEXT(L231,"0")) *
            (ROW(INDIRECT("'" &amp; 'Hulp (overig)'!$C$16 &amp; "'!B1:B1000")) &gt;= MATCH(
                L229,
                INDIRECT("'" &amp; 'Hulp (overig)'!$C$16 &amp; "'!A1:A1000"),
                0
            )) *
            IF(
                M229="",
                1,
                (ROW(INDIRECT("'" &amp; 'Hulp (overig)'!$C$16 &amp; "'!B1:B1000")) &lt; MATCH(
                    M229,
                    INDIRECT("'" &amp; 'Hulp (overig)'!$C$16 &amp; "'!A1:A1000"),
                    0
                ))
            ),
            ROW(INDIRECT("'" &amp; 'Hulp (overig)'!$C$16 &amp; "'!B1:B1000"))
        )
    ),0) &lt; 1,
    "",
    IF(INDEX(
        INDIRECT("'" &amp; 'Hulp (overig)'!$C$16 &amp; "'!" &amp;
        'Hulp (overig)'!$C$17 &amp; "1:" &amp; 'Hulp (overig)'!$C$17 &amp; 1000
        ),
        IFERROR(MIN(
            IF(
                (TRIM(INDIRECT("'" &amp; 'Hulp (overig)'!$C$16 &amp; "'!B1:B1000")) = TEXT(L231,"0")) *
                (ROW(INDIRECT("'" &amp; 'Hulp (overig)'!$C$16 &amp; "'!B1:B1000")) &gt;= MATCH(
                    L229,
                    INDIRECT("'" &amp; 'Hulp (overig)'!$C$16 &amp; "'!A1:A1000"),
                    0
                )) *
                IF(
                    M229="",
                    1,
                    (ROW(INDIRECT("'" &amp; 'Hulp (overig)'!$C$16 &amp; "'!B1:B1000")) &lt; MATCH(
                        M229,
                        INDIRECT("'" &amp; 'Hulp (overig)'!$C$16 &amp; "'!A1:A1000"),
                        0
                    ))
                ),
                ROW(INDIRECT("'" &amp; 'Hulp (overig)'!$C$16 &amp; "'!B1:B1000"))
            )
        ),0)
    )=0,"",
INDEX(
        INDIRECT("'" &amp; 'Hulp (overig)'!$C$16 &amp; "'!" &amp;
        'Hulp (overig)'!$C$17 &amp; "1:" &amp; 'Hulp (overig)'!$C$17 &amp; 1000
        ),
        IFERROR(MIN(
            IF(
                (TRIM(INDIRECT("'" &amp; 'Hulp (overig)'!$C$16 &amp; "'!B1:B1000")) = TEXT(L231,"0")) *
                (ROW(INDIRECT("'" &amp; 'Hulp (overig)'!$C$16 &amp; "'!B1:B1000")) &gt;= MATCH(
                    L229,
                    INDIRECT("'" &amp; 'Hulp (overig)'!$C$16 &amp; "'!A1:A1000"),
                    0
                )) *
                IF(
                    M229="",
                    1,
                    (ROW(INDIRECT("'" &amp; 'Hulp (overig)'!$C$16 &amp; "'!B1:B1000")) &lt; MATCH(
                        M229,
                        INDIRECT("'" &amp; 'Hulp (overig)'!$C$16 &amp; "'!A1:A1000"),
                        0
                    ))
                ),
                ROW(INDIRECT("'" &amp; 'Hulp (overig)'!$C$16 &amp; "'!B1:B1000"))
            )
        ),0)
    ))
))))</f>
        <v>#VALUE!</v>
      </c>
      <c r="M232" s="425" t="e" cm="1">
        <f t="array" aca="1" ref="M232" ca="1">IF($BF232, IF(M229="","",
   INDEX(
      INDIRECT("'" &amp; 'Hulp (CAO''s)'!$AE$8 &amp; "'!" &amp;
               'Hulp (overig)'!$C$17 &amp; "1:" &amp;
               'Hulp (overig)'!$C$17 &amp; "1000"),
      MATCH(
         M229,
         INDIRECT("'" &amp; 'Hulp (CAO''s)'!$AE$8 &amp; "'!A1:A1000"),
         0
      )
   )
), IF($D230="Gebruik % van maximum salaris",
IF(
    OR(M229="",M230=""),
    "",
    MAX(
        INDIRECT(
            "'" &amp; 'Hulp (overig)'!$C$16 &amp; "'!" &amp;
            'Hulp (overig)'!$C$17 &amp;
            MATCH(M229, INDIRECT("'" &amp; 'Hulp (overig)'!$C$16 &amp; "'!A1:A1000"), 0) &amp;
            ":" &amp;
            'Hulp (overig)'!$C$17 &amp;
LOOKUP(
    2,
    1 / (
        (ROW(INDIRECT("'" &amp; 'Hulp (overig)'!$C$16 &amp; "'!B1:B1000")) &lt;
            IF(N229&lt;&gt;"",
               MATCH(N229, INDIRECT("'" &amp; 'Hulp (overig)'!$C$16 &amp; "'!A1:A1000"),0),
               1000
            )
        ) *
        (LEFT(TRIM(INDIRECT("'" &amp; 'Hulp (overig)'!$C$16 &amp; "'!B1:B1000")),1) &lt;&gt; "u")
    ),
    ROW(INDIRECT("'" &amp; 'Hulp (overig)'!$C$16 &amp; "'!B1:B1000"))
)
        )
    ) * M230
),
IF(M231="","",
IF(
    IFERROR(MIN(
        IF(
            (TRIM(INDIRECT("'" &amp; 'Hulp (overig)'!$C$16 &amp; "'!B1:B1000")) = TEXT(M231,"0")) *
            (ROW(INDIRECT("'" &amp; 'Hulp (overig)'!$C$16 &amp; "'!B1:B1000")) &gt;= MATCH(
                M229,
                INDIRECT("'" &amp; 'Hulp (overig)'!$C$16 &amp; "'!A1:A1000"),
                0
            )) *
            IF(
                N229="",
                1,
                (ROW(INDIRECT("'" &amp; 'Hulp (overig)'!$C$16 &amp; "'!B1:B1000")) &lt; MATCH(
                    N229,
                    INDIRECT("'" &amp; 'Hulp (overig)'!$C$16 &amp; "'!A1:A1000"),
                    0
                ))
            ),
            ROW(INDIRECT("'" &amp; 'Hulp (overig)'!$C$16 &amp; "'!B1:B1000"))
        )
    ),0) &lt; 1,
    "",
    IF(INDEX(
        INDIRECT("'" &amp; 'Hulp (overig)'!$C$16 &amp; "'!" &amp;
        'Hulp (overig)'!$C$17 &amp; "1:" &amp; 'Hulp (overig)'!$C$17 &amp; 1000
        ),
        IFERROR(MIN(
            IF(
                (TRIM(INDIRECT("'" &amp; 'Hulp (overig)'!$C$16 &amp; "'!B1:B1000")) = TEXT(M231,"0")) *
                (ROW(INDIRECT("'" &amp; 'Hulp (overig)'!$C$16 &amp; "'!B1:B1000")) &gt;= MATCH(
                    M229,
                    INDIRECT("'" &amp; 'Hulp (overig)'!$C$16 &amp; "'!A1:A1000"),
                    0
                )) *
                IF(
                    N229="",
                    1,
                    (ROW(INDIRECT("'" &amp; 'Hulp (overig)'!$C$16 &amp; "'!B1:B1000")) &lt; MATCH(
                        N229,
                        INDIRECT("'" &amp; 'Hulp (overig)'!$C$16 &amp; "'!A1:A1000"),
                        0
                    ))
                ),
                ROW(INDIRECT("'" &amp; 'Hulp (overig)'!$C$16 &amp; "'!B1:B1000"))
            )
        ),0)
    )=0,"",
INDEX(
        INDIRECT("'" &amp; 'Hulp (overig)'!$C$16 &amp; "'!" &amp;
        'Hulp (overig)'!$C$17 &amp; "1:" &amp; 'Hulp (overig)'!$C$17 &amp; 1000
        ),
        IFERROR(MIN(
            IF(
                (TRIM(INDIRECT("'" &amp; 'Hulp (overig)'!$C$16 &amp; "'!B1:B1000")) = TEXT(M231,"0")) *
                (ROW(INDIRECT("'" &amp; 'Hulp (overig)'!$C$16 &amp; "'!B1:B1000")) &gt;= MATCH(
                    M229,
                    INDIRECT("'" &amp; 'Hulp (overig)'!$C$16 &amp; "'!A1:A1000"),
                    0
                )) *
                IF(
                    N229="",
                    1,
                    (ROW(INDIRECT("'" &amp; 'Hulp (overig)'!$C$16 &amp; "'!B1:B1000")) &lt; MATCH(
                        N229,
                        INDIRECT("'" &amp; 'Hulp (overig)'!$C$16 &amp; "'!A1:A1000"),
                        0
                    ))
                ),
                ROW(INDIRECT("'" &amp; 'Hulp (overig)'!$C$16 &amp; "'!B1:B1000"))
            )
        ),0)
    ))
))))</f>
        <v>#VALUE!</v>
      </c>
      <c r="N232" s="425" t="e" cm="1">
        <f t="array" aca="1" ref="N232" ca="1">IF($BF232, IF(N229="","",
   INDEX(
      INDIRECT("'" &amp; 'Hulp (CAO''s)'!$AE$8 &amp; "'!" &amp;
               'Hulp (overig)'!$C$17 &amp; "1:" &amp;
               'Hulp (overig)'!$C$17 &amp; "1000"),
      MATCH(
         N229,
         INDIRECT("'" &amp; 'Hulp (CAO''s)'!$AE$8 &amp; "'!A1:A1000"),
         0
      )
   )
), IF($D230="Gebruik % van maximum salaris",
IF(
    OR(N229="",N230=""),
    "",
    MAX(
        INDIRECT(
            "'" &amp; 'Hulp (overig)'!$C$16 &amp; "'!" &amp;
            'Hulp (overig)'!$C$17 &amp;
            MATCH(N229, INDIRECT("'" &amp; 'Hulp (overig)'!$C$16 &amp; "'!A1:A1000"), 0) &amp;
            ":" &amp;
            'Hulp (overig)'!$C$17 &amp;
LOOKUP(
    2,
    1 / (
        (ROW(INDIRECT("'" &amp; 'Hulp (overig)'!$C$16 &amp; "'!B1:B1000")) &lt;
            IF(O229&lt;&gt;"",
               MATCH(O229, INDIRECT("'" &amp; 'Hulp (overig)'!$C$16 &amp; "'!A1:A1000"),0),
               1000
            )
        ) *
        (LEFT(TRIM(INDIRECT("'" &amp; 'Hulp (overig)'!$C$16 &amp; "'!B1:B1000")),1) &lt;&gt; "u")
    ),
    ROW(INDIRECT("'" &amp; 'Hulp (overig)'!$C$16 &amp; "'!B1:B1000"))
)
        )
    ) * N230
),
IF(N231="","",
IF(
    IFERROR(MIN(
        IF(
            (TRIM(INDIRECT("'" &amp; 'Hulp (overig)'!$C$16 &amp; "'!B1:B1000")) = TEXT(N231,"0")) *
            (ROW(INDIRECT("'" &amp; 'Hulp (overig)'!$C$16 &amp; "'!B1:B1000")) &gt;= MATCH(
                N229,
                INDIRECT("'" &amp; 'Hulp (overig)'!$C$16 &amp; "'!A1:A1000"),
                0
            )) *
            IF(
                O229="",
                1,
                (ROW(INDIRECT("'" &amp; 'Hulp (overig)'!$C$16 &amp; "'!B1:B1000")) &lt; MATCH(
                    O229,
                    INDIRECT("'" &amp; 'Hulp (overig)'!$C$16 &amp; "'!A1:A1000"),
                    0
                ))
            ),
            ROW(INDIRECT("'" &amp; 'Hulp (overig)'!$C$16 &amp; "'!B1:B1000"))
        )
    ),0) &lt; 1,
    "",
    IF(INDEX(
        INDIRECT("'" &amp; 'Hulp (overig)'!$C$16 &amp; "'!" &amp;
        'Hulp (overig)'!$C$17 &amp; "1:" &amp; 'Hulp (overig)'!$C$17 &amp; 1000
        ),
        IFERROR(MIN(
            IF(
                (TRIM(INDIRECT("'" &amp; 'Hulp (overig)'!$C$16 &amp; "'!B1:B1000")) = TEXT(N231,"0")) *
                (ROW(INDIRECT("'" &amp; 'Hulp (overig)'!$C$16 &amp; "'!B1:B1000")) &gt;= MATCH(
                    N229,
                    INDIRECT("'" &amp; 'Hulp (overig)'!$C$16 &amp; "'!A1:A1000"),
                    0
                )) *
                IF(
                    O229="",
                    1,
                    (ROW(INDIRECT("'" &amp; 'Hulp (overig)'!$C$16 &amp; "'!B1:B1000")) &lt; MATCH(
                        O229,
                        INDIRECT("'" &amp; 'Hulp (overig)'!$C$16 &amp; "'!A1:A1000"),
                        0
                    ))
                ),
                ROW(INDIRECT("'" &amp; 'Hulp (overig)'!$C$16 &amp; "'!B1:B1000"))
            )
        ),0)
    )=0,"",
INDEX(
        INDIRECT("'" &amp; 'Hulp (overig)'!$C$16 &amp; "'!" &amp;
        'Hulp (overig)'!$C$17 &amp; "1:" &amp; 'Hulp (overig)'!$C$17 &amp; 1000
        ),
        IFERROR(MIN(
            IF(
                (TRIM(INDIRECT("'" &amp; 'Hulp (overig)'!$C$16 &amp; "'!B1:B1000")) = TEXT(N231,"0")) *
                (ROW(INDIRECT("'" &amp; 'Hulp (overig)'!$C$16 &amp; "'!B1:B1000")) &gt;= MATCH(
                    N229,
                    INDIRECT("'" &amp; 'Hulp (overig)'!$C$16 &amp; "'!A1:A1000"),
                    0
                )) *
                IF(
                    O229="",
                    1,
                    (ROW(INDIRECT("'" &amp; 'Hulp (overig)'!$C$16 &amp; "'!B1:B1000")) &lt; MATCH(
                        O229,
                        INDIRECT("'" &amp; 'Hulp (overig)'!$C$16 &amp; "'!A1:A1000"),
                        0
                    ))
                ),
                ROW(INDIRECT("'" &amp; 'Hulp (overig)'!$C$16 &amp; "'!B1:B1000"))
            )
        ),0)
    ))
))))</f>
        <v>#VALUE!</v>
      </c>
      <c r="O232" s="425" t="e" cm="1">
        <f t="array" aca="1" ref="O232" ca="1">IF($BF232, IF(O229="","",
   INDEX(
      INDIRECT("'" &amp; 'Hulp (CAO''s)'!$AE$8 &amp; "'!" &amp;
               'Hulp (overig)'!$C$17 &amp; "1:" &amp;
               'Hulp (overig)'!$C$17 &amp; "1000"),
      MATCH(
         O229,
         INDIRECT("'" &amp; 'Hulp (CAO''s)'!$AE$8 &amp; "'!A1:A1000"),
         0
      )
   )
), IF($D230="Gebruik % van maximum salaris",
IF(
    OR(O229="",O230=""),
    "",
    MAX(
        INDIRECT(
            "'" &amp; 'Hulp (overig)'!$C$16 &amp; "'!" &amp;
            'Hulp (overig)'!$C$17 &amp;
            MATCH(O229, INDIRECT("'" &amp; 'Hulp (overig)'!$C$16 &amp; "'!A1:A1000"), 0) &amp;
            ":" &amp;
            'Hulp (overig)'!$C$17 &amp;
LOOKUP(
    2,
    1 / (
        (ROW(INDIRECT("'" &amp; 'Hulp (overig)'!$C$16 &amp; "'!B1:B1000")) &lt;
            IF(P229&lt;&gt;"",
               MATCH(P229, INDIRECT("'" &amp; 'Hulp (overig)'!$C$16 &amp; "'!A1:A1000"),0),
               1000
            )
        ) *
        (LEFT(TRIM(INDIRECT("'" &amp; 'Hulp (overig)'!$C$16 &amp; "'!B1:B1000")),1) &lt;&gt; "u")
    ),
    ROW(INDIRECT("'" &amp; 'Hulp (overig)'!$C$16 &amp; "'!B1:B1000"))
)
        )
    ) * O230
),
IF(O231="","",
IF(
    IFERROR(MIN(
        IF(
            (TRIM(INDIRECT("'" &amp; 'Hulp (overig)'!$C$16 &amp; "'!B1:B1000")) = TEXT(O231,"0")) *
            (ROW(INDIRECT("'" &amp; 'Hulp (overig)'!$C$16 &amp; "'!B1:B1000")) &gt;= MATCH(
                O229,
                INDIRECT("'" &amp; 'Hulp (overig)'!$C$16 &amp; "'!A1:A1000"),
                0
            )) *
            IF(
                P229="",
                1,
                (ROW(INDIRECT("'" &amp; 'Hulp (overig)'!$C$16 &amp; "'!B1:B1000")) &lt; MATCH(
                    P229,
                    INDIRECT("'" &amp; 'Hulp (overig)'!$C$16 &amp; "'!A1:A1000"),
                    0
                ))
            ),
            ROW(INDIRECT("'" &amp; 'Hulp (overig)'!$C$16 &amp; "'!B1:B1000"))
        )
    ),0) &lt; 1,
    "",
    IF(INDEX(
        INDIRECT("'" &amp; 'Hulp (overig)'!$C$16 &amp; "'!" &amp;
        'Hulp (overig)'!$C$17 &amp; "1:" &amp; 'Hulp (overig)'!$C$17 &amp; 1000
        ),
        IFERROR(MIN(
            IF(
                (TRIM(INDIRECT("'" &amp; 'Hulp (overig)'!$C$16 &amp; "'!B1:B1000")) = TEXT(O231,"0")) *
                (ROW(INDIRECT("'" &amp; 'Hulp (overig)'!$C$16 &amp; "'!B1:B1000")) &gt;= MATCH(
                    O229,
                    INDIRECT("'" &amp; 'Hulp (overig)'!$C$16 &amp; "'!A1:A1000"),
                    0
                )) *
                IF(
                    P229="",
                    1,
                    (ROW(INDIRECT("'" &amp; 'Hulp (overig)'!$C$16 &amp; "'!B1:B1000")) &lt; MATCH(
                        P229,
                        INDIRECT("'" &amp; 'Hulp (overig)'!$C$16 &amp; "'!A1:A1000"),
                        0
                    ))
                ),
                ROW(INDIRECT("'" &amp; 'Hulp (overig)'!$C$16 &amp; "'!B1:B1000"))
            )
        ),0)
    )=0,"",
INDEX(
        INDIRECT("'" &amp; 'Hulp (overig)'!$C$16 &amp; "'!" &amp;
        'Hulp (overig)'!$C$17 &amp; "1:" &amp; 'Hulp (overig)'!$C$17 &amp; 1000
        ),
        IFERROR(MIN(
            IF(
                (TRIM(INDIRECT("'" &amp; 'Hulp (overig)'!$C$16 &amp; "'!B1:B1000")) = TEXT(O231,"0")) *
                (ROW(INDIRECT("'" &amp; 'Hulp (overig)'!$C$16 &amp; "'!B1:B1000")) &gt;= MATCH(
                    O229,
                    INDIRECT("'" &amp; 'Hulp (overig)'!$C$16 &amp; "'!A1:A1000"),
                    0
                )) *
                IF(
                    P229="",
                    1,
                    (ROW(INDIRECT("'" &amp; 'Hulp (overig)'!$C$16 &amp; "'!B1:B1000")) &lt; MATCH(
                        P229,
                        INDIRECT("'" &amp; 'Hulp (overig)'!$C$16 &amp; "'!A1:A1000"),
                        0
                    ))
                ),
                ROW(INDIRECT("'" &amp; 'Hulp (overig)'!$C$16 &amp; "'!B1:B1000"))
            )
        ),0)
    ))
))))</f>
        <v>#VALUE!</v>
      </c>
      <c r="P232" s="425" t="e" cm="1">
        <f t="array" aca="1" ref="P232" ca="1">IF($BF232, IF(P229="","",
   INDEX(
      INDIRECT("'" &amp; 'Hulp (CAO''s)'!$AE$8 &amp; "'!" &amp;
               'Hulp (overig)'!$C$17 &amp; "1:" &amp;
               'Hulp (overig)'!$C$17 &amp; "1000"),
      MATCH(
         P229,
         INDIRECT("'" &amp; 'Hulp (CAO''s)'!$AE$8 &amp; "'!A1:A1000"),
         0
      )
   )
), IF($D230="Gebruik % van maximum salaris",
IF(
    OR(P229="",P230=""),
    "",
    MAX(
        INDIRECT(
            "'" &amp; 'Hulp (overig)'!$C$16 &amp; "'!" &amp;
            'Hulp (overig)'!$C$17 &amp;
            MATCH(P229, INDIRECT("'" &amp; 'Hulp (overig)'!$C$16 &amp; "'!A1:A1000"), 0) &amp;
            ":" &amp;
            'Hulp (overig)'!$C$17 &amp;
LOOKUP(
    2,
    1 / (
        (ROW(INDIRECT("'" &amp; 'Hulp (overig)'!$C$16 &amp; "'!B1:B1000")) &lt;
            IF(Q229&lt;&gt;"",
               MATCH(Q229, INDIRECT("'" &amp; 'Hulp (overig)'!$C$16 &amp; "'!A1:A1000"),0),
               1000
            )
        ) *
        (LEFT(TRIM(INDIRECT("'" &amp; 'Hulp (overig)'!$C$16 &amp; "'!B1:B1000")),1) &lt;&gt; "u")
    ),
    ROW(INDIRECT("'" &amp; 'Hulp (overig)'!$C$16 &amp; "'!B1:B1000"))
)
        )
    ) * P230
),
IF(P231="","",
IF(
    IFERROR(MIN(
        IF(
            (TRIM(INDIRECT("'" &amp; 'Hulp (overig)'!$C$16 &amp; "'!B1:B1000")) = TEXT(P231,"0")) *
            (ROW(INDIRECT("'" &amp; 'Hulp (overig)'!$C$16 &amp; "'!B1:B1000")) &gt;= MATCH(
                P229,
                INDIRECT("'" &amp; 'Hulp (overig)'!$C$16 &amp; "'!A1:A1000"),
                0
            )) *
            IF(
                Q229="",
                1,
                (ROW(INDIRECT("'" &amp; 'Hulp (overig)'!$C$16 &amp; "'!B1:B1000")) &lt; MATCH(
                    Q229,
                    INDIRECT("'" &amp; 'Hulp (overig)'!$C$16 &amp; "'!A1:A1000"),
                    0
                ))
            ),
            ROW(INDIRECT("'" &amp; 'Hulp (overig)'!$C$16 &amp; "'!B1:B1000"))
        )
    ),0) &lt; 1,
    "",
    IF(INDEX(
        INDIRECT("'" &amp; 'Hulp (overig)'!$C$16 &amp; "'!" &amp;
        'Hulp (overig)'!$C$17 &amp; "1:" &amp; 'Hulp (overig)'!$C$17 &amp; 1000
        ),
        IFERROR(MIN(
            IF(
                (TRIM(INDIRECT("'" &amp; 'Hulp (overig)'!$C$16 &amp; "'!B1:B1000")) = TEXT(P231,"0")) *
                (ROW(INDIRECT("'" &amp; 'Hulp (overig)'!$C$16 &amp; "'!B1:B1000")) &gt;= MATCH(
                    P229,
                    INDIRECT("'" &amp; 'Hulp (overig)'!$C$16 &amp; "'!A1:A1000"),
                    0
                )) *
                IF(
                    Q229="",
                    1,
                    (ROW(INDIRECT("'" &amp; 'Hulp (overig)'!$C$16 &amp; "'!B1:B1000")) &lt; MATCH(
                        Q229,
                        INDIRECT("'" &amp; 'Hulp (overig)'!$C$16 &amp; "'!A1:A1000"),
                        0
                    ))
                ),
                ROW(INDIRECT("'" &amp; 'Hulp (overig)'!$C$16 &amp; "'!B1:B1000"))
            )
        ),0)
    )=0,"",
INDEX(
        INDIRECT("'" &amp; 'Hulp (overig)'!$C$16 &amp; "'!" &amp;
        'Hulp (overig)'!$C$17 &amp; "1:" &amp; 'Hulp (overig)'!$C$17 &amp; 1000
        ),
        IFERROR(MIN(
            IF(
                (TRIM(INDIRECT("'" &amp; 'Hulp (overig)'!$C$16 &amp; "'!B1:B1000")) = TEXT(P231,"0")) *
                (ROW(INDIRECT("'" &amp; 'Hulp (overig)'!$C$16 &amp; "'!B1:B1000")) &gt;= MATCH(
                    P229,
                    INDIRECT("'" &amp; 'Hulp (overig)'!$C$16 &amp; "'!A1:A1000"),
                    0
                )) *
                IF(
                    Q229="",
                    1,
                    (ROW(INDIRECT("'" &amp; 'Hulp (overig)'!$C$16 &amp; "'!B1:B1000")) &lt; MATCH(
                        Q229,
                        INDIRECT("'" &amp; 'Hulp (overig)'!$C$16 &amp; "'!A1:A1000"),
                        0
                    ))
                ),
                ROW(INDIRECT("'" &amp; 'Hulp (overig)'!$C$16 &amp; "'!B1:B1000"))
            )
        ),0)
    ))
))))</f>
        <v>#VALUE!</v>
      </c>
      <c r="Q232" s="425" t="e" cm="1">
        <f t="array" aca="1" ref="Q232" ca="1">IF($BF232, IF(Q229="","",
   INDEX(
      INDIRECT("'" &amp; 'Hulp (CAO''s)'!$AE$8 &amp; "'!" &amp;
               'Hulp (overig)'!$C$17 &amp; "1:" &amp;
               'Hulp (overig)'!$C$17 &amp; "1000"),
      MATCH(
         Q229,
         INDIRECT("'" &amp; 'Hulp (CAO''s)'!$AE$8 &amp; "'!A1:A1000"),
         0
      )
   )
), IF($D230="Gebruik % van maximum salaris",
IF(
    OR(Q229="",Q230=""),
    "",
    MAX(
        INDIRECT(
            "'" &amp; 'Hulp (overig)'!$C$16 &amp; "'!" &amp;
            'Hulp (overig)'!$C$17 &amp;
            MATCH(Q229, INDIRECT("'" &amp; 'Hulp (overig)'!$C$16 &amp; "'!A1:A1000"), 0) &amp;
            ":" &amp;
            'Hulp (overig)'!$C$17 &amp;
LOOKUP(
    2,
    1 / (
        (ROW(INDIRECT("'" &amp; 'Hulp (overig)'!$C$16 &amp; "'!B1:B1000")) &lt;
            IF(R229&lt;&gt;"",
               MATCH(R229, INDIRECT("'" &amp; 'Hulp (overig)'!$C$16 &amp; "'!A1:A1000"),0),
               1000
            )
        ) *
        (LEFT(TRIM(INDIRECT("'" &amp; 'Hulp (overig)'!$C$16 &amp; "'!B1:B1000")),1) &lt;&gt; "u")
    ),
    ROW(INDIRECT("'" &amp; 'Hulp (overig)'!$C$16 &amp; "'!B1:B1000"))
)
        )
    ) * Q230
),
IF(Q231="","",
IF(
    IFERROR(MIN(
        IF(
            (TRIM(INDIRECT("'" &amp; 'Hulp (overig)'!$C$16 &amp; "'!B1:B1000")) = TEXT(Q231,"0")) *
            (ROW(INDIRECT("'" &amp; 'Hulp (overig)'!$C$16 &amp; "'!B1:B1000")) &gt;= MATCH(
                Q229,
                INDIRECT("'" &amp; 'Hulp (overig)'!$C$16 &amp; "'!A1:A1000"),
                0
            )) *
            IF(
                R229="",
                1,
                (ROW(INDIRECT("'" &amp; 'Hulp (overig)'!$C$16 &amp; "'!B1:B1000")) &lt; MATCH(
                    R229,
                    INDIRECT("'" &amp; 'Hulp (overig)'!$C$16 &amp; "'!A1:A1000"),
                    0
                ))
            ),
            ROW(INDIRECT("'" &amp; 'Hulp (overig)'!$C$16 &amp; "'!B1:B1000"))
        )
    ),0) &lt; 1,
    "",
    IF(INDEX(
        INDIRECT("'" &amp; 'Hulp (overig)'!$C$16 &amp; "'!" &amp;
        'Hulp (overig)'!$C$17 &amp; "1:" &amp; 'Hulp (overig)'!$C$17 &amp; 1000
        ),
        IFERROR(MIN(
            IF(
                (TRIM(INDIRECT("'" &amp; 'Hulp (overig)'!$C$16 &amp; "'!B1:B1000")) = TEXT(Q231,"0")) *
                (ROW(INDIRECT("'" &amp; 'Hulp (overig)'!$C$16 &amp; "'!B1:B1000")) &gt;= MATCH(
                    Q229,
                    INDIRECT("'" &amp; 'Hulp (overig)'!$C$16 &amp; "'!A1:A1000"),
                    0
                )) *
                IF(
                    R229="",
                    1,
                    (ROW(INDIRECT("'" &amp; 'Hulp (overig)'!$C$16 &amp; "'!B1:B1000")) &lt; MATCH(
                        R229,
                        INDIRECT("'" &amp; 'Hulp (overig)'!$C$16 &amp; "'!A1:A1000"),
                        0
                    ))
                ),
                ROW(INDIRECT("'" &amp; 'Hulp (overig)'!$C$16 &amp; "'!B1:B1000"))
            )
        ),0)
    )=0,"",
INDEX(
        INDIRECT("'" &amp; 'Hulp (overig)'!$C$16 &amp; "'!" &amp;
        'Hulp (overig)'!$C$17 &amp; "1:" &amp; 'Hulp (overig)'!$C$17 &amp; 1000
        ),
        IFERROR(MIN(
            IF(
                (TRIM(INDIRECT("'" &amp; 'Hulp (overig)'!$C$16 &amp; "'!B1:B1000")) = TEXT(Q231,"0")) *
                (ROW(INDIRECT("'" &amp; 'Hulp (overig)'!$C$16 &amp; "'!B1:B1000")) &gt;= MATCH(
                    Q229,
                    INDIRECT("'" &amp; 'Hulp (overig)'!$C$16 &amp; "'!A1:A1000"),
                    0
                )) *
                IF(
                    R229="",
                    1,
                    (ROW(INDIRECT("'" &amp; 'Hulp (overig)'!$C$16 &amp; "'!B1:B1000")) &lt; MATCH(
                        R229,
                        INDIRECT("'" &amp; 'Hulp (overig)'!$C$16 &amp; "'!A1:A1000"),
                        0
                    ))
                ),
                ROW(INDIRECT("'" &amp; 'Hulp (overig)'!$C$16 &amp; "'!B1:B1000"))
            )
        ),0)
    ))
))))</f>
        <v>#VALUE!</v>
      </c>
      <c r="R232" s="425" t="e" cm="1">
        <f t="array" aca="1" ref="R232" ca="1">IF($BF232, IF(R229="","",
   INDEX(
      INDIRECT("'" &amp; 'Hulp (CAO''s)'!$AE$8 &amp; "'!" &amp;
               'Hulp (overig)'!$C$17 &amp; "1:" &amp;
               'Hulp (overig)'!$C$17 &amp; "1000"),
      MATCH(
         R229,
         INDIRECT("'" &amp; 'Hulp (CAO''s)'!$AE$8 &amp; "'!A1:A1000"),
         0
      )
   )
), IF($D230="Gebruik % van maximum salaris",
IF(
    OR(R229="",R230=""),
    "",
    MAX(
        INDIRECT(
            "'" &amp; 'Hulp (overig)'!$C$16 &amp; "'!" &amp;
            'Hulp (overig)'!$C$17 &amp;
            MATCH(R229, INDIRECT("'" &amp; 'Hulp (overig)'!$C$16 &amp; "'!A1:A1000"), 0) &amp;
            ":" &amp;
            'Hulp (overig)'!$C$17 &amp;
LOOKUP(
    2,
    1 / (
        (ROW(INDIRECT("'" &amp; 'Hulp (overig)'!$C$16 &amp; "'!B1:B1000")) &lt;
            IF(S229&lt;&gt;"",
               MATCH(S229, INDIRECT("'" &amp; 'Hulp (overig)'!$C$16 &amp; "'!A1:A1000"),0),
               1000
            )
        ) *
        (LEFT(TRIM(INDIRECT("'" &amp; 'Hulp (overig)'!$C$16 &amp; "'!B1:B1000")),1) &lt;&gt; "u")
    ),
    ROW(INDIRECT("'" &amp; 'Hulp (overig)'!$C$16 &amp; "'!B1:B1000"))
)
        )
    ) * R230
),
IF(R231="","",
IF(
    IFERROR(MIN(
        IF(
            (TRIM(INDIRECT("'" &amp; 'Hulp (overig)'!$C$16 &amp; "'!B1:B1000")) = TEXT(R231,"0")) *
            (ROW(INDIRECT("'" &amp; 'Hulp (overig)'!$C$16 &amp; "'!B1:B1000")) &gt;= MATCH(
                R229,
                INDIRECT("'" &amp; 'Hulp (overig)'!$C$16 &amp; "'!A1:A1000"),
                0
            )) *
            IF(
                S229="",
                1,
                (ROW(INDIRECT("'" &amp; 'Hulp (overig)'!$C$16 &amp; "'!B1:B1000")) &lt; MATCH(
                    S229,
                    INDIRECT("'" &amp; 'Hulp (overig)'!$C$16 &amp; "'!A1:A1000"),
                    0
                ))
            ),
            ROW(INDIRECT("'" &amp; 'Hulp (overig)'!$C$16 &amp; "'!B1:B1000"))
        )
    ),0) &lt; 1,
    "",
    IF(INDEX(
        INDIRECT("'" &amp; 'Hulp (overig)'!$C$16 &amp; "'!" &amp;
        'Hulp (overig)'!$C$17 &amp; "1:" &amp; 'Hulp (overig)'!$C$17 &amp; 1000
        ),
        IFERROR(MIN(
            IF(
                (TRIM(INDIRECT("'" &amp; 'Hulp (overig)'!$C$16 &amp; "'!B1:B1000")) = TEXT(R231,"0")) *
                (ROW(INDIRECT("'" &amp; 'Hulp (overig)'!$C$16 &amp; "'!B1:B1000")) &gt;= MATCH(
                    R229,
                    INDIRECT("'" &amp; 'Hulp (overig)'!$C$16 &amp; "'!A1:A1000"),
                    0
                )) *
                IF(
                    S229="",
                    1,
                    (ROW(INDIRECT("'" &amp; 'Hulp (overig)'!$C$16 &amp; "'!B1:B1000")) &lt; MATCH(
                        S229,
                        INDIRECT("'" &amp; 'Hulp (overig)'!$C$16 &amp; "'!A1:A1000"),
                        0
                    ))
                ),
                ROW(INDIRECT("'" &amp; 'Hulp (overig)'!$C$16 &amp; "'!B1:B1000"))
            )
        ),0)
    )=0,"",
INDEX(
        INDIRECT("'" &amp; 'Hulp (overig)'!$C$16 &amp; "'!" &amp;
        'Hulp (overig)'!$C$17 &amp; "1:" &amp; 'Hulp (overig)'!$C$17 &amp; 1000
        ),
        IFERROR(MIN(
            IF(
                (TRIM(INDIRECT("'" &amp; 'Hulp (overig)'!$C$16 &amp; "'!B1:B1000")) = TEXT(R231,"0")) *
                (ROW(INDIRECT("'" &amp; 'Hulp (overig)'!$C$16 &amp; "'!B1:B1000")) &gt;= MATCH(
                    R229,
                    INDIRECT("'" &amp; 'Hulp (overig)'!$C$16 &amp; "'!A1:A1000"),
                    0
                )) *
                IF(
                    S229="",
                    1,
                    (ROW(INDIRECT("'" &amp; 'Hulp (overig)'!$C$16 &amp; "'!B1:B1000")) &lt; MATCH(
                        S229,
                        INDIRECT("'" &amp; 'Hulp (overig)'!$C$16 &amp; "'!A1:A1000"),
                        0
                    ))
                ),
                ROW(INDIRECT("'" &amp; 'Hulp (overig)'!$C$16 &amp; "'!B1:B1000"))
            )
        ),0)
    ))
))))</f>
        <v>#VALUE!</v>
      </c>
      <c r="S232" s="425" t="e" cm="1">
        <f t="array" aca="1" ref="S232" ca="1">IF($BF232, IF(S229="","",
   INDEX(
      INDIRECT("'" &amp; 'Hulp (CAO''s)'!$AE$8 &amp; "'!" &amp;
               'Hulp (overig)'!$C$17 &amp; "1:" &amp;
               'Hulp (overig)'!$C$17 &amp; "1000"),
      MATCH(
         S229,
         INDIRECT("'" &amp; 'Hulp (CAO''s)'!$AE$8 &amp; "'!A1:A1000"),
         0
      )
   )
), IF($D230="Gebruik % van maximum salaris",
IF(
    OR(S229="",S230=""),
    "",
    MAX(
        INDIRECT(
            "'" &amp; 'Hulp (overig)'!$C$16 &amp; "'!" &amp;
            'Hulp (overig)'!$C$17 &amp;
            MATCH(S229, INDIRECT("'" &amp; 'Hulp (overig)'!$C$16 &amp; "'!A1:A1000"), 0) &amp;
            ":" &amp;
            'Hulp (overig)'!$C$17 &amp;
LOOKUP(
    2,
    1 / (
        (ROW(INDIRECT("'" &amp; 'Hulp (overig)'!$C$16 &amp; "'!B1:B1000")) &lt;
            IF(T229&lt;&gt;"",
               MATCH(T229, INDIRECT("'" &amp; 'Hulp (overig)'!$C$16 &amp; "'!A1:A1000"),0),
               1000
            )
        ) *
        (LEFT(TRIM(INDIRECT("'" &amp; 'Hulp (overig)'!$C$16 &amp; "'!B1:B1000")),1) &lt;&gt; "u")
    ),
    ROW(INDIRECT("'" &amp; 'Hulp (overig)'!$C$16 &amp; "'!B1:B1000"))
)
        )
    ) * S230
),
IF(S231="","",
IF(
    IFERROR(MIN(
        IF(
            (TRIM(INDIRECT("'" &amp; 'Hulp (overig)'!$C$16 &amp; "'!B1:B1000")) = TEXT(S231,"0")) *
            (ROW(INDIRECT("'" &amp; 'Hulp (overig)'!$C$16 &amp; "'!B1:B1000")) &gt;= MATCH(
                S229,
                INDIRECT("'" &amp; 'Hulp (overig)'!$C$16 &amp; "'!A1:A1000"),
                0
            )) *
            IF(
                T229="",
                1,
                (ROW(INDIRECT("'" &amp; 'Hulp (overig)'!$C$16 &amp; "'!B1:B1000")) &lt; MATCH(
                    T229,
                    INDIRECT("'" &amp; 'Hulp (overig)'!$C$16 &amp; "'!A1:A1000"),
                    0
                ))
            ),
            ROW(INDIRECT("'" &amp; 'Hulp (overig)'!$C$16 &amp; "'!B1:B1000"))
        )
    ),0) &lt; 1,
    "",
    IF(INDEX(
        INDIRECT("'" &amp; 'Hulp (overig)'!$C$16 &amp; "'!" &amp;
        'Hulp (overig)'!$C$17 &amp; "1:" &amp; 'Hulp (overig)'!$C$17 &amp; 1000
        ),
        IFERROR(MIN(
            IF(
                (TRIM(INDIRECT("'" &amp; 'Hulp (overig)'!$C$16 &amp; "'!B1:B1000")) = TEXT(S231,"0")) *
                (ROW(INDIRECT("'" &amp; 'Hulp (overig)'!$C$16 &amp; "'!B1:B1000")) &gt;= MATCH(
                    S229,
                    INDIRECT("'" &amp; 'Hulp (overig)'!$C$16 &amp; "'!A1:A1000"),
                    0
                )) *
                IF(
                    T229="",
                    1,
                    (ROW(INDIRECT("'" &amp; 'Hulp (overig)'!$C$16 &amp; "'!B1:B1000")) &lt; MATCH(
                        T229,
                        INDIRECT("'" &amp; 'Hulp (overig)'!$C$16 &amp; "'!A1:A1000"),
                        0
                    ))
                ),
                ROW(INDIRECT("'" &amp; 'Hulp (overig)'!$C$16 &amp; "'!B1:B1000"))
            )
        ),0)
    )=0,"",
INDEX(
        INDIRECT("'" &amp; 'Hulp (overig)'!$C$16 &amp; "'!" &amp;
        'Hulp (overig)'!$C$17 &amp; "1:" &amp; 'Hulp (overig)'!$C$17 &amp; 1000
        ),
        IFERROR(MIN(
            IF(
                (TRIM(INDIRECT("'" &amp; 'Hulp (overig)'!$C$16 &amp; "'!B1:B1000")) = TEXT(S231,"0")) *
                (ROW(INDIRECT("'" &amp; 'Hulp (overig)'!$C$16 &amp; "'!B1:B1000")) &gt;= MATCH(
                    S229,
                    INDIRECT("'" &amp; 'Hulp (overig)'!$C$16 &amp; "'!A1:A1000"),
                    0
                )) *
                IF(
                    T229="",
                    1,
                    (ROW(INDIRECT("'" &amp; 'Hulp (overig)'!$C$16 &amp; "'!B1:B1000")) &lt; MATCH(
                        T229,
                        INDIRECT("'" &amp; 'Hulp (overig)'!$C$16 &amp; "'!A1:A1000"),
                        0
                    ))
                ),
                ROW(INDIRECT("'" &amp; 'Hulp (overig)'!$C$16 &amp; "'!B1:B1000"))
            )
        ),0)
    ))
))))</f>
        <v>#VALUE!</v>
      </c>
      <c r="T232" s="425" t="e" cm="1">
        <f t="array" aca="1" ref="T232" ca="1">IF($BF232, IF(T229="","",
   INDEX(
      INDIRECT("'" &amp; 'Hulp (CAO''s)'!$AE$8 &amp; "'!" &amp;
               'Hulp (overig)'!$C$17 &amp; "1:" &amp;
               'Hulp (overig)'!$C$17 &amp; "1000"),
      MATCH(
         T229,
         INDIRECT("'" &amp; 'Hulp (CAO''s)'!$AE$8 &amp; "'!A1:A1000"),
         0
      )
   )
), IF($D230="Gebruik % van maximum salaris",
IF(
    OR(T229="",T230=""),
    "",
    MAX(
        INDIRECT(
            "'" &amp; 'Hulp (overig)'!$C$16 &amp; "'!" &amp;
            'Hulp (overig)'!$C$17 &amp;
            MATCH(T229, INDIRECT("'" &amp; 'Hulp (overig)'!$C$16 &amp; "'!A1:A1000"), 0) &amp;
            ":" &amp;
            'Hulp (overig)'!$C$17 &amp;
LOOKUP(
    2,
    1 / (
        (ROW(INDIRECT("'" &amp; 'Hulp (overig)'!$C$16 &amp; "'!B1:B1000")) &lt;
            IF(U229&lt;&gt;"",
               MATCH(U229, INDIRECT("'" &amp; 'Hulp (overig)'!$C$16 &amp; "'!A1:A1000"),0),
               1000
            )
        ) *
        (LEFT(TRIM(INDIRECT("'" &amp; 'Hulp (overig)'!$C$16 &amp; "'!B1:B1000")),1) &lt;&gt; "u")
    ),
    ROW(INDIRECT("'" &amp; 'Hulp (overig)'!$C$16 &amp; "'!B1:B1000"))
)
        )
    ) * T230
),
IF(T231="","",
IF(
    IFERROR(MIN(
        IF(
            (TRIM(INDIRECT("'" &amp; 'Hulp (overig)'!$C$16 &amp; "'!B1:B1000")) = TEXT(T231,"0")) *
            (ROW(INDIRECT("'" &amp; 'Hulp (overig)'!$C$16 &amp; "'!B1:B1000")) &gt;= MATCH(
                T229,
                INDIRECT("'" &amp; 'Hulp (overig)'!$C$16 &amp; "'!A1:A1000"),
                0
            )) *
            IF(
                U229="",
                1,
                (ROW(INDIRECT("'" &amp; 'Hulp (overig)'!$C$16 &amp; "'!B1:B1000")) &lt; MATCH(
                    U229,
                    INDIRECT("'" &amp; 'Hulp (overig)'!$C$16 &amp; "'!A1:A1000"),
                    0
                ))
            ),
            ROW(INDIRECT("'" &amp; 'Hulp (overig)'!$C$16 &amp; "'!B1:B1000"))
        )
    ),0) &lt; 1,
    "",
    IF(INDEX(
        INDIRECT("'" &amp; 'Hulp (overig)'!$C$16 &amp; "'!" &amp;
        'Hulp (overig)'!$C$17 &amp; "1:" &amp; 'Hulp (overig)'!$C$17 &amp; 1000
        ),
        IFERROR(MIN(
            IF(
                (TRIM(INDIRECT("'" &amp; 'Hulp (overig)'!$C$16 &amp; "'!B1:B1000")) = TEXT(T231,"0")) *
                (ROW(INDIRECT("'" &amp; 'Hulp (overig)'!$C$16 &amp; "'!B1:B1000")) &gt;= MATCH(
                    T229,
                    INDIRECT("'" &amp; 'Hulp (overig)'!$C$16 &amp; "'!A1:A1000"),
                    0
                )) *
                IF(
                    U229="",
                    1,
                    (ROW(INDIRECT("'" &amp; 'Hulp (overig)'!$C$16 &amp; "'!B1:B1000")) &lt; MATCH(
                        U229,
                        INDIRECT("'" &amp; 'Hulp (overig)'!$C$16 &amp; "'!A1:A1000"),
                        0
                    ))
                ),
                ROW(INDIRECT("'" &amp; 'Hulp (overig)'!$C$16 &amp; "'!B1:B1000"))
            )
        ),0)
    )=0,"",
INDEX(
        INDIRECT("'" &amp; 'Hulp (overig)'!$C$16 &amp; "'!" &amp;
        'Hulp (overig)'!$C$17 &amp; "1:" &amp; 'Hulp (overig)'!$C$17 &amp; 1000
        ),
        IFERROR(MIN(
            IF(
                (TRIM(INDIRECT("'" &amp; 'Hulp (overig)'!$C$16 &amp; "'!B1:B1000")) = TEXT(T231,"0")) *
                (ROW(INDIRECT("'" &amp; 'Hulp (overig)'!$C$16 &amp; "'!B1:B1000")) &gt;= MATCH(
                    T229,
                    INDIRECT("'" &amp; 'Hulp (overig)'!$C$16 &amp; "'!A1:A1000"),
                    0
                )) *
                IF(
                    U229="",
                    1,
                    (ROW(INDIRECT("'" &amp; 'Hulp (overig)'!$C$16 &amp; "'!B1:B1000")) &lt; MATCH(
                        U229,
                        INDIRECT("'" &amp; 'Hulp (overig)'!$C$16 &amp; "'!A1:A1000"),
                        0
                    ))
                ),
                ROW(INDIRECT("'" &amp; 'Hulp (overig)'!$C$16 &amp; "'!B1:B1000"))
            )
        ),0)
    ))
))))</f>
        <v>#VALUE!</v>
      </c>
      <c r="U232" s="723" t="e" cm="1">
        <f t="array" aca="1" ref="U232" ca="1">IF($BF232, IF(U229="","",
   INDEX(
      INDIRECT("'" &amp; 'Hulp (CAO''s)'!$AE$8 &amp; "'!" &amp;
               'Hulp (overig)'!$C$17 &amp; "1:" &amp;
               'Hulp (overig)'!$C$17 &amp; "1000"),
      MATCH(
         U229,
         INDIRECT("'" &amp; 'Hulp (CAO''s)'!$AE$8 &amp; "'!A1:A1000"),
         0
      )
   )
), IF($D230="Gebruik % van maximum salaris",
IF(
    OR(U229="",U230=""),
    "",
    MAX(
        INDIRECT(
            "'" &amp; 'Hulp (overig)'!$C$16 &amp; "'!" &amp;
            'Hulp (overig)'!$C$17 &amp;
            MATCH(U229, INDIRECT("'" &amp; 'Hulp (overig)'!$C$16 &amp; "'!A1:A1000"), 0) &amp;
            ":" &amp;
            'Hulp (overig)'!$C$17 &amp;
LOOKUP(
    2,
    1 / (
        (ROW(INDIRECT("'" &amp; 'Hulp (overig)'!$C$16 &amp; "'!B1:B1000")) &lt;
            IF(V229&lt;&gt;"",
               MATCH(V229, INDIRECT("'" &amp; 'Hulp (overig)'!$C$16 &amp; "'!A1:A1000"),0),
               1000
            )
        ) *
        (LEFT(TRIM(INDIRECT("'" &amp; 'Hulp (overig)'!$C$16 &amp; "'!B1:B1000")),1) &lt;&gt; "u")
    ),
    ROW(INDIRECT("'" &amp; 'Hulp (overig)'!$C$16 &amp; "'!B1:B1000"))
)
        )
    ) * U230
),
IF(U231="","",
IF(
    IFERROR(MIN(
        IF(
            (TRIM(INDIRECT("'" &amp; 'Hulp (overig)'!$C$16 &amp; "'!B1:B1000")) = TEXT(U231,"0")) *
            (ROW(INDIRECT("'" &amp; 'Hulp (overig)'!$C$16 &amp; "'!B1:B1000")) &gt;= MATCH(
                U229,
                INDIRECT("'" &amp; 'Hulp (overig)'!$C$16 &amp; "'!A1:A1000"),
                0
            )) *
            IF(
                V229="",
                1,
                (ROW(INDIRECT("'" &amp; 'Hulp (overig)'!$C$16 &amp; "'!B1:B1000")) &lt; MATCH(
                    V229,
                    INDIRECT("'" &amp; 'Hulp (overig)'!$C$16 &amp; "'!A1:A1000"),
                    0
                ))
            ),
            ROW(INDIRECT("'" &amp; 'Hulp (overig)'!$C$16 &amp; "'!B1:B1000"))
        )
    ),0) &lt; 1,
    "",
    IF(INDEX(
        INDIRECT("'" &amp; 'Hulp (overig)'!$C$16 &amp; "'!" &amp;
        'Hulp (overig)'!$C$17 &amp; "1:" &amp; 'Hulp (overig)'!$C$17 &amp; 1000
        ),
        IFERROR(MIN(
            IF(
                (TRIM(INDIRECT("'" &amp; 'Hulp (overig)'!$C$16 &amp; "'!B1:B1000")) = TEXT(U231,"0")) *
                (ROW(INDIRECT("'" &amp; 'Hulp (overig)'!$C$16 &amp; "'!B1:B1000")) &gt;= MATCH(
                    U229,
                    INDIRECT("'" &amp; 'Hulp (overig)'!$C$16 &amp; "'!A1:A1000"),
                    0
                )) *
                IF(
                    V229="",
                    1,
                    (ROW(INDIRECT("'" &amp; 'Hulp (overig)'!$C$16 &amp; "'!B1:B1000")) &lt; MATCH(
                        V229,
                        INDIRECT("'" &amp; 'Hulp (overig)'!$C$16 &amp; "'!A1:A1000"),
                        0
                    ))
                ),
                ROW(INDIRECT("'" &amp; 'Hulp (overig)'!$C$16 &amp; "'!B1:B1000"))
            )
        ),0)
    )=0,"",
INDEX(
        INDIRECT("'" &amp; 'Hulp (overig)'!$C$16 &amp; "'!" &amp;
        'Hulp (overig)'!$C$17 &amp; "1:" &amp; 'Hulp (overig)'!$C$17 &amp; 1000
        ),
        IFERROR(MIN(
            IF(
                (TRIM(INDIRECT("'" &amp; 'Hulp (overig)'!$C$16 &amp; "'!B1:B1000")) = TEXT(U231,"0")) *
                (ROW(INDIRECT("'" &amp; 'Hulp (overig)'!$C$16 &amp; "'!B1:B1000")) &gt;= MATCH(
                    U229,
                    INDIRECT("'" &amp; 'Hulp (overig)'!$C$16 &amp; "'!A1:A1000"),
                    0
                )) *
                IF(
                    V229="",
                    1,
                    (ROW(INDIRECT("'" &amp; 'Hulp (overig)'!$C$16 &amp; "'!B1:B1000")) &lt; MATCH(
                        V229,
                        INDIRECT("'" &amp; 'Hulp (overig)'!$C$16 &amp; "'!A1:A1000"),
                        0
                    ))
                ),
                ROW(INDIRECT("'" &amp; 'Hulp (overig)'!$C$16 &amp; "'!B1:B1000"))
            )
        ),0)
    ))
))))</f>
        <v>#VALUE!</v>
      </c>
      <c r="V232" s="413" t="str" cm="1">
        <f t="array" ref="V232">IF(SUM(F233:U233)=0,"",
IF(SUM(F232:U232)=0,"",
IF(SUMPRODUCT((F233:U233&lt;&gt;0)*(F232:U232=""))&gt;0,"",
(
   SUMPRODUCT(
      IF(F232:U232="",0,F232:U232),
      IF(F233:U233="",0,F233:U233) / SUM(F233:U233)
   )
))))</f>
        <v/>
      </c>
      <c r="W232" s="418"/>
      <c r="X232" s="620"/>
      <c r="Y232" s="419" t="str">
        <f ca="1">IF(B229="","",
        IF(INDIRECT("'Hulp (control forms)'!C" &amp; (13 + INT((ROW()-ROW($B$5))/7))),
            IF(X232="","",X232),
            IF(V232="","",V232)
    )
)</f>
        <v/>
      </c>
      <c r="Z232" s="333"/>
      <c r="AA232" s="771"/>
      <c r="AB232" s="770"/>
      <c r="AC232" s="289"/>
      <c r="AD232" s="289"/>
      <c r="AE232" s="289"/>
      <c r="AF232" s="289"/>
      <c r="AG232" s="289"/>
      <c r="AH232" s="289"/>
      <c r="AI232" s="289"/>
      <c r="AJ232" s="289"/>
      <c r="AK232" s="289"/>
      <c r="AL232" s="289"/>
      <c r="AM232" s="289"/>
      <c r="AN232" s="289"/>
      <c r="AO232" s="289"/>
      <c r="AP232" s="289"/>
      <c r="AQ232" s="289"/>
      <c r="AR232" s="289"/>
      <c r="AS232" s="289"/>
      <c r="AT232" s="289"/>
      <c r="AU232" s="289"/>
      <c r="AV232" s="289"/>
      <c r="AW232" s="289"/>
      <c r="AX232" s="289"/>
      <c r="AY232" s="289"/>
      <c r="AZ232" s="289"/>
      <c r="BA232" cm="1">
        <f t="array" aca="1" ref="BA232" ca="1">IF(
   SUM(Y232)=0,
   1,
   IF(
      N(INDIRECT("'Hulp (control forms)'!C"&amp;(13+INT((ROW()-ROW($B$5))/7))))&lt;&gt;0,
      MIN(1,
      ('Hulp (overig)'!$C$6/12) /
      (Y232 * BC232 + BD232)),
      MIN(1,
         IF(
            SUM(F232:U232)=0,
            "",
            SUMPRODUCT(
               IF(
                  (IF(F232:U232="",0,F232:U232) * BC232) + BD232
                  &gt; 'Hulp (overig)'!$C$6/12,
                  'Hulp (overig)'!$C$6/12,
                  (IF(F232:U232="",0,F232:U232) * BC232) + BD232
               ),
               IF(F233:U233="",0,F233:U233) / SUM(F233:U233)
            )
         ) /
         ((Y232 * BC232) + BD232)
      )
   )
)</f>
        <v>1</v>
      </c>
      <c r="BB232" cm="1">
        <f t="array" aca="1" ref="BB232" ca="1">IF(
   SUM(Y232)=0,
   1,
   IF(
      N(INDIRECT("'Hulp (control forms)'!C"&amp;(13+INT((ROW()-ROW($B$5))/7))))&lt;&gt;0,
      MIN('Hulp (overig)'!$C$5/12,
      (Y232 * BC232) + BD232) * 12,
         IF(
            SUM(F232:U232)=0,
            "",
            SUMPRODUCT(
               IF(
                  (IF(F232:U232="",0,F232:U232) * BC232) + BD232
                  &gt; 'Hulp (overig)'!$C$5/12,
                  'Hulp (overig)'!$C$5/12,
                  (IF(F232:U232="",0,F232:U232) * BC232) + BD232
               ),
               IF(F233:U233="",0,F233:U233) / SUM(F233:U233)
            )
         ) * 12
   )
)</f>
        <v>1</v>
      </c>
      <c r="BC232" s="287" cm="1">
        <f t="array" aca="1" ref="BC232" ca="1">IFERROR(
   (INDEX('2. Output kostprijs'!$24:$24, 5 + 2*INT((ROW()-8)/7))
    - SUM(INDEX('2. Output kostprijs'!$23:$23, 5 + 2*INT((ROW()-8)/7))))
   / INDEX('2. Output kostprijs'!$19:$19, 5 + 2*INT((ROW()-8)/7)),
   1
)</f>
        <v>1</v>
      </c>
      <c r="BD232" s="287" cm="1">
        <f t="array" aca="1" ref="BD232" ca="1">IFERROR(
   (INDEX('2. Output kostprijs'!$23:$23, 5 + 2*INT((ROW()-8)/7))
    * INDEX('2. Output kostprijs'!$18:$18, 5 + 2*INT((ROW()-8)/7))
   ) / 12,
   0
)</f>
        <v>0</v>
      </c>
      <c r="BE232" t="b">
        <f ca="1">NOT(AND(B229&lt;&gt;"",Y232=""))</f>
        <v>1</v>
      </c>
      <c r="BF232" t="str" cm="1">
        <f t="array" aca="1" ref="BF232" ca="1">INDIRECT("'1a. Input organisatieniveau'!$AD" &amp; 7 + INT((ROW()-ROW($F$8))/7))</f>
        <v/>
      </c>
      <c r="BG232" t="b" cm="1">
        <f t="array" ref="BG232">IFERROR(INDEX('Hulp (control forms)'!C:C, 13 + INT((ROW(A225)-1)/7)),FALSE)</f>
        <v>0</v>
      </c>
    </row>
    <row r="233" spans="1:59" ht="16.05" customHeight="1" thickBot="1" x14ac:dyDescent="0.5">
      <c r="A233" s="289"/>
      <c r="B233" s="343"/>
      <c r="C233" s="325" t="s">
        <v>779</v>
      </c>
      <c r="D233" s="688" t="s">
        <v>60</v>
      </c>
      <c r="E233" s="433" t="s">
        <v>59</v>
      </c>
      <c r="F233" s="624"/>
      <c r="G233" s="624"/>
      <c r="H233" s="624"/>
      <c r="I233" s="624"/>
      <c r="J233" s="624"/>
      <c r="K233" s="624"/>
      <c r="L233" s="624"/>
      <c r="M233" s="624"/>
      <c r="N233" s="624"/>
      <c r="O233" s="624"/>
      <c r="P233" s="624"/>
      <c r="Q233" s="624"/>
      <c r="R233" s="624"/>
      <c r="S233" s="624"/>
      <c r="T233" s="624"/>
      <c r="U233" s="625"/>
      <c r="V233" s="420" t="str">
        <f ca="1">IF($B229="","",IF($D233="Aandeel in %",
   "Totaal: "&amp;SUM(F233:U233)*100&amp;"%",
   "Totaal: "&amp;SUM(F233:U233)&amp;" uur"
))</f>
        <v/>
      </c>
      <c r="W233" s="294"/>
      <c r="X233" s="621"/>
      <c r="Y233" s="328"/>
      <c r="Z233" s="329"/>
      <c r="AA233" s="289"/>
      <c r="AB233" s="289"/>
      <c r="AC233" s="289"/>
      <c r="AD233" s="289"/>
      <c r="AE233" s="289"/>
      <c r="AF233" s="289"/>
      <c r="AG233" s="289"/>
      <c r="AH233" s="289"/>
      <c r="AI233" s="289"/>
      <c r="AJ233" s="289"/>
      <c r="AK233" s="289"/>
      <c r="AL233" s="289"/>
      <c r="AM233" s="289"/>
      <c r="AN233" s="289"/>
      <c r="AO233" s="289"/>
      <c r="AP233" s="289"/>
      <c r="AQ233" s="289"/>
      <c r="AR233" s="289"/>
      <c r="AS233" s="289"/>
      <c r="AT233" s="289"/>
      <c r="AU233" s="289"/>
      <c r="AV233" s="289"/>
      <c r="AW233" s="289"/>
      <c r="AX233" s="289"/>
      <c r="AY233" s="289"/>
      <c r="AZ233" s="289"/>
    </row>
    <row r="234" spans="1:59" ht="16.05" customHeight="1" thickBot="1" x14ac:dyDescent="0.5">
      <c r="A234" s="289"/>
      <c r="B234" s="343"/>
      <c r="C234" s="326" t="s">
        <v>779</v>
      </c>
      <c r="D234" s="421"/>
      <c r="E234" s="426"/>
      <c r="F234" s="426"/>
      <c r="G234" s="426"/>
      <c r="H234" s="426"/>
      <c r="I234" s="426"/>
      <c r="J234" s="426"/>
      <c r="K234" s="426"/>
      <c r="L234" s="426"/>
      <c r="M234" s="426"/>
      <c r="N234" s="426"/>
      <c r="O234" s="426"/>
      <c r="P234" s="426"/>
      <c r="Q234" s="426"/>
      <c r="R234" s="426"/>
      <c r="S234" s="426"/>
      <c r="T234" s="427"/>
      <c r="U234" s="427"/>
      <c r="V234" s="421"/>
      <c r="W234" s="421"/>
      <c r="X234" s="622"/>
      <c r="Y234" s="421"/>
      <c r="Z234" s="327"/>
      <c r="AA234" s="289"/>
      <c r="AB234" s="289"/>
      <c r="AC234" s="289"/>
      <c r="AD234" s="289"/>
      <c r="AE234" s="289"/>
      <c r="AF234" s="289"/>
      <c r="AG234" s="289"/>
      <c r="AH234" s="289"/>
      <c r="AI234" s="289"/>
      <c r="AJ234" s="289"/>
      <c r="AK234" s="289"/>
      <c r="AL234" s="289"/>
      <c r="AM234" s="289"/>
      <c r="AN234" s="289"/>
      <c r="AO234" s="289"/>
      <c r="AP234" s="289"/>
      <c r="AQ234" s="289"/>
      <c r="AR234" s="289"/>
      <c r="AS234" s="289"/>
      <c r="AT234" s="289"/>
      <c r="AU234" s="289"/>
      <c r="AV234" s="289"/>
      <c r="AW234" s="289"/>
      <c r="AX234" s="289"/>
      <c r="AY234" s="289"/>
      <c r="AZ234" s="289"/>
    </row>
    <row r="235" spans="1:59" ht="16.05" customHeight="1" thickBot="1" x14ac:dyDescent="0.55000000000000004">
      <c r="A235" s="289"/>
      <c r="B235" s="585" t="str">
        <f ca="1">IF(B236="","",
IF(
   OR(
      INDIRECT("'1a. Input organisatieniveau'!AC" &amp; (7 + INT((ROW()-4)/7)))="",
      INDIRECT("'1a. Input organisatieniveau'!AC" &amp; (7 + INT((ROW()-4)/7)))=0
   ),
   "",
   INDIRECT("'1a. Input organisatieniveau'!AC" &amp; (7 + INT((ROW()-4)/7)))
))</f>
        <v/>
      </c>
      <c r="C235" s="324" t="s">
        <v>779</v>
      </c>
      <c r="D235" s="416"/>
      <c r="E235" s="428"/>
      <c r="F235" s="422" t="str">
        <f t="shared" ref="F235:U235" ca="1" si="33">IF($B236="","",
IF($D237="Gebruik % van maximum salaris",
 IF(OR(AND(AND(F236&lt;&gt;"",F237&lt;&gt;""),F239=""),AND(F239="",F240&lt;&gt;"")),"!",""),
 IF(OR(AND(AND(F236&lt;&gt;"",F238&lt;&gt;""),F239=""),AND(F239="",F240&lt;&gt;"")),"!","")))</f>
        <v/>
      </c>
      <c r="G235" s="422" t="str">
        <f t="shared" ca="1" si="33"/>
        <v/>
      </c>
      <c r="H235" s="422" t="str">
        <f t="shared" ca="1" si="33"/>
        <v/>
      </c>
      <c r="I235" s="422" t="str">
        <f t="shared" ca="1" si="33"/>
        <v/>
      </c>
      <c r="J235" s="422" t="str">
        <f t="shared" ca="1" si="33"/>
        <v/>
      </c>
      <c r="K235" s="422" t="str">
        <f t="shared" ca="1" si="33"/>
        <v/>
      </c>
      <c r="L235" s="422" t="str">
        <f t="shared" ca="1" si="33"/>
        <v/>
      </c>
      <c r="M235" s="422" t="str">
        <f t="shared" ca="1" si="33"/>
        <v/>
      </c>
      <c r="N235" s="422" t="str">
        <f t="shared" ca="1" si="33"/>
        <v/>
      </c>
      <c r="O235" s="422" t="str">
        <f t="shared" ca="1" si="33"/>
        <v/>
      </c>
      <c r="P235" s="422" t="str">
        <f t="shared" ca="1" si="33"/>
        <v/>
      </c>
      <c r="Q235" s="422" t="str">
        <f t="shared" ca="1" si="33"/>
        <v/>
      </c>
      <c r="R235" s="422" t="str">
        <f t="shared" ca="1" si="33"/>
        <v/>
      </c>
      <c r="S235" s="422" t="str">
        <f t="shared" ca="1" si="33"/>
        <v/>
      </c>
      <c r="T235" s="422" t="str">
        <f t="shared" ca="1" si="33"/>
        <v/>
      </c>
      <c r="U235" s="422" t="str">
        <f t="shared" ca="1" si="33"/>
        <v/>
      </c>
      <c r="V235" s="416"/>
      <c r="W235" s="416"/>
      <c r="X235" s="619"/>
      <c r="Y235" s="416"/>
      <c r="Z235" s="330"/>
      <c r="AA235" s="354"/>
      <c r="AB235" s="289"/>
      <c r="AC235" s="289"/>
      <c r="AD235" s="289"/>
      <c r="AE235" s="289"/>
      <c r="AF235" s="289"/>
      <c r="AG235" s="289"/>
      <c r="AH235" s="289"/>
      <c r="AI235" s="289"/>
      <c r="AJ235" s="289"/>
      <c r="AK235" s="289"/>
      <c r="AL235" s="289"/>
      <c r="AM235" s="289"/>
      <c r="AN235" s="289"/>
      <c r="AO235" s="289"/>
      <c r="AP235" s="289"/>
      <c r="AQ235" s="289"/>
      <c r="AR235" s="289"/>
      <c r="AS235" s="289"/>
      <c r="AT235" s="289"/>
      <c r="AU235" s="289"/>
      <c r="AV235" s="289"/>
      <c r="AW235" s="289"/>
      <c r="AX235" s="289"/>
      <c r="AY235" s="289"/>
      <c r="AZ235" s="289"/>
    </row>
    <row r="236" spans="1:59" ht="16.05" customHeight="1" thickBot="1" x14ac:dyDescent="0.5">
      <c r="A236" s="289"/>
      <c r="B236" s="586" t="str">
        <f ca="1">IF(
   OR(
      INDIRECT("'1a. Input organisatieniveau'!AA" &amp; (7 + INT((ROW()-4)/7)))="",
      INDIRECT("'1a. Input organisatieniveau'!AA" &amp; (7 + INT((ROW()-4)/7)))=0
   ),
   "",
   INDIRECT("'1a. Input organisatieniveau'!AA" &amp; (7 + INT((ROW()-4)/7)))
)</f>
        <v/>
      </c>
      <c r="C236" s="325" t="s">
        <v>779</v>
      </c>
      <c r="D236" s="434"/>
      <c r="E236" s="429" t="s">
        <v>28</v>
      </c>
      <c r="F236" s="423" t="str">
        <f ca="1">IF($B236="", "", IF($BF239, IF('Hulp (CAO''s)'!J$8&lt;&gt;"",'Hulp (CAO''s)'!J$8,""), INDEX('Hulp (CAO''s)'!J$3:J$7, MATCH(TRUE, 'Hulp (CAO''s)'!$D$3:$D$7, 0))))</f>
        <v/>
      </c>
      <c r="G236" s="423" t="str">
        <f ca="1">IF($B236="", "", IF($BF239, IF('Hulp (CAO''s)'!K$8&lt;&gt;"",'Hulp (CAO''s)'!K$8,""), INDEX('Hulp (CAO''s)'!K$3:K$7, MATCH(TRUE, 'Hulp (CAO''s)'!$D$3:$D$7, 0))))</f>
        <v/>
      </c>
      <c r="H236" s="423" t="str">
        <f ca="1">IF($B236="", "", IF($BF239, IF('Hulp (CAO''s)'!L$8&lt;&gt;"",'Hulp (CAO''s)'!L$8,""), INDEX('Hulp (CAO''s)'!L$3:L$7, MATCH(TRUE, 'Hulp (CAO''s)'!$D$3:$D$7, 0))))</f>
        <v/>
      </c>
      <c r="I236" s="423" t="str">
        <f ca="1">IF($B236="", "", IF($BF239, IF('Hulp (CAO''s)'!M$8&lt;&gt;"",'Hulp (CAO''s)'!M$8,""), INDEX('Hulp (CAO''s)'!M$3:M$7, MATCH(TRUE, 'Hulp (CAO''s)'!$D$3:$D$7, 0))))</f>
        <v/>
      </c>
      <c r="J236" s="423" t="str">
        <f ca="1">IF($B236="", "", IF($BF239, IF('Hulp (CAO''s)'!N$8&lt;&gt;"",'Hulp (CAO''s)'!N$8,""), INDEX('Hulp (CAO''s)'!N$3:N$7, MATCH(TRUE, 'Hulp (CAO''s)'!$D$3:$D$7, 0))))</f>
        <v/>
      </c>
      <c r="K236" s="423" t="str">
        <f ca="1">IF($B236="", "", IF($BF239, IF('Hulp (CAO''s)'!O$8&lt;&gt;"",'Hulp (CAO''s)'!O$8,""), INDEX('Hulp (CAO''s)'!O$3:O$7, MATCH(TRUE, 'Hulp (CAO''s)'!$D$3:$D$7, 0))))</f>
        <v/>
      </c>
      <c r="L236" s="423" t="str">
        <f ca="1">IF($B236="", "", IF($BF239, IF('Hulp (CAO''s)'!P$8&lt;&gt;"",'Hulp (CAO''s)'!P$8,""), INDEX('Hulp (CAO''s)'!P$3:P$7, MATCH(TRUE, 'Hulp (CAO''s)'!$D$3:$D$7, 0))))</f>
        <v/>
      </c>
      <c r="M236" s="423" t="str">
        <f ca="1">IF($B236="", "", IF($BF239, IF('Hulp (CAO''s)'!Q$8&lt;&gt;"",'Hulp (CAO''s)'!Q$8,""), INDEX('Hulp (CAO''s)'!Q$3:Q$7, MATCH(TRUE, 'Hulp (CAO''s)'!$D$3:$D$7, 0))))</f>
        <v/>
      </c>
      <c r="N236" s="423" t="str">
        <f ca="1">IF($B236="", "", IF($BF239, IF('Hulp (CAO''s)'!R$8&lt;&gt;"",'Hulp (CAO''s)'!R$8,""), INDEX('Hulp (CAO''s)'!R$3:R$7, MATCH(TRUE, 'Hulp (CAO''s)'!$D$3:$D$7, 0))))</f>
        <v/>
      </c>
      <c r="O236" s="423" t="str">
        <f ca="1">IF($B236="", "", IF($BF239, IF('Hulp (CAO''s)'!S$8&lt;&gt;"",'Hulp (CAO''s)'!S$8,""), INDEX('Hulp (CAO''s)'!S$3:S$7, MATCH(TRUE, 'Hulp (CAO''s)'!$D$3:$D$7, 0))))</f>
        <v/>
      </c>
      <c r="P236" s="423" t="str">
        <f ca="1">IF($B236="", "", IF($BF239, IF('Hulp (CAO''s)'!T$8&lt;&gt;"",'Hulp (CAO''s)'!T$8,""), INDEX('Hulp (CAO''s)'!T$3:T$7, MATCH(TRUE, 'Hulp (CAO''s)'!$D$3:$D$7, 0))))</f>
        <v/>
      </c>
      <c r="Q236" s="423" t="str">
        <f ca="1">IF($B236="", "", IF($BF239, IF('Hulp (CAO''s)'!U$8&lt;&gt;"",'Hulp (CAO''s)'!U$8,""), INDEX('Hulp (CAO''s)'!U$3:U$7, MATCH(TRUE, 'Hulp (CAO''s)'!$D$3:$D$7, 0))))</f>
        <v/>
      </c>
      <c r="R236" s="423" t="str">
        <f ca="1">IF($B236="", "", IF($BF239, IF('Hulp (CAO''s)'!V$8&lt;&gt;"",'Hulp (CAO''s)'!V$8,""), INDEX('Hulp (CAO''s)'!V$3:V$7, MATCH(TRUE, 'Hulp (CAO''s)'!$D$3:$D$7, 0))))</f>
        <v/>
      </c>
      <c r="S236" s="423" t="str">
        <f ca="1">IF($B236="", "", IF($BF239, IF('Hulp (CAO''s)'!W$8&lt;&gt;"",'Hulp (CAO''s)'!W$8,""), INDEX('Hulp (CAO''s)'!W$3:W$7, MATCH(TRUE, 'Hulp (CAO''s)'!$D$3:$D$7, 0))))</f>
        <v/>
      </c>
      <c r="T236" s="423" t="str">
        <f ca="1">IF($B236="", "", IF($BF239, IF('Hulp (CAO''s)'!X$8&lt;&gt;"",'Hulp (CAO''s)'!X$8,""), INDEX('Hulp (CAO''s)'!X$3:X$7, MATCH(TRUE, 'Hulp (CAO''s)'!$D$3:$D$7, 0))))</f>
        <v/>
      </c>
      <c r="U236" s="424" t="str">
        <f ca="1">IF($B236="", "", IF($BF239, IF('Hulp (CAO''s)'!Y$8&lt;&gt;"",'Hulp (CAO''s)'!Y$8,""), INDEX('Hulp (CAO''s)'!Y$3:Y$7, MATCH(TRUE, 'Hulp (CAO''s)'!$D$3:$D$7, 0))))</f>
        <v/>
      </c>
      <c r="V236" s="417"/>
      <c r="W236" s="343"/>
      <c r="X236" s="617"/>
      <c r="Y236" s="343"/>
      <c r="Z236" s="329"/>
      <c r="AA236" s="320"/>
      <c r="AB236" s="289"/>
      <c r="AC236" s="289"/>
      <c r="AD236" s="289"/>
      <c r="AE236" s="289"/>
      <c r="AF236" s="289"/>
      <c r="AG236" s="289"/>
      <c r="AH236" s="289"/>
      <c r="AI236" s="289"/>
      <c r="AJ236" s="289"/>
      <c r="AK236" s="289"/>
      <c r="AL236" s="289"/>
      <c r="AM236" s="289"/>
      <c r="AN236" s="289"/>
      <c r="AO236" s="289"/>
      <c r="AP236" s="289"/>
      <c r="AQ236" s="289"/>
      <c r="AR236" s="289"/>
      <c r="AS236" s="289"/>
      <c r="AT236" s="289"/>
      <c r="AU236" s="289"/>
      <c r="AV236" s="289"/>
      <c r="AW236" s="289"/>
      <c r="AX236" s="289"/>
      <c r="AY236" s="289"/>
      <c r="AZ236" s="289"/>
    </row>
    <row r="237" spans="1:59" ht="16.05" customHeight="1" x14ac:dyDescent="0.45">
      <c r="A237" s="289"/>
      <c r="B237" s="343"/>
      <c r="C237" s="325" t="s">
        <v>779</v>
      </c>
      <c r="D237" s="772" t="s">
        <v>772</v>
      </c>
      <c r="E237" s="430" t="e">
        <f ca="1">IF($BF239, "", "% t.o.v. max salaris in de schaal")</f>
        <v>#VALUE!</v>
      </c>
      <c r="F237" s="615"/>
      <c r="G237" s="615"/>
      <c r="H237" s="615"/>
      <c r="I237" s="615"/>
      <c r="J237" s="615"/>
      <c r="K237" s="615"/>
      <c r="L237" s="615"/>
      <c r="M237" s="615"/>
      <c r="N237" s="615"/>
      <c r="O237" s="615"/>
      <c r="P237" s="615"/>
      <c r="Q237" s="615"/>
      <c r="R237" s="615"/>
      <c r="S237" s="615"/>
      <c r="T237" s="615"/>
      <c r="U237" s="616"/>
      <c r="V237" s="774" t="s">
        <v>884</v>
      </c>
      <c r="W237" s="332"/>
      <c r="X237" s="776" t="s">
        <v>882</v>
      </c>
      <c r="Y237" s="778" t="s">
        <v>883</v>
      </c>
      <c r="Z237" s="329"/>
      <c r="AA237" s="771" t="s">
        <v>780</v>
      </c>
      <c r="AB237" s="770" t="s">
        <v>1079</v>
      </c>
      <c r="AC237" s="289"/>
      <c r="AD237" s="289"/>
      <c r="AE237" s="289"/>
      <c r="AF237" s="289"/>
      <c r="AG237" s="289"/>
      <c r="AH237" s="289"/>
      <c r="AI237" s="289"/>
      <c r="AJ237" s="289"/>
      <c r="AK237" s="289"/>
      <c r="AL237" s="289"/>
      <c r="AM237" s="289"/>
      <c r="AN237" s="289"/>
      <c r="AO237" s="289"/>
      <c r="AP237" s="289"/>
      <c r="AQ237" s="289"/>
      <c r="AR237" s="289"/>
      <c r="AS237" s="289"/>
      <c r="AT237" s="289"/>
      <c r="AU237" s="289"/>
      <c r="AV237" s="289"/>
      <c r="AW237" s="289"/>
      <c r="AX237" s="289"/>
      <c r="AY237" s="289"/>
      <c r="AZ237" s="289"/>
    </row>
    <row r="238" spans="1:59" ht="16.05" customHeight="1" thickBot="1" x14ac:dyDescent="0.5">
      <c r="A238" s="289"/>
      <c r="B238" s="343"/>
      <c r="C238" s="325" t="s">
        <v>779</v>
      </c>
      <c r="D238" s="773"/>
      <c r="E238" s="431" t="e">
        <f ca="1">IF($BF239, "", "Trede (gemiddeld)")</f>
        <v>#VALUE!</v>
      </c>
      <c r="F238" s="737"/>
      <c r="G238" s="737"/>
      <c r="H238" s="737"/>
      <c r="I238" s="737"/>
      <c r="J238" s="737"/>
      <c r="K238" s="737"/>
      <c r="L238" s="737"/>
      <c r="M238" s="737"/>
      <c r="N238" s="737"/>
      <c r="O238" s="737"/>
      <c r="P238" s="737"/>
      <c r="Q238" s="737"/>
      <c r="R238" s="737"/>
      <c r="S238" s="737"/>
      <c r="T238" s="737"/>
      <c r="U238" s="740"/>
      <c r="V238" s="775"/>
      <c r="W238" s="294"/>
      <c r="X238" s="777"/>
      <c r="Y238" s="779"/>
      <c r="Z238" s="329"/>
      <c r="AA238" s="771"/>
      <c r="AB238" s="770"/>
      <c r="AC238" s="289"/>
      <c r="AD238" s="289"/>
      <c r="AE238" s="289"/>
      <c r="AF238" s="289"/>
      <c r="AG238" s="289"/>
      <c r="AH238" s="289"/>
      <c r="AI238" s="289"/>
      <c r="AJ238" s="289"/>
      <c r="AK238" s="289"/>
      <c r="AL238" s="289"/>
      <c r="AM238" s="289"/>
      <c r="AN238" s="289"/>
      <c r="AO238" s="289"/>
      <c r="AP238" s="289"/>
      <c r="AQ238" s="289"/>
      <c r="AR238" s="289"/>
      <c r="AS238" s="289"/>
      <c r="AT238" s="289"/>
      <c r="AU238" s="289"/>
      <c r="AV238" s="289"/>
      <c r="AW238" s="289"/>
      <c r="AX238" s="289"/>
      <c r="AY238" s="289"/>
      <c r="AZ238" s="289"/>
    </row>
    <row r="239" spans="1:59" ht="16.05" customHeight="1" thickBot="1" x14ac:dyDescent="0.5">
      <c r="A239" s="289"/>
      <c r="B239" s="343"/>
      <c r="C239" s="325" t="s">
        <v>779</v>
      </c>
      <c r="E239" s="432" t="str">
        <f>IFERROR(
   INDEX('Hulp (CAO''s)'!$I$3:$I$7, MATCH(TRUE, 'Hulp (CAO''s)'!$D$3:$D$7, 0)),
"")</f>
        <v>Bruto maandsalaris</v>
      </c>
      <c r="F239" s="425" t="e" cm="1">
        <f t="array" aca="1" ref="F239" ca="1">IF($BF239, IF(F236="","",
   INDEX(
      INDIRECT("'" &amp; 'Hulp (CAO''s)'!$AE$8 &amp; "'!" &amp;
               'Hulp (overig)'!$C$17 &amp; "1:" &amp;
               'Hulp (overig)'!$C$17 &amp; "1000"),
      MATCH(
         F236,
         INDIRECT("'" &amp; 'Hulp (CAO''s)'!$AE$8 &amp; "'!A1:A1000"),
         0
      )
   )
), IF($D237="Gebruik % van maximum salaris",
IF(
    OR(F236="",F237=""),
    "",
    MAX(
        INDIRECT(
            "'" &amp; 'Hulp (overig)'!$C$16 &amp; "'!" &amp;
            'Hulp (overig)'!$C$17 &amp;
            MATCH(F236, INDIRECT("'" &amp; 'Hulp (overig)'!$C$16 &amp; "'!A1:A1000"), 0) &amp;
            ":" &amp;
            'Hulp (overig)'!$C$17 &amp;
LOOKUP(
    2,
    1 / (
        (ROW(INDIRECT("'" &amp; 'Hulp (overig)'!$C$16 &amp; "'!B1:B1000")) &lt;
            IF(G236&lt;&gt;"",
               MATCH(G236, INDIRECT("'" &amp; 'Hulp (overig)'!$C$16 &amp; "'!A1:A1000"),0),
               1000
            )
        ) *
        (LEFT(TRIM(INDIRECT("'" &amp; 'Hulp (overig)'!$C$16 &amp; "'!B1:B1000")),1) &lt;&gt; "u")
    ),
    ROW(INDIRECT("'" &amp; 'Hulp (overig)'!$C$16 &amp; "'!B1:B1000"))
)
        )
    ) * F237
),
IF(F238="","",
IF(
    IFERROR(MIN(
        IF(
            (TRIM(INDIRECT("'" &amp; 'Hulp (overig)'!$C$16 &amp; "'!B1:B1000")) = TEXT(F238,"0")) *
            (ROW(INDIRECT("'" &amp; 'Hulp (overig)'!$C$16 &amp; "'!B1:B1000")) &gt;= MATCH(
                F236,
                INDIRECT("'" &amp; 'Hulp (overig)'!$C$16 &amp; "'!A1:A1000"),
                0
            )) *
            IF(
                G236="",
                1,
                (ROW(INDIRECT("'" &amp; 'Hulp (overig)'!$C$16 &amp; "'!B1:B1000")) &lt; MATCH(
                    G236,
                    INDIRECT("'" &amp; 'Hulp (overig)'!$C$16 &amp; "'!A1:A1000"),
                    0
                ))
            ),
            ROW(INDIRECT("'" &amp; 'Hulp (overig)'!$C$16 &amp; "'!B1:B1000"))
        )
    ),0) &lt; 1,
    "",
    IF(INDEX(
        INDIRECT("'" &amp; 'Hulp (overig)'!$C$16 &amp; "'!" &amp;
        'Hulp (overig)'!$C$17 &amp; "1:" &amp; 'Hulp (overig)'!$C$17 &amp; 1000
        ),
        IFERROR(MIN(
            IF(
                (TRIM(INDIRECT("'" &amp; 'Hulp (overig)'!$C$16 &amp; "'!B1:B1000")) = TEXT(F238,"0")) *
                (ROW(INDIRECT("'" &amp; 'Hulp (overig)'!$C$16 &amp; "'!B1:B1000")) &gt;= MATCH(
                    F236,
                    INDIRECT("'" &amp; 'Hulp (overig)'!$C$16 &amp; "'!A1:A1000"),
                    0
                )) *
                IF(
                    G236="",
                    1,
                    (ROW(INDIRECT("'" &amp; 'Hulp (overig)'!$C$16 &amp; "'!B1:B1000")) &lt; MATCH(
                        G236,
                        INDIRECT("'" &amp; 'Hulp (overig)'!$C$16 &amp; "'!A1:A1000"),
                        0
                    ))
                ),
                ROW(INDIRECT("'" &amp; 'Hulp (overig)'!$C$16 &amp; "'!B1:B1000"))
            )
        ),0)
    )=0,"",
INDEX(
        INDIRECT("'" &amp; 'Hulp (overig)'!$C$16 &amp; "'!" &amp;
        'Hulp (overig)'!$C$17 &amp; "1:" &amp; 'Hulp (overig)'!$C$17 &amp; 1000
        ),
        IFERROR(MIN(
            IF(
                (TRIM(INDIRECT("'" &amp; 'Hulp (overig)'!$C$16 &amp; "'!B1:B1000")) = TEXT(F238,"0")) *
                (ROW(INDIRECT("'" &amp; 'Hulp (overig)'!$C$16 &amp; "'!B1:B1000")) &gt;= MATCH(
                    F236,
                    INDIRECT("'" &amp; 'Hulp (overig)'!$C$16 &amp; "'!A1:A1000"),
                    0
                )) *
                IF(
                    G236="",
                    1,
                    (ROW(INDIRECT("'" &amp; 'Hulp (overig)'!$C$16 &amp; "'!B1:B1000")) &lt; MATCH(
                        G236,
                        INDIRECT("'" &amp; 'Hulp (overig)'!$C$16 &amp; "'!A1:A1000"),
                        0
                    ))
                ),
                ROW(INDIRECT("'" &amp; 'Hulp (overig)'!$C$16 &amp; "'!B1:B1000"))
            )
        ),0)
    ))
))))</f>
        <v>#VALUE!</v>
      </c>
      <c r="G239" s="425" t="e" cm="1">
        <f t="array" aca="1" ref="G239" ca="1">IF($BF239, IF(G236="","",
   INDEX(
      INDIRECT("'" &amp; 'Hulp (CAO''s)'!$AE$8 &amp; "'!" &amp;
               'Hulp (overig)'!$C$17 &amp; "1:" &amp;
               'Hulp (overig)'!$C$17 &amp; "1000"),
      MATCH(
         G236,
         INDIRECT("'" &amp; 'Hulp (CAO''s)'!$AE$8 &amp; "'!A1:A1000"),
         0
      )
   )
), IF($D237="Gebruik % van maximum salaris",
IF(
    OR(G236="",G237=""),
    "",
    MAX(
        INDIRECT(
            "'" &amp; 'Hulp (overig)'!$C$16 &amp; "'!" &amp;
            'Hulp (overig)'!$C$17 &amp;
            MATCH(G236, INDIRECT("'" &amp; 'Hulp (overig)'!$C$16 &amp; "'!A1:A1000"), 0) &amp;
            ":" &amp;
            'Hulp (overig)'!$C$17 &amp;
LOOKUP(
    2,
    1 / (
        (ROW(INDIRECT("'" &amp; 'Hulp (overig)'!$C$16 &amp; "'!B1:B1000")) &lt;
            IF(H236&lt;&gt;"",
               MATCH(H236, INDIRECT("'" &amp; 'Hulp (overig)'!$C$16 &amp; "'!A1:A1000"),0),
               1000
            )
        ) *
        (LEFT(TRIM(INDIRECT("'" &amp; 'Hulp (overig)'!$C$16 &amp; "'!B1:B1000")),1) &lt;&gt; "u")
    ),
    ROW(INDIRECT("'" &amp; 'Hulp (overig)'!$C$16 &amp; "'!B1:B1000"))
)
        )
    ) * G237
),
IF(G238="","",
IF(
    IFERROR(MIN(
        IF(
            (TRIM(INDIRECT("'" &amp; 'Hulp (overig)'!$C$16 &amp; "'!B1:B1000")) = TEXT(G238,"0")) *
            (ROW(INDIRECT("'" &amp; 'Hulp (overig)'!$C$16 &amp; "'!B1:B1000")) &gt;= MATCH(
                G236,
                INDIRECT("'" &amp; 'Hulp (overig)'!$C$16 &amp; "'!A1:A1000"),
                0
            )) *
            IF(
                H236="",
                1,
                (ROW(INDIRECT("'" &amp; 'Hulp (overig)'!$C$16 &amp; "'!B1:B1000")) &lt; MATCH(
                    H236,
                    INDIRECT("'" &amp; 'Hulp (overig)'!$C$16 &amp; "'!A1:A1000"),
                    0
                ))
            ),
            ROW(INDIRECT("'" &amp; 'Hulp (overig)'!$C$16 &amp; "'!B1:B1000"))
        )
    ),0) &lt; 1,
    "",
    IF(INDEX(
        INDIRECT("'" &amp; 'Hulp (overig)'!$C$16 &amp; "'!" &amp;
        'Hulp (overig)'!$C$17 &amp; "1:" &amp; 'Hulp (overig)'!$C$17 &amp; 1000
        ),
        IFERROR(MIN(
            IF(
                (TRIM(INDIRECT("'" &amp; 'Hulp (overig)'!$C$16 &amp; "'!B1:B1000")) = TEXT(G238,"0")) *
                (ROW(INDIRECT("'" &amp; 'Hulp (overig)'!$C$16 &amp; "'!B1:B1000")) &gt;= MATCH(
                    G236,
                    INDIRECT("'" &amp; 'Hulp (overig)'!$C$16 &amp; "'!A1:A1000"),
                    0
                )) *
                IF(
                    H236="",
                    1,
                    (ROW(INDIRECT("'" &amp; 'Hulp (overig)'!$C$16 &amp; "'!B1:B1000")) &lt; MATCH(
                        H236,
                        INDIRECT("'" &amp; 'Hulp (overig)'!$C$16 &amp; "'!A1:A1000"),
                        0
                    ))
                ),
                ROW(INDIRECT("'" &amp; 'Hulp (overig)'!$C$16 &amp; "'!B1:B1000"))
            )
        ),0)
    )=0,"",
INDEX(
        INDIRECT("'" &amp; 'Hulp (overig)'!$C$16 &amp; "'!" &amp;
        'Hulp (overig)'!$C$17 &amp; "1:" &amp; 'Hulp (overig)'!$C$17 &amp; 1000
        ),
        IFERROR(MIN(
            IF(
                (TRIM(INDIRECT("'" &amp; 'Hulp (overig)'!$C$16 &amp; "'!B1:B1000")) = TEXT(G238,"0")) *
                (ROW(INDIRECT("'" &amp; 'Hulp (overig)'!$C$16 &amp; "'!B1:B1000")) &gt;= MATCH(
                    G236,
                    INDIRECT("'" &amp; 'Hulp (overig)'!$C$16 &amp; "'!A1:A1000"),
                    0
                )) *
                IF(
                    H236="",
                    1,
                    (ROW(INDIRECT("'" &amp; 'Hulp (overig)'!$C$16 &amp; "'!B1:B1000")) &lt; MATCH(
                        H236,
                        INDIRECT("'" &amp; 'Hulp (overig)'!$C$16 &amp; "'!A1:A1000"),
                        0
                    ))
                ),
                ROW(INDIRECT("'" &amp; 'Hulp (overig)'!$C$16 &amp; "'!B1:B1000"))
            )
        ),0)
    ))
))))</f>
        <v>#VALUE!</v>
      </c>
      <c r="H239" s="425" t="e" cm="1">
        <f t="array" aca="1" ref="H239" ca="1">IF($BF239, IF(H236="","",
   INDEX(
      INDIRECT("'" &amp; 'Hulp (CAO''s)'!$AE$8 &amp; "'!" &amp;
               'Hulp (overig)'!$C$17 &amp; "1:" &amp;
               'Hulp (overig)'!$C$17 &amp; "1000"),
      MATCH(
         H236,
         INDIRECT("'" &amp; 'Hulp (CAO''s)'!$AE$8 &amp; "'!A1:A1000"),
         0
      )
   )
), IF($D237="Gebruik % van maximum salaris",
IF(
    OR(H236="",H237=""),
    "",
    MAX(
        INDIRECT(
            "'" &amp; 'Hulp (overig)'!$C$16 &amp; "'!" &amp;
            'Hulp (overig)'!$C$17 &amp;
            MATCH(H236, INDIRECT("'" &amp; 'Hulp (overig)'!$C$16 &amp; "'!A1:A1000"), 0) &amp;
            ":" &amp;
            'Hulp (overig)'!$C$17 &amp;
LOOKUP(
    2,
    1 / (
        (ROW(INDIRECT("'" &amp; 'Hulp (overig)'!$C$16 &amp; "'!B1:B1000")) &lt;
            IF(I236&lt;&gt;"",
               MATCH(I236, INDIRECT("'" &amp; 'Hulp (overig)'!$C$16 &amp; "'!A1:A1000"),0),
               1000
            )
        ) *
        (LEFT(TRIM(INDIRECT("'" &amp; 'Hulp (overig)'!$C$16 &amp; "'!B1:B1000")),1) &lt;&gt; "u")
    ),
    ROW(INDIRECT("'" &amp; 'Hulp (overig)'!$C$16 &amp; "'!B1:B1000"))
)
        )
    ) * H237
),
IF(H238="","",
IF(
    IFERROR(MIN(
        IF(
            (TRIM(INDIRECT("'" &amp; 'Hulp (overig)'!$C$16 &amp; "'!B1:B1000")) = TEXT(H238,"0")) *
            (ROW(INDIRECT("'" &amp; 'Hulp (overig)'!$C$16 &amp; "'!B1:B1000")) &gt;= MATCH(
                H236,
                INDIRECT("'" &amp; 'Hulp (overig)'!$C$16 &amp; "'!A1:A1000"),
                0
            )) *
            IF(
                I236="",
                1,
                (ROW(INDIRECT("'" &amp; 'Hulp (overig)'!$C$16 &amp; "'!B1:B1000")) &lt; MATCH(
                    I236,
                    INDIRECT("'" &amp; 'Hulp (overig)'!$C$16 &amp; "'!A1:A1000"),
                    0
                ))
            ),
            ROW(INDIRECT("'" &amp; 'Hulp (overig)'!$C$16 &amp; "'!B1:B1000"))
        )
    ),0) &lt; 1,
    "",
    IF(INDEX(
        INDIRECT("'" &amp; 'Hulp (overig)'!$C$16 &amp; "'!" &amp;
        'Hulp (overig)'!$C$17 &amp; "1:" &amp; 'Hulp (overig)'!$C$17 &amp; 1000
        ),
        IFERROR(MIN(
            IF(
                (TRIM(INDIRECT("'" &amp; 'Hulp (overig)'!$C$16 &amp; "'!B1:B1000")) = TEXT(H238,"0")) *
                (ROW(INDIRECT("'" &amp; 'Hulp (overig)'!$C$16 &amp; "'!B1:B1000")) &gt;= MATCH(
                    H236,
                    INDIRECT("'" &amp; 'Hulp (overig)'!$C$16 &amp; "'!A1:A1000"),
                    0
                )) *
                IF(
                    I236="",
                    1,
                    (ROW(INDIRECT("'" &amp; 'Hulp (overig)'!$C$16 &amp; "'!B1:B1000")) &lt; MATCH(
                        I236,
                        INDIRECT("'" &amp; 'Hulp (overig)'!$C$16 &amp; "'!A1:A1000"),
                        0
                    ))
                ),
                ROW(INDIRECT("'" &amp; 'Hulp (overig)'!$C$16 &amp; "'!B1:B1000"))
            )
        ),0)
    )=0,"",
INDEX(
        INDIRECT("'" &amp; 'Hulp (overig)'!$C$16 &amp; "'!" &amp;
        'Hulp (overig)'!$C$17 &amp; "1:" &amp; 'Hulp (overig)'!$C$17 &amp; 1000
        ),
        IFERROR(MIN(
            IF(
                (TRIM(INDIRECT("'" &amp; 'Hulp (overig)'!$C$16 &amp; "'!B1:B1000")) = TEXT(H238,"0")) *
                (ROW(INDIRECT("'" &amp; 'Hulp (overig)'!$C$16 &amp; "'!B1:B1000")) &gt;= MATCH(
                    H236,
                    INDIRECT("'" &amp; 'Hulp (overig)'!$C$16 &amp; "'!A1:A1000"),
                    0
                )) *
                IF(
                    I236="",
                    1,
                    (ROW(INDIRECT("'" &amp; 'Hulp (overig)'!$C$16 &amp; "'!B1:B1000")) &lt; MATCH(
                        I236,
                        INDIRECT("'" &amp; 'Hulp (overig)'!$C$16 &amp; "'!A1:A1000"),
                        0
                    ))
                ),
                ROW(INDIRECT("'" &amp; 'Hulp (overig)'!$C$16 &amp; "'!B1:B1000"))
            )
        ),0)
    ))
))))</f>
        <v>#VALUE!</v>
      </c>
      <c r="I239" s="425" t="e" cm="1">
        <f t="array" aca="1" ref="I239" ca="1">IF($BF239, IF(I236="","",
   INDEX(
      INDIRECT("'" &amp; 'Hulp (CAO''s)'!$AE$8 &amp; "'!" &amp;
               'Hulp (overig)'!$C$17 &amp; "1:" &amp;
               'Hulp (overig)'!$C$17 &amp; "1000"),
      MATCH(
         I236,
         INDIRECT("'" &amp; 'Hulp (CAO''s)'!$AE$8 &amp; "'!A1:A1000"),
         0
      )
   )
), IF($D237="Gebruik % van maximum salaris",
IF(
    OR(I236="",I237=""),
    "",
    MAX(
        INDIRECT(
            "'" &amp; 'Hulp (overig)'!$C$16 &amp; "'!" &amp;
            'Hulp (overig)'!$C$17 &amp;
            MATCH(I236, INDIRECT("'" &amp; 'Hulp (overig)'!$C$16 &amp; "'!A1:A1000"), 0) &amp;
            ":" &amp;
            'Hulp (overig)'!$C$17 &amp;
LOOKUP(
    2,
    1 / (
        (ROW(INDIRECT("'" &amp; 'Hulp (overig)'!$C$16 &amp; "'!B1:B1000")) &lt;
            IF(J236&lt;&gt;"",
               MATCH(J236, INDIRECT("'" &amp; 'Hulp (overig)'!$C$16 &amp; "'!A1:A1000"),0),
               1000
            )
        ) *
        (LEFT(TRIM(INDIRECT("'" &amp; 'Hulp (overig)'!$C$16 &amp; "'!B1:B1000")),1) &lt;&gt; "u")
    ),
    ROW(INDIRECT("'" &amp; 'Hulp (overig)'!$C$16 &amp; "'!B1:B1000"))
)
        )
    ) * I237
),
IF(I238="","",
IF(
    IFERROR(MIN(
        IF(
            (TRIM(INDIRECT("'" &amp; 'Hulp (overig)'!$C$16 &amp; "'!B1:B1000")) = TEXT(I238,"0")) *
            (ROW(INDIRECT("'" &amp; 'Hulp (overig)'!$C$16 &amp; "'!B1:B1000")) &gt;= MATCH(
                I236,
                INDIRECT("'" &amp; 'Hulp (overig)'!$C$16 &amp; "'!A1:A1000"),
                0
            )) *
            IF(
                J236="",
                1,
                (ROW(INDIRECT("'" &amp; 'Hulp (overig)'!$C$16 &amp; "'!B1:B1000")) &lt; MATCH(
                    J236,
                    INDIRECT("'" &amp; 'Hulp (overig)'!$C$16 &amp; "'!A1:A1000"),
                    0
                ))
            ),
            ROW(INDIRECT("'" &amp; 'Hulp (overig)'!$C$16 &amp; "'!B1:B1000"))
        )
    ),0) &lt; 1,
    "",
    IF(INDEX(
        INDIRECT("'" &amp; 'Hulp (overig)'!$C$16 &amp; "'!" &amp;
        'Hulp (overig)'!$C$17 &amp; "1:" &amp; 'Hulp (overig)'!$C$17 &amp; 1000
        ),
        IFERROR(MIN(
            IF(
                (TRIM(INDIRECT("'" &amp; 'Hulp (overig)'!$C$16 &amp; "'!B1:B1000")) = TEXT(I238,"0")) *
                (ROW(INDIRECT("'" &amp; 'Hulp (overig)'!$C$16 &amp; "'!B1:B1000")) &gt;= MATCH(
                    I236,
                    INDIRECT("'" &amp; 'Hulp (overig)'!$C$16 &amp; "'!A1:A1000"),
                    0
                )) *
                IF(
                    J236="",
                    1,
                    (ROW(INDIRECT("'" &amp; 'Hulp (overig)'!$C$16 &amp; "'!B1:B1000")) &lt; MATCH(
                        J236,
                        INDIRECT("'" &amp; 'Hulp (overig)'!$C$16 &amp; "'!A1:A1000"),
                        0
                    ))
                ),
                ROW(INDIRECT("'" &amp; 'Hulp (overig)'!$C$16 &amp; "'!B1:B1000"))
            )
        ),0)
    )=0,"",
INDEX(
        INDIRECT("'" &amp; 'Hulp (overig)'!$C$16 &amp; "'!" &amp;
        'Hulp (overig)'!$C$17 &amp; "1:" &amp; 'Hulp (overig)'!$C$17 &amp; 1000
        ),
        IFERROR(MIN(
            IF(
                (TRIM(INDIRECT("'" &amp; 'Hulp (overig)'!$C$16 &amp; "'!B1:B1000")) = TEXT(I238,"0")) *
                (ROW(INDIRECT("'" &amp; 'Hulp (overig)'!$C$16 &amp; "'!B1:B1000")) &gt;= MATCH(
                    I236,
                    INDIRECT("'" &amp; 'Hulp (overig)'!$C$16 &amp; "'!A1:A1000"),
                    0
                )) *
                IF(
                    J236="",
                    1,
                    (ROW(INDIRECT("'" &amp; 'Hulp (overig)'!$C$16 &amp; "'!B1:B1000")) &lt; MATCH(
                        J236,
                        INDIRECT("'" &amp; 'Hulp (overig)'!$C$16 &amp; "'!A1:A1000"),
                        0
                    ))
                ),
                ROW(INDIRECT("'" &amp; 'Hulp (overig)'!$C$16 &amp; "'!B1:B1000"))
            )
        ),0)
    ))
))))</f>
        <v>#VALUE!</v>
      </c>
      <c r="J239" s="425" t="e" cm="1">
        <f t="array" aca="1" ref="J239" ca="1">IF($BF239, IF(J236="","",
   INDEX(
      INDIRECT("'" &amp; 'Hulp (CAO''s)'!$AE$8 &amp; "'!" &amp;
               'Hulp (overig)'!$C$17 &amp; "1:" &amp;
               'Hulp (overig)'!$C$17 &amp; "1000"),
      MATCH(
         J236,
         INDIRECT("'" &amp; 'Hulp (CAO''s)'!$AE$8 &amp; "'!A1:A1000"),
         0
      )
   )
), IF($D237="Gebruik % van maximum salaris",
IF(
    OR(J236="",J237=""),
    "",
    MAX(
        INDIRECT(
            "'" &amp; 'Hulp (overig)'!$C$16 &amp; "'!" &amp;
            'Hulp (overig)'!$C$17 &amp;
            MATCH(J236, INDIRECT("'" &amp; 'Hulp (overig)'!$C$16 &amp; "'!A1:A1000"), 0) &amp;
            ":" &amp;
            'Hulp (overig)'!$C$17 &amp;
LOOKUP(
    2,
    1 / (
        (ROW(INDIRECT("'" &amp; 'Hulp (overig)'!$C$16 &amp; "'!B1:B1000")) &lt;
            IF(K236&lt;&gt;"",
               MATCH(K236, INDIRECT("'" &amp; 'Hulp (overig)'!$C$16 &amp; "'!A1:A1000"),0),
               1000
            )
        ) *
        (LEFT(TRIM(INDIRECT("'" &amp; 'Hulp (overig)'!$C$16 &amp; "'!B1:B1000")),1) &lt;&gt; "u")
    ),
    ROW(INDIRECT("'" &amp; 'Hulp (overig)'!$C$16 &amp; "'!B1:B1000"))
)
        )
    ) * J237
),
IF(J238="","",
IF(
    IFERROR(MIN(
        IF(
            (TRIM(INDIRECT("'" &amp; 'Hulp (overig)'!$C$16 &amp; "'!B1:B1000")) = TEXT(J238,"0")) *
            (ROW(INDIRECT("'" &amp; 'Hulp (overig)'!$C$16 &amp; "'!B1:B1000")) &gt;= MATCH(
                J236,
                INDIRECT("'" &amp; 'Hulp (overig)'!$C$16 &amp; "'!A1:A1000"),
                0
            )) *
            IF(
                K236="",
                1,
                (ROW(INDIRECT("'" &amp; 'Hulp (overig)'!$C$16 &amp; "'!B1:B1000")) &lt; MATCH(
                    K236,
                    INDIRECT("'" &amp; 'Hulp (overig)'!$C$16 &amp; "'!A1:A1000"),
                    0
                ))
            ),
            ROW(INDIRECT("'" &amp; 'Hulp (overig)'!$C$16 &amp; "'!B1:B1000"))
        )
    ),0) &lt; 1,
    "",
    IF(INDEX(
        INDIRECT("'" &amp; 'Hulp (overig)'!$C$16 &amp; "'!" &amp;
        'Hulp (overig)'!$C$17 &amp; "1:" &amp; 'Hulp (overig)'!$C$17 &amp; 1000
        ),
        IFERROR(MIN(
            IF(
                (TRIM(INDIRECT("'" &amp; 'Hulp (overig)'!$C$16 &amp; "'!B1:B1000")) = TEXT(J238,"0")) *
                (ROW(INDIRECT("'" &amp; 'Hulp (overig)'!$C$16 &amp; "'!B1:B1000")) &gt;= MATCH(
                    J236,
                    INDIRECT("'" &amp; 'Hulp (overig)'!$C$16 &amp; "'!A1:A1000"),
                    0
                )) *
                IF(
                    K236="",
                    1,
                    (ROW(INDIRECT("'" &amp; 'Hulp (overig)'!$C$16 &amp; "'!B1:B1000")) &lt; MATCH(
                        K236,
                        INDIRECT("'" &amp; 'Hulp (overig)'!$C$16 &amp; "'!A1:A1000"),
                        0
                    ))
                ),
                ROW(INDIRECT("'" &amp; 'Hulp (overig)'!$C$16 &amp; "'!B1:B1000"))
            )
        ),0)
    )=0,"",
INDEX(
        INDIRECT("'" &amp; 'Hulp (overig)'!$C$16 &amp; "'!" &amp;
        'Hulp (overig)'!$C$17 &amp; "1:" &amp; 'Hulp (overig)'!$C$17 &amp; 1000
        ),
        IFERROR(MIN(
            IF(
                (TRIM(INDIRECT("'" &amp; 'Hulp (overig)'!$C$16 &amp; "'!B1:B1000")) = TEXT(J238,"0")) *
                (ROW(INDIRECT("'" &amp; 'Hulp (overig)'!$C$16 &amp; "'!B1:B1000")) &gt;= MATCH(
                    J236,
                    INDIRECT("'" &amp; 'Hulp (overig)'!$C$16 &amp; "'!A1:A1000"),
                    0
                )) *
                IF(
                    K236="",
                    1,
                    (ROW(INDIRECT("'" &amp; 'Hulp (overig)'!$C$16 &amp; "'!B1:B1000")) &lt; MATCH(
                        K236,
                        INDIRECT("'" &amp; 'Hulp (overig)'!$C$16 &amp; "'!A1:A1000"),
                        0
                    ))
                ),
                ROW(INDIRECT("'" &amp; 'Hulp (overig)'!$C$16 &amp; "'!B1:B1000"))
            )
        ),0)
    ))
))))</f>
        <v>#VALUE!</v>
      </c>
      <c r="K239" s="425" t="e" cm="1">
        <f t="array" aca="1" ref="K239" ca="1">IF($BF239, IF(K236="","",
   INDEX(
      INDIRECT("'" &amp; 'Hulp (CAO''s)'!$AE$8 &amp; "'!" &amp;
               'Hulp (overig)'!$C$17 &amp; "1:" &amp;
               'Hulp (overig)'!$C$17 &amp; "1000"),
      MATCH(
         K236,
         INDIRECT("'" &amp; 'Hulp (CAO''s)'!$AE$8 &amp; "'!A1:A1000"),
         0
      )
   )
), IF($D237="Gebruik % van maximum salaris",
IF(
    OR(K236="",K237=""),
    "",
    MAX(
        INDIRECT(
            "'" &amp; 'Hulp (overig)'!$C$16 &amp; "'!" &amp;
            'Hulp (overig)'!$C$17 &amp;
            MATCH(K236, INDIRECT("'" &amp; 'Hulp (overig)'!$C$16 &amp; "'!A1:A1000"), 0) &amp;
            ":" &amp;
            'Hulp (overig)'!$C$17 &amp;
LOOKUP(
    2,
    1 / (
        (ROW(INDIRECT("'" &amp; 'Hulp (overig)'!$C$16 &amp; "'!B1:B1000")) &lt;
            IF(L236&lt;&gt;"",
               MATCH(L236, INDIRECT("'" &amp; 'Hulp (overig)'!$C$16 &amp; "'!A1:A1000"),0),
               1000
            )
        ) *
        (LEFT(TRIM(INDIRECT("'" &amp; 'Hulp (overig)'!$C$16 &amp; "'!B1:B1000")),1) &lt;&gt; "u")
    ),
    ROW(INDIRECT("'" &amp; 'Hulp (overig)'!$C$16 &amp; "'!B1:B1000"))
)
        )
    ) * K237
),
IF(K238="","",
IF(
    IFERROR(MIN(
        IF(
            (TRIM(INDIRECT("'" &amp; 'Hulp (overig)'!$C$16 &amp; "'!B1:B1000")) = TEXT(K238,"0")) *
            (ROW(INDIRECT("'" &amp; 'Hulp (overig)'!$C$16 &amp; "'!B1:B1000")) &gt;= MATCH(
                K236,
                INDIRECT("'" &amp; 'Hulp (overig)'!$C$16 &amp; "'!A1:A1000"),
                0
            )) *
            IF(
                L236="",
                1,
                (ROW(INDIRECT("'" &amp; 'Hulp (overig)'!$C$16 &amp; "'!B1:B1000")) &lt; MATCH(
                    L236,
                    INDIRECT("'" &amp; 'Hulp (overig)'!$C$16 &amp; "'!A1:A1000"),
                    0
                ))
            ),
            ROW(INDIRECT("'" &amp; 'Hulp (overig)'!$C$16 &amp; "'!B1:B1000"))
        )
    ),0) &lt; 1,
    "",
    IF(INDEX(
        INDIRECT("'" &amp; 'Hulp (overig)'!$C$16 &amp; "'!" &amp;
        'Hulp (overig)'!$C$17 &amp; "1:" &amp; 'Hulp (overig)'!$C$17 &amp; 1000
        ),
        IFERROR(MIN(
            IF(
                (TRIM(INDIRECT("'" &amp; 'Hulp (overig)'!$C$16 &amp; "'!B1:B1000")) = TEXT(K238,"0")) *
                (ROW(INDIRECT("'" &amp; 'Hulp (overig)'!$C$16 &amp; "'!B1:B1000")) &gt;= MATCH(
                    K236,
                    INDIRECT("'" &amp; 'Hulp (overig)'!$C$16 &amp; "'!A1:A1000"),
                    0
                )) *
                IF(
                    L236="",
                    1,
                    (ROW(INDIRECT("'" &amp; 'Hulp (overig)'!$C$16 &amp; "'!B1:B1000")) &lt; MATCH(
                        L236,
                        INDIRECT("'" &amp; 'Hulp (overig)'!$C$16 &amp; "'!A1:A1000"),
                        0
                    ))
                ),
                ROW(INDIRECT("'" &amp; 'Hulp (overig)'!$C$16 &amp; "'!B1:B1000"))
            )
        ),0)
    )=0,"",
INDEX(
        INDIRECT("'" &amp; 'Hulp (overig)'!$C$16 &amp; "'!" &amp;
        'Hulp (overig)'!$C$17 &amp; "1:" &amp; 'Hulp (overig)'!$C$17 &amp; 1000
        ),
        IFERROR(MIN(
            IF(
                (TRIM(INDIRECT("'" &amp; 'Hulp (overig)'!$C$16 &amp; "'!B1:B1000")) = TEXT(K238,"0")) *
                (ROW(INDIRECT("'" &amp; 'Hulp (overig)'!$C$16 &amp; "'!B1:B1000")) &gt;= MATCH(
                    K236,
                    INDIRECT("'" &amp; 'Hulp (overig)'!$C$16 &amp; "'!A1:A1000"),
                    0
                )) *
                IF(
                    L236="",
                    1,
                    (ROW(INDIRECT("'" &amp; 'Hulp (overig)'!$C$16 &amp; "'!B1:B1000")) &lt; MATCH(
                        L236,
                        INDIRECT("'" &amp; 'Hulp (overig)'!$C$16 &amp; "'!A1:A1000"),
                        0
                    ))
                ),
                ROW(INDIRECT("'" &amp; 'Hulp (overig)'!$C$16 &amp; "'!B1:B1000"))
            )
        ),0)
    ))
))))</f>
        <v>#VALUE!</v>
      </c>
      <c r="L239" s="425" t="e" cm="1">
        <f t="array" aca="1" ref="L239" ca="1">IF($BF239, IF(L236="","",
   INDEX(
      INDIRECT("'" &amp; 'Hulp (CAO''s)'!$AE$8 &amp; "'!" &amp;
               'Hulp (overig)'!$C$17 &amp; "1:" &amp;
               'Hulp (overig)'!$C$17 &amp; "1000"),
      MATCH(
         L236,
         INDIRECT("'" &amp; 'Hulp (CAO''s)'!$AE$8 &amp; "'!A1:A1000"),
         0
      )
   )
), IF($D237="Gebruik % van maximum salaris",
IF(
    OR(L236="",L237=""),
    "",
    MAX(
        INDIRECT(
            "'" &amp; 'Hulp (overig)'!$C$16 &amp; "'!" &amp;
            'Hulp (overig)'!$C$17 &amp;
            MATCH(L236, INDIRECT("'" &amp; 'Hulp (overig)'!$C$16 &amp; "'!A1:A1000"), 0) &amp;
            ":" &amp;
            'Hulp (overig)'!$C$17 &amp;
LOOKUP(
    2,
    1 / (
        (ROW(INDIRECT("'" &amp; 'Hulp (overig)'!$C$16 &amp; "'!B1:B1000")) &lt;
            IF(M236&lt;&gt;"",
               MATCH(M236, INDIRECT("'" &amp; 'Hulp (overig)'!$C$16 &amp; "'!A1:A1000"),0),
               1000
            )
        ) *
        (LEFT(TRIM(INDIRECT("'" &amp; 'Hulp (overig)'!$C$16 &amp; "'!B1:B1000")),1) &lt;&gt; "u")
    ),
    ROW(INDIRECT("'" &amp; 'Hulp (overig)'!$C$16 &amp; "'!B1:B1000"))
)
        )
    ) * L237
),
IF(L238="","",
IF(
    IFERROR(MIN(
        IF(
            (TRIM(INDIRECT("'" &amp; 'Hulp (overig)'!$C$16 &amp; "'!B1:B1000")) = TEXT(L238,"0")) *
            (ROW(INDIRECT("'" &amp; 'Hulp (overig)'!$C$16 &amp; "'!B1:B1000")) &gt;= MATCH(
                L236,
                INDIRECT("'" &amp; 'Hulp (overig)'!$C$16 &amp; "'!A1:A1000"),
                0
            )) *
            IF(
                M236="",
                1,
                (ROW(INDIRECT("'" &amp; 'Hulp (overig)'!$C$16 &amp; "'!B1:B1000")) &lt; MATCH(
                    M236,
                    INDIRECT("'" &amp; 'Hulp (overig)'!$C$16 &amp; "'!A1:A1000"),
                    0
                ))
            ),
            ROW(INDIRECT("'" &amp; 'Hulp (overig)'!$C$16 &amp; "'!B1:B1000"))
        )
    ),0) &lt; 1,
    "",
    IF(INDEX(
        INDIRECT("'" &amp; 'Hulp (overig)'!$C$16 &amp; "'!" &amp;
        'Hulp (overig)'!$C$17 &amp; "1:" &amp; 'Hulp (overig)'!$C$17 &amp; 1000
        ),
        IFERROR(MIN(
            IF(
                (TRIM(INDIRECT("'" &amp; 'Hulp (overig)'!$C$16 &amp; "'!B1:B1000")) = TEXT(L238,"0")) *
                (ROW(INDIRECT("'" &amp; 'Hulp (overig)'!$C$16 &amp; "'!B1:B1000")) &gt;= MATCH(
                    L236,
                    INDIRECT("'" &amp; 'Hulp (overig)'!$C$16 &amp; "'!A1:A1000"),
                    0
                )) *
                IF(
                    M236="",
                    1,
                    (ROW(INDIRECT("'" &amp; 'Hulp (overig)'!$C$16 &amp; "'!B1:B1000")) &lt; MATCH(
                        M236,
                        INDIRECT("'" &amp; 'Hulp (overig)'!$C$16 &amp; "'!A1:A1000"),
                        0
                    ))
                ),
                ROW(INDIRECT("'" &amp; 'Hulp (overig)'!$C$16 &amp; "'!B1:B1000"))
            )
        ),0)
    )=0,"",
INDEX(
        INDIRECT("'" &amp; 'Hulp (overig)'!$C$16 &amp; "'!" &amp;
        'Hulp (overig)'!$C$17 &amp; "1:" &amp; 'Hulp (overig)'!$C$17 &amp; 1000
        ),
        IFERROR(MIN(
            IF(
                (TRIM(INDIRECT("'" &amp; 'Hulp (overig)'!$C$16 &amp; "'!B1:B1000")) = TEXT(L238,"0")) *
                (ROW(INDIRECT("'" &amp; 'Hulp (overig)'!$C$16 &amp; "'!B1:B1000")) &gt;= MATCH(
                    L236,
                    INDIRECT("'" &amp; 'Hulp (overig)'!$C$16 &amp; "'!A1:A1000"),
                    0
                )) *
                IF(
                    M236="",
                    1,
                    (ROW(INDIRECT("'" &amp; 'Hulp (overig)'!$C$16 &amp; "'!B1:B1000")) &lt; MATCH(
                        M236,
                        INDIRECT("'" &amp; 'Hulp (overig)'!$C$16 &amp; "'!A1:A1000"),
                        0
                    ))
                ),
                ROW(INDIRECT("'" &amp; 'Hulp (overig)'!$C$16 &amp; "'!B1:B1000"))
            )
        ),0)
    ))
))))</f>
        <v>#VALUE!</v>
      </c>
      <c r="M239" s="425" t="e" cm="1">
        <f t="array" aca="1" ref="M239" ca="1">IF($BF239, IF(M236="","",
   INDEX(
      INDIRECT("'" &amp; 'Hulp (CAO''s)'!$AE$8 &amp; "'!" &amp;
               'Hulp (overig)'!$C$17 &amp; "1:" &amp;
               'Hulp (overig)'!$C$17 &amp; "1000"),
      MATCH(
         M236,
         INDIRECT("'" &amp; 'Hulp (CAO''s)'!$AE$8 &amp; "'!A1:A1000"),
         0
      )
   )
), IF($D237="Gebruik % van maximum salaris",
IF(
    OR(M236="",M237=""),
    "",
    MAX(
        INDIRECT(
            "'" &amp; 'Hulp (overig)'!$C$16 &amp; "'!" &amp;
            'Hulp (overig)'!$C$17 &amp;
            MATCH(M236, INDIRECT("'" &amp; 'Hulp (overig)'!$C$16 &amp; "'!A1:A1000"), 0) &amp;
            ":" &amp;
            'Hulp (overig)'!$C$17 &amp;
LOOKUP(
    2,
    1 / (
        (ROW(INDIRECT("'" &amp; 'Hulp (overig)'!$C$16 &amp; "'!B1:B1000")) &lt;
            IF(N236&lt;&gt;"",
               MATCH(N236, INDIRECT("'" &amp; 'Hulp (overig)'!$C$16 &amp; "'!A1:A1000"),0),
               1000
            )
        ) *
        (LEFT(TRIM(INDIRECT("'" &amp; 'Hulp (overig)'!$C$16 &amp; "'!B1:B1000")),1) &lt;&gt; "u")
    ),
    ROW(INDIRECT("'" &amp; 'Hulp (overig)'!$C$16 &amp; "'!B1:B1000"))
)
        )
    ) * M237
),
IF(M238="","",
IF(
    IFERROR(MIN(
        IF(
            (TRIM(INDIRECT("'" &amp; 'Hulp (overig)'!$C$16 &amp; "'!B1:B1000")) = TEXT(M238,"0")) *
            (ROW(INDIRECT("'" &amp; 'Hulp (overig)'!$C$16 &amp; "'!B1:B1000")) &gt;= MATCH(
                M236,
                INDIRECT("'" &amp; 'Hulp (overig)'!$C$16 &amp; "'!A1:A1000"),
                0
            )) *
            IF(
                N236="",
                1,
                (ROW(INDIRECT("'" &amp; 'Hulp (overig)'!$C$16 &amp; "'!B1:B1000")) &lt; MATCH(
                    N236,
                    INDIRECT("'" &amp; 'Hulp (overig)'!$C$16 &amp; "'!A1:A1000"),
                    0
                ))
            ),
            ROW(INDIRECT("'" &amp; 'Hulp (overig)'!$C$16 &amp; "'!B1:B1000"))
        )
    ),0) &lt; 1,
    "",
    IF(INDEX(
        INDIRECT("'" &amp; 'Hulp (overig)'!$C$16 &amp; "'!" &amp;
        'Hulp (overig)'!$C$17 &amp; "1:" &amp; 'Hulp (overig)'!$C$17 &amp; 1000
        ),
        IFERROR(MIN(
            IF(
                (TRIM(INDIRECT("'" &amp; 'Hulp (overig)'!$C$16 &amp; "'!B1:B1000")) = TEXT(M238,"0")) *
                (ROW(INDIRECT("'" &amp; 'Hulp (overig)'!$C$16 &amp; "'!B1:B1000")) &gt;= MATCH(
                    M236,
                    INDIRECT("'" &amp; 'Hulp (overig)'!$C$16 &amp; "'!A1:A1000"),
                    0
                )) *
                IF(
                    N236="",
                    1,
                    (ROW(INDIRECT("'" &amp; 'Hulp (overig)'!$C$16 &amp; "'!B1:B1000")) &lt; MATCH(
                        N236,
                        INDIRECT("'" &amp; 'Hulp (overig)'!$C$16 &amp; "'!A1:A1000"),
                        0
                    ))
                ),
                ROW(INDIRECT("'" &amp; 'Hulp (overig)'!$C$16 &amp; "'!B1:B1000"))
            )
        ),0)
    )=0,"",
INDEX(
        INDIRECT("'" &amp; 'Hulp (overig)'!$C$16 &amp; "'!" &amp;
        'Hulp (overig)'!$C$17 &amp; "1:" &amp; 'Hulp (overig)'!$C$17 &amp; 1000
        ),
        IFERROR(MIN(
            IF(
                (TRIM(INDIRECT("'" &amp; 'Hulp (overig)'!$C$16 &amp; "'!B1:B1000")) = TEXT(M238,"0")) *
                (ROW(INDIRECT("'" &amp; 'Hulp (overig)'!$C$16 &amp; "'!B1:B1000")) &gt;= MATCH(
                    M236,
                    INDIRECT("'" &amp; 'Hulp (overig)'!$C$16 &amp; "'!A1:A1000"),
                    0
                )) *
                IF(
                    N236="",
                    1,
                    (ROW(INDIRECT("'" &amp; 'Hulp (overig)'!$C$16 &amp; "'!B1:B1000")) &lt; MATCH(
                        N236,
                        INDIRECT("'" &amp; 'Hulp (overig)'!$C$16 &amp; "'!A1:A1000"),
                        0
                    ))
                ),
                ROW(INDIRECT("'" &amp; 'Hulp (overig)'!$C$16 &amp; "'!B1:B1000"))
            )
        ),0)
    ))
))))</f>
        <v>#VALUE!</v>
      </c>
      <c r="N239" s="425" t="e" cm="1">
        <f t="array" aca="1" ref="N239" ca="1">IF($BF239, IF(N236="","",
   INDEX(
      INDIRECT("'" &amp; 'Hulp (CAO''s)'!$AE$8 &amp; "'!" &amp;
               'Hulp (overig)'!$C$17 &amp; "1:" &amp;
               'Hulp (overig)'!$C$17 &amp; "1000"),
      MATCH(
         N236,
         INDIRECT("'" &amp; 'Hulp (CAO''s)'!$AE$8 &amp; "'!A1:A1000"),
         0
      )
   )
), IF($D237="Gebruik % van maximum salaris",
IF(
    OR(N236="",N237=""),
    "",
    MAX(
        INDIRECT(
            "'" &amp; 'Hulp (overig)'!$C$16 &amp; "'!" &amp;
            'Hulp (overig)'!$C$17 &amp;
            MATCH(N236, INDIRECT("'" &amp; 'Hulp (overig)'!$C$16 &amp; "'!A1:A1000"), 0) &amp;
            ":" &amp;
            'Hulp (overig)'!$C$17 &amp;
LOOKUP(
    2,
    1 / (
        (ROW(INDIRECT("'" &amp; 'Hulp (overig)'!$C$16 &amp; "'!B1:B1000")) &lt;
            IF(O236&lt;&gt;"",
               MATCH(O236, INDIRECT("'" &amp; 'Hulp (overig)'!$C$16 &amp; "'!A1:A1000"),0),
               1000
            )
        ) *
        (LEFT(TRIM(INDIRECT("'" &amp; 'Hulp (overig)'!$C$16 &amp; "'!B1:B1000")),1) &lt;&gt; "u")
    ),
    ROW(INDIRECT("'" &amp; 'Hulp (overig)'!$C$16 &amp; "'!B1:B1000"))
)
        )
    ) * N237
),
IF(N238="","",
IF(
    IFERROR(MIN(
        IF(
            (TRIM(INDIRECT("'" &amp; 'Hulp (overig)'!$C$16 &amp; "'!B1:B1000")) = TEXT(N238,"0")) *
            (ROW(INDIRECT("'" &amp; 'Hulp (overig)'!$C$16 &amp; "'!B1:B1000")) &gt;= MATCH(
                N236,
                INDIRECT("'" &amp; 'Hulp (overig)'!$C$16 &amp; "'!A1:A1000"),
                0
            )) *
            IF(
                O236="",
                1,
                (ROW(INDIRECT("'" &amp; 'Hulp (overig)'!$C$16 &amp; "'!B1:B1000")) &lt; MATCH(
                    O236,
                    INDIRECT("'" &amp; 'Hulp (overig)'!$C$16 &amp; "'!A1:A1000"),
                    0
                ))
            ),
            ROW(INDIRECT("'" &amp; 'Hulp (overig)'!$C$16 &amp; "'!B1:B1000"))
        )
    ),0) &lt; 1,
    "",
    IF(INDEX(
        INDIRECT("'" &amp; 'Hulp (overig)'!$C$16 &amp; "'!" &amp;
        'Hulp (overig)'!$C$17 &amp; "1:" &amp; 'Hulp (overig)'!$C$17 &amp; 1000
        ),
        IFERROR(MIN(
            IF(
                (TRIM(INDIRECT("'" &amp; 'Hulp (overig)'!$C$16 &amp; "'!B1:B1000")) = TEXT(N238,"0")) *
                (ROW(INDIRECT("'" &amp; 'Hulp (overig)'!$C$16 &amp; "'!B1:B1000")) &gt;= MATCH(
                    N236,
                    INDIRECT("'" &amp; 'Hulp (overig)'!$C$16 &amp; "'!A1:A1000"),
                    0
                )) *
                IF(
                    O236="",
                    1,
                    (ROW(INDIRECT("'" &amp; 'Hulp (overig)'!$C$16 &amp; "'!B1:B1000")) &lt; MATCH(
                        O236,
                        INDIRECT("'" &amp; 'Hulp (overig)'!$C$16 &amp; "'!A1:A1000"),
                        0
                    ))
                ),
                ROW(INDIRECT("'" &amp; 'Hulp (overig)'!$C$16 &amp; "'!B1:B1000"))
            )
        ),0)
    )=0,"",
INDEX(
        INDIRECT("'" &amp; 'Hulp (overig)'!$C$16 &amp; "'!" &amp;
        'Hulp (overig)'!$C$17 &amp; "1:" &amp; 'Hulp (overig)'!$C$17 &amp; 1000
        ),
        IFERROR(MIN(
            IF(
                (TRIM(INDIRECT("'" &amp; 'Hulp (overig)'!$C$16 &amp; "'!B1:B1000")) = TEXT(N238,"0")) *
                (ROW(INDIRECT("'" &amp; 'Hulp (overig)'!$C$16 &amp; "'!B1:B1000")) &gt;= MATCH(
                    N236,
                    INDIRECT("'" &amp; 'Hulp (overig)'!$C$16 &amp; "'!A1:A1000"),
                    0
                )) *
                IF(
                    O236="",
                    1,
                    (ROW(INDIRECT("'" &amp; 'Hulp (overig)'!$C$16 &amp; "'!B1:B1000")) &lt; MATCH(
                        O236,
                        INDIRECT("'" &amp; 'Hulp (overig)'!$C$16 &amp; "'!A1:A1000"),
                        0
                    ))
                ),
                ROW(INDIRECT("'" &amp; 'Hulp (overig)'!$C$16 &amp; "'!B1:B1000"))
            )
        ),0)
    ))
))))</f>
        <v>#VALUE!</v>
      </c>
      <c r="O239" s="425" t="e" cm="1">
        <f t="array" aca="1" ref="O239" ca="1">IF($BF239, IF(O236="","",
   INDEX(
      INDIRECT("'" &amp; 'Hulp (CAO''s)'!$AE$8 &amp; "'!" &amp;
               'Hulp (overig)'!$C$17 &amp; "1:" &amp;
               'Hulp (overig)'!$C$17 &amp; "1000"),
      MATCH(
         O236,
         INDIRECT("'" &amp; 'Hulp (CAO''s)'!$AE$8 &amp; "'!A1:A1000"),
         0
      )
   )
), IF($D237="Gebruik % van maximum salaris",
IF(
    OR(O236="",O237=""),
    "",
    MAX(
        INDIRECT(
            "'" &amp; 'Hulp (overig)'!$C$16 &amp; "'!" &amp;
            'Hulp (overig)'!$C$17 &amp;
            MATCH(O236, INDIRECT("'" &amp; 'Hulp (overig)'!$C$16 &amp; "'!A1:A1000"), 0) &amp;
            ":" &amp;
            'Hulp (overig)'!$C$17 &amp;
LOOKUP(
    2,
    1 / (
        (ROW(INDIRECT("'" &amp; 'Hulp (overig)'!$C$16 &amp; "'!B1:B1000")) &lt;
            IF(P236&lt;&gt;"",
               MATCH(P236, INDIRECT("'" &amp; 'Hulp (overig)'!$C$16 &amp; "'!A1:A1000"),0),
               1000
            )
        ) *
        (LEFT(TRIM(INDIRECT("'" &amp; 'Hulp (overig)'!$C$16 &amp; "'!B1:B1000")),1) &lt;&gt; "u")
    ),
    ROW(INDIRECT("'" &amp; 'Hulp (overig)'!$C$16 &amp; "'!B1:B1000"))
)
        )
    ) * O237
),
IF(O238="","",
IF(
    IFERROR(MIN(
        IF(
            (TRIM(INDIRECT("'" &amp; 'Hulp (overig)'!$C$16 &amp; "'!B1:B1000")) = TEXT(O238,"0")) *
            (ROW(INDIRECT("'" &amp; 'Hulp (overig)'!$C$16 &amp; "'!B1:B1000")) &gt;= MATCH(
                O236,
                INDIRECT("'" &amp; 'Hulp (overig)'!$C$16 &amp; "'!A1:A1000"),
                0
            )) *
            IF(
                P236="",
                1,
                (ROW(INDIRECT("'" &amp; 'Hulp (overig)'!$C$16 &amp; "'!B1:B1000")) &lt; MATCH(
                    P236,
                    INDIRECT("'" &amp; 'Hulp (overig)'!$C$16 &amp; "'!A1:A1000"),
                    0
                ))
            ),
            ROW(INDIRECT("'" &amp; 'Hulp (overig)'!$C$16 &amp; "'!B1:B1000"))
        )
    ),0) &lt; 1,
    "",
    IF(INDEX(
        INDIRECT("'" &amp; 'Hulp (overig)'!$C$16 &amp; "'!" &amp;
        'Hulp (overig)'!$C$17 &amp; "1:" &amp; 'Hulp (overig)'!$C$17 &amp; 1000
        ),
        IFERROR(MIN(
            IF(
                (TRIM(INDIRECT("'" &amp; 'Hulp (overig)'!$C$16 &amp; "'!B1:B1000")) = TEXT(O238,"0")) *
                (ROW(INDIRECT("'" &amp; 'Hulp (overig)'!$C$16 &amp; "'!B1:B1000")) &gt;= MATCH(
                    O236,
                    INDIRECT("'" &amp; 'Hulp (overig)'!$C$16 &amp; "'!A1:A1000"),
                    0
                )) *
                IF(
                    P236="",
                    1,
                    (ROW(INDIRECT("'" &amp; 'Hulp (overig)'!$C$16 &amp; "'!B1:B1000")) &lt; MATCH(
                        P236,
                        INDIRECT("'" &amp; 'Hulp (overig)'!$C$16 &amp; "'!A1:A1000"),
                        0
                    ))
                ),
                ROW(INDIRECT("'" &amp; 'Hulp (overig)'!$C$16 &amp; "'!B1:B1000"))
            )
        ),0)
    )=0,"",
INDEX(
        INDIRECT("'" &amp; 'Hulp (overig)'!$C$16 &amp; "'!" &amp;
        'Hulp (overig)'!$C$17 &amp; "1:" &amp; 'Hulp (overig)'!$C$17 &amp; 1000
        ),
        IFERROR(MIN(
            IF(
                (TRIM(INDIRECT("'" &amp; 'Hulp (overig)'!$C$16 &amp; "'!B1:B1000")) = TEXT(O238,"0")) *
                (ROW(INDIRECT("'" &amp; 'Hulp (overig)'!$C$16 &amp; "'!B1:B1000")) &gt;= MATCH(
                    O236,
                    INDIRECT("'" &amp; 'Hulp (overig)'!$C$16 &amp; "'!A1:A1000"),
                    0
                )) *
                IF(
                    P236="",
                    1,
                    (ROW(INDIRECT("'" &amp; 'Hulp (overig)'!$C$16 &amp; "'!B1:B1000")) &lt; MATCH(
                        P236,
                        INDIRECT("'" &amp; 'Hulp (overig)'!$C$16 &amp; "'!A1:A1000"),
                        0
                    ))
                ),
                ROW(INDIRECT("'" &amp; 'Hulp (overig)'!$C$16 &amp; "'!B1:B1000"))
            )
        ),0)
    ))
))))</f>
        <v>#VALUE!</v>
      </c>
      <c r="P239" s="425" t="e" cm="1">
        <f t="array" aca="1" ref="P239" ca="1">IF($BF239, IF(P236="","",
   INDEX(
      INDIRECT("'" &amp; 'Hulp (CAO''s)'!$AE$8 &amp; "'!" &amp;
               'Hulp (overig)'!$C$17 &amp; "1:" &amp;
               'Hulp (overig)'!$C$17 &amp; "1000"),
      MATCH(
         P236,
         INDIRECT("'" &amp; 'Hulp (CAO''s)'!$AE$8 &amp; "'!A1:A1000"),
         0
      )
   )
), IF($D237="Gebruik % van maximum salaris",
IF(
    OR(P236="",P237=""),
    "",
    MAX(
        INDIRECT(
            "'" &amp; 'Hulp (overig)'!$C$16 &amp; "'!" &amp;
            'Hulp (overig)'!$C$17 &amp;
            MATCH(P236, INDIRECT("'" &amp; 'Hulp (overig)'!$C$16 &amp; "'!A1:A1000"), 0) &amp;
            ":" &amp;
            'Hulp (overig)'!$C$17 &amp;
LOOKUP(
    2,
    1 / (
        (ROW(INDIRECT("'" &amp; 'Hulp (overig)'!$C$16 &amp; "'!B1:B1000")) &lt;
            IF(Q236&lt;&gt;"",
               MATCH(Q236, INDIRECT("'" &amp; 'Hulp (overig)'!$C$16 &amp; "'!A1:A1000"),0),
               1000
            )
        ) *
        (LEFT(TRIM(INDIRECT("'" &amp; 'Hulp (overig)'!$C$16 &amp; "'!B1:B1000")),1) &lt;&gt; "u")
    ),
    ROW(INDIRECT("'" &amp; 'Hulp (overig)'!$C$16 &amp; "'!B1:B1000"))
)
        )
    ) * P237
),
IF(P238="","",
IF(
    IFERROR(MIN(
        IF(
            (TRIM(INDIRECT("'" &amp; 'Hulp (overig)'!$C$16 &amp; "'!B1:B1000")) = TEXT(P238,"0")) *
            (ROW(INDIRECT("'" &amp; 'Hulp (overig)'!$C$16 &amp; "'!B1:B1000")) &gt;= MATCH(
                P236,
                INDIRECT("'" &amp; 'Hulp (overig)'!$C$16 &amp; "'!A1:A1000"),
                0
            )) *
            IF(
                Q236="",
                1,
                (ROW(INDIRECT("'" &amp; 'Hulp (overig)'!$C$16 &amp; "'!B1:B1000")) &lt; MATCH(
                    Q236,
                    INDIRECT("'" &amp; 'Hulp (overig)'!$C$16 &amp; "'!A1:A1000"),
                    0
                ))
            ),
            ROW(INDIRECT("'" &amp; 'Hulp (overig)'!$C$16 &amp; "'!B1:B1000"))
        )
    ),0) &lt; 1,
    "",
    IF(INDEX(
        INDIRECT("'" &amp; 'Hulp (overig)'!$C$16 &amp; "'!" &amp;
        'Hulp (overig)'!$C$17 &amp; "1:" &amp; 'Hulp (overig)'!$C$17 &amp; 1000
        ),
        IFERROR(MIN(
            IF(
                (TRIM(INDIRECT("'" &amp; 'Hulp (overig)'!$C$16 &amp; "'!B1:B1000")) = TEXT(P238,"0")) *
                (ROW(INDIRECT("'" &amp; 'Hulp (overig)'!$C$16 &amp; "'!B1:B1000")) &gt;= MATCH(
                    P236,
                    INDIRECT("'" &amp; 'Hulp (overig)'!$C$16 &amp; "'!A1:A1000"),
                    0
                )) *
                IF(
                    Q236="",
                    1,
                    (ROW(INDIRECT("'" &amp; 'Hulp (overig)'!$C$16 &amp; "'!B1:B1000")) &lt; MATCH(
                        Q236,
                        INDIRECT("'" &amp; 'Hulp (overig)'!$C$16 &amp; "'!A1:A1000"),
                        0
                    ))
                ),
                ROW(INDIRECT("'" &amp; 'Hulp (overig)'!$C$16 &amp; "'!B1:B1000"))
            )
        ),0)
    )=0,"",
INDEX(
        INDIRECT("'" &amp; 'Hulp (overig)'!$C$16 &amp; "'!" &amp;
        'Hulp (overig)'!$C$17 &amp; "1:" &amp; 'Hulp (overig)'!$C$17 &amp; 1000
        ),
        IFERROR(MIN(
            IF(
                (TRIM(INDIRECT("'" &amp; 'Hulp (overig)'!$C$16 &amp; "'!B1:B1000")) = TEXT(P238,"0")) *
                (ROW(INDIRECT("'" &amp; 'Hulp (overig)'!$C$16 &amp; "'!B1:B1000")) &gt;= MATCH(
                    P236,
                    INDIRECT("'" &amp; 'Hulp (overig)'!$C$16 &amp; "'!A1:A1000"),
                    0
                )) *
                IF(
                    Q236="",
                    1,
                    (ROW(INDIRECT("'" &amp; 'Hulp (overig)'!$C$16 &amp; "'!B1:B1000")) &lt; MATCH(
                        Q236,
                        INDIRECT("'" &amp; 'Hulp (overig)'!$C$16 &amp; "'!A1:A1000"),
                        0
                    ))
                ),
                ROW(INDIRECT("'" &amp; 'Hulp (overig)'!$C$16 &amp; "'!B1:B1000"))
            )
        ),0)
    ))
))))</f>
        <v>#VALUE!</v>
      </c>
      <c r="Q239" s="425" t="e" cm="1">
        <f t="array" aca="1" ref="Q239" ca="1">IF($BF239, IF(Q236="","",
   INDEX(
      INDIRECT("'" &amp; 'Hulp (CAO''s)'!$AE$8 &amp; "'!" &amp;
               'Hulp (overig)'!$C$17 &amp; "1:" &amp;
               'Hulp (overig)'!$C$17 &amp; "1000"),
      MATCH(
         Q236,
         INDIRECT("'" &amp; 'Hulp (CAO''s)'!$AE$8 &amp; "'!A1:A1000"),
         0
      )
   )
), IF($D237="Gebruik % van maximum salaris",
IF(
    OR(Q236="",Q237=""),
    "",
    MAX(
        INDIRECT(
            "'" &amp; 'Hulp (overig)'!$C$16 &amp; "'!" &amp;
            'Hulp (overig)'!$C$17 &amp;
            MATCH(Q236, INDIRECT("'" &amp; 'Hulp (overig)'!$C$16 &amp; "'!A1:A1000"), 0) &amp;
            ":" &amp;
            'Hulp (overig)'!$C$17 &amp;
LOOKUP(
    2,
    1 / (
        (ROW(INDIRECT("'" &amp; 'Hulp (overig)'!$C$16 &amp; "'!B1:B1000")) &lt;
            IF(R236&lt;&gt;"",
               MATCH(R236, INDIRECT("'" &amp; 'Hulp (overig)'!$C$16 &amp; "'!A1:A1000"),0),
               1000
            )
        ) *
        (LEFT(TRIM(INDIRECT("'" &amp; 'Hulp (overig)'!$C$16 &amp; "'!B1:B1000")),1) &lt;&gt; "u")
    ),
    ROW(INDIRECT("'" &amp; 'Hulp (overig)'!$C$16 &amp; "'!B1:B1000"))
)
        )
    ) * Q237
),
IF(Q238="","",
IF(
    IFERROR(MIN(
        IF(
            (TRIM(INDIRECT("'" &amp; 'Hulp (overig)'!$C$16 &amp; "'!B1:B1000")) = TEXT(Q238,"0")) *
            (ROW(INDIRECT("'" &amp; 'Hulp (overig)'!$C$16 &amp; "'!B1:B1000")) &gt;= MATCH(
                Q236,
                INDIRECT("'" &amp; 'Hulp (overig)'!$C$16 &amp; "'!A1:A1000"),
                0
            )) *
            IF(
                R236="",
                1,
                (ROW(INDIRECT("'" &amp; 'Hulp (overig)'!$C$16 &amp; "'!B1:B1000")) &lt; MATCH(
                    R236,
                    INDIRECT("'" &amp; 'Hulp (overig)'!$C$16 &amp; "'!A1:A1000"),
                    0
                ))
            ),
            ROW(INDIRECT("'" &amp; 'Hulp (overig)'!$C$16 &amp; "'!B1:B1000"))
        )
    ),0) &lt; 1,
    "",
    IF(INDEX(
        INDIRECT("'" &amp; 'Hulp (overig)'!$C$16 &amp; "'!" &amp;
        'Hulp (overig)'!$C$17 &amp; "1:" &amp; 'Hulp (overig)'!$C$17 &amp; 1000
        ),
        IFERROR(MIN(
            IF(
                (TRIM(INDIRECT("'" &amp; 'Hulp (overig)'!$C$16 &amp; "'!B1:B1000")) = TEXT(Q238,"0")) *
                (ROW(INDIRECT("'" &amp; 'Hulp (overig)'!$C$16 &amp; "'!B1:B1000")) &gt;= MATCH(
                    Q236,
                    INDIRECT("'" &amp; 'Hulp (overig)'!$C$16 &amp; "'!A1:A1000"),
                    0
                )) *
                IF(
                    R236="",
                    1,
                    (ROW(INDIRECT("'" &amp; 'Hulp (overig)'!$C$16 &amp; "'!B1:B1000")) &lt; MATCH(
                        R236,
                        INDIRECT("'" &amp; 'Hulp (overig)'!$C$16 &amp; "'!A1:A1000"),
                        0
                    ))
                ),
                ROW(INDIRECT("'" &amp; 'Hulp (overig)'!$C$16 &amp; "'!B1:B1000"))
            )
        ),0)
    )=0,"",
INDEX(
        INDIRECT("'" &amp; 'Hulp (overig)'!$C$16 &amp; "'!" &amp;
        'Hulp (overig)'!$C$17 &amp; "1:" &amp; 'Hulp (overig)'!$C$17 &amp; 1000
        ),
        IFERROR(MIN(
            IF(
                (TRIM(INDIRECT("'" &amp; 'Hulp (overig)'!$C$16 &amp; "'!B1:B1000")) = TEXT(Q238,"0")) *
                (ROW(INDIRECT("'" &amp; 'Hulp (overig)'!$C$16 &amp; "'!B1:B1000")) &gt;= MATCH(
                    Q236,
                    INDIRECT("'" &amp; 'Hulp (overig)'!$C$16 &amp; "'!A1:A1000"),
                    0
                )) *
                IF(
                    R236="",
                    1,
                    (ROW(INDIRECT("'" &amp; 'Hulp (overig)'!$C$16 &amp; "'!B1:B1000")) &lt; MATCH(
                        R236,
                        INDIRECT("'" &amp; 'Hulp (overig)'!$C$16 &amp; "'!A1:A1000"),
                        0
                    ))
                ),
                ROW(INDIRECT("'" &amp; 'Hulp (overig)'!$C$16 &amp; "'!B1:B1000"))
            )
        ),0)
    ))
))))</f>
        <v>#VALUE!</v>
      </c>
      <c r="R239" s="425" t="e" cm="1">
        <f t="array" aca="1" ref="R239" ca="1">IF($BF239, IF(R236="","",
   INDEX(
      INDIRECT("'" &amp; 'Hulp (CAO''s)'!$AE$8 &amp; "'!" &amp;
               'Hulp (overig)'!$C$17 &amp; "1:" &amp;
               'Hulp (overig)'!$C$17 &amp; "1000"),
      MATCH(
         R236,
         INDIRECT("'" &amp; 'Hulp (CAO''s)'!$AE$8 &amp; "'!A1:A1000"),
         0
      )
   )
), IF($D237="Gebruik % van maximum salaris",
IF(
    OR(R236="",R237=""),
    "",
    MAX(
        INDIRECT(
            "'" &amp; 'Hulp (overig)'!$C$16 &amp; "'!" &amp;
            'Hulp (overig)'!$C$17 &amp;
            MATCH(R236, INDIRECT("'" &amp; 'Hulp (overig)'!$C$16 &amp; "'!A1:A1000"), 0) &amp;
            ":" &amp;
            'Hulp (overig)'!$C$17 &amp;
LOOKUP(
    2,
    1 / (
        (ROW(INDIRECT("'" &amp; 'Hulp (overig)'!$C$16 &amp; "'!B1:B1000")) &lt;
            IF(S236&lt;&gt;"",
               MATCH(S236, INDIRECT("'" &amp; 'Hulp (overig)'!$C$16 &amp; "'!A1:A1000"),0),
               1000
            )
        ) *
        (LEFT(TRIM(INDIRECT("'" &amp; 'Hulp (overig)'!$C$16 &amp; "'!B1:B1000")),1) &lt;&gt; "u")
    ),
    ROW(INDIRECT("'" &amp; 'Hulp (overig)'!$C$16 &amp; "'!B1:B1000"))
)
        )
    ) * R237
),
IF(R238="","",
IF(
    IFERROR(MIN(
        IF(
            (TRIM(INDIRECT("'" &amp; 'Hulp (overig)'!$C$16 &amp; "'!B1:B1000")) = TEXT(R238,"0")) *
            (ROW(INDIRECT("'" &amp; 'Hulp (overig)'!$C$16 &amp; "'!B1:B1000")) &gt;= MATCH(
                R236,
                INDIRECT("'" &amp; 'Hulp (overig)'!$C$16 &amp; "'!A1:A1000"),
                0
            )) *
            IF(
                S236="",
                1,
                (ROW(INDIRECT("'" &amp; 'Hulp (overig)'!$C$16 &amp; "'!B1:B1000")) &lt; MATCH(
                    S236,
                    INDIRECT("'" &amp; 'Hulp (overig)'!$C$16 &amp; "'!A1:A1000"),
                    0
                ))
            ),
            ROW(INDIRECT("'" &amp; 'Hulp (overig)'!$C$16 &amp; "'!B1:B1000"))
        )
    ),0) &lt; 1,
    "",
    IF(INDEX(
        INDIRECT("'" &amp; 'Hulp (overig)'!$C$16 &amp; "'!" &amp;
        'Hulp (overig)'!$C$17 &amp; "1:" &amp; 'Hulp (overig)'!$C$17 &amp; 1000
        ),
        IFERROR(MIN(
            IF(
                (TRIM(INDIRECT("'" &amp; 'Hulp (overig)'!$C$16 &amp; "'!B1:B1000")) = TEXT(R238,"0")) *
                (ROW(INDIRECT("'" &amp; 'Hulp (overig)'!$C$16 &amp; "'!B1:B1000")) &gt;= MATCH(
                    R236,
                    INDIRECT("'" &amp; 'Hulp (overig)'!$C$16 &amp; "'!A1:A1000"),
                    0
                )) *
                IF(
                    S236="",
                    1,
                    (ROW(INDIRECT("'" &amp; 'Hulp (overig)'!$C$16 &amp; "'!B1:B1000")) &lt; MATCH(
                        S236,
                        INDIRECT("'" &amp; 'Hulp (overig)'!$C$16 &amp; "'!A1:A1000"),
                        0
                    ))
                ),
                ROW(INDIRECT("'" &amp; 'Hulp (overig)'!$C$16 &amp; "'!B1:B1000"))
            )
        ),0)
    )=0,"",
INDEX(
        INDIRECT("'" &amp; 'Hulp (overig)'!$C$16 &amp; "'!" &amp;
        'Hulp (overig)'!$C$17 &amp; "1:" &amp; 'Hulp (overig)'!$C$17 &amp; 1000
        ),
        IFERROR(MIN(
            IF(
                (TRIM(INDIRECT("'" &amp; 'Hulp (overig)'!$C$16 &amp; "'!B1:B1000")) = TEXT(R238,"0")) *
                (ROW(INDIRECT("'" &amp; 'Hulp (overig)'!$C$16 &amp; "'!B1:B1000")) &gt;= MATCH(
                    R236,
                    INDIRECT("'" &amp; 'Hulp (overig)'!$C$16 &amp; "'!A1:A1000"),
                    0
                )) *
                IF(
                    S236="",
                    1,
                    (ROW(INDIRECT("'" &amp; 'Hulp (overig)'!$C$16 &amp; "'!B1:B1000")) &lt; MATCH(
                        S236,
                        INDIRECT("'" &amp; 'Hulp (overig)'!$C$16 &amp; "'!A1:A1000"),
                        0
                    ))
                ),
                ROW(INDIRECT("'" &amp; 'Hulp (overig)'!$C$16 &amp; "'!B1:B1000"))
            )
        ),0)
    ))
))))</f>
        <v>#VALUE!</v>
      </c>
      <c r="S239" s="425" t="e" cm="1">
        <f t="array" aca="1" ref="S239" ca="1">IF($BF239, IF(S236="","",
   INDEX(
      INDIRECT("'" &amp; 'Hulp (CAO''s)'!$AE$8 &amp; "'!" &amp;
               'Hulp (overig)'!$C$17 &amp; "1:" &amp;
               'Hulp (overig)'!$C$17 &amp; "1000"),
      MATCH(
         S236,
         INDIRECT("'" &amp; 'Hulp (CAO''s)'!$AE$8 &amp; "'!A1:A1000"),
         0
      )
   )
), IF($D237="Gebruik % van maximum salaris",
IF(
    OR(S236="",S237=""),
    "",
    MAX(
        INDIRECT(
            "'" &amp; 'Hulp (overig)'!$C$16 &amp; "'!" &amp;
            'Hulp (overig)'!$C$17 &amp;
            MATCH(S236, INDIRECT("'" &amp; 'Hulp (overig)'!$C$16 &amp; "'!A1:A1000"), 0) &amp;
            ":" &amp;
            'Hulp (overig)'!$C$17 &amp;
LOOKUP(
    2,
    1 / (
        (ROW(INDIRECT("'" &amp; 'Hulp (overig)'!$C$16 &amp; "'!B1:B1000")) &lt;
            IF(T236&lt;&gt;"",
               MATCH(T236, INDIRECT("'" &amp; 'Hulp (overig)'!$C$16 &amp; "'!A1:A1000"),0),
               1000
            )
        ) *
        (LEFT(TRIM(INDIRECT("'" &amp; 'Hulp (overig)'!$C$16 &amp; "'!B1:B1000")),1) &lt;&gt; "u")
    ),
    ROW(INDIRECT("'" &amp; 'Hulp (overig)'!$C$16 &amp; "'!B1:B1000"))
)
        )
    ) * S237
),
IF(S238="","",
IF(
    IFERROR(MIN(
        IF(
            (TRIM(INDIRECT("'" &amp; 'Hulp (overig)'!$C$16 &amp; "'!B1:B1000")) = TEXT(S238,"0")) *
            (ROW(INDIRECT("'" &amp; 'Hulp (overig)'!$C$16 &amp; "'!B1:B1000")) &gt;= MATCH(
                S236,
                INDIRECT("'" &amp; 'Hulp (overig)'!$C$16 &amp; "'!A1:A1000"),
                0
            )) *
            IF(
                T236="",
                1,
                (ROW(INDIRECT("'" &amp; 'Hulp (overig)'!$C$16 &amp; "'!B1:B1000")) &lt; MATCH(
                    T236,
                    INDIRECT("'" &amp; 'Hulp (overig)'!$C$16 &amp; "'!A1:A1000"),
                    0
                ))
            ),
            ROW(INDIRECT("'" &amp; 'Hulp (overig)'!$C$16 &amp; "'!B1:B1000"))
        )
    ),0) &lt; 1,
    "",
    IF(INDEX(
        INDIRECT("'" &amp; 'Hulp (overig)'!$C$16 &amp; "'!" &amp;
        'Hulp (overig)'!$C$17 &amp; "1:" &amp; 'Hulp (overig)'!$C$17 &amp; 1000
        ),
        IFERROR(MIN(
            IF(
                (TRIM(INDIRECT("'" &amp; 'Hulp (overig)'!$C$16 &amp; "'!B1:B1000")) = TEXT(S238,"0")) *
                (ROW(INDIRECT("'" &amp; 'Hulp (overig)'!$C$16 &amp; "'!B1:B1000")) &gt;= MATCH(
                    S236,
                    INDIRECT("'" &amp; 'Hulp (overig)'!$C$16 &amp; "'!A1:A1000"),
                    0
                )) *
                IF(
                    T236="",
                    1,
                    (ROW(INDIRECT("'" &amp; 'Hulp (overig)'!$C$16 &amp; "'!B1:B1000")) &lt; MATCH(
                        T236,
                        INDIRECT("'" &amp; 'Hulp (overig)'!$C$16 &amp; "'!A1:A1000"),
                        0
                    ))
                ),
                ROW(INDIRECT("'" &amp; 'Hulp (overig)'!$C$16 &amp; "'!B1:B1000"))
            )
        ),0)
    )=0,"",
INDEX(
        INDIRECT("'" &amp; 'Hulp (overig)'!$C$16 &amp; "'!" &amp;
        'Hulp (overig)'!$C$17 &amp; "1:" &amp; 'Hulp (overig)'!$C$17 &amp; 1000
        ),
        IFERROR(MIN(
            IF(
                (TRIM(INDIRECT("'" &amp; 'Hulp (overig)'!$C$16 &amp; "'!B1:B1000")) = TEXT(S238,"0")) *
                (ROW(INDIRECT("'" &amp; 'Hulp (overig)'!$C$16 &amp; "'!B1:B1000")) &gt;= MATCH(
                    S236,
                    INDIRECT("'" &amp; 'Hulp (overig)'!$C$16 &amp; "'!A1:A1000"),
                    0
                )) *
                IF(
                    T236="",
                    1,
                    (ROW(INDIRECT("'" &amp; 'Hulp (overig)'!$C$16 &amp; "'!B1:B1000")) &lt; MATCH(
                        T236,
                        INDIRECT("'" &amp; 'Hulp (overig)'!$C$16 &amp; "'!A1:A1000"),
                        0
                    ))
                ),
                ROW(INDIRECT("'" &amp; 'Hulp (overig)'!$C$16 &amp; "'!B1:B1000"))
            )
        ),0)
    ))
))))</f>
        <v>#VALUE!</v>
      </c>
      <c r="T239" s="425" t="e" cm="1">
        <f t="array" aca="1" ref="T239" ca="1">IF($BF239, IF(T236="","",
   INDEX(
      INDIRECT("'" &amp; 'Hulp (CAO''s)'!$AE$8 &amp; "'!" &amp;
               'Hulp (overig)'!$C$17 &amp; "1:" &amp;
               'Hulp (overig)'!$C$17 &amp; "1000"),
      MATCH(
         T236,
         INDIRECT("'" &amp; 'Hulp (CAO''s)'!$AE$8 &amp; "'!A1:A1000"),
         0
      )
   )
), IF($D237="Gebruik % van maximum salaris",
IF(
    OR(T236="",T237=""),
    "",
    MAX(
        INDIRECT(
            "'" &amp; 'Hulp (overig)'!$C$16 &amp; "'!" &amp;
            'Hulp (overig)'!$C$17 &amp;
            MATCH(T236, INDIRECT("'" &amp; 'Hulp (overig)'!$C$16 &amp; "'!A1:A1000"), 0) &amp;
            ":" &amp;
            'Hulp (overig)'!$C$17 &amp;
LOOKUP(
    2,
    1 / (
        (ROW(INDIRECT("'" &amp; 'Hulp (overig)'!$C$16 &amp; "'!B1:B1000")) &lt;
            IF(U236&lt;&gt;"",
               MATCH(U236, INDIRECT("'" &amp; 'Hulp (overig)'!$C$16 &amp; "'!A1:A1000"),0),
               1000
            )
        ) *
        (LEFT(TRIM(INDIRECT("'" &amp; 'Hulp (overig)'!$C$16 &amp; "'!B1:B1000")),1) &lt;&gt; "u")
    ),
    ROW(INDIRECT("'" &amp; 'Hulp (overig)'!$C$16 &amp; "'!B1:B1000"))
)
        )
    ) * T237
),
IF(T238="","",
IF(
    IFERROR(MIN(
        IF(
            (TRIM(INDIRECT("'" &amp; 'Hulp (overig)'!$C$16 &amp; "'!B1:B1000")) = TEXT(T238,"0")) *
            (ROW(INDIRECT("'" &amp; 'Hulp (overig)'!$C$16 &amp; "'!B1:B1000")) &gt;= MATCH(
                T236,
                INDIRECT("'" &amp; 'Hulp (overig)'!$C$16 &amp; "'!A1:A1000"),
                0
            )) *
            IF(
                U236="",
                1,
                (ROW(INDIRECT("'" &amp; 'Hulp (overig)'!$C$16 &amp; "'!B1:B1000")) &lt; MATCH(
                    U236,
                    INDIRECT("'" &amp; 'Hulp (overig)'!$C$16 &amp; "'!A1:A1000"),
                    0
                ))
            ),
            ROW(INDIRECT("'" &amp; 'Hulp (overig)'!$C$16 &amp; "'!B1:B1000"))
        )
    ),0) &lt; 1,
    "",
    IF(INDEX(
        INDIRECT("'" &amp; 'Hulp (overig)'!$C$16 &amp; "'!" &amp;
        'Hulp (overig)'!$C$17 &amp; "1:" &amp; 'Hulp (overig)'!$C$17 &amp; 1000
        ),
        IFERROR(MIN(
            IF(
                (TRIM(INDIRECT("'" &amp; 'Hulp (overig)'!$C$16 &amp; "'!B1:B1000")) = TEXT(T238,"0")) *
                (ROW(INDIRECT("'" &amp; 'Hulp (overig)'!$C$16 &amp; "'!B1:B1000")) &gt;= MATCH(
                    T236,
                    INDIRECT("'" &amp; 'Hulp (overig)'!$C$16 &amp; "'!A1:A1000"),
                    0
                )) *
                IF(
                    U236="",
                    1,
                    (ROW(INDIRECT("'" &amp; 'Hulp (overig)'!$C$16 &amp; "'!B1:B1000")) &lt; MATCH(
                        U236,
                        INDIRECT("'" &amp; 'Hulp (overig)'!$C$16 &amp; "'!A1:A1000"),
                        0
                    ))
                ),
                ROW(INDIRECT("'" &amp; 'Hulp (overig)'!$C$16 &amp; "'!B1:B1000"))
            )
        ),0)
    )=0,"",
INDEX(
        INDIRECT("'" &amp; 'Hulp (overig)'!$C$16 &amp; "'!" &amp;
        'Hulp (overig)'!$C$17 &amp; "1:" &amp; 'Hulp (overig)'!$C$17 &amp; 1000
        ),
        IFERROR(MIN(
            IF(
                (TRIM(INDIRECT("'" &amp; 'Hulp (overig)'!$C$16 &amp; "'!B1:B1000")) = TEXT(T238,"0")) *
                (ROW(INDIRECT("'" &amp; 'Hulp (overig)'!$C$16 &amp; "'!B1:B1000")) &gt;= MATCH(
                    T236,
                    INDIRECT("'" &amp; 'Hulp (overig)'!$C$16 &amp; "'!A1:A1000"),
                    0
                )) *
                IF(
                    U236="",
                    1,
                    (ROW(INDIRECT("'" &amp; 'Hulp (overig)'!$C$16 &amp; "'!B1:B1000")) &lt; MATCH(
                        U236,
                        INDIRECT("'" &amp; 'Hulp (overig)'!$C$16 &amp; "'!A1:A1000"),
                        0
                    ))
                ),
                ROW(INDIRECT("'" &amp; 'Hulp (overig)'!$C$16 &amp; "'!B1:B1000"))
            )
        ),0)
    ))
))))</f>
        <v>#VALUE!</v>
      </c>
      <c r="U239" s="723" t="e" cm="1">
        <f t="array" aca="1" ref="U239" ca="1">IF($BF239, IF(U236="","",
   INDEX(
      INDIRECT("'" &amp; 'Hulp (CAO''s)'!$AE$8 &amp; "'!" &amp;
               'Hulp (overig)'!$C$17 &amp; "1:" &amp;
               'Hulp (overig)'!$C$17 &amp; "1000"),
      MATCH(
         U236,
         INDIRECT("'" &amp; 'Hulp (CAO''s)'!$AE$8 &amp; "'!A1:A1000"),
         0
      )
   )
), IF($D237="Gebruik % van maximum salaris",
IF(
    OR(U236="",U237=""),
    "",
    MAX(
        INDIRECT(
            "'" &amp; 'Hulp (overig)'!$C$16 &amp; "'!" &amp;
            'Hulp (overig)'!$C$17 &amp;
            MATCH(U236, INDIRECT("'" &amp; 'Hulp (overig)'!$C$16 &amp; "'!A1:A1000"), 0) &amp;
            ":" &amp;
            'Hulp (overig)'!$C$17 &amp;
LOOKUP(
    2,
    1 / (
        (ROW(INDIRECT("'" &amp; 'Hulp (overig)'!$C$16 &amp; "'!B1:B1000")) &lt;
            IF(V236&lt;&gt;"",
               MATCH(V236, INDIRECT("'" &amp; 'Hulp (overig)'!$C$16 &amp; "'!A1:A1000"),0),
               1000
            )
        ) *
        (LEFT(TRIM(INDIRECT("'" &amp; 'Hulp (overig)'!$C$16 &amp; "'!B1:B1000")),1) &lt;&gt; "u")
    ),
    ROW(INDIRECT("'" &amp; 'Hulp (overig)'!$C$16 &amp; "'!B1:B1000"))
)
        )
    ) * U237
),
IF(U238="","",
IF(
    IFERROR(MIN(
        IF(
            (TRIM(INDIRECT("'" &amp; 'Hulp (overig)'!$C$16 &amp; "'!B1:B1000")) = TEXT(U238,"0")) *
            (ROW(INDIRECT("'" &amp; 'Hulp (overig)'!$C$16 &amp; "'!B1:B1000")) &gt;= MATCH(
                U236,
                INDIRECT("'" &amp; 'Hulp (overig)'!$C$16 &amp; "'!A1:A1000"),
                0
            )) *
            IF(
                V236="",
                1,
                (ROW(INDIRECT("'" &amp; 'Hulp (overig)'!$C$16 &amp; "'!B1:B1000")) &lt; MATCH(
                    V236,
                    INDIRECT("'" &amp; 'Hulp (overig)'!$C$16 &amp; "'!A1:A1000"),
                    0
                ))
            ),
            ROW(INDIRECT("'" &amp; 'Hulp (overig)'!$C$16 &amp; "'!B1:B1000"))
        )
    ),0) &lt; 1,
    "",
    IF(INDEX(
        INDIRECT("'" &amp; 'Hulp (overig)'!$C$16 &amp; "'!" &amp;
        'Hulp (overig)'!$C$17 &amp; "1:" &amp; 'Hulp (overig)'!$C$17 &amp; 1000
        ),
        IFERROR(MIN(
            IF(
                (TRIM(INDIRECT("'" &amp; 'Hulp (overig)'!$C$16 &amp; "'!B1:B1000")) = TEXT(U238,"0")) *
                (ROW(INDIRECT("'" &amp; 'Hulp (overig)'!$C$16 &amp; "'!B1:B1000")) &gt;= MATCH(
                    U236,
                    INDIRECT("'" &amp; 'Hulp (overig)'!$C$16 &amp; "'!A1:A1000"),
                    0
                )) *
                IF(
                    V236="",
                    1,
                    (ROW(INDIRECT("'" &amp; 'Hulp (overig)'!$C$16 &amp; "'!B1:B1000")) &lt; MATCH(
                        V236,
                        INDIRECT("'" &amp; 'Hulp (overig)'!$C$16 &amp; "'!A1:A1000"),
                        0
                    ))
                ),
                ROW(INDIRECT("'" &amp; 'Hulp (overig)'!$C$16 &amp; "'!B1:B1000"))
            )
        ),0)
    )=0,"",
INDEX(
        INDIRECT("'" &amp; 'Hulp (overig)'!$C$16 &amp; "'!" &amp;
        'Hulp (overig)'!$C$17 &amp; "1:" &amp; 'Hulp (overig)'!$C$17 &amp; 1000
        ),
        IFERROR(MIN(
            IF(
                (TRIM(INDIRECT("'" &amp; 'Hulp (overig)'!$C$16 &amp; "'!B1:B1000")) = TEXT(U238,"0")) *
                (ROW(INDIRECT("'" &amp; 'Hulp (overig)'!$C$16 &amp; "'!B1:B1000")) &gt;= MATCH(
                    U236,
                    INDIRECT("'" &amp; 'Hulp (overig)'!$C$16 &amp; "'!A1:A1000"),
                    0
                )) *
                IF(
                    V236="",
                    1,
                    (ROW(INDIRECT("'" &amp; 'Hulp (overig)'!$C$16 &amp; "'!B1:B1000")) &lt; MATCH(
                        V236,
                        INDIRECT("'" &amp; 'Hulp (overig)'!$C$16 &amp; "'!A1:A1000"),
                        0
                    ))
                ),
                ROW(INDIRECT("'" &amp; 'Hulp (overig)'!$C$16 &amp; "'!B1:B1000"))
            )
        ),0)
    ))
))))</f>
        <v>#VALUE!</v>
      </c>
      <c r="V239" s="413" t="str" cm="1">
        <f t="array" ref="V239">IF(SUM(F240:U240)=0,"",
IF(SUM(F239:U239)=0,"",
IF(SUMPRODUCT((F240:U240&lt;&gt;0)*(F239:U239=""))&gt;0,"",
(
   SUMPRODUCT(
      IF(F239:U239="",0,F239:U239),
      IF(F240:U240="",0,F240:U240) / SUM(F240:U240)
   )
))))</f>
        <v/>
      </c>
      <c r="W239" s="418"/>
      <c r="X239" s="620"/>
      <c r="Y239" s="419" t="str">
        <f ca="1">IF(B236="","",
        IF(INDIRECT("'Hulp (control forms)'!C" &amp; (13 + INT((ROW()-ROW($B$5))/7))),
            IF(X239="","",X239),
            IF(V239="","",V239)
    )
)</f>
        <v/>
      </c>
      <c r="Z239" s="333"/>
      <c r="AA239" s="771"/>
      <c r="AB239" s="770"/>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c r="AW239" s="289"/>
      <c r="AX239" s="289"/>
      <c r="AY239" s="289"/>
      <c r="AZ239" s="289"/>
      <c r="BA239" cm="1">
        <f t="array" aca="1" ref="BA239" ca="1">IF(
   SUM(Y239)=0,
   1,
   IF(
      N(INDIRECT("'Hulp (control forms)'!C"&amp;(13+INT((ROW()-ROW($B$5))/7))))&lt;&gt;0,
      MIN(1,
      ('Hulp (overig)'!$C$6/12) /
      (Y239 * BC239 + BD239)),
      MIN(1,
         IF(
            SUM(F239:U239)=0,
            "",
            SUMPRODUCT(
               IF(
                  (IF(F239:U239="",0,F239:U239) * BC239) + BD239
                  &gt; 'Hulp (overig)'!$C$6/12,
                  'Hulp (overig)'!$C$6/12,
                  (IF(F239:U239="",0,F239:U239) * BC239) + BD239
               ),
               IF(F240:U240="",0,F240:U240) / SUM(F240:U240)
            )
         ) /
         ((Y239 * BC239) + BD239)
      )
   )
)</f>
        <v>1</v>
      </c>
      <c r="BB239" cm="1">
        <f t="array" aca="1" ref="BB239" ca="1">IF(
   SUM(Y239)=0,
   1,
   IF(
      N(INDIRECT("'Hulp (control forms)'!C"&amp;(13+INT((ROW()-ROW($B$5))/7))))&lt;&gt;0,
      MIN('Hulp (overig)'!$C$5/12,
      (Y239 * BC239) + BD239) * 12,
         IF(
            SUM(F239:U239)=0,
            "",
            SUMPRODUCT(
               IF(
                  (IF(F239:U239="",0,F239:U239) * BC239) + BD239
                  &gt; 'Hulp (overig)'!$C$5/12,
                  'Hulp (overig)'!$C$5/12,
                  (IF(F239:U239="",0,F239:U239) * BC239) + BD239
               ),
               IF(F240:U240="",0,F240:U240) / SUM(F240:U240)
            )
         ) * 12
   )
)</f>
        <v>1</v>
      </c>
      <c r="BC239" s="287" cm="1">
        <f t="array" aca="1" ref="BC239" ca="1">IFERROR(
   (INDEX('2. Output kostprijs'!$24:$24, 5 + 2*INT((ROW()-8)/7))
    - SUM(INDEX('2. Output kostprijs'!$23:$23, 5 + 2*INT((ROW()-8)/7))))
   / INDEX('2. Output kostprijs'!$19:$19, 5 + 2*INT((ROW()-8)/7)),
   1
)</f>
        <v>1</v>
      </c>
      <c r="BD239" s="287" cm="1">
        <f t="array" aca="1" ref="BD239" ca="1">IFERROR(
   (INDEX('2. Output kostprijs'!$23:$23, 5 + 2*INT((ROW()-8)/7))
    * INDEX('2. Output kostprijs'!$18:$18, 5 + 2*INT((ROW()-8)/7))
   ) / 12,
   0
)</f>
        <v>0</v>
      </c>
      <c r="BE239" t="b">
        <f ca="1">NOT(AND(B236&lt;&gt;"",Y239=""))</f>
        <v>1</v>
      </c>
      <c r="BF239" t="str" cm="1">
        <f t="array" aca="1" ref="BF239" ca="1">INDIRECT("'1a. Input organisatieniveau'!$AD" &amp; 7 + INT((ROW()-ROW($F$8))/7))</f>
        <v/>
      </c>
      <c r="BG239" t="b" cm="1">
        <f t="array" ref="BG239">IFERROR(INDEX('Hulp (control forms)'!C:C, 13 + INT((ROW(A232)-1)/7)),FALSE)</f>
        <v>0</v>
      </c>
    </row>
    <row r="240" spans="1:59" ht="16.05" customHeight="1" thickBot="1" x14ac:dyDescent="0.5">
      <c r="A240" s="289"/>
      <c r="B240" s="343"/>
      <c r="C240" s="325" t="s">
        <v>779</v>
      </c>
      <c r="D240" s="688" t="s">
        <v>60</v>
      </c>
      <c r="E240" s="433" t="s">
        <v>59</v>
      </c>
      <c r="F240" s="624"/>
      <c r="G240" s="624"/>
      <c r="H240" s="624"/>
      <c r="I240" s="624"/>
      <c r="J240" s="624"/>
      <c r="K240" s="624"/>
      <c r="L240" s="624"/>
      <c r="M240" s="624"/>
      <c r="N240" s="624"/>
      <c r="O240" s="624"/>
      <c r="P240" s="624"/>
      <c r="Q240" s="624"/>
      <c r="R240" s="624"/>
      <c r="S240" s="624"/>
      <c r="T240" s="624"/>
      <c r="U240" s="625"/>
      <c r="V240" s="420" t="str">
        <f ca="1">IF($B236="","",IF($D240="Aandeel in %",
   "Totaal: "&amp;SUM(F240:U240)*100&amp;"%",
   "Totaal: "&amp;SUM(F240:U240)&amp;" uur"
))</f>
        <v/>
      </c>
      <c r="W240" s="294"/>
      <c r="X240" s="621"/>
      <c r="Y240" s="328"/>
      <c r="Z240" s="329"/>
      <c r="AA240" s="289"/>
      <c r="AB240" s="289"/>
      <c r="AC240" s="289"/>
      <c r="AD240" s="289"/>
      <c r="AE240" s="289"/>
      <c r="AF240" s="289"/>
      <c r="AG240" s="289"/>
      <c r="AH240" s="289"/>
      <c r="AI240" s="289"/>
      <c r="AJ240" s="289"/>
      <c r="AK240" s="289"/>
      <c r="AL240" s="289"/>
      <c r="AM240" s="289"/>
      <c r="AN240" s="289"/>
      <c r="AO240" s="289"/>
      <c r="AP240" s="289"/>
      <c r="AQ240" s="289"/>
      <c r="AR240" s="289"/>
      <c r="AS240" s="289"/>
      <c r="AT240" s="289"/>
      <c r="AU240" s="289"/>
      <c r="AV240" s="289"/>
      <c r="AW240" s="289"/>
      <c r="AX240" s="289"/>
      <c r="AY240" s="289"/>
      <c r="AZ240" s="289"/>
    </row>
    <row r="241" spans="1:59" ht="16.05" customHeight="1" thickBot="1" x14ac:dyDescent="0.5">
      <c r="A241" s="289"/>
      <c r="B241" s="343"/>
      <c r="C241" s="326" t="s">
        <v>779</v>
      </c>
      <c r="D241" s="421"/>
      <c r="E241" s="426"/>
      <c r="F241" s="426"/>
      <c r="G241" s="426"/>
      <c r="H241" s="426"/>
      <c r="I241" s="426"/>
      <c r="J241" s="426"/>
      <c r="K241" s="426"/>
      <c r="L241" s="426"/>
      <c r="M241" s="426"/>
      <c r="N241" s="426"/>
      <c r="O241" s="426"/>
      <c r="P241" s="426"/>
      <c r="Q241" s="426"/>
      <c r="R241" s="426"/>
      <c r="S241" s="426"/>
      <c r="T241" s="427"/>
      <c r="U241" s="427"/>
      <c r="V241" s="421"/>
      <c r="W241" s="421"/>
      <c r="X241" s="622"/>
      <c r="Y241" s="421"/>
      <c r="Z241" s="327"/>
      <c r="AA241" s="289"/>
      <c r="AB241" s="289"/>
      <c r="AC241" s="289"/>
      <c r="AD241" s="289"/>
      <c r="AE241" s="289"/>
      <c r="AF241" s="289"/>
      <c r="AG241" s="289"/>
      <c r="AH241" s="289"/>
      <c r="AI241" s="289"/>
      <c r="AJ241" s="289"/>
      <c r="AK241" s="289"/>
      <c r="AL241" s="289"/>
      <c r="AM241" s="289"/>
      <c r="AN241" s="289"/>
      <c r="AO241" s="289"/>
      <c r="AP241" s="289"/>
      <c r="AQ241" s="289"/>
      <c r="AR241" s="289"/>
      <c r="AS241" s="289"/>
      <c r="AT241" s="289"/>
      <c r="AU241" s="289"/>
      <c r="AV241" s="289"/>
      <c r="AW241" s="289"/>
      <c r="AX241" s="289"/>
      <c r="AY241" s="289"/>
      <c r="AZ241" s="289"/>
    </row>
    <row r="242" spans="1:59" ht="16.05" customHeight="1" thickBot="1" x14ac:dyDescent="0.55000000000000004">
      <c r="A242" s="289"/>
      <c r="B242" s="585" t="str">
        <f ca="1">IF(B243="","",
IF(
   OR(
      INDIRECT("'1a. Input organisatieniveau'!AC" &amp; (7 + INT((ROW()-4)/7)))="",
      INDIRECT("'1a. Input organisatieniveau'!AC" &amp; (7 + INT((ROW()-4)/7)))=0
   ),
   "",
   INDIRECT("'1a. Input organisatieniveau'!AC" &amp; (7 + INT((ROW()-4)/7)))
))</f>
        <v/>
      </c>
      <c r="C242" s="324" t="s">
        <v>779</v>
      </c>
      <c r="D242" s="416"/>
      <c r="E242" s="428"/>
      <c r="F242" s="422" t="str">
        <f t="shared" ref="F242:U242" ca="1" si="34">IF($B243="","",
IF($D244="Gebruik % van maximum salaris",
 IF(OR(AND(AND(F243&lt;&gt;"",F244&lt;&gt;""),F246=""),AND(F246="",F247&lt;&gt;"")),"!",""),
 IF(OR(AND(AND(F243&lt;&gt;"",F245&lt;&gt;""),F246=""),AND(F246="",F247&lt;&gt;"")),"!","")))</f>
        <v/>
      </c>
      <c r="G242" s="422" t="str">
        <f t="shared" ca="1" si="34"/>
        <v/>
      </c>
      <c r="H242" s="422" t="str">
        <f t="shared" ca="1" si="34"/>
        <v/>
      </c>
      <c r="I242" s="422" t="str">
        <f t="shared" ca="1" si="34"/>
        <v/>
      </c>
      <c r="J242" s="422" t="str">
        <f t="shared" ca="1" si="34"/>
        <v/>
      </c>
      <c r="K242" s="422" t="str">
        <f t="shared" ca="1" si="34"/>
        <v/>
      </c>
      <c r="L242" s="422" t="str">
        <f t="shared" ca="1" si="34"/>
        <v/>
      </c>
      <c r="M242" s="422" t="str">
        <f t="shared" ca="1" si="34"/>
        <v/>
      </c>
      <c r="N242" s="422" t="str">
        <f t="shared" ca="1" si="34"/>
        <v/>
      </c>
      <c r="O242" s="422" t="str">
        <f t="shared" ca="1" si="34"/>
        <v/>
      </c>
      <c r="P242" s="422" t="str">
        <f t="shared" ca="1" si="34"/>
        <v/>
      </c>
      <c r="Q242" s="422" t="str">
        <f t="shared" ca="1" si="34"/>
        <v/>
      </c>
      <c r="R242" s="422" t="str">
        <f t="shared" ca="1" si="34"/>
        <v/>
      </c>
      <c r="S242" s="422" t="str">
        <f t="shared" ca="1" si="34"/>
        <v/>
      </c>
      <c r="T242" s="422" t="str">
        <f t="shared" ca="1" si="34"/>
        <v/>
      </c>
      <c r="U242" s="422" t="str">
        <f t="shared" ca="1" si="34"/>
        <v/>
      </c>
      <c r="V242" s="416"/>
      <c r="W242" s="416"/>
      <c r="X242" s="619"/>
      <c r="Y242" s="416"/>
      <c r="Z242" s="330"/>
      <c r="AA242" s="354"/>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89"/>
      <c r="AY242" s="289"/>
      <c r="AZ242" s="289"/>
    </row>
    <row r="243" spans="1:59" ht="16.05" customHeight="1" thickBot="1" x14ac:dyDescent="0.5">
      <c r="A243" s="289"/>
      <c r="B243" s="586" t="str">
        <f ca="1">IF(
   OR(
      INDIRECT("'1a. Input organisatieniveau'!AA" &amp; (7 + INT((ROW()-4)/7)))="",
      INDIRECT("'1a. Input organisatieniveau'!AA" &amp; (7 + INT((ROW()-4)/7)))=0
   ),
   "",
   INDIRECT("'1a. Input organisatieniveau'!AA" &amp; (7 + INT((ROW()-4)/7)))
)</f>
        <v/>
      </c>
      <c r="C243" s="325" t="s">
        <v>779</v>
      </c>
      <c r="D243" s="434"/>
      <c r="E243" s="429" t="s">
        <v>28</v>
      </c>
      <c r="F243" s="423" t="str">
        <f ca="1">IF($B243="", "", IF($BF246, IF('Hulp (CAO''s)'!J$8&lt;&gt;"",'Hulp (CAO''s)'!J$8,""), INDEX('Hulp (CAO''s)'!J$3:J$7, MATCH(TRUE, 'Hulp (CAO''s)'!$D$3:$D$7, 0))))</f>
        <v/>
      </c>
      <c r="G243" s="423" t="str">
        <f ca="1">IF($B243="", "", IF($BF246, IF('Hulp (CAO''s)'!K$8&lt;&gt;"",'Hulp (CAO''s)'!K$8,""), INDEX('Hulp (CAO''s)'!K$3:K$7, MATCH(TRUE, 'Hulp (CAO''s)'!$D$3:$D$7, 0))))</f>
        <v/>
      </c>
      <c r="H243" s="423" t="str">
        <f ca="1">IF($B243="", "", IF($BF246, IF('Hulp (CAO''s)'!L$8&lt;&gt;"",'Hulp (CAO''s)'!L$8,""), INDEX('Hulp (CAO''s)'!L$3:L$7, MATCH(TRUE, 'Hulp (CAO''s)'!$D$3:$D$7, 0))))</f>
        <v/>
      </c>
      <c r="I243" s="423" t="str">
        <f ca="1">IF($B243="", "", IF($BF246, IF('Hulp (CAO''s)'!M$8&lt;&gt;"",'Hulp (CAO''s)'!M$8,""), INDEX('Hulp (CAO''s)'!M$3:M$7, MATCH(TRUE, 'Hulp (CAO''s)'!$D$3:$D$7, 0))))</f>
        <v/>
      </c>
      <c r="J243" s="423" t="str">
        <f ca="1">IF($B243="", "", IF($BF246, IF('Hulp (CAO''s)'!N$8&lt;&gt;"",'Hulp (CAO''s)'!N$8,""), INDEX('Hulp (CAO''s)'!N$3:N$7, MATCH(TRUE, 'Hulp (CAO''s)'!$D$3:$D$7, 0))))</f>
        <v/>
      </c>
      <c r="K243" s="423" t="str">
        <f ca="1">IF($B243="", "", IF($BF246, IF('Hulp (CAO''s)'!O$8&lt;&gt;"",'Hulp (CAO''s)'!O$8,""), INDEX('Hulp (CAO''s)'!O$3:O$7, MATCH(TRUE, 'Hulp (CAO''s)'!$D$3:$D$7, 0))))</f>
        <v/>
      </c>
      <c r="L243" s="423" t="str">
        <f ca="1">IF($B243="", "", IF($BF246, IF('Hulp (CAO''s)'!P$8&lt;&gt;"",'Hulp (CAO''s)'!P$8,""), INDEX('Hulp (CAO''s)'!P$3:P$7, MATCH(TRUE, 'Hulp (CAO''s)'!$D$3:$D$7, 0))))</f>
        <v/>
      </c>
      <c r="M243" s="423" t="str">
        <f ca="1">IF($B243="", "", IF($BF246, IF('Hulp (CAO''s)'!Q$8&lt;&gt;"",'Hulp (CAO''s)'!Q$8,""), INDEX('Hulp (CAO''s)'!Q$3:Q$7, MATCH(TRUE, 'Hulp (CAO''s)'!$D$3:$D$7, 0))))</f>
        <v/>
      </c>
      <c r="N243" s="423" t="str">
        <f ca="1">IF($B243="", "", IF($BF246, IF('Hulp (CAO''s)'!R$8&lt;&gt;"",'Hulp (CAO''s)'!R$8,""), INDEX('Hulp (CAO''s)'!R$3:R$7, MATCH(TRUE, 'Hulp (CAO''s)'!$D$3:$D$7, 0))))</f>
        <v/>
      </c>
      <c r="O243" s="423" t="str">
        <f ca="1">IF($B243="", "", IF($BF246, IF('Hulp (CAO''s)'!S$8&lt;&gt;"",'Hulp (CAO''s)'!S$8,""), INDEX('Hulp (CAO''s)'!S$3:S$7, MATCH(TRUE, 'Hulp (CAO''s)'!$D$3:$D$7, 0))))</f>
        <v/>
      </c>
      <c r="P243" s="423" t="str">
        <f ca="1">IF($B243="", "", IF($BF246, IF('Hulp (CAO''s)'!T$8&lt;&gt;"",'Hulp (CAO''s)'!T$8,""), INDEX('Hulp (CAO''s)'!T$3:T$7, MATCH(TRUE, 'Hulp (CAO''s)'!$D$3:$D$7, 0))))</f>
        <v/>
      </c>
      <c r="Q243" s="423" t="str">
        <f ca="1">IF($B243="", "", IF($BF246, IF('Hulp (CAO''s)'!U$8&lt;&gt;"",'Hulp (CAO''s)'!U$8,""), INDEX('Hulp (CAO''s)'!U$3:U$7, MATCH(TRUE, 'Hulp (CAO''s)'!$D$3:$D$7, 0))))</f>
        <v/>
      </c>
      <c r="R243" s="423" t="str">
        <f ca="1">IF($B243="", "", IF($BF246, IF('Hulp (CAO''s)'!V$8&lt;&gt;"",'Hulp (CAO''s)'!V$8,""), INDEX('Hulp (CAO''s)'!V$3:V$7, MATCH(TRUE, 'Hulp (CAO''s)'!$D$3:$D$7, 0))))</f>
        <v/>
      </c>
      <c r="S243" s="423" t="str">
        <f ca="1">IF($B243="", "", IF($BF246, IF('Hulp (CAO''s)'!W$8&lt;&gt;"",'Hulp (CAO''s)'!W$8,""), INDEX('Hulp (CAO''s)'!W$3:W$7, MATCH(TRUE, 'Hulp (CAO''s)'!$D$3:$D$7, 0))))</f>
        <v/>
      </c>
      <c r="T243" s="423" t="str">
        <f ca="1">IF($B243="", "", IF($BF246, IF('Hulp (CAO''s)'!X$8&lt;&gt;"",'Hulp (CAO''s)'!X$8,""), INDEX('Hulp (CAO''s)'!X$3:X$7, MATCH(TRUE, 'Hulp (CAO''s)'!$D$3:$D$7, 0))))</f>
        <v/>
      </c>
      <c r="U243" s="424" t="str">
        <f ca="1">IF($B243="", "", IF($BF246, IF('Hulp (CAO''s)'!Y$8&lt;&gt;"",'Hulp (CAO''s)'!Y$8,""), INDEX('Hulp (CAO''s)'!Y$3:Y$7, MATCH(TRUE, 'Hulp (CAO''s)'!$D$3:$D$7, 0))))</f>
        <v/>
      </c>
      <c r="V243" s="417"/>
      <c r="W243" s="343"/>
      <c r="X243" s="617"/>
      <c r="Y243" s="343"/>
      <c r="Z243" s="329"/>
      <c r="AA243" s="320"/>
      <c r="AB243" s="289"/>
      <c r="AC243" s="289"/>
      <c r="AD243" s="289"/>
      <c r="AE243" s="289"/>
      <c r="AF243" s="289"/>
      <c r="AG243" s="289"/>
      <c r="AH243" s="289"/>
      <c r="AI243" s="289"/>
      <c r="AJ243" s="289"/>
      <c r="AK243" s="289"/>
      <c r="AL243" s="289"/>
      <c r="AM243" s="289"/>
      <c r="AN243" s="289"/>
      <c r="AO243" s="289"/>
      <c r="AP243" s="289"/>
      <c r="AQ243" s="289"/>
      <c r="AR243" s="289"/>
      <c r="AS243" s="289"/>
      <c r="AT243" s="289"/>
      <c r="AU243" s="289"/>
      <c r="AV243" s="289"/>
      <c r="AW243" s="289"/>
      <c r="AX243" s="289"/>
      <c r="AY243" s="289"/>
      <c r="AZ243" s="289"/>
    </row>
    <row r="244" spans="1:59" ht="16.05" customHeight="1" x14ac:dyDescent="0.45">
      <c r="A244" s="289"/>
      <c r="B244" s="343"/>
      <c r="C244" s="325" t="s">
        <v>779</v>
      </c>
      <c r="D244" s="772" t="s">
        <v>772</v>
      </c>
      <c r="E244" s="430" t="e">
        <f ca="1">IF($BF246, "", "% t.o.v. max salaris in de schaal")</f>
        <v>#VALUE!</v>
      </c>
      <c r="F244" s="615"/>
      <c r="G244" s="615"/>
      <c r="H244" s="615"/>
      <c r="I244" s="615"/>
      <c r="J244" s="615"/>
      <c r="K244" s="615"/>
      <c r="L244" s="615"/>
      <c r="M244" s="615"/>
      <c r="N244" s="615"/>
      <c r="O244" s="615"/>
      <c r="P244" s="615"/>
      <c r="Q244" s="615"/>
      <c r="R244" s="615"/>
      <c r="S244" s="615"/>
      <c r="T244" s="615"/>
      <c r="U244" s="616"/>
      <c r="V244" s="774" t="s">
        <v>884</v>
      </c>
      <c r="W244" s="332"/>
      <c r="X244" s="776" t="s">
        <v>882</v>
      </c>
      <c r="Y244" s="778" t="s">
        <v>883</v>
      </c>
      <c r="Z244" s="329"/>
      <c r="AA244" s="771" t="s">
        <v>780</v>
      </c>
      <c r="AB244" s="770" t="s">
        <v>1079</v>
      </c>
      <c r="AC244" s="289"/>
      <c r="AD244" s="289"/>
      <c r="AE244" s="289"/>
      <c r="AF244" s="289"/>
      <c r="AG244" s="289"/>
      <c r="AH244" s="289"/>
      <c r="AI244" s="289"/>
      <c r="AJ244" s="289"/>
      <c r="AK244" s="289"/>
      <c r="AL244" s="289"/>
      <c r="AM244" s="289"/>
      <c r="AN244" s="289"/>
      <c r="AO244" s="289"/>
      <c r="AP244" s="289"/>
      <c r="AQ244" s="289"/>
      <c r="AR244" s="289"/>
      <c r="AS244" s="289"/>
      <c r="AT244" s="289"/>
      <c r="AU244" s="289"/>
      <c r="AV244" s="289"/>
      <c r="AW244" s="289"/>
      <c r="AX244" s="289"/>
      <c r="AY244" s="289"/>
      <c r="AZ244" s="289"/>
    </row>
    <row r="245" spans="1:59" ht="16.05" customHeight="1" thickBot="1" x14ac:dyDescent="0.5">
      <c r="A245" s="289"/>
      <c r="B245" s="343"/>
      <c r="C245" s="325" t="s">
        <v>779</v>
      </c>
      <c r="D245" s="773"/>
      <c r="E245" s="431" t="e">
        <f ca="1">IF($BF246, "", "Trede (gemiddeld)")</f>
        <v>#VALUE!</v>
      </c>
      <c r="F245" s="737"/>
      <c r="G245" s="737"/>
      <c r="H245" s="737"/>
      <c r="I245" s="737"/>
      <c r="J245" s="737"/>
      <c r="K245" s="737"/>
      <c r="L245" s="737"/>
      <c r="M245" s="737"/>
      <c r="N245" s="737"/>
      <c r="O245" s="737"/>
      <c r="P245" s="737"/>
      <c r="Q245" s="737"/>
      <c r="R245" s="737"/>
      <c r="S245" s="737"/>
      <c r="T245" s="737"/>
      <c r="U245" s="740"/>
      <c r="V245" s="775"/>
      <c r="W245" s="294"/>
      <c r="X245" s="777"/>
      <c r="Y245" s="779"/>
      <c r="Z245" s="329"/>
      <c r="AA245" s="771"/>
      <c r="AB245" s="770"/>
      <c r="AC245" s="289"/>
      <c r="AD245" s="289"/>
      <c r="AE245" s="289"/>
      <c r="AF245" s="289"/>
      <c r="AG245" s="289"/>
      <c r="AH245" s="289"/>
      <c r="AI245" s="289"/>
      <c r="AJ245" s="289"/>
      <c r="AK245" s="289"/>
      <c r="AL245" s="289"/>
      <c r="AM245" s="289"/>
      <c r="AN245" s="289"/>
      <c r="AO245" s="289"/>
      <c r="AP245" s="289"/>
      <c r="AQ245" s="289"/>
      <c r="AR245" s="289"/>
      <c r="AS245" s="289"/>
      <c r="AT245" s="289"/>
      <c r="AU245" s="289"/>
      <c r="AV245" s="289"/>
      <c r="AW245" s="289"/>
      <c r="AX245" s="289"/>
      <c r="AY245" s="289"/>
      <c r="AZ245" s="289"/>
    </row>
    <row r="246" spans="1:59" ht="16.05" customHeight="1" thickBot="1" x14ac:dyDescent="0.5">
      <c r="A246" s="289"/>
      <c r="B246" s="343"/>
      <c r="C246" s="325" t="s">
        <v>779</v>
      </c>
      <c r="E246" s="432" t="str">
        <f>IFERROR(
   INDEX('Hulp (CAO''s)'!$I$3:$I$7, MATCH(TRUE, 'Hulp (CAO''s)'!$D$3:$D$7, 0)),
"")</f>
        <v>Bruto maandsalaris</v>
      </c>
      <c r="F246" s="425" t="e" cm="1">
        <f t="array" aca="1" ref="F246" ca="1">IF($BF246, IF(F243="","",
   INDEX(
      INDIRECT("'" &amp; 'Hulp (CAO''s)'!$AE$8 &amp; "'!" &amp;
               'Hulp (overig)'!$C$17 &amp; "1:" &amp;
               'Hulp (overig)'!$C$17 &amp; "1000"),
      MATCH(
         F243,
         INDIRECT("'" &amp; 'Hulp (CAO''s)'!$AE$8 &amp; "'!A1:A1000"),
         0
      )
   )
), IF($D244="Gebruik % van maximum salaris",
IF(
    OR(F243="",F244=""),
    "",
    MAX(
        INDIRECT(
            "'" &amp; 'Hulp (overig)'!$C$16 &amp; "'!" &amp;
            'Hulp (overig)'!$C$17 &amp;
            MATCH(F243, INDIRECT("'" &amp; 'Hulp (overig)'!$C$16 &amp; "'!A1:A1000"), 0) &amp;
            ":" &amp;
            'Hulp (overig)'!$C$17 &amp;
LOOKUP(
    2,
    1 / (
        (ROW(INDIRECT("'" &amp; 'Hulp (overig)'!$C$16 &amp; "'!B1:B1000")) &lt;
            IF(G243&lt;&gt;"",
               MATCH(G243, INDIRECT("'" &amp; 'Hulp (overig)'!$C$16 &amp; "'!A1:A1000"),0),
               1000
            )
        ) *
        (LEFT(TRIM(INDIRECT("'" &amp; 'Hulp (overig)'!$C$16 &amp; "'!B1:B1000")),1) &lt;&gt; "u")
    ),
    ROW(INDIRECT("'" &amp; 'Hulp (overig)'!$C$16 &amp; "'!B1:B1000"))
)
        )
    ) * F244
),
IF(F245="","",
IF(
    IFERROR(MIN(
        IF(
            (TRIM(INDIRECT("'" &amp; 'Hulp (overig)'!$C$16 &amp; "'!B1:B1000")) = TEXT(F245,"0")) *
            (ROW(INDIRECT("'" &amp; 'Hulp (overig)'!$C$16 &amp; "'!B1:B1000")) &gt;= MATCH(
                F243,
                INDIRECT("'" &amp; 'Hulp (overig)'!$C$16 &amp; "'!A1:A1000"),
                0
            )) *
            IF(
                G243="",
                1,
                (ROW(INDIRECT("'" &amp; 'Hulp (overig)'!$C$16 &amp; "'!B1:B1000")) &lt; MATCH(
                    G243,
                    INDIRECT("'" &amp; 'Hulp (overig)'!$C$16 &amp; "'!A1:A1000"),
                    0
                ))
            ),
            ROW(INDIRECT("'" &amp; 'Hulp (overig)'!$C$16 &amp; "'!B1:B1000"))
        )
    ),0) &lt; 1,
    "",
    IF(INDEX(
        INDIRECT("'" &amp; 'Hulp (overig)'!$C$16 &amp; "'!" &amp;
        'Hulp (overig)'!$C$17 &amp; "1:" &amp; 'Hulp (overig)'!$C$17 &amp; 1000
        ),
        IFERROR(MIN(
            IF(
                (TRIM(INDIRECT("'" &amp; 'Hulp (overig)'!$C$16 &amp; "'!B1:B1000")) = TEXT(F245,"0")) *
                (ROW(INDIRECT("'" &amp; 'Hulp (overig)'!$C$16 &amp; "'!B1:B1000")) &gt;= MATCH(
                    F243,
                    INDIRECT("'" &amp; 'Hulp (overig)'!$C$16 &amp; "'!A1:A1000"),
                    0
                )) *
                IF(
                    G243="",
                    1,
                    (ROW(INDIRECT("'" &amp; 'Hulp (overig)'!$C$16 &amp; "'!B1:B1000")) &lt; MATCH(
                        G243,
                        INDIRECT("'" &amp; 'Hulp (overig)'!$C$16 &amp; "'!A1:A1000"),
                        0
                    ))
                ),
                ROW(INDIRECT("'" &amp; 'Hulp (overig)'!$C$16 &amp; "'!B1:B1000"))
            )
        ),0)
    )=0,"",
INDEX(
        INDIRECT("'" &amp; 'Hulp (overig)'!$C$16 &amp; "'!" &amp;
        'Hulp (overig)'!$C$17 &amp; "1:" &amp; 'Hulp (overig)'!$C$17 &amp; 1000
        ),
        IFERROR(MIN(
            IF(
                (TRIM(INDIRECT("'" &amp; 'Hulp (overig)'!$C$16 &amp; "'!B1:B1000")) = TEXT(F245,"0")) *
                (ROW(INDIRECT("'" &amp; 'Hulp (overig)'!$C$16 &amp; "'!B1:B1000")) &gt;= MATCH(
                    F243,
                    INDIRECT("'" &amp; 'Hulp (overig)'!$C$16 &amp; "'!A1:A1000"),
                    0
                )) *
                IF(
                    G243="",
                    1,
                    (ROW(INDIRECT("'" &amp; 'Hulp (overig)'!$C$16 &amp; "'!B1:B1000")) &lt; MATCH(
                        G243,
                        INDIRECT("'" &amp; 'Hulp (overig)'!$C$16 &amp; "'!A1:A1000"),
                        0
                    ))
                ),
                ROW(INDIRECT("'" &amp; 'Hulp (overig)'!$C$16 &amp; "'!B1:B1000"))
            )
        ),0)
    ))
))))</f>
        <v>#VALUE!</v>
      </c>
      <c r="G246" s="425" t="e" cm="1">
        <f t="array" aca="1" ref="G246" ca="1">IF($BF246, IF(G243="","",
   INDEX(
      INDIRECT("'" &amp; 'Hulp (CAO''s)'!$AE$8 &amp; "'!" &amp;
               'Hulp (overig)'!$C$17 &amp; "1:" &amp;
               'Hulp (overig)'!$C$17 &amp; "1000"),
      MATCH(
         G243,
         INDIRECT("'" &amp; 'Hulp (CAO''s)'!$AE$8 &amp; "'!A1:A1000"),
         0
      )
   )
), IF($D244="Gebruik % van maximum salaris",
IF(
    OR(G243="",G244=""),
    "",
    MAX(
        INDIRECT(
            "'" &amp; 'Hulp (overig)'!$C$16 &amp; "'!" &amp;
            'Hulp (overig)'!$C$17 &amp;
            MATCH(G243, INDIRECT("'" &amp; 'Hulp (overig)'!$C$16 &amp; "'!A1:A1000"), 0) &amp;
            ":" &amp;
            'Hulp (overig)'!$C$17 &amp;
LOOKUP(
    2,
    1 / (
        (ROW(INDIRECT("'" &amp; 'Hulp (overig)'!$C$16 &amp; "'!B1:B1000")) &lt;
            IF(H243&lt;&gt;"",
               MATCH(H243, INDIRECT("'" &amp; 'Hulp (overig)'!$C$16 &amp; "'!A1:A1000"),0),
               1000
            )
        ) *
        (LEFT(TRIM(INDIRECT("'" &amp; 'Hulp (overig)'!$C$16 &amp; "'!B1:B1000")),1) &lt;&gt; "u")
    ),
    ROW(INDIRECT("'" &amp; 'Hulp (overig)'!$C$16 &amp; "'!B1:B1000"))
)
        )
    ) * G244
),
IF(G245="","",
IF(
    IFERROR(MIN(
        IF(
            (TRIM(INDIRECT("'" &amp; 'Hulp (overig)'!$C$16 &amp; "'!B1:B1000")) = TEXT(G245,"0")) *
            (ROW(INDIRECT("'" &amp; 'Hulp (overig)'!$C$16 &amp; "'!B1:B1000")) &gt;= MATCH(
                G243,
                INDIRECT("'" &amp; 'Hulp (overig)'!$C$16 &amp; "'!A1:A1000"),
                0
            )) *
            IF(
                H243="",
                1,
                (ROW(INDIRECT("'" &amp; 'Hulp (overig)'!$C$16 &amp; "'!B1:B1000")) &lt; MATCH(
                    H243,
                    INDIRECT("'" &amp; 'Hulp (overig)'!$C$16 &amp; "'!A1:A1000"),
                    0
                ))
            ),
            ROW(INDIRECT("'" &amp; 'Hulp (overig)'!$C$16 &amp; "'!B1:B1000"))
        )
    ),0) &lt; 1,
    "",
    IF(INDEX(
        INDIRECT("'" &amp; 'Hulp (overig)'!$C$16 &amp; "'!" &amp;
        'Hulp (overig)'!$C$17 &amp; "1:" &amp; 'Hulp (overig)'!$C$17 &amp; 1000
        ),
        IFERROR(MIN(
            IF(
                (TRIM(INDIRECT("'" &amp; 'Hulp (overig)'!$C$16 &amp; "'!B1:B1000")) = TEXT(G245,"0")) *
                (ROW(INDIRECT("'" &amp; 'Hulp (overig)'!$C$16 &amp; "'!B1:B1000")) &gt;= MATCH(
                    G243,
                    INDIRECT("'" &amp; 'Hulp (overig)'!$C$16 &amp; "'!A1:A1000"),
                    0
                )) *
                IF(
                    H243="",
                    1,
                    (ROW(INDIRECT("'" &amp; 'Hulp (overig)'!$C$16 &amp; "'!B1:B1000")) &lt; MATCH(
                        H243,
                        INDIRECT("'" &amp; 'Hulp (overig)'!$C$16 &amp; "'!A1:A1000"),
                        0
                    ))
                ),
                ROW(INDIRECT("'" &amp; 'Hulp (overig)'!$C$16 &amp; "'!B1:B1000"))
            )
        ),0)
    )=0,"",
INDEX(
        INDIRECT("'" &amp; 'Hulp (overig)'!$C$16 &amp; "'!" &amp;
        'Hulp (overig)'!$C$17 &amp; "1:" &amp; 'Hulp (overig)'!$C$17 &amp; 1000
        ),
        IFERROR(MIN(
            IF(
                (TRIM(INDIRECT("'" &amp; 'Hulp (overig)'!$C$16 &amp; "'!B1:B1000")) = TEXT(G245,"0")) *
                (ROW(INDIRECT("'" &amp; 'Hulp (overig)'!$C$16 &amp; "'!B1:B1000")) &gt;= MATCH(
                    G243,
                    INDIRECT("'" &amp; 'Hulp (overig)'!$C$16 &amp; "'!A1:A1000"),
                    0
                )) *
                IF(
                    H243="",
                    1,
                    (ROW(INDIRECT("'" &amp; 'Hulp (overig)'!$C$16 &amp; "'!B1:B1000")) &lt; MATCH(
                        H243,
                        INDIRECT("'" &amp; 'Hulp (overig)'!$C$16 &amp; "'!A1:A1000"),
                        0
                    ))
                ),
                ROW(INDIRECT("'" &amp; 'Hulp (overig)'!$C$16 &amp; "'!B1:B1000"))
            )
        ),0)
    ))
))))</f>
        <v>#VALUE!</v>
      </c>
      <c r="H246" s="425" t="e" cm="1">
        <f t="array" aca="1" ref="H246" ca="1">IF($BF246, IF(H243="","",
   INDEX(
      INDIRECT("'" &amp; 'Hulp (CAO''s)'!$AE$8 &amp; "'!" &amp;
               'Hulp (overig)'!$C$17 &amp; "1:" &amp;
               'Hulp (overig)'!$C$17 &amp; "1000"),
      MATCH(
         H243,
         INDIRECT("'" &amp; 'Hulp (CAO''s)'!$AE$8 &amp; "'!A1:A1000"),
         0
      )
   )
), IF($D244="Gebruik % van maximum salaris",
IF(
    OR(H243="",H244=""),
    "",
    MAX(
        INDIRECT(
            "'" &amp; 'Hulp (overig)'!$C$16 &amp; "'!" &amp;
            'Hulp (overig)'!$C$17 &amp;
            MATCH(H243, INDIRECT("'" &amp; 'Hulp (overig)'!$C$16 &amp; "'!A1:A1000"), 0) &amp;
            ":" &amp;
            'Hulp (overig)'!$C$17 &amp;
LOOKUP(
    2,
    1 / (
        (ROW(INDIRECT("'" &amp; 'Hulp (overig)'!$C$16 &amp; "'!B1:B1000")) &lt;
            IF(I243&lt;&gt;"",
               MATCH(I243, INDIRECT("'" &amp; 'Hulp (overig)'!$C$16 &amp; "'!A1:A1000"),0),
               1000
            )
        ) *
        (LEFT(TRIM(INDIRECT("'" &amp; 'Hulp (overig)'!$C$16 &amp; "'!B1:B1000")),1) &lt;&gt; "u")
    ),
    ROW(INDIRECT("'" &amp; 'Hulp (overig)'!$C$16 &amp; "'!B1:B1000"))
)
        )
    ) * H244
),
IF(H245="","",
IF(
    IFERROR(MIN(
        IF(
            (TRIM(INDIRECT("'" &amp; 'Hulp (overig)'!$C$16 &amp; "'!B1:B1000")) = TEXT(H245,"0")) *
            (ROW(INDIRECT("'" &amp; 'Hulp (overig)'!$C$16 &amp; "'!B1:B1000")) &gt;= MATCH(
                H243,
                INDIRECT("'" &amp; 'Hulp (overig)'!$C$16 &amp; "'!A1:A1000"),
                0
            )) *
            IF(
                I243="",
                1,
                (ROW(INDIRECT("'" &amp; 'Hulp (overig)'!$C$16 &amp; "'!B1:B1000")) &lt; MATCH(
                    I243,
                    INDIRECT("'" &amp; 'Hulp (overig)'!$C$16 &amp; "'!A1:A1000"),
                    0
                ))
            ),
            ROW(INDIRECT("'" &amp; 'Hulp (overig)'!$C$16 &amp; "'!B1:B1000"))
        )
    ),0) &lt; 1,
    "",
    IF(INDEX(
        INDIRECT("'" &amp; 'Hulp (overig)'!$C$16 &amp; "'!" &amp;
        'Hulp (overig)'!$C$17 &amp; "1:" &amp; 'Hulp (overig)'!$C$17 &amp; 1000
        ),
        IFERROR(MIN(
            IF(
                (TRIM(INDIRECT("'" &amp; 'Hulp (overig)'!$C$16 &amp; "'!B1:B1000")) = TEXT(H245,"0")) *
                (ROW(INDIRECT("'" &amp; 'Hulp (overig)'!$C$16 &amp; "'!B1:B1000")) &gt;= MATCH(
                    H243,
                    INDIRECT("'" &amp; 'Hulp (overig)'!$C$16 &amp; "'!A1:A1000"),
                    0
                )) *
                IF(
                    I243="",
                    1,
                    (ROW(INDIRECT("'" &amp; 'Hulp (overig)'!$C$16 &amp; "'!B1:B1000")) &lt; MATCH(
                        I243,
                        INDIRECT("'" &amp; 'Hulp (overig)'!$C$16 &amp; "'!A1:A1000"),
                        0
                    ))
                ),
                ROW(INDIRECT("'" &amp; 'Hulp (overig)'!$C$16 &amp; "'!B1:B1000"))
            )
        ),0)
    )=0,"",
INDEX(
        INDIRECT("'" &amp; 'Hulp (overig)'!$C$16 &amp; "'!" &amp;
        'Hulp (overig)'!$C$17 &amp; "1:" &amp; 'Hulp (overig)'!$C$17 &amp; 1000
        ),
        IFERROR(MIN(
            IF(
                (TRIM(INDIRECT("'" &amp; 'Hulp (overig)'!$C$16 &amp; "'!B1:B1000")) = TEXT(H245,"0")) *
                (ROW(INDIRECT("'" &amp; 'Hulp (overig)'!$C$16 &amp; "'!B1:B1000")) &gt;= MATCH(
                    H243,
                    INDIRECT("'" &amp; 'Hulp (overig)'!$C$16 &amp; "'!A1:A1000"),
                    0
                )) *
                IF(
                    I243="",
                    1,
                    (ROW(INDIRECT("'" &amp; 'Hulp (overig)'!$C$16 &amp; "'!B1:B1000")) &lt; MATCH(
                        I243,
                        INDIRECT("'" &amp; 'Hulp (overig)'!$C$16 &amp; "'!A1:A1000"),
                        0
                    ))
                ),
                ROW(INDIRECT("'" &amp; 'Hulp (overig)'!$C$16 &amp; "'!B1:B1000"))
            )
        ),0)
    ))
))))</f>
        <v>#VALUE!</v>
      </c>
      <c r="I246" s="425" t="e" cm="1">
        <f t="array" aca="1" ref="I246" ca="1">IF($BF246, IF(I243="","",
   INDEX(
      INDIRECT("'" &amp; 'Hulp (CAO''s)'!$AE$8 &amp; "'!" &amp;
               'Hulp (overig)'!$C$17 &amp; "1:" &amp;
               'Hulp (overig)'!$C$17 &amp; "1000"),
      MATCH(
         I243,
         INDIRECT("'" &amp; 'Hulp (CAO''s)'!$AE$8 &amp; "'!A1:A1000"),
         0
      )
   )
), IF($D244="Gebruik % van maximum salaris",
IF(
    OR(I243="",I244=""),
    "",
    MAX(
        INDIRECT(
            "'" &amp; 'Hulp (overig)'!$C$16 &amp; "'!" &amp;
            'Hulp (overig)'!$C$17 &amp;
            MATCH(I243, INDIRECT("'" &amp; 'Hulp (overig)'!$C$16 &amp; "'!A1:A1000"), 0) &amp;
            ":" &amp;
            'Hulp (overig)'!$C$17 &amp;
LOOKUP(
    2,
    1 / (
        (ROW(INDIRECT("'" &amp; 'Hulp (overig)'!$C$16 &amp; "'!B1:B1000")) &lt;
            IF(J243&lt;&gt;"",
               MATCH(J243, INDIRECT("'" &amp; 'Hulp (overig)'!$C$16 &amp; "'!A1:A1000"),0),
               1000
            )
        ) *
        (LEFT(TRIM(INDIRECT("'" &amp; 'Hulp (overig)'!$C$16 &amp; "'!B1:B1000")),1) &lt;&gt; "u")
    ),
    ROW(INDIRECT("'" &amp; 'Hulp (overig)'!$C$16 &amp; "'!B1:B1000"))
)
        )
    ) * I244
),
IF(I245="","",
IF(
    IFERROR(MIN(
        IF(
            (TRIM(INDIRECT("'" &amp; 'Hulp (overig)'!$C$16 &amp; "'!B1:B1000")) = TEXT(I245,"0")) *
            (ROW(INDIRECT("'" &amp; 'Hulp (overig)'!$C$16 &amp; "'!B1:B1000")) &gt;= MATCH(
                I243,
                INDIRECT("'" &amp; 'Hulp (overig)'!$C$16 &amp; "'!A1:A1000"),
                0
            )) *
            IF(
                J243="",
                1,
                (ROW(INDIRECT("'" &amp; 'Hulp (overig)'!$C$16 &amp; "'!B1:B1000")) &lt; MATCH(
                    J243,
                    INDIRECT("'" &amp; 'Hulp (overig)'!$C$16 &amp; "'!A1:A1000"),
                    0
                ))
            ),
            ROW(INDIRECT("'" &amp; 'Hulp (overig)'!$C$16 &amp; "'!B1:B1000"))
        )
    ),0) &lt; 1,
    "",
    IF(INDEX(
        INDIRECT("'" &amp; 'Hulp (overig)'!$C$16 &amp; "'!" &amp;
        'Hulp (overig)'!$C$17 &amp; "1:" &amp; 'Hulp (overig)'!$C$17 &amp; 1000
        ),
        IFERROR(MIN(
            IF(
                (TRIM(INDIRECT("'" &amp; 'Hulp (overig)'!$C$16 &amp; "'!B1:B1000")) = TEXT(I245,"0")) *
                (ROW(INDIRECT("'" &amp; 'Hulp (overig)'!$C$16 &amp; "'!B1:B1000")) &gt;= MATCH(
                    I243,
                    INDIRECT("'" &amp; 'Hulp (overig)'!$C$16 &amp; "'!A1:A1000"),
                    0
                )) *
                IF(
                    J243="",
                    1,
                    (ROW(INDIRECT("'" &amp; 'Hulp (overig)'!$C$16 &amp; "'!B1:B1000")) &lt; MATCH(
                        J243,
                        INDIRECT("'" &amp; 'Hulp (overig)'!$C$16 &amp; "'!A1:A1000"),
                        0
                    ))
                ),
                ROW(INDIRECT("'" &amp; 'Hulp (overig)'!$C$16 &amp; "'!B1:B1000"))
            )
        ),0)
    )=0,"",
INDEX(
        INDIRECT("'" &amp; 'Hulp (overig)'!$C$16 &amp; "'!" &amp;
        'Hulp (overig)'!$C$17 &amp; "1:" &amp; 'Hulp (overig)'!$C$17 &amp; 1000
        ),
        IFERROR(MIN(
            IF(
                (TRIM(INDIRECT("'" &amp; 'Hulp (overig)'!$C$16 &amp; "'!B1:B1000")) = TEXT(I245,"0")) *
                (ROW(INDIRECT("'" &amp; 'Hulp (overig)'!$C$16 &amp; "'!B1:B1000")) &gt;= MATCH(
                    I243,
                    INDIRECT("'" &amp; 'Hulp (overig)'!$C$16 &amp; "'!A1:A1000"),
                    0
                )) *
                IF(
                    J243="",
                    1,
                    (ROW(INDIRECT("'" &amp; 'Hulp (overig)'!$C$16 &amp; "'!B1:B1000")) &lt; MATCH(
                        J243,
                        INDIRECT("'" &amp; 'Hulp (overig)'!$C$16 &amp; "'!A1:A1000"),
                        0
                    ))
                ),
                ROW(INDIRECT("'" &amp; 'Hulp (overig)'!$C$16 &amp; "'!B1:B1000"))
            )
        ),0)
    ))
))))</f>
        <v>#VALUE!</v>
      </c>
      <c r="J246" s="425" t="e" cm="1">
        <f t="array" aca="1" ref="J246" ca="1">IF($BF246, IF(J243="","",
   INDEX(
      INDIRECT("'" &amp; 'Hulp (CAO''s)'!$AE$8 &amp; "'!" &amp;
               'Hulp (overig)'!$C$17 &amp; "1:" &amp;
               'Hulp (overig)'!$C$17 &amp; "1000"),
      MATCH(
         J243,
         INDIRECT("'" &amp; 'Hulp (CAO''s)'!$AE$8 &amp; "'!A1:A1000"),
         0
      )
   )
), IF($D244="Gebruik % van maximum salaris",
IF(
    OR(J243="",J244=""),
    "",
    MAX(
        INDIRECT(
            "'" &amp; 'Hulp (overig)'!$C$16 &amp; "'!" &amp;
            'Hulp (overig)'!$C$17 &amp;
            MATCH(J243, INDIRECT("'" &amp; 'Hulp (overig)'!$C$16 &amp; "'!A1:A1000"), 0) &amp;
            ":" &amp;
            'Hulp (overig)'!$C$17 &amp;
LOOKUP(
    2,
    1 / (
        (ROW(INDIRECT("'" &amp; 'Hulp (overig)'!$C$16 &amp; "'!B1:B1000")) &lt;
            IF(K243&lt;&gt;"",
               MATCH(K243, INDIRECT("'" &amp; 'Hulp (overig)'!$C$16 &amp; "'!A1:A1000"),0),
               1000
            )
        ) *
        (LEFT(TRIM(INDIRECT("'" &amp; 'Hulp (overig)'!$C$16 &amp; "'!B1:B1000")),1) &lt;&gt; "u")
    ),
    ROW(INDIRECT("'" &amp; 'Hulp (overig)'!$C$16 &amp; "'!B1:B1000"))
)
        )
    ) * J244
),
IF(J245="","",
IF(
    IFERROR(MIN(
        IF(
            (TRIM(INDIRECT("'" &amp; 'Hulp (overig)'!$C$16 &amp; "'!B1:B1000")) = TEXT(J245,"0")) *
            (ROW(INDIRECT("'" &amp; 'Hulp (overig)'!$C$16 &amp; "'!B1:B1000")) &gt;= MATCH(
                J243,
                INDIRECT("'" &amp; 'Hulp (overig)'!$C$16 &amp; "'!A1:A1000"),
                0
            )) *
            IF(
                K243="",
                1,
                (ROW(INDIRECT("'" &amp; 'Hulp (overig)'!$C$16 &amp; "'!B1:B1000")) &lt; MATCH(
                    K243,
                    INDIRECT("'" &amp; 'Hulp (overig)'!$C$16 &amp; "'!A1:A1000"),
                    0
                ))
            ),
            ROW(INDIRECT("'" &amp; 'Hulp (overig)'!$C$16 &amp; "'!B1:B1000"))
        )
    ),0) &lt; 1,
    "",
    IF(INDEX(
        INDIRECT("'" &amp; 'Hulp (overig)'!$C$16 &amp; "'!" &amp;
        'Hulp (overig)'!$C$17 &amp; "1:" &amp; 'Hulp (overig)'!$C$17 &amp; 1000
        ),
        IFERROR(MIN(
            IF(
                (TRIM(INDIRECT("'" &amp; 'Hulp (overig)'!$C$16 &amp; "'!B1:B1000")) = TEXT(J245,"0")) *
                (ROW(INDIRECT("'" &amp; 'Hulp (overig)'!$C$16 &amp; "'!B1:B1000")) &gt;= MATCH(
                    J243,
                    INDIRECT("'" &amp; 'Hulp (overig)'!$C$16 &amp; "'!A1:A1000"),
                    0
                )) *
                IF(
                    K243="",
                    1,
                    (ROW(INDIRECT("'" &amp; 'Hulp (overig)'!$C$16 &amp; "'!B1:B1000")) &lt; MATCH(
                        K243,
                        INDIRECT("'" &amp; 'Hulp (overig)'!$C$16 &amp; "'!A1:A1000"),
                        0
                    ))
                ),
                ROW(INDIRECT("'" &amp; 'Hulp (overig)'!$C$16 &amp; "'!B1:B1000"))
            )
        ),0)
    )=0,"",
INDEX(
        INDIRECT("'" &amp; 'Hulp (overig)'!$C$16 &amp; "'!" &amp;
        'Hulp (overig)'!$C$17 &amp; "1:" &amp; 'Hulp (overig)'!$C$17 &amp; 1000
        ),
        IFERROR(MIN(
            IF(
                (TRIM(INDIRECT("'" &amp; 'Hulp (overig)'!$C$16 &amp; "'!B1:B1000")) = TEXT(J245,"0")) *
                (ROW(INDIRECT("'" &amp; 'Hulp (overig)'!$C$16 &amp; "'!B1:B1000")) &gt;= MATCH(
                    J243,
                    INDIRECT("'" &amp; 'Hulp (overig)'!$C$16 &amp; "'!A1:A1000"),
                    0
                )) *
                IF(
                    K243="",
                    1,
                    (ROW(INDIRECT("'" &amp; 'Hulp (overig)'!$C$16 &amp; "'!B1:B1000")) &lt; MATCH(
                        K243,
                        INDIRECT("'" &amp; 'Hulp (overig)'!$C$16 &amp; "'!A1:A1000"),
                        0
                    ))
                ),
                ROW(INDIRECT("'" &amp; 'Hulp (overig)'!$C$16 &amp; "'!B1:B1000"))
            )
        ),0)
    ))
))))</f>
        <v>#VALUE!</v>
      </c>
      <c r="K246" s="425" t="e" cm="1">
        <f t="array" aca="1" ref="K246" ca="1">IF($BF246, IF(K243="","",
   INDEX(
      INDIRECT("'" &amp; 'Hulp (CAO''s)'!$AE$8 &amp; "'!" &amp;
               'Hulp (overig)'!$C$17 &amp; "1:" &amp;
               'Hulp (overig)'!$C$17 &amp; "1000"),
      MATCH(
         K243,
         INDIRECT("'" &amp; 'Hulp (CAO''s)'!$AE$8 &amp; "'!A1:A1000"),
         0
      )
   )
), IF($D244="Gebruik % van maximum salaris",
IF(
    OR(K243="",K244=""),
    "",
    MAX(
        INDIRECT(
            "'" &amp; 'Hulp (overig)'!$C$16 &amp; "'!" &amp;
            'Hulp (overig)'!$C$17 &amp;
            MATCH(K243, INDIRECT("'" &amp; 'Hulp (overig)'!$C$16 &amp; "'!A1:A1000"), 0) &amp;
            ":" &amp;
            'Hulp (overig)'!$C$17 &amp;
LOOKUP(
    2,
    1 / (
        (ROW(INDIRECT("'" &amp; 'Hulp (overig)'!$C$16 &amp; "'!B1:B1000")) &lt;
            IF(L243&lt;&gt;"",
               MATCH(L243, INDIRECT("'" &amp; 'Hulp (overig)'!$C$16 &amp; "'!A1:A1000"),0),
               1000
            )
        ) *
        (LEFT(TRIM(INDIRECT("'" &amp; 'Hulp (overig)'!$C$16 &amp; "'!B1:B1000")),1) &lt;&gt; "u")
    ),
    ROW(INDIRECT("'" &amp; 'Hulp (overig)'!$C$16 &amp; "'!B1:B1000"))
)
        )
    ) * K244
),
IF(K245="","",
IF(
    IFERROR(MIN(
        IF(
            (TRIM(INDIRECT("'" &amp; 'Hulp (overig)'!$C$16 &amp; "'!B1:B1000")) = TEXT(K245,"0")) *
            (ROW(INDIRECT("'" &amp; 'Hulp (overig)'!$C$16 &amp; "'!B1:B1000")) &gt;= MATCH(
                K243,
                INDIRECT("'" &amp; 'Hulp (overig)'!$C$16 &amp; "'!A1:A1000"),
                0
            )) *
            IF(
                L243="",
                1,
                (ROW(INDIRECT("'" &amp; 'Hulp (overig)'!$C$16 &amp; "'!B1:B1000")) &lt; MATCH(
                    L243,
                    INDIRECT("'" &amp; 'Hulp (overig)'!$C$16 &amp; "'!A1:A1000"),
                    0
                ))
            ),
            ROW(INDIRECT("'" &amp; 'Hulp (overig)'!$C$16 &amp; "'!B1:B1000"))
        )
    ),0) &lt; 1,
    "",
    IF(INDEX(
        INDIRECT("'" &amp; 'Hulp (overig)'!$C$16 &amp; "'!" &amp;
        'Hulp (overig)'!$C$17 &amp; "1:" &amp; 'Hulp (overig)'!$C$17 &amp; 1000
        ),
        IFERROR(MIN(
            IF(
                (TRIM(INDIRECT("'" &amp; 'Hulp (overig)'!$C$16 &amp; "'!B1:B1000")) = TEXT(K245,"0")) *
                (ROW(INDIRECT("'" &amp; 'Hulp (overig)'!$C$16 &amp; "'!B1:B1000")) &gt;= MATCH(
                    K243,
                    INDIRECT("'" &amp; 'Hulp (overig)'!$C$16 &amp; "'!A1:A1000"),
                    0
                )) *
                IF(
                    L243="",
                    1,
                    (ROW(INDIRECT("'" &amp; 'Hulp (overig)'!$C$16 &amp; "'!B1:B1000")) &lt; MATCH(
                        L243,
                        INDIRECT("'" &amp; 'Hulp (overig)'!$C$16 &amp; "'!A1:A1000"),
                        0
                    ))
                ),
                ROW(INDIRECT("'" &amp; 'Hulp (overig)'!$C$16 &amp; "'!B1:B1000"))
            )
        ),0)
    )=0,"",
INDEX(
        INDIRECT("'" &amp; 'Hulp (overig)'!$C$16 &amp; "'!" &amp;
        'Hulp (overig)'!$C$17 &amp; "1:" &amp; 'Hulp (overig)'!$C$17 &amp; 1000
        ),
        IFERROR(MIN(
            IF(
                (TRIM(INDIRECT("'" &amp; 'Hulp (overig)'!$C$16 &amp; "'!B1:B1000")) = TEXT(K245,"0")) *
                (ROW(INDIRECT("'" &amp; 'Hulp (overig)'!$C$16 &amp; "'!B1:B1000")) &gt;= MATCH(
                    K243,
                    INDIRECT("'" &amp; 'Hulp (overig)'!$C$16 &amp; "'!A1:A1000"),
                    0
                )) *
                IF(
                    L243="",
                    1,
                    (ROW(INDIRECT("'" &amp; 'Hulp (overig)'!$C$16 &amp; "'!B1:B1000")) &lt; MATCH(
                        L243,
                        INDIRECT("'" &amp; 'Hulp (overig)'!$C$16 &amp; "'!A1:A1000"),
                        0
                    ))
                ),
                ROW(INDIRECT("'" &amp; 'Hulp (overig)'!$C$16 &amp; "'!B1:B1000"))
            )
        ),0)
    ))
))))</f>
        <v>#VALUE!</v>
      </c>
      <c r="L246" s="425" t="e" cm="1">
        <f t="array" aca="1" ref="L246" ca="1">IF($BF246, IF(L243="","",
   INDEX(
      INDIRECT("'" &amp; 'Hulp (CAO''s)'!$AE$8 &amp; "'!" &amp;
               'Hulp (overig)'!$C$17 &amp; "1:" &amp;
               'Hulp (overig)'!$C$17 &amp; "1000"),
      MATCH(
         L243,
         INDIRECT("'" &amp; 'Hulp (CAO''s)'!$AE$8 &amp; "'!A1:A1000"),
         0
      )
   )
), IF($D244="Gebruik % van maximum salaris",
IF(
    OR(L243="",L244=""),
    "",
    MAX(
        INDIRECT(
            "'" &amp; 'Hulp (overig)'!$C$16 &amp; "'!" &amp;
            'Hulp (overig)'!$C$17 &amp;
            MATCH(L243, INDIRECT("'" &amp; 'Hulp (overig)'!$C$16 &amp; "'!A1:A1000"), 0) &amp;
            ":" &amp;
            'Hulp (overig)'!$C$17 &amp;
LOOKUP(
    2,
    1 / (
        (ROW(INDIRECT("'" &amp; 'Hulp (overig)'!$C$16 &amp; "'!B1:B1000")) &lt;
            IF(M243&lt;&gt;"",
               MATCH(M243, INDIRECT("'" &amp; 'Hulp (overig)'!$C$16 &amp; "'!A1:A1000"),0),
               1000
            )
        ) *
        (LEFT(TRIM(INDIRECT("'" &amp; 'Hulp (overig)'!$C$16 &amp; "'!B1:B1000")),1) &lt;&gt; "u")
    ),
    ROW(INDIRECT("'" &amp; 'Hulp (overig)'!$C$16 &amp; "'!B1:B1000"))
)
        )
    ) * L244
),
IF(L245="","",
IF(
    IFERROR(MIN(
        IF(
            (TRIM(INDIRECT("'" &amp; 'Hulp (overig)'!$C$16 &amp; "'!B1:B1000")) = TEXT(L245,"0")) *
            (ROW(INDIRECT("'" &amp; 'Hulp (overig)'!$C$16 &amp; "'!B1:B1000")) &gt;= MATCH(
                L243,
                INDIRECT("'" &amp; 'Hulp (overig)'!$C$16 &amp; "'!A1:A1000"),
                0
            )) *
            IF(
                M243="",
                1,
                (ROW(INDIRECT("'" &amp; 'Hulp (overig)'!$C$16 &amp; "'!B1:B1000")) &lt; MATCH(
                    M243,
                    INDIRECT("'" &amp; 'Hulp (overig)'!$C$16 &amp; "'!A1:A1000"),
                    0
                ))
            ),
            ROW(INDIRECT("'" &amp; 'Hulp (overig)'!$C$16 &amp; "'!B1:B1000"))
        )
    ),0) &lt; 1,
    "",
    IF(INDEX(
        INDIRECT("'" &amp; 'Hulp (overig)'!$C$16 &amp; "'!" &amp;
        'Hulp (overig)'!$C$17 &amp; "1:" &amp; 'Hulp (overig)'!$C$17 &amp; 1000
        ),
        IFERROR(MIN(
            IF(
                (TRIM(INDIRECT("'" &amp; 'Hulp (overig)'!$C$16 &amp; "'!B1:B1000")) = TEXT(L245,"0")) *
                (ROW(INDIRECT("'" &amp; 'Hulp (overig)'!$C$16 &amp; "'!B1:B1000")) &gt;= MATCH(
                    L243,
                    INDIRECT("'" &amp; 'Hulp (overig)'!$C$16 &amp; "'!A1:A1000"),
                    0
                )) *
                IF(
                    M243="",
                    1,
                    (ROW(INDIRECT("'" &amp; 'Hulp (overig)'!$C$16 &amp; "'!B1:B1000")) &lt; MATCH(
                        M243,
                        INDIRECT("'" &amp; 'Hulp (overig)'!$C$16 &amp; "'!A1:A1000"),
                        0
                    ))
                ),
                ROW(INDIRECT("'" &amp; 'Hulp (overig)'!$C$16 &amp; "'!B1:B1000"))
            )
        ),0)
    )=0,"",
INDEX(
        INDIRECT("'" &amp; 'Hulp (overig)'!$C$16 &amp; "'!" &amp;
        'Hulp (overig)'!$C$17 &amp; "1:" &amp; 'Hulp (overig)'!$C$17 &amp; 1000
        ),
        IFERROR(MIN(
            IF(
                (TRIM(INDIRECT("'" &amp; 'Hulp (overig)'!$C$16 &amp; "'!B1:B1000")) = TEXT(L245,"0")) *
                (ROW(INDIRECT("'" &amp; 'Hulp (overig)'!$C$16 &amp; "'!B1:B1000")) &gt;= MATCH(
                    L243,
                    INDIRECT("'" &amp; 'Hulp (overig)'!$C$16 &amp; "'!A1:A1000"),
                    0
                )) *
                IF(
                    M243="",
                    1,
                    (ROW(INDIRECT("'" &amp; 'Hulp (overig)'!$C$16 &amp; "'!B1:B1000")) &lt; MATCH(
                        M243,
                        INDIRECT("'" &amp; 'Hulp (overig)'!$C$16 &amp; "'!A1:A1000"),
                        0
                    ))
                ),
                ROW(INDIRECT("'" &amp; 'Hulp (overig)'!$C$16 &amp; "'!B1:B1000"))
            )
        ),0)
    ))
))))</f>
        <v>#VALUE!</v>
      </c>
      <c r="M246" s="425" t="e" cm="1">
        <f t="array" aca="1" ref="M246" ca="1">IF($BF246, IF(M243="","",
   INDEX(
      INDIRECT("'" &amp; 'Hulp (CAO''s)'!$AE$8 &amp; "'!" &amp;
               'Hulp (overig)'!$C$17 &amp; "1:" &amp;
               'Hulp (overig)'!$C$17 &amp; "1000"),
      MATCH(
         M243,
         INDIRECT("'" &amp; 'Hulp (CAO''s)'!$AE$8 &amp; "'!A1:A1000"),
         0
      )
   )
), IF($D244="Gebruik % van maximum salaris",
IF(
    OR(M243="",M244=""),
    "",
    MAX(
        INDIRECT(
            "'" &amp; 'Hulp (overig)'!$C$16 &amp; "'!" &amp;
            'Hulp (overig)'!$C$17 &amp;
            MATCH(M243, INDIRECT("'" &amp; 'Hulp (overig)'!$C$16 &amp; "'!A1:A1000"), 0) &amp;
            ":" &amp;
            'Hulp (overig)'!$C$17 &amp;
LOOKUP(
    2,
    1 / (
        (ROW(INDIRECT("'" &amp; 'Hulp (overig)'!$C$16 &amp; "'!B1:B1000")) &lt;
            IF(N243&lt;&gt;"",
               MATCH(N243, INDIRECT("'" &amp; 'Hulp (overig)'!$C$16 &amp; "'!A1:A1000"),0),
               1000
            )
        ) *
        (LEFT(TRIM(INDIRECT("'" &amp; 'Hulp (overig)'!$C$16 &amp; "'!B1:B1000")),1) &lt;&gt; "u")
    ),
    ROW(INDIRECT("'" &amp; 'Hulp (overig)'!$C$16 &amp; "'!B1:B1000"))
)
        )
    ) * M244
),
IF(M245="","",
IF(
    IFERROR(MIN(
        IF(
            (TRIM(INDIRECT("'" &amp; 'Hulp (overig)'!$C$16 &amp; "'!B1:B1000")) = TEXT(M245,"0")) *
            (ROW(INDIRECT("'" &amp; 'Hulp (overig)'!$C$16 &amp; "'!B1:B1000")) &gt;= MATCH(
                M243,
                INDIRECT("'" &amp; 'Hulp (overig)'!$C$16 &amp; "'!A1:A1000"),
                0
            )) *
            IF(
                N243="",
                1,
                (ROW(INDIRECT("'" &amp; 'Hulp (overig)'!$C$16 &amp; "'!B1:B1000")) &lt; MATCH(
                    N243,
                    INDIRECT("'" &amp; 'Hulp (overig)'!$C$16 &amp; "'!A1:A1000"),
                    0
                ))
            ),
            ROW(INDIRECT("'" &amp; 'Hulp (overig)'!$C$16 &amp; "'!B1:B1000"))
        )
    ),0) &lt; 1,
    "",
    IF(INDEX(
        INDIRECT("'" &amp; 'Hulp (overig)'!$C$16 &amp; "'!" &amp;
        'Hulp (overig)'!$C$17 &amp; "1:" &amp; 'Hulp (overig)'!$C$17 &amp; 1000
        ),
        IFERROR(MIN(
            IF(
                (TRIM(INDIRECT("'" &amp; 'Hulp (overig)'!$C$16 &amp; "'!B1:B1000")) = TEXT(M245,"0")) *
                (ROW(INDIRECT("'" &amp; 'Hulp (overig)'!$C$16 &amp; "'!B1:B1000")) &gt;= MATCH(
                    M243,
                    INDIRECT("'" &amp; 'Hulp (overig)'!$C$16 &amp; "'!A1:A1000"),
                    0
                )) *
                IF(
                    N243="",
                    1,
                    (ROW(INDIRECT("'" &amp; 'Hulp (overig)'!$C$16 &amp; "'!B1:B1000")) &lt; MATCH(
                        N243,
                        INDIRECT("'" &amp; 'Hulp (overig)'!$C$16 &amp; "'!A1:A1000"),
                        0
                    ))
                ),
                ROW(INDIRECT("'" &amp; 'Hulp (overig)'!$C$16 &amp; "'!B1:B1000"))
            )
        ),0)
    )=0,"",
INDEX(
        INDIRECT("'" &amp; 'Hulp (overig)'!$C$16 &amp; "'!" &amp;
        'Hulp (overig)'!$C$17 &amp; "1:" &amp; 'Hulp (overig)'!$C$17 &amp; 1000
        ),
        IFERROR(MIN(
            IF(
                (TRIM(INDIRECT("'" &amp; 'Hulp (overig)'!$C$16 &amp; "'!B1:B1000")) = TEXT(M245,"0")) *
                (ROW(INDIRECT("'" &amp; 'Hulp (overig)'!$C$16 &amp; "'!B1:B1000")) &gt;= MATCH(
                    M243,
                    INDIRECT("'" &amp; 'Hulp (overig)'!$C$16 &amp; "'!A1:A1000"),
                    0
                )) *
                IF(
                    N243="",
                    1,
                    (ROW(INDIRECT("'" &amp; 'Hulp (overig)'!$C$16 &amp; "'!B1:B1000")) &lt; MATCH(
                        N243,
                        INDIRECT("'" &amp; 'Hulp (overig)'!$C$16 &amp; "'!A1:A1000"),
                        0
                    ))
                ),
                ROW(INDIRECT("'" &amp; 'Hulp (overig)'!$C$16 &amp; "'!B1:B1000"))
            )
        ),0)
    ))
))))</f>
        <v>#VALUE!</v>
      </c>
      <c r="N246" s="425" t="e" cm="1">
        <f t="array" aca="1" ref="N246" ca="1">IF($BF246, IF(N243="","",
   INDEX(
      INDIRECT("'" &amp; 'Hulp (CAO''s)'!$AE$8 &amp; "'!" &amp;
               'Hulp (overig)'!$C$17 &amp; "1:" &amp;
               'Hulp (overig)'!$C$17 &amp; "1000"),
      MATCH(
         N243,
         INDIRECT("'" &amp; 'Hulp (CAO''s)'!$AE$8 &amp; "'!A1:A1000"),
         0
      )
   )
), IF($D244="Gebruik % van maximum salaris",
IF(
    OR(N243="",N244=""),
    "",
    MAX(
        INDIRECT(
            "'" &amp; 'Hulp (overig)'!$C$16 &amp; "'!" &amp;
            'Hulp (overig)'!$C$17 &amp;
            MATCH(N243, INDIRECT("'" &amp; 'Hulp (overig)'!$C$16 &amp; "'!A1:A1000"), 0) &amp;
            ":" &amp;
            'Hulp (overig)'!$C$17 &amp;
LOOKUP(
    2,
    1 / (
        (ROW(INDIRECT("'" &amp; 'Hulp (overig)'!$C$16 &amp; "'!B1:B1000")) &lt;
            IF(O243&lt;&gt;"",
               MATCH(O243, INDIRECT("'" &amp; 'Hulp (overig)'!$C$16 &amp; "'!A1:A1000"),0),
               1000
            )
        ) *
        (LEFT(TRIM(INDIRECT("'" &amp; 'Hulp (overig)'!$C$16 &amp; "'!B1:B1000")),1) &lt;&gt; "u")
    ),
    ROW(INDIRECT("'" &amp; 'Hulp (overig)'!$C$16 &amp; "'!B1:B1000"))
)
        )
    ) * N244
),
IF(N245="","",
IF(
    IFERROR(MIN(
        IF(
            (TRIM(INDIRECT("'" &amp; 'Hulp (overig)'!$C$16 &amp; "'!B1:B1000")) = TEXT(N245,"0")) *
            (ROW(INDIRECT("'" &amp; 'Hulp (overig)'!$C$16 &amp; "'!B1:B1000")) &gt;= MATCH(
                N243,
                INDIRECT("'" &amp; 'Hulp (overig)'!$C$16 &amp; "'!A1:A1000"),
                0
            )) *
            IF(
                O243="",
                1,
                (ROW(INDIRECT("'" &amp; 'Hulp (overig)'!$C$16 &amp; "'!B1:B1000")) &lt; MATCH(
                    O243,
                    INDIRECT("'" &amp; 'Hulp (overig)'!$C$16 &amp; "'!A1:A1000"),
                    0
                ))
            ),
            ROW(INDIRECT("'" &amp; 'Hulp (overig)'!$C$16 &amp; "'!B1:B1000"))
        )
    ),0) &lt; 1,
    "",
    IF(INDEX(
        INDIRECT("'" &amp; 'Hulp (overig)'!$C$16 &amp; "'!" &amp;
        'Hulp (overig)'!$C$17 &amp; "1:" &amp; 'Hulp (overig)'!$C$17 &amp; 1000
        ),
        IFERROR(MIN(
            IF(
                (TRIM(INDIRECT("'" &amp; 'Hulp (overig)'!$C$16 &amp; "'!B1:B1000")) = TEXT(N245,"0")) *
                (ROW(INDIRECT("'" &amp; 'Hulp (overig)'!$C$16 &amp; "'!B1:B1000")) &gt;= MATCH(
                    N243,
                    INDIRECT("'" &amp; 'Hulp (overig)'!$C$16 &amp; "'!A1:A1000"),
                    0
                )) *
                IF(
                    O243="",
                    1,
                    (ROW(INDIRECT("'" &amp; 'Hulp (overig)'!$C$16 &amp; "'!B1:B1000")) &lt; MATCH(
                        O243,
                        INDIRECT("'" &amp; 'Hulp (overig)'!$C$16 &amp; "'!A1:A1000"),
                        0
                    ))
                ),
                ROW(INDIRECT("'" &amp; 'Hulp (overig)'!$C$16 &amp; "'!B1:B1000"))
            )
        ),0)
    )=0,"",
INDEX(
        INDIRECT("'" &amp; 'Hulp (overig)'!$C$16 &amp; "'!" &amp;
        'Hulp (overig)'!$C$17 &amp; "1:" &amp; 'Hulp (overig)'!$C$17 &amp; 1000
        ),
        IFERROR(MIN(
            IF(
                (TRIM(INDIRECT("'" &amp; 'Hulp (overig)'!$C$16 &amp; "'!B1:B1000")) = TEXT(N245,"0")) *
                (ROW(INDIRECT("'" &amp; 'Hulp (overig)'!$C$16 &amp; "'!B1:B1000")) &gt;= MATCH(
                    N243,
                    INDIRECT("'" &amp; 'Hulp (overig)'!$C$16 &amp; "'!A1:A1000"),
                    0
                )) *
                IF(
                    O243="",
                    1,
                    (ROW(INDIRECT("'" &amp; 'Hulp (overig)'!$C$16 &amp; "'!B1:B1000")) &lt; MATCH(
                        O243,
                        INDIRECT("'" &amp; 'Hulp (overig)'!$C$16 &amp; "'!A1:A1000"),
                        0
                    ))
                ),
                ROW(INDIRECT("'" &amp; 'Hulp (overig)'!$C$16 &amp; "'!B1:B1000"))
            )
        ),0)
    ))
))))</f>
        <v>#VALUE!</v>
      </c>
      <c r="O246" s="425" t="e" cm="1">
        <f t="array" aca="1" ref="O246" ca="1">IF($BF246, IF(O243="","",
   INDEX(
      INDIRECT("'" &amp; 'Hulp (CAO''s)'!$AE$8 &amp; "'!" &amp;
               'Hulp (overig)'!$C$17 &amp; "1:" &amp;
               'Hulp (overig)'!$C$17 &amp; "1000"),
      MATCH(
         O243,
         INDIRECT("'" &amp; 'Hulp (CAO''s)'!$AE$8 &amp; "'!A1:A1000"),
         0
      )
   )
), IF($D244="Gebruik % van maximum salaris",
IF(
    OR(O243="",O244=""),
    "",
    MAX(
        INDIRECT(
            "'" &amp; 'Hulp (overig)'!$C$16 &amp; "'!" &amp;
            'Hulp (overig)'!$C$17 &amp;
            MATCH(O243, INDIRECT("'" &amp; 'Hulp (overig)'!$C$16 &amp; "'!A1:A1000"), 0) &amp;
            ":" &amp;
            'Hulp (overig)'!$C$17 &amp;
LOOKUP(
    2,
    1 / (
        (ROW(INDIRECT("'" &amp; 'Hulp (overig)'!$C$16 &amp; "'!B1:B1000")) &lt;
            IF(P243&lt;&gt;"",
               MATCH(P243, INDIRECT("'" &amp; 'Hulp (overig)'!$C$16 &amp; "'!A1:A1000"),0),
               1000
            )
        ) *
        (LEFT(TRIM(INDIRECT("'" &amp; 'Hulp (overig)'!$C$16 &amp; "'!B1:B1000")),1) &lt;&gt; "u")
    ),
    ROW(INDIRECT("'" &amp; 'Hulp (overig)'!$C$16 &amp; "'!B1:B1000"))
)
        )
    ) * O244
),
IF(O245="","",
IF(
    IFERROR(MIN(
        IF(
            (TRIM(INDIRECT("'" &amp; 'Hulp (overig)'!$C$16 &amp; "'!B1:B1000")) = TEXT(O245,"0")) *
            (ROW(INDIRECT("'" &amp; 'Hulp (overig)'!$C$16 &amp; "'!B1:B1000")) &gt;= MATCH(
                O243,
                INDIRECT("'" &amp; 'Hulp (overig)'!$C$16 &amp; "'!A1:A1000"),
                0
            )) *
            IF(
                P243="",
                1,
                (ROW(INDIRECT("'" &amp; 'Hulp (overig)'!$C$16 &amp; "'!B1:B1000")) &lt; MATCH(
                    P243,
                    INDIRECT("'" &amp; 'Hulp (overig)'!$C$16 &amp; "'!A1:A1000"),
                    0
                ))
            ),
            ROW(INDIRECT("'" &amp; 'Hulp (overig)'!$C$16 &amp; "'!B1:B1000"))
        )
    ),0) &lt; 1,
    "",
    IF(INDEX(
        INDIRECT("'" &amp; 'Hulp (overig)'!$C$16 &amp; "'!" &amp;
        'Hulp (overig)'!$C$17 &amp; "1:" &amp; 'Hulp (overig)'!$C$17 &amp; 1000
        ),
        IFERROR(MIN(
            IF(
                (TRIM(INDIRECT("'" &amp; 'Hulp (overig)'!$C$16 &amp; "'!B1:B1000")) = TEXT(O245,"0")) *
                (ROW(INDIRECT("'" &amp; 'Hulp (overig)'!$C$16 &amp; "'!B1:B1000")) &gt;= MATCH(
                    O243,
                    INDIRECT("'" &amp; 'Hulp (overig)'!$C$16 &amp; "'!A1:A1000"),
                    0
                )) *
                IF(
                    P243="",
                    1,
                    (ROW(INDIRECT("'" &amp; 'Hulp (overig)'!$C$16 &amp; "'!B1:B1000")) &lt; MATCH(
                        P243,
                        INDIRECT("'" &amp; 'Hulp (overig)'!$C$16 &amp; "'!A1:A1000"),
                        0
                    ))
                ),
                ROW(INDIRECT("'" &amp; 'Hulp (overig)'!$C$16 &amp; "'!B1:B1000"))
            )
        ),0)
    )=0,"",
INDEX(
        INDIRECT("'" &amp; 'Hulp (overig)'!$C$16 &amp; "'!" &amp;
        'Hulp (overig)'!$C$17 &amp; "1:" &amp; 'Hulp (overig)'!$C$17 &amp; 1000
        ),
        IFERROR(MIN(
            IF(
                (TRIM(INDIRECT("'" &amp; 'Hulp (overig)'!$C$16 &amp; "'!B1:B1000")) = TEXT(O245,"0")) *
                (ROW(INDIRECT("'" &amp; 'Hulp (overig)'!$C$16 &amp; "'!B1:B1000")) &gt;= MATCH(
                    O243,
                    INDIRECT("'" &amp; 'Hulp (overig)'!$C$16 &amp; "'!A1:A1000"),
                    0
                )) *
                IF(
                    P243="",
                    1,
                    (ROW(INDIRECT("'" &amp; 'Hulp (overig)'!$C$16 &amp; "'!B1:B1000")) &lt; MATCH(
                        P243,
                        INDIRECT("'" &amp; 'Hulp (overig)'!$C$16 &amp; "'!A1:A1000"),
                        0
                    ))
                ),
                ROW(INDIRECT("'" &amp; 'Hulp (overig)'!$C$16 &amp; "'!B1:B1000"))
            )
        ),0)
    ))
))))</f>
        <v>#VALUE!</v>
      </c>
      <c r="P246" s="425" t="e" cm="1">
        <f t="array" aca="1" ref="P246" ca="1">IF($BF246, IF(P243="","",
   INDEX(
      INDIRECT("'" &amp; 'Hulp (CAO''s)'!$AE$8 &amp; "'!" &amp;
               'Hulp (overig)'!$C$17 &amp; "1:" &amp;
               'Hulp (overig)'!$C$17 &amp; "1000"),
      MATCH(
         P243,
         INDIRECT("'" &amp; 'Hulp (CAO''s)'!$AE$8 &amp; "'!A1:A1000"),
         0
      )
   )
), IF($D244="Gebruik % van maximum salaris",
IF(
    OR(P243="",P244=""),
    "",
    MAX(
        INDIRECT(
            "'" &amp; 'Hulp (overig)'!$C$16 &amp; "'!" &amp;
            'Hulp (overig)'!$C$17 &amp;
            MATCH(P243, INDIRECT("'" &amp; 'Hulp (overig)'!$C$16 &amp; "'!A1:A1000"), 0) &amp;
            ":" &amp;
            'Hulp (overig)'!$C$17 &amp;
LOOKUP(
    2,
    1 / (
        (ROW(INDIRECT("'" &amp; 'Hulp (overig)'!$C$16 &amp; "'!B1:B1000")) &lt;
            IF(Q243&lt;&gt;"",
               MATCH(Q243, INDIRECT("'" &amp; 'Hulp (overig)'!$C$16 &amp; "'!A1:A1000"),0),
               1000
            )
        ) *
        (LEFT(TRIM(INDIRECT("'" &amp; 'Hulp (overig)'!$C$16 &amp; "'!B1:B1000")),1) &lt;&gt; "u")
    ),
    ROW(INDIRECT("'" &amp; 'Hulp (overig)'!$C$16 &amp; "'!B1:B1000"))
)
        )
    ) * P244
),
IF(P245="","",
IF(
    IFERROR(MIN(
        IF(
            (TRIM(INDIRECT("'" &amp; 'Hulp (overig)'!$C$16 &amp; "'!B1:B1000")) = TEXT(P245,"0")) *
            (ROW(INDIRECT("'" &amp; 'Hulp (overig)'!$C$16 &amp; "'!B1:B1000")) &gt;= MATCH(
                P243,
                INDIRECT("'" &amp; 'Hulp (overig)'!$C$16 &amp; "'!A1:A1000"),
                0
            )) *
            IF(
                Q243="",
                1,
                (ROW(INDIRECT("'" &amp; 'Hulp (overig)'!$C$16 &amp; "'!B1:B1000")) &lt; MATCH(
                    Q243,
                    INDIRECT("'" &amp; 'Hulp (overig)'!$C$16 &amp; "'!A1:A1000"),
                    0
                ))
            ),
            ROW(INDIRECT("'" &amp; 'Hulp (overig)'!$C$16 &amp; "'!B1:B1000"))
        )
    ),0) &lt; 1,
    "",
    IF(INDEX(
        INDIRECT("'" &amp; 'Hulp (overig)'!$C$16 &amp; "'!" &amp;
        'Hulp (overig)'!$C$17 &amp; "1:" &amp; 'Hulp (overig)'!$C$17 &amp; 1000
        ),
        IFERROR(MIN(
            IF(
                (TRIM(INDIRECT("'" &amp; 'Hulp (overig)'!$C$16 &amp; "'!B1:B1000")) = TEXT(P245,"0")) *
                (ROW(INDIRECT("'" &amp; 'Hulp (overig)'!$C$16 &amp; "'!B1:B1000")) &gt;= MATCH(
                    P243,
                    INDIRECT("'" &amp; 'Hulp (overig)'!$C$16 &amp; "'!A1:A1000"),
                    0
                )) *
                IF(
                    Q243="",
                    1,
                    (ROW(INDIRECT("'" &amp; 'Hulp (overig)'!$C$16 &amp; "'!B1:B1000")) &lt; MATCH(
                        Q243,
                        INDIRECT("'" &amp; 'Hulp (overig)'!$C$16 &amp; "'!A1:A1000"),
                        0
                    ))
                ),
                ROW(INDIRECT("'" &amp; 'Hulp (overig)'!$C$16 &amp; "'!B1:B1000"))
            )
        ),0)
    )=0,"",
INDEX(
        INDIRECT("'" &amp; 'Hulp (overig)'!$C$16 &amp; "'!" &amp;
        'Hulp (overig)'!$C$17 &amp; "1:" &amp; 'Hulp (overig)'!$C$17 &amp; 1000
        ),
        IFERROR(MIN(
            IF(
                (TRIM(INDIRECT("'" &amp; 'Hulp (overig)'!$C$16 &amp; "'!B1:B1000")) = TEXT(P245,"0")) *
                (ROW(INDIRECT("'" &amp; 'Hulp (overig)'!$C$16 &amp; "'!B1:B1000")) &gt;= MATCH(
                    P243,
                    INDIRECT("'" &amp; 'Hulp (overig)'!$C$16 &amp; "'!A1:A1000"),
                    0
                )) *
                IF(
                    Q243="",
                    1,
                    (ROW(INDIRECT("'" &amp; 'Hulp (overig)'!$C$16 &amp; "'!B1:B1000")) &lt; MATCH(
                        Q243,
                        INDIRECT("'" &amp; 'Hulp (overig)'!$C$16 &amp; "'!A1:A1000"),
                        0
                    ))
                ),
                ROW(INDIRECT("'" &amp; 'Hulp (overig)'!$C$16 &amp; "'!B1:B1000"))
            )
        ),0)
    ))
))))</f>
        <v>#VALUE!</v>
      </c>
      <c r="Q246" s="425" t="e" cm="1">
        <f t="array" aca="1" ref="Q246" ca="1">IF($BF246, IF(Q243="","",
   INDEX(
      INDIRECT("'" &amp; 'Hulp (CAO''s)'!$AE$8 &amp; "'!" &amp;
               'Hulp (overig)'!$C$17 &amp; "1:" &amp;
               'Hulp (overig)'!$C$17 &amp; "1000"),
      MATCH(
         Q243,
         INDIRECT("'" &amp; 'Hulp (CAO''s)'!$AE$8 &amp; "'!A1:A1000"),
         0
      )
   )
), IF($D244="Gebruik % van maximum salaris",
IF(
    OR(Q243="",Q244=""),
    "",
    MAX(
        INDIRECT(
            "'" &amp; 'Hulp (overig)'!$C$16 &amp; "'!" &amp;
            'Hulp (overig)'!$C$17 &amp;
            MATCH(Q243, INDIRECT("'" &amp; 'Hulp (overig)'!$C$16 &amp; "'!A1:A1000"), 0) &amp;
            ":" &amp;
            'Hulp (overig)'!$C$17 &amp;
LOOKUP(
    2,
    1 / (
        (ROW(INDIRECT("'" &amp; 'Hulp (overig)'!$C$16 &amp; "'!B1:B1000")) &lt;
            IF(R243&lt;&gt;"",
               MATCH(R243, INDIRECT("'" &amp; 'Hulp (overig)'!$C$16 &amp; "'!A1:A1000"),0),
               1000
            )
        ) *
        (LEFT(TRIM(INDIRECT("'" &amp; 'Hulp (overig)'!$C$16 &amp; "'!B1:B1000")),1) &lt;&gt; "u")
    ),
    ROW(INDIRECT("'" &amp; 'Hulp (overig)'!$C$16 &amp; "'!B1:B1000"))
)
        )
    ) * Q244
),
IF(Q245="","",
IF(
    IFERROR(MIN(
        IF(
            (TRIM(INDIRECT("'" &amp; 'Hulp (overig)'!$C$16 &amp; "'!B1:B1000")) = TEXT(Q245,"0")) *
            (ROW(INDIRECT("'" &amp; 'Hulp (overig)'!$C$16 &amp; "'!B1:B1000")) &gt;= MATCH(
                Q243,
                INDIRECT("'" &amp; 'Hulp (overig)'!$C$16 &amp; "'!A1:A1000"),
                0
            )) *
            IF(
                R243="",
                1,
                (ROW(INDIRECT("'" &amp; 'Hulp (overig)'!$C$16 &amp; "'!B1:B1000")) &lt; MATCH(
                    R243,
                    INDIRECT("'" &amp; 'Hulp (overig)'!$C$16 &amp; "'!A1:A1000"),
                    0
                ))
            ),
            ROW(INDIRECT("'" &amp; 'Hulp (overig)'!$C$16 &amp; "'!B1:B1000"))
        )
    ),0) &lt; 1,
    "",
    IF(INDEX(
        INDIRECT("'" &amp; 'Hulp (overig)'!$C$16 &amp; "'!" &amp;
        'Hulp (overig)'!$C$17 &amp; "1:" &amp; 'Hulp (overig)'!$C$17 &amp; 1000
        ),
        IFERROR(MIN(
            IF(
                (TRIM(INDIRECT("'" &amp; 'Hulp (overig)'!$C$16 &amp; "'!B1:B1000")) = TEXT(Q245,"0")) *
                (ROW(INDIRECT("'" &amp; 'Hulp (overig)'!$C$16 &amp; "'!B1:B1000")) &gt;= MATCH(
                    Q243,
                    INDIRECT("'" &amp; 'Hulp (overig)'!$C$16 &amp; "'!A1:A1000"),
                    0
                )) *
                IF(
                    R243="",
                    1,
                    (ROW(INDIRECT("'" &amp; 'Hulp (overig)'!$C$16 &amp; "'!B1:B1000")) &lt; MATCH(
                        R243,
                        INDIRECT("'" &amp; 'Hulp (overig)'!$C$16 &amp; "'!A1:A1000"),
                        0
                    ))
                ),
                ROW(INDIRECT("'" &amp; 'Hulp (overig)'!$C$16 &amp; "'!B1:B1000"))
            )
        ),0)
    )=0,"",
INDEX(
        INDIRECT("'" &amp; 'Hulp (overig)'!$C$16 &amp; "'!" &amp;
        'Hulp (overig)'!$C$17 &amp; "1:" &amp; 'Hulp (overig)'!$C$17 &amp; 1000
        ),
        IFERROR(MIN(
            IF(
                (TRIM(INDIRECT("'" &amp; 'Hulp (overig)'!$C$16 &amp; "'!B1:B1000")) = TEXT(Q245,"0")) *
                (ROW(INDIRECT("'" &amp; 'Hulp (overig)'!$C$16 &amp; "'!B1:B1000")) &gt;= MATCH(
                    Q243,
                    INDIRECT("'" &amp; 'Hulp (overig)'!$C$16 &amp; "'!A1:A1000"),
                    0
                )) *
                IF(
                    R243="",
                    1,
                    (ROW(INDIRECT("'" &amp; 'Hulp (overig)'!$C$16 &amp; "'!B1:B1000")) &lt; MATCH(
                        R243,
                        INDIRECT("'" &amp; 'Hulp (overig)'!$C$16 &amp; "'!A1:A1000"),
                        0
                    ))
                ),
                ROW(INDIRECT("'" &amp; 'Hulp (overig)'!$C$16 &amp; "'!B1:B1000"))
            )
        ),0)
    ))
))))</f>
        <v>#VALUE!</v>
      </c>
      <c r="R246" s="425" t="e" cm="1">
        <f t="array" aca="1" ref="R246" ca="1">IF($BF246, IF(R243="","",
   INDEX(
      INDIRECT("'" &amp; 'Hulp (CAO''s)'!$AE$8 &amp; "'!" &amp;
               'Hulp (overig)'!$C$17 &amp; "1:" &amp;
               'Hulp (overig)'!$C$17 &amp; "1000"),
      MATCH(
         R243,
         INDIRECT("'" &amp; 'Hulp (CAO''s)'!$AE$8 &amp; "'!A1:A1000"),
         0
      )
   )
), IF($D244="Gebruik % van maximum salaris",
IF(
    OR(R243="",R244=""),
    "",
    MAX(
        INDIRECT(
            "'" &amp; 'Hulp (overig)'!$C$16 &amp; "'!" &amp;
            'Hulp (overig)'!$C$17 &amp;
            MATCH(R243, INDIRECT("'" &amp; 'Hulp (overig)'!$C$16 &amp; "'!A1:A1000"), 0) &amp;
            ":" &amp;
            'Hulp (overig)'!$C$17 &amp;
LOOKUP(
    2,
    1 / (
        (ROW(INDIRECT("'" &amp; 'Hulp (overig)'!$C$16 &amp; "'!B1:B1000")) &lt;
            IF(S243&lt;&gt;"",
               MATCH(S243, INDIRECT("'" &amp; 'Hulp (overig)'!$C$16 &amp; "'!A1:A1000"),0),
               1000
            )
        ) *
        (LEFT(TRIM(INDIRECT("'" &amp; 'Hulp (overig)'!$C$16 &amp; "'!B1:B1000")),1) &lt;&gt; "u")
    ),
    ROW(INDIRECT("'" &amp; 'Hulp (overig)'!$C$16 &amp; "'!B1:B1000"))
)
        )
    ) * R244
),
IF(R245="","",
IF(
    IFERROR(MIN(
        IF(
            (TRIM(INDIRECT("'" &amp; 'Hulp (overig)'!$C$16 &amp; "'!B1:B1000")) = TEXT(R245,"0")) *
            (ROW(INDIRECT("'" &amp; 'Hulp (overig)'!$C$16 &amp; "'!B1:B1000")) &gt;= MATCH(
                R243,
                INDIRECT("'" &amp; 'Hulp (overig)'!$C$16 &amp; "'!A1:A1000"),
                0
            )) *
            IF(
                S243="",
                1,
                (ROW(INDIRECT("'" &amp; 'Hulp (overig)'!$C$16 &amp; "'!B1:B1000")) &lt; MATCH(
                    S243,
                    INDIRECT("'" &amp; 'Hulp (overig)'!$C$16 &amp; "'!A1:A1000"),
                    0
                ))
            ),
            ROW(INDIRECT("'" &amp; 'Hulp (overig)'!$C$16 &amp; "'!B1:B1000"))
        )
    ),0) &lt; 1,
    "",
    IF(INDEX(
        INDIRECT("'" &amp; 'Hulp (overig)'!$C$16 &amp; "'!" &amp;
        'Hulp (overig)'!$C$17 &amp; "1:" &amp; 'Hulp (overig)'!$C$17 &amp; 1000
        ),
        IFERROR(MIN(
            IF(
                (TRIM(INDIRECT("'" &amp; 'Hulp (overig)'!$C$16 &amp; "'!B1:B1000")) = TEXT(R245,"0")) *
                (ROW(INDIRECT("'" &amp; 'Hulp (overig)'!$C$16 &amp; "'!B1:B1000")) &gt;= MATCH(
                    R243,
                    INDIRECT("'" &amp; 'Hulp (overig)'!$C$16 &amp; "'!A1:A1000"),
                    0
                )) *
                IF(
                    S243="",
                    1,
                    (ROW(INDIRECT("'" &amp; 'Hulp (overig)'!$C$16 &amp; "'!B1:B1000")) &lt; MATCH(
                        S243,
                        INDIRECT("'" &amp; 'Hulp (overig)'!$C$16 &amp; "'!A1:A1000"),
                        0
                    ))
                ),
                ROW(INDIRECT("'" &amp; 'Hulp (overig)'!$C$16 &amp; "'!B1:B1000"))
            )
        ),0)
    )=0,"",
INDEX(
        INDIRECT("'" &amp; 'Hulp (overig)'!$C$16 &amp; "'!" &amp;
        'Hulp (overig)'!$C$17 &amp; "1:" &amp; 'Hulp (overig)'!$C$17 &amp; 1000
        ),
        IFERROR(MIN(
            IF(
                (TRIM(INDIRECT("'" &amp; 'Hulp (overig)'!$C$16 &amp; "'!B1:B1000")) = TEXT(R245,"0")) *
                (ROW(INDIRECT("'" &amp; 'Hulp (overig)'!$C$16 &amp; "'!B1:B1000")) &gt;= MATCH(
                    R243,
                    INDIRECT("'" &amp; 'Hulp (overig)'!$C$16 &amp; "'!A1:A1000"),
                    0
                )) *
                IF(
                    S243="",
                    1,
                    (ROW(INDIRECT("'" &amp; 'Hulp (overig)'!$C$16 &amp; "'!B1:B1000")) &lt; MATCH(
                        S243,
                        INDIRECT("'" &amp; 'Hulp (overig)'!$C$16 &amp; "'!A1:A1000"),
                        0
                    ))
                ),
                ROW(INDIRECT("'" &amp; 'Hulp (overig)'!$C$16 &amp; "'!B1:B1000"))
            )
        ),0)
    ))
))))</f>
        <v>#VALUE!</v>
      </c>
      <c r="S246" s="425" t="e" cm="1">
        <f t="array" aca="1" ref="S246" ca="1">IF($BF246, IF(S243="","",
   INDEX(
      INDIRECT("'" &amp; 'Hulp (CAO''s)'!$AE$8 &amp; "'!" &amp;
               'Hulp (overig)'!$C$17 &amp; "1:" &amp;
               'Hulp (overig)'!$C$17 &amp; "1000"),
      MATCH(
         S243,
         INDIRECT("'" &amp; 'Hulp (CAO''s)'!$AE$8 &amp; "'!A1:A1000"),
         0
      )
   )
), IF($D244="Gebruik % van maximum salaris",
IF(
    OR(S243="",S244=""),
    "",
    MAX(
        INDIRECT(
            "'" &amp; 'Hulp (overig)'!$C$16 &amp; "'!" &amp;
            'Hulp (overig)'!$C$17 &amp;
            MATCH(S243, INDIRECT("'" &amp; 'Hulp (overig)'!$C$16 &amp; "'!A1:A1000"), 0) &amp;
            ":" &amp;
            'Hulp (overig)'!$C$17 &amp;
LOOKUP(
    2,
    1 / (
        (ROW(INDIRECT("'" &amp; 'Hulp (overig)'!$C$16 &amp; "'!B1:B1000")) &lt;
            IF(T243&lt;&gt;"",
               MATCH(T243, INDIRECT("'" &amp; 'Hulp (overig)'!$C$16 &amp; "'!A1:A1000"),0),
               1000
            )
        ) *
        (LEFT(TRIM(INDIRECT("'" &amp; 'Hulp (overig)'!$C$16 &amp; "'!B1:B1000")),1) &lt;&gt; "u")
    ),
    ROW(INDIRECT("'" &amp; 'Hulp (overig)'!$C$16 &amp; "'!B1:B1000"))
)
        )
    ) * S244
),
IF(S245="","",
IF(
    IFERROR(MIN(
        IF(
            (TRIM(INDIRECT("'" &amp; 'Hulp (overig)'!$C$16 &amp; "'!B1:B1000")) = TEXT(S245,"0")) *
            (ROW(INDIRECT("'" &amp; 'Hulp (overig)'!$C$16 &amp; "'!B1:B1000")) &gt;= MATCH(
                S243,
                INDIRECT("'" &amp; 'Hulp (overig)'!$C$16 &amp; "'!A1:A1000"),
                0
            )) *
            IF(
                T243="",
                1,
                (ROW(INDIRECT("'" &amp; 'Hulp (overig)'!$C$16 &amp; "'!B1:B1000")) &lt; MATCH(
                    T243,
                    INDIRECT("'" &amp; 'Hulp (overig)'!$C$16 &amp; "'!A1:A1000"),
                    0
                ))
            ),
            ROW(INDIRECT("'" &amp; 'Hulp (overig)'!$C$16 &amp; "'!B1:B1000"))
        )
    ),0) &lt; 1,
    "",
    IF(INDEX(
        INDIRECT("'" &amp; 'Hulp (overig)'!$C$16 &amp; "'!" &amp;
        'Hulp (overig)'!$C$17 &amp; "1:" &amp; 'Hulp (overig)'!$C$17 &amp; 1000
        ),
        IFERROR(MIN(
            IF(
                (TRIM(INDIRECT("'" &amp; 'Hulp (overig)'!$C$16 &amp; "'!B1:B1000")) = TEXT(S245,"0")) *
                (ROW(INDIRECT("'" &amp; 'Hulp (overig)'!$C$16 &amp; "'!B1:B1000")) &gt;= MATCH(
                    S243,
                    INDIRECT("'" &amp; 'Hulp (overig)'!$C$16 &amp; "'!A1:A1000"),
                    0
                )) *
                IF(
                    T243="",
                    1,
                    (ROW(INDIRECT("'" &amp; 'Hulp (overig)'!$C$16 &amp; "'!B1:B1000")) &lt; MATCH(
                        T243,
                        INDIRECT("'" &amp; 'Hulp (overig)'!$C$16 &amp; "'!A1:A1000"),
                        0
                    ))
                ),
                ROW(INDIRECT("'" &amp; 'Hulp (overig)'!$C$16 &amp; "'!B1:B1000"))
            )
        ),0)
    )=0,"",
INDEX(
        INDIRECT("'" &amp; 'Hulp (overig)'!$C$16 &amp; "'!" &amp;
        'Hulp (overig)'!$C$17 &amp; "1:" &amp; 'Hulp (overig)'!$C$17 &amp; 1000
        ),
        IFERROR(MIN(
            IF(
                (TRIM(INDIRECT("'" &amp; 'Hulp (overig)'!$C$16 &amp; "'!B1:B1000")) = TEXT(S245,"0")) *
                (ROW(INDIRECT("'" &amp; 'Hulp (overig)'!$C$16 &amp; "'!B1:B1000")) &gt;= MATCH(
                    S243,
                    INDIRECT("'" &amp; 'Hulp (overig)'!$C$16 &amp; "'!A1:A1000"),
                    0
                )) *
                IF(
                    T243="",
                    1,
                    (ROW(INDIRECT("'" &amp; 'Hulp (overig)'!$C$16 &amp; "'!B1:B1000")) &lt; MATCH(
                        T243,
                        INDIRECT("'" &amp; 'Hulp (overig)'!$C$16 &amp; "'!A1:A1000"),
                        0
                    ))
                ),
                ROW(INDIRECT("'" &amp; 'Hulp (overig)'!$C$16 &amp; "'!B1:B1000"))
            )
        ),0)
    ))
))))</f>
        <v>#VALUE!</v>
      </c>
      <c r="T246" s="425" t="e" cm="1">
        <f t="array" aca="1" ref="T246" ca="1">IF($BF246, IF(T243="","",
   INDEX(
      INDIRECT("'" &amp; 'Hulp (CAO''s)'!$AE$8 &amp; "'!" &amp;
               'Hulp (overig)'!$C$17 &amp; "1:" &amp;
               'Hulp (overig)'!$C$17 &amp; "1000"),
      MATCH(
         T243,
         INDIRECT("'" &amp; 'Hulp (CAO''s)'!$AE$8 &amp; "'!A1:A1000"),
         0
      )
   )
), IF($D244="Gebruik % van maximum salaris",
IF(
    OR(T243="",T244=""),
    "",
    MAX(
        INDIRECT(
            "'" &amp; 'Hulp (overig)'!$C$16 &amp; "'!" &amp;
            'Hulp (overig)'!$C$17 &amp;
            MATCH(T243, INDIRECT("'" &amp; 'Hulp (overig)'!$C$16 &amp; "'!A1:A1000"), 0) &amp;
            ":" &amp;
            'Hulp (overig)'!$C$17 &amp;
LOOKUP(
    2,
    1 / (
        (ROW(INDIRECT("'" &amp; 'Hulp (overig)'!$C$16 &amp; "'!B1:B1000")) &lt;
            IF(U243&lt;&gt;"",
               MATCH(U243, INDIRECT("'" &amp; 'Hulp (overig)'!$C$16 &amp; "'!A1:A1000"),0),
               1000
            )
        ) *
        (LEFT(TRIM(INDIRECT("'" &amp; 'Hulp (overig)'!$C$16 &amp; "'!B1:B1000")),1) &lt;&gt; "u")
    ),
    ROW(INDIRECT("'" &amp; 'Hulp (overig)'!$C$16 &amp; "'!B1:B1000"))
)
        )
    ) * T244
),
IF(T245="","",
IF(
    IFERROR(MIN(
        IF(
            (TRIM(INDIRECT("'" &amp; 'Hulp (overig)'!$C$16 &amp; "'!B1:B1000")) = TEXT(T245,"0")) *
            (ROW(INDIRECT("'" &amp; 'Hulp (overig)'!$C$16 &amp; "'!B1:B1000")) &gt;= MATCH(
                T243,
                INDIRECT("'" &amp; 'Hulp (overig)'!$C$16 &amp; "'!A1:A1000"),
                0
            )) *
            IF(
                U243="",
                1,
                (ROW(INDIRECT("'" &amp; 'Hulp (overig)'!$C$16 &amp; "'!B1:B1000")) &lt; MATCH(
                    U243,
                    INDIRECT("'" &amp; 'Hulp (overig)'!$C$16 &amp; "'!A1:A1000"),
                    0
                ))
            ),
            ROW(INDIRECT("'" &amp; 'Hulp (overig)'!$C$16 &amp; "'!B1:B1000"))
        )
    ),0) &lt; 1,
    "",
    IF(INDEX(
        INDIRECT("'" &amp; 'Hulp (overig)'!$C$16 &amp; "'!" &amp;
        'Hulp (overig)'!$C$17 &amp; "1:" &amp; 'Hulp (overig)'!$C$17 &amp; 1000
        ),
        IFERROR(MIN(
            IF(
                (TRIM(INDIRECT("'" &amp; 'Hulp (overig)'!$C$16 &amp; "'!B1:B1000")) = TEXT(T245,"0")) *
                (ROW(INDIRECT("'" &amp; 'Hulp (overig)'!$C$16 &amp; "'!B1:B1000")) &gt;= MATCH(
                    T243,
                    INDIRECT("'" &amp; 'Hulp (overig)'!$C$16 &amp; "'!A1:A1000"),
                    0
                )) *
                IF(
                    U243="",
                    1,
                    (ROW(INDIRECT("'" &amp; 'Hulp (overig)'!$C$16 &amp; "'!B1:B1000")) &lt; MATCH(
                        U243,
                        INDIRECT("'" &amp; 'Hulp (overig)'!$C$16 &amp; "'!A1:A1000"),
                        0
                    ))
                ),
                ROW(INDIRECT("'" &amp; 'Hulp (overig)'!$C$16 &amp; "'!B1:B1000"))
            )
        ),0)
    )=0,"",
INDEX(
        INDIRECT("'" &amp; 'Hulp (overig)'!$C$16 &amp; "'!" &amp;
        'Hulp (overig)'!$C$17 &amp; "1:" &amp; 'Hulp (overig)'!$C$17 &amp; 1000
        ),
        IFERROR(MIN(
            IF(
                (TRIM(INDIRECT("'" &amp; 'Hulp (overig)'!$C$16 &amp; "'!B1:B1000")) = TEXT(T245,"0")) *
                (ROW(INDIRECT("'" &amp; 'Hulp (overig)'!$C$16 &amp; "'!B1:B1000")) &gt;= MATCH(
                    T243,
                    INDIRECT("'" &amp; 'Hulp (overig)'!$C$16 &amp; "'!A1:A1000"),
                    0
                )) *
                IF(
                    U243="",
                    1,
                    (ROW(INDIRECT("'" &amp; 'Hulp (overig)'!$C$16 &amp; "'!B1:B1000")) &lt; MATCH(
                        U243,
                        INDIRECT("'" &amp; 'Hulp (overig)'!$C$16 &amp; "'!A1:A1000"),
                        0
                    ))
                ),
                ROW(INDIRECT("'" &amp; 'Hulp (overig)'!$C$16 &amp; "'!B1:B1000"))
            )
        ),0)
    ))
))))</f>
        <v>#VALUE!</v>
      </c>
      <c r="U246" s="723" t="e" cm="1">
        <f t="array" aca="1" ref="U246" ca="1">IF($BF246, IF(U243="","",
   INDEX(
      INDIRECT("'" &amp; 'Hulp (CAO''s)'!$AE$8 &amp; "'!" &amp;
               'Hulp (overig)'!$C$17 &amp; "1:" &amp;
               'Hulp (overig)'!$C$17 &amp; "1000"),
      MATCH(
         U243,
         INDIRECT("'" &amp; 'Hulp (CAO''s)'!$AE$8 &amp; "'!A1:A1000"),
         0
      )
   )
), IF($D244="Gebruik % van maximum salaris",
IF(
    OR(U243="",U244=""),
    "",
    MAX(
        INDIRECT(
            "'" &amp; 'Hulp (overig)'!$C$16 &amp; "'!" &amp;
            'Hulp (overig)'!$C$17 &amp;
            MATCH(U243, INDIRECT("'" &amp; 'Hulp (overig)'!$C$16 &amp; "'!A1:A1000"), 0) &amp;
            ":" &amp;
            'Hulp (overig)'!$C$17 &amp;
LOOKUP(
    2,
    1 / (
        (ROW(INDIRECT("'" &amp; 'Hulp (overig)'!$C$16 &amp; "'!B1:B1000")) &lt;
            IF(V243&lt;&gt;"",
               MATCH(V243, INDIRECT("'" &amp; 'Hulp (overig)'!$C$16 &amp; "'!A1:A1000"),0),
               1000
            )
        ) *
        (LEFT(TRIM(INDIRECT("'" &amp; 'Hulp (overig)'!$C$16 &amp; "'!B1:B1000")),1) &lt;&gt; "u")
    ),
    ROW(INDIRECT("'" &amp; 'Hulp (overig)'!$C$16 &amp; "'!B1:B1000"))
)
        )
    ) * U244
),
IF(U245="","",
IF(
    IFERROR(MIN(
        IF(
            (TRIM(INDIRECT("'" &amp; 'Hulp (overig)'!$C$16 &amp; "'!B1:B1000")) = TEXT(U245,"0")) *
            (ROW(INDIRECT("'" &amp; 'Hulp (overig)'!$C$16 &amp; "'!B1:B1000")) &gt;= MATCH(
                U243,
                INDIRECT("'" &amp; 'Hulp (overig)'!$C$16 &amp; "'!A1:A1000"),
                0
            )) *
            IF(
                V243="",
                1,
                (ROW(INDIRECT("'" &amp; 'Hulp (overig)'!$C$16 &amp; "'!B1:B1000")) &lt; MATCH(
                    V243,
                    INDIRECT("'" &amp; 'Hulp (overig)'!$C$16 &amp; "'!A1:A1000"),
                    0
                ))
            ),
            ROW(INDIRECT("'" &amp; 'Hulp (overig)'!$C$16 &amp; "'!B1:B1000"))
        )
    ),0) &lt; 1,
    "",
    IF(INDEX(
        INDIRECT("'" &amp; 'Hulp (overig)'!$C$16 &amp; "'!" &amp;
        'Hulp (overig)'!$C$17 &amp; "1:" &amp; 'Hulp (overig)'!$C$17 &amp; 1000
        ),
        IFERROR(MIN(
            IF(
                (TRIM(INDIRECT("'" &amp; 'Hulp (overig)'!$C$16 &amp; "'!B1:B1000")) = TEXT(U245,"0")) *
                (ROW(INDIRECT("'" &amp; 'Hulp (overig)'!$C$16 &amp; "'!B1:B1000")) &gt;= MATCH(
                    U243,
                    INDIRECT("'" &amp; 'Hulp (overig)'!$C$16 &amp; "'!A1:A1000"),
                    0
                )) *
                IF(
                    V243="",
                    1,
                    (ROW(INDIRECT("'" &amp; 'Hulp (overig)'!$C$16 &amp; "'!B1:B1000")) &lt; MATCH(
                        V243,
                        INDIRECT("'" &amp; 'Hulp (overig)'!$C$16 &amp; "'!A1:A1000"),
                        0
                    ))
                ),
                ROW(INDIRECT("'" &amp; 'Hulp (overig)'!$C$16 &amp; "'!B1:B1000"))
            )
        ),0)
    )=0,"",
INDEX(
        INDIRECT("'" &amp; 'Hulp (overig)'!$C$16 &amp; "'!" &amp;
        'Hulp (overig)'!$C$17 &amp; "1:" &amp; 'Hulp (overig)'!$C$17 &amp; 1000
        ),
        IFERROR(MIN(
            IF(
                (TRIM(INDIRECT("'" &amp; 'Hulp (overig)'!$C$16 &amp; "'!B1:B1000")) = TEXT(U245,"0")) *
                (ROW(INDIRECT("'" &amp; 'Hulp (overig)'!$C$16 &amp; "'!B1:B1000")) &gt;= MATCH(
                    U243,
                    INDIRECT("'" &amp; 'Hulp (overig)'!$C$16 &amp; "'!A1:A1000"),
                    0
                )) *
                IF(
                    V243="",
                    1,
                    (ROW(INDIRECT("'" &amp; 'Hulp (overig)'!$C$16 &amp; "'!B1:B1000")) &lt; MATCH(
                        V243,
                        INDIRECT("'" &amp; 'Hulp (overig)'!$C$16 &amp; "'!A1:A1000"),
                        0
                    ))
                ),
                ROW(INDIRECT("'" &amp; 'Hulp (overig)'!$C$16 &amp; "'!B1:B1000"))
            )
        ),0)
    ))
))))</f>
        <v>#VALUE!</v>
      </c>
      <c r="V246" s="413" t="str" cm="1">
        <f t="array" ref="V246">IF(SUM(F247:U247)=0,"",
IF(SUM(F246:U246)=0,"",
IF(SUMPRODUCT((F247:U247&lt;&gt;0)*(F246:U246=""))&gt;0,"",
(
   SUMPRODUCT(
      IF(F246:U246="",0,F246:U246),
      IF(F247:U247="",0,F247:U247) / SUM(F247:U247)
   )
))))</f>
        <v/>
      </c>
      <c r="W246" s="418"/>
      <c r="X246" s="620"/>
      <c r="Y246" s="419" t="str">
        <f ca="1">IF(B243="","",
        IF(INDIRECT("'Hulp (control forms)'!C" &amp; (13 + INT((ROW()-ROW($B$5))/7))),
            IF(X246="","",X246),
            IF(V246="","",V246)
    )
)</f>
        <v/>
      </c>
      <c r="Z246" s="333"/>
      <c r="AA246" s="771"/>
      <c r="AB246" s="770"/>
      <c r="AC246" s="289"/>
      <c r="AD246" s="289"/>
      <c r="AE246" s="289"/>
      <c r="AF246" s="289"/>
      <c r="AG246" s="289"/>
      <c r="AH246" s="289"/>
      <c r="AI246" s="289"/>
      <c r="AJ246" s="289"/>
      <c r="AK246" s="289"/>
      <c r="AL246" s="289"/>
      <c r="AM246" s="289"/>
      <c r="AN246" s="289"/>
      <c r="AO246" s="289"/>
      <c r="AP246" s="289"/>
      <c r="AQ246" s="289"/>
      <c r="AR246" s="289"/>
      <c r="AS246" s="289"/>
      <c r="AT246" s="289"/>
      <c r="AU246" s="289"/>
      <c r="AV246" s="289"/>
      <c r="AW246" s="289"/>
      <c r="AX246" s="289"/>
      <c r="AY246" s="289"/>
      <c r="AZ246" s="289"/>
      <c r="BA246" cm="1">
        <f t="array" aca="1" ref="BA246" ca="1">IF(
   SUM(Y246)=0,
   1,
   IF(
      N(INDIRECT("'Hulp (control forms)'!C"&amp;(13+INT((ROW()-ROW($B$5))/7))))&lt;&gt;0,
      MIN(1,
      ('Hulp (overig)'!$C$6/12) /
      (Y246 * BC246 + BD246)),
      MIN(1,
         IF(
            SUM(F246:U246)=0,
            "",
            SUMPRODUCT(
               IF(
                  (IF(F246:U246="",0,F246:U246) * BC246) + BD246
                  &gt; 'Hulp (overig)'!$C$6/12,
                  'Hulp (overig)'!$C$6/12,
                  (IF(F246:U246="",0,F246:U246) * BC246) + BD246
               ),
               IF(F247:U247="",0,F247:U247) / SUM(F247:U247)
            )
         ) /
         ((Y246 * BC246) + BD246)
      )
   )
)</f>
        <v>1</v>
      </c>
      <c r="BB246" cm="1">
        <f t="array" aca="1" ref="BB246" ca="1">IF(
   SUM(Y246)=0,
   1,
   IF(
      N(INDIRECT("'Hulp (control forms)'!C"&amp;(13+INT((ROW()-ROW($B$5))/7))))&lt;&gt;0,
      MIN('Hulp (overig)'!$C$5/12,
      (Y246 * BC246) + BD246) * 12,
         IF(
            SUM(F246:U246)=0,
            "",
            SUMPRODUCT(
               IF(
                  (IF(F246:U246="",0,F246:U246) * BC246) + BD246
                  &gt; 'Hulp (overig)'!$C$5/12,
                  'Hulp (overig)'!$C$5/12,
                  (IF(F246:U246="",0,F246:U246) * BC246) + BD246
               ),
               IF(F247:U247="",0,F247:U247) / SUM(F247:U247)
            )
         ) * 12
   )
)</f>
        <v>1</v>
      </c>
      <c r="BC246" s="287" cm="1">
        <f t="array" aca="1" ref="BC246" ca="1">IFERROR(
   (INDEX('2. Output kostprijs'!$24:$24, 5 + 2*INT((ROW()-8)/7))
    - SUM(INDEX('2. Output kostprijs'!$23:$23, 5 + 2*INT((ROW()-8)/7))))
   / INDEX('2. Output kostprijs'!$19:$19, 5 + 2*INT((ROW()-8)/7)),
   1
)</f>
        <v>1</v>
      </c>
      <c r="BD246" s="287" cm="1">
        <f t="array" aca="1" ref="BD246" ca="1">IFERROR(
   (INDEX('2. Output kostprijs'!$23:$23, 5 + 2*INT((ROW()-8)/7))
    * INDEX('2. Output kostprijs'!$18:$18, 5 + 2*INT((ROW()-8)/7))
   ) / 12,
   0
)</f>
        <v>0</v>
      </c>
      <c r="BE246" t="b">
        <f ca="1">NOT(AND(B243&lt;&gt;"",Y246=""))</f>
        <v>1</v>
      </c>
      <c r="BF246" t="str" cm="1">
        <f t="array" aca="1" ref="BF246" ca="1">INDIRECT("'1a. Input organisatieniveau'!$AD" &amp; 7 + INT((ROW()-ROW($F$8))/7))</f>
        <v/>
      </c>
      <c r="BG246" t="b" cm="1">
        <f t="array" ref="BG246">IFERROR(INDEX('Hulp (control forms)'!C:C, 13 + INT((ROW(A239)-1)/7)),FALSE)</f>
        <v>0</v>
      </c>
    </row>
    <row r="247" spans="1:59" ht="16.05" customHeight="1" thickBot="1" x14ac:dyDescent="0.5">
      <c r="A247" s="289"/>
      <c r="B247" s="343"/>
      <c r="C247" s="325" t="s">
        <v>779</v>
      </c>
      <c r="D247" s="688" t="s">
        <v>60</v>
      </c>
      <c r="E247" s="433" t="s">
        <v>59</v>
      </c>
      <c r="F247" s="624"/>
      <c r="G247" s="624"/>
      <c r="H247" s="624"/>
      <c r="I247" s="624"/>
      <c r="J247" s="624"/>
      <c r="K247" s="624"/>
      <c r="L247" s="624"/>
      <c r="M247" s="624"/>
      <c r="N247" s="624"/>
      <c r="O247" s="624"/>
      <c r="P247" s="624"/>
      <c r="Q247" s="624"/>
      <c r="R247" s="624"/>
      <c r="S247" s="624"/>
      <c r="T247" s="624"/>
      <c r="U247" s="625"/>
      <c r="V247" s="420" t="str">
        <f ca="1">IF($B243="","",IF($D247="Aandeel in %",
   "Totaal: "&amp;SUM(F247:U247)*100&amp;"%",
   "Totaal: "&amp;SUM(F247:U247)&amp;" uur"
))</f>
        <v/>
      </c>
      <c r="W247" s="294"/>
      <c r="X247" s="621"/>
      <c r="Y247" s="328"/>
      <c r="Z247" s="329"/>
      <c r="AA247" s="289"/>
      <c r="AB247" s="289"/>
      <c r="AC247" s="289"/>
      <c r="AD247" s="289"/>
      <c r="AE247" s="289"/>
      <c r="AF247" s="289"/>
      <c r="AG247" s="289"/>
      <c r="AH247" s="289"/>
      <c r="AI247" s="289"/>
      <c r="AJ247" s="289"/>
      <c r="AK247" s="289"/>
      <c r="AL247" s="289"/>
      <c r="AM247" s="289"/>
      <c r="AN247" s="289"/>
      <c r="AO247" s="289"/>
      <c r="AP247" s="289"/>
      <c r="AQ247" s="289"/>
      <c r="AR247" s="289"/>
      <c r="AS247" s="289"/>
      <c r="AT247" s="289"/>
      <c r="AU247" s="289"/>
      <c r="AV247" s="289"/>
      <c r="AW247" s="289"/>
      <c r="AX247" s="289"/>
      <c r="AY247" s="289"/>
      <c r="AZ247" s="289"/>
    </row>
    <row r="248" spans="1:59" ht="16.05" customHeight="1" thickBot="1" x14ac:dyDescent="0.5">
      <c r="A248" s="289"/>
      <c r="B248" s="343"/>
      <c r="C248" s="326" t="s">
        <v>779</v>
      </c>
      <c r="D248" s="421"/>
      <c r="E248" s="426"/>
      <c r="F248" s="426"/>
      <c r="G248" s="426"/>
      <c r="H248" s="426"/>
      <c r="I248" s="426"/>
      <c r="J248" s="426"/>
      <c r="K248" s="426"/>
      <c r="L248" s="426"/>
      <c r="M248" s="426"/>
      <c r="N248" s="426"/>
      <c r="O248" s="426"/>
      <c r="P248" s="426"/>
      <c r="Q248" s="426"/>
      <c r="R248" s="426"/>
      <c r="S248" s="426"/>
      <c r="T248" s="427"/>
      <c r="U248" s="427"/>
      <c r="V248" s="421"/>
      <c r="W248" s="421"/>
      <c r="X248" s="622"/>
      <c r="Y248" s="421"/>
      <c r="Z248" s="327"/>
      <c r="AA248" s="289"/>
      <c r="AB248" s="289"/>
      <c r="AC248" s="289"/>
      <c r="AD248" s="289"/>
      <c r="AE248" s="289"/>
      <c r="AF248" s="289"/>
      <c r="AG248" s="289"/>
      <c r="AH248" s="289"/>
      <c r="AI248" s="289"/>
      <c r="AJ248" s="289"/>
      <c r="AK248" s="289"/>
      <c r="AL248" s="289"/>
      <c r="AM248" s="289"/>
      <c r="AN248" s="289"/>
      <c r="AO248" s="289"/>
      <c r="AP248" s="289"/>
      <c r="AQ248" s="289"/>
      <c r="AR248" s="289"/>
      <c r="AS248" s="289"/>
      <c r="AT248" s="289"/>
      <c r="AU248" s="289"/>
      <c r="AV248" s="289"/>
      <c r="AW248" s="289"/>
      <c r="AX248" s="289"/>
      <c r="AY248" s="289"/>
      <c r="AZ248" s="289"/>
    </row>
    <row r="249" spans="1:59" ht="16.05" customHeight="1" thickBot="1" x14ac:dyDescent="0.55000000000000004">
      <c r="A249" s="289"/>
      <c r="B249" s="585" t="str">
        <f ca="1">IF(B250="","",
IF(
   OR(
      INDIRECT("'1a. Input organisatieniveau'!AC" &amp; (7 + INT((ROW()-4)/7)))="",
      INDIRECT("'1a. Input organisatieniveau'!AC" &amp; (7 + INT((ROW()-4)/7)))=0
   ),
   "",
   INDIRECT("'1a. Input organisatieniveau'!AC" &amp; (7 + INT((ROW()-4)/7)))
))</f>
        <v/>
      </c>
      <c r="C249" s="324" t="s">
        <v>779</v>
      </c>
      <c r="D249" s="416"/>
      <c r="E249" s="428"/>
      <c r="F249" s="422" t="str">
        <f t="shared" ref="F249:U249" ca="1" si="35">IF($B250="","",
IF($D251="Gebruik % van maximum salaris",
 IF(OR(AND(AND(F250&lt;&gt;"",F251&lt;&gt;""),F253=""),AND(F253="",F254&lt;&gt;"")),"!",""),
 IF(OR(AND(AND(F250&lt;&gt;"",F252&lt;&gt;""),F253=""),AND(F253="",F254&lt;&gt;"")),"!","")))</f>
        <v/>
      </c>
      <c r="G249" s="422" t="str">
        <f t="shared" ca="1" si="35"/>
        <v/>
      </c>
      <c r="H249" s="422" t="str">
        <f t="shared" ca="1" si="35"/>
        <v/>
      </c>
      <c r="I249" s="422" t="str">
        <f t="shared" ca="1" si="35"/>
        <v/>
      </c>
      <c r="J249" s="422" t="str">
        <f t="shared" ca="1" si="35"/>
        <v/>
      </c>
      <c r="K249" s="422" t="str">
        <f t="shared" ca="1" si="35"/>
        <v/>
      </c>
      <c r="L249" s="422" t="str">
        <f t="shared" ca="1" si="35"/>
        <v/>
      </c>
      <c r="M249" s="422" t="str">
        <f t="shared" ca="1" si="35"/>
        <v/>
      </c>
      <c r="N249" s="422" t="str">
        <f t="shared" ca="1" si="35"/>
        <v/>
      </c>
      <c r="O249" s="422" t="str">
        <f t="shared" ca="1" si="35"/>
        <v/>
      </c>
      <c r="P249" s="422" t="str">
        <f t="shared" ca="1" si="35"/>
        <v/>
      </c>
      <c r="Q249" s="422" t="str">
        <f t="shared" ca="1" si="35"/>
        <v/>
      </c>
      <c r="R249" s="422" t="str">
        <f t="shared" ca="1" si="35"/>
        <v/>
      </c>
      <c r="S249" s="422" t="str">
        <f t="shared" ca="1" si="35"/>
        <v/>
      </c>
      <c r="T249" s="422" t="str">
        <f t="shared" ca="1" si="35"/>
        <v/>
      </c>
      <c r="U249" s="422" t="str">
        <f t="shared" ca="1" si="35"/>
        <v/>
      </c>
      <c r="V249" s="416"/>
      <c r="W249" s="416"/>
      <c r="X249" s="619"/>
      <c r="Y249" s="416"/>
      <c r="Z249" s="330"/>
      <c r="AA249" s="354"/>
      <c r="AB249" s="289"/>
      <c r="AC249" s="289"/>
      <c r="AD249" s="289"/>
      <c r="AE249" s="289"/>
      <c r="AF249" s="289"/>
      <c r="AG249" s="289"/>
      <c r="AH249" s="289"/>
      <c r="AI249" s="289"/>
      <c r="AJ249" s="289"/>
      <c r="AK249" s="289"/>
      <c r="AL249" s="289"/>
      <c r="AM249" s="289"/>
      <c r="AN249" s="289"/>
      <c r="AO249" s="289"/>
      <c r="AP249" s="289"/>
      <c r="AQ249" s="289"/>
      <c r="AR249" s="289"/>
      <c r="AS249" s="289"/>
      <c r="AT249" s="289"/>
      <c r="AU249" s="289"/>
      <c r="AV249" s="289"/>
      <c r="AW249" s="289"/>
      <c r="AX249" s="289"/>
      <c r="AY249" s="289"/>
      <c r="AZ249" s="289"/>
    </row>
    <row r="250" spans="1:59" ht="16.05" customHeight="1" thickBot="1" x14ac:dyDescent="0.5">
      <c r="A250" s="289"/>
      <c r="B250" s="586" t="str">
        <f ca="1">IF(
   OR(
      INDIRECT("'1a. Input organisatieniveau'!AA" &amp; (7 + INT((ROW()-4)/7)))="",
      INDIRECT("'1a. Input organisatieniveau'!AA" &amp; (7 + INT((ROW()-4)/7)))=0
   ),
   "",
   INDIRECT("'1a. Input organisatieniveau'!AA" &amp; (7 + INT((ROW()-4)/7)))
)</f>
        <v/>
      </c>
      <c r="C250" s="325" t="s">
        <v>779</v>
      </c>
      <c r="D250" s="434"/>
      <c r="E250" s="429" t="s">
        <v>28</v>
      </c>
      <c r="F250" s="423" t="str">
        <f ca="1">IF($B250="", "", IF($BF253, IF('Hulp (CAO''s)'!J$8&lt;&gt;"",'Hulp (CAO''s)'!J$8,""), INDEX('Hulp (CAO''s)'!J$3:J$7, MATCH(TRUE, 'Hulp (CAO''s)'!$D$3:$D$7, 0))))</f>
        <v/>
      </c>
      <c r="G250" s="423" t="str">
        <f ca="1">IF($B250="", "", IF($BF253, IF('Hulp (CAO''s)'!K$8&lt;&gt;"",'Hulp (CAO''s)'!K$8,""), INDEX('Hulp (CAO''s)'!K$3:K$7, MATCH(TRUE, 'Hulp (CAO''s)'!$D$3:$D$7, 0))))</f>
        <v/>
      </c>
      <c r="H250" s="423" t="str">
        <f ca="1">IF($B250="", "", IF($BF253, IF('Hulp (CAO''s)'!L$8&lt;&gt;"",'Hulp (CAO''s)'!L$8,""), INDEX('Hulp (CAO''s)'!L$3:L$7, MATCH(TRUE, 'Hulp (CAO''s)'!$D$3:$D$7, 0))))</f>
        <v/>
      </c>
      <c r="I250" s="423" t="str">
        <f ca="1">IF($B250="", "", IF($BF253, IF('Hulp (CAO''s)'!M$8&lt;&gt;"",'Hulp (CAO''s)'!M$8,""), INDEX('Hulp (CAO''s)'!M$3:M$7, MATCH(TRUE, 'Hulp (CAO''s)'!$D$3:$D$7, 0))))</f>
        <v/>
      </c>
      <c r="J250" s="423" t="str">
        <f ca="1">IF($B250="", "", IF($BF253, IF('Hulp (CAO''s)'!N$8&lt;&gt;"",'Hulp (CAO''s)'!N$8,""), INDEX('Hulp (CAO''s)'!N$3:N$7, MATCH(TRUE, 'Hulp (CAO''s)'!$D$3:$D$7, 0))))</f>
        <v/>
      </c>
      <c r="K250" s="423" t="str">
        <f ca="1">IF($B250="", "", IF($BF253, IF('Hulp (CAO''s)'!O$8&lt;&gt;"",'Hulp (CAO''s)'!O$8,""), INDEX('Hulp (CAO''s)'!O$3:O$7, MATCH(TRUE, 'Hulp (CAO''s)'!$D$3:$D$7, 0))))</f>
        <v/>
      </c>
      <c r="L250" s="423" t="str">
        <f ca="1">IF($B250="", "", IF($BF253, IF('Hulp (CAO''s)'!P$8&lt;&gt;"",'Hulp (CAO''s)'!P$8,""), INDEX('Hulp (CAO''s)'!P$3:P$7, MATCH(TRUE, 'Hulp (CAO''s)'!$D$3:$D$7, 0))))</f>
        <v/>
      </c>
      <c r="M250" s="423" t="str">
        <f ca="1">IF($B250="", "", IF($BF253, IF('Hulp (CAO''s)'!Q$8&lt;&gt;"",'Hulp (CAO''s)'!Q$8,""), INDEX('Hulp (CAO''s)'!Q$3:Q$7, MATCH(TRUE, 'Hulp (CAO''s)'!$D$3:$D$7, 0))))</f>
        <v/>
      </c>
      <c r="N250" s="423" t="str">
        <f ca="1">IF($B250="", "", IF($BF253, IF('Hulp (CAO''s)'!R$8&lt;&gt;"",'Hulp (CAO''s)'!R$8,""), INDEX('Hulp (CAO''s)'!R$3:R$7, MATCH(TRUE, 'Hulp (CAO''s)'!$D$3:$D$7, 0))))</f>
        <v/>
      </c>
      <c r="O250" s="423" t="str">
        <f ca="1">IF($B250="", "", IF($BF253, IF('Hulp (CAO''s)'!S$8&lt;&gt;"",'Hulp (CAO''s)'!S$8,""), INDEX('Hulp (CAO''s)'!S$3:S$7, MATCH(TRUE, 'Hulp (CAO''s)'!$D$3:$D$7, 0))))</f>
        <v/>
      </c>
      <c r="P250" s="423" t="str">
        <f ca="1">IF($B250="", "", IF($BF253, IF('Hulp (CAO''s)'!T$8&lt;&gt;"",'Hulp (CAO''s)'!T$8,""), INDEX('Hulp (CAO''s)'!T$3:T$7, MATCH(TRUE, 'Hulp (CAO''s)'!$D$3:$D$7, 0))))</f>
        <v/>
      </c>
      <c r="Q250" s="423" t="str">
        <f ca="1">IF($B250="", "", IF($BF253, IF('Hulp (CAO''s)'!U$8&lt;&gt;"",'Hulp (CAO''s)'!U$8,""), INDEX('Hulp (CAO''s)'!U$3:U$7, MATCH(TRUE, 'Hulp (CAO''s)'!$D$3:$D$7, 0))))</f>
        <v/>
      </c>
      <c r="R250" s="423" t="str">
        <f ca="1">IF($B250="", "", IF($BF253, IF('Hulp (CAO''s)'!V$8&lt;&gt;"",'Hulp (CAO''s)'!V$8,""), INDEX('Hulp (CAO''s)'!V$3:V$7, MATCH(TRUE, 'Hulp (CAO''s)'!$D$3:$D$7, 0))))</f>
        <v/>
      </c>
      <c r="S250" s="423" t="str">
        <f ca="1">IF($B250="", "", IF($BF253, IF('Hulp (CAO''s)'!W$8&lt;&gt;"",'Hulp (CAO''s)'!W$8,""), INDEX('Hulp (CAO''s)'!W$3:W$7, MATCH(TRUE, 'Hulp (CAO''s)'!$D$3:$D$7, 0))))</f>
        <v/>
      </c>
      <c r="T250" s="423" t="str">
        <f ca="1">IF($B250="", "", IF($BF253, IF('Hulp (CAO''s)'!X$8&lt;&gt;"",'Hulp (CAO''s)'!X$8,""), INDEX('Hulp (CAO''s)'!X$3:X$7, MATCH(TRUE, 'Hulp (CAO''s)'!$D$3:$D$7, 0))))</f>
        <v/>
      </c>
      <c r="U250" s="424" t="str">
        <f ca="1">IF($B250="", "", IF($BF253, IF('Hulp (CAO''s)'!Y$8&lt;&gt;"",'Hulp (CAO''s)'!Y$8,""), INDEX('Hulp (CAO''s)'!Y$3:Y$7, MATCH(TRUE, 'Hulp (CAO''s)'!$D$3:$D$7, 0))))</f>
        <v/>
      </c>
      <c r="V250" s="417"/>
      <c r="W250" s="343"/>
      <c r="X250" s="617"/>
      <c r="Y250" s="343"/>
      <c r="Z250" s="329"/>
      <c r="AA250" s="320"/>
      <c r="AB250" s="289"/>
      <c r="AC250" s="289"/>
      <c r="AD250" s="289"/>
      <c r="AE250" s="289"/>
      <c r="AF250" s="289"/>
      <c r="AG250" s="289"/>
      <c r="AH250" s="289"/>
      <c r="AI250" s="289"/>
      <c r="AJ250" s="289"/>
      <c r="AK250" s="289"/>
      <c r="AL250" s="289"/>
      <c r="AM250" s="289"/>
      <c r="AN250" s="289"/>
      <c r="AO250" s="289"/>
      <c r="AP250" s="289"/>
      <c r="AQ250" s="289"/>
      <c r="AR250" s="289"/>
      <c r="AS250" s="289"/>
      <c r="AT250" s="289"/>
      <c r="AU250" s="289"/>
      <c r="AV250" s="289"/>
      <c r="AW250" s="289"/>
      <c r="AX250" s="289"/>
      <c r="AY250" s="289"/>
      <c r="AZ250" s="289"/>
    </row>
    <row r="251" spans="1:59" ht="16.05" customHeight="1" x14ac:dyDescent="0.45">
      <c r="A251" s="289"/>
      <c r="B251" s="343"/>
      <c r="C251" s="325" t="s">
        <v>779</v>
      </c>
      <c r="D251" s="772" t="s">
        <v>772</v>
      </c>
      <c r="E251" s="430" t="e">
        <f ca="1">IF($BF253, "", "% t.o.v. max salaris in de schaal")</f>
        <v>#VALUE!</v>
      </c>
      <c r="F251" s="615"/>
      <c r="G251" s="615"/>
      <c r="H251" s="615"/>
      <c r="I251" s="615"/>
      <c r="J251" s="615"/>
      <c r="K251" s="615"/>
      <c r="L251" s="615"/>
      <c r="M251" s="615"/>
      <c r="N251" s="615"/>
      <c r="O251" s="615"/>
      <c r="P251" s="615"/>
      <c r="Q251" s="615"/>
      <c r="R251" s="615"/>
      <c r="S251" s="615"/>
      <c r="T251" s="615"/>
      <c r="U251" s="616"/>
      <c r="V251" s="774" t="s">
        <v>884</v>
      </c>
      <c r="W251" s="332"/>
      <c r="X251" s="776" t="s">
        <v>882</v>
      </c>
      <c r="Y251" s="778" t="s">
        <v>883</v>
      </c>
      <c r="Z251" s="329"/>
      <c r="AA251" s="771" t="s">
        <v>780</v>
      </c>
      <c r="AB251" s="770" t="s">
        <v>1079</v>
      </c>
      <c r="AC251" s="289"/>
      <c r="AD251" s="289"/>
      <c r="AE251" s="289"/>
      <c r="AF251" s="289"/>
      <c r="AG251" s="289"/>
      <c r="AH251" s="289"/>
      <c r="AI251" s="289"/>
      <c r="AJ251" s="289"/>
      <c r="AK251" s="289"/>
      <c r="AL251" s="289"/>
      <c r="AM251" s="289"/>
      <c r="AN251" s="289"/>
      <c r="AO251" s="289"/>
      <c r="AP251" s="289"/>
      <c r="AQ251" s="289"/>
      <c r="AR251" s="289"/>
      <c r="AS251" s="289"/>
      <c r="AT251" s="289"/>
      <c r="AU251" s="289"/>
      <c r="AV251" s="289"/>
      <c r="AW251" s="289"/>
      <c r="AX251" s="289"/>
      <c r="AY251" s="289"/>
      <c r="AZ251" s="289"/>
    </row>
    <row r="252" spans="1:59" ht="16.05" customHeight="1" thickBot="1" x14ac:dyDescent="0.5">
      <c r="A252" s="289"/>
      <c r="B252" s="343"/>
      <c r="C252" s="325" t="s">
        <v>779</v>
      </c>
      <c r="D252" s="773"/>
      <c r="E252" s="431" t="e">
        <f ca="1">IF($BF253, "", "Trede (gemiddeld)")</f>
        <v>#VALUE!</v>
      </c>
      <c r="F252" s="737"/>
      <c r="G252" s="737"/>
      <c r="H252" s="737"/>
      <c r="I252" s="737"/>
      <c r="J252" s="737"/>
      <c r="K252" s="737"/>
      <c r="L252" s="737"/>
      <c r="M252" s="737"/>
      <c r="N252" s="737"/>
      <c r="O252" s="737"/>
      <c r="P252" s="737"/>
      <c r="Q252" s="737"/>
      <c r="R252" s="737"/>
      <c r="S252" s="737"/>
      <c r="T252" s="737"/>
      <c r="U252" s="740"/>
      <c r="V252" s="775"/>
      <c r="W252" s="294"/>
      <c r="X252" s="777"/>
      <c r="Y252" s="779"/>
      <c r="Z252" s="329"/>
      <c r="AA252" s="771"/>
      <c r="AB252" s="770"/>
      <c r="AC252" s="289"/>
      <c r="AD252" s="289"/>
      <c r="AE252" s="289"/>
      <c r="AF252" s="289"/>
      <c r="AG252" s="289"/>
      <c r="AH252" s="289"/>
      <c r="AI252" s="289"/>
      <c r="AJ252" s="289"/>
      <c r="AK252" s="289"/>
      <c r="AL252" s="289"/>
      <c r="AM252" s="289"/>
      <c r="AN252" s="289"/>
      <c r="AO252" s="289"/>
      <c r="AP252" s="289"/>
      <c r="AQ252" s="289"/>
      <c r="AR252" s="289"/>
      <c r="AS252" s="289"/>
      <c r="AT252" s="289"/>
      <c r="AU252" s="289"/>
      <c r="AV252" s="289"/>
      <c r="AW252" s="289"/>
      <c r="AX252" s="289"/>
      <c r="AY252" s="289"/>
      <c r="AZ252" s="289"/>
    </row>
    <row r="253" spans="1:59" ht="16.05" customHeight="1" thickBot="1" x14ac:dyDescent="0.5">
      <c r="A253" s="289"/>
      <c r="B253" s="343"/>
      <c r="C253" s="325" t="s">
        <v>779</v>
      </c>
      <c r="E253" s="432" t="str">
        <f>IFERROR(
   INDEX('Hulp (CAO''s)'!$I$3:$I$7, MATCH(TRUE, 'Hulp (CAO''s)'!$D$3:$D$7, 0)),
"")</f>
        <v>Bruto maandsalaris</v>
      </c>
      <c r="F253" s="425" t="e" cm="1">
        <f t="array" aca="1" ref="F253" ca="1">IF($BF253, IF(F250="","",
   INDEX(
      INDIRECT("'" &amp; 'Hulp (CAO''s)'!$AE$8 &amp; "'!" &amp;
               'Hulp (overig)'!$C$17 &amp; "1:" &amp;
               'Hulp (overig)'!$C$17 &amp; "1000"),
      MATCH(
         F250,
         INDIRECT("'" &amp; 'Hulp (CAO''s)'!$AE$8 &amp; "'!A1:A1000"),
         0
      )
   )
), IF($D251="Gebruik % van maximum salaris",
IF(
    OR(F250="",F251=""),
    "",
    MAX(
        INDIRECT(
            "'" &amp; 'Hulp (overig)'!$C$16 &amp; "'!" &amp;
            'Hulp (overig)'!$C$17 &amp;
            MATCH(F250, INDIRECT("'" &amp; 'Hulp (overig)'!$C$16 &amp; "'!A1:A1000"), 0) &amp;
            ":" &amp;
            'Hulp (overig)'!$C$17 &amp;
LOOKUP(
    2,
    1 / (
        (ROW(INDIRECT("'" &amp; 'Hulp (overig)'!$C$16 &amp; "'!B1:B1000")) &lt;
            IF(G250&lt;&gt;"",
               MATCH(G250, INDIRECT("'" &amp; 'Hulp (overig)'!$C$16 &amp; "'!A1:A1000"),0),
               1000
            )
        ) *
        (LEFT(TRIM(INDIRECT("'" &amp; 'Hulp (overig)'!$C$16 &amp; "'!B1:B1000")),1) &lt;&gt; "u")
    ),
    ROW(INDIRECT("'" &amp; 'Hulp (overig)'!$C$16 &amp; "'!B1:B1000"))
)
        )
    ) * F251
),
IF(F252="","",
IF(
    IFERROR(MIN(
        IF(
            (TRIM(INDIRECT("'" &amp; 'Hulp (overig)'!$C$16 &amp; "'!B1:B1000")) = TEXT(F252,"0")) *
            (ROW(INDIRECT("'" &amp; 'Hulp (overig)'!$C$16 &amp; "'!B1:B1000")) &gt;= MATCH(
                F250,
                INDIRECT("'" &amp; 'Hulp (overig)'!$C$16 &amp; "'!A1:A1000"),
                0
            )) *
            IF(
                G250="",
                1,
                (ROW(INDIRECT("'" &amp; 'Hulp (overig)'!$C$16 &amp; "'!B1:B1000")) &lt; MATCH(
                    G250,
                    INDIRECT("'" &amp; 'Hulp (overig)'!$C$16 &amp; "'!A1:A1000"),
                    0
                ))
            ),
            ROW(INDIRECT("'" &amp; 'Hulp (overig)'!$C$16 &amp; "'!B1:B1000"))
        )
    ),0) &lt; 1,
    "",
    IF(INDEX(
        INDIRECT("'" &amp; 'Hulp (overig)'!$C$16 &amp; "'!" &amp;
        'Hulp (overig)'!$C$17 &amp; "1:" &amp; 'Hulp (overig)'!$C$17 &amp; 1000
        ),
        IFERROR(MIN(
            IF(
                (TRIM(INDIRECT("'" &amp; 'Hulp (overig)'!$C$16 &amp; "'!B1:B1000")) = TEXT(F252,"0")) *
                (ROW(INDIRECT("'" &amp; 'Hulp (overig)'!$C$16 &amp; "'!B1:B1000")) &gt;= MATCH(
                    F250,
                    INDIRECT("'" &amp; 'Hulp (overig)'!$C$16 &amp; "'!A1:A1000"),
                    0
                )) *
                IF(
                    G250="",
                    1,
                    (ROW(INDIRECT("'" &amp; 'Hulp (overig)'!$C$16 &amp; "'!B1:B1000")) &lt; MATCH(
                        G250,
                        INDIRECT("'" &amp; 'Hulp (overig)'!$C$16 &amp; "'!A1:A1000"),
                        0
                    ))
                ),
                ROW(INDIRECT("'" &amp; 'Hulp (overig)'!$C$16 &amp; "'!B1:B1000"))
            )
        ),0)
    )=0,"",
INDEX(
        INDIRECT("'" &amp; 'Hulp (overig)'!$C$16 &amp; "'!" &amp;
        'Hulp (overig)'!$C$17 &amp; "1:" &amp; 'Hulp (overig)'!$C$17 &amp; 1000
        ),
        IFERROR(MIN(
            IF(
                (TRIM(INDIRECT("'" &amp; 'Hulp (overig)'!$C$16 &amp; "'!B1:B1000")) = TEXT(F252,"0")) *
                (ROW(INDIRECT("'" &amp; 'Hulp (overig)'!$C$16 &amp; "'!B1:B1000")) &gt;= MATCH(
                    F250,
                    INDIRECT("'" &amp; 'Hulp (overig)'!$C$16 &amp; "'!A1:A1000"),
                    0
                )) *
                IF(
                    G250="",
                    1,
                    (ROW(INDIRECT("'" &amp; 'Hulp (overig)'!$C$16 &amp; "'!B1:B1000")) &lt; MATCH(
                        G250,
                        INDIRECT("'" &amp; 'Hulp (overig)'!$C$16 &amp; "'!A1:A1000"),
                        0
                    ))
                ),
                ROW(INDIRECT("'" &amp; 'Hulp (overig)'!$C$16 &amp; "'!B1:B1000"))
            )
        ),0)
    ))
))))</f>
        <v>#VALUE!</v>
      </c>
      <c r="G253" s="425" t="e" cm="1">
        <f t="array" aca="1" ref="G253" ca="1">IF($BF253, IF(G250="","",
   INDEX(
      INDIRECT("'" &amp; 'Hulp (CAO''s)'!$AE$8 &amp; "'!" &amp;
               'Hulp (overig)'!$C$17 &amp; "1:" &amp;
               'Hulp (overig)'!$C$17 &amp; "1000"),
      MATCH(
         G250,
         INDIRECT("'" &amp; 'Hulp (CAO''s)'!$AE$8 &amp; "'!A1:A1000"),
         0
      )
   )
), IF($D251="Gebruik % van maximum salaris",
IF(
    OR(G250="",G251=""),
    "",
    MAX(
        INDIRECT(
            "'" &amp; 'Hulp (overig)'!$C$16 &amp; "'!" &amp;
            'Hulp (overig)'!$C$17 &amp;
            MATCH(G250, INDIRECT("'" &amp; 'Hulp (overig)'!$C$16 &amp; "'!A1:A1000"), 0) &amp;
            ":" &amp;
            'Hulp (overig)'!$C$17 &amp;
LOOKUP(
    2,
    1 / (
        (ROW(INDIRECT("'" &amp; 'Hulp (overig)'!$C$16 &amp; "'!B1:B1000")) &lt;
            IF(H250&lt;&gt;"",
               MATCH(H250, INDIRECT("'" &amp; 'Hulp (overig)'!$C$16 &amp; "'!A1:A1000"),0),
               1000
            )
        ) *
        (LEFT(TRIM(INDIRECT("'" &amp; 'Hulp (overig)'!$C$16 &amp; "'!B1:B1000")),1) &lt;&gt; "u")
    ),
    ROW(INDIRECT("'" &amp; 'Hulp (overig)'!$C$16 &amp; "'!B1:B1000"))
)
        )
    ) * G251
),
IF(G252="","",
IF(
    IFERROR(MIN(
        IF(
            (TRIM(INDIRECT("'" &amp; 'Hulp (overig)'!$C$16 &amp; "'!B1:B1000")) = TEXT(G252,"0")) *
            (ROW(INDIRECT("'" &amp; 'Hulp (overig)'!$C$16 &amp; "'!B1:B1000")) &gt;= MATCH(
                G250,
                INDIRECT("'" &amp; 'Hulp (overig)'!$C$16 &amp; "'!A1:A1000"),
                0
            )) *
            IF(
                H250="",
                1,
                (ROW(INDIRECT("'" &amp; 'Hulp (overig)'!$C$16 &amp; "'!B1:B1000")) &lt; MATCH(
                    H250,
                    INDIRECT("'" &amp; 'Hulp (overig)'!$C$16 &amp; "'!A1:A1000"),
                    0
                ))
            ),
            ROW(INDIRECT("'" &amp; 'Hulp (overig)'!$C$16 &amp; "'!B1:B1000"))
        )
    ),0) &lt; 1,
    "",
    IF(INDEX(
        INDIRECT("'" &amp; 'Hulp (overig)'!$C$16 &amp; "'!" &amp;
        'Hulp (overig)'!$C$17 &amp; "1:" &amp; 'Hulp (overig)'!$C$17 &amp; 1000
        ),
        IFERROR(MIN(
            IF(
                (TRIM(INDIRECT("'" &amp; 'Hulp (overig)'!$C$16 &amp; "'!B1:B1000")) = TEXT(G252,"0")) *
                (ROW(INDIRECT("'" &amp; 'Hulp (overig)'!$C$16 &amp; "'!B1:B1000")) &gt;= MATCH(
                    G250,
                    INDIRECT("'" &amp; 'Hulp (overig)'!$C$16 &amp; "'!A1:A1000"),
                    0
                )) *
                IF(
                    H250="",
                    1,
                    (ROW(INDIRECT("'" &amp; 'Hulp (overig)'!$C$16 &amp; "'!B1:B1000")) &lt; MATCH(
                        H250,
                        INDIRECT("'" &amp; 'Hulp (overig)'!$C$16 &amp; "'!A1:A1000"),
                        0
                    ))
                ),
                ROW(INDIRECT("'" &amp; 'Hulp (overig)'!$C$16 &amp; "'!B1:B1000"))
            )
        ),0)
    )=0,"",
INDEX(
        INDIRECT("'" &amp; 'Hulp (overig)'!$C$16 &amp; "'!" &amp;
        'Hulp (overig)'!$C$17 &amp; "1:" &amp; 'Hulp (overig)'!$C$17 &amp; 1000
        ),
        IFERROR(MIN(
            IF(
                (TRIM(INDIRECT("'" &amp; 'Hulp (overig)'!$C$16 &amp; "'!B1:B1000")) = TEXT(G252,"0")) *
                (ROW(INDIRECT("'" &amp; 'Hulp (overig)'!$C$16 &amp; "'!B1:B1000")) &gt;= MATCH(
                    G250,
                    INDIRECT("'" &amp; 'Hulp (overig)'!$C$16 &amp; "'!A1:A1000"),
                    0
                )) *
                IF(
                    H250="",
                    1,
                    (ROW(INDIRECT("'" &amp; 'Hulp (overig)'!$C$16 &amp; "'!B1:B1000")) &lt; MATCH(
                        H250,
                        INDIRECT("'" &amp; 'Hulp (overig)'!$C$16 &amp; "'!A1:A1000"),
                        0
                    ))
                ),
                ROW(INDIRECT("'" &amp; 'Hulp (overig)'!$C$16 &amp; "'!B1:B1000"))
            )
        ),0)
    ))
))))</f>
        <v>#VALUE!</v>
      </c>
      <c r="H253" s="425" t="e" cm="1">
        <f t="array" aca="1" ref="H253" ca="1">IF($BF253, IF(H250="","",
   INDEX(
      INDIRECT("'" &amp; 'Hulp (CAO''s)'!$AE$8 &amp; "'!" &amp;
               'Hulp (overig)'!$C$17 &amp; "1:" &amp;
               'Hulp (overig)'!$C$17 &amp; "1000"),
      MATCH(
         H250,
         INDIRECT("'" &amp; 'Hulp (CAO''s)'!$AE$8 &amp; "'!A1:A1000"),
         0
      )
   )
), IF($D251="Gebruik % van maximum salaris",
IF(
    OR(H250="",H251=""),
    "",
    MAX(
        INDIRECT(
            "'" &amp; 'Hulp (overig)'!$C$16 &amp; "'!" &amp;
            'Hulp (overig)'!$C$17 &amp;
            MATCH(H250, INDIRECT("'" &amp; 'Hulp (overig)'!$C$16 &amp; "'!A1:A1000"), 0) &amp;
            ":" &amp;
            'Hulp (overig)'!$C$17 &amp;
LOOKUP(
    2,
    1 / (
        (ROW(INDIRECT("'" &amp; 'Hulp (overig)'!$C$16 &amp; "'!B1:B1000")) &lt;
            IF(I250&lt;&gt;"",
               MATCH(I250, INDIRECT("'" &amp; 'Hulp (overig)'!$C$16 &amp; "'!A1:A1000"),0),
               1000
            )
        ) *
        (LEFT(TRIM(INDIRECT("'" &amp; 'Hulp (overig)'!$C$16 &amp; "'!B1:B1000")),1) &lt;&gt; "u")
    ),
    ROW(INDIRECT("'" &amp; 'Hulp (overig)'!$C$16 &amp; "'!B1:B1000"))
)
        )
    ) * H251
),
IF(H252="","",
IF(
    IFERROR(MIN(
        IF(
            (TRIM(INDIRECT("'" &amp; 'Hulp (overig)'!$C$16 &amp; "'!B1:B1000")) = TEXT(H252,"0")) *
            (ROW(INDIRECT("'" &amp; 'Hulp (overig)'!$C$16 &amp; "'!B1:B1000")) &gt;= MATCH(
                H250,
                INDIRECT("'" &amp; 'Hulp (overig)'!$C$16 &amp; "'!A1:A1000"),
                0
            )) *
            IF(
                I250="",
                1,
                (ROW(INDIRECT("'" &amp; 'Hulp (overig)'!$C$16 &amp; "'!B1:B1000")) &lt; MATCH(
                    I250,
                    INDIRECT("'" &amp; 'Hulp (overig)'!$C$16 &amp; "'!A1:A1000"),
                    0
                ))
            ),
            ROW(INDIRECT("'" &amp; 'Hulp (overig)'!$C$16 &amp; "'!B1:B1000"))
        )
    ),0) &lt; 1,
    "",
    IF(INDEX(
        INDIRECT("'" &amp; 'Hulp (overig)'!$C$16 &amp; "'!" &amp;
        'Hulp (overig)'!$C$17 &amp; "1:" &amp; 'Hulp (overig)'!$C$17 &amp; 1000
        ),
        IFERROR(MIN(
            IF(
                (TRIM(INDIRECT("'" &amp; 'Hulp (overig)'!$C$16 &amp; "'!B1:B1000")) = TEXT(H252,"0")) *
                (ROW(INDIRECT("'" &amp; 'Hulp (overig)'!$C$16 &amp; "'!B1:B1000")) &gt;= MATCH(
                    H250,
                    INDIRECT("'" &amp; 'Hulp (overig)'!$C$16 &amp; "'!A1:A1000"),
                    0
                )) *
                IF(
                    I250="",
                    1,
                    (ROW(INDIRECT("'" &amp; 'Hulp (overig)'!$C$16 &amp; "'!B1:B1000")) &lt; MATCH(
                        I250,
                        INDIRECT("'" &amp; 'Hulp (overig)'!$C$16 &amp; "'!A1:A1000"),
                        0
                    ))
                ),
                ROW(INDIRECT("'" &amp; 'Hulp (overig)'!$C$16 &amp; "'!B1:B1000"))
            )
        ),0)
    )=0,"",
INDEX(
        INDIRECT("'" &amp; 'Hulp (overig)'!$C$16 &amp; "'!" &amp;
        'Hulp (overig)'!$C$17 &amp; "1:" &amp; 'Hulp (overig)'!$C$17 &amp; 1000
        ),
        IFERROR(MIN(
            IF(
                (TRIM(INDIRECT("'" &amp; 'Hulp (overig)'!$C$16 &amp; "'!B1:B1000")) = TEXT(H252,"0")) *
                (ROW(INDIRECT("'" &amp; 'Hulp (overig)'!$C$16 &amp; "'!B1:B1000")) &gt;= MATCH(
                    H250,
                    INDIRECT("'" &amp; 'Hulp (overig)'!$C$16 &amp; "'!A1:A1000"),
                    0
                )) *
                IF(
                    I250="",
                    1,
                    (ROW(INDIRECT("'" &amp; 'Hulp (overig)'!$C$16 &amp; "'!B1:B1000")) &lt; MATCH(
                        I250,
                        INDIRECT("'" &amp; 'Hulp (overig)'!$C$16 &amp; "'!A1:A1000"),
                        0
                    ))
                ),
                ROW(INDIRECT("'" &amp; 'Hulp (overig)'!$C$16 &amp; "'!B1:B1000"))
            )
        ),0)
    ))
))))</f>
        <v>#VALUE!</v>
      </c>
      <c r="I253" s="425" t="e" cm="1">
        <f t="array" aca="1" ref="I253" ca="1">IF($BF253, IF(I250="","",
   INDEX(
      INDIRECT("'" &amp; 'Hulp (CAO''s)'!$AE$8 &amp; "'!" &amp;
               'Hulp (overig)'!$C$17 &amp; "1:" &amp;
               'Hulp (overig)'!$C$17 &amp; "1000"),
      MATCH(
         I250,
         INDIRECT("'" &amp; 'Hulp (CAO''s)'!$AE$8 &amp; "'!A1:A1000"),
         0
      )
   )
), IF($D251="Gebruik % van maximum salaris",
IF(
    OR(I250="",I251=""),
    "",
    MAX(
        INDIRECT(
            "'" &amp; 'Hulp (overig)'!$C$16 &amp; "'!" &amp;
            'Hulp (overig)'!$C$17 &amp;
            MATCH(I250, INDIRECT("'" &amp; 'Hulp (overig)'!$C$16 &amp; "'!A1:A1000"), 0) &amp;
            ":" &amp;
            'Hulp (overig)'!$C$17 &amp;
LOOKUP(
    2,
    1 / (
        (ROW(INDIRECT("'" &amp; 'Hulp (overig)'!$C$16 &amp; "'!B1:B1000")) &lt;
            IF(J250&lt;&gt;"",
               MATCH(J250, INDIRECT("'" &amp; 'Hulp (overig)'!$C$16 &amp; "'!A1:A1000"),0),
               1000
            )
        ) *
        (LEFT(TRIM(INDIRECT("'" &amp; 'Hulp (overig)'!$C$16 &amp; "'!B1:B1000")),1) &lt;&gt; "u")
    ),
    ROW(INDIRECT("'" &amp; 'Hulp (overig)'!$C$16 &amp; "'!B1:B1000"))
)
        )
    ) * I251
),
IF(I252="","",
IF(
    IFERROR(MIN(
        IF(
            (TRIM(INDIRECT("'" &amp; 'Hulp (overig)'!$C$16 &amp; "'!B1:B1000")) = TEXT(I252,"0")) *
            (ROW(INDIRECT("'" &amp; 'Hulp (overig)'!$C$16 &amp; "'!B1:B1000")) &gt;= MATCH(
                I250,
                INDIRECT("'" &amp; 'Hulp (overig)'!$C$16 &amp; "'!A1:A1000"),
                0
            )) *
            IF(
                J250="",
                1,
                (ROW(INDIRECT("'" &amp; 'Hulp (overig)'!$C$16 &amp; "'!B1:B1000")) &lt; MATCH(
                    J250,
                    INDIRECT("'" &amp; 'Hulp (overig)'!$C$16 &amp; "'!A1:A1000"),
                    0
                ))
            ),
            ROW(INDIRECT("'" &amp; 'Hulp (overig)'!$C$16 &amp; "'!B1:B1000"))
        )
    ),0) &lt; 1,
    "",
    IF(INDEX(
        INDIRECT("'" &amp; 'Hulp (overig)'!$C$16 &amp; "'!" &amp;
        'Hulp (overig)'!$C$17 &amp; "1:" &amp; 'Hulp (overig)'!$C$17 &amp; 1000
        ),
        IFERROR(MIN(
            IF(
                (TRIM(INDIRECT("'" &amp; 'Hulp (overig)'!$C$16 &amp; "'!B1:B1000")) = TEXT(I252,"0")) *
                (ROW(INDIRECT("'" &amp; 'Hulp (overig)'!$C$16 &amp; "'!B1:B1000")) &gt;= MATCH(
                    I250,
                    INDIRECT("'" &amp; 'Hulp (overig)'!$C$16 &amp; "'!A1:A1000"),
                    0
                )) *
                IF(
                    J250="",
                    1,
                    (ROW(INDIRECT("'" &amp; 'Hulp (overig)'!$C$16 &amp; "'!B1:B1000")) &lt; MATCH(
                        J250,
                        INDIRECT("'" &amp; 'Hulp (overig)'!$C$16 &amp; "'!A1:A1000"),
                        0
                    ))
                ),
                ROW(INDIRECT("'" &amp; 'Hulp (overig)'!$C$16 &amp; "'!B1:B1000"))
            )
        ),0)
    )=0,"",
INDEX(
        INDIRECT("'" &amp; 'Hulp (overig)'!$C$16 &amp; "'!" &amp;
        'Hulp (overig)'!$C$17 &amp; "1:" &amp; 'Hulp (overig)'!$C$17 &amp; 1000
        ),
        IFERROR(MIN(
            IF(
                (TRIM(INDIRECT("'" &amp; 'Hulp (overig)'!$C$16 &amp; "'!B1:B1000")) = TEXT(I252,"0")) *
                (ROW(INDIRECT("'" &amp; 'Hulp (overig)'!$C$16 &amp; "'!B1:B1000")) &gt;= MATCH(
                    I250,
                    INDIRECT("'" &amp; 'Hulp (overig)'!$C$16 &amp; "'!A1:A1000"),
                    0
                )) *
                IF(
                    J250="",
                    1,
                    (ROW(INDIRECT("'" &amp; 'Hulp (overig)'!$C$16 &amp; "'!B1:B1000")) &lt; MATCH(
                        J250,
                        INDIRECT("'" &amp; 'Hulp (overig)'!$C$16 &amp; "'!A1:A1000"),
                        0
                    ))
                ),
                ROW(INDIRECT("'" &amp; 'Hulp (overig)'!$C$16 &amp; "'!B1:B1000"))
            )
        ),0)
    ))
))))</f>
        <v>#VALUE!</v>
      </c>
      <c r="J253" s="425" t="e" cm="1">
        <f t="array" aca="1" ref="J253" ca="1">IF($BF253, IF(J250="","",
   INDEX(
      INDIRECT("'" &amp; 'Hulp (CAO''s)'!$AE$8 &amp; "'!" &amp;
               'Hulp (overig)'!$C$17 &amp; "1:" &amp;
               'Hulp (overig)'!$C$17 &amp; "1000"),
      MATCH(
         J250,
         INDIRECT("'" &amp; 'Hulp (CAO''s)'!$AE$8 &amp; "'!A1:A1000"),
         0
      )
   )
), IF($D251="Gebruik % van maximum salaris",
IF(
    OR(J250="",J251=""),
    "",
    MAX(
        INDIRECT(
            "'" &amp; 'Hulp (overig)'!$C$16 &amp; "'!" &amp;
            'Hulp (overig)'!$C$17 &amp;
            MATCH(J250, INDIRECT("'" &amp; 'Hulp (overig)'!$C$16 &amp; "'!A1:A1000"), 0) &amp;
            ":" &amp;
            'Hulp (overig)'!$C$17 &amp;
LOOKUP(
    2,
    1 / (
        (ROW(INDIRECT("'" &amp; 'Hulp (overig)'!$C$16 &amp; "'!B1:B1000")) &lt;
            IF(K250&lt;&gt;"",
               MATCH(K250, INDIRECT("'" &amp; 'Hulp (overig)'!$C$16 &amp; "'!A1:A1000"),0),
               1000
            )
        ) *
        (LEFT(TRIM(INDIRECT("'" &amp; 'Hulp (overig)'!$C$16 &amp; "'!B1:B1000")),1) &lt;&gt; "u")
    ),
    ROW(INDIRECT("'" &amp; 'Hulp (overig)'!$C$16 &amp; "'!B1:B1000"))
)
        )
    ) * J251
),
IF(J252="","",
IF(
    IFERROR(MIN(
        IF(
            (TRIM(INDIRECT("'" &amp; 'Hulp (overig)'!$C$16 &amp; "'!B1:B1000")) = TEXT(J252,"0")) *
            (ROW(INDIRECT("'" &amp; 'Hulp (overig)'!$C$16 &amp; "'!B1:B1000")) &gt;= MATCH(
                J250,
                INDIRECT("'" &amp; 'Hulp (overig)'!$C$16 &amp; "'!A1:A1000"),
                0
            )) *
            IF(
                K250="",
                1,
                (ROW(INDIRECT("'" &amp; 'Hulp (overig)'!$C$16 &amp; "'!B1:B1000")) &lt; MATCH(
                    K250,
                    INDIRECT("'" &amp; 'Hulp (overig)'!$C$16 &amp; "'!A1:A1000"),
                    0
                ))
            ),
            ROW(INDIRECT("'" &amp; 'Hulp (overig)'!$C$16 &amp; "'!B1:B1000"))
        )
    ),0) &lt; 1,
    "",
    IF(INDEX(
        INDIRECT("'" &amp; 'Hulp (overig)'!$C$16 &amp; "'!" &amp;
        'Hulp (overig)'!$C$17 &amp; "1:" &amp; 'Hulp (overig)'!$C$17 &amp; 1000
        ),
        IFERROR(MIN(
            IF(
                (TRIM(INDIRECT("'" &amp; 'Hulp (overig)'!$C$16 &amp; "'!B1:B1000")) = TEXT(J252,"0")) *
                (ROW(INDIRECT("'" &amp; 'Hulp (overig)'!$C$16 &amp; "'!B1:B1000")) &gt;= MATCH(
                    J250,
                    INDIRECT("'" &amp; 'Hulp (overig)'!$C$16 &amp; "'!A1:A1000"),
                    0
                )) *
                IF(
                    K250="",
                    1,
                    (ROW(INDIRECT("'" &amp; 'Hulp (overig)'!$C$16 &amp; "'!B1:B1000")) &lt; MATCH(
                        K250,
                        INDIRECT("'" &amp; 'Hulp (overig)'!$C$16 &amp; "'!A1:A1000"),
                        0
                    ))
                ),
                ROW(INDIRECT("'" &amp; 'Hulp (overig)'!$C$16 &amp; "'!B1:B1000"))
            )
        ),0)
    )=0,"",
INDEX(
        INDIRECT("'" &amp; 'Hulp (overig)'!$C$16 &amp; "'!" &amp;
        'Hulp (overig)'!$C$17 &amp; "1:" &amp; 'Hulp (overig)'!$C$17 &amp; 1000
        ),
        IFERROR(MIN(
            IF(
                (TRIM(INDIRECT("'" &amp; 'Hulp (overig)'!$C$16 &amp; "'!B1:B1000")) = TEXT(J252,"0")) *
                (ROW(INDIRECT("'" &amp; 'Hulp (overig)'!$C$16 &amp; "'!B1:B1000")) &gt;= MATCH(
                    J250,
                    INDIRECT("'" &amp; 'Hulp (overig)'!$C$16 &amp; "'!A1:A1000"),
                    0
                )) *
                IF(
                    K250="",
                    1,
                    (ROW(INDIRECT("'" &amp; 'Hulp (overig)'!$C$16 &amp; "'!B1:B1000")) &lt; MATCH(
                        K250,
                        INDIRECT("'" &amp; 'Hulp (overig)'!$C$16 &amp; "'!A1:A1000"),
                        0
                    ))
                ),
                ROW(INDIRECT("'" &amp; 'Hulp (overig)'!$C$16 &amp; "'!B1:B1000"))
            )
        ),0)
    ))
))))</f>
        <v>#VALUE!</v>
      </c>
      <c r="K253" s="425" t="e" cm="1">
        <f t="array" aca="1" ref="K253" ca="1">IF($BF253, IF(K250="","",
   INDEX(
      INDIRECT("'" &amp; 'Hulp (CAO''s)'!$AE$8 &amp; "'!" &amp;
               'Hulp (overig)'!$C$17 &amp; "1:" &amp;
               'Hulp (overig)'!$C$17 &amp; "1000"),
      MATCH(
         K250,
         INDIRECT("'" &amp; 'Hulp (CAO''s)'!$AE$8 &amp; "'!A1:A1000"),
         0
      )
   )
), IF($D251="Gebruik % van maximum salaris",
IF(
    OR(K250="",K251=""),
    "",
    MAX(
        INDIRECT(
            "'" &amp; 'Hulp (overig)'!$C$16 &amp; "'!" &amp;
            'Hulp (overig)'!$C$17 &amp;
            MATCH(K250, INDIRECT("'" &amp; 'Hulp (overig)'!$C$16 &amp; "'!A1:A1000"), 0) &amp;
            ":" &amp;
            'Hulp (overig)'!$C$17 &amp;
LOOKUP(
    2,
    1 / (
        (ROW(INDIRECT("'" &amp; 'Hulp (overig)'!$C$16 &amp; "'!B1:B1000")) &lt;
            IF(L250&lt;&gt;"",
               MATCH(L250, INDIRECT("'" &amp; 'Hulp (overig)'!$C$16 &amp; "'!A1:A1000"),0),
               1000
            )
        ) *
        (LEFT(TRIM(INDIRECT("'" &amp; 'Hulp (overig)'!$C$16 &amp; "'!B1:B1000")),1) &lt;&gt; "u")
    ),
    ROW(INDIRECT("'" &amp; 'Hulp (overig)'!$C$16 &amp; "'!B1:B1000"))
)
        )
    ) * K251
),
IF(K252="","",
IF(
    IFERROR(MIN(
        IF(
            (TRIM(INDIRECT("'" &amp; 'Hulp (overig)'!$C$16 &amp; "'!B1:B1000")) = TEXT(K252,"0")) *
            (ROW(INDIRECT("'" &amp; 'Hulp (overig)'!$C$16 &amp; "'!B1:B1000")) &gt;= MATCH(
                K250,
                INDIRECT("'" &amp; 'Hulp (overig)'!$C$16 &amp; "'!A1:A1000"),
                0
            )) *
            IF(
                L250="",
                1,
                (ROW(INDIRECT("'" &amp; 'Hulp (overig)'!$C$16 &amp; "'!B1:B1000")) &lt; MATCH(
                    L250,
                    INDIRECT("'" &amp; 'Hulp (overig)'!$C$16 &amp; "'!A1:A1000"),
                    0
                ))
            ),
            ROW(INDIRECT("'" &amp; 'Hulp (overig)'!$C$16 &amp; "'!B1:B1000"))
        )
    ),0) &lt; 1,
    "",
    IF(INDEX(
        INDIRECT("'" &amp; 'Hulp (overig)'!$C$16 &amp; "'!" &amp;
        'Hulp (overig)'!$C$17 &amp; "1:" &amp; 'Hulp (overig)'!$C$17 &amp; 1000
        ),
        IFERROR(MIN(
            IF(
                (TRIM(INDIRECT("'" &amp; 'Hulp (overig)'!$C$16 &amp; "'!B1:B1000")) = TEXT(K252,"0")) *
                (ROW(INDIRECT("'" &amp; 'Hulp (overig)'!$C$16 &amp; "'!B1:B1000")) &gt;= MATCH(
                    K250,
                    INDIRECT("'" &amp; 'Hulp (overig)'!$C$16 &amp; "'!A1:A1000"),
                    0
                )) *
                IF(
                    L250="",
                    1,
                    (ROW(INDIRECT("'" &amp; 'Hulp (overig)'!$C$16 &amp; "'!B1:B1000")) &lt; MATCH(
                        L250,
                        INDIRECT("'" &amp; 'Hulp (overig)'!$C$16 &amp; "'!A1:A1000"),
                        0
                    ))
                ),
                ROW(INDIRECT("'" &amp; 'Hulp (overig)'!$C$16 &amp; "'!B1:B1000"))
            )
        ),0)
    )=0,"",
INDEX(
        INDIRECT("'" &amp; 'Hulp (overig)'!$C$16 &amp; "'!" &amp;
        'Hulp (overig)'!$C$17 &amp; "1:" &amp; 'Hulp (overig)'!$C$17 &amp; 1000
        ),
        IFERROR(MIN(
            IF(
                (TRIM(INDIRECT("'" &amp; 'Hulp (overig)'!$C$16 &amp; "'!B1:B1000")) = TEXT(K252,"0")) *
                (ROW(INDIRECT("'" &amp; 'Hulp (overig)'!$C$16 &amp; "'!B1:B1000")) &gt;= MATCH(
                    K250,
                    INDIRECT("'" &amp; 'Hulp (overig)'!$C$16 &amp; "'!A1:A1000"),
                    0
                )) *
                IF(
                    L250="",
                    1,
                    (ROW(INDIRECT("'" &amp; 'Hulp (overig)'!$C$16 &amp; "'!B1:B1000")) &lt; MATCH(
                        L250,
                        INDIRECT("'" &amp; 'Hulp (overig)'!$C$16 &amp; "'!A1:A1000"),
                        0
                    ))
                ),
                ROW(INDIRECT("'" &amp; 'Hulp (overig)'!$C$16 &amp; "'!B1:B1000"))
            )
        ),0)
    ))
))))</f>
        <v>#VALUE!</v>
      </c>
      <c r="L253" s="425" t="e" cm="1">
        <f t="array" aca="1" ref="L253" ca="1">IF($BF253, IF(L250="","",
   INDEX(
      INDIRECT("'" &amp; 'Hulp (CAO''s)'!$AE$8 &amp; "'!" &amp;
               'Hulp (overig)'!$C$17 &amp; "1:" &amp;
               'Hulp (overig)'!$C$17 &amp; "1000"),
      MATCH(
         L250,
         INDIRECT("'" &amp; 'Hulp (CAO''s)'!$AE$8 &amp; "'!A1:A1000"),
         0
      )
   )
), IF($D251="Gebruik % van maximum salaris",
IF(
    OR(L250="",L251=""),
    "",
    MAX(
        INDIRECT(
            "'" &amp; 'Hulp (overig)'!$C$16 &amp; "'!" &amp;
            'Hulp (overig)'!$C$17 &amp;
            MATCH(L250, INDIRECT("'" &amp; 'Hulp (overig)'!$C$16 &amp; "'!A1:A1000"), 0) &amp;
            ":" &amp;
            'Hulp (overig)'!$C$17 &amp;
LOOKUP(
    2,
    1 / (
        (ROW(INDIRECT("'" &amp; 'Hulp (overig)'!$C$16 &amp; "'!B1:B1000")) &lt;
            IF(M250&lt;&gt;"",
               MATCH(M250, INDIRECT("'" &amp; 'Hulp (overig)'!$C$16 &amp; "'!A1:A1000"),0),
               1000
            )
        ) *
        (LEFT(TRIM(INDIRECT("'" &amp; 'Hulp (overig)'!$C$16 &amp; "'!B1:B1000")),1) &lt;&gt; "u")
    ),
    ROW(INDIRECT("'" &amp; 'Hulp (overig)'!$C$16 &amp; "'!B1:B1000"))
)
        )
    ) * L251
),
IF(L252="","",
IF(
    IFERROR(MIN(
        IF(
            (TRIM(INDIRECT("'" &amp; 'Hulp (overig)'!$C$16 &amp; "'!B1:B1000")) = TEXT(L252,"0")) *
            (ROW(INDIRECT("'" &amp; 'Hulp (overig)'!$C$16 &amp; "'!B1:B1000")) &gt;= MATCH(
                L250,
                INDIRECT("'" &amp; 'Hulp (overig)'!$C$16 &amp; "'!A1:A1000"),
                0
            )) *
            IF(
                M250="",
                1,
                (ROW(INDIRECT("'" &amp; 'Hulp (overig)'!$C$16 &amp; "'!B1:B1000")) &lt; MATCH(
                    M250,
                    INDIRECT("'" &amp; 'Hulp (overig)'!$C$16 &amp; "'!A1:A1000"),
                    0
                ))
            ),
            ROW(INDIRECT("'" &amp; 'Hulp (overig)'!$C$16 &amp; "'!B1:B1000"))
        )
    ),0) &lt; 1,
    "",
    IF(INDEX(
        INDIRECT("'" &amp; 'Hulp (overig)'!$C$16 &amp; "'!" &amp;
        'Hulp (overig)'!$C$17 &amp; "1:" &amp; 'Hulp (overig)'!$C$17 &amp; 1000
        ),
        IFERROR(MIN(
            IF(
                (TRIM(INDIRECT("'" &amp; 'Hulp (overig)'!$C$16 &amp; "'!B1:B1000")) = TEXT(L252,"0")) *
                (ROW(INDIRECT("'" &amp; 'Hulp (overig)'!$C$16 &amp; "'!B1:B1000")) &gt;= MATCH(
                    L250,
                    INDIRECT("'" &amp; 'Hulp (overig)'!$C$16 &amp; "'!A1:A1000"),
                    0
                )) *
                IF(
                    M250="",
                    1,
                    (ROW(INDIRECT("'" &amp; 'Hulp (overig)'!$C$16 &amp; "'!B1:B1000")) &lt; MATCH(
                        M250,
                        INDIRECT("'" &amp; 'Hulp (overig)'!$C$16 &amp; "'!A1:A1000"),
                        0
                    ))
                ),
                ROW(INDIRECT("'" &amp; 'Hulp (overig)'!$C$16 &amp; "'!B1:B1000"))
            )
        ),0)
    )=0,"",
INDEX(
        INDIRECT("'" &amp; 'Hulp (overig)'!$C$16 &amp; "'!" &amp;
        'Hulp (overig)'!$C$17 &amp; "1:" &amp; 'Hulp (overig)'!$C$17 &amp; 1000
        ),
        IFERROR(MIN(
            IF(
                (TRIM(INDIRECT("'" &amp; 'Hulp (overig)'!$C$16 &amp; "'!B1:B1000")) = TEXT(L252,"0")) *
                (ROW(INDIRECT("'" &amp; 'Hulp (overig)'!$C$16 &amp; "'!B1:B1000")) &gt;= MATCH(
                    L250,
                    INDIRECT("'" &amp; 'Hulp (overig)'!$C$16 &amp; "'!A1:A1000"),
                    0
                )) *
                IF(
                    M250="",
                    1,
                    (ROW(INDIRECT("'" &amp; 'Hulp (overig)'!$C$16 &amp; "'!B1:B1000")) &lt; MATCH(
                        M250,
                        INDIRECT("'" &amp; 'Hulp (overig)'!$C$16 &amp; "'!A1:A1000"),
                        0
                    ))
                ),
                ROW(INDIRECT("'" &amp; 'Hulp (overig)'!$C$16 &amp; "'!B1:B1000"))
            )
        ),0)
    ))
))))</f>
        <v>#VALUE!</v>
      </c>
      <c r="M253" s="425" t="e" cm="1">
        <f t="array" aca="1" ref="M253" ca="1">IF($BF253, IF(M250="","",
   INDEX(
      INDIRECT("'" &amp; 'Hulp (CAO''s)'!$AE$8 &amp; "'!" &amp;
               'Hulp (overig)'!$C$17 &amp; "1:" &amp;
               'Hulp (overig)'!$C$17 &amp; "1000"),
      MATCH(
         M250,
         INDIRECT("'" &amp; 'Hulp (CAO''s)'!$AE$8 &amp; "'!A1:A1000"),
         0
      )
   )
), IF($D251="Gebruik % van maximum salaris",
IF(
    OR(M250="",M251=""),
    "",
    MAX(
        INDIRECT(
            "'" &amp; 'Hulp (overig)'!$C$16 &amp; "'!" &amp;
            'Hulp (overig)'!$C$17 &amp;
            MATCH(M250, INDIRECT("'" &amp; 'Hulp (overig)'!$C$16 &amp; "'!A1:A1000"), 0) &amp;
            ":" &amp;
            'Hulp (overig)'!$C$17 &amp;
LOOKUP(
    2,
    1 / (
        (ROW(INDIRECT("'" &amp; 'Hulp (overig)'!$C$16 &amp; "'!B1:B1000")) &lt;
            IF(N250&lt;&gt;"",
               MATCH(N250, INDIRECT("'" &amp; 'Hulp (overig)'!$C$16 &amp; "'!A1:A1000"),0),
               1000
            )
        ) *
        (LEFT(TRIM(INDIRECT("'" &amp; 'Hulp (overig)'!$C$16 &amp; "'!B1:B1000")),1) &lt;&gt; "u")
    ),
    ROW(INDIRECT("'" &amp; 'Hulp (overig)'!$C$16 &amp; "'!B1:B1000"))
)
        )
    ) * M251
),
IF(M252="","",
IF(
    IFERROR(MIN(
        IF(
            (TRIM(INDIRECT("'" &amp; 'Hulp (overig)'!$C$16 &amp; "'!B1:B1000")) = TEXT(M252,"0")) *
            (ROW(INDIRECT("'" &amp; 'Hulp (overig)'!$C$16 &amp; "'!B1:B1000")) &gt;= MATCH(
                M250,
                INDIRECT("'" &amp; 'Hulp (overig)'!$C$16 &amp; "'!A1:A1000"),
                0
            )) *
            IF(
                N250="",
                1,
                (ROW(INDIRECT("'" &amp; 'Hulp (overig)'!$C$16 &amp; "'!B1:B1000")) &lt; MATCH(
                    N250,
                    INDIRECT("'" &amp; 'Hulp (overig)'!$C$16 &amp; "'!A1:A1000"),
                    0
                ))
            ),
            ROW(INDIRECT("'" &amp; 'Hulp (overig)'!$C$16 &amp; "'!B1:B1000"))
        )
    ),0) &lt; 1,
    "",
    IF(INDEX(
        INDIRECT("'" &amp; 'Hulp (overig)'!$C$16 &amp; "'!" &amp;
        'Hulp (overig)'!$C$17 &amp; "1:" &amp; 'Hulp (overig)'!$C$17 &amp; 1000
        ),
        IFERROR(MIN(
            IF(
                (TRIM(INDIRECT("'" &amp; 'Hulp (overig)'!$C$16 &amp; "'!B1:B1000")) = TEXT(M252,"0")) *
                (ROW(INDIRECT("'" &amp; 'Hulp (overig)'!$C$16 &amp; "'!B1:B1000")) &gt;= MATCH(
                    M250,
                    INDIRECT("'" &amp; 'Hulp (overig)'!$C$16 &amp; "'!A1:A1000"),
                    0
                )) *
                IF(
                    N250="",
                    1,
                    (ROW(INDIRECT("'" &amp; 'Hulp (overig)'!$C$16 &amp; "'!B1:B1000")) &lt; MATCH(
                        N250,
                        INDIRECT("'" &amp; 'Hulp (overig)'!$C$16 &amp; "'!A1:A1000"),
                        0
                    ))
                ),
                ROW(INDIRECT("'" &amp; 'Hulp (overig)'!$C$16 &amp; "'!B1:B1000"))
            )
        ),0)
    )=0,"",
INDEX(
        INDIRECT("'" &amp; 'Hulp (overig)'!$C$16 &amp; "'!" &amp;
        'Hulp (overig)'!$C$17 &amp; "1:" &amp; 'Hulp (overig)'!$C$17 &amp; 1000
        ),
        IFERROR(MIN(
            IF(
                (TRIM(INDIRECT("'" &amp; 'Hulp (overig)'!$C$16 &amp; "'!B1:B1000")) = TEXT(M252,"0")) *
                (ROW(INDIRECT("'" &amp; 'Hulp (overig)'!$C$16 &amp; "'!B1:B1000")) &gt;= MATCH(
                    M250,
                    INDIRECT("'" &amp; 'Hulp (overig)'!$C$16 &amp; "'!A1:A1000"),
                    0
                )) *
                IF(
                    N250="",
                    1,
                    (ROW(INDIRECT("'" &amp; 'Hulp (overig)'!$C$16 &amp; "'!B1:B1000")) &lt; MATCH(
                        N250,
                        INDIRECT("'" &amp; 'Hulp (overig)'!$C$16 &amp; "'!A1:A1000"),
                        0
                    ))
                ),
                ROW(INDIRECT("'" &amp; 'Hulp (overig)'!$C$16 &amp; "'!B1:B1000"))
            )
        ),0)
    ))
))))</f>
        <v>#VALUE!</v>
      </c>
      <c r="N253" s="425" t="e" cm="1">
        <f t="array" aca="1" ref="N253" ca="1">IF($BF253, IF(N250="","",
   INDEX(
      INDIRECT("'" &amp; 'Hulp (CAO''s)'!$AE$8 &amp; "'!" &amp;
               'Hulp (overig)'!$C$17 &amp; "1:" &amp;
               'Hulp (overig)'!$C$17 &amp; "1000"),
      MATCH(
         N250,
         INDIRECT("'" &amp; 'Hulp (CAO''s)'!$AE$8 &amp; "'!A1:A1000"),
         0
      )
   )
), IF($D251="Gebruik % van maximum salaris",
IF(
    OR(N250="",N251=""),
    "",
    MAX(
        INDIRECT(
            "'" &amp; 'Hulp (overig)'!$C$16 &amp; "'!" &amp;
            'Hulp (overig)'!$C$17 &amp;
            MATCH(N250, INDIRECT("'" &amp; 'Hulp (overig)'!$C$16 &amp; "'!A1:A1000"), 0) &amp;
            ":" &amp;
            'Hulp (overig)'!$C$17 &amp;
LOOKUP(
    2,
    1 / (
        (ROW(INDIRECT("'" &amp; 'Hulp (overig)'!$C$16 &amp; "'!B1:B1000")) &lt;
            IF(O250&lt;&gt;"",
               MATCH(O250, INDIRECT("'" &amp; 'Hulp (overig)'!$C$16 &amp; "'!A1:A1000"),0),
               1000
            )
        ) *
        (LEFT(TRIM(INDIRECT("'" &amp; 'Hulp (overig)'!$C$16 &amp; "'!B1:B1000")),1) &lt;&gt; "u")
    ),
    ROW(INDIRECT("'" &amp; 'Hulp (overig)'!$C$16 &amp; "'!B1:B1000"))
)
        )
    ) * N251
),
IF(N252="","",
IF(
    IFERROR(MIN(
        IF(
            (TRIM(INDIRECT("'" &amp; 'Hulp (overig)'!$C$16 &amp; "'!B1:B1000")) = TEXT(N252,"0")) *
            (ROW(INDIRECT("'" &amp; 'Hulp (overig)'!$C$16 &amp; "'!B1:B1000")) &gt;= MATCH(
                N250,
                INDIRECT("'" &amp; 'Hulp (overig)'!$C$16 &amp; "'!A1:A1000"),
                0
            )) *
            IF(
                O250="",
                1,
                (ROW(INDIRECT("'" &amp; 'Hulp (overig)'!$C$16 &amp; "'!B1:B1000")) &lt; MATCH(
                    O250,
                    INDIRECT("'" &amp; 'Hulp (overig)'!$C$16 &amp; "'!A1:A1000"),
                    0
                ))
            ),
            ROW(INDIRECT("'" &amp; 'Hulp (overig)'!$C$16 &amp; "'!B1:B1000"))
        )
    ),0) &lt; 1,
    "",
    IF(INDEX(
        INDIRECT("'" &amp; 'Hulp (overig)'!$C$16 &amp; "'!" &amp;
        'Hulp (overig)'!$C$17 &amp; "1:" &amp; 'Hulp (overig)'!$C$17 &amp; 1000
        ),
        IFERROR(MIN(
            IF(
                (TRIM(INDIRECT("'" &amp; 'Hulp (overig)'!$C$16 &amp; "'!B1:B1000")) = TEXT(N252,"0")) *
                (ROW(INDIRECT("'" &amp; 'Hulp (overig)'!$C$16 &amp; "'!B1:B1000")) &gt;= MATCH(
                    N250,
                    INDIRECT("'" &amp; 'Hulp (overig)'!$C$16 &amp; "'!A1:A1000"),
                    0
                )) *
                IF(
                    O250="",
                    1,
                    (ROW(INDIRECT("'" &amp; 'Hulp (overig)'!$C$16 &amp; "'!B1:B1000")) &lt; MATCH(
                        O250,
                        INDIRECT("'" &amp; 'Hulp (overig)'!$C$16 &amp; "'!A1:A1000"),
                        0
                    ))
                ),
                ROW(INDIRECT("'" &amp; 'Hulp (overig)'!$C$16 &amp; "'!B1:B1000"))
            )
        ),0)
    )=0,"",
INDEX(
        INDIRECT("'" &amp; 'Hulp (overig)'!$C$16 &amp; "'!" &amp;
        'Hulp (overig)'!$C$17 &amp; "1:" &amp; 'Hulp (overig)'!$C$17 &amp; 1000
        ),
        IFERROR(MIN(
            IF(
                (TRIM(INDIRECT("'" &amp; 'Hulp (overig)'!$C$16 &amp; "'!B1:B1000")) = TEXT(N252,"0")) *
                (ROW(INDIRECT("'" &amp; 'Hulp (overig)'!$C$16 &amp; "'!B1:B1000")) &gt;= MATCH(
                    N250,
                    INDIRECT("'" &amp; 'Hulp (overig)'!$C$16 &amp; "'!A1:A1000"),
                    0
                )) *
                IF(
                    O250="",
                    1,
                    (ROW(INDIRECT("'" &amp; 'Hulp (overig)'!$C$16 &amp; "'!B1:B1000")) &lt; MATCH(
                        O250,
                        INDIRECT("'" &amp; 'Hulp (overig)'!$C$16 &amp; "'!A1:A1000"),
                        0
                    ))
                ),
                ROW(INDIRECT("'" &amp; 'Hulp (overig)'!$C$16 &amp; "'!B1:B1000"))
            )
        ),0)
    ))
))))</f>
        <v>#VALUE!</v>
      </c>
      <c r="O253" s="425" t="e" cm="1">
        <f t="array" aca="1" ref="O253" ca="1">IF($BF253, IF(O250="","",
   INDEX(
      INDIRECT("'" &amp; 'Hulp (CAO''s)'!$AE$8 &amp; "'!" &amp;
               'Hulp (overig)'!$C$17 &amp; "1:" &amp;
               'Hulp (overig)'!$C$17 &amp; "1000"),
      MATCH(
         O250,
         INDIRECT("'" &amp; 'Hulp (CAO''s)'!$AE$8 &amp; "'!A1:A1000"),
         0
      )
   )
), IF($D251="Gebruik % van maximum salaris",
IF(
    OR(O250="",O251=""),
    "",
    MAX(
        INDIRECT(
            "'" &amp; 'Hulp (overig)'!$C$16 &amp; "'!" &amp;
            'Hulp (overig)'!$C$17 &amp;
            MATCH(O250, INDIRECT("'" &amp; 'Hulp (overig)'!$C$16 &amp; "'!A1:A1000"), 0) &amp;
            ":" &amp;
            'Hulp (overig)'!$C$17 &amp;
LOOKUP(
    2,
    1 / (
        (ROW(INDIRECT("'" &amp; 'Hulp (overig)'!$C$16 &amp; "'!B1:B1000")) &lt;
            IF(P250&lt;&gt;"",
               MATCH(P250, INDIRECT("'" &amp; 'Hulp (overig)'!$C$16 &amp; "'!A1:A1000"),0),
               1000
            )
        ) *
        (LEFT(TRIM(INDIRECT("'" &amp; 'Hulp (overig)'!$C$16 &amp; "'!B1:B1000")),1) &lt;&gt; "u")
    ),
    ROW(INDIRECT("'" &amp; 'Hulp (overig)'!$C$16 &amp; "'!B1:B1000"))
)
        )
    ) * O251
),
IF(O252="","",
IF(
    IFERROR(MIN(
        IF(
            (TRIM(INDIRECT("'" &amp; 'Hulp (overig)'!$C$16 &amp; "'!B1:B1000")) = TEXT(O252,"0")) *
            (ROW(INDIRECT("'" &amp; 'Hulp (overig)'!$C$16 &amp; "'!B1:B1000")) &gt;= MATCH(
                O250,
                INDIRECT("'" &amp; 'Hulp (overig)'!$C$16 &amp; "'!A1:A1000"),
                0
            )) *
            IF(
                P250="",
                1,
                (ROW(INDIRECT("'" &amp; 'Hulp (overig)'!$C$16 &amp; "'!B1:B1000")) &lt; MATCH(
                    P250,
                    INDIRECT("'" &amp; 'Hulp (overig)'!$C$16 &amp; "'!A1:A1000"),
                    0
                ))
            ),
            ROW(INDIRECT("'" &amp; 'Hulp (overig)'!$C$16 &amp; "'!B1:B1000"))
        )
    ),0) &lt; 1,
    "",
    IF(INDEX(
        INDIRECT("'" &amp; 'Hulp (overig)'!$C$16 &amp; "'!" &amp;
        'Hulp (overig)'!$C$17 &amp; "1:" &amp; 'Hulp (overig)'!$C$17 &amp; 1000
        ),
        IFERROR(MIN(
            IF(
                (TRIM(INDIRECT("'" &amp; 'Hulp (overig)'!$C$16 &amp; "'!B1:B1000")) = TEXT(O252,"0")) *
                (ROW(INDIRECT("'" &amp; 'Hulp (overig)'!$C$16 &amp; "'!B1:B1000")) &gt;= MATCH(
                    O250,
                    INDIRECT("'" &amp; 'Hulp (overig)'!$C$16 &amp; "'!A1:A1000"),
                    0
                )) *
                IF(
                    P250="",
                    1,
                    (ROW(INDIRECT("'" &amp; 'Hulp (overig)'!$C$16 &amp; "'!B1:B1000")) &lt; MATCH(
                        P250,
                        INDIRECT("'" &amp; 'Hulp (overig)'!$C$16 &amp; "'!A1:A1000"),
                        0
                    ))
                ),
                ROW(INDIRECT("'" &amp; 'Hulp (overig)'!$C$16 &amp; "'!B1:B1000"))
            )
        ),0)
    )=0,"",
INDEX(
        INDIRECT("'" &amp; 'Hulp (overig)'!$C$16 &amp; "'!" &amp;
        'Hulp (overig)'!$C$17 &amp; "1:" &amp; 'Hulp (overig)'!$C$17 &amp; 1000
        ),
        IFERROR(MIN(
            IF(
                (TRIM(INDIRECT("'" &amp; 'Hulp (overig)'!$C$16 &amp; "'!B1:B1000")) = TEXT(O252,"0")) *
                (ROW(INDIRECT("'" &amp; 'Hulp (overig)'!$C$16 &amp; "'!B1:B1000")) &gt;= MATCH(
                    O250,
                    INDIRECT("'" &amp; 'Hulp (overig)'!$C$16 &amp; "'!A1:A1000"),
                    0
                )) *
                IF(
                    P250="",
                    1,
                    (ROW(INDIRECT("'" &amp; 'Hulp (overig)'!$C$16 &amp; "'!B1:B1000")) &lt; MATCH(
                        P250,
                        INDIRECT("'" &amp; 'Hulp (overig)'!$C$16 &amp; "'!A1:A1000"),
                        0
                    ))
                ),
                ROW(INDIRECT("'" &amp; 'Hulp (overig)'!$C$16 &amp; "'!B1:B1000"))
            )
        ),0)
    ))
))))</f>
        <v>#VALUE!</v>
      </c>
      <c r="P253" s="425" t="e" cm="1">
        <f t="array" aca="1" ref="P253" ca="1">IF($BF253, IF(P250="","",
   INDEX(
      INDIRECT("'" &amp; 'Hulp (CAO''s)'!$AE$8 &amp; "'!" &amp;
               'Hulp (overig)'!$C$17 &amp; "1:" &amp;
               'Hulp (overig)'!$C$17 &amp; "1000"),
      MATCH(
         P250,
         INDIRECT("'" &amp; 'Hulp (CAO''s)'!$AE$8 &amp; "'!A1:A1000"),
         0
      )
   )
), IF($D251="Gebruik % van maximum salaris",
IF(
    OR(P250="",P251=""),
    "",
    MAX(
        INDIRECT(
            "'" &amp; 'Hulp (overig)'!$C$16 &amp; "'!" &amp;
            'Hulp (overig)'!$C$17 &amp;
            MATCH(P250, INDIRECT("'" &amp; 'Hulp (overig)'!$C$16 &amp; "'!A1:A1000"), 0) &amp;
            ":" &amp;
            'Hulp (overig)'!$C$17 &amp;
LOOKUP(
    2,
    1 / (
        (ROW(INDIRECT("'" &amp; 'Hulp (overig)'!$C$16 &amp; "'!B1:B1000")) &lt;
            IF(Q250&lt;&gt;"",
               MATCH(Q250, INDIRECT("'" &amp; 'Hulp (overig)'!$C$16 &amp; "'!A1:A1000"),0),
               1000
            )
        ) *
        (LEFT(TRIM(INDIRECT("'" &amp; 'Hulp (overig)'!$C$16 &amp; "'!B1:B1000")),1) &lt;&gt; "u")
    ),
    ROW(INDIRECT("'" &amp; 'Hulp (overig)'!$C$16 &amp; "'!B1:B1000"))
)
        )
    ) * P251
),
IF(P252="","",
IF(
    IFERROR(MIN(
        IF(
            (TRIM(INDIRECT("'" &amp; 'Hulp (overig)'!$C$16 &amp; "'!B1:B1000")) = TEXT(P252,"0")) *
            (ROW(INDIRECT("'" &amp; 'Hulp (overig)'!$C$16 &amp; "'!B1:B1000")) &gt;= MATCH(
                P250,
                INDIRECT("'" &amp; 'Hulp (overig)'!$C$16 &amp; "'!A1:A1000"),
                0
            )) *
            IF(
                Q250="",
                1,
                (ROW(INDIRECT("'" &amp; 'Hulp (overig)'!$C$16 &amp; "'!B1:B1000")) &lt; MATCH(
                    Q250,
                    INDIRECT("'" &amp; 'Hulp (overig)'!$C$16 &amp; "'!A1:A1000"),
                    0
                ))
            ),
            ROW(INDIRECT("'" &amp; 'Hulp (overig)'!$C$16 &amp; "'!B1:B1000"))
        )
    ),0) &lt; 1,
    "",
    IF(INDEX(
        INDIRECT("'" &amp; 'Hulp (overig)'!$C$16 &amp; "'!" &amp;
        'Hulp (overig)'!$C$17 &amp; "1:" &amp; 'Hulp (overig)'!$C$17 &amp; 1000
        ),
        IFERROR(MIN(
            IF(
                (TRIM(INDIRECT("'" &amp; 'Hulp (overig)'!$C$16 &amp; "'!B1:B1000")) = TEXT(P252,"0")) *
                (ROW(INDIRECT("'" &amp; 'Hulp (overig)'!$C$16 &amp; "'!B1:B1000")) &gt;= MATCH(
                    P250,
                    INDIRECT("'" &amp; 'Hulp (overig)'!$C$16 &amp; "'!A1:A1000"),
                    0
                )) *
                IF(
                    Q250="",
                    1,
                    (ROW(INDIRECT("'" &amp; 'Hulp (overig)'!$C$16 &amp; "'!B1:B1000")) &lt; MATCH(
                        Q250,
                        INDIRECT("'" &amp; 'Hulp (overig)'!$C$16 &amp; "'!A1:A1000"),
                        0
                    ))
                ),
                ROW(INDIRECT("'" &amp; 'Hulp (overig)'!$C$16 &amp; "'!B1:B1000"))
            )
        ),0)
    )=0,"",
INDEX(
        INDIRECT("'" &amp; 'Hulp (overig)'!$C$16 &amp; "'!" &amp;
        'Hulp (overig)'!$C$17 &amp; "1:" &amp; 'Hulp (overig)'!$C$17 &amp; 1000
        ),
        IFERROR(MIN(
            IF(
                (TRIM(INDIRECT("'" &amp; 'Hulp (overig)'!$C$16 &amp; "'!B1:B1000")) = TEXT(P252,"0")) *
                (ROW(INDIRECT("'" &amp; 'Hulp (overig)'!$C$16 &amp; "'!B1:B1000")) &gt;= MATCH(
                    P250,
                    INDIRECT("'" &amp; 'Hulp (overig)'!$C$16 &amp; "'!A1:A1000"),
                    0
                )) *
                IF(
                    Q250="",
                    1,
                    (ROW(INDIRECT("'" &amp; 'Hulp (overig)'!$C$16 &amp; "'!B1:B1000")) &lt; MATCH(
                        Q250,
                        INDIRECT("'" &amp; 'Hulp (overig)'!$C$16 &amp; "'!A1:A1000"),
                        0
                    ))
                ),
                ROW(INDIRECT("'" &amp; 'Hulp (overig)'!$C$16 &amp; "'!B1:B1000"))
            )
        ),0)
    ))
))))</f>
        <v>#VALUE!</v>
      </c>
      <c r="Q253" s="425" t="e" cm="1">
        <f t="array" aca="1" ref="Q253" ca="1">IF($BF253, IF(Q250="","",
   INDEX(
      INDIRECT("'" &amp; 'Hulp (CAO''s)'!$AE$8 &amp; "'!" &amp;
               'Hulp (overig)'!$C$17 &amp; "1:" &amp;
               'Hulp (overig)'!$C$17 &amp; "1000"),
      MATCH(
         Q250,
         INDIRECT("'" &amp; 'Hulp (CAO''s)'!$AE$8 &amp; "'!A1:A1000"),
         0
      )
   )
), IF($D251="Gebruik % van maximum salaris",
IF(
    OR(Q250="",Q251=""),
    "",
    MAX(
        INDIRECT(
            "'" &amp; 'Hulp (overig)'!$C$16 &amp; "'!" &amp;
            'Hulp (overig)'!$C$17 &amp;
            MATCH(Q250, INDIRECT("'" &amp; 'Hulp (overig)'!$C$16 &amp; "'!A1:A1000"), 0) &amp;
            ":" &amp;
            'Hulp (overig)'!$C$17 &amp;
LOOKUP(
    2,
    1 / (
        (ROW(INDIRECT("'" &amp; 'Hulp (overig)'!$C$16 &amp; "'!B1:B1000")) &lt;
            IF(R250&lt;&gt;"",
               MATCH(R250, INDIRECT("'" &amp; 'Hulp (overig)'!$C$16 &amp; "'!A1:A1000"),0),
               1000
            )
        ) *
        (LEFT(TRIM(INDIRECT("'" &amp; 'Hulp (overig)'!$C$16 &amp; "'!B1:B1000")),1) &lt;&gt; "u")
    ),
    ROW(INDIRECT("'" &amp; 'Hulp (overig)'!$C$16 &amp; "'!B1:B1000"))
)
        )
    ) * Q251
),
IF(Q252="","",
IF(
    IFERROR(MIN(
        IF(
            (TRIM(INDIRECT("'" &amp; 'Hulp (overig)'!$C$16 &amp; "'!B1:B1000")) = TEXT(Q252,"0")) *
            (ROW(INDIRECT("'" &amp; 'Hulp (overig)'!$C$16 &amp; "'!B1:B1000")) &gt;= MATCH(
                Q250,
                INDIRECT("'" &amp; 'Hulp (overig)'!$C$16 &amp; "'!A1:A1000"),
                0
            )) *
            IF(
                R250="",
                1,
                (ROW(INDIRECT("'" &amp; 'Hulp (overig)'!$C$16 &amp; "'!B1:B1000")) &lt; MATCH(
                    R250,
                    INDIRECT("'" &amp; 'Hulp (overig)'!$C$16 &amp; "'!A1:A1000"),
                    0
                ))
            ),
            ROW(INDIRECT("'" &amp; 'Hulp (overig)'!$C$16 &amp; "'!B1:B1000"))
        )
    ),0) &lt; 1,
    "",
    IF(INDEX(
        INDIRECT("'" &amp; 'Hulp (overig)'!$C$16 &amp; "'!" &amp;
        'Hulp (overig)'!$C$17 &amp; "1:" &amp; 'Hulp (overig)'!$C$17 &amp; 1000
        ),
        IFERROR(MIN(
            IF(
                (TRIM(INDIRECT("'" &amp; 'Hulp (overig)'!$C$16 &amp; "'!B1:B1000")) = TEXT(Q252,"0")) *
                (ROW(INDIRECT("'" &amp; 'Hulp (overig)'!$C$16 &amp; "'!B1:B1000")) &gt;= MATCH(
                    Q250,
                    INDIRECT("'" &amp; 'Hulp (overig)'!$C$16 &amp; "'!A1:A1000"),
                    0
                )) *
                IF(
                    R250="",
                    1,
                    (ROW(INDIRECT("'" &amp; 'Hulp (overig)'!$C$16 &amp; "'!B1:B1000")) &lt; MATCH(
                        R250,
                        INDIRECT("'" &amp; 'Hulp (overig)'!$C$16 &amp; "'!A1:A1000"),
                        0
                    ))
                ),
                ROW(INDIRECT("'" &amp; 'Hulp (overig)'!$C$16 &amp; "'!B1:B1000"))
            )
        ),0)
    )=0,"",
INDEX(
        INDIRECT("'" &amp; 'Hulp (overig)'!$C$16 &amp; "'!" &amp;
        'Hulp (overig)'!$C$17 &amp; "1:" &amp; 'Hulp (overig)'!$C$17 &amp; 1000
        ),
        IFERROR(MIN(
            IF(
                (TRIM(INDIRECT("'" &amp; 'Hulp (overig)'!$C$16 &amp; "'!B1:B1000")) = TEXT(Q252,"0")) *
                (ROW(INDIRECT("'" &amp; 'Hulp (overig)'!$C$16 &amp; "'!B1:B1000")) &gt;= MATCH(
                    Q250,
                    INDIRECT("'" &amp; 'Hulp (overig)'!$C$16 &amp; "'!A1:A1000"),
                    0
                )) *
                IF(
                    R250="",
                    1,
                    (ROW(INDIRECT("'" &amp; 'Hulp (overig)'!$C$16 &amp; "'!B1:B1000")) &lt; MATCH(
                        R250,
                        INDIRECT("'" &amp; 'Hulp (overig)'!$C$16 &amp; "'!A1:A1000"),
                        0
                    ))
                ),
                ROW(INDIRECT("'" &amp; 'Hulp (overig)'!$C$16 &amp; "'!B1:B1000"))
            )
        ),0)
    ))
))))</f>
        <v>#VALUE!</v>
      </c>
      <c r="R253" s="425" t="e" cm="1">
        <f t="array" aca="1" ref="R253" ca="1">IF($BF253, IF(R250="","",
   INDEX(
      INDIRECT("'" &amp; 'Hulp (CAO''s)'!$AE$8 &amp; "'!" &amp;
               'Hulp (overig)'!$C$17 &amp; "1:" &amp;
               'Hulp (overig)'!$C$17 &amp; "1000"),
      MATCH(
         R250,
         INDIRECT("'" &amp; 'Hulp (CAO''s)'!$AE$8 &amp; "'!A1:A1000"),
         0
      )
   )
), IF($D251="Gebruik % van maximum salaris",
IF(
    OR(R250="",R251=""),
    "",
    MAX(
        INDIRECT(
            "'" &amp; 'Hulp (overig)'!$C$16 &amp; "'!" &amp;
            'Hulp (overig)'!$C$17 &amp;
            MATCH(R250, INDIRECT("'" &amp; 'Hulp (overig)'!$C$16 &amp; "'!A1:A1000"), 0) &amp;
            ":" &amp;
            'Hulp (overig)'!$C$17 &amp;
LOOKUP(
    2,
    1 / (
        (ROW(INDIRECT("'" &amp; 'Hulp (overig)'!$C$16 &amp; "'!B1:B1000")) &lt;
            IF(S250&lt;&gt;"",
               MATCH(S250, INDIRECT("'" &amp; 'Hulp (overig)'!$C$16 &amp; "'!A1:A1000"),0),
               1000
            )
        ) *
        (LEFT(TRIM(INDIRECT("'" &amp; 'Hulp (overig)'!$C$16 &amp; "'!B1:B1000")),1) &lt;&gt; "u")
    ),
    ROW(INDIRECT("'" &amp; 'Hulp (overig)'!$C$16 &amp; "'!B1:B1000"))
)
        )
    ) * R251
),
IF(R252="","",
IF(
    IFERROR(MIN(
        IF(
            (TRIM(INDIRECT("'" &amp; 'Hulp (overig)'!$C$16 &amp; "'!B1:B1000")) = TEXT(R252,"0")) *
            (ROW(INDIRECT("'" &amp; 'Hulp (overig)'!$C$16 &amp; "'!B1:B1000")) &gt;= MATCH(
                R250,
                INDIRECT("'" &amp; 'Hulp (overig)'!$C$16 &amp; "'!A1:A1000"),
                0
            )) *
            IF(
                S250="",
                1,
                (ROW(INDIRECT("'" &amp; 'Hulp (overig)'!$C$16 &amp; "'!B1:B1000")) &lt; MATCH(
                    S250,
                    INDIRECT("'" &amp; 'Hulp (overig)'!$C$16 &amp; "'!A1:A1000"),
                    0
                ))
            ),
            ROW(INDIRECT("'" &amp; 'Hulp (overig)'!$C$16 &amp; "'!B1:B1000"))
        )
    ),0) &lt; 1,
    "",
    IF(INDEX(
        INDIRECT("'" &amp; 'Hulp (overig)'!$C$16 &amp; "'!" &amp;
        'Hulp (overig)'!$C$17 &amp; "1:" &amp; 'Hulp (overig)'!$C$17 &amp; 1000
        ),
        IFERROR(MIN(
            IF(
                (TRIM(INDIRECT("'" &amp; 'Hulp (overig)'!$C$16 &amp; "'!B1:B1000")) = TEXT(R252,"0")) *
                (ROW(INDIRECT("'" &amp; 'Hulp (overig)'!$C$16 &amp; "'!B1:B1000")) &gt;= MATCH(
                    R250,
                    INDIRECT("'" &amp; 'Hulp (overig)'!$C$16 &amp; "'!A1:A1000"),
                    0
                )) *
                IF(
                    S250="",
                    1,
                    (ROW(INDIRECT("'" &amp; 'Hulp (overig)'!$C$16 &amp; "'!B1:B1000")) &lt; MATCH(
                        S250,
                        INDIRECT("'" &amp; 'Hulp (overig)'!$C$16 &amp; "'!A1:A1000"),
                        0
                    ))
                ),
                ROW(INDIRECT("'" &amp; 'Hulp (overig)'!$C$16 &amp; "'!B1:B1000"))
            )
        ),0)
    )=0,"",
INDEX(
        INDIRECT("'" &amp; 'Hulp (overig)'!$C$16 &amp; "'!" &amp;
        'Hulp (overig)'!$C$17 &amp; "1:" &amp; 'Hulp (overig)'!$C$17 &amp; 1000
        ),
        IFERROR(MIN(
            IF(
                (TRIM(INDIRECT("'" &amp; 'Hulp (overig)'!$C$16 &amp; "'!B1:B1000")) = TEXT(R252,"0")) *
                (ROW(INDIRECT("'" &amp; 'Hulp (overig)'!$C$16 &amp; "'!B1:B1000")) &gt;= MATCH(
                    R250,
                    INDIRECT("'" &amp; 'Hulp (overig)'!$C$16 &amp; "'!A1:A1000"),
                    0
                )) *
                IF(
                    S250="",
                    1,
                    (ROW(INDIRECT("'" &amp; 'Hulp (overig)'!$C$16 &amp; "'!B1:B1000")) &lt; MATCH(
                        S250,
                        INDIRECT("'" &amp; 'Hulp (overig)'!$C$16 &amp; "'!A1:A1000"),
                        0
                    ))
                ),
                ROW(INDIRECT("'" &amp; 'Hulp (overig)'!$C$16 &amp; "'!B1:B1000"))
            )
        ),0)
    ))
))))</f>
        <v>#VALUE!</v>
      </c>
      <c r="S253" s="425" t="e" cm="1">
        <f t="array" aca="1" ref="S253" ca="1">IF($BF253, IF(S250="","",
   INDEX(
      INDIRECT("'" &amp; 'Hulp (CAO''s)'!$AE$8 &amp; "'!" &amp;
               'Hulp (overig)'!$C$17 &amp; "1:" &amp;
               'Hulp (overig)'!$C$17 &amp; "1000"),
      MATCH(
         S250,
         INDIRECT("'" &amp; 'Hulp (CAO''s)'!$AE$8 &amp; "'!A1:A1000"),
         0
      )
   )
), IF($D251="Gebruik % van maximum salaris",
IF(
    OR(S250="",S251=""),
    "",
    MAX(
        INDIRECT(
            "'" &amp; 'Hulp (overig)'!$C$16 &amp; "'!" &amp;
            'Hulp (overig)'!$C$17 &amp;
            MATCH(S250, INDIRECT("'" &amp; 'Hulp (overig)'!$C$16 &amp; "'!A1:A1000"), 0) &amp;
            ":" &amp;
            'Hulp (overig)'!$C$17 &amp;
LOOKUP(
    2,
    1 / (
        (ROW(INDIRECT("'" &amp; 'Hulp (overig)'!$C$16 &amp; "'!B1:B1000")) &lt;
            IF(T250&lt;&gt;"",
               MATCH(T250, INDIRECT("'" &amp; 'Hulp (overig)'!$C$16 &amp; "'!A1:A1000"),0),
               1000
            )
        ) *
        (LEFT(TRIM(INDIRECT("'" &amp; 'Hulp (overig)'!$C$16 &amp; "'!B1:B1000")),1) &lt;&gt; "u")
    ),
    ROW(INDIRECT("'" &amp; 'Hulp (overig)'!$C$16 &amp; "'!B1:B1000"))
)
        )
    ) * S251
),
IF(S252="","",
IF(
    IFERROR(MIN(
        IF(
            (TRIM(INDIRECT("'" &amp; 'Hulp (overig)'!$C$16 &amp; "'!B1:B1000")) = TEXT(S252,"0")) *
            (ROW(INDIRECT("'" &amp; 'Hulp (overig)'!$C$16 &amp; "'!B1:B1000")) &gt;= MATCH(
                S250,
                INDIRECT("'" &amp; 'Hulp (overig)'!$C$16 &amp; "'!A1:A1000"),
                0
            )) *
            IF(
                T250="",
                1,
                (ROW(INDIRECT("'" &amp; 'Hulp (overig)'!$C$16 &amp; "'!B1:B1000")) &lt; MATCH(
                    T250,
                    INDIRECT("'" &amp; 'Hulp (overig)'!$C$16 &amp; "'!A1:A1000"),
                    0
                ))
            ),
            ROW(INDIRECT("'" &amp; 'Hulp (overig)'!$C$16 &amp; "'!B1:B1000"))
        )
    ),0) &lt; 1,
    "",
    IF(INDEX(
        INDIRECT("'" &amp; 'Hulp (overig)'!$C$16 &amp; "'!" &amp;
        'Hulp (overig)'!$C$17 &amp; "1:" &amp; 'Hulp (overig)'!$C$17 &amp; 1000
        ),
        IFERROR(MIN(
            IF(
                (TRIM(INDIRECT("'" &amp; 'Hulp (overig)'!$C$16 &amp; "'!B1:B1000")) = TEXT(S252,"0")) *
                (ROW(INDIRECT("'" &amp; 'Hulp (overig)'!$C$16 &amp; "'!B1:B1000")) &gt;= MATCH(
                    S250,
                    INDIRECT("'" &amp; 'Hulp (overig)'!$C$16 &amp; "'!A1:A1000"),
                    0
                )) *
                IF(
                    T250="",
                    1,
                    (ROW(INDIRECT("'" &amp; 'Hulp (overig)'!$C$16 &amp; "'!B1:B1000")) &lt; MATCH(
                        T250,
                        INDIRECT("'" &amp; 'Hulp (overig)'!$C$16 &amp; "'!A1:A1000"),
                        0
                    ))
                ),
                ROW(INDIRECT("'" &amp; 'Hulp (overig)'!$C$16 &amp; "'!B1:B1000"))
            )
        ),0)
    )=0,"",
INDEX(
        INDIRECT("'" &amp; 'Hulp (overig)'!$C$16 &amp; "'!" &amp;
        'Hulp (overig)'!$C$17 &amp; "1:" &amp; 'Hulp (overig)'!$C$17 &amp; 1000
        ),
        IFERROR(MIN(
            IF(
                (TRIM(INDIRECT("'" &amp; 'Hulp (overig)'!$C$16 &amp; "'!B1:B1000")) = TEXT(S252,"0")) *
                (ROW(INDIRECT("'" &amp; 'Hulp (overig)'!$C$16 &amp; "'!B1:B1000")) &gt;= MATCH(
                    S250,
                    INDIRECT("'" &amp; 'Hulp (overig)'!$C$16 &amp; "'!A1:A1000"),
                    0
                )) *
                IF(
                    T250="",
                    1,
                    (ROW(INDIRECT("'" &amp; 'Hulp (overig)'!$C$16 &amp; "'!B1:B1000")) &lt; MATCH(
                        T250,
                        INDIRECT("'" &amp; 'Hulp (overig)'!$C$16 &amp; "'!A1:A1000"),
                        0
                    ))
                ),
                ROW(INDIRECT("'" &amp; 'Hulp (overig)'!$C$16 &amp; "'!B1:B1000"))
            )
        ),0)
    ))
))))</f>
        <v>#VALUE!</v>
      </c>
      <c r="T253" s="425" t="e" cm="1">
        <f t="array" aca="1" ref="T253" ca="1">IF($BF253, IF(T250="","",
   INDEX(
      INDIRECT("'" &amp; 'Hulp (CAO''s)'!$AE$8 &amp; "'!" &amp;
               'Hulp (overig)'!$C$17 &amp; "1:" &amp;
               'Hulp (overig)'!$C$17 &amp; "1000"),
      MATCH(
         T250,
         INDIRECT("'" &amp; 'Hulp (CAO''s)'!$AE$8 &amp; "'!A1:A1000"),
         0
      )
   )
), IF($D251="Gebruik % van maximum salaris",
IF(
    OR(T250="",T251=""),
    "",
    MAX(
        INDIRECT(
            "'" &amp; 'Hulp (overig)'!$C$16 &amp; "'!" &amp;
            'Hulp (overig)'!$C$17 &amp;
            MATCH(T250, INDIRECT("'" &amp; 'Hulp (overig)'!$C$16 &amp; "'!A1:A1000"), 0) &amp;
            ":" &amp;
            'Hulp (overig)'!$C$17 &amp;
LOOKUP(
    2,
    1 / (
        (ROW(INDIRECT("'" &amp; 'Hulp (overig)'!$C$16 &amp; "'!B1:B1000")) &lt;
            IF(U250&lt;&gt;"",
               MATCH(U250, INDIRECT("'" &amp; 'Hulp (overig)'!$C$16 &amp; "'!A1:A1000"),0),
               1000
            )
        ) *
        (LEFT(TRIM(INDIRECT("'" &amp; 'Hulp (overig)'!$C$16 &amp; "'!B1:B1000")),1) &lt;&gt; "u")
    ),
    ROW(INDIRECT("'" &amp; 'Hulp (overig)'!$C$16 &amp; "'!B1:B1000"))
)
        )
    ) * T251
),
IF(T252="","",
IF(
    IFERROR(MIN(
        IF(
            (TRIM(INDIRECT("'" &amp; 'Hulp (overig)'!$C$16 &amp; "'!B1:B1000")) = TEXT(T252,"0")) *
            (ROW(INDIRECT("'" &amp; 'Hulp (overig)'!$C$16 &amp; "'!B1:B1000")) &gt;= MATCH(
                T250,
                INDIRECT("'" &amp; 'Hulp (overig)'!$C$16 &amp; "'!A1:A1000"),
                0
            )) *
            IF(
                U250="",
                1,
                (ROW(INDIRECT("'" &amp; 'Hulp (overig)'!$C$16 &amp; "'!B1:B1000")) &lt; MATCH(
                    U250,
                    INDIRECT("'" &amp; 'Hulp (overig)'!$C$16 &amp; "'!A1:A1000"),
                    0
                ))
            ),
            ROW(INDIRECT("'" &amp; 'Hulp (overig)'!$C$16 &amp; "'!B1:B1000"))
        )
    ),0) &lt; 1,
    "",
    IF(INDEX(
        INDIRECT("'" &amp; 'Hulp (overig)'!$C$16 &amp; "'!" &amp;
        'Hulp (overig)'!$C$17 &amp; "1:" &amp; 'Hulp (overig)'!$C$17 &amp; 1000
        ),
        IFERROR(MIN(
            IF(
                (TRIM(INDIRECT("'" &amp; 'Hulp (overig)'!$C$16 &amp; "'!B1:B1000")) = TEXT(T252,"0")) *
                (ROW(INDIRECT("'" &amp; 'Hulp (overig)'!$C$16 &amp; "'!B1:B1000")) &gt;= MATCH(
                    T250,
                    INDIRECT("'" &amp; 'Hulp (overig)'!$C$16 &amp; "'!A1:A1000"),
                    0
                )) *
                IF(
                    U250="",
                    1,
                    (ROW(INDIRECT("'" &amp; 'Hulp (overig)'!$C$16 &amp; "'!B1:B1000")) &lt; MATCH(
                        U250,
                        INDIRECT("'" &amp; 'Hulp (overig)'!$C$16 &amp; "'!A1:A1000"),
                        0
                    ))
                ),
                ROW(INDIRECT("'" &amp; 'Hulp (overig)'!$C$16 &amp; "'!B1:B1000"))
            )
        ),0)
    )=0,"",
INDEX(
        INDIRECT("'" &amp; 'Hulp (overig)'!$C$16 &amp; "'!" &amp;
        'Hulp (overig)'!$C$17 &amp; "1:" &amp; 'Hulp (overig)'!$C$17 &amp; 1000
        ),
        IFERROR(MIN(
            IF(
                (TRIM(INDIRECT("'" &amp; 'Hulp (overig)'!$C$16 &amp; "'!B1:B1000")) = TEXT(T252,"0")) *
                (ROW(INDIRECT("'" &amp; 'Hulp (overig)'!$C$16 &amp; "'!B1:B1000")) &gt;= MATCH(
                    T250,
                    INDIRECT("'" &amp; 'Hulp (overig)'!$C$16 &amp; "'!A1:A1000"),
                    0
                )) *
                IF(
                    U250="",
                    1,
                    (ROW(INDIRECT("'" &amp; 'Hulp (overig)'!$C$16 &amp; "'!B1:B1000")) &lt; MATCH(
                        U250,
                        INDIRECT("'" &amp; 'Hulp (overig)'!$C$16 &amp; "'!A1:A1000"),
                        0
                    ))
                ),
                ROW(INDIRECT("'" &amp; 'Hulp (overig)'!$C$16 &amp; "'!B1:B1000"))
            )
        ),0)
    ))
))))</f>
        <v>#VALUE!</v>
      </c>
      <c r="U253" s="723" t="e" cm="1">
        <f t="array" aca="1" ref="U253" ca="1">IF($BF253, IF(U250="","",
   INDEX(
      INDIRECT("'" &amp; 'Hulp (CAO''s)'!$AE$8 &amp; "'!" &amp;
               'Hulp (overig)'!$C$17 &amp; "1:" &amp;
               'Hulp (overig)'!$C$17 &amp; "1000"),
      MATCH(
         U250,
         INDIRECT("'" &amp; 'Hulp (CAO''s)'!$AE$8 &amp; "'!A1:A1000"),
         0
      )
   )
), IF($D251="Gebruik % van maximum salaris",
IF(
    OR(U250="",U251=""),
    "",
    MAX(
        INDIRECT(
            "'" &amp; 'Hulp (overig)'!$C$16 &amp; "'!" &amp;
            'Hulp (overig)'!$C$17 &amp;
            MATCH(U250, INDIRECT("'" &amp; 'Hulp (overig)'!$C$16 &amp; "'!A1:A1000"), 0) &amp;
            ":" &amp;
            'Hulp (overig)'!$C$17 &amp;
LOOKUP(
    2,
    1 / (
        (ROW(INDIRECT("'" &amp; 'Hulp (overig)'!$C$16 &amp; "'!B1:B1000")) &lt;
            IF(V250&lt;&gt;"",
               MATCH(V250, INDIRECT("'" &amp; 'Hulp (overig)'!$C$16 &amp; "'!A1:A1000"),0),
               1000
            )
        ) *
        (LEFT(TRIM(INDIRECT("'" &amp; 'Hulp (overig)'!$C$16 &amp; "'!B1:B1000")),1) &lt;&gt; "u")
    ),
    ROW(INDIRECT("'" &amp; 'Hulp (overig)'!$C$16 &amp; "'!B1:B1000"))
)
        )
    ) * U251
),
IF(U252="","",
IF(
    IFERROR(MIN(
        IF(
            (TRIM(INDIRECT("'" &amp; 'Hulp (overig)'!$C$16 &amp; "'!B1:B1000")) = TEXT(U252,"0")) *
            (ROW(INDIRECT("'" &amp; 'Hulp (overig)'!$C$16 &amp; "'!B1:B1000")) &gt;= MATCH(
                U250,
                INDIRECT("'" &amp; 'Hulp (overig)'!$C$16 &amp; "'!A1:A1000"),
                0
            )) *
            IF(
                V250="",
                1,
                (ROW(INDIRECT("'" &amp; 'Hulp (overig)'!$C$16 &amp; "'!B1:B1000")) &lt; MATCH(
                    V250,
                    INDIRECT("'" &amp; 'Hulp (overig)'!$C$16 &amp; "'!A1:A1000"),
                    0
                ))
            ),
            ROW(INDIRECT("'" &amp; 'Hulp (overig)'!$C$16 &amp; "'!B1:B1000"))
        )
    ),0) &lt; 1,
    "",
    IF(INDEX(
        INDIRECT("'" &amp; 'Hulp (overig)'!$C$16 &amp; "'!" &amp;
        'Hulp (overig)'!$C$17 &amp; "1:" &amp; 'Hulp (overig)'!$C$17 &amp; 1000
        ),
        IFERROR(MIN(
            IF(
                (TRIM(INDIRECT("'" &amp; 'Hulp (overig)'!$C$16 &amp; "'!B1:B1000")) = TEXT(U252,"0")) *
                (ROW(INDIRECT("'" &amp; 'Hulp (overig)'!$C$16 &amp; "'!B1:B1000")) &gt;= MATCH(
                    U250,
                    INDIRECT("'" &amp; 'Hulp (overig)'!$C$16 &amp; "'!A1:A1000"),
                    0
                )) *
                IF(
                    V250="",
                    1,
                    (ROW(INDIRECT("'" &amp; 'Hulp (overig)'!$C$16 &amp; "'!B1:B1000")) &lt; MATCH(
                        V250,
                        INDIRECT("'" &amp; 'Hulp (overig)'!$C$16 &amp; "'!A1:A1000"),
                        0
                    ))
                ),
                ROW(INDIRECT("'" &amp; 'Hulp (overig)'!$C$16 &amp; "'!B1:B1000"))
            )
        ),0)
    )=0,"",
INDEX(
        INDIRECT("'" &amp; 'Hulp (overig)'!$C$16 &amp; "'!" &amp;
        'Hulp (overig)'!$C$17 &amp; "1:" &amp; 'Hulp (overig)'!$C$17 &amp; 1000
        ),
        IFERROR(MIN(
            IF(
                (TRIM(INDIRECT("'" &amp; 'Hulp (overig)'!$C$16 &amp; "'!B1:B1000")) = TEXT(U252,"0")) *
                (ROW(INDIRECT("'" &amp; 'Hulp (overig)'!$C$16 &amp; "'!B1:B1000")) &gt;= MATCH(
                    U250,
                    INDIRECT("'" &amp; 'Hulp (overig)'!$C$16 &amp; "'!A1:A1000"),
                    0
                )) *
                IF(
                    V250="",
                    1,
                    (ROW(INDIRECT("'" &amp; 'Hulp (overig)'!$C$16 &amp; "'!B1:B1000")) &lt; MATCH(
                        V250,
                        INDIRECT("'" &amp; 'Hulp (overig)'!$C$16 &amp; "'!A1:A1000"),
                        0
                    ))
                ),
                ROW(INDIRECT("'" &amp; 'Hulp (overig)'!$C$16 &amp; "'!B1:B1000"))
            )
        ),0)
    ))
))))</f>
        <v>#VALUE!</v>
      </c>
      <c r="V253" s="413" t="str" cm="1">
        <f t="array" ref="V253">IF(SUM(F254:U254)=0,"",
IF(SUM(F253:U253)=0,"",
IF(SUMPRODUCT((F254:U254&lt;&gt;0)*(F253:U253=""))&gt;0,"",
(
   SUMPRODUCT(
      IF(F253:U253="",0,F253:U253),
      IF(F254:U254="",0,F254:U254) / SUM(F254:U254)
   )
))))</f>
        <v/>
      </c>
      <c r="W253" s="418"/>
      <c r="X253" s="620"/>
      <c r="Y253" s="419" t="str">
        <f ca="1">IF(B250="","",
        IF(INDIRECT("'Hulp (control forms)'!C" &amp; (13 + INT((ROW()-ROW($B$5))/7))),
            IF(X253="","",X253),
            IF(V253="","",V253)
    )
)</f>
        <v/>
      </c>
      <c r="Z253" s="333"/>
      <c r="AA253" s="771"/>
      <c r="AB253" s="770"/>
      <c r="AC253" s="289"/>
      <c r="AD253" s="289"/>
      <c r="AE253" s="289"/>
      <c r="AF253" s="289"/>
      <c r="AG253" s="289"/>
      <c r="AH253" s="289"/>
      <c r="AI253" s="289"/>
      <c r="AJ253" s="289"/>
      <c r="AK253" s="289"/>
      <c r="AL253" s="289"/>
      <c r="AM253" s="289"/>
      <c r="AN253" s="289"/>
      <c r="AO253" s="289"/>
      <c r="AP253" s="289"/>
      <c r="AQ253" s="289"/>
      <c r="AR253" s="289"/>
      <c r="AS253" s="289"/>
      <c r="AT253" s="289"/>
      <c r="AU253" s="289"/>
      <c r="AV253" s="289"/>
      <c r="AW253" s="289"/>
      <c r="AX253" s="289"/>
      <c r="AY253" s="289"/>
      <c r="AZ253" s="289"/>
      <c r="BA253" cm="1">
        <f t="array" aca="1" ref="BA253" ca="1">IF(
   SUM(Y253)=0,
   1,
   IF(
      N(INDIRECT("'Hulp (control forms)'!C"&amp;(13+INT((ROW()-ROW($B$5))/7))))&lt;&gt;0,
      MIN(1,
      ('Hulp (overig)'!$C$6/12) /
      (Y253 * BC253 + BD253)),
      MIN(1,
         IF(
            SUM(F253:U253)=0,
            "",
            SUMPRODUCT(
               IF(
                  (IF(F253:U253="",0,F253:U253) * BC253) + BD253
                  &gt; 'Hulp (overig)'!$C$6/12,
                  'Hulp (overig)'!$C$6/12,
                  (IF(F253:U253="",0,F253:U253) * BC253) + BD253
               ),
               IF(F254:U254="",0,F254:U254) / SUM(F254:U254)
            )
         ) /
         ((Y253 * BC253) + BD253)
      )
   )
)</f>
        <v>1</v>
      </c>
      <c r="BB253" cm="1">
        <f t="array" aca="1" ref="BB253" ca="1">IF(
   SUM(Y253)=0,
   1,
   IF(
      N(INDIRECT("'Hulp (control forms)'!C"&amp;(13+INT((ROW()-ROW($B$5))/7))))&lt;&gt;0,
      MIN('Hulp (overig)'!$C$5/12,
      (Y253 * BC253) + BD253) * 12,
         IF(
            SUM(F253:U253)=0,
            "",
            SUMPRODUCT(
               IF(
                  (IF(F253:U253="",0,F253:U253) * BC253) + BD253
                  &gt; 'Hulp (overig)'!$C$5/12,
                  'Hulp (overig)'!$C$5/12,
                  (IF(F253:U253="",0,F253:U253) * BC253) + BD253
               ),
               IF(F254:U254="",0,F254:U254) / SUM(F254:U254)
            )
         ) * 12
   )
)</f>
        <v>1</v>
      </c>
      <c r="BC253" s="287" cm="1">
        <f t="array" aca="1" ref="BC253" ca="1">IFERROR(
   (INDEX('2. Output kostprijs'!$24:$24, 5 + 2*INT((ROW()-8)/7))
    - SUM(INDEX('2. Output kostprijs'!$23:$23, 5 + 2*INT((ROW()-8)/7))))
   / INDEX('2. Output kostprijs'!$19:$19, 5 + 2*INT((ROW()-8)/7)),
   1
)</f>
        <v>1</v>
      </c>
      <c r="BD253" s="287" cm="1">
        <f t="array" aca="1" ref="BD253" ca="1">IFERROR(
   (INDEX('2. Output kostprijs'!$23:$23, 5 + 2*INT((ROW()-8)/7))
    * INDEX('2. Output kostprijs'!$18:$18, 5 + 2*INT((ROW()-8)/7))
   ) / 12,
   0
)</f>
        <v>0</v>
      </c>
      <c r="BE253" t="b">
        <f ca="1">NOT(AND(B250&lt;&gt;"",Y253=""))</f>
        <v>1</v>
      </c>
      <c r="BF253" t="str" cm="1">
        <f t="array" aca="1" ref="BF253" ca="1">INDIRECT("'1a. Input organisatieniveau'!$AD" &amp; 7 + INT((ROW()-ROW($F$8))/7))</f>
        <v/>
      </c>
      <c r="BG253" t="b" cm="1">
        <f t="array" ref="BG253">IFERROR(INDEX('Hulp (control forms)'!C:C, 13 + INT((ROW(A246)-1)/7)),FALSE)</f>
        <v>0</v>
      </c>
    </row>
    <row r="254" spans="1:59" ht="16.05" customHeight="1" thickBot="1" x14ac:dyDescent="0.5">
      <c r="A254" s="289"/>
      <c r="B254" s="343"/>
      <c r="C254" s="325" t="s">
        <v>779</v>
      </c>
      <c r="D254" s="688" t="s">
        <v>60</v>
      </c>
      <c r="E254" s="433" t="s">
        <v>59</v>
      </c>
      <c r="F254" s="624"/>
      <c r="G254" s="624"/>
      <c r="H254" s="624"/>
      <c r="I254" s="624"/>
      <c r="J254" s="624"/>
      <c r="K254" s="624"/>
      <c r="L254" s="624"/>
      <c r="M254" s="624"/>
      <c r="N254" s="624"/>
      <c r="O254" s="624"/>
      <c r="P254" s="624"/>
      <c r="Q254" s="624"/>
      <c r="R254" s="624"/>
      <c r="S254" s="624"/>
      <c r="T254" s="624"/>
      <c r="U254" s="625"/>
      <c r="V254" s="420" t="str">
        <f ca="1">IF($B250="","",IF($D254="Aandeel in %",
   "Totaal: "&amp;SUM(F254:U254)*100&amp;"%",
   "Totaal: "&amp;SUM(F254:U254)&amp;" uur"
))</f>
        <v/>
      </c>
      <c r="W254" s="294"/>
      <c r="X254" s="621"/>
      <c r="Y254" s="328"/>
      <c r="Z254" s="329"/>
      <c r="AA254" s="289"/>
      <c r="AB254" s="289"/>
      <c r="AC254" s="289"/>
      <c r="AD254" s="289"/>
      <c r="AE254" s="289"/>
      <c r="AF254" s="289"/>
      <c r="AG254" s="289"/>
      <c r="AH254" s="289"/>
      <c r="AI254" s="289"/>
      <c r="AJ254" s="289"/>
      <c r="AK254" s="289"/>
      <c r="AL254" s="289"/>
      <c r="AM254" s="289"/>
      <c r="AN254" s="289"/>
      <c r="AO254" s="289"/>
      <c r="AP254" s="289"/>
      <c r="AQ254" s="289"/>
      <c r="AR254" s="289"/>
      <c r="AS254" s="289"/>
      <c r="AT254" s="289"/>
      <c r="AU254" s="289"/>
      <c r="AV254" s="289"/>
      <c r="AW254" s="289"/>
      <c r="AX254" s="289"/>
      <c r="AY254" s="289"/>
      <c r="AZ254" s="289"/>
    </row>
    <row r="255" spans="1:59" ht="16.05" customHeight="1" thickBot="1" x14ac:dyDescent="0.5">
      <c r="A255" s="289"/>
      <c r="B255" s="343"/>
      <c r="C255" s="326" t="s">
        <v>779</v>
      </c>
      <c r="D255" s="421"/>
      <c r="E255" s="426"/>
      <c r="F255" s="426"/>
      <c r="G255" s="426"/>
      <c r="H255" s="426"/>
      <c r="I255" s="426"/>
      <c r="J255" s="426"/>
      <c r="K255" s="426"/>
      <c r="L255" s="426"/>
      <c r="M255" s="426"/>
      <c r="N255" s="426"/>
      <c r="O255" s="426"/>
      <c r="P255" s="426"/>
      <c r="Q255" s="426"/>
      <c r="R255" s="426"/>
      <c r="S255" s="426"/>
      <c r="T255" s="427"/>
      <c r="U255" s="427"/>
      <c r="V255" s="421"/>
      <c r="W255" s="421"/>
      <c r="X255" s="622"/>
      <c r="Y255" s="421"/>
      <c r="Z255" s="327"/>
      <c r="AA255" s="289"/>
      <c r="AB255" s="289"/>
      <c r="AC255" s="289"/>
      <c r="AD255" s="289"/>
      <c r="AE255" s="289"/>
      <c r="AF255" s="289"/>
      <c r="AG255" s="289"/>
      <c r="AH255" s="289"/>
      <c r="AI255" s="289"/>
      <c r="AJ255" s="289"/>
      <c r="AK255" s="289"/>
      <c r="AL255" s="289"/>
      <c r="AM255" s="289"/>
      <c r="AN255" s="289"/>
      <c r="AO255" s="289"/>
      <c r="AP255" s="289"/>
      <c r="AQ255" s="289"/>
      <c r="AR255" s="289"/>
      <c r="AS255" s="289"/>
      <c r="AT255" s="289"/>
      <c r="AU255" s="289"/>
      <c r="AV255" s="289"/>
      <c r="AW255" s="289"/>
      <c r="AX255" s="289"/>
      <c r="AY255" s="289"/>
      <c r="AZ255" s="289"/>
    </row>
    <row r="256" spans="1:59" ht="16.05" customHeight="1" thickBot="1" x14ac:dyDescent="0.55000000000000004">
      <c r="A256" s="289"/>
      <c r="B256" s="585" t="str">
        <f ca="1">IF(B257="","",
IF(
   OR(
      INDIRECT("'1a. Input organisatieniveau'!AC" &amp; (7 + INT((ROW()-4)/7)))="",
      INDIRECT("'1a. Input organisatieniveau'!AC" &amp; (7 + INT((ROW()-4)/7)))=0
   ),
   "",
   INDIRECT("'1a. Input organisatieniveau'!AC" &amp; (7 + INT((ROW()-4)/7)))
))</f>
        <v/>
      </c>
      <c r="C256" s="324" t="s">
        <v>779</v>
      </c>
      <c r="D256" s="416"/>
      <c r="E256" s="428"/>
      <c r="F256" s="422" t="str">
        <f t="shared" ref="F256:U256" ca="1" si="36">IF($B257="","",
IF($D258="Gebruik % van maximum salaris",
 IF(OR(AND(AND(F257&lt;&gt;"",F258&lt;&gt;""),F260=""),AND(F260="",F261&lt;&gt;"")),"!",""),
 IF(OR(AND(AND(F257&lt;&gt;"",F259&lt;&gt;""),F260=""),AND(F260="",F261&lt;&gt;"")),"!","")))</f>
        <v/>
      </c>
      <c r="G256" s="422" t="str">
        <f t="shared" ca="1" si="36"/>
        <v/>
      </c>
      <c r="H256" s="422" t="str">
        <f t="shared" ca="1" si="36"/>
        <v/>
      </c>
      <c r="I256" s="422" t="str">
        <f t="shared" ca="1" si="36"/>
        <v/>
      </c>
      <c r="J256" s="422" t="str">
        <f t="shared" ca="1" si="36"/>
        <v/>
      </c>
      <c r="K256" s="422" t="str">
        <f t="shared" ca="1" si="36"/>
        <v/>
      </c>
      <c r="L256" s="422" t="str">
        <f t="shared" ca="1" si="36"/>
        <v/>
      </c>
      <c r="M256" s="422" t="str">
        <f t="shared" ca="1" si="36"/>
        <v/>
      </c>
      <c r="N256" s="422" t="str">
        <f t="shared" ca="1" si="36"/>
        <v/>
      </c>
      <c r="O256" s="422" t="str">
        <f t="shared" ca="1" si="36"/>
        <v/>
      </c>
      <c r="P256" s="422" t="str">
        <f t="shared" ca="1" si="36"/>
        <v/>
      </c>
      <c r="Q256" s="422" t="str">
        <f t="shared" ca="1" si="36"/>
        <v/>
      </c>
      <c r="R256" s="422" t="str">
        <f t="shared" ca="1" si="36"/>
        <v/>
      </c>
      <c r="S256" s="422" t="str">
        <f t="shared" ca="1" si="36"/>
        <v/>
      </c>
      <c r="T256" s="422" t="str">
        <f t="shared" ca="1" si="36"/>
        <v/>
      </c>
      <c r="U256" s="422" t="str">
        <f t="shared" ca="1" si="36"/>
        <v/>
      </c>
      <c r="V256" s="416"/>
      <c r="W256" s="416"/>
      <c r="X256" s="619"/>
      <c r="Y256" s="416"/>
      <c r="Z256" s="330"/>
      <c r="AA256" s="354"/>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c r="AZ256" s="289"/>
    </row>
    <row r="257" spans="1:59" ht="16.05" customHeight="1" thickBot="1" x14ac:dyDescent="0.5">
      <c r="A257" s="289"/>
      <c r="B257" s="586" t="str">
        <f ca="1">IF(
   OR(
      INDIRECT("'1a. Input organisatieniveau'!AA" &amp; (7 + INT((ROW()-4)/7)))="",
      INDIRECT("'1a. Input organisatieniveau'!AA" &amp; (7 + INT((ROW()-4)/7)))=0
   ),
   "",
   INDIRECT("'1a. Input organisatieniveau'!AA" &amp; (7 + INT((ROW()-4)/7)))
)</f>
        <v/>
      </c>
      <c r="C257" s="325" t="s">
        <v>779</v>
      </c>
      <c r="D257" s="434"/>
      <c r="E257" s="429" t="s">
        <v>28</v>
      </c>
      <c r="F257" s="423" t="str">
        <f ca="1">IF($B257="", "", IF($BF260, IF('Hulp (CAO''s)'!J$8&lt;&gt;"",'Hulp (CAO''s)'!J$8,""), INDEX('Hulp (CAO''s)'!J$3:J$7, MATCH(TRUE, 'Hulp (CAO''s)'!$D$3:$D$7, 0))))</f>
        <v/>
      </c>
      <c r="G257" s="423" t="str">
        <f ca="1">IF($B257="", "", IF($BF260, IF('Hulp (CAO''s)'!K$8&lt;&gt;"",'Hulp (CAO''s)'!K$8,""), INDEX('Hulp (CAO''s)'!K$3:K$7, MATCH(TRUE, 'Hulp (CAO''s)'!$D$3:$D$7, 0))))</f>
        <v/>
      </c>
      <c r="H257" s="423" t="str">
        <f ca="1">IF($B257="", "", IF($BF260, IF('Hulp (CAO''s)'!L$8&lt;&gt;"",'Hulp (CAO''s)'!L$8,""), INDEX('Hulp (CAO''s)'!L$3:L$7, MATCH(TRUE, 'Hulp (CAO''s)'!$D$3:$D$7, 0))))</f>
        <v/>
      </c>
      <c r="I257" s="423" t="str">
        <f ca="1">IF($B257="", "", IF($BF260, IF('Hulp (CAO''s)'!M$8&lt;&gt;"",'Hulp (CAO''s)'!M$8,""), INDEX('Hulp (CAO''s)'!M$3:M$7, MATCH(TRUE, 'Hulp (CAO''s)'!$D$3:$D$7, 0))))</f>
        <v/>
      </c>
      <c r="J257" s="423" t="str">
        <f ca="1">IF($B257="", "", IF($BF260, IF('Hulp (CAO''s)'!N$8&lt;&gt;"",'Hulp (CAO''s)'!N$8,""), INDEX('Hulp (CAO''s)'!N$3:N$7, MATCH(TRUE, 'Hulp (CAO''s)'!$D$3:$D$7, 0))))</f>
        <v/>
      </c>
      <c r="K257" s="423" t="str">
        <f ca="1">IF($B257="", "", IF($BF260, IF('Hulp (CAO''s)'!O$8&lt;&gt;"",'Hulp (CAO''s)'!O$8,""), INDEX('Hulp (CAO''s)'!O$3:O$7, MATCH(TRUE, 'Hulp (CAO''s)'!$D$3:$D$7, 0))))</f>
        <v/>
      </c>
      <c r="L257" s="423" t="str">
        <f ca="1">IF($B257="", "", IF($BF260, IF('Hulp (CAO''s)'!P$8&lt;&gt;"",'Hulp (CAO''s)'!P$8,""), INDEX('Hulp (CAO''s)'!P$3:P$7, MATCH(TRUE, 'Hulp (CAO''s)'!$D$3:$D$7, 0))))</f>
        <v/>
      </c>
      <c r="M257" s="423" t="str">
        <f ca="1">IF($B257="", "", IF($BF260, IF('Hulp (CAO''s)'!Q$8&lt;&gt;"",'Hulp (CAO''s)'!Q$8,""), INDEX('Hulp (CAO''s)'!Q$3:Q$7, MATCH(TRUE, 'Hulp (CAO''s)'!$D$3:$D$7, 0))))</f>
        <v/>
      </c>
      <c r="N257" s="423" t="str">
        <f ca="1">IF($B257="", "", IF($BF260, IF('Hulp (CAO''s)'!R$8&lt;&gt;"",'Hulp (CAO''s)'!R$8,""), INDEX('Hulp (CAO''s)'!R$3:R$7, MATCH(TRUE, 'Hulp (CAO''s)'!$D$3:$D$7, 0))))</f>
        <v/>
      </c>
      <c r="O257" s="423" t="str">
        <f ca="1">IF($B257="", "", IF($BF260, IF('Hulp (CAO''s)'!S$8&lt;&gt;"",'Hulp (CAO''s)'!S$8,""), INDEX('Hulp (CAO''s)'!S$3:S$7, MATCH(TRUE, 'Hulp (CAO''s)'!$D$3:$D$7, 0))))</f>
        <v/>
      </c>
      <c r="P257" s="423" t="str">
        <f ca="1">IF($B257="", "", IF($BF260, IF('Hulp (CAO''s)'!T$8&lt;&gt;"",'Hulp (CAO''s)'!T$8,""), INDEX('Hulp (CAO''s)'!T$3:T$7, MATCH(TRUE, 'Hulp (CAO''s)'!$D$3:$D$7, 0))))</f>
        <v/>
      </c>
      <c r="Q257" s="423" t="str">
        <f ca="1">IF($B257="", "", IF($BF260, IF('Hulp (CAO''s)'!U$8&lt;&gt;"",'Hulp (CAO''s)'!U$8,""), INDEX('Hulp (CAO''s)'!U$3:U$7, MATCH(TRUE, 'Hulp (CAO''s)'!$D$3:$D$7, 0))))</f>
        <v/>
      </c>
      <c r="R257" s="423" t="str">
        <f ca="1">IF($B257="", "", IF($BF260, IF('Hulp (CAO''s)'!V$8&lt;&gt;"",'Hulp (CAO''s)'!V$8,""), INDEX('Hulp (CAO''s)'!V$3:V$7, MATCH(TRUE, 'Hulp (CAO''s)'!$D$3:$D$7, 0))))</f>
        <v/>
      </c>
      <c r="S257" s="423" t="str">
        <f ca="1">IF($B257="", "", IF($BF260, IF('Hulp (CAO''s)'!W$8&lt;&gt;"",'Hulp (CAO''s)'!W$8,""), INDEX('Hulp (CAO''s)'!W$3:W$7, MATCH(TRUE, 'Hulp (CAO''s)'!$D$3:$D$7, 0))))</f>
        <v/>
      </c>
      <c r="T257" s="423" t="str">
        <f ca="1">IF($B257="", "", IF($BF260, IF('Hulp (CAO''s)'!X$8&lt;&gt;"",'Hulp (CAO''s)'!X$8,""), INDEX('Hulp (CAO''s)'!X$3:X$7, MATCH(TRUE, 'Hulp (CAO''s)'!$D$3:$D$7, 0))))</f>
        <v/>
      </c>
      <c r="U257" s="424" t="str">
        <f ca="1">IF($B257="", "", IF($BF260, IF('Hulp (CAO''s)'!Y$8&lt;&gt;"",'Hulp (CAO''s)'!Y$8,""), INDEX('Hulp (CAO''s)'!Y$3:Y$7, MATCH(TRUE, 'Hulp (CAO''s)'!$D$3:$D$7, 0))))</f>
        <v/>
      </c>
      <c r="V257" s="417"/>
      <c r="W257" s="343"/>
      <c r="X257" s="617"/>
      <c r="Y257" s="343"/>
      <c r="Z257" s="329"/>
      <c r="AA257" s="320"/>
      <c r="AB257" s="289"/>
      <c r="AC257" s="289"/>
      <c r="AD257" s="289"/>
      <c r="AE257" s="289"/>
      <c r="AF257" s="289"/>
      <c r="AG257" s="289"/>
      <c r="AH257" s="289"/>
      <c r="AI257" s="289"/>
      <c r="AJ257" s="289"/>
      <c r="AK257" s="289"/>
      <c r="AL257" s="289"/>
      <c r="AM257" s="289"/>
      <c r="AN257" s="289"/>
      <c r="AO257" s="289"/>
      <c r="AP257" s="289"/>
      <c r="AQ257" s="289"/>
      <c r="AR257" s="289"/>
      <c r="AS257" s="289"/>
      <c r="AT257" s="289"/>
      <c r="AU257" s="289"/>
      <c r="AV257" s="289"/>
      <c r="AW257" s="289"/>
      <c r="AX257" s="289"/>
      <c r="AY257" s="289"/>
      <c r="AZ257" s="289"/>
    </row>
    <row r="258" spans="1:59" ht="16.05" customHeight="1" x14ac:dyDescent="0.45">
      <c r="A258" s="289"/>
      <c r="B258" s="343"/>
      <c r="C258" s="325" t="s">
        <v>779</v>
      </c>
      <c r="D258" s="772" t="s">
        <v>772</v>
      </c>
      <c r="E258" s="430" t="e">
        <f ca="1">IF($BF260, "", "% t.o.v. max salaris in de schaal")</f>
        <v>#VALUE!</v>
      </c>
      <c r="F258" s="615"/>
      <c r="G258" s="615"/>
      <c r="H258" s="615"/>
      <c r="I258" s="615"/>
      <c r="J258" s="615"/>
      <c r="K258" s="615"/>
      <c r="L258" s="615"/>
      <c r="M258" s="615"/>
      <c r="N258" s="615"/>
      <c r="O258" s="615"/>
      <c r="P258" s="615"/>
      <c r="Q258" s="615"/>
      <c r="R258" s="615"/>
      <c r="S258" s="615"/>
      <c r="T258" s="615"/>
      <c r="U258" s="616"/>
      <c r="V258" s="774" t="s">
        <v>884</v>
      </c>
      <c r="W258" s="332"/>
      <c r="X258" s="776" t="s">
        <v>882</v>
      </c>
      <c r="Y258" s="778" t="s">
        <v>883</v>
      </c>
      <c r="Z258" s="329"/>
      <c r="AA258" s="771" t="s">
        <v>780</v>
      </c>
      <c r="AB258" s="770" t="s">
        <v>1079</v>
      </c>
      <c r="AC258" s="289"/>
      <c r="AD258" s="289"/>
      <c r="AE258" s="289"/>
      <c r="AF258" s="289"/>
      <c r="AG258" s="289"/>
      <c r="AH258" s="289"/>
      <c r="AI258" s="289"/>
      <c r="AJ258" s="289"/>
      <c r="AK258" s="289"/>
      <c r="AL258" s="289"/>
      <c r="AM258" s="289"/>
      <c r="AN258" s="289"/>
      <c r="AO258" s="289"/>
      <c r="AP258" s="289"/>
      <c r="AQ258" s="289"/>
      <c r="AR258" s="289"/>
      <c r="AS258" s="289"/>
      <c r="AT258" s="289"/>
      <c r="AU258" s="289"/>
      <c r="AV258" s="289"/>
      <c r="AW258" s="289"/>
      <c r="AX258" s="289"/>
      <c r="AY258" s="289"/>
      <c r="AZ258" s="289"/>
    </row>
    <row r="259" spans="1:59" ht="16.05" customHeight="1" thickBot="1" x14ac:dyDescent="0.5">
      <c r="A259" s="289"/>
      <c r="B259" s="343"/>
      <c r="C259" s="325" t="s">
        <v>779</v>
      </c>
      <c r="D259" s="773"/>
      <c r="E259" s="431" t="e">
        <f ca="1">IF($BF260, "", "Trede (gemiddeld)")</f>
        <v>#VALUE!</v>
      </c>
      <c r="F259" s="737"/>
      <c r="G259" s="737"/>
      <c r="H259" s="737"/>
      <c r="I259" s="737"/>
      <c r="J259" s="737"/>
      <c r="K259" s="737"/>
      <c r="L259" s="737"/>
      <c r="M259" s="737"/>
      <c r="N259" s="737"/>
      <c r="O259" s="737"/>
      <c r="P259" s="737"/>
      <c r="Q259" s="737"/>
      <c r="R259" s="737"/>
      <c r="S259" s="737"/>
      <c r="T259" s="737"/>
      <c r="U259" s="740"/>
      <c r="V259" s="775"/>
      <c r="W259" s="294"/>
      <c r="X259" s="777"/>
      <c r="Y259" s="779"/>
      <c r="Z259" s="329"/>
      <c r="AA259" s="771"/>
      <c r="AB259" s="770"/>
      <c r="AC259" s="289"/>
      <c r="AD259" s="289"/>
      <c r="AE259" s="289"/>
      <c r="AF259" s="289"/>
      <c r="AG259" s="289"/>
      <c r="AH259" s="289"/>
      <c r="AI259" s="289"/>
      <c r="AJ259" s="289"/>
      <c r="AK259" s="289"/>
      <c r="AL259" s="289"/>
      <c r="AM259" s="289"/>
      <c r="AN259" s="289"/>
      <c r="AO259" s="289"/>
      <c r="AP259" s="289"/>
      <c r="AQ259" s="289"/>
      <c r="AR259" s="289"/>
      <c r="AS259" s="289"/>
      <c r="AT259" s="289"/>
      <c r="AU259" s="289"/>
      <c r="AV259" s="289"/>
      <c r="AW259" s="289"/>
      <c r="AX259" s="289"/>
      <c r="AY259" s="289"/>
      <c r="AZ259" s="289"/>
    </row>
    <row r="260" spans="1:59" ht="16.05" customHeight="1" thickBot="1" x14ac:dyDescent="0.5">
      <c r="A260" s="289"/>
      <c r="B260" s="343"/>
      <c r="C260" s="325" t="s">
        <v>779</v>
      </c>
      <c r="E260" s="432" t="str">
        <f>IFERROR(
   INDEX('Hulp (CAO''s)'!$I$3:$I$7, MATCH(TRUE, 'Hulp (CAO''s)'!$D$3:$D$7, 0)),
"")</f>
        <v>Bruto maandsalaris</v>
      </c>
      <c r="F260" s="425" t="e" cm="1">
        <f t="array" aca="1" ref="F260" ca="1">IF($BF260, IF(F257="","",
   INDEX(
      INDIRECT("'" &amp; 'Hulp (CAO''s)'!$AE$8 &amp; "'!" &amp;
               'Hulp (overig)'!$C$17 &amp; "1:" &amp;
               'Hulp (overig)'!$C$17 &amp; "1000"),
      MATCH(
         F257,
         INDIRECT("'" &amp; 'Hulp (CAO''s)'!$AE$8 &amp; "'!A1:A1000"),
         0
      )
   )
), IF($D258="Gebruik % van maximum salaris",
IF(
    OR(F257="",F258=""),
    "",
    MAX(
        INDIRECT(
            "'" &amp; 'Hulp (overig)'!$C$16 &amp; "'!" &amp;
            'Hulp (overig)'!$C$17 &amp;
            MATCH(F257, INDIRECT("'" &amp; 'Hulp (overig)'!$C$16 &amp; "'!A1:A1000"), 0) &amp;
            ":" &amp;
            'Hulp (overig)'!$C$17 &amp;
LOOKUP(
    2,
    1 / (
        (ROW(INDIRECT("'" &amp; 'Hulp (overig)'!$C$16 &amp; "'!B1:B1000")) &lt;
            IF(G257&lt;&gt;"",
               MATCH(G257, INDIRECT("'" &amp; 'Hulp (overig)'!$C$16 &amp; "'!A1:A1000"),0),
               1000
            )
        ) *
        (LEFT(TRIM(INDIRECT("'" &amp; 'Hulp (overig)'!$C$16 &amp; "'!B1:B1000")),1) &lt;&gt; "u")
    ),
    ROW(INDIRECT("'" &amp; 'Hulp (overig)'!$C$16 &amp; "'!B1:B1000"))
)
        )
    ) * F258
),
IF(F259="","",
IF(
    IFERROR(MIN(
        IF(
            (TRIM(INDIRECT("'" &amp; 'Hulp (overig)'!$C$16 &amp; "'!B1:B1000")) = TEXT(F259,"0")) *
            (ROW(INDIRECT("'" &amp; 'Hulp (overig)'!$C$16 &amp; "'!B1:B1000")) &gt;= MATCH(
                F257,
                INDIRECT("'" &amp; 'Hulp (overig)'!$C$16 &amp; "'!A1:A1000"),
                0
            )) *
            IF(
                G257="",
                1,
                (ROW(INDIRECT("'" &amp; 'Hulp (overig)'!$C$16 &amp; "'!B1:B1000")) &lt; MATCH(
                    G257,
                    INDIRECT("'" &amp; 'Hulp (overig)'!$C$16 &amp; "'!A1:A1000"),
                    0
                ))
            ),
            ROW(INDIRECT("'" &amp; 'Hulp (overig)'!$C$16 &amp; "'!B1:B1000"))
        )
    ),0) &lt; 1,
    "",
    IF(INDEX(
        INDIRECT("'" &amp; 'Hulp (overig)'!$C$16 &amp; "'!" &amp;
        'Hulp (overig)'!$C$17 &amp; "1:" &amp; 'Hulp (overig)'!$C$17 &amp; 1000
        ),
        IFERROR(MIN(
            IF(
                (TRIM(INDIRECT("'" &amp; 'Hulp (overig)'!$C$16 &amp; "'!B1:B1000")) = TEXT(F259,"0")) *
                (ROW(INDIRECT("'" &amp; 'Hulp (overig)'!$C$16 &amp; "'!B1:B1000")) &gt;= MATCH(
                    F257,
                    INDIRECT("'" &amp; 'Hulp (overig)'!$C$16 &amp; "'!A1:A1000"),
                    0
                )) *
                IF(
                    G257="",
                    1,
                    (ROW(INDIRECT("'" &amp; 'Hulp (overig)'!$C$16 &amp; "'!B1:B1000")) &lt; MATCH(
                        G257,
                        INDIRECT("'" &amp; 'Hulp (overig)'!$C$16 &amp; "'!A1:A1000"),
                        0
                    ))
                ),
                ROW(INDIRECT("'" &amp; 'Hulp (overig)'!$C$16 &amp; "'!B1:B1000"))
            )
        ),0)
    )=0,"",
INDEX(
        INDIRECT("'" &amp; 'Hulp (overig)'!$C$16 &amp; "'!" &amp;
        'Hulp (overig)'!$C$17 &amp; "1:" &amp; 'Hulp (overig)'!$C$17 &amp; 1000
        ),
        IFERROR(MIN(
            IF(
                (TRIM(INDIRECT("'" &amp; 'Hulp (overig)'!$C$16 &amp; "'!B1:B1000")) = TEXT(F259,"0")) *
                (ROW(INDIRECT("'" &amp; 'Hulp (overig)'!$C$16 &amp; "'!B1:B1000")) &gt;= MATCH(
                    F257,
                    INDIRECT("'" &amp; 'Hulp (overig)'!$C$16 &amp; "'!A1:A1000"),
                    0
                )) *
                IF(
                    G257="",
                    1,
                    (ROW(INDIRECT("'" &amp; 'Hulp (overig)'!$C$16 &amp; "'!B1:B1000")) &lt; MATCH(
                        G257,
                        INDIRECT("'" &amp; 'Hulp (overig)'!$C$16 &amp; "'!A1:A1000"),
                        0
                    ))
                ),
                ROW(INDIRECT("'" &amp; 'Hulp (overig)'!$C$16 &amp; "'!B1:B1000"))
            )
        ),0)
    ))
))))</f>
        <v>#VALUE!</v>
      </c>
      <c r="G260" s="425" t="e" cm="1">
        <f t="array" aca="1" ref="G260" ca="1">IF($BF260, IF(G257="","",
   INDEX(
      INDIRECT("'" &amp; 'Hulp (CAO''s)'!$AE$8 &amp; "'!" &amp;
               'Hulp (overig)'!$C$17 &amp; "1:" &amp;
               'Hulp (overig)'!$C$17 &amp; "1000"),
      MATCH(
         G257,
         INDIRECT("'" &amp; 'Hulp (CAO''s)'!$AE$8 &amp; "'!A1:A1000"),
         0
      )
   )
), IF($D258="Gebruik % van maximum salaris",
IF(
    OR(G257="",G258=""),
    "",
    MAX(
        INDIRECT(
            "'" &amp; 'Hulp (overig)'!$C$16 &amp; "'!" &amp;
            'Hulp (overig)'!$C$17 &amp;
            MATCH(G257, INDIRECT("'" &amp; 'Hulp (overig)'!$C$16 &amp; "'!A1:A1000"), 0) &amp;
            ":" &amp;
            'Hulp (overig)'!$C$17 &amp;
LOOKUP(
    2,
    1 / (
        (ROW(INDIRECT("'" &amp; 'Hulp (overig)'!$C$16 &amp; "'!B1:B1000")) &lt;
            IF(H257&lt;&gt;"",
               MATCH(H257, INDIRECT("'" &amp; 'Hulp (overig)'!$C$16 &amp; "'!A1:A1000"),0),
               1000
            )
        ) *
        (LEFT(TRIM(INDIRECT("'" &amp; 'Hulp (overig)'!$C$16 &amp; "'!B1:B1000")),1) &lt;&gt; "u")
    ),
    ROW(INDIRECT("'" &amp; 'Hulp (overig)'!$C$16 &amp; "'!B1:B1000"))
)
        )
    ) * G258
),
IF(G259="","",
IF(
    IFERROR(MIN(
        IF(
            (TRIM(INDIRECT("'" &amp; 'Hulp (overig)'!$C$16 &amp; "'!B1:B1000")) = TEXT(G259,"0")) *
            (ROW(INDIRECT("'" &amp; 'Hulp (overig)'!$C$16 &amp; "'!B1:B1000")) &gt;= MATCH(
                G257,
                INDIRECT("'" &amp; 'Hulp (overig)'!$C$16 &amp; "'!A1:A1000"),
                0
            )) *
            IF(
                H257="",
                1,
                (ROW(INDIRECT("'" &amp; 'Hulp (overig)'!$C$16 &amp; "'!B1:B1000")) &lt; MATCH(
                    H257,
                    INDIRECT("'" &amp; 'Hulp (overig)'!$C$16 &amp; "'!A1:A1000"),
                    0
                ))
            ),
            ROW(INDIRECT("'" &amp; 'Hulp (overig)'!$C$16 &amp; "'!B1:B1000"))
        )
    ),0) &lt; 1,
    "",
    IF(INDEX(
        INDIRECT("'" &amp; 'Hulp (overig)'!$C$16 &amp; "'!" &amp;
        'Hulp (overig)'!$C$17 &amp; "1:" &amp; 'Hulp (overig)'!$C$17 &amp; 1000
        ),
        IFERROR(MIN(
            IF(
                (TRIM(INDIRECT("'" &amp; 'Hulp (overig)'!$C$16 &amp; "'!B1:B1000")) = TEXT(G259,"0")) *
                (ROW(INDIRECT("'" &amp; 'Hulp (overig)'!$C$16 &amp; "'!B1:B1000")) &gt;= MATCH(
                    G257,
                    INDIRECT("'" &amp; 'Hulp (overig)'!$C$16 &amp; "'!A1:A1000"),
                    0
                )) *
                IF(
                    H257="",
                    1,
                    (ROW(INDIRECT("'" &amp; 'Hulp (overig)'!$C$16 &amp; "'!B1:B1000")) &lt; MATCH(
                        H257,
                        INDIRECT("'" &amp; 'Hulp (overig)'!$C$16 &amp; "'!A1:A1000"),
                        0
                    ))
                ),
                ROW(INDIRECT("'" &amp; 'Hulp (overig)'!$C$16 &amp; "'!B1:B1000"))
            )
        ),0)
    )=0,"",
INDEX(
        INDIRECT("'" &amp; 'Hulp (overig)'!$C$16 &amp; "'!" &amp;
        'Hulp (overig)'!$C$17 &amp; "1:" &amp; 'Hulp (overig)'!$C$17 &amp; 1000
        ),
        IFERROR(MIN(
            IF(
                (TRIM(INDIRECT("'" &amp; 'Hulp (overig)'!$C$16 &amp; "'!B1:B1000")) = TEXT(G259,"0")) *
                (ROW(INDIRECT("'" &amp; 'Hulp (overig)'!$C$16 &amp; "'!B1:B1000")) &gt;= MATCH(
                    G257,
                    INDIRECT("'" &amp; 'Hulp (overig)'!$C$16 &amp; "'!A1:A1000"),
                    0
                )) *
                IF(
                    H257="",
                    1,
                    (ROW(INDIRECT("'" &amp; 'Hulp (overig)'!$C$16 &amp; "'!B1:B1000")) &lt; MATCH(
                        H257,
                        INDIRECT("'" &amp; 'Hulp (overig)'!$C$16 &amp; "'!A1:A1000"),
                        0
                    ))
                ),
                ROW(INDIRECT("'" &amp; 'Hulp (overig)'!$C$16 &amp; "'!B1:B1000"))
            )
        ),0)
    ))
))))</f>
        <v>#VALUE!</v>
      </c>
      <c r="H260" s="425" t="e" cm="1">
        <f t="array" aca="1" ref="H260" ca="1">IF($BF260, IF(H257="","",
   INDEX(
      INDIRECT("'" &amp; 'Hulp (CAO''s)'!$AE$8 &amp; "'!" &amp;
               'Hulp (overig)'!$C$17 &amp; "1:" &amp;
               'Hulp (overig)'!$C$17 &amp; "1000"),
      MATCH(
         H257,
         INDIRECT("'" &amp; 'Hulp (CAO''s)'!$AE$8 &amp; "'!A1:A1000"),
         0
      )
   )
), IF($D258="Gebruik % van maximum salaris",
IF(
    OR(H257="",H258=""),
    "",
    MAX(
        INDIRECT(
            "'" &amp; 'Hulp (overig)'!$C$16 &amp; "'!" &amp;
            'Hulp (overig)'!$C$17 &amp;
            MATCH(H257, INDIRECT("'" &amp; 'Hulp (overig)'!$C$16 &amp; "'!A1:A1000"), 0) &amp;
            ":" &amp;
            'Hulp (overig)'!$C$17 &amp;
LOOKUP(
    2,
    1 / (
        (ROW(INDIRECT("'" &amp; 'Hulp (overig)'!$C$16 &amp; "'!B1:B1000")) &lt;
            IF(I257&lt;&gt;"",
               MATCH(I257, INDIRECT("'" &amp; 'Hulp (overig)'!$C$16 &amp; "'!A1:A1000"),0),
               1000
            )
        ) *
        (LEFT(TRIM(INDIRECT("'" &amp; 'Hulp (overig)'!$C$16 &amp; "'!B1:B1000")),1) &lt;&gt; "u")
    ),
    ROW(INDIRECT("'" &amp; 'Hulp (overig)'!$C$16 &amp; "'!B1:B1000"))
)
        )
    ) * H258
),
IF(H259="","",
IF(
    IFERROR(MIN(
        IF(
            (TRIM(INDIRECT("'" &amp; 'Hulp (overig)'!$C$16 &amp; "'!B1:B1000")) = TEXT(H259,"0")) *
            (ROW(INDIRECT("'" &amp; 'Hulp (overig)'!$C$16 &amp; "'!B1:B1000")) &gt;= MATCH(
                H257,
                INDIRECT("'" &amp; 'Hulp (overig)'!$C$16 &amp; "'!A1:A1000"),
                0
            )) *
            IF(
                I257="",
                1,
                (ROW(INDIRECT("'" &amp; 'Hulp (overig)'!$C$16 &amp; "'!B1:B1000")) &lt; MATCH(
                    I257,
                    INDIRECT("'" &amp; 'Hulp (overig)'!$C$16 &amp; "'!A1:A1000"),
                    0
                ))
            ),
            ROW(INDIRECT("'" &amp; 'Hulp (overig)'!$C$16 &amp; "'!B1:B1000"))
        )
    ),0) &lt; 1,
    "",
    IF(INDEX(
        INDIRECT("'" &amp; 'Hulp (overig)'!$C$16 &amp; "'!" &amp;
        'Hulp (overig)'!$C$17 &amp; "1:" &amp; 'Hulp (overig)'!$C$17 &amp; 1000
        ),
        IFERROR(MIN(
            IF(
                (TRIM(INDIRECT("'" &amp; 'Hulp (overig)'!$C$16 &amp; "'!B1:B1000")) = TEXT(H259,"0")) *
                (ROW(INDIRECT("'" &amp; 'Hulp (overig)'!$C$16 &amp; "'!B1:B1000")) &gt;= MATCH(
                    H257,
                    INDIRECT("'" &amp; 'Hulp (overig)'!$C$16 &amp; "'!A1:A1000"),
                    0
                )) *
                IF(
                    I257="",
                    1,
                    (ROW(INDIRECT("'" &amp; 'Hulp (overig)'!$C$16 &amp; "'!B1:B1000")) &lt; MATCH(
                        I257,
                        INDIRECT("'" &amp; 'Hulp (overig)'!$C$16 &amp; "'!A1:A1000"),
                        0
                    ))
                ),
                ROW(INDIRECT("'" &amp; 'Hulp (overig)'!$C$16 &amp; "'!B1:B1000"))
            )
        ),0)
    )=0,"",
INDEX(
        INDIRECT("'" &amp; 'Hulp (overig)'!$C$16 &amp; "'!" &amp;
        'Hulp (overig)'!$C$17 &amp; "1:" &amp; 'Hulp (overig)'!$C$17 &amp; 1000
        ),
        IFERROR(MIN(
            IF(
                (TRIM(INDIRECT("'" &amp; 'Hulp (overig)'!$C$16 &amp; "'!B1:B1000")) = TEXT(H259,"0")) *
                (ROW(INDIRECT("'" &amp; 'Hulp (overig)'!$C$16 &amp; "'!B1:B1000")) &gt;= MATCH(
                    H257,
                    INDIRECT("'" &amp; 'Hulp (overig)'!$C$16 &amp; "'!A1:A1000"),
                    0
                )) *
                IF(
                    I257="",
                    1,
                    (ROW(INDIRECT("'" &amp; 'Hulp (overig)'!$C$16 &amp; "'!B1:B1000")) &lt; MATCH(
                        I257,
                        INDIRECT("'" &amp; 'Hulp (overig)'!$C$16 &amp; "'!A1:A1000"),
                        0
                    ))
                ),
                ROW(INDIRECT("'" &amp; 'Hulp (overig)'!$C$16 &amp; "'!B1:B1000"))
            )
        ),0)
    ))
))))</f>
        <v>#VALUE!</v>
      </c>
      <c r="I260" s="425" t="e" cm="1">
        <f t="array" aca="1" ref="I260" ca="1">IF($BF260, IF(I257="","",
   INDEX(
      INDIRECT("'" &amp; 'Hulp (CAO''s)'!$AE$8 &amp; "'!" &amp;
               'Hulp (overig)'!$C$17 &amp; "1:" &amp;
               'Hulp (overig)'!$C$17 &amp; "1000"),
      MATCH(
         I257,
         INDIRECT("'" &amp; 'Hulp (CAO''s)'!$AE$8 &amp; "'!A1:A1000"),
         0
      )
   )
), IF($D258="Gebruik % van maximum salaris",
IF(
    OR(I257="",I258=""),
    "",
    MAX(
        INDIRECT(
            "'" &amp; 'Hulp (overig)'!$C$16 &amp; "'!" &amp;
            'Hulp (overig)'!$C$17 &amp;
            MATCH(I257, INDIRECT("'" &amp; 'Hulp (overig)'!$C$16 &amp; "'!A1:A1000"), 0) &amp;
            ":" &amp;
            'Hulp (overig)'!$C$17 &amp;
LOOKUP(
    2,
    1 / (
        (ROW(INDIRECT("'" &amp; 'Hulp (overig)'!$C$16 &amp; "'!B1:B1000")) &lt;
            IF(J257&lt;&gt;"",
               MATCH(J257, INDIRECT("'" &amp; 'Hulp (overig)'!$C$16 &amp; "'!A1:A1000"),0),
               1000
            )
        ) *
        (LEFT(TRIM(INDIRECT("'" &amp; 'Hulp (overig)'!$C$16 &amp; "'!B1:B1000")),1) &lt;&gt; "u")
    ),
    ROW(INDIRECT("'" &amp; 'Hulp (overig)'!$C$16 &amp; "'!B1:B1000"))
)
        )
    ) * I258
),
IF(I259="","",
IF(
    IFERROR(MIN(
        IF(
            (TRIM(INDIRECT("'" &amp; 'Hulp (overig)'!$C$16 &amp; "'!B1:B1000")) = TEXT(I259,"0")) *
            (ROW(INDIRECT("'" &amp; 'Hulp (overig)'!$C$16 &amp; "'!B1:B1000")) &gt;= MATCH(
                I257,
                INDIRECT("'" &amp; 'Hulp (overig)'!$C$16 &amp; "'!A1:A1000"),
                0
            )) *
            IF(
                J257="",
                1,
                (ROW(INDIRECT("'" &amp; 'Hulp (overig)'!$C$16 &amp; "'!B1:B1000")) &lt; MATCH(
                    J257,
                    INDIRECT("'" &amp; 'Hulp (overig)'!$C$16 &amp; "'!A1:A1000"),
                    0
                ))
            ),
            ROW(INDIRECT("'" &amp; 'Hulp (overig)'!$C$16 &amp; "'!B1:B1000"))
        )
    ),0) &lt; 1,
    "",
    IF(INDEX(
        INDIRECT("'" &amp; 'Hulp (overig)'!$C$16 &amp; "'!" &amp;
        'Hulp (overig)'!$C$17 &amp; "1:" &amp; 'Hulp (overig)'!$C$17 &amp; 1000
        ),
        IFERROR(MIN(
            IF(
                (TRIM(INDIRECT("'" &amp; 'Hulp (overig)'!$C$16 &amp; "'!B1:B1000")) = TEXT(I259,"0")) *
                (ROW(INDIRECT("'" &amp; 'Hulp (overig)'!$C$16 &amp; "'!B1:B1000")) &gt;= MATCH(
                    I257,
                    INDIRECT("'" &amp; 'Hulp (overig)'!$C$16 &amp; "'!A1:A1000"),
                    0
                )) *
                IF(
                    J257="",
                    1,
                    (ROW(INDIRECT("'" &amp; 'Hulp (overig)'!$C$16 &amp; "'!B1:B1000")) &lt; MATCH(
                        J257,
                        INDIRECT("'" &amp; 'Hulp (overig)'!$C$16 &amp; "'!A1:A1000"),
                        0
                    ))
                ),
                ROW(INDIRECT("'" &amp; 'Hulp (overig)'!$C$16 &amp; "'!B1:B1000"))
            )
        ),0)
    )=0,"",
INDEX(
        INDIRECT("'" &amp; 'Hulp (overig)'!$C$16 &amp; "'!" &amp;
        'Hulp (overig)'!$C$17 &amp; "1:" &amp; 'Hulp (overig)'!$C$17 &amp; 1000
        ),
        IFERROR(MIN(
            IF(
                (TRIM(INDIRECT("'" &amp; 'Hulp (overig)'!$C$16 &amp; "'!B1:B1000")) = TEXT(I259,"0")) *
                (ROW(INDIRECT("'" &amp; 'Hulp (overig)'!$C$16 &amp; "'!B1:B1000")) &gt;= MATCH(
                    I257,
                    INDIRECT("'" &amp; 'Hulp (overig)'!$C$16 &amp; "'!A1:A1000"),
                    0
                )) *
                IF(
                    J257="",
                    1,
                    (ROW(INDIRECT("'" &amp; 'Hulp (overig)'!$C$16 &amp; "'!B1:B1000")) &lt; MATCH(
                        J257,
                        INDIRECT("'" &amp; 'Hulp (overig)'!$C$16 &amp; "'!A1:A1000"),
                        0
                    ))
                ),
                ROW(INDIRECT("'" &amp; 'Hulp (overig)'!$C$16 &amp; "'!B1:B1000"))
            )
        ),0)
    ))
))))</f>
        <v>#VALUE!</v>
      </c>
      <c r="J260" s="425" t="e" cm="1">
        <f t="array" aca="1" ref="J260" ca="1">IF($BF260, IF(J257="","",
   INDEX(
      INDIRECT("'" &amp; 'Hulp (CAO''s)'!$AE$8 &amp; "'!" &amp;
               'Hulp (overig)'!$C$17 &amp; "1:" &amp;
               'Hulp (overig)'!$C$17 &amp; "1000"),
      MATCH(
         J257,
         INDIRECT("'" &amp; 'Hulp (CAO''s)'!$AE$8 &amp; "'!A1:A1000"),
         0
      )
   )
), IF($D258="Gebruik % van maximum salaris",
IF(
    OR(J257="",J258=""),
    "",
    MAX(
        INDIRECT(
            "'" &amp; 'Hulp (overig)'!$C$16 &amp; "'!" &amp;
            'Hulp (overig)'!$C$17 &amp;
            MATCH(J257, INDIRECT("'" &amp; 'Hulp (overig)'!$C$16 &amp; "'!A1:A1000"), 0) &amp;
            ":" &amp;
            'Hulp (overig)'!$C$17 &amp;
LOOKUP(
    2,
    1 / (
        (ROW(INDIRECT("'" &amp; 'Hulp (overig)'!$C$16 &amp; "'!B1:B1000")) &lt;
            IF(K257&lt;&gt;"",
               MATCH(K257, INDIRECT("'" &amp; 'Hulp (overig)'!$C$16 &amp; "'!A1:A1000"),0),
               1000
            )
        ) *
        (LEFT(TRIM(INDIRECT("'" &amp; 'Hulp (overig)'!$C$16 &amp; "'!B1:B1000")),1) &lt;&gt; "u")
    ),
    ROW(INDIRECT("'" &amp; 'Hulp (overig)'!$C$16 &amp; "'!B1:B1000"))
)
        )
    ) * J258
),
IF(J259="","",
IF(
    IFERROR(MIN(
        IF(
            (TRIM(INDIRECT("'" &amp; 'Hulp (overig)'!$C$16 &amp; "'!B1:B1000")) = TEXT(J259,"0")) *
            (ROW(INDIRECT("'" &amp; 'Hulp (overig)'!$C$16 &amp; "'!B1:B1000")) &gt;= MATCH(
                J257,
                INDIRECT("'" &amp; 'Hulp (overig)'!$C$16 &amp; "'!A1:A1000"),
                0
            )) *
            IF(
                K257="",
                1,
                (ROW(INDIRECT("'" &amp; 'Hulp (overig)'!$C$16 &amp; "'!B1:B1000")) &lt; MATCH(
                    K257,
                    INDIRECT("'" &amp; 'Hulp (overig)'!$C$16 &amp; "'!A1:A1000"),
                    0
                ))
            ),
            ROW(INDIRECT("'" &amp; 'Hulp (overig)'!$C$16 &amp; "'!B1:B1000"))
        )
    ),0) &lt; 1,
    "",
    IF(INDEX(
        INDIRECT("'" &amp; 'Hulp (overig)'!$C$16 &amp; "'!" &amp;
        'Hulp (overig)'!$C$17 &amp; "1:" &amp; 'Hulp (overig)'!$C$17 &amp; 1000
        ),
        IFERROR(MIN(
            IF(
                (TRIM(INDIRECT("'" &amp; 'Hulp (overig)'!$C$16 &amp; "'!B1:B1000")) = TEXT(J259,"0")) *
                (ROW(INDIRECT("'" &amp; 'Hulp (overig)'!$C$16 &amp; "'!B1:B1000")) &gt;= MATCH(
                    J257,
                    INDIRECT("'" &amp; 'Hulp (overig)'!$C$16 &amp; "'!A1:A1000"),
                    0
                )) *
                IF(
                    K257="",
                    1,
                    (ROW(INDIRECT("'" &amp; 'Hulp (overig)'!$C$16 &amp; "'!B1:B1000")) &lt; MATCH(
                        K257,
                        INDIRECT("'" &amp; 'Hulp (overig)'!$C$16 &amp; "'!A1:A1000"),
                        0
                    ))
                ),
                ROW(INDIRECT("'" &amp; 'Hulp (overig)'!$C$16 &amp; "'!B1:B1000"))
            )
        ),0)
    )=0,"",
INDEX(
        INDIRECT("'" &amp; 'Hulp (overig)'!$C$16 &amp; "'!" &amp;
        'Hulp (overig)'!$C$17 &amp; "1:" &amp; 'Hulp (overig)'!$C$17 &amp; 1000
        ),
        IFERROR(MIN(
            IF(
                (TRIM(INDIRECT("'" &amp; 'Hulp (overig)'!$C$16 &amp; "'!B1:B1000")) = TEXT(J259,"0")) *
                (ROW(INDIRECT("'" &amp; 'Hulp (overig)'!$C$16 &amp; "'!B1:B1000")) &gt;= MATCH(
                    J257,
                    INDIRECT("'" &amp; 'Hulp (overig)'!$C$16 &amp; "'!A1:A1000"),
                    0
                )) *
                IF(
                    K257="",
                    1,
                    (ROW(INDIRECT("'" &amp; 'Hulp (overig)'!$C$16 &amp; "'!B1:B1000")) &lt; MATCH(
                        K257,
                        INDIRECT("'" &amp; 'Hulp (overig)'!$C$16 &amp; "'!A1:A1000"),
                        0
                    ))
                ),
                ROW(INDIRECT("'" &amp; 'Hulp (overig)'!$C$16 &amp; "'!B1:B1000"))
            )
        ),0)
    ))
))))</f>
        <v>#VALUE!</v>
      </c>
      <c r="K260" s="425" t="e" cm="1">
        <f t="array" aca="1" ref="K260" ca="1">IF($BF260, IF(K257="","",
   INDEX(
      INDIRECT("'" &amp; 'Hulp (CAO''s)'!$AE$8 &amp; "'!" &amp;
               'Hulp (overig)'!$C$17 &amp; "1:" &amp;
               'Hulp (overig)'!$C$17 &amp; "1000"),
      MATCH(
         K257,
         INDIRECT("'" &amp; 'Hulp (CAO''s)'!$AE$8 &amp; "'!A1:A1000"),
         0
      )
   )
), IF($D258="Gebruik % van maximum salaris",
IF(
    OR(K257="",K258=""),
    "",
    MAX(
        INDIRECT(
            "'" &amp; 'Hulp (overig)'!$C$16 &amp; "'!" &amp;
            'Hulp (overig)'!$C$17 &amp;
            MATCH(K257, INDIRECT("'" &amp; 'Hulp (overig)'!$C$16 &amp; "'!A1:A1000"), 0) &amp;
            ":" &amp;
            'Hulp (overig)'!$C$17 &amp;
LOOKUP(
    2,
    1 / (
        (ROW(INDIRECT("'" &amp; 'Hulp (overig)'!$C$16 &amp; "'!B1:B1000")) &lt;
            IF(L257&lt;&gt;"",
               MATCH(L257, INDIRECT("'" &amp; 'Hulp (overig)'!$C$16 &amp; "'!A1:A1000"),0),
               1000
            )
        ) *
        (LEFT(TRIM(INDIRECT("'" &amp; 'Hulp (overig)'!$C$16 &amp; "'!B1:B1000")),1) &lt;&gt; "u")
    ),
    ROW(INDIRECT("'" &amp; 'Hulp (overig)'!$C$16 &amp; "'!B1:B1000"))
)
        )
    ) * K258
),
IF(K259="","",
IF(
    IFERROR(MIN(
        IF(
            (TRIM(INDIRECT("'" &amp; 'Hulp (overig)'!$C$16 &amp; "'!B1:B1000")) = TEXT(K259,"0")) *
            (ROW(INDIRECT("'" &amp; 'Hulp (overig)'!$C$16 &amp; "'!B1:B1000")) &gt;= MATCH(
                K257,
                INDIRECT("'" &amp; 'Hulp (overig)'!$C$16 &amp; "'!A1:A1000"),
                0
            )) *
            IF(
                L257="",
                1,
                (ROW(INDIRECT("'" &amp; 'Hulp (overig)'!$C$16 &amp; "'!B1:B1000")) &lt; MATCH(
                    L257,
                    INDIRECT("'" &amp; 'Hulp (overig)'!$C$16 &amp; "'!A1:A1000"),
                    0
                ))
            ),
            ROW(INDIRECT("'" &amp; 'Hulp (overig)'!$C$16 &amp; "'!B1:B1000"))
        )
    ),0) &lt; 1,
    "",
    IF(INDEX(
        INDIRECT("'" &amp; 'Hulp (overig)'!$C$16 &amp; "'!" &amp;
        'Hulp (overig)'!$C$17 &amp; "1:" &amp; 'Hulp (overig)'!$C$17 &amp; 1000
        ),
        IFERROR(MIN(
            IF(
                (TRIM(INDIRECT("'" &amp; 'Hulp (overig)'!$C$16 &amp; "'!B1:B1000")) = TEXT(K259,"0")) *
                (ROW(INDIRECT("'" &amp; 'Hulp (overig)'!$C$16 &amp; "'!B1:B1000")) &gt;= MATCH(
                    K257,
                    INDIRECT("'" &amp; 'Hulp (overig)'!$C$16 &amp; "'!A1:A1000"),
                    0
                )) *
                IF(
                    L257="",
                    1,
                    (ROW(INDIRECT("'" &amp; 'Hulp (overig)'!$C$16 &amp; "'!B1:B1000")) &lt; MATCH(
                        L257,
                        INDIRECT("'" &amp; 'Hulp (overig)'!$C$16 &amp; "'!A1:A1000"),
                        0
                    ))
                ),
                ROW(INDIRECT("'" &amp; 'Hulp (overig)'!$C$16 &amp; "'!B1:B1000"))
            )
        ),0)
    )=0,"",
INDEX(
        INDIRECT("'" &amp; 'Hulp (overig)'!$C$16 &amp; "'!" &amp;
        'Hulp (overig)'!$C$17 &amp; "1:" &amp; 'Hulp (overig)'!$C$17 &amp; 1000
        ),
        IFERROR(MIN(
            IF(
                (TRIM(INDIRECT("'" &amp; 'Hulp (overig)'!$C$16 &amp; "'!B1:B1000")) = TEXT(K259,"0")) *
                (ROW(INDIRECT("'" &amp; 'Hulp (overig)'!$C$16 &amp; "'!B1:B1000")) &gt;= MATCH(
                    K257,
                    INDIRECT("'" &amp; 'Hulp (overig)'!$C$16 &amp; "'!A1:A1000"),
                    0
                )) *
                IF(
                    L257="",
                    1,
                    (ROW(INDIRECT("'" &amp; 'Hulp (overig)'!$C$16 &amp; "'!B1:B1000")) &lt; MATCH(
                        L257,
                        INDIRECT("'" &amp; 'Hulp (overig)'!$C$16 &amp; "'!A1:A1000"),
                        0
                    ))
                ),
                ROW(INDIRECT("'" &amp; 'Hulp (overig)'!$C$16 &amp; "'!B1:B1000"))
            )
        ),0)
    ))
))))</f>
        <v>#VALUE!</v>
      </c>
      <c r="L260" s="425" t="e" cm="1">
        <f t="array" aca="1" ref="L260" ca="1">IF($BF260, IF(L257="","",
   INDEX(
      INDIRECT("'" &amp; 'Hulp (CAO''s)'!$AE$8 &amp; "'!" &amp;
               'Hulp (overig)'!$C$17 &amp; "1:" &amp;
               'Hulp (overig)'!$C$17 &amp; "1000"),
      MATCH(
         L257,
         INDIRECT("'" &amp; 'Hulp (CAO''s)'!$AE$8 &amp; "'!A1:A1000"),
         0
      )
   )
), IF($D258="Gebruik % van maximum salaris",
IF(
    OR(L257="",L258=""),
    "",
    MAX(
        INDIRECT(
            "'" &amp; 'Hulp (overig)'!$C$16 &amp; "'!" &amp;
            'Hulp (overig)'!$C$17 &amp;
            MATCH(L257, INDIRECT("'" &amp; 'Hulp (overig)'!$C$16 &amp; "'!A1:A1000"), 0) &amp;
            ":" &amp;
            'Hulp (overig)'!$C$17 &amp;
LOOKUP(
    2,
    1 / (
        (ROW(INDIRECT("'" &amp; 'Hulp (overig)'!$C$16 &amp; "'!B1:B1000")) &lt;
            IF(M257&lt;&gt;"",
               MATCH(M257, INDIRECT("'" &amp; 'Hulp (overig)'!$C$16 &amp; "'!A1:A1000"),0),
               1000
            )
        ) *
        (LEFT(TRIM(INDIRECT("'" &amp; 'Hulp (overig)'!$C$16 &amp; "'!B1:B1000")),1) &lt;&gt; "u")
    ),
    ROW(INDIRECT("'" &amp; 'Hulp (overig)'!$C$16 &amp; "'!B1:B1000"))
)
        )
    ) * L258
),
IF(L259="","",
IF(
    IFERROR(MIN(
        IF(
            (TRIM(INDIRECT("'" &amp; 'Hulp (overig)'!$C$16 &amp; "'!B1:B1000")) = TEXT(L259,"0")) *
            (ROW(INDIRECT("'" &amp; 'Hulp (overig)'!$C$16 &amp; "'!B1:B1000")) &gt;= MATCH(
                L257,
                INDIRECT("'" &amp; 'Hulp (overig)'!$C$16 &amp; "'!A1:A1000"),
                0
            )) *
            IF(
                M257="",
                1,
                (ROW(INDIRECT("'" &amp; 'Hulp (overig)'!$C$16 &amp; "'!B1:B1000")) &lt; MATCH(
                    M257,
                    INDIRECT("'" &amp; 'Hulp (overig)'!$C$16 &amp; "'!A1:A1000"),
                    0
                ))
            ),
            ROW(INDIRECT("'" &amp; 'Hulp (overig)'!$C$16 &amp; "'!B1:B1000"))
        )
    ),0) &lt; 1,
    "",
    IF(INDEX(
        INDIRECT("'" &amp; 'Hulp (overig)'!$C$16 &amp; "'!" &amp;
        'Hulp (overig)'!$C$17 &amp; "1:" &amp; 'Hulp (overig)'!$C$17 &amp; 1000
        ),
        IFERROR(MIN(
            IF(
                (TRIM(INDIRECT("'" &amp; 'Hulp (overig)'!$C$16 &amp; "'!B1:B1000")) = TEXT(L259,"0")) *
                (ROW(INDIRECT("'" &amp; 'Hulp (overig)'!$C$16 &amp; "'!B1:B1000")) &gt;= MATCH(
                    L257,
                    INDIRECT("'" &amp; 'Hulp (overig)'!$C$16 &amp; "'!A1:A1000"),
                    0
                )) *
                IF(
                    M257="",
                    1,
                    (ROW(INDIRECT("'" &amp; 'Hulp (overig)'!$C$16 &amp; "'!B1:B1000")) &lt; MATCH(
                        M257,
                        INDIRECT("'" &amp; 'Hulp (overig)'!$C$16 &amp; "'!A1:A1000"),
                        0
                    ))
                ),
                ROW(INDIRECT("'" &amp; 'Hulp (overig)'!$C$16 &amp; "'!B1:B1000"))
            )
        ),0)
    )=0,"",
INDEX(
        INDIRECT("'" &amp; 'Hulp (overig)'!$C$16 &amp; "'!" &amp;
        'Hulp (overig)'!$C$17 &amp; "1:" &amp; 'Hulp (overig)'!$C$17 &amp; 1000
        ),
        IFERROR(MIN(
            IF(
                (TRIM(INDIRECT("'" &amp; 'Hulp (overig)'!$C$16 &amp; "'!B1:B1000")) = TEXT(L259,"0")) *
                (ROW(INDIRECT("'" &amp; 'Hulp (overig)'!$C$16 &amp; "'!B1:B1000")) &gt;= MATCH(
                    L257,
                    INDIRECT("'" &amp; 'Hulp (overig)'!$C$16 &amp; "'!A1:A1000"),
                    0
                )) *
                IF(
                    M257="",
                    1,
                    (ROW(INDIRECT("'" &amp; 'Hulp (overig)'!$C$16 &amp; "'!B1:B1000")) &lt; MATCH(
                        M257,
                        INDIRECT("'" &amp; 'Hulp (overig)'!$C$16 &amp; "'!A1:A1000"),
                        0
                    ))
                ),
                ROW(INDIRECT("'" &amp; 'Hulp (overig)'!$C$16 &amp; "'!B1:B1000"))
            )
        ),0)
    ))
))))</f>
        <v>#VALUE!</v>
      </c>
      <c r="M260" s="425" t="e" cm="1">
        <f t="array" aca="1" ref="M260" ca="1">IF($BF260, IF(M257="","",
   INDEX(
      INDIRECT("'" &amp; 'Hulp (CAO''s)'!$AE$8 &amp; "'!" &amp;
               'Hulp (overig)'!$C$17 &amp; "1:" &amp;
               'Hulp (overig)'!$C$17 &amp; "1000"),
      MATCH(
         M257,
         INDIRECT("'" &amp; 'Hulp (CAO''s)'!$AE$8 &amp; "'!A1:A1000"),
         0
      )
   )
), IF($D258="Gebruik % van maximum salaris",
IF(
    OR(M257="",M258=""),
    "",
    MAX(
        INDIRECT(
            "'" &amp; 'Hulp (overig)'!$C$16 &amp; "'!" &amp;
            'Hulp (overig)'!$C$17 &amp;
            MATCH(M257, INDIRECT("'" &amp; 'Hulp (overig)'!$C$16 &amp; "'!A1:A1000"), 0) &amp;
            ":" &amp;
            'Hulp (overig)'!$C$17 &amp;
LOOKUP(
    2,
    1 / (
        (ROW(INDIRECT("'" &amp; 'Hulp (overig)'!$C$16 &amp; "'!B1:B1000")) &lt;
            IF(N257&lt;&gt;"",
               MATCH(N257, INDIRECT("'" &amp; 'Hulp (overig)'!$C$16 &amp; "'!A1:A1000"),0),
               1000
            )
        ) *
        (LEFT(TRIM(INDIRECT("'" &amp; 'Hulp (overig)'!$C$16 &amp; "'!B1:B1000")),1) &lt;&gt; "u")
    ),
    ROW(INDIRECT("'" &amp; 'Hulp (overig)'!$C$16 &amp; "'!B1:B1000"))
)
        )
    ) * M258
),
IF(M259="","",
IF(
    IFERROR(MIN(
        IF(
            (TRIM(INDIRECT("'" &amp; 'Hulp (overig)'!$C$16 &amp; "'!B1:B1000")) = TEXT(M259,"0")) *
            (ROW(INDIRECT("'" &amp; 'Hulp (overig)'!$C$16 &amp; "'!B1:B1000")) &gt;= MATCH(
                M257,
                INDIRECT("'" &amp; 'Hulp (overig)'!$C$16 &amp; "'!A1:A1000"),
                0
            )) *
            IF(
                N257="",
                1,
                (ROW(INDIRECT("'" &amp; 'Hulp (overig)'!$C$16 &amp; "'!B1:B1000")) &lt; MATCH(
                    N257,
                    INDIRECT("'" &amp; 'Hulp (overig)'!$C$16 &amp; "'!A1:A1000"),
                    0
                ))
            ),
            ROW(INDIRECT("'" &amp; 'Hulp (overig)'!$C$16 &amp; "'!B1:B1000"))
        )
    ),0) &lt; 1,
    "",
    IF(INDEX(
        INDIRECT("'" &amp; 'Hulp (overig)'!$C$16 &amp; "'!" &amp;
        'Hulp (overig)'!$C$17 &amp; "1:" &amp; 'Hulp (overig)'!$C$17 &amp; 1000
        ),
        IFERROR(MIN(
            IF(
                (TRIM(INDIRECT("'" &amp; 'Hulp (overig)'!$C$16 &amp; "'!B1:B1000")) = TEXT(M259,"0")) *
                (ROW(INDIRECT("'" &amp; 'Hulp (overig)'!$C$16 &amp; "'!B1:B1000")) &gt;= MATCH(
                    M257,
                    INDIRECT("'" &amp; 'Hulp (overig)'!$C$16 &amp; "'!A1:A1000"),
                    0
                )) *
                IF(
                    N257="",
                    1,
                    (ROW(INDIRECT("'" &amp; 'Hulp (overig)'!$C$16 &amp; "'!B1:B1000")) &lt; MATCH(
                        N257,
                        INDIRECT("'" &amp; 'Hulp (overig)'!$C$16 &amp; "'!A1:A1000"),
                        0
                    ))
                ),
                ROW(INDIRECT("'" &amp; 'Hulp (overig)'!$C$16 &amp; "'!B1:B1000"))
            )
        ),0)
    )=0,"",
INDEX(
        INDIRECT("'" &amp; 'Hulp (overig)'!$C$16 &amp; "'!" &amp;
        'Hulp (overig)'!$C$17 &amp; "1:" &amp; 'Hulp (overig)'!$C$17 &amp; 1000
        ),
        IFERROR(MIN(
            IF(
                (TRIM(INDIRECT("'" &amp; 'Hulp (overig)'!$C$16 &amp; "'!B1:B1000")) = TEXT(M259,"0")) *
                (ROW(INDIRECT("'" &amp; 'Hulp (overig)'!$C$16 &amp; "'!B1:B1000")) &gt;= MATCH(
                    M257,
                    INDIRECT("'" &amp; 'Hulp (overig)'!$C$16 &amp; "'!A1:A1000"),
                    0
                )) *
                IF(
                    N257="",
                    1,
                    (ROW(INDIRECT("'" &amp; 'Hulp (overig)'!$C$16 &amp; "'!B1:B1000")) &lt; MATCH(
                        N257,
                        INDIRECT("'" &amp; 'Hulp (overig)'!$C$16 &amp; "'!A1:A1000"),
                        0
                    ))
                ),
                ROW(INDIRECT("'" &amp; 'Hulp (overig)'!$C$16 &amp; "'!B1:B1000"))
            )
        ),0)
    ))
))))</f>
        <v>#VALUE!</v>
      </c>
      <c r="N260" s="425" t="e" cm="1">
        <f t="array" aca="1" ref="N260" ca="1">IF($BF260, IF(N257="","",
   INDEX(
      INDIRECT("'" &amp; 'Hulp (CAO''s)'!$AE$8 &amp; "'!" &amp;
               'Hulp (overig)'!$C$17 &amp; "1:" &amp;
               'Hulp (overig)'!$C$17 &amp; "1000"),
      MATCH(
         N257,
         INDIRECT("'" &amp; 'Hulp (CAO''s)'!$AE$8 &amp; "'!A1:A1000"),
         0
      )
   )
), IF($D258="Gebruik % van maximum salaris",
IF(
    OR(N257="",N258=""),
    "",
    MAX(
        INDIRECT(
            "'" &amp; 'Hulp (overig)'!$C$16 &amp; "'!" &amp;
            'Hulp (overig)'!$C$17 &amp;
            MATCH(N257, INDIRECT("'" &amp; 'Hulp (overig)'!$C$16 &amp; "'!A1:A1000"), 0) &amp;
            ":" &amp;
            'Hulp (overig)'!$C$17 &amp;
LOOKUP(
    2,
    1 / (
        (ROW(INDIRECT("'" &amp; 'Hulp (overig)'!$C$16 &amp; "'!B1:B1000")) &lt;
            IF(O257&lt;&gt;"",
               MATCH(O257, INDIRECT("'" &amp; 'Hulp (overig)'!$C$16 &amp; "'!A1:A1000"),0),
               1000
            )
        ) *
        (LEFT(TRIM(INDIRECT("'" &amp; 'Hulp (overig)'!$C$16 &amp; "'!B1:B1000")),1) &lt;&gt; "u")
    ),
    ROW(INDIRECT("'" &amp; 'Hulp (overig)'!$C$16 &amp; "'!B1:B1000"))
)
        )
    ) * N258
),
IF(N259="","",
IF(
    IFERROR(MIN(
        IF(
            (TRIM(INDIRECT("'" &amp; 'Hulp (overig)'!$C$16 &amp; "'!B1:B1000")) = TEXT(N259,"0")) *
            (ROW(INDIRECT("'" &amp; 'Hulp (overig)'!$C$16 &amp; "'!B1:B1000")) &gt;= MATCH(
                N257,
                INDIRECT("'" &amp; 'Hulp (overig)'!$C$16 &amp; "'!A1:A1000"),
                0
            )) *
            IF(
                O257="",
                1,
                (ROW(INDIRECT("'" &amp; 'Hulp (overig)'!$C$16 &amp; "'!B1:B1000")) &lt; MATCH(
                    O257,
                    INDIRECT("'" &amp; 'Hulp (overig)'!$C$16 &amp; "'!A1:A1000"),
                    0
                ))
            ),
            ROW(INDIRECT("'" &amp; 'Hulp (overig)'!$C$16 &amp; "'!B1:B1000"))
        )
    ),0) &lt; 1,
    "",
    IF(INDEX(
        INDIRECT("'" &amp; 'Hulp (overig)'!$C$16 &amp; "'!" &amp;
        'Hulp (overig)'!$C$17 &amp; "1:" &amp; 'Hulp (overig)'!$C$17 &amp; 1000
        ),
        IFERROR(MIN(
            IF(
                (TRIM(INDIRECT("'" &amp; 'Hulp (overig)'!$C$16 &amp; "'!B1:B1000")) = TEXT(N259,"0")) *
                (ROW(INDIRECT("'" &amp; 'Hulp (overig)'!$C$16 &amp; "'!B1:B1000")) &gt;= MATCH(
                    N257,
                    INDIRECT("'" &amp; 'Hulp (overig)'!$C$16 &amp; "'!A1:A1000"),
                    0
                )) *
                IF(
                    O257="",
                    1,
                    (ROW(INDIRECT("'" &amp; 'Hulp (overig)'!$C$16 &amp; "'!B1:B1000")) &lt; MATCH(
                        O257,
                        INDIRECT("'" &amp; 'Hulp (overig)'!$C$16 &amp; "'!A1:A1000"),
                        0
                    ))
                ),
                ROW(INDIRECT("'" &amp; 'Hulp (overig)'!$C$16 &amp; "'!B1:B1000"))
            )
        ),0)
    )=0,"",
INDEX(
        INDIRECT("'" &amp; 'Hulp (overig)'!$C$16 &amp; "'!" &amp;
        'Hulp (overig)'!$C$17 &amp; "1:" &amp; 'Hulp (overig)'!$C$17 &amp; 1000
        ),
        IFERROR(MIN(
            IF(
                (TRIM(INDIRECT("'" &amp; 'Hulp (overig)'!$C$16 &amp; "'!B1:B1000")) = TEXT(N259,"0")) *
                (ROW(INDIRECT("'" &amp; 'Hulp (overig)'!$C$16 &amp; "'!B1:B1000")) &gt;= MATCH(
                    N257,
                    INDIRECT("'" &amp; 'Hulp (overig)'!$C$16 &amp; "'!A1:A1000"),
                    0
                )) *
                IF(
                    O257="",
                    1,
                    (ROW(INDIRECT("'" &amp; 'Hulp (overig)'!$C$16 &amp; "'!B1:B1000")) &lt; MATCH(
                        O257,
                        INDIRECT("'" &amp; 'Hulp (overig)'!$C$16 &amp; "'!A1:A1000"),
                        0
                    ))
                ),
                ROW(INDIRECT("'" &amp; 'Hulp (overig)'!$C$16 &amp; "'!B1:B1000"))
            )
        ),0)
    ))
))))</f>
        <v>#VALUE!</v>
      </c>
      <c r="O260" s="425" t="e" cm="1">
        <f t="array" aca="1" ref="O260" ca="1">IF($BF260, IF(O257="","",
   INDEX(
      INDIRECT("'" &amp; 'Hulp (CAO''s)'!$AE$8 &amp; "'!" &amp;
               'Hulp (overig)'!$C$17 &amp; "1:" &amp;
               'Hulp (overig)'!$C$17 &amp; "1000"),
      MATCH(
         O257,
         INDIRECT("'" &amp; 'Hulp (CAO''s)'!$AE$8 &amp; "'!A1:A1000"),
         0
      )
   )
), IF($D258="Gebruik % van maximum salaris",
IF(
    OR(O257="",O258=""),
    "",
    MAX(
        INDIRECT(
            "'" &amp; 'Hulp (overig)'!$C$16 &amp; "'!" &amp;
            'Hulp (overig)'!$C$17 &amp;
            MATCH(O257, INDIRECT("'" &amp; 'Hulp (overig)'!$C$16 &amp; "'!A1:A1000"), 0) &amp;
            ":" &amp;
            'Hulp (overig)'!$C$17 &amp;
LOOKUP(
    2,
    1 / (
        (ROW(INDIRECT("'" &amp; 'Hulp (overig)'!$C$16 &amp; "'!B1:B1000")) &lt;
            IF(P257&lt;&gt;"",
               MATCH(P257, INDIRECT("'" &amp; 'Hulp (overig)'!$C$16 &amp; "'!A1:A1000"),0),
               1000
            )
        ) *
        (LEFT(TRIM(INDIRECT("'" &amp; 'Hulp (overig)'!$C$16 &amp; "'!B1:B1000")),1) &lt;&gt; "u")
    ),
    ROW(INDIRECT("'" &amp; 'Hulp (overig)'!$C$16 &amp; "'!B1:B1000"))
)
        )
    ) * O258
),
IF(O259="","",
IF(
    IFERROR(MIN(
        IF(
            (TRIM(INDIRECT("'" &amp; 'Hulp (overig)'!$C$16 &amp; "'!B1:B1000")) = TEXT(O259,"0")) *
            (ROW(INDIRECT("'" &amp; 'Hulp (overig)'!$C$16 &amp; "'!B1:B1000")) &gt;= MATCH(
                O257,
                INDIRECT("'" &amp; 'Hulp (overig)'!$C$16 &amp; "'!A1:A1000"),
                0
            )) *
            IF(
                P257="",
                1,
                (ROW(INDIRECT("'" &amp; 'Hulp (overig)'!$C$16 &amp; "'!B1:B1000")) &lt; MATCH(
                    P257,
                    INDIRECT("'" &amp; 'Hulp (overig)'!$C$16 &amp; "'!A1:A1000"),
                    0
                ))
            ),
            ROW(INDIRECT("'" &amp; 'Hulp (overig)'!$C$16 &amp; "'!B1:B1000"))
        )
    ),0) &lt; 1,
    "",
    IF(INDEX(
        INDIRECT("'" &amp; 'Hulp (overig)'!$C$16 &amp; "'!" &amp;
        'Hulp (overig)'!$C$17 &amp; "1:" &amp; 'Hulp (overig)'!$C$17 &amp; 1000
        ),
        IFERROR(MIN(
            IF(
                (TRIM(INDIRECT("'" &amp; 'Hulp (overig)'!$C$16 &amp; "'!B1:B1000")) = TEXT(O259,"0")) *
                (ROW(INDIRECT("'" &amp; 'Hulp (overig)'!$C$16 &amp; "'!B1:B1000")) &gt;= MATCH(
                    O257,
                    INDIRECT("'" &amp; 'Hulp (overig)'!$C$16 &amp; "'!A1:A1000"),
                    0
                )) *
                IF(
                    P257="",
                    1,
                    (ROW(INDIRECT("'" &amp; 'Hulp (overig)'!$C$16 &amp; "'!B1:B1000")) &lt; MATCH(
                        P257,
                        INDIRECT("'" &amp; 'Hulp (overig)'!$C$16 &amp; "'!A1:A1000"),
                        0
                    ))
                ),
                ROW(INDIRECT("'" &amp; 'Hulp (overig)'!$C$16 &amp; "'!B1:B1000"))
            )
        ),0)
    )=0,"",
INDEX(
        INDIRECT("'" &amp; 'Hulp (overig)'!$C$16 &amp; "'!" &amp;
        'Hulp (overig)'!$C$17 &amp; "1:" &amp; 'Hulp (overig)'!$C$17 &amp; 1000
        ),
        IFERROR(MIN(
            IF(
                (TRIM(INDIRECT("'" &amp; 'Hulp (overig)'!$C$16 &amp; "'!B1:B1000")) = TEXT(O259,"0")) *
                (ROW(INDIRECT("'" &amp; 'Hulp (overig)'!$C$16 &amp; "'!B1:B1000")) &gt;= MATCH(
                    O257,
                    INDIRECT("'" &amp; 'Hulp (overig)'!$C$16 &amp; "'!A1:A1000"),
                    0
                )) *
                IF(
                    P257="",
                    1,
                    (ROW(INDIRECT("'" &amp; 'Hulp (overig)'!$C$16 &amp; "'!B1:B1000")) &lt; MATCH(
                        P257,
                        INDIRECT("'" &amp; 'Hulp (overig)'!$C$16 &amp; "'!A1:A1000"),
                        0
                    ))
                ),
                ROW(INDIRECT("'" &amp; 'Hulp (overig)'!$C$16 &amp; "'!B1:B1000"))
            )
        ),0)
    ))
))))</f>
        <v>#VALUE!</v>
      </c>
      <c r="P260" s="425" t="e" cm="1">
        <f t="array" aca="1" ref="P260" ca="1">IF($BF260, IF(P257="","",
   INDEX(
      INDIRECT("'" &amp; 'Hulp (CAO''s)'!$AE$8 &amp; "'!" &amp;
               'Hulp (overig)'!$C$17 &amp; "1:" &amp;
               'Hulp (overig)'!$C$17 &amp; "1000"),
      MATCH(
         P257,
         INDIRECT("'" &amp; 'Hulp (CAO''s)'!$AE$8 &amp; "'!A1:A1000"),
         0
      )
   )
), IF($D258="Gebruik % van maximum salaris",
IF(
    OR(P257="",P258=""),
    "",
    MAX(
        INDIRECT(
            "'" &amp; 'Hulp (overig)'!$C$16 &amp; "'!" &amp;
            'Hulp (overig)'!$C$17 &amp;
            MATCH(P257, INDIRECT("'" &amp; 'Hulp (overig)'!$C$16 &amp; "'!A1:A1000"), 0) &amp;
            ":" &amp;
            'Hulp (overig)'!$C$17 &amp;
LOOKUP(
    2,
    1 / (
        (ROW(INDIRECT("'" &amp; 'Hulp (overig)'!$C$16 &amp; "'!B1:B1000")) &lt;
            IF(Q257&lt;&gt;"",
               MATCH(Q257, INDIRECT("'" &amp; 'Hulp (overig)'!$C$16 &amp; "'!A1:A1000"),0),
               1000
            )
        ) *
        (LEFT(TRIM(INDIRECT("'" &amp; 'Hulp (overig)'!$C$16 &amp; "'!B1:B1000")),1) &lt;&gt; "u")
    ),
    ROW(INDIRECT("'" &amp; 'Hulp (overig)'!$C$16 &amp; "'!B1:B1000"))
)
        )
    ) * P258
),
IF(P259="","",
IF(
    IFERROR(MIN(
        IF(
            (TRIM(INDIRECT("'" &amp; 'Hulp (overig)'!$C$16 &amp; "'!B1:B1000")) = TEXT(P259,"0")) *
            (ROW(INDIRECT("'" &amp; 'Hulp (overig)'!$C$16 &amp; "'!B1:B1000")) &gt;= MATCH(
                P257,
                INDIRECT("'" &amp; 'Hulp (overig)'!$C$16 &amp; "'!A1:A1000"),
                0
            )) *
            IF(
                Q257="",
                1,
                (ROW(INDIRECT("'" &amp; 'Hulp (overig)'!$C$16 &amp; "'!B1:B1000")) &lt; MATCH(
                    Q257,
                    INDIRECT("'" &amp; 'Hulp (overig)'!$C$16 &amp; "'!A1:A1000"),
                    0
                ))
            ),
            ROW(INDIRECT("'" &amp; 'Hulp (overig)'!$C$16 &amp; "'!B1:B1000"))
        )
    ),0) &lt; 1,
    "",
    IF(INDEX(
        INDIRECT("'" &amp; 'Hulp (overig)'!$C$16 &amp; "'!" &amp;
        'Hulp (overig)'!$C$17 &amp; "1:" &amp; 'Hulp (overig)'!$C$17 &amp; 1000
        ),
        IFERROR(MIN(
            IF(
                (TRIM(INDIRECT("'" &amp; 'Hulp (overig)'!$C$16 &amp; "'!B1:B1000")) = TEXT(P259,"0")) *
                (ROW(INDIRECT("'" &amp; 'Hulp (overig)'!$C$16 &amp; "'!B1:B1000")) &gt;= MATCH(
                    P257,
                    INDIRECT("'" &amp; 'Hulp (overig)'!$C$16 &amp; "'!A1:A1000"),
                    0
                )) *
                IF(
                    Q257="",
                    1,
                    (ROW(INDIRECT("'" &amp; 'Hulp (overig)'!$C$16 &amp; "'!B1:B1000")) &lt; MATCH(
                        Q257,
                        INDIRECT("'" &amp; 'Hulp (overig)'!$C$16 &amp; "'!A1:A1000"),
                        0
                    ))
                ),
                ROW(INDIRECT("'" &amp; 'Hulp (overig)'!$C$16 &amp; "'!B1:B1000"))
            )
        ),0)
    )=0,"",
INDEX(
        INDIRECT("'" &amp; 'Hulp (overig)'!$C$16 &amp; "'!" &amp;
        'Hulp (overig)'!$C$17 &amp; "1:" &amp; 'Hulp (overig)'!$C$17 &amp; 1000
        ),
        IFERROR(MIN(
            IF(
                (TRIM(INDIRECT("'" &amp; 'Hulp (overig)'!$C$16 &amp; "'!B1:B1000")) = TEXT(P259,"0")) *
                (ROW(INDIRECT("'" &amp; 'Hulp (overig)'!$C$16 &amp; "'!B1:B1000")) &gt;= MATCH(
                    P257,
                    INDIRECT("'" &amp; 'Hulp (overig)'!$C$16 &amp; "'!A1:A1000"),
                    0
                )) *
                IF(
                    Q257="",
                    1,
                    (ROW(INDIRECT("'" &amp; 'Hulp (overig)'!$C$16 &amp; "'!B1:B1000")) &lt; MATCH(
                        Q257,
                        INDIRECT("'" &amp; 'Hulp (overig)'!$C$16 &amp; "'!A1:A1000"),
                        0
                    ))
                ),
                ROW(INDIRECT("'" &amp; 'Hulp (overig)'!$C$16 &amp; "'!B1:B1000"))
            )
        ),0)
    ))
))))</f>
        <v>#VALUE!</v>
      </c>
      <c r="Q260" s="425" t="e" cm="1">
        <f t="array" aca="1" ref="Q260" ca="1">IF($BF260, IF(Q257="","",
   INDEX(
      INDIRECT("'" &amp; 'Hulp (CAO''s)'!$AE$8 &amp; "'!" &amp;
               'Hulp (overig)'!$C$17 &amp; "1:" &amp;
               'Hulp (overig)'!$C$17 &amp; "1000"),
      MATCH(
         Q257,
         INDIRECT("'" &amp; 'Hulp (CAO''s)'!$AE$8 &amp; "'!A1:A1000"),
         0
      )
   )
), IF($D258="Gebruik % van maximum salaris",
IF(
    OR(Q257="",Q258=""),
    "",
    MAX(
        INDIRECT(
            "'" &amp; 'Hulp (overig)'!$C$16 &amp; "'!" &amp;
            'Hulp (overig)'!$C$17 &amp;
            MATCH(Q257, INDIRECT("'" &amp; 'Hulp (overig)'!$C$16 &amp; "'!A1:A1000"), 0) &amp;
            ":" &amp;
            'Hulp (overig)'!$C$17 &amp;
LOOKUP(
    2,
    1 / (
        (ROW(INDIRECT("'" &amp; 'Hulp (overig)'!$C$16 &amp; "'!B1:B1000")) &lt;
            IF(R257&lt;&gt;"",
               MATCH(R257, INDIRECT("'" &amp; 'Hulp (overig)'!$C$16 &amp; "'!A1:A1000"),0),
               1000
            )
        ) *
        (LEFT(TRIM(INDIRECT("'" &amp; 'Hulp (overig)'!$C$16 &amp; "'!B1:B1000")),1) &lt;&gt; "u")
    ),
    ROW(INDIRECT("'" &amp; 'Hulp (overig)'!$C$16 &amp; "'!B1:B1000"))
)
        )
    ) * Q258
),
IF(Q259="","",
IF(
    IFERROR(MIN(
        IF(
            (TRIM(INDIRECT("'" &amp; 'Hulp (overig)'!$C$16 &amp; "'!B1:B1000")) = TEXT(Q259,"0")) *
            (ROW(INDIRECT("'" &amp; 'Hulp (overig)'!$C$16 &amp; "'!B1:B1000")) &gt;= MATCH(
                Q257,
                INDIRECT("'" &amp; 'Hulp (overig)'!$C$16 &amp; "'!A1:A1000"),
                0
            )) *
            IF(
                R257="",
                1,
                (ROW(INDIRECT("'" &amp; 'Hulp (overig)'!$C$16 &amp; "'!B1:B1000")) &lt; MATCH(
                    R257,
                    INDIRECT("'" &amp; 'Hulp (overig)'!$C$16 &amp; "'!A1:A1000"),
                    0
                ))
            ),
            ROW(INDIRECT("'" &amp; 'Hulp (overig)'!$C$16 &amp; "'!B1:B1000"))
        )
    ),0) &lt; 1,
    "",
    IF(INDEX(
        INDIRECT("'" &amp; 'Hulp (overig)'!$C$16 &amp; "'!" &amp;
        'Hulp (overig)'!$C$17 &amp; "1:" &amp; 'Hulp (overig)'!$C$17 &amp; 1000
        ),
        IFERROR(MIN(
            IF(
                (TRIM(INDIRECT("'" &amp; 'Hulp (overig)'!$C$16 &amp; "'!B1:B1000")) = TEXT(Q259,"0")) *
                (ROW(INDIRECT("'" &amp; 'Hulp (overig)'!$C$16 &amp; "'!B1:B1000")) &gt;= MATCH(
                    Q257,
                    INDIRECT("'" &amp; 'Hulp (overig)'!$C$16 &amp; "'!A1:A1000"),
                    0
                )) *
                IF(
                    R257="",
                    1,
                    (ROW(INDIRECT("'" &amp; 'Hulp (overig)'!$C$16 &amp; "'!B1:B1000")) &lt; MATCH(
                        R257,
                        INDIRECT("'" &amp; 'Hulp (overig)'!$C$16 &amp; "'!A1:A1000"),
                        0
                    ))
                ),
                ROW(INDIRECT("'" &amp; 'Hulp (overig)'!$C$16 &amp; "'!B1:B1000"))
            )
        ),0)
    )=0,"",
INDEX(
        INDIRECT("'" &amp; 'Hulp (overig)'!$C$16 &amp; "'!" &amp;
        'Hulp (overig)'!$C$17 &amp; "1:" &amp; 'Hulp (overig)'!$C$17 &amp; 1000
        ),
        IFERROR(MIN(
            IF(
                (TRIM(INDIRECT("'" &amp; 'Hulp (overig)'!$C$16 &amp; "'!B1:B1000")) = TEXT(Q259,"0")) *
                (ROW(INDIRECT("'" &amp; 'Hulp (overig)'!$C$16 &amp; "'!B1:B1000")) &gt;= MATCH(
                    Q257,
                    INDIRECT("'" &amp; 'Hulp (overig)'!$C$16 &amp; "'!A1:A1000"),
                    0
                )) *
                IF(
                    R257="",
                    1,
                    (ROW(INDIRECT("'" &amp; 'Hulp (overig)'!$C$16 &amp; "'!B1:B1000")) &lt; MATCH(
                        R257,
                        INDIRECT("'" &amp; 'Hulp (overig)'!$C$16 &amp; "'!A1:A1000"),
                        0
                    ))
                ),
                ROW(INDIRECT("'" &amp; 'Hulp (overig)'!$C$16 &amp; "'!B1:B1000"))
            )
        ),0)
    ))
))))</f>
        <v>#VALUE!</v>
      </c>
      <c r="R260" s="425" t="e" cm="1">
        <f t="array" aca="1" ref="R260" ca="1">IF($BF260, IF(R257="","",
   INDEX(
      INDIRECT("'" &amp; 'Hulp (CAO''s)'!$AE$8 &amp; "'!" &amp;
               'Hulp (overig)'!$C$17 &amp; "1:" &amp;
               'Hulp (overig)'!$C$17 &amp; "1000"),
      MATCH(
         R257,
         INDIRECT("'" &amp; 'Hulp (CAO''s)'!$AE$8 &amp; "'!A1:A1000"),
         0
      )
   )
), IF($D258="Gebruik % van maximum salaris",
IF(
    OR(R257="",R258=""),
    "",
    MAX(
        INDIRECT(
            "'" &amp; 'Hulp (overig)'!$C$16 &amp; "'!" &amp;
            'Hulp (overig)'!$C$17 &amp;
            MATCH(R257, INDIRECT("'" &amp; 'Hulp (overig)'!$C$16 &amp; "'!A1:A1000"), 0) &amp;
            ":" &amp;
            'Hulp (overig)'!$C$17 &amp;
LOOKUP(
    2,
    1 / (
        (ROW(INDIRECT("'" &amp; 'Hulp (overig)'!$C$16 &amp; "'!B1:B1000")) &lt;
            IF(S257&lt;&gt;"",
               MATCH(S257, INDIRECT("'" &amp; 'Hulp (overig)'!$C$16 &amp; "'!A1:A1000"),0),
               1000
            )
        ) *
        (LEFT(TRIM(INDIRECT("'" &amp; 'Hulp (overig)'!$C$16 &amp; "'!B1:B1000")),1) &lt;&gt; "u")
    ),
    ROW(INDIRECT("'" &amp; 'Hulp (overig)'!$C$16 &amp; "'!B1:B1000"))
)
        )
    ) * R258
),
IF(R259="","",
IF(
    IFERROR(MIN(
        IF(
            (TRIM(INDIRECT("'" &amp; 'Hulp (overig)'!$C$16 &amp; "'!B1:B1000")) = TEXT(R259,"0")) *
            (ROW(INDIRECT("'" &amp; 'Hulp (overig)'!$C$16 &amp; "'!B1:B1000")) &gt;= MATCH(
                R257,
                INDIRECT("'" &amp; 'Hulp (overig)'!$C$16 &amp; "'!A1:A1000"),
                0
            )) *
            IF(
                S257="",
                1,
                (ROW(INDIRECT("'" &amp; 'Hulp (overig)'!$C$16 &amp; "'!B1:B1000")) &lt; MATCH(
                    S257,
                    INDIRECT("'" &amp; 'Hulp (overig)'!$C$16 &amp; "'!A1:A1000"),
                    0
                ))
            ),
            ROW(INDIRECT("'" &amp; 'Hulp (overig)'!$C$16 &amp; "'!B1:B1000"))
        )
    ),0) &lt; 1,
    "",
    IF(INDEX(
        INDIRECT("'" &amp; 'Hulp (overig)'!$C$16 &amp; "'!" &amp;
        'Hulp (overig)'!$C$17 &amp; "1:" &amp; 'Hulp (overig)'!$C$17 &amp; 1000
        ),
        IFERROR(MIN(
            IF(
                (TRIM(INDIRECT("'" &amp; 'Hulp (overig)'!$C$16 &amp; "'!B1:B1000")) = TEXT(R259,"0")) *
                (ROW(INDIRECT("'" &amp; 'Hulp (overig)'!$C$16 &amp; "'!B1:B1000")) &gt;= MATCH(
                    R257,
                    INDIRECT("'" &amp; 'Hulp (overig)'!$C$16 &amp; "'!A1:A1000"),
                    0
                )) *
                IF(
                    S257="",
                    1,
                    (ROW(INDIRECT("'" &amp; 'Hulp (overig)'!$C$16 &amp; "'!B1:B1000")) &lt; MATCH(
                        S257,
                        INDIRECT("'" &amp; 'Hulp (overig)'!$C$16 &amp; "'!A1:A1000"),
                        0
                    ))
                ),
                ROW(INDIRECT("'" &amp; 'Hulp (overig)'!$C$16 &amp; "'!B1:B1000"))
            )
        ),0)
    )=0,"",
INDEX(
        INDIRECT("'" &amp; 'Hulp (overig)'!$C$16 &amp; "'!" &amp;
        'Hulp (overig)'!$C$17 &amp; "1:" &amp; 'Hulp (overig)'!$C$17 &amp; 1000
        ),
        IFERROR(MIN(
            IF(
                (TRIM(INDIRECT("'" &amp; 'Hulp (overig)'!$C$16 &amp; "'!B1:B1000")) = TEXT(R259,"0")) *
                (ROW(INDIRECT("'" &amp; 'Hulp (overig)'!$C$16 &amp; "'!B1:B1000")) &gt;= MATCH(
                    R257,
                    INDIRECT("'" &amp; 'Hulp (overig)'!$C$16 &amp; "'!A1:A1000"),
                    0
                )) *
                IF(
                    S257="",
                    1,
                    (ROW(INDIRECT("'" &amp; 'Hulp (overig)'!$C$16 &amp; "'!B1:B1000")) &lt; MATCH(
                        S257,
                        INDIRECT("'" &amp; 'Hulp (overig)'!$C$16 &amp; "'!A1:A1000"),
                        0
                    ))
                ),
                ROW(INDIRECT("'" &amp; 'Hulp (overig)'!$C$16 &amp; "'!B1:B1000"))
            )
        ),0)
    ))
))))</f>
        <v>#VALUE!</v>
      </c>
      <c r="S260" s="425" t="e" cm="1">
        <f t="array" aca="1" ref="S260" ca="1">IF($BF260, IF(S257="","",
   INDEX(
      INDIRECT("'" &amp; 'Hulp (CAO''s)'!$AE$8 &amp; "'!" &amp;
               'Hulp (overig)'!$C$17 &amp; "1:" &amp;
               'Hulp (overig)'!$C$17 &amp; "1000"),
      MATCH(
         S257,
         INDIRECT("'" &amp; 'Hulp (CAO''s)'!$AE$8 &amp; "'!A1:A1000"),
         0
      )
   )
), IF($D258="Gebruik % van maximum salaris",
IF(
    OR(S257="",S258=""),
    "",
    MAX(
        INDIRECT(
            "'" &amp; 'Hulp (overig)'!$C$16 &amp; "'!" &amp;
            'Hulp (overig)'!$C$17 &amp;
            MATCH(S257, INDIRECT("'" &amp; 'Hulp (overig)'!$C$16 &amp; "'!A1:A1000"), 0) &amp;
            ":" &amp;
            'Hulp (overig)'!$C$17 &amp;
LOOKUP(
    2,
    1 / (
        (ROW(INDIRECT("'" &amp; 'Hulp (overig)'!$C$16 &amp; "'!B1:B1000")) &lt;
            IF(T257&lt;&gt;"",
               MATCH(T257, INDIRECT("'" &amp; 'Hulp (overig)'!$C$16 &amp; "'!A1:A1000"),0),
               1000
            )
        ) *
        (LEFT(TRIM(INDIRECT("'" &amp; 'Hulp (overig)'!$C$16 &amp; "'!B1:B1000")),1) &lt;&gt; "u")
    ),
    ROW(INDIRECT("'" &amp; 'Hulp (overig)'!$C$16 &amp; "'!B1:B1000"))
)
        )
    ) * S258
),
IF(S259="","",
IF(
    IFERROR(MIN(
        IF(
            (TRIM(INDIRECT("'" &amp; 'Hulp (overig)'!$C$16 &amp; "'!B1:B1000")) = TEXT(S259,"0")) *
            (ROW(INDIRECT("'" &amp; 'Hulp (overig)'!$C$16 &amp; "'!B1:B1000")) &gt;= MATCH(
                S257,
                INDIRECT("'" &amp; 'Hulp (overig)'!$C$16 &amp; "'!A1:A1000"),
                0
            )) *
            IF(
                T257="",
                1,
                (ROW(INDIRECT("'" &amp; 'Hulp (overig)'!$C$16 &amp; "'!B1:B1000")) &lt; MATCH(
                    T257,
                    INDIRECT("'" &amp; 'Hulp (overig)'!$C$16 &amp; "'!A1:A1000"),
                    0
                ))
            ),
            ROW(INDIRECT("'" &amp; 'Hulp (overig)'!$C$16 &amp; "'!B1:B1000"))
        )
    ),0) &lt; 1,
    "",
    IF(INDEX(
        INDIRECT("'" &amp; 'Hulp (overig)'!$C$16 &amp; "'!" &amp;
        'Hulp (overig)'!$C$17 &amp; "1:" &amp; 'Hulp (overig)'!$C$17 &amp; 1000
        ),
        IFERROR(MIN(
            IF(
                (TRIM(INDIRECT("'" &amp; 'Hulp (overig)'!$C$16 &amp; "'!B1:B1000")) = TEXT(S259,"0")) *
                (ROW(INDIRECT("'" &amp; 'Hulp (overig)'!$C$16 &amp; "'!B1:B1000")) &gt;= MATCH(
                    S257,
                    INDIRECT("'" &amp; 'Hulp (overig)'!$C$16 &amp; "'!A1:A1000"),
                    0
                )) *
                IF(
                    T257="",
                    1,
                    (ROW(INDIRECT("'" &amp; 'Hulp (overig)'!$C$16 &amp; "'!B1:B1000")) &lt; MATCH(
                        T257,
                        INDIRECT("'" &amp; 'Hulp (overig)'!$C$16 &amp; "'!A1:A1000"),
                        0
                    ))
                ),
                ROW(INDIRECT("'" &amp; 'Hulp (overig)'!$C$16 &amp; "'!B1:B1000"))
            )
        ),0)
    )=0,"",
INDEX(
        INDIRECT("'" &amp; 'Hulp (overig)'!$C$16 &amp; "'!" &amp;
        'Hulp (overig)'!$C$17 &amp; "1:" &amp; 'Hulp (overig)'!$C$17 &amp; 1000
        ),
        IFERROR(MIN(
            IF(
                (TRIM(INDIRECT("'" &amp; 'Hulp (overig)'!$C$16 &amp; "'!B1:B1000")) = TEXT(S259,"0")) *
                (ROW(INDIRECT("'" &amp; 'Hulp (overig)'!$C$16 &amp; "'!B1:B1000")) &gt;= MATCH(
                    S257,
                    INDIRECT("'" &amp; 'Hulp (overig)'!$C$16 &amp; "'!A1:A1000"),
                    0
                )) *
                IF(
                    T257="",
                    1,
                    (ROW(INDIRECT("'" &amp; 'Hulp (overig)'!$C$16 &amp; "'!B1:B1000")) &lt; MATCH(
                        T257,
                        INDIRECT("'" &amp; 'Hulp (overig)'!$C$16 &amp; "'!A1:A1000"),
                        0
                    ))
                ),
                ROW(INDIRECT("'" &amp; 'Hulp (overig)'!$C$16 &amp; "'!B1:B1000"))
            )
        ),0)
    ))
))))</f>
        <v>#VALUE!</v>
      </c>
      <c r="T260" s="425" t="e" cm="1">
        <f t="array" aca="1" ref="T260" ca="1">IF($BF260, IF(T257="","",
   INDEX(
      INDIRECT("'" &amp; 'Hulp (CAO''s)'!$AE$8 &amp; "'!" &amp;
               'Hulp (overig)'!$C$17 &amp; "1:" &amp;
               'Hulp (overig)'!$C$17 &amp; "1000"),
      MATCH(
         T257,
         INDIRECT("'" &amp; 'Hulp (CAO''s)'!$AE$8 &amp; "'!A1:A1000"),
         0
      )
   )
), IF($D258="Gebruik % van maximum salaris",
IF(
    OR(T257="",T258=""),
    "",
    MAX(
        INDIRECT(
            "'" &amp; 'Hulp (overig)'!$C$16 &amp; "'!" &amp;
            'Hulp (overig)'!$C$17 &amp;
            MATCH(T257, INDIRECT("'" &amp; 'Hulp (overig)'!$C$16 &amp; "'!A1:A1000"), 0) &amp;
            ":" &amp;
            'Hulp (overig)'!$C$17 &amp;
LOOKUP(
    2,
    1 / (
        (ROW(INDIRECT("'" &amp; 'Hulp (overig)'!$C$16 &amp; "'!B1:B1000")) &lt;
            IF(U257&lt;&gt;"",
               MATCH(U257, INDIRECT("'" &amp; 'Hulp (overig)'!$C$16 &amp; "'!A1:A1000"),0),
               1000
            )
        ) *
        (LEFT(TRIM(INDIRECT("'" &amp; 'Hulp (overig)'!$C$16 &amp; "'!B1:B1000")),1) &lt;&gt; "u")
    ),
    ROW(INDIRECT("'" &amp; 'Hulp (overig)'!$C$16 &amp; "'!B1:B1000"))
)
        )
    ) * T258
),
IF(T259="","",
IF(
    IFERROR(MIN(
        IF(
            (TRIM(INDIRECT("'" &amp; 'Hulp (overig)'!$C$16 &amp; "'!B1:B1000")) = TEXT(T259,"0")) *
            (ROW(INDIRECT("'" &amp; 'Hulp (overig)'!$C$16 &amp; "'!B1:B1000")) &gt;= MATCH(
                T257,
                INDIRECT("'" &amp; 'Hulp (overig)'!$C$16 &amp; "'!A1:A1000"),
                0
            )) *
            IF(
                U257="",
                1,
                (ROW(INDIRECT("'" &amp; 'Hulp (overig)'!$C$16 &amp; "'!B1:B1000")) &lt; MATCH(
                    U257,
                    INDIRECT("'" &amp; 'Hulp (overig)'!$C$16 &amp; "'!A1:A1000"),
                    0
                ))
            ),
            ROW(INDIRECT("'" &amp; 'Hulp (overig)'!$C$16 &amp; "'!B1:B1000"))
        )
    ),0) &lt; 1,
    "",
    IF(INDEX(
        INDIRECT("'" &amp; 'Hulp (overig)'!$C$16 &amp; "'!" &amp;
        'Hulp (overig)'!$C$17 &amp; "1:" &amp; 'Hulp (overig)'!$C$17 &amp; 1000
        ),
        IFERROR(MIN(
            IF(
                (TRIM(INDIRECT("'" &amp; 'Hulp (overig)'!$C$16 &amp; "'!B1:B1000")) = TEXT(T259,"0")) *
                (ROW(INDIRECT("'" &amp; 'Hulp (overig)'!$C$16 &amp; "'!B1:B1000")) &gt;= MATCH(
                    T257,
                    INDIRECT("'" &amp; 'Hulp (overig)'!$C$16 &amp; "'!A1:A1000"),
                    0
                )) *
                IF(
                    U257="",
                    1,
                    (ROW(INDIRECT("'" &amp; 'Hulp (overig)'!$C$16 &amp; "'!B1:B1000")) &lt; MATCH(
                        U257,
                        INDIRECT("'" &amp; 'Hulp (overig)'!$C$16 &amp; "'!A1:A1000"),
                        0
                    ))
                ),
                ROW(INDIRECT("'" &amp; 'Hulp (overig)'!$C$16 &amp; "'!B1:B1000"))
            )
        ),0)
    )=0,"",
INDEX(
        INDIRECT("'" &amp; 'Hulp (overig)'!$C$16 &amp; "'!" &amp;
        'Hulp (overig)'!$C$17 &amp; "1:" &amp; 'Hulp (overig)'!$C$17 &amp; 1000
        ),
        IFERROR(MIN(
            IF(
                (TRIM(INDIRECT("'" &amp; 'Hulp (overig)'!$C$16 &amp; "'!B1:B1000")) = TEXT(T259,"0")) *
                (ROW(INDIRECT("'" &amp; 'Hulp (overig)'!$C$16 &amp; "'!B1:B1000")) &gt;= MATCH(
                    T257,
                    INDIRECT("'" &amp; 'Hulp (overig)'!$C$16 &amp; "'!A1:A1000"),
                    0
                )) *
                IF(
                    U257="",
                    1,
                    (ROW(INDIRECT("'" &amp; 'Hulp (overig)'!$C$16 &amp; "'!B1:B1000")) &lt; MATCH(
                        U257,
                        INDIRECT("'" &amp; 'Hulp (overig)'!$C$16 &amp; "'!A1:A1000"),
                        0
                    ))
                ),
                ROW(INDIRECT("'" &amp; 'Hulp (overig)'!$C$16 &amp; "'!B1:B1000"))
            )
        ),0)
    ))
))))</f>
        <v>#VALUE!</v>
      </c>
      <c r="U260" s="723" t="e" cm="1">
        <f t="array" aca="1" ref="U260" ca="1">IF($BF260, IF(U257="","",
   INDEX(
      INDIRECT("'" &amp; 'Hulp (CAO''s)'!$AE$8 &amp; "'!" &amp;
               'Hulp (overig)'!$C$17 &amp; "1:" &amp;
               'Hulp (overig)'!$C$17 &amp; "1000"),
      MATCH(
         U257,
         INDIRECT("'" &amp; 'Hulp (CAO''s)'!$AE$8 &amp; "'!A1:A1000"),
         0
      )
   )
), IF($D258="Gebruik % van maximum salaris",
IF(
    OR(U257="",U258=""),
    "",
    MAX(
        INDIRECT(
            "'" &amp; 'Hulp (overig)'!$C$16 &amp; "'!" &amp;
            'Hulp (overig)'!$C$17 &amp;
            MATCH(U257, INDIRECT("'" &amp; 'Hulp (overig)'!$C$16 &amp; "'!A1:A1000"), 0) &amp;
            ":" &amp;
            'Hulp (overig)'!$C$17 &amp;
LOOKUP(
    2,
    1 / (
        (ROW(INDIRECT("'" &amp; 'Hulp (overig)'!$C$16 &amp; "'!B1:B1000")) &lt;
            IF(V257&lt;&gt;"",
               MATCH(V257, INDIRECT("'" &amp; 'Hulp (overig)'!$C$16 &amp; "'!A1:A1000"),0),
               1000
            )
        ) *
        (LEFT(TRIM(INDIRECT("'" &amp; 'Hulp (overig)'!$C$16 &amp; "'!B1:B1000")),1) &lt;&gt; "u")
    ),
    ROW(INDIRECT("'" &amp; 'Hulp (overig)'!$C$16 &amp; "'!B1:B1000"))
)
        )
    ) * U258
),
IF(U259="","",
IF(
    IFERROR(MIN(
        IF(
            (TRIM(INDIRECT("'" &amp; 'Hulp (overig)'!$C$16 &amp; "'!B1:B1000")) = TEXT(U259,"0")) *
            (ROW(INDIRECT("'" &amp; 'Hulp (overig)'!$C$16 &amp; "'!B1:B1000")) &gt;= MATCH(
                U257,
                INDIRECT("'" &amp; 'Hulp (overig)'!$C$16 &amp; "'!A1:A1000"),
                0
            )) *
            IF(
                V257="",
                1,
                (ROW(INDIRECT("'" &amp; 'Hulp (overig)'!$C$16 &amp; "'!B1:B1000")) &lt; MATCH(
                    V257,
                    INDIRECT("'" &amp; 'Hulp (overig)'!$C$16 &amp; "'!A1:A1000"),
                    0
                ))
            ),
            ROW(INDIRECT("'" &amp; 'Hulp (overig)'!$C$16 &amp; "'!B1:B1000"))
        )
    ),0) &lt; 1,
    "",
    IF(INDEX(
        INDIRECT("'" &amp; 'Hulp (overig)'!$C$16 &amp; "'!" &amp;
        'Hulp (overig)'!$C$17 &amp; "1:" &amp; 'Hulp (overig)'!$C$17 &amp; 1000
        ),
        IFERROR(MIN(
            IF(
                (TRIM(INDIRECT("'" &amp; 'Hulp (overig)'!$C$16 &amp; "'!B1:B1000")) = TEXT(U259,"0")) *
                (ROW(INDIRECT("'" &amp; 'Hulp (overig)'!$C$16 &amp; "'!B1:B1000")) &gt;= MATCH(
                    U257,
                    INDIRECT("'" &amp; 'Hulp (overig)'!$C$16 &amp; "'!A1:A1000"),
                    0
                )) *
                IF(
                    V257="",
                    1,
                    (ROW(INDIRECT("'" &amp; 'Hulp (overig)'!$C$16 &amp; "'!B1:B1000")) &lt; MATCH(
                        V257,
                        INDIRECT("'" &amp; 'Hulp (overig)'!$C$16 &amp; "'!A1:A1000"),
                        0
                    ))
                ),
                ROW(INDIRECT("'" &amp; 'Hulp (overig)'!$C$16 &amp; "'!B1:B1000"))
            )
        ),0)
    )=0,"",
INDEX(
        INDIRECT("'" &amp; 'Hulp (overig)'!$C$16 &amp; "'!" &amp;
        'Hulp (overig)'!$C$17 &amp; "1:" &amp; 'Hulp (overig)'!$C$17 &amp; 1000
        ),
        IFERROR(MIN(
            IF(
                (TRIM(INDIRECT("'" &amp; 'Hulp (overig)'!$C$16 &amp; "'!B1:B1000")) = TEXT(U259,"0")) *
                (ROW(INDIRECT("'" &amp; 'Hulp (overig)'!$C$16 &amp; "'!B1:B1000")) &gt;= MATCH(
                    U257,
                    INDIRECT("'" &amp; 'Hulp (overig)'!$C$16 &amp; "'!A1:A1000"),
                    0
                )) *
                IF(
                    V257="",
                    1,
                    (ROW(INDIRECT("'" &amp; 'Hulp (overig)'!$C$16 &amp; "'!B1:B1000")) &lt; MATCH(
                        V257,
                        INDIRECT("'" &amp; 'Hulp (overig)'!$C$16 &amp; "'!A1:A1000"),
                        0
                    ))
                ),
                ROW(INDIRECT("'" &amp; 'Hulp (overig)'!$C$16 &amp; "'!B1:B1000"))
            )
        ),0)
    ))
))))</f>
        <v>#VALUE!</v>
      </c>
      <c r="V260" s="413" t="str" cm="1">
        <f t="array" ref="V260">IF(SUM(F261:U261)=0,"",
IF(SUM(F260:U260)=0,"",
IF(SUMPRODUCT((F261:U261&lt;&gt;0)*(F260:U260=""))&gt;0,"",
(
   SUMPRODUCT(
      IF(F260:U260="",0,F260:U260),
      IF(F261:U261="",0,F261:U261) / SUM(F261:U261)
   )
))))</f>
        <v/>
      </c>
      <c r="W260" s="418"/>
      <c r="X260" s="620"/>
      <c r="Y260" s="419" t="str">
        <f ca="1">IF(B257="","",
        IF(INDIRECT("'Hulp (control forms)'!C" &amp; (13 + INT((ROW()-ROW($B$5))/7))),
            IF(X260="","",X260),
            IF(V260="","",V260)
    )
)</f>
        <v/>
      </c>
      <c r="Z260" s="333"/>
      <c r="AA260" s="771"/>
      <c r="AB260" s="770"/>
      <c r="AC260" s="289"/>
      <c r="AD260" s="289"/>
      <c r="AE260" s="289"/>
      <c r="AF260" s="289"/>
      <c r="AG260" s="289"/>
      <c r="AH260" s="289"/>
      <c r="AI260" s="289"/>
      <c r="AJ260" s="289"/>
      <c r="AK260" s="289"/>
      <c r="AL260" s="289"/>
      <c r="AM260" s="289"/>
      <c r="AN260" s="289"/>
      <c r="AO260" s="289"/>
      <c r="AP260" s="289"/>
      <c r="AQ260" s="289"/>
      <c r="AR260" s="289"/>
      <c r="AS260" s="289"/>
      <c r="AT260" s="289"/>
      <c r="AU260" s="289"/>
      <c r="AV260" s="289"/>
      <c r="AW260" s="289"/>
      <c r="AX260" s="289"/>
      <c r="AY260" s="289"/>
      <c r="AZ260" s="289"/>
      <c r="BA260" cm="1">
        <f t="array" aca="1" ref="BA260" ca="1">IF(
   SUM(Y260)=0,
   1,
   IF(
      N(INDIRECT("'Hulp (control forms)'!C"&amp;(13+INT((ROW()-ROW($B$5))/7))))&lt;&gt;0,
      MIN(1,
      ('Hulp (overig)'!$C$6/12) /
      (Y260 * BC260 + BD260)),
      MIN(1,
         IF(
            SUM(F260:U260)=0,
            "",
            SUMPRODUCT(
               IF(
                  (IF(F260:U260="",0,F260:U260) * BC260) + BD260
                  &gt; 'Hulp (overig)'!$C$6/12,
                  'Hulp (overig)'!$C$6/12,
                  (IF(F260:U260="",0,F260:U260) * BC260) + BD260
               ),
               IF(F261:U261="",0,F261:U261) / SUM(F261:U261)
            )
         ) /
         ((Y260 * BC260) + BD260)
      )
   )
)</f>
        <v>1</v>
      </c>
      <c r="BB260" cm="1">
        <f t="array" aca="1" ref="BB260" ca="1">IF(
   SUM(Y260)=0,
   1,
   IF(
      N(INDIRECT("'Hulp (control forms)'!C"&amp;(13+INT((ROW()-ROW($B$5))/7))))&lt;&gt;0,
      MIN('Hulp (overig)'!$C$5/12,
      (Y260 * BC260) + BD260) * 12,
         IF(
            SUM(F260:U260)=0,
            "",
            SUMPRODUCT(
               IF(
                  (IF(F260:U260="",0,F260:U260) * BC260) + BD260
                  &gt; 'Hulp (overig)'!$C$5/12,
                  'Hulp (overig)'!$C$5/12,
                  (IF(F260:U260="",0,F260:U260) * BC260) + BD260
               ),
               IF(F261:U261="",0,F261:U261) / SUM(F261:U261)
            )
         ) * 12
   )
)</f>
        <v>1</v>
      </c>
      <c r="BC260" s="287" cm="1">
        <f t="array" aca="1" ref="BC260" ca="1">IFERROR(
   (INDEX('2. Output kostprijs'!$24:$24, 5 + 2*INT((ROW()-8)/7))
    - SUM(INDEX('2. Output kostprijs'!$23:$23, 5 + 2*INT((ROW()-8)/7))))
   / INDEX('2. Output kostprijs'!$19:$19, 5 + 2*INT((ROW()-8)/7)),
   1
)</f>
        <v>1</v>
      </c>
      <c r="BD260" s="287" cm="1">
        <f t="array" aca="1" ref="BD260" ca="1">IFERROR(
   (INDEX('2. Output kostprijs'!$23:$23, 5 + 2*INT((ROW()-8)/7))
    * INDEX('2. Output kostprijs'!$18:$18, 5 + 2*INT((ROW()-8)/7))
   ) / 12,
   0
)</f>
        <v>0</v>
      </c>
      <c r="BE260" t="b">
        <f ca="1">NOT(AND(B257&lt;&gt;"",Y260=""))</f>
        <v>1</v>
      </c>
      <c r="BF260" t="str" cm="1">
        <f t="array" aca="1" ref="BF260" ca="1">INDIRECT("'1a. Input organisatieniveau'!$AD" &amp; 7 + INT((ROW()-ROW($F$8))/7))</f>
        <v/>
      </c>
      <c r="BG260" t="b" cm="1">
        <f t="array" ref="BG260">IFERROR(INDEX('Hulp (control forms)'!C:C, 13 + INT((ROW(A253)-1)/7)),FALSE)</f>
        <v>0</v>
      </c>
    </row>
    <row r="261" spans="1:59" ht="16.05" customHeight="1" thickBot="1" x14ac:dyDescent="0.5">
      <c r="A261" s="289"/>
      <c r="B261" s="343"/>
      <c r="C261" s="325" t="s">
        <v>779</v>
      </c>
      <c r="D261" s="688" t="s">
        <v>60</v>
      </c>
      <c r="E261" s="433" t="s">
        <v>59</v>
      </c>
      <c r="F261" s="624"/>
      <c r="G261" s="624"/>
      <c r="H261" s="624"/>
      <c r="I261" s="624"/>
      <c r="J261" s="624"/>
      <c r="K261" s="624"/>
      <c r="L261" s="624"/>
      <c r="M261" s="624"/>
      <c r="N261" s="624"/>
      <c r="O261" s="624"/>
      <c r="P261" s="624"/>
      <c r="Q261" s="624"/>
      <c r="R261" s="624"/>
      <c r="S261" s="624"/>
      <c r="T261" s="624"/>
      <c r="U261" s="625"/>
      <c r="V261" s="420" t="str">
        <f ca="1">IF($B257="","",IF($D261="Aandeel in %",
   "Totaal: "&amp;SUM(F261:U261)*100&amp;"%",
   "Totaal: "&amp;SUM(F261:U261)&amp;" uur"
))</f>
        <v/>
      </c>
      <c r="W261" s="294"/>
      <c r="X261" s="621"/>
      <c r="Y261" s="328"/>
      <c r="Z261" s="329"/>
      <c r="AA261" s="289"/>
      <c r="AB261" s="289"/>
      <c r="AC261" s="289"/>
      <c r="AD261" s="289"/>
      <c r="AE261" s="289"/>
      <c r="AF261" s="289"/>
      <c r="AG261" s="289"/>
      <c r="AH261" s="289"/>
      <c r="AI261" s="289"/>
      <c r="AJ261" s="289"/>
      <c r="AK261" s="289"/>
      <c r="AL261" s="289"/>
      <c r="AM261" s="289"/>
      <c r="AN261" s="289"/>
      <c r="AO261" s="289"/>
      <c r="AP261" s="289"/>
      <c r="AQ261" s="289"/>
      <c r="AR261" s="289"/>
      <c r="AS261" s="289"/>
      <c r="AT261" s="289"/>
      <c r="AU261" s="289"/>
      <c r="AV261" s="289"/>
      <c r="AW261" s="289"/>
      <c r="AX261" s="289"/>
      <c r="AY261" s="289"/>
      <c r="AZ261" s="289"/>
    </row>
    <row r="262" spans="1:59" ht="16.05" customHeight="1" thickBot="1" x14ac:dyDescent="0.5">
      <c r="A262" s="289"/>
      <c r="B262" s="343"/>
      <c r="C262" s="326" t="s">
        <v>779</v>
      </c>
      <c r="D262" s="421"/>
      <c r="E262" s="426"/>
      <c r="F262" s="426"/>
      <c r="G262" s="426"/>
      <c r="H262" s="426"/>
      <c r="I262" s="426"/>
      <c r="J262" s="426"/>
      <c r="K262" s="426"/>
      <c r="L262" s="426"/>
      <c r="M262" s="426"/>
      <c r="N262" s="426"/>
      <c r="O262" s="426"/>
      <c r="P262" s="426"/>
      <c r="Q262" s="426"/>
      <c r="R262" s="426"/>
      <c r="S262" s="426"/>
      <c r="T262" s="427"/>
      <c r="U262" s="427"/>
      <c r="V262" s="421"/>
      <c r="W262" s="421"/>
      <c r="X262" s="622"/>
      <c r="Y262" s="421"/>
      <c r="Z262" s="327"/>
      <c r="AA262" s="289"/>
      <c r="AB262" s="289"/>
      <c r="AC262" s="289"/>
      <c r="AD262" s="289"/>
      <c r="AE262" s="289"/>
      <c r="AF262" s="289"/>
      <c r="AG262" s="289"/>
      <c r="AH262" s="289"/>
      <c r="AI262" s="289"/>
      <c r="AJ262" s="289"/>
      <c r="AK262" s="289"/>
      <c r="AL262" s="289"/>
      <c r="AM262" s="289"/>
      <c r="AN262" s="289"/>
      <c r="AO262" s="289"/>
      <c r="AP262" s="289"/>
      <c r="AQ262" s="289"/>
      <c r="AR262" s="289"/>
      <c r="AS262" s="289"/>
      <c r="AT262" s="289"/>
      <c r="AU262" s="289"/>
      <c r="AV262" s="289"/>
      <c r="AW262" s="289"/>
      <c r="AX262" s="289"/>
      <c r="AY262" s="289"/>
      <c r="AZ262" s="289"/>
    </row>
    <row r="263" spans="1:59" ht="16.05" customHeight="1" thickBot="1" x14ac:dyDescent="0.55000000000000004">
      <c r="A263" s="289"/>
      <c r="B263" s="585" t="str">
        <f ca="1">IF(B264="","",
IF(
   OR(
      INDIRECT("'1a. Input organisatieniveau'!AC" &amp; (7 + INT((ROW()-4)/7)))="",
      INDIRECT("'1a. Input organisatieniveau'!AC" &amp; (7 + INT((ROW()-4)/7)))=0
   ),
   "",
   INDIRECT("'1a. Input organisatieniveau'!AC" &amp; (7 + INT((ROW()-4)/7)))
))</f>
        <v/>
      </c>
      <c r="C263" s="324" t="s">
        <v>779</v>
      </c>
      <c r="D263" s="416"/>
      <c r="E263" s="428"/>
      <c r="F263" s="422" t="str">
        <f t="shared" ref="F263:U263" ca="1" si="37">IF($B264="","",
IF($D265="Gebruik % van maximum salaris",
 IF(OR(AND(AND(F264&lt;&gt;"",F265&lt;&gt;""),F267=""),AND(F267="",F268&lt;&gt;"")),"!",""),
 IF(OR(AND(AND(F264&lt;&gt;"",F266&lt;&gt;""),F267=""),AND(F267="",F268&lt;&gt;"")),"!","")))</f>
        <v/>
      </c>
      <c r="G263" s="422" t="str">
        <f t="shared" ca="1" si="37"/>
        <v/>
      </c>
      <c r="H263" s="422" t="str">
        <f t="shared" ca="1" si="37"/>
        <v/>
      </c>
      <c r="I263" s="422" t="str">
        <f t="shared" ca="1" si="37"/>
        <v/>
      </c>
      <c r="J263" s="422" t="str">
        <f t="shared" ca="1" si="37"/>
        <v/>
      </c>
      <c r="K263" s="422" t="str">
        <f t="shared" ca="1" si="37"/>
        <v/>
      </c>
      <c r="L263" s="422" t="str">
        <f t="shared" ca="1" si="37"/>
        <v/>
      </c>
      <c r="M263" s="422" t="str">
        <f t="shared" ca="1" si="37"/>
        <v/>
      </c>
      <c r="N263" s="422" t="str">
        <f t="shared" ca="1" si="37"/>
        <v/>
      </c>
      <c r="O263" s="422" t="str">
        <f t="shared" ca="1" si="37"/>
        <v/>
      </c>
      <c r="P263" s="422" t="str">
        <f t="shared" ca="1" si="37"/>
        <v/>
      </c>
      <c r="Q263" s="422" t="str">
        <f t="shared" ca="1" si="37"/>
        <v/>
      </c>
      <c r="R263" s="422" t="str">
        <f t="shared" ca="1" si="37"/>
        <v/>
      </c>
      <c r="S263" s="422" t="str">
        <f t="shared" ca="1" si="37"/>
        <v/>
      </c>
      <c r="T263" s="422" t="str">
        <f t="shared" ca="1" si="37"/>
        <v/>
      </c>
      <c r="U263" s="422" t="str">
        <f t="shared" ca="1" si="37"/>
        <v/>
      </c>
      <c r="V263" s="416"/>
      <c r="W263" s="416"/>
      <c r="X263" s="619"/>
      <c r="Y263" s="416"/>
      <c r="Z263" s="330"/>
      <c r="AA263" s="354"/>
      <c r="AB263" s="289"/>
      <c r="AC263" s="289"/>
      <c r="AD263" s="289"/>
      <c r="AE263" s="289"/>
      <c r="AF263" s="289"/>
      <c r="AG263" s="289"/>
      <c r="AH263" s="289"/>
      <c r="AI263" s="289"/>
      <c r="AJ263" s="289"/>
      <c r="AK263" s="289"/>
      <c r="AL263" s="289"/>
      <c r="AM263" s="289"/>
      <c r="AN263" s="289"/>
      <c r="AO263" s="289"/>
      <c r="AP263" s="289"/>
      <c r="AQ263" s="289"/>
      <c r="AR263" s="289"/>
      <c r="AS263" s="289"/>
      <c r="AT263" s="289"/>
      <c r="AU263" s="289"/>
      <c r="AV263" s="289"/>
      <c r="AW263" s="289"/>
      <c r="AX263" s="289"/>
      <c r="AY263" s="289"/>
      <c r="AZ263" s="289"/>
    </row>
    <row r="264" spans="1:59" ht="16.05" customHeight="1" thickBot="1" x14ac:dyDescent="0.5">
      <c r="A264" s="289"/>
      <c r="B264" s="586" t="str">
        <f ca="1">IF(
   OR(
      INDIRECT("'1a. Input organisatieniveau'!AA" &amp; (7 + INT((ROW()-4)/7)))="",
      INDIRECT("'1a. Input organisatieniveau'!AA" &amp; (7 + INT((ROW()-4)/7)))=0
   ),
   "",
   INDIRECT("'1a. Input organisatieniveau'!AA" &amp; (7 + INT((ROW()-4)/7)))
)</f>
        <v/>
      </c>
      <c r="C264" s="325" t="s">
        <v>779</v>
      </c>
      <c r="D264" s="434"/>
      <c r="E264" s="429" t="s">
        <v>28</v>
      </c>
      <c r="F264" s="423" t="str">
        <f ca="1">IF($B264="", "", IF($BF267, IF('Hulp (CAO''s)'!J$8&lt;&gt;"",'Hulp (CAO''s)'!J$8,""), INDEX('Hulp (CAO''s)'!J$3:J$7, MATCH(TRUE, 'Hulp (CAO''s)'!$D$3:$D$7, 0))))</f>
        <v/>
      </c>
      <c r="G264" s="423" t="str">
        <f ca="1">IF($B264="", "", IF($BF267, IF('Hulp (CAO''s)'!K$8&lt;&gt;"",'Hulp (CAO''s)'!K$8,""), INDEX('Hulp (CAO''s)'!K$3:K$7, MATCH(TRUE, 'Hulp (CAO''s)'!$D$3:$D$7, 0))))</f>
        <v/>
      </c>
      <c r="H264" s="423" t="str">
        <f ca="1">IF($B264="", "", IF($BF267, IF('Hulp (CAO''s)'!L$8&lt;&gt;"",'Hulp (CAO''s)'!L$8,""), INDEX('Hulp (CAO''s)'!L$3:L$7, MATCH(TRUE, 'Hulp (CAO''s)'!$D$3:$D$7, 0))))</f>
        <v/>
      </c>
      <c r="I264" s="423" t="str">
        <f ca="1">IF($B264="", "", IF($BF267, IF('Hulp (CAO''s)'!M$8&lt;&gt;"",'Hulp (CAO''s)'!M$8,""), INDEX('Hulp (CAO''s)'!M$3:M$7, MATCH(TRUE, 'Hulp (CAO''s)'!$D$3:$D$7, 0))))</f>
        <v/>
      </c>
      <c r="J264" s="423" t="str">
        <f ca="1">IF($B264="", "", IF($BF267, IF('Hulp (CAO''s)'!N$8&lt;&gt;"",'Hulp (CAO''s)'!N$8,""), INDEX('Hulp (CAO''s)'!N$3:N$7, MATCH(TRUE, 'Hulp (CAO''s)'!$D$3:$D$7, 0))))</f>
        <v/>
      </c>
      <c r="K264" s="423" t="str">
        <f ca="1">IF($B264="", "", IF($BF267, IF('Hulp (CAO''s)'!O$8&lt;&gt;"",'Hulp (CAO''s)'!O$8,""), INDEX('Hulp (CAO''s)'!O$3:O$7, MATCH(TRUE, 'Hulp (CAO''s)'!$D$3:$D$7, 0))))</f>
        <v/>
      </c>
      <c r="L264" s="423" t="str">
        <f ca="1">IF($B264="", "", IF($BF267, IF('Hulp (CAO''s)'!P$8&lt;&gt;"",'Hulp (CAO''s)'!P$8,""), INDEX('Hulp (CAO''s)'!P$3:P$7, MATCH(TRUE, 'Hulp (CAO''s)'!$D$3:$D$7, 0))))</f>
        <v/>
      </c>
      <c r="M264" s="423" t="str">
        <f ca="1">IF($B264="", "", IF($BF267, IF('Hulp (CAO''s)'!Q$8&lt;&gt;"",'Hulp (CAO''s)'!Q$8,""), INDEX('Hulp (CAO''s)'!Q$3:Q$7, MATCH(TRUE, 'Hulp (CAO''s)'!$D$3:$D$7, 0))))</f>
        <v/>
      </c>
      <c r="N264" s="423" t="str">
        <f ca="1">IF($B264="", "", IF($BF267, IF('Hulp (CAO''s)'!R$8&lt;&gt;"",'Hulp (CAO''s)'!R$8,""), INDEX('Hulp (CAO''s)'!R$3:R$7, MATCH(TRUE, 'Hulp (CAO''s)'!$D$3:$D$7, 0))))</f>
        <v/>
      </c>
      <c r="O264" s="423" t="str">
        <f ca="1">IF($B264="", "", IF($BF267, IF('Hulp (CAO''s)'!S$8&lt;&gt;"",'Hulp (CAO''s)'!S$8,""), INDEX('Hulp (CAO''s)'!S$3:S$7, MATCH(TRUE, 'Hulp (CAO''s)'!$D$3:$D$7, 0))))</f>
        <v/>
      </c>
      <c r="P264" s="423" t="str">
        <f ca="1">IF($B264="", "", IF($BF267, IF('Hulp (CAO''s)'!T$8&lt;&gt;"",'Hulp (CAO''s)'!T$8,""), INDEX('Hulp (CAO''s)'!T$3:T$7, MATCH(TRUE, 'Hulp (CAO''s)'!$D$3:$D$7, 0))))</f>
        <v/>
      </c>
      <c r="Q264" s="423" t="str">
        <f ca="1">IF($B264="", "", IF($BF267, IF('Hulp (CAO''s)'!U$8&lt;&gt;"",'Hulp (CAO''s)'!U$8,""), INDEX('Hulp (CAO''s)'!U$3:U$7, MATCH(TRUE, 'Hulp (CAO''s)'!$D$3:$D$7, 0))))</f>
        <v/>
      </c>
      <c r="R264" s="423" t="str">
        <f ca="1">IF($B264="", "", IF($BF267, IF('Hulp (CAO''s)'!V$8&lt;&gt;"",'Hulp (CAO''s)'!V$8,""), INDEX('Hulp (CAO''s)'!V$3:V$7, MATCH(TRUE, 'Hulp (CAO''s)'!$D$3:$D$7, 0))))</f>
        <v/>
      </c>
      <c r="S264" s="423" t="str">
        <f ca="1">IF($B264="", "", IF($BF267, IF('Hulp (CAO''s)'!W$8&lt;&gt;"",'Hulp (CAO''s)'!W$8,""), INDEX('Hulp (CAO''s)'!W$3:W$7, MATCH(TRUE, 'Hulp (CAO''s)'!$D$3:$D$7, 0))))</f>
        <v/>
      </c>
      <c r="T264" s="423" t="str">
        <f ca="1">IF($B264="", "", IF($BF267, IF('Hulp (CAO''s)'!X$8&lt;&gt;"",'Hulp (CAO''s)'!X$8,""), INDEX('Hulp (CAO''s)'!X$3:X$7, MATCH(TRUE, 'Hulp (CAO''s)'!$D$3:$D$7, 0))))</f>
        <v/>
      </c>
      <c r="U264" s="424" t="str">
        <f ca="1">IF($B264="", "", IF($BF267, IF('Hulp (CAO''s)'!Y$8&lt;&gt;"",'Hulp (CAO''s)'!Y$8,""), INDEX('Hulp (CAO''s)'!Y$3:Y$7, MATCH(TRUE, 'Hulp (CAO''s)'!$D$3:$D$7, 0))))</f>
        <v/>
      </c>
      <c r="V264" s="417"/>
      <c r="W264" s="343"/>
      <c r="X264" s="617"/>
      <c r="Y264" s="343"/>
      <c r="Z264" s="329"/>
      <c r="AA264" s="320"/>
      <c r="AB264" s="289"/>
      <c r="AC264" s="289"/>
      <c r="AD264" s="289"/>
      <c r="AE264" s="289"/>
      <c r="AF264" s="289"/>
      <c r="AG264" s="289"/>
      <c r="AH264" s="289"/>
      <c r="AI264" s="289"/>
      <c r="AJ264" s="289"/>
      <c r="AK264" s="289"/>
      <c r="AL264" s="289"/>
      <c r="AM264" s="289"/>
      <c r="AN264" s="289"/>
      <c r="AO264" s="289"/>
      <c r="AP264" s="289"/>
      <c r="AQ264" s="289"/>
      <c r="AR264" s="289"/>
      <c r="AS264" s="289"/>
      <c r="AT264" s="289"/>
      <c r="AU264" s="289"/>
      <c r="AV264" s="289"/>
      <c r="AW264" s="289"/>
      <c r="AX264" s="289"/>
      <c r="AY264" s="289"/>
      <c r="AZ264" s="289"/>
    </row>
    <row r="265" spans="1:59" ht="16.05" customHeight="1" x14ac:dyDescent="0.45">
      <c r="A265" s="289"/>
      <c r="B265" s="343"/>
      <c r="C265" s="325" t="s">
        <v>779</v>
      </c>
      <c r="D265" s="772" t="s">
        <v>772</v>
      </c>
      <c r="E265" s="430" t="e">
        <f ca="1">IF($BF267, "", "% t.o.v. max salaris in de schaal")</f>
        <v>#VALUE!</v>
      </c>
      <c r="F265" s="615"/>
      <c r="G265" s="615"/>
      <c r="H265" s="615"/>
      <c r="I265" s="615"/>
      <c r="J265" s="615"/>
      <c r="K265" s="615"/>
      <c r="L265" s="615"/>
      <c r="M265" s="615"/>
      <c r="N265" s="615"/>
      <c r="O265" s="615"/>
      <c r="P265" s="615"/>
      <c r="Q265" s="615"/>
      <c r="R265" s="615"/>
      <c r="S265" s="615"/>
      <c r="T265" s="615"/>
      <c r="U265" s="616"/>
      <c r="V265" s="774" t="s">
        <v>884</v>
      </c>
      <c r="W265" s="332"/>
      <c r="X265" s="776" t="s">
        <v>882</v>
      </c>
      <c r="Y265" s="778" t="s">
        <v>883</v>
      </c>
      <c r="Z265" s="329"/>
      <c r="AA265" s="771" t="s">
        <v>780</v>
      </c>
      <c r="AB265" s="770" t="s">
        <v>1079</v>
      </c>
      <c r="AC265" s="289"/>
      <c r="AD265" s="289"/>
      <c r="AE265" s="289"/>
      <c r="AF265" s="289"/>
      <c r="AG265" s="289"/>
      <c r="AH265" s="289"/>
      <c r="AI265" s="289"/>
      <c r="AJ265" s="289"/>
      <c r="AK265" s="289"/>
      <c r="AL265" s="289"/>
      <c r="AM265" s="289"/>
      <c r="AN265" s="289"/>
      <c r="AO265" s="289"/>
      <c r="AP265" s="289"/>
      <c r="AQ265" s="289"/>
      <c r="AR265" s="289"/>
      <c r="AS265" s="289"/>
      <c r="AT265" s="289"/>
      <c r="AU265" s="289"/>
      <c r="AV265" s="289"/>
      <c r="AW265" s="289"/>
      <c r="AX265" s="289"/>
      <c r="AY265" s="289"/>
      <c r="AZ265" s="289"/>
    </row>
    <row r="266" spans="1:59" ht="16.05" customHeight="1" thickBot="1" x14ac:dyDescent="0.5">
      <c r="A266" s="289"/>
      <c r="B266" s="343"/>
      <c r="C266" s="325" t="s">
        <v>779</v>
      </c>
      <c r="D266" s="773"/>
      <c r="E266" s="431" t="e">
        <f ca="1">IF($BF267, "", "Trede (gemiddeld)")</f>
        <v>#VALUE!</v>
      </c>
      <c r="F266" s="737"/>
      <c r="G266" s="737"/>
      <c r="H266" s="737"/>
      <c r="I266" s="737"/>
      <c r="J266" s="737"/>
      <c r="K266" s="737"/>
      <c r="L266" s="737"/>
      <c r="M266" s="737"/>
      <c r="N266" s="737"/>
      <c r="O266" s="737"/>
      <c r="P266" s="737"/>
      <c r="Q266" s="737"/>
      <c r="R266" s="737"/>
      <c r="S266" s="737"/>
      <c r="T266" s="737"/>
      <c r="U266" s="740"/>
      <c r="V266" s="775"/>
      <c r="W266" s="294"/>
      <c r="X266" s="777"/>
      <c r="Y266" s="779"/>
      <c r="Z266" s="329"/>
      <c r="AA266" s="771"/>
      <c r="AB266" s="770"/>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c r="AZ266" s="289"/>
    </row>
    <row r="267" spans="1:59" ht="16.05" customHeight="1" thickBot="1" x14ac:dyDescent="0.5">
      <c r="A267" s="289"/>
      <c r="B267" s="343"/>
      <c r="C267" s="325" t="s">
        <v>779</v>
      </c>
      <c r="E267" s="432" t="str">
        <f>IFERROR(
   INDEX('Hulp (CAO''s)'!$I$3:$I$7, MATCH(TRUE, 'Hulp (CAO''s)'!$D$3:$D$7, 0)),
"")</f>
        <v>Bruto maandsalaris</v>
      </c>
      <c r="F267" s="425" t="e" cm="1">
        <f t="array" aca="1" ref="F267" ca="1">IF($BF267, IF(F264="","",
   INDEX(
      INDIRECT("'" &amp; 'Hulp (CAO''s)'!$AE$8 &amp; "'!" &amp;
               'Hulp (overig)'!$C$17 &amp; "1:" &amp;
               'Hulp (overig)'!$C$17 &amp; "1000"),
      MATCH(
         F264,
         INDIRECT("'" &amp; 'Hulp (CAO''s)'!$AE$8 &amp; "'!A1:A1000"),
         0
      )
   )
), IF($D265="Gebruik % van maximum salaris",
IF(
    OR(F264="",F265=""),
    "",
    MAX(
        INDIRECT(
            "'" &amp; 'Hulp (overig)'!$C$16 &amp; "'!" &amp;
            'Hulp (overig)'!$C$17 &amp;
            MATCH(F264, INDIRECT("'" &amp; 'Hulp (overig)'!$C$16 &amp; "'!A1:A1000"), 0) &amp;
            ":" &amp;
            'Hulp (overig)'!$C$17 &amp;
LOOKUP(
    2,
    1 / (
        (ROW(INDIRECT("'" &amp; 'Hulp (overig)'!$C$16 &amp; "'!B1:B1000")) &lt;
            IF(G264&lt;&gt;"",
               MATCH(G264, INDIRECT("'" &amp; 'Hulp (overig)'!$C$16 &amp; "'!A1:A1000"),0),
               1000
            )
        ) *
        (LEFT(TRIM(INDIRECT("'" &amp; 'Hulp (overig)'!$C$16 &amp; "'!B1:B1000")),1) &lt;&gt; "u")
    ),
    ROW(INDIRECT("'" &amp; 'Hulp (overig)'!$C$16 &amp; "'!B1:B1000"))
)
        )
    ) * F265
),
IF(F266="","",
IF(
    IFERROR(MIN(
        IF(
            (TRIM(INDIRECT("'" &amp; 'Hulp (overig)'!$C$16 &amp; "'!B1:B1000")) = TEXT(F266,"0")) *
            (ROW(INDIRECT("'" &amp; 'Hulp (overig)'!$C$16 &amp; "'!B1:B1000")) &gt;= MATCH(
                F264,
                INDIRECT("'" &amp; 'Hulp (overig)'!$C$16 &amp; "'!A1:A1000"),
                0
            )) *
            IF(
                G264="",
                1,
                (ROW(INDIRECT("'" &amp; 'Hulp (overig)'!$C$16 &amp; "'!B1:B1000")) &lt; MATCH(
                    G264,
                    INDIRECT("'" &amp; 'Hulp (overig)'!$C$16 &amp; "'!A1:A1000"),
                    0
                ))
            ),
            ROW(INDIRECT("'" &amp; 'Hulp (overig)'!$C$16 &amp; "'!B1:B1000"))
        )
    ),0) &lt; 1,
    "",
    IF(INDEX(
        INDIRECT("'" &amp; 'Hulp (overig)'!$C$16 &amp; "'!" &amp;
        'Hulp (overig)'!$C$17 &amp; "1:" &amp; 'Hulp (overig)'!$C$17 &amp; 1000
        ),
        IFERROR(MIN(
            IF(
                (TRIM(INDIRECT("'" &amp; 'Hulp (overig)'!$C$16 &amp; "'!B1:B1000")) = TEXT(F266,"0")) *
                (ROW(INDIRECT("'" &amp; 'Hulp (overig)'!$C$16 &amp; "'!B1:B1000")) &gt;= MATCH(
                    F264,
                    INDIRECT("'" &amp; 'Hulp (overig)'!$C$16 &amp; "'!A1:A1000"),
                    0
                )) *
                IF(
                    G264="",
                    1,
                    (ROW(INDIRECT("'" &amp; 'Hulp (overig)'!$C$16 &amp; "'!B1:B1000")) &lt; MATCH(
                        G264,
                        INDIRECT("'" &amp; 'Hulp (overig)'!$C$16 &amp; "'!A1:A1000"),
                        0
                    ))
                ),
                ROW(INDIRECT("'" &amp; 'Hulp (overig)'!$C$16 &amp; "'!B1:B1000"))
            )
        ),0)
    )=0,"",
INDEX(
        INDIRECT("'" &amp; 'Hulp (overig)'!$C$16 &amp; "'!" &amp;
        'Hulp (overig)'!$C$17 &amp; "1:" &amp; 'Hulp (overig)'!$C$17 &amp; 1000
        ),
        IFERROR(MIN(
            IF(
                (TRIM(INDIRECT("'" &amp; 'Hulp (overig)'!$C$16 &amp; "'!B1:B1000")) = TEXT(F266,"0")) *
                (ROW(INDIRECT("'" &amp; 'Hulp (overig)'!$C$16 &amp; "'!B1:B1000")) &gt;= MATCH(
                    F264,
                    INDIRECT("'" &amp; 'Hulp (overig)'!$C$16 &amp; "'!A1:A1000"),
                    0
                )) *
                IF(
                    G264="",
                    1,
                    (ROW(INDIRECT("'" &amp; 'Hulp (overig)'!$C$16 &amp; "'!B1:B1000")) &lt; MATCH(
                        G264,
                        INDIRECT("'" &amp; 'Hulp (overig)'!$C$16 &amp; "'!A1:A1000"),
                        0
                    ))
                ),
                ROW(INDIRECT("'" &amp; 'Hulp (overig)'!$C$16 &amp; "'!B1:B1000"))
            )
        ),0)
    ))
))))</f>
        <v>#VALUE!</v>
      </c>
      <c r="G267" s="425" t="e" cm="1">
        <f t="array" aca="1" ref="G267" ca="1">IF($BF267, IF(G264="","",
   INDEX(
      INDIRECT("'" &amp; 'Hulp (CAO''s)'!$AE$8 &amp; "'!" &amp;
               'Hulp (overig)'!$C$17 &amp; "1:" &amp;
               'Hulp (overig)'!$C$17 &amp; "1000"),
      MATCH(
         G264,
         INDIRECT("'" &amp; 'Hulp (CAO''s)'!$AE$8 &amp; "'!A1:A1000"),
         0
      )
   )
), IF($D265="Gebruik % van maximum salaris",
IF(
    OR(G264="",G265=""),
    "",
    MAX(
        INDIRECT(
            "'" &amp; 'Hulp (overig)'!$C$16 &amp; "'!" &amp;
            'Hulp (overig)'!$C$17 &amp;
            MATCH(G264, INDIRECT("'" &amp; 'Hulp (overig)'!$C$16 &amp; "'!A1:A1000"), 0) &amp;
            ":" &amp;
            'Hulp (overig)'!$C$17 &amp;
LOOKUP(
    2,
    1 / (
        (ROW(INDIRECT("'" &amp; 'Hulp (overig)'!$C$16 &amp; "'!B1:B1000")) &lt;
            IF(H264&lt;&gt;"",
               MATCH(H264, INDIRECT("'" &amp; 'Hulp (overig)'!$C$16 &amp; "'!A1:A1000"),0),
               1000
            )
        ) *
        (LEFT(TRIM(INDIRECT("'" &amp; 'Hulp (overig)'!$C$16 &amp; "'!B1:B1000")),1) &lt;&gt; "u")
    ),
    ROW(INDIRECT("'" &amp; 'Hulp (overig)'!$C$16 &amp; "'!B1:B1000"))
)
        )
    ) * G265
),
IF(G266="","",
IF(
    IFERROR(MIN(
        IF(
            (TRIM(INDIRECT("'" &amp; 'Hulp (overig)'!$C$16 &amp; "'!B1:B1000")) = TEXT(G266,"0")) *
            (ROW(INDIRECT("'" &amp; 'Hulp (overig)'!$C$16 &amp; "'!B1:B1000")) &gt;= MATCH(
                G264,
                INDIRECT("'" &amp; 'Hulp (overig)'!$C$16 &amp; "'!A1:A1000"),
                0
            )) *
            IF(
                H264="",
                1,
                (ROW(INDIRECT("'" &amp; 'Hulp (overig)'!$C$16 &amp; "'!B1:B1000")) &lt; MATCH(
                    H264,
                    INDIRECT("'" &amp; 'Hulp (overig)'!$C$16 &amp; "'!A1:A1000"),
                    0
                ))
            ),
            ROW(INDIRECT("'" &amp; 'Hulp (overig)'!$C$16 &amp; "'!B1:B1000"))
        )
    ),0) &lt; 1,
    "",
    IF(INDEX(
        INDIRECT("'" &amp; 'Hulp (overig)'!$C$16 &amp; "'!" &amp;
        'Hulp (overig)'!$C$17 &amp; "1:" &amp; 'Hulp (overig)'!$C$17 &amp; 1000
        ),
        IFERROR(MIN(
            IF(
                (TRIM(INDIRECT("'" &amp; 'Hulp (overig)'!$C$16 &amp; "'!B1:B1000")) = TEXT(G266,"0")) *
                (ROW(INDIRECT("'" &amp; 'Hulp (overig)'!$C$16 &amp; "'!B1:B1000")) &gt;= MATCH(
                    G264,
                    INDIRECT("'" &amp; 'Hulp (overig)'!$C$16 &amp; "'!A1:A1000"),
                    0
                )) *
                IF(
                    H264="",
                    1,
                    (ROW(INDIRECT("'" &amp; 'Hulp (overig)'!$C$16 &amp; "'!B1:B1000")) &lt; MATCH(
                        H264,
                        INDIRECT("'" &amp; 'Hulp (overig)'!$C$16 &amp; "'!A1:A1000"),
                        0
                    ))
                ),
                ROW(INDIRECT("'" &amp; 'Hulp (overig)'!$C$16 &amp; "'!B1:B1000"))
            )
        ),0)
    )=0,"",
INDEX(
        INDIRECT("'" &amp; 'Hulp (overig)'!$C$16 &amp; "'!" &amp;
        'Hulp (overig)'!$C$17 &amp; "1:" &amp; 'Hulp (overig)'!$C$17 &amp; 1000
        ),
        IFERROR(MIN(
            IF(
                (TRIM(INDIRECT("'" &amp; 'Hulp (overig)'!$C$16 &amp; "'!B1:B1000")) = TEXT(G266,"0")) *
                (ROW(INDIRECT("'" &amp; 'Hulp (overig)'!$C$16 &amp; "'!B1:B1000")) &gt;= MATCH(
                    G264,
                    INDIRECT("'" &amp; 'Hulp (overig)'!$C$16 &amp; "'!A1:A1000"),
                    0
                )) *
                IF(
                    H264="",
                    1,
                    (ROW(INDIRECT("'" &amp; 'Hulp (overig)'!$C$16 &amp; "'!B1:B1000")) &lt; MATCH(
                        H264,
                        INDIRECT("'" &amp; 'Hulp (overig)'!$C$16 &amp; "'!A1:A1000"),
                        0
                    ))
                ),
                ROW(INDIRECT("'" &amp; 'Hulp (overig)'!$C$16 &amp; "'!B1:B1000"))
            )
        ),0)
    ))
))))</f>
        <v>#VALUE!</v>
      </c>
      <c r="H267" s="425" t="e" cm="1">
        <f t="array" aca="1" ref="H267" ca="1">IF($BF267, IF(H264="","",
   INDEX(
      INDIRECT("'" &amp; 'Hulp (CAO''s)'!$AE$8 &amp; "'!" &amp;
               'Hulp (overig)'!$C$17 &amp; "1:" &amp;
               'Hulp (overig)'!$C$17 &amp; "1000"),
      MATCH(
         H264,
         INDIRECT("'" &amp; 'Hulp (CAO''s)'!$AE$8 &amp; "'!A1:A1000"),
         0
      )
   )
), IF($D265="Gebruik % van maximum salaris",
IF(
    OR(H264="",H265=""),
    "",
    MAX(
        INDIRECT(
            "'" &amp; 'Hulp (overig)'!$C$16 &amp; "'!" &amp;
            'Hulp (overig)'!$C$17 &amp;
            MATCH(H264, INDIRECT("'" &amp; 'Hulp (overig)'!$C$16 &amp; "'!A1:A1000"), 0) &amp;
            ":" &amp;
            'Hulp (overig)'!$C$17 &amp;
LOOKUP(
    2,
    1 / (
        (ROW(INDIRECT("'" &amp; 'Hulp (overig)'!$C$16 &amp; "'!B1:B1000")) &lt;
            IF(I264&lt;&gt;"",
               MATCH(I264, INDIRECT("'" &amp; 'Hulp (overig)'!$C$16 &amp; "'!A1:A1000"),0),
               1000
            )
        ) *
        (LEFT(TRIM(INDIRECT("'" &amp; 'Hulp (overig)'!$C$16 &amp; "'!B1:B1000")),1) &lt;&gt; "u")
    ),
    ROW(INDIRECT("'" &amp; 'Hulp (overig)'!$C$16 &amp; "'!B1:B1000"))
)
        )
    ) * H265
),
IF(H266="","",
IF(
    IFERROR(MIN(
        IF(
            (TRIM(INDIRECT("'" &amp; 'Hulp (overig)'!$C$16 &amp; "'!B1:B1000")) = TEXT(H266,"0")) *
            (ROW(INDIRECT("'" &amp; 'Hulp (overig)'!$C$16 &amp; "'!B1:B1000")) &gt;= MATCH(
                H264,
                INDIRECT("'" &amp; 'Hulp (overig)'!$C$16 &amp; "'!A1:A1000"),
                0
            )) *
            IF(
                I264="",
                1,
                (ROW(INDIRECT("'" &amp; 'Hulp (overig)'!$C$16 &amp; "'!B1:B1000")) &lt; MATCH(
                    I264,
                    INDIRECT("'" &amp; 'Hulp (overig)'!$C$16 &amp; "'!A1:A1000"),
                    0
                ))
            ),
            ROW(INDIRECT("'" &amp; 'Hulp (overig)'!$C$16 &amp; "'!B1:B1000"))
        )
    ),0) &lt; 1,
    "",
    IF(INDEX(
        INDIRECT("'" &amp; 'Hulp (overig)'!$C$16 &amp; "'!" &amp;
        'Hulp (overig)'!$C$17 &amp; "1:" &amp; 'Hulp (overig)'!$C$17 &amp; 1000
        ),
        IFERROR(MIN(
            IF(
                (TRIM(INDIRECT("'" &amp; 'Hulp (overig)'!$C$16 &amp; "'!B1:B1000")) = TEXT(H266,"0")) *
                (ROW(INDIRECT("'" &amp; 'Hulp (overig)'!$C$16 &amp; "'!B1:B1000")) &gt;= MATCH(
                    H264,
                    INDIRECT("'" &amp; 'Hulp (overig)'!$C$16 &amp; "'!A1:A1000"),
                    0
                )) *
                IF(
                    I264="",
                    1,
                    (ROW(INDIRECT("'" &amp; 'Hulp (overig)'!$C$16 &amp; "'!B1:B1000")) &lt; MATCH(
                        I264,
                        INDIRECT("'" &amp; 'Hulp (overig)'!$C$16 &amp; "'!A1:A1000"),
                        0
                    ))
                ),
                ROW(INDIRECT("'" &amp; 'Hulp (overig)'!$C$16 &amp; "'!B1:B1000"))
            )
        ),0)
    )=0,"",
INDEX(
        INDIRECT("'" &amp; 'Hulp (overig)'!$C$16 &amp; "'!" &amp;
        'Hulp (overig)'!$C$17 &amp; "1:" &amp; 'Hulp (overig)'!$C$17 &amp; 1000
        ),
        IFERROR(MIN(
            IF(
                (TRIM(INDIRECT("'" &amp; 'Hulp (overig)'!$C$16 &amp; "'!B1:B1000")) = TEXT(H266,"0")) *
                (ROW(INDIRECT("'" &amp; 'Hulp (overig)'!$C$16 &amp; "'!B1:B1000")) &gt;= MATCH(
                    H264,
                    INDIRECT("'" &amp; 'Hulp (overig)'!$C$16 &amp; "'!A1:A1000"),
                    0
                )) *
                IF(
                    I264="",
                    1,
                    (ROW(INDIRECT("'" &amp; 'Hulp (overig)'!$C$16 &amp; "'!B1:B1000")) &lt; MATCH(
                        I264,
                        INDIRECT("'" &amp; 'Hulp (overig)'!$C$16 &amp; "'!A1:A1000"),
                        0
                    ))
                ),
                ROW(INDIRECT("'" &amp; 'Hulp (overig)'!$C$16 &amp; "'!B1:B1000"))
            )
        ),0)
    ))
))))</f>
        <v>#VALUE!</v>
      </c>
      <c r="I267" s="425" t="e" cm="1">
        <f t="array" aca="1" ref="I267" ca="1">IF($BF267, IF(I264="","",
   INDEX(
      INDIRECT("'" &amp; 'Hulp (CAO''s)'!$AE$8 &amp; "'!" &amp;
               'Hulp (overig)'!$C$17 &amp; "1:" &amp;
               'Hulp (overig)'!$C$17 &amp; "1000"),
      MATCH(
         I264,
         INDIRECT("'" &amp; 'Hulp (CAO''s)'!$AE$8 &amp; "'!A1:A1000"),
         0
      )
   )
), IF($D265="Gebruik % van maximum salaris",
IF(
    OR(I264="",I265=""),
    "",
    MAX(
        INDIRECT(
            "'" &amp; 'Hulp (overig)'!$C$16 &amp; "'!" &amp;
            'Hulp (overig)'!$C$17 &amp;
            MATCH(I264, INDIRECT("'" &amp; 'Hulp (overig)'!$C$16 &amp; "'!A1:A1000"), 0) &amp;
            ":" &amp;
            'Hulp (overig)'!$C$17 &amp;
LOOKUP(
    2,
    1 / (
        (ROW(INDIRECT("'" &amp; 'Hulp (overig)'!$C$16 &amp; "'!B1:B1000")) &lt;
            IF(J264&lt;&gt;"",
               MATCH(J264, INDIRECT("'" &amp; 'Hulp (overig)'!$C$16 &amp; "'!A1:A1000"),0),
               1000
            )
        ) *
        (LEFT(TRIM(INDIRECT("'" &amp; 'Hulp (overig)'!$C$16 &amp; "'!B1:B1000")),1) &lt;&gt; "u")
    ),
    ROW(INDIRECT("'" &amp; 'Hulp (overig)'!$C$16 &amp; "'!B1:B1000"))
)
        )
    ) * I265
),
IF(I266="","",
IF(
    IFERROR(MIN(
        IF(
            (TRIM(INDIRECT("'" &amp; 'Hulp (overig)'!$C$16 &amp; "'!B1:B1000")) = TEXT(I266,"0")) *
            (ROW(INDIRECT("'" &amp; 'Hulp (overig)'!$C$16 &amp; "'!B1:B1000")) &gt;= MATCH(
                I264,
                INDIRECT("'" &amp; 'Hulp (overig)'!$C$16 &amp; "'!A1:A1000"),
                0
            )) *
            IF(
                J264="",
                1,
                (ROW(INDIRECT("'" &amp; 'Hulp (overig)'!$C$16 &amp; "'!B1:B1000")) &lt; MATCH(
                    J264,
                    INDIRECT("'" &amp; 'Hulp (overig)'!$C$16 &amp; "'!A1:A1000"),
                    0
                ))
            ),
            ROW(INDIRECT("'" &amp; 'Hulp (overig)'!$C$16 &amp; "'!B1:B1000"))
        )
    ),0) &lt; 1,
    "",
    IF(INDEX(
        INDIRECT("'" &amp; 'Hulp (overig)'!$C$16 &amp; "'!" &amp;
        'Hulp (overig)'!$C$17 &amp; "1:" &amp; 'Hulp (overig)'!$C$17 &amp; 1000
        ),
        IFERROR(MIN(
            IF(
                (TRIM(INDIRECT("'" &amp; 'Hulp (overig)'!$C$16 &amp; "'!B1:B1000")) = TEXT(I266,"0")) *
                (ROW(INDIRECT("'" &amp; 'Hulp (overig)'!$C$16 &amp; "'!B1:B1000")) &gt;= MATCH(
                    I264,
                    INDIRECT("'" &amp; 'Hulp (overig)'!$C$16 &amp; "'!A1:A1000"),
                    0
                )) *
                IF(
                    J264="",
                    1,
                    (ROW(INDIRECT("'" &amp; 'Hulp (overig)'!$C$16 &amp; "'!B1:B1000")) &lt; MATCH(
                        J264,
                        INDIRECT("'" &amp; 'Hulp (overig)'!$C$16 &amp; "'!A1:A1000"),
                        0
                    ))
                ),
                ROW(INDIRECT("'" &amp; 'Hulp (overig)'!$C$16 &amp; "'!B1:B1000"))
            )
        ),0)
    )=0,"",
INDEX(
        INDIRECT("'" &amp; 'Hulp (overig)'!$C$16 &amp; "'!" &amp;
        'Hulp (overig)'!$C$17 &amp; "1:" &amp; 'Hulp (overig)'!$C$17 &amp; 1000
        ),
        IFERROR(MIN(
            IF(
                (TRIM(INDIRECT("'" &amp; 'Hulp (overig)'!$C$16 &amp; "'!B1:B1000")) = TEXT(I266,"0")) *
                (ROW(INDIRECT("'" &amp; 'Hulp (overig)'!$C$16 &amp; "'!B1:B1000")) &gt;= MATCH(
                    I264,
                    INDIRECT("'" &amp; 'Hulp (overig)'!$C$16 &amp; "'!A1:A1000"),
                    0
                )) *
                IF(
                    J264="",
                    1,
                    (ROW(INDIRECT("'" &amp; 'Hulp (overig)'!$C$16 &amp; "'!B1:B1000")) &lt; MATCH(
                        J264,
                        INDIRECT("'" &amp; 'Hulp (overig)'!$C$16 &amp; "'!A1:A1000"),
                        0
                    ))
                ),
                ROW(INDIRECT("'" &amp; 'Hulp (overig)'!$C$16 &amp; "'!B1:B1000"))
            )
        ),0)
    ))
))))</f>
        <v>#VALUE!</v>
      </c>
      <c r="J267" s="425" t="e" cm="1">
        <f t="array" aca="1" ref="J267" ca="1">IF($BF267, IF(J264="","",
   INDEX(
      INDIRECT("'" &amp; 'Hulp (CAO''s)'!$AE$8 &amp; "'!" &amp;
               'Hulp (overig)'!$C$17 &amp; "1:" &amp;
               'Hulp (overig)'!$C$17 &amp; "1000"),
      MATCH(
         J264,
         INDIRECT("'" &amp; 'Hulp (CAO''s)'!$AE$8 &amp; "'!A1:A1000"),
         0
      )
   )
), IF($D265="Gebruik % van maximum salaris",
IF(
    OR(J264="",J265=""),
    "",
    MAX(
        INDIRECT(
            "'" &amp; 'Hulp (overig)'!$C$16 &amp; "'!" &amp;
            'Hulp (overig)'!$C$17 &amp;
            MATCH(J264, INDIRECT("'" &amp; 'Hulp (overig)'!$C$16 &amp; "'!A1:A1000"), 0) &amp;
            ":" &amp;
            'Hulp (overig)'!$C$17 &amp;
LOOKUP(
    2,
    1 / (
        (ROW(INDIRECT("'" &amp; 'Hulp (overig)'!$C$16 &amp; "'!B1:B1000")) &lt;
            IF(K264&lt;&gt;"",
               MATCH(K264, INDIRECT("'" &amp; 'Hulp (overig)'!$C$16 &amp; "'!A1:A1000"),0),
               1000
            )
        ) *
        (LEFT(TRIM(INDIRECT("'" &amp; 'Hulp (overig)'!$C$16 &amp; "'!B1:B1000")),1) &lt;&gt; "u")
    ),
    ROW(INDIRECT("'" &amp; 'Hulp (overig)'!$C$16 &amp; "'!B1:B1000"))
)
        )
    ) * J265
),
IF(J266="","",
IF(
    IFERROR(MIN(
        IF(
            (TRIM(INDIRECT("'" &amp; 'Hulp (overig)'!$C$16 &amp; "'!B1:B1000")) = TEXT(J266,"0")) *
            (ROW(INDIRECT("'" &amp; 'Hulp (overig)'!$C$16 &amp; "'!B1:B1000")) &gt;= MATCH(
                J264,
                INDIRECT("'" &amp; 'Hulp (overig)'!$C$16 &amp; "'!A1:A1000"),
                0
            )) *
            IF(
                K264="",
                1,
                (ROW(INDIRECT("'" &amp; 'Hulp (overig)'!$C$16 &amp; "'!B1:B1000")) &lt; MATCH(
                    K264,
                    INDIRECT("'" &amp; 'Hulp (overig)'!$C$16 &amp; "'!A1:A1000"),
                    0
                ))
            ),
            ROW(INDIRECT("'" &amp; 'Hulp (overig)'!$C$16 &amp; "'!B1:B1000"))
        )
    ),0) &lt; 1,
    "",
    IF(INDEX(
        INDIRECT("'" &amp; 'Hulp (overig)'!$C$16 &amp; "'!" &amp;
        'Hulp (overig)'!$C$17 &amp; "1:" &amp; 'Hulp (overig)'!$C$17 &amp; 1000
        ),
        IFERROR(MIN(
            IF(
                (TRIM(INDIRECT("'" &amp; 'Hulp (overig)'!$C$16 &amp; "'!B1:B1000")) = TEXT(J266,"0")) *
                (ROW(INDIRECT("'" &amp; 'Hulp (overig)'!$C$16 &amp; "'!B1:B1000")) &gt;= MATCH(
                    J264,
                    INDIRECT("'" &amp; 'Hulp (overig)'!$C$16 &amp; "'!A1:A1000"),
                    0
                )) *
                IF(
                    K264="",
                    1,
                    (ROW(INDIRECT("'" &amp; 'Hulp (overig)'!$C$16 &amp; "'!B1:B1000")) &lt; MATCH(
                        K264,
                        INDIRECT("'" &amp; 'Hulp (overig)'!$C$16 &amp; "'!A1:A1000"),
                        0
                    ))
                ),
                ROW(INDIRECT("'" &amp; 'Hulp (overig)'!$C$16 &amp; "'!B1:B1000"))
            )
        ),0)
    )=0,"",
INDEX(
        INDIRECT("'" &amp; 'Hulp (overig)'!$C$16 &amp; "'!" &amp;
        'Hulp (overig)'!$C$17 &amp; "1:" &amp; 'Hulp (overig)'!$C$17 &amp; 1000
        ),
        IFERROR(MIN(
            IF(
                (TRIM(INDIRECT("'" &amp; 'Hulp (overig)'!$C$16 &amp; "'!B1:B1000")) = TEXT(J266,"0")) *
                (ROW(INDIRECT("'" &amp; 'Hulp (overig)'!$C$16 &amp; "'!B1:B1000")) &gt;= MATCH(
                    J264,
                    INDIRECT("'" &amp; 'Hulp (overig)'!$C$16 &amp; "'!A1:A1000"),
                    0
                )) *
                IF(
                    K264="",
                    1,
                    (ROW(INDIRECT("'" &amp; 'Hulp (overig)'!$C$16 &amp; "'!B1:B1000")) &lt; MATCH(
                        K264,
                        INDIRECT("'" &amp; 'Hulp (overig)'!$C$16 &amp; "'!A1:A1000"),
                        0
                    ))
                ),
                ROW(INDIRECT("'" &amp; 'Hulp (overig)'!$C$16 &amp; "'!B1:B1000"))
            )
        ),0)
    ))
))))</f>
        <v>#VALUE!</v>
      </c>
      <c r="K267" s="425" t="e" cm="1">
        <f t="array" aca="1" ref="K267" ca="1">IF($BF267, IF(K264="","",
   INDEX(
      INDIRECT("'" &amp; 'Hulp (CAO''s)'!$AE$8 &amp; "'!" &amp;
               'Hulp (overig)'!$C$17 &amp; "1:" &amp;
               'Hulp (overig)'!$C$17 &amp; "1000"),
      MATCH(
         K264,
         INDIRECT("'" &amp; 'Hulp (CAO''s)'!$AE$8 &amp; "'!A1:A1000"),
         0
      )
   )
), IF($D265="Gebruik % van maximum salaris",
IF(
    OR(K264="",K265=""),
    "",
    MAX(
        INDIRECT(
            "'" &amp; 'Hulp (overig)'!$C$16 &amp; "'!" &amp;
            'Hulp (overig)'!$C$17 &amp;
            MATCH(K264, INDIRECT("'" &amp; 'Hulp (overig)'!$C$16 &amp; "'!A1:A1000"), 0) &amp;
            ":" &amp;
            'Hulp (overig)'!$C$17 &amp;
LOOKUP(
    2,
    1 / (
        (ROW(INDIRECT("'" &amp; 'Hulp (overig)'!$C$16 &amp; "'!B1:B1000")) &lt;
            IF(L264&lt;&gt;"",
               MATCH(L264, INDIRECT("'" &amp; 'Hulp (overig)'!$C$16 &amp; "'!A1:A1000"),0),
               1000
            )
        ) *
        (LEFT(TRIM(INDIRECT("'" &amp; 'Hulp (overig)'!$C$16 &amp; "'!B1:B1000")),1) &lt;&gt; "u")
    ),
    ROW(INDIRECT("'" &amp; 'Hulp (overig)'!$C$16 &amp; "'!B1:B1000"))
)
        )
    ) * K265
),
IF(K266="","",
IF(
    IFERROR(MIN(
        IF(
            (TRIM(INDIRECT("'" &amp; 'Hulp (overig)'!$C$16 &amp; "'!B1:B1000")) = TEXT(K266,"0")) *
            (ROW(INDIRECT("'" &amp; 'Hulp (overig)'!$C$16 &amp; "'!B1:B1000")) &gt;= MATCH(
                K264,
                INDIRECT("'" &amp; 'Hulp (overig)'!$C$16 &amp; "'!A1:A1000"),
                0
            )) *
            IF(
                L264="",
                1,
                (ROW(INDIRECT("'" &amp; 'Hulp (overig)'!$C$16 &amp; "'!B1:B1000")) &lt; MATCH(
                    L264,
                    INDIRECT("'" &amp; 'Hulp (overig)'!$C$16 &amp; "'!A1:A1000"),
                    0
                ))
            ),
            ROW(INDIRECT("'" &amp; 'Hulp (overig)'!$C$16 &amp; "'!B1:B1000"))
        )
    ),0) &lt; 1,
    "",
    IF(INDEX(
        INDIRECT("'" &amp; 'Hulp (overig)'!$C$16 &amp; "'!" &amp;
        'Hulp (overig)'!$C$17 &amp; "1:" &amp; 'Hulp (overig)'!$C$17 &amp; 1000
        ),
        IFERROR(MIN(
            IF(
                (TRIM(INDIRECT("'" &amp; 'Hulp (overig)'!$C$16 &amp; "'!B1:B1000")) = TEXT(K266,"0")) *
                (ROW(INDIRECT("'" &amp; 'Hulp (overig)'!$C$16 &amp; "'!B1:B1000")) &gt;= MATCH(
                    K264,
                    INDIRECT("'" &amp; 'Hulp (overig)'!$C$16 &amp; "'!A1:A1000"),
                    0
                )) *
                IF(
                    L264="",
                    1,
                    (ROW(INDIRECT("'" &amp; 'Hulp (overig)'!$C$16 &amp; "'!B1:B1000")) &lt; MATCH(
                        L264,
                        INDIRECT("'" &amp; 'Hulp (overig)'!$C$16 &amp; "'!A1:A1000"),
                        0
                    ))
                ),
                ROW(INDIRECT("'" &amp; 'Hulp (overig)'!$C$16 &amp; "'!B1:B1000"))
            )
        ),0)
    )=0,"",
INDEX(
        INDIRECT("'" &amp; 'Hulp (overig)'!$C$16 &amp; "'!" &amp;
        'Hulp (overig)'!$C$17 &amp; "1:" &amp; 'Hulp (overig)'!$C$17 &amp; 1000
        ),
        IFERROR(MIN(
            IF(
                (TRIM(INDIRECT("'" &amp; 'Hulp (overig)'!$C$16 &amp; "'!B1:B1000")) = TEXT(K266,"0")) *
                (ROW(INDIRECT("'" &amp; 'Hulp (overig)'!$C$16 &amp; "'!B1:B1000")) &gt;= MATCH(
                    K264,
                    INDIRECT("'" &amp; 'Hulp (overig)'!$C$16 &amp; "'!A1:A1000"),
                    0
                )) *
                IF(
                    L264="",
                    1,
                    (ROW(INDIRECT("'" &amp; 'Hulp (overig)'!$C$16 &amp; "'!B1:B1000")) &lt; MATCH(
                        L264,
                        INDIRECT("'" &amp; 'Hulp (overig)'!$C$16 &amp; "'!A1:A1000"),
                        0
                    ))
                ),
                ROW(INDIRECT("'" &amp; 'Hulp (overig)'!$C$16 &amp; "'!B1:B1000"))
            )
        ),0)
    ))
))))</f>
        <v>#VALUE!</v>
      </c>
      <c r="L267" s="425" t="e" cm="1">
        <f t="array" aca="1" ref="L267" ca="1">IF($BF267, IF(L264="","",
   INDEX(
      INDIRECT("'" &amp; 'Hulp (CAO''s)'!$AE$8 &amp; "'!" &amp;
               'Hulp (overig)'!$C$17 &amp; "1:" &amp;
               'Hulp (overig)'!$C$17 &amp; "1000"),
      MATCH(
         L264,
         INDIRECT("'" &amp; 'Hulp (CAO''s)'!$AE$8 &amp; "'!A1:A1000"),
         0
      )
   )
), IF($D265="Gebruik % van maximum salaris",
IF(
    OR(L264="",L265=""),
    "",
    MAX(
        INDIRECT(
            "'" &amp; 'Hulp (overig)'!$C$16 &amp; "'!" &amp;
            'Hulp (overig)'!$C$17 &amp;
            MATCH(L264, INDIRECT("'" &amp; 'Hulp (overig)'!$C$16 &amp; "'!A1:A1000"), 0) &amp;
            ":" &amp;
            'Hulp (overig)'!$C$17 &amp;
LOOKUP(
    2,
    1 / (
        (ROW(INDIRECT("'" &amp; 'Hulp (overig)'!$C$16 &amp; "'!B1:B1000")) &lt;
            IF(M264&lt;&gt;"",
               MATCH(M264, INDIRECT("'" &amp; 'Hulp (overig)'!$C$16 &amp; "'!A1:A1000"),0),
               1000
            )
        ) *
        (LEFT(TRIM(INDIRECT("'" &amp; 'Hulp (overig)'!$C$16 &amp; "'!B1:B1000")),1) &lt;&gt; "u")
    ),
    ROW(INDIRECT("'" &amp; 'Hulp (overig)'!$C$16 &amp; "'!B1:B1000"))
)
        )
    ) * L265
),
IF(L266="","",
IF(
    IFERROR(MIN(
        IF(
            (TRIM(INDIRECT("'" &amp; 'Hulp (overig)'!$C$16 &amp; "'!B1:B1000")) = TEXT(L266,"0")) *
            (ROW(INDIRECT("'" &amp; 'Hulp (overig)'!$C$16 &amp; "'!B1:B1000")) &gt;= MATCH(
                L264,
                INDIRECT("'" &amp; 'Hulp (overig)'!$C$16 &amp; "'!A1:A1000"),
                0
            )) *
            IF(
                M264="",
                1,
                (ROW(INDIRECT("'" &amp; 'Hulp (overig)'!$C$16 &amp; "'!B1:B1000")) &lt; MATCH(
                    M264,
                    INDIRECT("'" &amp; 'Hulp (overig)'!$C$16 &amp; "'!A1:A1000"),
                    0
                ))
            ),
            ROW(INDIRECT("'" &amp; 'Hulp (overig)'!$C$16 &amp; "'!B1:B1000"))
        )
    ),0) &lt; 1,
    "",
    IF(INDEX(
        INDIRECT("'" &amp; 'Hulp (overig)'!$C$16 &amp; "'!" &amp;
        'Hulp (overig)'!$C$17 &amp; "1:" &amp; 'Hulp (overig)'!$C$17 &amp; 1000
        ),
        IFERROR(MIN(
            IF(
                (TRIM(INDIRECT("'" &amp; 'Hulp (overig)'!$C$16 &amp; "'!B1:B1000")) = TEXT(L266,"0")) *
                (ROW(INDIRECT("'" &amp; 'Hulp (overig)'!$C$16 &amp; "'!B1:B1000")) &gt;= MATCH(
                    L264,
                    INDIRECT("'" &amp; 'Hulp (overig)'!$C$16 &amp; "'!A1:A1000"),
                    0
                )) *
                IF(
                    M264="",
                    1,
                    (ROW(INDIRECT("'" &amp; 'Hulp (overig)'!$C$16 &amp; "'!B1:B1000")) &lt; MATCH(
                        M264,
                        INDIRECT("'" &amp; 'Hulp (overig)'!$C$16 &amp; "'!A1:A1000"),
                        0
                    ))
                ),
                ROW(INDIRECT("'" &amp; 'Hulp (overig)'!$C$16 &amp; "'!B1:B1000"))
            )
        ),0)
    )=0,"",
INDEX(
        INDIRECT("'" &amp; 'Hulp (overig)'!$C$16 &amp; "'!" &amp;
        'Hulp (overig)'!$C$17 &amp; "1:" &amp; 'Hulp (overig)'!$C$17 &amp; 1000
        ),
        IFERROR(MIN(
            IF(
                (TRIM(INDIRECT("'" &amp; 'Hulp (overig)'!$C$16 &amp; "'!B1:B1000")) = TEXT(L266,"0")) *
                (ROW(INDIRECT("'" &amp; 'Hulp (overig)'!$C$16 &amp; "'!B1:B1000")) &gt;= MATCH(
                    L264,
                    INDIRECT("'" &amp; 'Hulp (overig)'!$C$16 &amp; "'!A1:A1000"),
                    0
                )) *
                IF(
                    M264="",
                    1,
                    (ROW(INDIRECT("'" &amp; 'Hulp (overig)'!$C$16 &amp; "'!B1:B1000")) &lt; MATCH(
                        M264,
                        INDIRECT("'" &amp; 'Hulp (overig)'!$C$16 &amp; "'!A1:A1000"),
                        0
                    ))
                ),
                ROW(INDIRECT("'" &amp; 'Hulp (overig)'!$C$16 &amp; "'!B1:B1000"))
            )
        ),0)
    ))
))))</f>
        <v>#VALUE!</v>
      </c>
      <c r="M267" s="425" t="e" cm="1">
        <f t="array" aca="1" ref="M267" ca="1">IF($BF267, IF(M264="","",
   INDEX(
      INDIRECT("'" &amp; 'Hulp (CAO''s)'!$AE$8 &amp; "'!" &amp;
               'Hulp (overig)'!$C$17 &amp; "1:" &amp;
               'Hulp (overig)'!$C$17 &amp; "1000"),
      MATCH(
         M264,
         INDIRECT("'" &amp; 'Hulp (CAO''s)'!$AE$8 &amp; "'!A1:A1000"),
         0
      )
   )
), IF($D265="Gebruik % van maximum salaris",
IF(
    OR(M264="",M265=""),
    "",
    MAX(
        INDIRECT(
            "'" &amp; 'Hulp (overig)'!$C$16 &amp; "'!" &amp;
            'Hulp (overig)'!$C$17 &amp;
            MATCH(M264, INDIRECT("'" &amp; 'Hulp (overig)'!$C$16 &amp; "'!A1:A1000"), 0) &amp;
            ":" &amp;
            'Hulp (overig)'!$C$17 &amp;
LOOKUP(
    2,
    1 / (
        (ROW(INDIRECT("'" &amp; 'Hulp (overig)'!$C$16 &amp; "'!B1:B1000")) &lt;
            IF(N264&lt;&gt;"",
               MATCH(N264, INDIRECT("'" &amp; 'Hulp (overig)'!$C$16 &amp; "'!A1:A1000"),0),
               1000
            )
        ) *
        (LEFT(TRIM(INDIRECT("'" &amp; 'Hulp (overig)'!$C$16 &amp; "'!B1:B1000")),1) &lt;&gt; "u")
    ),
    ROW(INDIRECT("'" &amp; 'Hulp (overig)'!$C$16 &amp; "'!B1:B1000"))
)
        )
    ) * M265
),
IF(M266="","",
IF(
    IFERROR(MIN(
        IF(
            (TRIM(INDIRECT("'" &amp; 'Hulp (overig)'!$C$16 &amp; "'!B1:B1000")) = TEXT(M266,"0")) *
            (ROW(INDIRECT("'" &amp; 'Hulp (overig)'!$C$16 &amp; "'!B1:B1000")) &gt;= MATCH(
                M264,
                INDIRECT("'" &amp; 'Hulp (overig)'!$C$16 &amp; "'!A1:A1000"),
                0
            )) *
            IF(
                N264="",
                1,
                (ROW(INDIRECT("'" &amp; 'Hulp (overig)'!$C$16 &amp; "'!B1:B1000")) &lt; MATCH(
                    N264,
                    INDIRECT("'" &amp; 'Hulp (overig)'!$C$16 &amp; "'!A1:A1000"),
                    0
                ))
            ),
            ROW(INDIRECT("'" &amp; 'Hulp (overig)'!$C$16 &amp; "'!B1:B1000"))
        )
    ),0) &lt; 1,
    "",
    IF(INDEX(
        INDIRECT("'" &amp; 'Hulp (overig)'!$C$16 &amp; "'!" &amp;
        'Hulp (overig)'!$C$17 &amp; "1:" &amp; 'Hulp (overig)'!$C$17 &amp; 1000
        ),
        IFERROR(MIN(
            IF(
                (TRIM(INDIRECT("'" &amp; 'Hulp (overig)'!$C$16 &amp; "'!B1:B1000")) = TEXT(M266,"0")) *
                (ROW(INDIRECT("'" &amp; 'Hulp (overig)'!$C$16 &amp; "'!B1:B1000")) &gt;= MATCH(
                    M264,
                    INDIRECT("'" &amp; 'Hulp (overig)'!$C$16 &amp; "'!A1:A1000"),
                    0
                )) *
                IF(
                    N264="",
                    1,
                    (ROW(INDIRECT("'" &amp; 'Hulp (overig)'!$C$16 &amp; "'!B1:B1000")) &lt; MATCH(
                        N264,
                        INDIRECT("'" &amp; 'Hulp (overig)'!$C$16 &amp; "'!A1:A1000"),
                        0
                    ))
                ),
                ROW(INDIRECT("'" &amp; 'Hulp (overig)'!$C$16 &amp; "'!B1:B1000"))
            )
        ),0)
    )=0,"",
INDEX(
        INDIRECT("'" &amp; 'Hulp (overig)'!$C$16 &amp; "'!" &amp;
        'Hulp (overig)'!$C$17 &amp; "1:" &amp; 'Hulp (overig)'!$C$17 &amp; 1000
        ),
        IFERROR(MIN(
            IF(
                (TRIM(INDIRECT("'" &amp; 'Hulp (overig)'!$C$16 &amp; "'!B1:B1000")) = TEXT(M266,"0")) *
                (ROW(INDIRECT("'" &amp; 'Hulp (overig)'!$C$16 &amp; "'!B1:B1000")) &gt;= MATCH(
                    M264,
                    INDIRECT("'" &amp; 'Hulp (overig)'!$C$16 &amp; "'!A1:A1000"),
                    0
                )) *
                IF(
                    N264="",
                    1,
                    (ROW(INDIRECT("'" &amp; 'Hulp (overig)'!$C$16 &amp; "'!B1:B1000")) &lt; MATCH(
                        N264,
                        INDIRECT("'" &amp; 'Hulp (overig)'!$C$16 &amp; "'!A1:A1000"),
                        0
                    ))
                ),
                ROW(INDIRECT("'" &amp; 'Hulp (overig)'!$C$16 &amp; "'!B1:B1000"))
            )
        ),0)
    ))
))))</f>
        <v>#VALUE!</v>
      </c>
      <c r="N267" s="425" t="e" cm="1">
        <f t="array" aca="1" ref="N267" ca="1">IF($BF267, IF(N264="","",
   INDEX(
      INDIRECT("'" &amp; 'Hulp (CAO''s)'!$AE$8 &amp; "'!" &amp;
               'Hulp (overig)'!$C$17 &amp; "1:" &amp;
               'Hulp (overig)'!$C$17 &amp; "1000"),
      MATCH(
         N264,
         INDIRECT("'" &amp; 'Hulp (CAO''s)'!$AE$8 &amp; "'!A1:A1000"),
         0
      )
   )
), IF($D265="Gebruik % van maximum salaris",
IF(
    OR(N264="",N265=""),
    "",
    MAX(
        INDIRECT(
            "'" &amp; 'Hulp (overig)'!$C$16 &amp; "'!" &amp;
            'Hulp (overig)'!$C$17 &amp;
            MATCH(N264, INDIRECT("'" &amp; 'Hulp (overig)'!$C$16 &amp; "'!A1:A1000"), 0) &amp;
            ":" &amp;
            'Hulp (overig)'!$C$17 &amp;
LOOKUP(
    2,
    1 / (
        (ROW(INDIRECT("'" &amp; 'Hulp (overig)'!$C$16 &amp; "'!B1:B1000")) &lt;
            IF(O264&lt;&gt;"",
               MATCH(O264, INDIRECT("'" &amp; 'Hulp (overig)'!$C$16 &amp; "'!A1:A1000"),0),
               1000
            )
        ) *
        (LEFT(TRIM(INDIRECT("'" &amp; 'Hulp (overig)'!$C$16 &amp; "'!B1:B1000")),1) &lt;&gt; "u")
    ),
    ROW(INDIRECT("'" &amp; 'Hulp (overig)'!$C$16 &amp; "'!B1:B1000"))
)
        )
    ) * N265
),
IF(N266="","",
IF(
    IFERROR(MIN(
        IF(
            (TRIM(INDIRECT("'" &amp; 'Hulp (overig)'!$C$16 &amp; "'!B1:B1000")) = TEXT(N266,"0")) *
            (ROW(INDIRECT("'" &amp; 'Hulp (overig)'!$C$16 &amp; "'!B1:B1000")) &gt;= MATCH(
                N264,
                INDIRECT("'" &amp; 'Hulp (overig)'!$C$16 &amp; "'!A1:A1000"),
                0
            )) *
            IF(
                O264="",
                1,
                (ROW(INDIRECT("'" &amp; 'Hulp (overig)'!$C$16 &amp; "'!B1:B1000")) &lt; MATCH(
                    O264,
                    INDIRECT("'" &amp; 'Hulp (overig)'!$C$16 &amp; "'!A1:A1000"),
                    0
                ))
            ),
            ROW(INDIRECT("'" &amp; 'Hulp (overig)'!$C$16 &amp; "'!B1:B1000"))
        )
    ),0) &lt; 1,
    "",
    IF(INDEX(
        INDIRECT("'" &amp; 'Hulp (overig)'!$C$16 &amp; "'!" &amp;
        'Hulp (overig)'!$C$17 &amp; "1:" &amp; 'Hulp (overig)'!$C$17 &amp; 1000
        ),
        IFERROR(MIN(
            IF(
                (TRIM(INDIRECT("'" &amp; 'Hulp (overig)'!$C$16 &amp; "'!B1:B1000")) = TEXT(N266,"0")) *
                (ROW(INDIRECT("'" &amp; 'Hulp (overig)'!$C$16 &amp; "'!B1:B1000")) &gt;= MATCH(
                    N264,
                    INDIRECT("'" &amp; 'Hulp (overig)'!$C$16 &amp; "'!A1:A1000"),
                    0
                )) *
                IF(
                    O264="",
                    1,
                    (ROW(INDIRECT("'" &amp; 'Hulp (overig)'!$C$16 &amp; "'!B1:B1000")) &lt; MATCH(
                        O264,
                        INDIRECT("'" &amp; 'Hulp (overig)'!$C$16 &amp; "'!A1:A1000"),
                        0
                    ))
                ),
                ROW(INDIRECT("'" &amp; 'Hulp (overig)'!$C$16 &amp; "'!B1:B1000"))
            )
        ),0)
    )=0,"",
INDEX(
        INDIRECT("'" &amp; 'Hulp (overig)'!$C$16 &amp; "'!" &amp;
        'Hulp (overig)'!$C$17 &amp; "1:" &amp; 'Hulp (overig)'!$C$17 &amp; 1000
        ),
        IFERROR(MIN(
            IF(
                (TRIM(INDIRECT("'" &amp; 'Hulp (overig)'!$C$16 &amp; "'!B1:B1000")) = TEXT(N266,"0")) *
                (ROW(INDIRECT("'" &amp; 'Hulp (overig)'!$C$16 &amp; "'!B1:B1000")) &gt;= MATCH(
                    N264,
                    INDIRECT("'" &amp; 'Hulp (overig)'!$C$16 &amp; "'!A1:A1000"),
                    0
                )) *
                IF(
                    O264="",
                    1,
                    (ROW(INDIRECT("'" &amp; 'Hulp (overig)'!$C$16 &amp; "'!B1:B1000")) &lt; MATCH(
                        O264,
                        INDIRECT("'" &amp; 'Hulp (overig)'!$C$16 &amp; "'!A1:A1000"),
                        0
                    ))
                ),
                ROW(INDIRECT("'" &amp; 'Hulp (overig)'!$C$16 &amp; "'!B1:B1000"))
            )
        ),0)
    ))
))))</f>
        <v>#VALUE!</v>
      </c>
      <c r="O267" s="425" t="e" cm="1">
        <f t="array" aca="1" ref="O267" ca="1">IF($BF267, IF(O264="","",
   INDEX(
      INDIRECT("'" &amp; 'Hulp (CAO''s)'!$AE$8 &amp; "'!" &amp;
               'Hulp (overig)'!$C$17 &amp; "1:" &amp;
               'Hulp (overig)'!$C$17 &amp; "1000"),
      MATCH(
         O264,
         INDIRECT("'" &amp; 'Hulp (CAO''s)'!$AE$8 &amp; "'!A1:A1000"),
         0
      )
   )
), IF($D265="Gebruik % van maximum salaris",
IF(
    OR(O264="",O265=""),
    "",
    MAX(
        INDIRECT(
            "'" &amp; 'Hulp (overig)'!$C$16 &amp; "'!" &amp;
            'Hulp (overig)'!$C$17 &amp;
            MATCH(O264, INDIRECT("'" &amp; 'Hulp (overig)'!$C$16 &amp; "'!A1:A1000"), 0) &amp;
            ":" &amp;
            'Hulp (overig)'!$C$17 &amp;
LOOKUP(
    2,
    1 / (
        (ROW(INDIRECT("'" &amp; 'Hulp (overig)'!$C$16 &amp; "'!B1:B1000")) &lt;
            IF(P264&lt;&gt;"",
               MATCH(P264, INDIRECT("'" &amp; 'Hulp (overig)'!$C$16 &amp; "'!A1:A1000"),0),
               1000
            )
        ) *
        (LEFT(TRIM(INDIRECT("'" &amp; 'Hulp (overig)'!$C$16 &amp; "'!B1:B1000")),1) &lt;&gt; "u")
    ),
    ROW(INDIRECT("'" &amp; 'Hulp (overig)'!$C$16 &amp; "'!B1:B1000"))
)
        )
    ) * O265
),
IF(O266="","",
IF(
    IFERROR(MIN(
        IF(
            (TRIM(INDIRECT("'" &amp; 'Hulp (overig)'!$C$16 &amp; "'!B1:B1000")) = TEXT(O266,"0")) *
            (ROW(INDIRECT("'" &amp; 'Hulp (overig)'!$C$16 &amp; "'!B1:B1000")) &gt;= MATCH(
                O264,
                INDIRECT("'" &amp; 'Hulp (overig)'!$C$16 &amp; "'!A1:A1000"),
                0
            )) *
            IF(
                P264="",
                1,
                (ROW(INDIRECT("'" &amp; 'Hulp (overig)'!$C$16 &amp; "'!B1:B1000")) &lt; MATCH(
                    P264,
                    INDIRECT("'" &amp; 'Hulp (overig)'!$C$16 &amp; "'!A1:A1000"),
                    0
                ))
            ),
            ROW(INDIRECT("'" &amp; 'Hulp (overig)'!$C$16 &amp; "'!B1:B1000"))
        )
    ),0) &lt; 1,
    "",
    IF(INDEX(
        INDIRECT("'" &amp; 'Hulp (overig)'!$C$16 &amp; "'!" &amp;
        'Hulp (overig)'!$C$17 &amp; "1:" &amp; 'Hulp (overig)'!$C$17 &amp; 1000
        ),
        IFERROR(MIN(
            IF(
                (TRIM(INDIRECT("'" &amp; 'Hulp (overig)'!$C$16 &amp; "'!B1:B1000")) = TEXT(O266,"0")) *
                (ROW(INDIRECT("'" &amp; 'Hulp (overig)'!$C$16 &amp; "'!B1:B1000")) &gt;= MATCH(
                    O264,
                    INDIRECT("'" &amp; 'Hulp (overig)'!$C$16 &amp; "'!A1:A1000"),
                    0
                )) *
                IF(
                    P264="",
                    1,
                    (ROW(INDIRECT("'" &amp; 'Hulp (overig)'!$C$16 &amp; "'!B1:B1000")) &lt; MATCH(
                        P264,
                        INDIRECT("'" &amp; 'Hulp (overig)'!$C$16 &amp; "'!A1:A1000"),
                        0
                    ))
                ),
                ROW(INDIRECT("'" &amp; 'Hulp (overig)'!$C$16 &amp; "'!B1:B1000"))
            )
        ),0)
    )=0,"",
INDEX(
        INDIRECT("'" &amp; 'Hulp (overig)'!$C$16 &amp; "'!" &amp;
        'Hulp (overig)'!$C$17 &amp; "1:" &amp; 'Hulp (overig)'!$C$17 &amp; 1000
        ),
        IFERROR(MIN(
            IF(
                (TRIM(INDIRECT("'" &amp; 'Hulp (overig)'!$C$16 &amp; "'!B1:B1000")) = TEXT(O266,"0")) *
                (ROW(INDIRECT("'" &amp; 'Hulp (overig)'!$C$16 &amp; "'!B1:B1000")) &gt;= MATCH(
                    O264,
                    INDIRECT("'" &amp; 'Hulp (overig)'!$C$16 &amp; "'!A1:A1000"),
                    0
                )) *
                IF(
                    P264="",
                    1,
                    (ROW(INDIRECT("'" &amp; 'Hulp (overig)'!$C$16 &amp; "'!B1:B1000")) &lt; MATCH(
                        P264,
                        INDIRECT("'" &amp; 'Hulp (overig)'!$C$16 &amp; "'!A1:A1000"),
                        0
                    ))
                ),
                ROW(INDIRECT("'" &amp; 'Hulp (overig)'!$C$16 &amp; "'!B1:B1000"))
            )
        ),0)
    ))
))))</f>
        <v>#VALUE!</v>
      </c>
      <c r="P267" s="425" t="e" cm="1">
        <f t="array" aca="1" ref="P267" ca="1">IF($BF267, IF(P264="","",
   INDEX(
      INDIRECT("'" &amp; 'Hulp (CAO''s)'!$AE$8 &amp; "'!" &amp;
               'Hulp (overig)'!$C$17 &amp; "1:" &amp;
               'Hulp (overig)'!$C$17 &amp; "1000"),
      MATCH(
         P264,
         INDIRECT("'" &amp; 'Hulp (CAO''s)'!$AE$8 &amp; "'!A1:A1000"),
         0
      )
   )
), IF($D265="Gebruik % van maximum salaris",
IF(
    OR(P264="",P265=""),
    "",
    MAX(
        INDIRECT(
            "'" &amp; 'Hulp (overig)'!$C$16 &amp; "'!" &amp;
            'Hulp (overig)'!$C$17 &amp;
            MATCH(P264, INDIRECT("'" &amp; 'Hulp (overig)'!$C$16 &amp; "'!A1:A1000"), 0) &amp;
            ":" &amp;
            'Hulp (overig)'!$C$17 &amp;
LOOKUP(
    2,
    1 / (
        (ROW(INDIRECT("'" &amp; 'Hulp (overig)'!$C$16 &amp; "'!B1:B1000")) &lt;
            IF(Q264&lt;&gt;"",
               MATCH(Q264, INDIRECT("'" &amp; 'Hulp (overig)'!$C$16 &amp; "'!A1:A1000"),0),
               1000
            )
        ) *
        (LEFT(TRIM(INDIRECT("'" &amp; 'Hulp (overig)'!$C$16 &amp; "'!B1:B1000")),1) &lt;&gt; "u")
    ),
    ROW(INDIRECT("'" &amp; 'Hulp (overig)'!$C$16 &amp; "'!B1:B1000"))
)
        )
    ) * P265
),
IF(P266="","",
IF(
    IFERROR(MIN(
        IF(
            (TRIM(INDIRECT("'" &amp; 'Hulp (overig)'!$C$16 &amp; "'!B1:B1000")) = TEXT(P266,"0")) *
            (ROW(INDIRECT("'" &amp; 'Hulp (overig)'!$C$16 &amp; "'!B1:B1000")) &gt;= MATCH(
                P264,
                INDIRECT("'" &amp; 'Hulp (overig)'!$C$16 &amp; "'!A1:A1000"),
                0
            )) *
            IF(
                Q264="",
                1,
                (ROW(INDIRECT("'" &amp; 'Hulp (overig)'!$C$16 &amp; "'!B1:B1000")) &lt; MATCH(
                    Q264,
                    INDIRECT("'" &amp; 'Hulp (overig)'!$C$16 &amp; "'!A1:A1000"),
                    0
                ))
            ),
            ROW(INDIRECT("'" &amp; 'Hulp (overig)'!$C$16 &amp; "'!B1:B1000"))
        )
    ),0) &lt; 1,
    "",
    IF(INDEX(
        INDIRECT("'" &amp; 'Hulp (overig)'!$C$16 &amp; "'!" &amp;
        'Hulp (overig)'!$C$17 &amp; "1:" &amp; 'Hulp (overig)'!$C$17 &amp; 1000
        ),
        IFERROR(MIN(
            IF(
                (TRIM(INDIRECT("'" &amp; 'Hulp (overig)'!$C$16 &amp; "'!B1:B1000")) = TEXT(P266,"0")) *
                (ROW(INDIRECT("'" &amp; 'Hulp (overig)'!$C$16 &amp; "'!B1:B1000")) &gt;= MATCH(
                    P264,
                    INDIRECT("'" &amp; 'Hulp (overig)'!$C$16 &amp; "'!A1:A1000"),
                    0
                )) *
                IF(
                    Q264="",
                    1,
                    (ROW(INDIRECT("'" &amp; 'Hulp (overig)'!$C$16 &amp; "'!B1:B1000")) &lt; MATCH(
                        Q264,
                        INDIRECT("'" &amp; 'Hulp (overig)'!$C$16 &amp; "'!A1:A1000"),
                        0
                    ))
                ),
                ROW(INDIRECT("'" &amp; 'Hulp (overig)'!$C$16 &amp; "'!B1:B1000"))
            )
        ),0)
    )=0,"",
INDEX(
        INDIRECT("'" &amp; 'Hulp (overig)'!$C$16 &amp; "'!" &amp;
        'Hulp (overig)'!$C$17 &amp; "1:" &amp; 'Hulp (overig)'!$C$17 &amp; 1000
        ),
        IFERROR(MIN(
            IF(
                (TRIM(INDIRECT("'" &amp; 'Hulp (overig)'!$C$16 &amp; "'!B1:B1000")) = TEXT(P266,"0")) *
                (ROW(INDIRECT("'" &amp; 'Hulp (overig)'!$C$16 &amp; "'!B1:B1000")) &gt;= MATCH(
                    P264,
                    INDIRECT("'" &amp; 'Hulp (overig)'!$C$16 &amp; "'!A1:A1000"),
                    0
                )) *
                IF(
                    Q264="",
                    1,
                    (ROW(INDIRECT("'" &amp; 'Hulp (overig)'!$C$16 &amp; "'!B1:B1000")) &lt; MATCH(
                        Q264,
                        INDIRECT("'" &amp; 'Hulp (overig)'!$C$16 &amp; "'!A1:A1000"),
                        0
                    ))
                ),
                ROW(INDIRECT("'" &amp; 'Hulp (overig)'!$C$16 &amp; "'!B1:B1000"))
            )
        ),0)
    ))
))))</f>
        <v>#VALUE!</v>
      </c>
      <c r="Q267" s="425" t="e" cm="1">
        <f t="array" aca="1" ref="Q267" ca="1">IF($BF267, IF(Q264="","",
   INDEX(
      INDIRECT("'" &amp; 'Hulp (CAO''s)'!$AE$8 &amp; "'!" &amp;
               'Hulp (overig)'!$C$17 &amp; "1:" &amp;
               'Hulp (overig)'!$C$17 &amp; "1000"),
      MATCH(
         Q264,
         INDIRECT("'" &amp; 'Hulp (CAO''s)'!$AE$8 &amp; "'!A1:A1000"),
         0
      )
   )
), IF($D265="Gebruik % van maximum salaris",
IF(
    OR(Q264="",Q265=""),
    "",
    MAX(
        INDIRECT(
            "'" &amp; 'Hulp (overig)'!$C$16 &amp; "'!" &amp;
            'Hulp (overig)'!$C$17 &amp;
            MATCH(Q264, INDIRECT("'" &amp; 'Hulp (overig)'!$C$16 &amp; "'!A1:A1000"), 0) &amp;
            ":" &amp;
            'Hulp (overig)'!$C$17 &amp;
LOOKUP(
    2,
    1 / (
        (ROW(INDIRECT("'" &amp; 'Hulp (overig)'!$C$16 &amp; "'!B1:B1000")) &lt;
            IF(R264&lt;&gt;"",
               MATCH(R264, INDIRECT("'" &amp; 'Hulp (overig)'!$C$16 &amp; "'!A1:A1000"),0),
               1000
            )
        ) *
        (LEFT(TRIM(INDIRECT("'" &amp; 'Hulp (overig)'!$C$16 &amp; "'!B1:B1000")),1) &lt;&gt; "u")
    ),
    ROW(INDIRECT("'" &amp; 'Hulp (overig)'!$C$16 &amp; "'!B1:B1000"))
)
        )
    ) * Q265
),
IF(Q266="","",
IF(
    IFERROR(MIN(
        IF(
            (TRIM(INDIRECT("'" &amp; 'Hulp (overig)'!$C$16 &amp; "'!B1:B1000")) = TEXT(Q266,"0")) *
            (ROW(INDIRECT("'" &amp; 'Hulp (overig)'!$C$16 &amp; "'!B1:B1000")) &gt;= MATCH(
                Q264,
                INDIRECT("'" &amp; 'Hulp (overig)'!$C$16 &amp; "'!A1:A1000"),
                0
            )) *
            IF(
                R264="",
                1,
                (ROW(INDIRECT("'" &amp; 'Hulp (overig)'!$C$16 &amp; "'!B1:B1000")) &lt; MATCH(
                    R264,
                    INDIRECT("'" &amp; 'Hulp (overig)'!$C$16 &amp; "'!A1:A1000"),
                    0
                ))
            ),
            ROW(INDIRECT("'" &amp; 'Hulp (overig)'!$C$16 &amp; "'!B1:B1000"))
        )
    ),0) &lt; 1,
    "",
    IF(INDEX(
        INDIRECT("'" &amp; 'Hulp (overig)'!$C$16 &amp; "'!" &amp;
        'Hulp (overig)'!$C$17 &amp; "1:" &amp; 'Hulp (overig)'!$C$17 &amp; 1000
        ),
        IFERROR(MIN(
            IF(
                (TRIM(INDIRECT("'" &amp; 'Hulp (overig)'!$C$16 &amp; "'!B1:B1000")) = TEXT(Q266,"0")) *
                (ROW(INDIRECT("'" &amp; 'Hulp (overig)'!$C$16 &amp; "'!B1:B1000")) &gt;= MATCH(
                    Q264,
                    INDIRECT("'" &amp; 'Hulp (overig)'!$C$16 &amp; "'!A1:A1000"),
                    0
                )) *
                IF(
                    R264="",
                    1,
                    (ROW(INDIRECT("'" &amp; 'Hulp (overig)'!$C$16 &amp; "'!B1:B1000")) &lt; MATCH(
                        R264,
                        INDIRECT("'" &amp; 'Hulp (overig)'!$C$16 &amp; "'!A1:A1000"),
                        0
                    ))
                ),
                ROW(INDIRECT("'" &amp; 'Hulp (overig)'!$C$16 &amp; "'!B1:B1000"))
            )
        ),0)
    )=0,"",
INDEX(
        INDIRECT("'" &amp; 'Hulp (overig)'!$C$16 &amp; "'!" &amp;
        'Hulp (overig)'!$C$17 &amp; "1:" &amp; 'Hulp (overig)'!$C$17 &amp; 1000
        ),
        IFERROR(MIN(
            IF(
                (TRIM(INDIRECT("'" &amp; 'Hulp (overig)'!$C$16 &amp; "'!B1:B1000")) = TEXT(Q266,"0")) *
                (ROW(INDIRECT("'" &amp; 'Hulp (overig)'!$C$16 &amp; "'!B1:B1000")) &gt;= MATCH(
                    Q264,
                    INDIRECT("'" &amp; 'Hulp (overig)'!$C$16 &amp; "'!A1:A1000"),
                    0
                )) *
                IF(
                    R264="",
                    1,
                    (ROW(INDIRECT("'" &amp; 'Hulp (overig)'!$C$16 &amp; "'!B1:B1000")) &lt; MATCH(
                        R264,
                        INDIRECT("'" &amp; 'Hulp (overig)'!$C$16 &amp; "'!A1:A1000"),
                        0
                    ))
                ),
                ROW(INDIRECT("'" &amp; 'Hulp (overig)'!$C$16 &amp; "'!B1:B1000"))
            )
        ),0)
    ))
))))</f>
        <v>#VALUE!</v>
      </c>
      <c r="R267" s="425" t="e" cm="1">
        <f t="array" aca="1" ref="R267" ca="1">IF($BF267, IF(R264="","",
   INDEX(
      INDIRECT("'" &amp; 'Hulp (CAO''s)'!$AE$8 &amp; "'!" &amp;
               'Hulp (overig)'!$C$17 &amp; "1:" &amp;
               'Hulp (overig)'!$C$17 &amp; "1000"),
      MATCH(
         R264,
         INDIRECT("'" &amp; 'Hulp (CAO''s)'!$AE$8 &amp; "'!A1:A1000"),
         0
      )
   )
), IF($D265="Gebruik % van maximum salaris",
IF(
    OR(R264="",R265=""),
    "",
    MAX(
        INDIRECT(
            "'" &amp; 'Hulp (overig)'!$C$16 &amp; "'!" &amp;
            'Hulp (overig)'!$C$17 &amp;
            MATCH(R264, INDIRECT("'" &amp; 'Hulp (overig)'!$C$16 &amp; "'!A1:A1000"), 0) &amp;
            ":" &amp;
            'Hulp (overig)'!$C$17 &amp;
LOOKUP(
    2,
    1 / (
        (ROW(INDIRECT("'" &amp; 'Hulp (overig)'!$C$16 &amp; "'!B1:B1000")) &lt;
            IF(S264&lt;&gt;"",
               MATCH(S264, INDIRECT("'" &amp; 'Hulp (overig)'!$C$16 &amp; "'!A1:A1000"),0),
               1000
            )
        ) *
        (LEFT(TRIM(INDIRECT("'" &amp; 'Hulp (overig)'!$C$16 &amp; "'!B1:B1000")),1) &lt;&gt; "u")
    ),
    ROW(INDIRECT("'" &amp; 'Hulp (overig)'!$C$16 &amp; "'!B1:B1000"))
)
        )
    ) * R265
),
IF(R266="","",
IF(
    IFERROR(MIN(
        IF(
            (TRIM(INDIRECT("'" &amp; 'Hulp (overig)'!$C$16 &amp; "'!B1:B1000")) = TEXT(R266,"0")) *
            (ROW(INDIRECT("'" &amp; 'Hulp (overig)'!$C$16 &amp; "'!B1:B1000")) &gt;= MATCH(
                R264,
                INDIRECT("'" &amp; 'Hulp (overig)'!$C$16 &amp; "'!A1:A1000"),
                0
            )) *
            IF(
                S264="",
                1,
                (ROW(INDIRECT("'" &amp; 'Hulp (overig)'!$C$16 &amp; "'!B1:B1000")) &lt; MATCH(
                    S264,
                    INDIRECT("'" &amp; 'Hulp (overig)'!$C$16 &amp; "'!A1:A1000"),
                    0
                ))
            ),
            ROW(INDIRECT("'" &amp; 'Hulp (overig)'!$C$16 &amp; "'!B1:B1000"))
        )
    ),0) &lt; 1,
    "",
    IF(INDEX(
        INDIRECT("'" &amp; 'Hulp (overig)'!$C$16 &amp; "'!" &amp;
        'Hulp (overig)'!$C$17 &amp; "1:" &amp; 'Hulp (overig)'!$C$17 &amp; 1000
        ),
        IFERROR(MIN(
            IF(
                (TRIM(INDIRECT("'" &amp; 'Hulp (overig)'!$C$16 &amp; "'!B1:B1000")) = TEXT(R266,"0")) *
                (ROW(INDIRECT("'" &amp; 'Hulp (overig)'!$C$16 &amp; "'!B1:B1000")) &gt;= MATCH(
                    R264,
                    INDIRECT("'" &amp; 'Hulp (overig)'!$C$16 &amp; "'!A1:A1000"),
                    0
                )) *
                IF(
                    S264="",
                    1,
                    (ROW(INDIRECT("'" &amp; 'Hulp (overig)'!$C$16 &amp; "'!B1:B1000")) &lt; MATCH(
                        S264,
                        INDIRECT("'" &amp; 'Hulp (overig)'!$C$16 &amp; "'!A1:A1000"),
                        0
                    ))
                ),
                ROW(INDIRECT("'" &amp; 'Hulp (overig)'!$C$16 &amp; "'!B1:B1000"))
            )
        ),0)
    )=0,"",
INDEX(
        INDIRECT("'" &amp; 'Hulp (overig)'!$C$16 &amp; "'!" &amp;
        'Hulp (overig)'!$C$17 &amp; "1:" &amp; 'Hulp (overig)'!$C$17 &amp; 1000
        ),
        IFERROR(MIN(
            IF(
                (TRIM(INDIRECT("'" &amp; 'Hulp (overig)'!$C$16 &amp; "'!B1:B1000")) = TEXT(R266,"0")) *
                (ROW(INDIRECT("'" &amp; 'Hulp (overig)'!$C$16 &amp; "'!B1:B1000")) &gt;= MATCH(
                    R264,
                    INDIRECT("'" &amp; 'Hulp (overig)'!$C$16 &amp; "'!A1:A1000"),
                    0
                )) *
                IF(
                    S264="",
                    1,
                    (ROW(INDIRECT("'" &amp; 'Hulp (overig)'!$C$16 &amp; "'!B1:B1000")) &lt; MATCH(
                        S264,
                        INDIRECT("'" &amp; 'Hulp (overig)'!$C$16 &amp; "'!A1:A1000"),
                        0
                    ))
                ),
                ROW(INDIRECT("'" &amp; 'Hulp (overig)'!$C$16 &amp; "'!B1:B1000"))
            )
        ),0)
    ))
))))</f>
        <v>#VALUE!</v>
      </c>
      <c r="S267" s="425" t="e" cm="1">
        <f t="array" aca="1" ref="S267" ca="1">IF($BF267, IF(S264="","",
   INDEX(
      INDIRECT("'" &amp; 'Hulp (CAO''s)'!$AE$8 &amp; "'!" &amp;
               'Hulp (overig)'!$C$17 &amp; "1:" &amp;
               'Hulp (overig)'!$C$17 &amp; "1000"),
      MATCH(
         S264,
         INDIRECT("'" &amp; 'Hulp (CAO''s)'!$AE$8 &amp; "'!A1:A1000"),
         0
      )
   )
), IF($D265="Gebruik % van maximum salaris",
IF(
    OR(S264="",S265=""),
    "",
    MAX(
        INDIRECT(
            "'" &amp; 'Hulp (overig)'!$C$16 &amp; "'!" &amp;
            'Hulp (overig)'!$C$17 &amp;
            MATCH(S264, INDIRECT("'" &amp; 'Hulp (overig)'!$C$16 &amp; "'!A1:A1000"), 0) &amp;
            ":" &amp;
            'Hulp (overig)'!$C$17 &amp;
LOOKUP(
    2,
    1 / (
        (ROW(INDIRECT("'" &amp; 'Hulp (overig)'!$C$16 &amp; "'!B1:B1000")) &lt;
            IF(T264&lt;&gt;"",
               MATCH(T264, INDIRECT("'" &amp; 'Hulp (overig)'!$C$16 &amp; "'!A1:A1000"),0),
               1000
            )
        ) *
        (LEFT(TRIM(INDIRECT("'" &amp; 'Hulp (overig)'!$C$16 &amp; "'!B1:B1000")),1) &lt;&gt; "u")
    ),
    ROW(INDIRECT("'" &amp; 'Hulp (overig)'!$C$16 &amp; "'!B1:B1000"))
)
        )
    ) * S265
),
IF(S266="","",
IF(
    IFERROR(MIN(
        IF(
            (TRIM(INDIRECT("'" &amp; 'Hulp (overig)'!$C$16 &amp; "'!B1:B1000")) = TEXT(S266,"0")) *
            (ROW(INDIRECT("'" &amp; 'Hulp (overig)'!$C$16 &amp; "'!B1:B1000")) &gt;= MATCH(
                S264,
                INDIRECT("'" &amp; 'Hulp (overig)'!$C$16 &amp; "'!A1:A1000"),
                0
            )) *
            IF(
                T264="",
                1,
                (ROW(INDIRECT("'" &amp; 'Hulp (overig)'!$C$16 &amp; "'!B1:B1000")) &lt; MATCH(
                    T264,
                    INDIRECT("'" &amp; 'Hulp (overig)'!$C$16 &amp; "'!A1:A1000"),
                    0
                ))
            ),
            ROW(INDIRECT("'" &amp; 'Hulp (overig)'!$C$16 &amp; "'!B1:B1000"))
        )
    ),0) &lt; 1,
    "",
    IF(INDEX(
        INDIRECT("'" &amp; 'Hulp (overig)'!$C$16 &amp; "'!" &amp;
        'Hulp (overig)'!$C$17 &amp; "1:" &amp; 'Hulp (overig)'!$C$17 &amp; 1000
        ),
        IFERROR(MIN(
            IF(
                (TRIM(INDIRECT("'" &amp; 'Hulp (overig)'!$C$16 &amp; "'!B1:B1000")) = TEXT(S266,"0")) *
                (ROW(INDIRECT("'" &amp; 'Hulp (overig)'!$C$16 &amp; "'!B1:B1000")) &gt;= MATCH(
                    S264,
                    INDIRECT("'" &amp; 'Hulp (overig)'!$C$16 &amp; "'!A1:A1000"),
                    0
                )) *
                IF(
                    T264="",
                    1,
                    (ROW(INDIRECT("'" &amp; 'Hulp (overig)'!$C$16 &amp; "'!B1:B1000")) &lt; MATCH(
                        T264,
                        INDIRECT("'" &amp; 'Hulp (overig)'!$C$16 &amp; "'!A1:A1000"),
                        0
                    ))
                ),
                ROW(INDIRECT("'" &amp; 'Hulp (overig)'!$C$16 &amp; "'!B1:B1000"))
            )
        ),0)
    )=0,"",
INDEX(
        INDIRECT("'" &amp; 'Hulp (overig)'!$C$16 &amp; "'!" &amp;
        'Hulp (overig)'!$C$17 &amp; "1:" &amp; 'Hulp (overig)'!$C$17 &amp; 1000
        ),
        IFERROR(MIN(
            IF(
                (TRIM(INDIRECT("'" &amp; 'Hulp (overig)'!$C$16 &amp; "'!B1:B1000")) = TEXT(S266,"0")) *
                (ROW(INDIRECT("'" &amp; 'Hulp (overig)'!$C$16 &amp; "'!B1:B1000")) &gt;= MATCH(
                    S264,
                    INDIRECT("'" &amp; 'Hulp (overig)'!$C$16 &amp; "'!A1:A1000"),
                    0
                )) *
                IF(
                    T264="",
                    1,
                    (ROW(INDIRECT("'" &amp; 'Hulp (overig)'!$C$16 &amp; "'!B1:B1000")) &lt; MATCH(
                        T264,
                        INDIRECT("'" &amp; 'Hulp (overig)'!$C$16 &amp; "'!A1:A1000"),
                        0
                    ))
                ),
                ROW(INDIRECT("'" &amp; 'Hulp (overig)'!$C$16 &amp; "'!B1:B1000"))
            )
        ),0)
    ))
))))</f>
        <v>#VALUE!</v>
      </c>
      <c r="T267" s="425" t="e" cm="1">
        <f t="array" aca="1" ref="T267" ca="1">IF($BF267, IF(T264="","",
   INDEX(
      INDIRECT("'" &amp; 'Hulp (CAO''s)'!$AE$8 &amp; "'!" &amp;
               'Hulp (overig)'!$C$17 &amp; "1:" &amp;
               'Hulp (overig)'!$C$17 &amp; "1000"),
      MATCH(
         T264,
         INDIRECT("'" &amp; 'Hulp (CAO''s)'!$AE$8 &amp; "'!A1:A1000"),
         0
      )
   )
), IF($D265="Gebruik % van maximum salaris",
IF(
    OR(T264="",T265=""),
    "",
    MAX(
        INDIRECT(
            "'" &amp; 'Hulp (overig)'!$C$16 &amp; "'!" &amp;
            'Hulp (overig)'!$C$17 &amp;
            MATCH(T264, INDIRECT("'" &amp; 'Hulp (overig)'!$C$16 &amp; "'!A1:A1000"), 0) &amp;
            ":" &amp;
            'Hulp (overig)'!$C$17 &amp;
LOOKUP(
    2,
    1 / (
        (ROW(INDIRECT("'" &amp; 'Hulp (overig)'!$C$16 &amp; "'!B1:B1000")) &lt;
            IF(U264&lt;&gt;"",
               MATCH(U264, INDIRECT("'" &amp; 'Hulp (overig)'!$C$16 &amp; "'!A1:A1000"),0),
               1000
            )
        ) *
        (LEFT(TRIM(INDIRECT("'" &amp; 'Hulp (overig)'!$C$16 &amp; "'!B1:B1000")),1) &lt;&gt; "u")
    ),
    ROW(INDIRECT("'" &amp; 'Hulp (overig)'!$C$16 &amp; "'!B1:B1000"))
)
        )
    ) * T265
),
IF(T266="","",
IF(
    IFERROR(MIN(
        IF(
            (TRIM(INDIRECT("'" &amp; 'Hulp (overig)'!$C$16 &amp; "'!B1:B1000")) = TEXT(T266,"0")) *
            (ROW(INDIRECT("'" &amp; 'Hulp (overig)'!$C$16 &amp; "'!B1:B1000")) &gt;= MATCH(
                T264,
                INDIRECT("'" &amp; 'Hulp (overig)'!$C$16 &amp; "'!A1:A1000"),
                0
            )) *
            IF(
                U264="",
                1,
                (ROW(INDIRECT("'" &amp; 'Hulp (overig)'!$C$16 &amp; "'!B1:B1000")) &lt; MATCH(
                    U264,
                    INDIRECT("'" &amp; 'Hulp (overig)'!$C$16 &amp; "'!A1:A1000"),
                    0
                ))
            ),
            ROW(INDIRECT("'" &amp; 'Hulp (overig)'!$C$16 &amp; "'!B1:B1000"))
        )
    ),0) &lt; 1,
    "",
    IF(INDEX(
        INDIRECT("'" &amp; 'Hulp (overig)'!$C$16 &amp; "'!" &amp;
        'Hulp (overig)'!$C$17 &amp; "1:" &amp; 'Hulp (overig)'!$C$17 &amp; 1000
        ),
        IFERROR(MIN(
            IF(
                (TRIM(INDIRECT("'" &amp; 'Hulp (overig)'!$C$16 &amp; "'!B1:B1000")) = TEXT(T266,"0")) *
                (ROW(INDIRECT("'" &amp; 'Hulp (overig)'!$C$16 &amp; "'!B1:B1000")) &gt;= MATCH(
                    T264,
                    INDIRECT("'" &amp; 'Hulp (overig)'!$C$16 &amp; "'!A1:A1000"),
                    0
                )) *
                IF(
                    U264="",
                    1,
                    (ROW(INDIRECT("'" &amp; 'Hulp (overig)'!$C$16 &amp; "'!B1:B1000")) &lt; MATCH(
                        U264,
                        INDIRECT("'" &amp; 'Hulp (overig)'!$C$16 &amp; "'!A1:A1000"),
                        0
                    ))
                ),
                ROW(INDIRECT("'" &amp; 'Hulp (overig)'!$C$16 &amp; "'!B1:B1000"))
            )
        ),0)
    )=0,"",
INDEX(
        INDIRECT("'" &amp; 'Hulp (overig)'!$C$16 &amp; "'!" &amp;
        'Hulp (overig)'!$C$17 &amp; "1:" &amp; 'Hulp (overig)'!$C$17 &amp; 1000
        ),
        IFERROR(MIN(
            IF(
                (TRIM(INDIRECT("'" &amp; 'Hulp (overig)'!$C$16 &amp; "'!B1:B1000")) = TEXT(T266,"0")) *
                (ROW(INDIRECT("'" &amp; 'Hulp (overig)'!$C$16 &amp; "'!B1:B1000")) &gt;= MATCH(
                    T264,
                    INDIRECT("'" &amp; 'Hulp (overig)'!$C$16 &amp; "'!A1:A1000"),
                    0
                )) *
                IF(
                    U264="",
                    1,
                    (ROW(INDIRECT("'" &amp; 'Hulp (overig)'!$C$16 &amp; "'!B1:B1000")) &lt; MATCH(
                        U264,
                        INDIRECT("'" &amp; 'Hulp (overig)'!$C$16 &amp; "'!A1:A1000"),
                        0
                    ))
                ),
                ROW(INDIRECT("'" &amp; 'Hulp (overig)'!$C$16 &amp; "'!B1:B1000"))
            )
        ),0)
    ))
))))</f>
        <v>#VALUE!</v>
      </c>
      <c r="U267" s="723" t="e" cm="1">
        <f t="array" aca="1" ref="U267" ca="1">IF($BF267, IF(U264="","",
   INDEX(
      INDIRECT("'" &amp; 'Hulp (CAO''s)'!$AE$8 &amp; "'!" &amp;
               'Hulp (overig)'!$C$17 &amp; "1:" &amp;
               'Hulp (overig)'!$C$17 &amp; "1000"),
      MATCH(
         U264,
         INDIRECT("'" &amp; 'Hulp (CAO''s)'!$AE$8 &amp; "'!A1:A1000"),
         0
      )
   )
), IF($D265="Gebruik % van maximum salaris",
IF(
    OR(U264="",U265=""),
    "",
    MAX(
        INDIRECT(
            "'" &amp; 'Hulp (overig)'!$C$16 &amp; "'!" &amp;
            'Hulp (overig)'!$C$17 &amp;
            MATCH(U264, INDIRECT("'" &amp; 'Hulp (overig)'!$C$16 &amp; "'!A1:A1000"), 0) &amp;
            ":" &amp;
            'Hulp (overig)'!$C$17 &amp;
LOOKUP(
    2,
    1 / (
        (ROW(INDIRECT("'" &amp; 'Hulp (overig)'!$C$16 &amp; "'!B1:B1000")) &lt;
            IF(V264&lt;&gt;"",
               MATCH(V264, INDIRECT("'" &amp; 'Hulp (overig)'!$C$16 &amp; "'!A1:A1000"),0),
               1000
            )
        ) *
        (LEFT(TRIM(INDIRECT("'" &amp; 'Hulp (overig)'!$C$16 &amp; "'!B1:B1000")),1) &lt;&gt; "u")
    ),
    ROW(INDIRECT("'" &amp; 'Hulp (overig)'!$C$16 &amp; "'!B1:B1000"))
)
        )
    ) * U265
),
IF(U266="","",
IF(
    IFERROR(MIN(
        IF(
            (TRIM(INDIRECT("'" &amp; 'Hulp (overig)'!$C$16 &amp; "'!B1:B1000")) = TEXT(U266,"0")) *
            (ROW(INDIRECT("'" &amp; 'Hulp (overig)'!$C$16 &amp; "'!B1:B1000")) &gt;= MATCH(
                U264,
                INDIRECT("'" &amp; 'Hulp (overig)'!$C$16 &amp; "'!A1:A1000"),
                0
            )) *
            IF(
                V264="",
                1,
                (ROW(INDIRECT("'" &amp; 'Hulp (overig)'!$C$16 &amp; "'!B1:B1000")) &lt; MATCH(
                    V264,
                    INDIRECT("'" &amp; 'Hulp (overig)'!$C$16 &amp; "'!A1:A1000"),
                    0
                ))
            ),
            ROW(INDIRECT("'" &amp; 'Hulp (overig)'!$C$16 &amp; "'!B1:B1000"))
        )
    ),0) &lt; 1,
    "",
    IF(INDEX(
        INDIRECT("'" &amp; 'Hulp (overig)'!$C$16 &amp; "'!" &amp;
        'Hulp (overig)'!$C$17 &amp; "1:" &amp; 'Hulp (overig)'!$C$17 &amp; 1000
        ),
        IFERROR(MIN(
            IF(
                (TRIM(INDIRECT("'" &amp; 'Hulp (overig)'!$C$16 &amp; "'!B1:B1000")) = TEXT(U266,"0")) *
                (ROW(INDIRECT("'" &amp; 'Hulp (overig)'!$C$16 &amp; "'!B1:B1000")) &gt;= MATCH(
                    U264,
                    INDIRECT("'" &amp; 'Hulp (overig)'!$C$16 &amp; "'!A1:A1000"),
                    0
                )) *
                IF(
                    V264="",
                    1,
                    (ROW(INDIRECT("'" &amp; 'Hulp (overig)'!$C$16 &amp; "'!B1:B1000")) &lt; MATCH(
                        V264,
                        INDIRECT("'" &amp; 'Hulp (overig)'!$C$16 &amp; "'!A1:A1000"),
                        0
                    ))
                ),
                ROW(INDIRECT("'" &amp; 'Hulp (overig)'!$C$16 &amp; "'!B1:B1000"))
            )
        ),0)
    )=0,"",
INDEX(
        INDIRECT("'" &amp; 'Hulp (overig)'!$C$16 &amp; "'!" &amp;
        'Hulp (overig)'!$C$17 &amp; "1:" &amp; 'Hulp (overig)'!$C$17 &amp; 1000
        ),
        IFERROR(MIN(
            IF(
                (TRIM(INDIRECT("'" &amp; 'Hulp (overig)'!$C$16 &amp; "'!B1:B1000")) = TEXT(U266,"0")) *
                (ROW(INDIRECT("'" &amp; 'Hulp (overig)'!$C$16 &amp; "'!B1:B1000")) &gt;= MATCH(
                    U264,
                    INDIRECT("'" &amp; 'Hulp (overig)'!$C$16 &amp; "'!A1:A1000"),
                    0
                )) *
                IF(
                    V264="",
                    1,
                    (ROW(INDIRECT("'" &amp; 'Hulp (overig)'!$C$16 &amp; "'!B1:B1000")) &lt; MATCH(
                        V264,
                        INDIRECT("'" &amp; 'Hulp (overig)'!$C$16 &amp; "'!A1:A1000"),
                        0
                    ))
                ),
                ROW(INDIRECT("'" &amp; 'Hulp (overig)'!$C$16 &amp; "'!B1:B1000"))
            )
        ),0)
    ))
))))</f>
        <v>#VALUE!</v>
      </c>
      <c r="V267" s="413" t="str" cm="1">
        <f t="array" ref="V267">IF(SUM(F268:U268)=0,"",
IF(SUM(F267:U267)=0,"",
IF(SUMPRODUCT((F268:U268&lt;&gt;0)*(F267:U267=""))&gt;0,"",
(
   SUMPRODUCT(
      IF(F267:U267="",0,F267:U267),
      IF(F268:U268="",0,F268:U268) / SUM(F268:U268)
   )
))))</f>
        <v/>
      </c>
      <c r="W267" s="418"/>
      <c r="X267" s="620"/>
      <c r="Y267" s="419" t="str">
        <f ca="1">IF(B264="","",
        IF(INDIRECT("'Hulp (control forms)'!C" &amp; (13 + INT((ROW()-ROW($B$5))/7))),
            IF(X267="","",X267),
            IF(V267="","",V267)
    )
)</f>
        <v/>
      </c>
      <c r="Z267" s="333"/>
      <c r="AA267" s="771"/>
      <c r="AB267" s="770"/>
      <c r="AC267" s="289"/>
      <c r="AD267" s="289"/>
      <c r="AE267" s="289"/>
      <c r="AF267" s="289"/>
      <c r="AG267" s="289"/>
      <c r="AH267" s="289"/>
      <c r="AI267" s="289"/>
      <c r="AJ267" s="289"/>
      <c r="AK267" s="289"/>
      <c r="AL267" s="289"/>
      <c r="AM267" s="289"/>
      <c r="AN267" s="289"/>
      <c r="AO267" s="289"/>
      <c r="AP267" s="289"/>
      <c r="AQ267" s="289"/>
      <c r="AR267" s="289"/>
      <c r="AS267" s="289"/>
      <c r="AT267" s="289"/>
      <c r="AU267" s="289"/>
      <c r="AV267" s="289"/>
      <c r="AW267" s="289"/>
      <c r="AX267" s="289"/>
      <c r="AY267" s="289"/>
      <c r="AZ267" s="289"/>
      <c r="BA267" cm="1">
        <f t="array" aca="1" ref="BA267" ca="1">IF(
   SUM(Y267)=0,
   1,
   IF(
      N(INDIRECT("'Hulp (control forms)'!C"&amp;(13+INT((ROW()-ROW($B$5))/7))))&lt;&gt;0,
      MIN(1,
      ('Hulp (overig)'!$C$6/12) /
      (Y267 * BC267 + BD267)),
      MIN(1,
         IF(
            SUM(F267:U267)=0,
            "",
            SUMPRODUCT(
               IF(
                  (IF(F267:U267="",0,F267:U267) * BC267) + BD267
                  &gt; 'Hulp (overig)'!$C$6/12,
                  'Hulp (overig)'!$C$6/12,
                  (IF(F267:U267="",0,F267:U267) * BC267) + BD267
               ),
               IF(F268:U268="",0,F268:U268) / SUM(F268:U268)
            )
         ) /
         ((Y267 * BC267) + BD267)
      )
   )
)</f>
        <v>1</v>
      </c>
      <c r="BB267" cm="1">
        <f t="array" aca="1" ref="BB267" ca="1">IF(
   SUM(Y267)=0,
   1,
   IF(
      N(INDIRECT("'Hulp (control forms)'!C"&amp;(13+INT((ROW()-ROW($B$5))/7))))&lt;&gt;0,
      MIN('Hulp (overig)'!$C$5/12,
      (Y267 * BC267) + BD267) * 12,
         IF(
            SUM(F267:U267)=0,
            "",
            SUMPRODUCT(
               IF(
                  (IF(F267:U267="",0,F267:U267) * BC267) + BD267
                  &gt; 'Hulp (overig)'!$C$5/12,
                  'Hulp (overig)'!$C$5/12,
                  (IF(F267:U267="",0,F267:U267) * BC267) + BD267
               ),
               IF(F268:U268="",0,F268:U268) / SUM(F268:U268)
            )
         ) * 12
   )
)</f>
        <v>1</v>
      </c>
      <c r="BC267" s="287" cm="1">
        <f t="array" aca="1" ref="BC267" ca="1">IFERROR(
   (INDEX('2. Output kostprijs'!$24:$24, 5 + 2*INT((ROW()-8)/7))
    - SUM(INDEX('2. Output kostprijs'!$23:$23, 5 + 2*INT((ROW()-8)/7))))
   / INDEX('2. Output kostprijs'!$19:$19, 5 + 2*INT((ROW()-8)/7)),
   1
)</f>
        <v>1</v>
      </c>
      <c r="BD267" s="287" cm="1">
        <f t="array" aca="1" ref="BD267" ca="1">IFERROR(
   (INDEX('2. Output kostprijs'!$23:$23, 5 + 2*INT((ROW()-8)/7))
    * INDEX('2. Output kostprijs'!$18:$18, 5 + 2*INT((ROW()-8)/7))
   ) / 12,
   0
)</f>
        <v>0</v>
      </c>
      <c r="BE267" t="b">
        <f ca="1">NOT(AND(B264&lt;&gt;"",Y267=""))</f>
        <v>1</v>
      </c>
      <c r="BF267" t="str" cm="1">
        <f t="array" aca="1" ref="BF267" ca="1">INDIRECT("'1a. Input organisatieniveau'!$AD" &amp; 7 + INT((ROW()-ROW($F$8))/7))</f>
        <v/>
      </c>
      <c r="BG267" t="b" cm="1">
        <f t="array" ref="BG267">IFERROR(INDEX('Hulp (control forms)'!C:C, 13 + INT((ROW(A260)-1)/7)),FALSE)</f>
        <v>0</v>
      </c>
    </row>
    <row r="268" spans="1:59" ht="16.05" customHeight="1" thickBot="1" x14ac:dyDescent="0.5">
      <c r="A268" s="289"/>
      <c r="B268" s="343"/>
      <c r="C268" s="325" t="s">
        <v>779</v>
      </c>
      <c r="D268" s="688" t="s">
        <v>60</v>
      </c>
      <c r="E268" s="433" t="s">
        <v>59</v>
      </c>
      <c r="F268" s="624"/>
      <c r="G268" s="624"/>
      <c r="H268" s="624"/>
      <c r="I268" s="624"/>
      <c r="J268" s="624"/>
      <c r="K268" s="624"/>
      <c r="L268" s="624"/>
      <c r="M268" s="624"/>
      <c r="N268" s="624"/>
      <c r="O268" s="624"/>
      <c r="P268" s="624"/>
      <c r="Q268" s="624"/>
      <c r="R268" s="624"/>
      <c r="S268" s="624"/>
      <c r="T268" s="624"/>
      <c r="U268" s="625"/>
      <c r="V268" s="420" t="str">
        <f ca="1">IF($B264="","",IF($D268="Aandeel in %",
   "Totaal: "&amp;SUM(F268:U268)*100&amp;"%",
   "Totaal: "&amp;SUM(F268:U268)&amp;" uur"
))</f>
        <v/>
      </c>
      <c r="W268" s="294"/>
      <c r="X268" s="621"/>
      <c r="Y268" s="328"/>
      <c r="Z268" s="329"/>
      <c r="AA268" s="289"/>
      <c r="AB268" s="289"/>
      <c r="AC268" s="289"/>
      <c r="AD268" s="289"/>
      <c r="AE268" s="289"/>
      <c r="AF268" s="289"/>
      <c r="AG268" s="289"/>
      <c r="AH268" s="289"/>
      <c r="AI268" s="289"/>
      <c r="AJ268" s="289"/>
      <c r="AK268" s="289"/>
      <c r="AL268" s="289"/>
      <c r="AM268" s="289"/>
      <c r="AN268" s="289"/>
      <c r="AO268" s="289"/>
      <c r="AP268" s="289"/>
      <c r="AQ268" s="289"/>
      <c r="AR268" s="289"/>
      <c r="AS268" s="289"/>
      <c r="AT268" s="289"/>
      <c r="AU268" s="289"/>
      <c r="AV268" s="289"/>
      <c r="AW268" s="289"/>
      <c r="AX268" s="289"/>
      <c r="AY268" s="289"/>
      <c r="AZ268" s="289"/>
    </row>
    <row r="269" spans="1:59" ht="16.05" customHeight="1" thickBot="1" x14ac:dyDescent="0.5">
      <c r="A269" s="289"/>
      <c r="B269" s="343"/>
      <c r="C269" s="326" t="s">
        <v>779</v>
      </c>
      <c r="D269" s="421"/>
      <c r="E269" s="426"/>
      <c r="F269" s="426"/>
      <c r="G269" s="426"/>
      <c r="H269" s="426"/>
      <c r="I269" s="426"/>
      <c r="J269" s="426"/>
      <c r="K269" s="426"/>
      <c r="L269" s="426"/>
      <c r="M269" s="426"/>
      <c r="N269" s="426"/>
      <c r="O269" s="426"/>
      <c r="P269" s="426"/>
      <c r="Q269" s="426"/>
      <c r="R269" s="426"/>
      <c r="S269" s="426"/>
      <c r="T269" s="427"/>
      <c r="U269" s="427"/>
      <c r="V269" s="421"/>
      <c r="W269" s="421"/>
      <c r="X269" s="622"/>
      <c r="Y269" s="421"/>
      <c r="Z269" s="327"/>
      <c r="AA269" s="289"/>
      <c r="AB269" s="289"/>
      <c r="AC269" s="289"/>
      <c r="AD269" s="289"/>
      <c r="AE269" s="289"/>
      <c r="AF269" s="289"/>
      <c r="AG269" s="289"/>
      <c r="AH269" s="289"/>
      <c r="AI269" s="289"/>
      <c r="AJ269" s="289"/>
      <c r="AK269" s="289"/>
      <c r="AL269" s="289"/>
      <c r="AM269" s="289"/>
      <c r="AN269" s="289"/>
      <c r="AO269" s="289"/>
      <c r="AP269" s="289"/>
      <c r="AQ269" s="289"/>
      <c r="AR269" s="289"/>
      <c r="AS269" s="289"/>
      <c r="AT269" s="289"/>
      <c r="AU269" s="289"/>
      <c r="AV269" s="289"/>
      <c r="AW269" s="289"/>
      <c r="AX269" s="289"/>
      <c r="AY269" s="289"/>
      <c r="AZ269" s="289"/>
    </row>
    <row r="270" spans="1:59" ht="16.05" customHeight="1" thickBot="1" x14ac:dyDescent="0.55000000000000004">
      <c r="A270" s="289"/>
      <c r="B270" s="585" t="str">
        <f ca="1">IF(B271="","",
IF(
   OR(
      INDIRECT("'1a. Input organisatieniveau'!AC" &amp; (7 + INT((ROW()-4)/7)))="",
      INDIRECT("'1a. Input organisatieniveau'!AC" &amp; (7 + INT((ROW()-4)/7)))=0
   ),
   "",
   INDIRECT("'1a. Input organisatieniveau'!AC" &amp; (7 + INT((ROW()-4)/7)))
))</f>
        <v/>
      </c>
      <c r="C270" s="324" t="s">
        <v>779</v>
      </c>
      <c r="D270" s="416"/>
      <c r="E270" s="428"/>
      <c r="F270" s="422" t="str">
        <f t="shared" ref="F270:U270" ca="1" si="38">IF($B271="","",
IF($D272="Gebruik % van maximum salaris",
 IF(OR(AND(AND(F271&lt;&gt;"",F272&lt;&gt;""),F274=""),AND(F274="",F275&lt;&gt;"")),"!",""),
 IF(OR(AND(AND(F271&lt;&gt;"",F273&lt;&gt;""),F274=""),AND(F274="",F275&lt;&gt;"")),"!","")))</f>
        <v/>
      </c>
      <c r="G270" s="422" t="str">
        <f t="shared" ca="1" si="38"/>
        <v/>
      </c>
      <c r="H270" s="422" t="str">
        <f t="shared" ca="1" si="38"/>
        <v/>
      </c>
      <c r="I270" s="422" t="str">
        <f t="shared" ca="1" si="38"/>
        <v/>
      </c>
      <c r="J270" s="422" t="str">
        <f t="shared" ca="1" si="38"/>
        <v/>
      </c>
      <c r="K270" s="422" t="str">
        <f t="shared" ca="1" si="38"/>
        <v/>
      </c>
      <c r="L270" s="422" t="str">
        <f t="shared" ca="1" si="38"/>
        <v/>
      </c>
      <c r="M270" s="422" t="str">
        <f t="shared" ca="1" si="38"/>
        <v/>
      </c>
      <c r="N270" s="422" t="str">
        <f t="shared" ca="1" si="38"/>
        <v/>
      </c>
      <c r="O270" s="422" t="str">
        <f t="shared" ca="1" si="38"/>
        <v/>
      </c>
      <c r="P270" s="422" t="str">
        <f t="shared" ca="1" si="38"/>
        <v/>
      </c>
      <c r="Q270" s="422" t="str">
        <f t="shared" ca="1" si="38"/>
        <v/>
      </c>
      <c r="R270" s="422" t="str">
        <f t="shared" ca="1" si="38"/>
        <v/>
      </c>
      <c r="S270" s="422" t="str">
        <f t="shared" ca="1" si="38"/>
        <v/>
      </c>
      <c r="T270" s="422" t="str">
        <f t="shared" ca="1" si="38"/>
        <v/>
      </c>
      <c r="U270" s="422" t="str">
        <f t="shared" ca="1" si="38"/>
        <v/>
      </c>
      <c r="V270" s="416"/>
      <c r="W270" s="416"/>
      <c r="X270" s="619"/>
      <c r="Y270" s="416"/>
      <c r="Z270" s="330"/>
      <c r="AA270" s="354"/>
      <c r="AB270" s="289"/>
      <c r="AC270" s="289"/>
      <c r="AD270" s="289"/>
      <c r="AE270" s="289"/>
      <c r="AF270" s="289"/>
      <c r="AG270" s="289"/>
      <c r="AH270" s="289"/>
      <c r="AI270" s="289"/>
      <c r="AJ270" s="289"/>
      <c r="AK270" s="289"/>
      <c r="AL270" s="289"/>
      <c r="AM270" s="289"/>
      <c r="AN270" s="289"/>
      <c r="AO270" s="289"/>
      <c r="AP270" s="289"/>
      <c r="AQ270" s="289"/>
      <c r="AR270" s="289"/>
      <c r="AS270" s="289"/>
      <c r="AT270" s="289"/>
      <c r="AU270" s="289"/>
      <c r="AV270" s="289"/>
      <c r="AW270" s="289"/>
      <c r="AX270" s="289"/>
      <c r="AY270" s="289"/>
      <c r="AZ270" s="289"/>
    </row>
    <row r="271" spans="1:59" ht="16.05" customHeight="1" thickBot="1" x14ac:dyDescent="0.5">
      <c r="A271" s="289"/>
      <c r="B271" s="586" t="str">
        <f ca="1">IF(
   OR(
      INDIRECT("'1a. Input organisatieniveau'!AA" &amp; (7 + INT((ROW()-4)/7)))="",
      INDIRECT("'1a. Input organisatieniveau'!AA" &amp; (7 + INT((ROW()-4)/7)))=0
   ),
   "",
   INDIRECT("'1a. Input organisatieniveau'!AA" &amp; (7 + INT((ROW()-4)/7)))
)</f>
        <v/>
      </c>
      <c r="C271" s="325" t="s">
        <v>779</v>
      </c>
      <c r="D271" s="434"/>
      <c r="E271" s="429" t="s">
        <v>28</v>
      </c>
      <c r="F271" s="423" t="str">
        <f ca="1">IF($B271="", "", IF($BF274, IF('Hulp (CAO''s)'!J$8&lt;&gt;"",'Hulp (CAO''s)'!J$8,""), INDEX('Hulp (CAO''s)'!J$3:J$7, MATCH(TRUE, 'Hulp (CAO''s)'!$D$3:$D$7, 0))))</f>
        <v/>
      </c>
      <c r="G271" s="423" t="str">
        <f ca="1">IF($B271="", "", IF($BF274, IF('Hulp (CAO''s)'!K$8&lt;&gt;"",'Hulp (CAO''s)'!K$8,""), INDEX('Hulp (CAO''s)'!K$3:K$7, MATCH(TRUE, 'Hulp (CAO''s)'!$D$3:$D$7, 0))))</f>
        <v/>
      </c>
      <c r="H271" s="423" t="str">
        <f ca="1">IF($B271="", "", IF($BF274, IF('Hulp (CAO''s)'!L$8&lt;&gt;"",'Hulp (CAO''s)'!L$8,""), INDEX('Hulp (CAO''s)'!L$3:L$7, MATCH(TRUE, 'Hulp (CAO''s)'!$D$3:$D$7, 0))))</f>
        <v/>
      </c>
      <c r="I271" s="423" t="str">
        <f ca="1">IF($B271="", "", IF($BF274, IF('Hulp (CAO''s)'!M$8&lt;&gt;"",'Hulp (CAO''s)'!M$8,""), INDEX('Hulp (CAO''s)'!M$3:M$7, MATCH(TRUE, 'Hulp (CAO''s)'!$D$3:$D$7, 0))))</f>
        <v/>
      </c>
      <c r="J271" s="423" t="str">
        <f ca="1">IF($B271="", "", IF($BF274, IF('Hulp (CAO''s)'!N$8&lt;&gt;"",'Hulp (CAO''s)'!N$8,""), INDEX('Hulp (CAO''s)'!N$3:N$7, MATCH(TRUE, 'Hulp (CAO''s)'!$D$3:$D$7, 0))))</f>
        <v/>
      </c>
      <c r="K271" s="423" t="str">
        <f ca="1">IF($B271="", "", IF($BF274, IF('Hulp (CAO''s)'!O$8&lt;&gt;"",'Hulp (CAO''s)'!O$8,""), INDEX('Hulp (CAO''s)'!O$3:O$7, MATCH(TRUE, 'Hulp (CAO''s)'!$D$3:$D$7, 0))))</f>
        <v/>
      </c>
      <c r="L271" s="423" t="str">
        <f ca="1">IF($B271="", "", IF($BF274, IF('Hulp (CAO''s)'!P$8&lt;&gt;"",'Hulp (CAO''s)'!P$8,""), INDEX('Hulp (CAO''s)'!P$3:P$7, MATCH(TRUE, 'Hulp (CAO''s)'!$D$3:$D$7, 0))))</f>
        <v/>
      </c>
      <c r="M271" s="423" t="str">
        <f ca="1">IF($B271="", "", IF($BF274, IF('Hulp (CAO''s)'!Q$8&lt;&gt;"",'Hulp (CAO''s)'!Q$8,""), INDEX('Hulp (CAO''s)'!Q$3:Q$7, MATCH(TRUE, 'Hulp (CAO''s)'!$D$3:$D$7, 0))))</f>
        <v/>
      </c>
      <c r="N271" s="423" t="str">
        <f ca="1">IF($B271="", "", IF($BF274, IF('Hulp (CAO''s)'!R$8&lt;&gt;"",'Hulp (CAO''s)'!R$8,""), INDEX('Hulp (CAO''s)'!R$3:R$7, MATCH(TRUE, 'Hulp (CAO''s)'!$D$3:$D$7, 0))))</f>
        <v/>
      </c>
      <c r="O271" s="423" t="str">
        <f ca="1">IF($B271="", "", IF($BF274, IF('Hulp (CAO''s)'!S$8&lt;&gt;"",'Hulp (CAO''s)'!S$8,""), INDEX('Hulp (CAO''s)'!S$3:S$7, MATCH(TRUE, 'Hulp (CAO''s)'!$D$3:$D$7, 0))))</f>
        <v/>
      </c>
      <c r="P271" s="423" t="str">
        <f ca="1">IF($B271="", "", IF($BF274, IF('Hulp (CAO''s)'!T$8&lt;&gt;"",'Hulp (CAO''s)'!T$8,""), INDEX('Hulp (CAO''s)'!T$3:T$7, MATCH(TRUE, 'Hulp (CAO''s)'!$D$3:$D$7, 0))))</f>
        <v/>
      </c>
      <c r="Q271" s="423" t="str">
        <f ca="1">IF($B271="", "", IF($BF274, IF('Hulp (CAO''s)'!U$8&lt;&gt;"",'Hulp (CAO''s)'!U$8,""), INDEX('Hulp (CAO''s)'!U$3:U$7, MATCH(TRUE, 'Hulp (CAO''s)'!$D$3:$D$7, 0))))</f>
        <v/>
      </c>
      <c r="R271" s="423" t="str">
        <f ca="1">IF($B271="", "", IF($BF274, IF('Hulp (CAO''s)'!V$8&lt;&gt;"",'Hulp (CAO''s)'!V$8,""), INDEX('Hulp (CAO''s)'!V$3:V$7, MATCH(TRUE, 'Hulp (CAO''s)'!$D$3:$D$7, 0))))</f>
        <v/>
      </c>
      <c r="S271" s="423" t="str">
        <f ca="1">IF($B271="", "", IF($BF274, IF('Hulp (CAO''s)'!W$8&lt;&gt;"",'Hulp (CAO''s)'!W$8,""), INDEX('Hulp (CAO''s)'!W$3:W$7, MATCH(TRUE, 'Hulp (CAO''s)'!$D$3:$D$7, 0))))</f>
        <v/>
      </c>
      <c r="T271" s="423" t="str">
        <f ca="1">IF($B271="", "", IF($BF274, IF('Hulp (CAO''s)'!X$8&lt;&gt;"",'Hulp (CAO''s)'!X$8,""), INDEX('Hulp (CAO''s)'!X$3:X$7, MATCH(TRUE, 'Hulp (CAO''s)'!$D$3:$D$7, 0))))</f>
        <v/>
      </c>
      <c r="U271" s="424" t="str">
        <f ca="1">IF($B271="", "", IF($BF274, IF('Hulp (CAO''s)'!Y$8&lt;&gt;"",'Hulp (CAO''s)'!Y$8,""), INDEX('Hulp (CAO''s)'!Y$3:Y$7, MATCH(TRUE, 'Hulp (CAO''s)'!$D$3:$D$7, 0))))</f>
        <v/>
      </c>
      <c r="V271" s="417"/>
      <c r="W271" s="343"/>
      <c r="X271" s="617"/>
      <c r="Y271" s="343"/>
      <c r="Z271" s="329"/>
      <c r="AA271" s="320"/>
      <c r="AB271" s="289"/>
      <c r="AC271" s="289"/>
      <c r="AD271" s="289"/>
      <c r="AE271" s="289"/>
      <c r="AF271" s="289"/>
      <c r="AG271" s="289"/>
      <c r="AH271" s="289"/>
      <c r="AI271" s="289"/>
      <c r="AJ271" s="289"/>
      <c r="AK271" s="289"/>
      <c r="AL271" s="289"/>
      <c r="AM271" s="289"/>
      <c r="AN271" s="289"/>
      <c r="AO271" s="289"/>
      <c r="AP271" s="289"/>
      <c r="AQ271" s="289"/>
      <c r="AR271" s="289"/>
      <c r="AS271" s="289"/>
      <c r="AT271" s="289"/>
      <c r="AU271" s="289"/>
      <c r="AV271" s="289"/>
      <c r="AW271" s="289"/>
      <c r="AX271" s="289"/>
      <c r="AY271" s="289"/>
      <c r="AZ271" s="289"/>
    </row>
    <row r="272" spans="1:59" ht="16.05" customHeight="1" x14ac:dyDescent="0.45">
      <c r="A272" s="289"/>
      <c r="B272" s="343"/>
      <c r="C272" s="325" t="s">
        <v>779</v>
      </c>
      <c r="D272" s="772" t="s">
        <v>772</v>
      </c>
      <c r="E272" s="430" t="e">
        <f ca="1">IF($BF274, "", "% t.o.v. max salaris in de schaal")</f>
        <v>#VALUE!</v>
      </c>
      <c r="F272" s="615"/>
      <c r="G272" s="615"/>
      <c r="H272" s="615"/>
      <c r="I272" s="615"/>
      <c r="J272" s="615"/>
      <c r="K272" s="615"/>
      <c r="L272" s="615"/>
      <c r="M272" s="615"/>
      <c r="N272" s="615"/>
      <c r="O272" s="615"/>
      <c r="P272" s="615"/>
      <c r="Q272" s="615"/>
      <c r="R272" s="615"/>
      <c r="S272" s="615"/>
      <c r="T272" s="615"/>
      <c r="U272" s="616"/>
      <c r="V272" s="774" t="s">
        <v>884</v>
      </c>
      <c r="W272" s="332"/>
      <c r="X272" s="776" t="s">
        <v>882</v>
      </c>
      <c r="Y272" s="778" t="s">
        <v>883</v>
      </c>
      <c r="Z272" s="329"/>
      <c r="AA272" s="771" t="s">
        <v>780</v>
      </c>
      <c r="AB272" s="770" t="s">
        <v>1079</v>
      </c>
      <c r="AC272" s="289"/>
      <c r="AD272" s="289"/>
      <c r="AE272" s="289"/>
      <c r="AF272" s="289"/>
      <c r="AG272" s="289"/>
      <c r="AH272" s="289"/>
      <c r="AI272" s="289"/>
      <c r="AJ272" s="289"/>
      <c r="AK272" s="289"/>
      <c r="AL272" s="289"/>
      <c r="AM272" s="289"/>
      <c r="AN272" s="289"/>
      <c r="AO272" s="289"/>
      <c r="AP272" s="289"/>
      <c r="AQ272" s="289"/>
      <c r="AR272" s="289"/>
      <c r="AS272" s="289"/>
      <c r="AT272" s="289"/>
      <c r="AU272" s="289"/>
      <c r="AV272" s="289"/>
      <c r="AW272" s="289"/>
      <c r="AX272" s="289"/>
      <c r="AY272" s="289"/>
      <c r="AZ272" s="289"/>
    </row>
    <row r="273" spans="1:59" ht="16.05" customHeight="1" thickBot="1" x14ac:dyDescent="0.5">
      <c r="A273" s="289"/>
      <c r="B273" s="343"/>
      <c r="C273" s="325" t="s">
        <v>779</v>
      </c>
      <c r="D273" s="773"/>
      <c r="E273" s="431" t="e">
        <f ca="1">IF($BF274, "", "Trede (gemiddeld)")</f>
        <v>#VALUE!</v>
      </c>
      <c r="F273" s="737"/>
      <c r="G273" s="737"/>
      <c r="H273" s="737"/>
      <c r="I273" s="737"/>
      <c r="J273" s="737"/>
      <c r="K273" s="737"/>
      <c r="L273" s="737"/>
      <c r="M273" s="737"/>
      <c r="N273" s="737"/>
      <c r="O273" s="737"/>
      <c r="P273" s="737"/>
      <c r="Q273" s="737"/>
      <c r="R273" s="737"/>
      <c r="S273" s="737"/>
      <c r="T273" s="737"/>
      <c r="U273" s="740"/>
      <c r="V273" s="775"/>
      <c r="W273" s="294"/>
      <c r="X273" s="777"/>
      <c r="Y273" s="779"/>
      <c r="Z273" s="329"/>
      <c r="AA273" s="771"/>
      <c r="AB273" s="770"/>
      <c r="AC273" s="289"/>
      <c r="AD273" s="289"/>
      <c r="AE273" s="289"/>
      <c r="AF273" s="289"/>
      <c r="AG273" s="289"/>
      <c r="AH273" s="289"/>
      <c r="AI273" s="289"/>
      <c r="AJ273" s="289"/>
      <c r="AK273" s="289"/>
      <c r="AL273" s="289"/>
      <c r="AM273" s="289"/>
      <c r="AN273" s="289"/>
      <c r="AO273" s="289"/>
      <c r="AP273" s="289"/>
      <c r="AQ273" s="289"/>
      <c r="AR273" s="289"/>
      <c r="AS273" s="289"/>
      <c r="AT273" s="289"/>
      <c r="AU273" s="289"/>
      <c r="AV273" s="289"/>
      <c r="AW273" s="289"/>
      <c r="AX273" s="289"/>
      <c r="AY273" s="289"/>
      <c r="AZ273" s="289"/>
    </row>
    <row r="274" spans="1:59" ht="16.05" customHeight="1" thickBot="1" x14ac:dyDescent="0.5">
      <c r="A274" s="289"/>
      <c r="B274" s="343"/>
      <c r="C274" s="325" t="s">
        <v>779</v>
      </c>
      <c r="E274" s="432" t="str">
        <f>IFERROR(
   INDEX('Hulp (CAO''s)'!$I$3:$I$7, MATCH(TRUE, 'Hulp (CAO''s)'!$D$3:$D$7, 0)),
"")</f>
        <v>Bruto maandsalaris</v>
      </c>
      <c r="F274" s="425" t="e" cm="1">
        <f t="array" aca="1" ref="F274" ca="1">IF($BF274, IF(F271="","",
   INDEX(
      INDIRECT("'" &amp; 'Hulp (CAO''s)'!$AE$8 &amp; "'!" &amp;
               'Hulp (overig)'!$C$17 &amp; "1:" &amp;
               'Hulp (overig)'!$C$17 &amp; "1000"),
      MATCH(
         F271,
         INDIRECT("'" &amp; 'Hulp (CAO''s)'!$AE$8 &amp; "'!A1:A1000"),
         0
      )
   )
), IF($D272="Gebruik % van maximum salaris",
IF(
    OR(F271="",F272=""),
    "",
    MAX(
        INDIRECT(
            "'" &amp; 'Hulp (overig)'!$C$16 &amp; "'!" &amp;
            'Hulp (overig)'!$C$17 &amp;
            MATCH(F271, INDIRECT("'" &amp; 'Hulp (overig)'!$C$16 &amp; "'!A1:A1000"), 0) &amp;
            ":" &amp;
            'Hulp (overig)'!$C$17 &amp;
LOOKUP(
    2,
    1 / (
        (ROW(INDIRECT("'" &amp; 'Hulp (overig)'!$C$16 &amp; "'!B1:B1000")) &lt;
            IF(G271&lt;&gt;"",
               MATCH(G271, INDIRECT("'" &amp; 'Hulp (overig)'!$C$16 &amp; "'!A1:A1000"),0),
               1000
            )
        ) *
        (LEFT(TRIM(INDIRECT("'" &amp; 'Hulp (overig)'!$C$16 &amp; "'!B1:B1000")),1) &lt;&gt; "u")
    ),
    ROW(INDIRECT("'" &amp; 'Hulp (overig)'!$C$16 &amp; "'!B1:B1000"))
)
        )
    ) * F272
),
IF(F273="","",
IF(
    IFERROR(MIN(
        IF(
            (TRIM(INDIRECT("'" &amp; 'Hulp (overig)'!$C$16 &amp; "'!B1:B1000")) = TEXT(F273,"0")) *
            (ROW(INDIRECT("'" &amp; 'Hulp (overig)'!$C$16 &amp; "'!B1:B1000")) &gt;= MATCH(
                F271,
                INDIRECT("'" &amp; 'Hulp (overig)'!$C$16 &amp; "'!A1:A1000"),
                0
            )) *
            IF(
                G271="",
                1,
                (ROW(INDIRECT("'" &amp; 'Hulp (overig)'!$C$16 &amp; "'!B1:B1000")) &lt; MATCH(
                    G271,
                    INDIRECT("'" &amp; 'Hulp (overig)'!$C$16 &amp; "'!A1:A1000"),
                    0
                ))
            ),
            ROW(INDIRECT("'" &amp; 'Hulp (overig)'!$C$16 &amp; "'!B1:B1000"))
        )
    ),0) &lt; 1,
    "",
    IF(INDEX(
        INDIRECT("'" &amp; 'Hulp (overig)'!$C$16 &amp; "'!" &amp;
        'Hulp (overig)'!$C$17 &amp; "1:" &amp; 'Hulp (overig)'!$C$17 &amp; 1000
        ),
        IFERROR(MIN(
            IF(
                (TRIM(INDIRECT("'" &amp; 'Hulp (overig)'!$C$16 &amp; "'!B1:B1000")) = TEXT(F273,"0")) *
                (ROW(INDIRECT("'" &amp; 'Hulp (overig)'!$C$16 &amp; "'!B1:B1000")) &gt;= MATCH(
                    F271,
                    INDIRECT("'" &amp; 'Hulp (overig)'!$C$16 &amp; "'!A1:A1000"),
                    0
                )) *
                IF(
                    G271="",
                    1,
                    (ROW(INDIRECT("'" &amp; 'Hulp (overig)'!$C$16 &amp; "'!B1:B1000")) &lt; MATCH(
                        G271,
                        INDIRECT("'" &amp; 'Hulp (overig)'!$C$16 &amp; "'!A1:A1000"),
                        0
                    ))
                ),
                ROW(INDIRECT("'" &amp; 'Hulp (overig)'!$C$16 &amp; "'!B1:B1000"))
            )
        ),0)
    )=0,"",
INDEX(
        INDIRECT("'" &amp; 'Hulp (overig)'!$C$16 &amp; "'!" &amp;
        'Hulp (overig)'!$C$17 &amp; "1:" &amp; 'Hulp (overig)'!$C$17 &amp; 1000
        ),
        IFERROR(MIN(
            IF(
                (TRIM(INDIRECT("'" &amp; 'Hulp (overig)'!$C$16 &amp; "'!B1:B1000")) = TEXT(F273,"0")) *
                (ROW(INDIRECT("'" &amp; 'Hulp (overig)'!$C$16 &amp; "'!B1:B1000")) &gt;= MATCH(
                    F271,
                    INDIRECT("'" &amp; 'Hulp (overig)'!$C$16 &amp; "'!A1:A1000"),
                    0
                )) *
                IF(
                    G271="",
                    1,
                    (ROW(INDIRECT("'" &amp; 'Hulp (overig)'!$C$16 &amp; "'!B1:B1000")) &lt; MATCH(
                        G271,
                        INDIRECT("'" &amp; 'Hulp (overig)'!$C$16 &amp; "'!A1:A1000"),
                        0
                    ))
                ),
                ROW(INDIRECT("'" &amp; 'Hulp (overig)'!$C$16 &amp; "'!B1:B1000"))
            )
        ),0)
    ))
))))</f>
        <v>#VALUE!</v>
      </c>
      <c r="G274" s="425" t="e" cm="1">
        <f t="array" aca="1" ref="G274" ca="1">IF($BF274, IF(G271="","",
   INDEX(
      INDIRECT("'" &amp; 'Hulp (CAO''s)'!$AE$8 &amp; "'!" &amp;
               'Hulp (overig)'!$C$17 &amp; "1:" &amp;
               'Hulp (overig)'!$C$17 &amp; "1000"),
      MATCH(
         G271,
         INDIRECT("'" &amp; 'Hulp (CAO''s)'!$AE$8 &amp; "'!A1:A1000"),
         0
      )
   )
), IF($D272="Gebruik % van maximum salaris",
IF(
    OR(G271="",G272=""),
    "",
    MAX(
        INDIRECT(
            "'" &amp; 'Hulp (overig)'!$C$16 &amp; "'!" &amp;
            'Hulp (overig)'!$C$17 &amp;
            MATCH(G271, INDIRECT("'" &amp; 'Hulp (overig)'!$C$16 &amp; "'!A1:A1000"), 0) &amp;
            ":" &amp;
            'Hulp (overig)'!$C$17 &amp;
LOOKUP(
    2,
    1 / (
        (ROW(INDIRECT("'" &amp; 'Hulp (overig)'!$C$16 &amp; "'!B1:B1000")) &lt;
            IF(H271&lt;&gt;"",
               MATCH(H271, INDIRECT("'" &amp; 'Hulp (overig)'!$C$16 &amp; "'!A1:A1000"),0),
               1000
            )
        ) *
        (LEFT(TRIM(INDIRECT("'" &amp; 'Hulp (overig)'!$C$16 &amp; "'!B1:B1000")),1) &lt;&gt; "u")
    ),
    ROW(INDIRECT("'" &amp; 'Hulp (overig)'!$C$16 &amp; "'!B1:B1000"))
)
        )
    ) * G272
),
IF(G273="","",
IF(
    IFERROR(MIN(
        IF(
            (TRIM(INDIRECT("'" &amp; 'Hulp (overig)'!$C$16 &amp; "'!B1:B1000")) = TEXT(G273,"0")) *
            (ROW(INDIRECT("'" &amp; 'Hulp (overig)'!$C$16 &amp; "'!B1:B1000")) &gt;= MATCH(
                G271,
                INDIRECT("'" &amp; 'Hulp (overig)'!$C$16 &amp; "'!A1:A1000"),
                0
            )) *
            IF(
                H271="",
                1,
                (ROW(INDIRECT("'" &amp; 'Hulp (overig)'!$C$16 &amp; "'!B1:B1000")) &lt; MATCH(
                    H271,
                    INDIRECT("'" &amp; 'Hulp (overig)'!$C$16 &amp; "'!A1:A1000"),
                    0
                ))
            ),
            ROW(INDIRECT("'" &amp; 'Hulp (overig)'!$C$16 &amp; "'!B1:B1000"))
        )
    ),0) &lt; 1,
    "",
    IF(INDEX(
        INDIRECT("'" &amp; 'Hulp (overig)'!$C$16 &amp; "'!" &amp;
        'Hulp (overig)'!$C$17 &amp; "1:" &amp; 'Hulp (overig)'!$C$17 &amp; 1000
        ),
        IFERROR(MIN(
            IF(
                (TRIM(INDIRECT("'" &amp; 'Hulp (overig)'!$C$16 &amp; "'!B1:B1000")) = TEXT(G273,"0")) *
                (ROW(INDIRECT("'" &amp; 'Hulp (overig)'!$C$16 &amp; "'!B1:B1000")) &gt;= MATCH(
                    G271,
                    INDIRECT("'" &amp; 'Hulp (overig)'!$C$16 &amp; "'!A1:A1000"),
                    0
                )) *
                IF(
                    H271="",
                    1,
                    (ROW(INDIRECT("'" &amp; 'Hulp (overig)'!$C$16 &amp; "'!B1:B1000")) &lt; MATCH(
                        H271,
                        INDIRECT("'" &amp; 'Hulp (overig)'!$C$16 &amp; "'!A1:A1000"),
                        0
                    ))
                ),
                ROW(INDIRECT("'" &amp; 'Hulp (overig)'!$C$16 &amp; "'!B1:B1000"))
            )
        ),0)
    )=0,"",
INDEX(
        INDIRECT("'" &amp; 'Hulp (overig)'!$C$16 &amp; "'!" &amp;
        'Hulp (overig)'!$C$17 &amp; "1:" &amp; 'Hulp (overig)'!$C$17 &amp; 1000
        ),
        IFERROR(MIN(
            IF(
                (TRIM(INDIRECT("'" &amp; 'Hulp (overig)'!$C$16 &amp; "'!B1:B1000")) = TEXT(G273,"0")) *
                (ROW(INDIRECT("'" &amp; 'Hulp (overig)'!$C$16 &amp; "'!B1:B1000")) &gt;= MATCH(
                    G271,
                    INDIRECT("'" &amp; 'Hulp (overig)'!$C$16 &amp; "'!A1:A1000"),
                    0
                )) *
                IF(
                    H271="",
                    1,
                    (ROW(INDIRECT("'" &amp; 'Hulp (overig)'!$C$16 &amp; "'!B1:B1000")) &lt; MATCH(
                        H271,
                        INDIRECT("'" &amp; 'Hulp (overig)'!$C$16 &amp; "'!A1:A1000"),
                        0
                    ))
                ),
                ROW(INDIRECT("'" &amp; 'Hulp (overig)'!$C$16 &amp; "'!B1:B1000"))
            )
        ),0)
    ))
))))</f>
        <v>#VALUE!</v>
      </c>
      <c r="H274" s="425" t="e" cm="1">
        <f t="array" aca="1" ref="H274" ca="1">IF($BF274, IF(H271="","",
   INDEX(
      INDIRECT("'" &amp; 'Hulp (CAO''s)'!$AE$8 &amp; "'!" &amp;
               'Hulp (overig)'!$C$17 &amp; "1:" &amp;
               'Hulp (overig)'!$C$17 &amp; "1000"),
      MATCH(
         H271,
         INDIRECT("'" &amp; 'Hulp (CAO''s)'!$AE$8 &amp; "'!A1:A1000"),
         0
      )
   )
), IF($D272="Gebruik % van maximum salaris",
IF(
    OR(H271="",H272=""),
    "",
    MAX(
        INDIRECT(
            "'" &amp; 'Hulp (overig)'!$C$16 &amp; "'!" &amp;
            'Hulp (overig)'!$C$17 &amp;
            MATCH(H271, INDIRECT("'" &amp; 'Hulp (overig)'!$C$16 &amp; "'!A1:A1000"), 0) &amp;
            ":" &amp;
            'Hulp (overig)'!$C$17 &amp;
LOOKUP(
    2,
    1 / (
        (ROW(INDIRECT("'" &amp; 'Hulp (overig)'!$C$16 &amp; "'!B1:B1000")) &lt;
            IF(I271&lt;&gt;"",
               MATCH(I271, INDIRECT("'" &amp; 'Hulp (overig)'!$C$16 &amp; "'!A1:A1000"),0),
               1000
            )
        ) *
        (LEFT(TRIM(INDIRECT("'" &amp; 'Hulp (overig)'!$C$16 &amp; "'!B1:B1000")),1) &lt;&gt; "u")
    ),
    ROW(INDIRECT("'" &amp; 'Hulp (overig)'!$C$16 &amp; "'!B1:B1000"))
)
        )
    ) * H272
),
IF(H273="","",
IF(
    IFERROR(MIN(
        IF(
            (TRIM(INDIRECT("'" &amp; 'Hulp (overig)'!$C$16 &amp; "'!B1:B1000")) = TEXT(H273,"0")) *
            (ROW(INDIRECT("'" &amp; 'Hulp (overig)'!$C$16 &amp; "'!B1:B1000")) &gt;= MATCH(
                H271,
                INDIRECT("'" &amp; 'Hulp (overig)'!$C$16 &amp; "'!A1:A1000"),
                0
            )) *
            IF(
                I271="",
                1,
                (ROW(INDIRECT("'" &amp; 'Hulp (overig)'!$C$16 &amp; "'!B1:B1000")) &lt; MATCH(
                    I271,
                    INDIRECT("'" &amp; 'Hulp (overig)'!$C$16 &amp; "'!A1:A1000"),
                    0
                ))
            ),
            ROW(INDIRECT("'" &amp; 'Hulp (overig)'!$C$16 &amp; "'!B1:B1000"))
        )
    ),0) &lt; 1,
    "",
    IF(INDEX(
        INDIRECT("'" &amp; 'Hulp (overig)'!$C$16 &amp; "'!" &amp;
        'Hulp (overig)'!$C$17 &amp; "1:" &amp; 'Hulp (overig)'!$C$17 &amp; 1000
        ),
        IFERROR(MIN(
            IF(
                (TRIM(INDIRECT("'" &amp; 'Hulp (overig)'!$C$16 &amp; "'!B1:B1000")) = TEXT(H273,"0")) *
                (ROW(INDIRECT("'" &amp; 'Hulp (overig)'!$C$16 &amp; "'!B1:B1000")) &gt;= MATCH(
                    H271,
                    INDIRECT("'" &amp; 'Hulp (overig)'!$C$16 &amp; "'!A1:A1000"),
                    0
                )) *
                IF(
                    I271="",
                    1,
                    (ROW(INDIRECT("'" &amp; 'Hulp (overig)'!$C$16 &amp; "'!B1:B1000")) &lt; MATCH(
                        I271,
                        INDIRECT("'" &amp; 'Hulp (overig)'!$C$16 &amp; "'!A1:A1000"),
                        0
                    ))
                ),
                ROW(INDIRECT("'" &amp; 'Hulp (overig)'!$C$16 &amp; "'!B1:B1000"))
            )
        ),0)
    )=0,"",
INDEX(
        INDIRECT("'" &amp; 'Hulp (overig)'!$C$16 &amp; "'!" &amp;
        'Hulp (overig)'!$C$17 &amp; "1:" &amp; 'Hulp (overig)'!$C$17 &amp; 1000
        ),
        IFERROR(MIN(
            IF(
                (TRIM(INDIRECT("'" &amp; 'Hulp (overig)'!$C$16 &amp; "'!B1:B1000")) = TEXT(H273,"0")) *
                (ROW(INDIRECT("'" &amp; 'Hulp (overig)'!$C$16 &amp; "'!B1:B1000")) &gt;= MATCH(
                    H271,
                    INDIRECT("'" &amp; 'Hulp (overig)'!$C$16 &amp; "'!A1:A1000"),
                    0
                )) *
                IF(
                    I271="",
                    1,
                    (ROW(INDIRECT("'" &amp; 'Hulp (overig)'!$C$16 &amp; "'!B1:B1000")) &lt; MATCH(
                        I271,
                        INDIRECT("'" &amp; 'Hulp (overig)'!$C$16 &amp; "'!A1:A1000"),
                        0
                    ))
                ),
                ROW(INDIRECT("'" &amp; 'Hulp (overig)'!$C$16 &amp; "'!B1:B1000"))
            )
        ),0)
    ))
))))</f>
        <v>#VALUE!</v>
      </c>
      <c r="I274" s="425" t="e" cm="1">
        <f t="array" aca="1" ref="I274" ca="1">IF($BF274, IF(I271="","",
   INDEX(
      INDIRECT("'" &amp; 'Hulp (CAO''s)'!$AE$8 &amp; "'!" &amp;
               'Hulp (overig)'!$C$17 &amp; "1:" &amp;
               'Hulp (overig)'!$C$17 &amp; "1000"),
      MATCH(
         I271,
         INDIRECT("'" &amp; 'Hulp (CAO''s)'!$AE$8 &amp; "'!A1:A1000"),
         0
      )
   )
), IF($D272="Gebruik % van maximum salaris",
IF(
    OR(I271="",I272=""),
    "",
    MAX(
        INDIRECT(
            "'" &amp; 'Hulp (overig)'!$C$16 &amp; "'!" &amp;
            'Hulp (overig)'!$C$17 &amp;
            MATCH(I271, INDIRECT("'" &amp; 'Hulp (overig)'!$C$16 &amp; "'!A1:A1000"), 0) &amp;
            ":" &amp;
            'Hulp (overig)'!$C$17 &amp;
LOOKUP(
    2,
    1 / (
        (ROW(INDIRECT("'" &amp; 'Hulp (overig)'!$C$16 &amp; "'!B1:B1000")) &lt;
            IF(J271&lt;&gt;"",
               MATCH(J271, INDIRECT("'" &amp; 'Hulp (overig)'!$C$16 &amp; "'!A1:A1000"),0),
               1000
            )
        ) *
        (LEFT(TRIM(INDIRECT("'" &amp; 'Hulp (overig)'!$C$16 &amp; "'!B1:B1000")),1) &lt;&gt; "u")
    ),
    ROW(INDIRECT("'" &amp; 'Hulp (overig)'!$C$16 &amp; "'!B1:B1000"))
)
        )
    ) * I272
),
IF(I273="","",
IF(
    IFERROR(MIN(
        IF(
            (TRIM(INDIRECT("'" &amp; 'Hulp (overig)'!$C$16 &amp; "'!B1:B1000")) = TEXT(I273,"0")) *
            (ROW(INDIRECT("'" &amp; 'Hulp (overig)'!$C$16 &amp; "'!B1:B1000")) &gt;= MATCH(
                I271,
                INDIRECT("'" &amp; 'Hulp (overig)'!$C$16 &amp; "'!A1:A1000"),
                0
            )) *
            IF(
                J271="",
                1,
                (ROW(INDIRECT("'" &amp; 'Hulp (overig)'!$C$16 &amp; "'!B1:B1000")) &lt; MATCH(
                    J271,
                    INDIRECT("'" &amp; 'Hulp (overig)'!$C$16 &amp; "'!A1:A1000"),
                    0
                ))
            ),
            ROW(INDIRECT("'" &amp; 'Hulp (overig)'!$C$16 &amp; "'!B1:B1000"))
        )
    ),0) &lt; 1,
    "",
    IF(INDEX(
        INDIRECT("'" &amp; 'Hulp (overig)'!$C$16 &amp; "'!" &amp;
        'Hulp (overig)'!$C$17 &amp; "1:" &amp; 'Hulp (overig)'!$C$17 &amp; 1000
        ),
        IFERROR(MIN(
            IF(
                (TRIM(INDIRECT("'" &amp; 'Hulp (overig)'!$C$16 &amp; "'!B1:B1000")) = TEXT(I273,"0")) *
                (ROW(INDIRECT("'" &amp; 'Hulp (overig)'!$C$16 &amp; "'!B1:B1000")) &gt;= MATCH(
                    I271,
                    INDIRECT("'" &amp; 'Hulp (overig)'!$C$16 &amp; "'!A1:A1000"),
                    0
                )) *
                IF(
                    J271="",
                    1,
                    (ROW(INDIRECT("'" &amp; 'Hulp (overig)'!$C$16 &amp; "'!B1:B1000")) &lt; MATCH(
                        J271,
                        INDIRECT("'" &amp; 'Hulp (overig)'!$C$16 &amp; "'!A1:A1000"),
                        0
                    ))
                ),
                ROW(INDIRECT("'" &amp; 'Hulp (overig)'!$C$16 &amp; "'!B1:B1000"))
            )
        ),0)
    )=0,"",
INDEX(
        INDIRECT("'" &amp; 'Hulp (overig)'!$C$16 &amp; "'!" &amp;
        'Hulp (overig)'!$C$17 &amp; "1:" &amp; 'Hulp (overig)'!$C$17 &amp; 1000
        ),
        IFERROR(MIN(
            IF(
                (TRIM(INDIRECT("'" &amp; 'Hulp (overig)'!$C$16 &amp; "'!B1:B1000")) = TEXT(I273,"0")) *
                (ROW(INDIRECT("'" &amp; 'Hulp (overig)'!$C$16 &amp; "'!B1:B1000")) &gt;= MATCH(
                    I271,
                    INDIRECT("'" &amp; 'Hulp (overig)'!$C$16 &amp; "'!A1:A1000"),
                    0
                )) *
                IF(
                    J271="",
                    1,
                    (ROW(INDIRECT("'" &amp; 'Hulp (overig)'!$C$16 &amp; "'!B1:B1000")) &lt; MATCH(
                        J271,
                        INDIRECT("'" &amp; 'Hulp (overig)'!$C$16 &amp; "'!A1:A1000"),
                        0
                    ))
                ),
                ROW(INDIRECT("'" &amp; 'Hulp (overig)'!$C$16 &amp; "'!B1:B1000"))
            )
        ),0)
    ))
))))</f>
        <v>#VALUE!</v>
      </c>
      <c r="J274" s="425" t="e" cm="1">
        <f t="array" aca="1" ref="J274" ca="1">IF($BF274, IF(J271="","",
   INDEX(
      INDIRECT("'" &amp; 'Hulp (CAO''s)'!$AE$8 &amp; "'!" &amp;
               'Hulp (overig)'!$C$17 &amp; "1:" &amp;
               'Hulp (overig)'!$C$17 &amp; "1000"),
      MATCH(
         J271,
         INDIRECT("'" &amp; 'Hulp (CAO''s)'!$AE$8 &amp; "'!A1:A1000"),
         0
      )
   )
), IF($D272="Gebruik % van maximum salaris",
IF(
    OR(J271="",J272=""),
    "",
    MAX(
        INDIRECT(
            "'" &amp; 'Hulp (overig)'!$C$16 &amp; "'!" &amp;
            'Hulp (overig)'!$C$17 &amp;
            MATCH(J271, INDIRECT("'" &amp; 'Hulp (overig)'!$C$16 &amp; "'!A1:A1000"), 0) &amp;
            ":" &amp;
            'Hulp (overig)'!$C$17 &amp;
LOOKUP(
    2,
    1 / (
        (ROW(INDIRECT("'" &amp; 'Hulp (overig)'!$C$16 &amp; "'!B1:B1000")) &lt;
            IF(K271&lt;&gt;"",
               MATCH(K271, INDIRECT("'" &amp; 'Hulp (overig)'!$C$16 &amp; "'!A1:A1000"),0),
               1000
            )
        ) *
        (LEFT(TRIM(INDIRECT("'" &amp; 'Hulp (overig)'!$C$16 &amp; "'!B1:B1000")),1) &lt;&gt; "u")
    ),
    ROW(INDIRECT("'" &amp; 'Hulp (overig)'!$C$16 &amp; "'!B1:B1000"))
)
        )
    ) * J272
),
IF(J273="","",
IF(
    IFERROR(MIN(
        IF(
            (TRIM(INDIRECT("'" &amp; 'Hulp (overig)'!$C$16 &amp; "'!B1:B1000")) = TEXT(J273,"0")) *
            (ROW(INDIRECT("'" &amp; 'Hulp (overig)'!$C$16 &amp; "'!B1:B1000")) &gt;= MATCH(
                J271,
                INDIRECT("'" &amp; 'Hulp (overig)'!$C$16 &amp; "'!A1:A1000"),
                0
            )) *
            IF(
                K271="",
                1,
                (ROW(INDIRECT("'" &amp; 'Hulp (overig)'!$C$16 &amp; "'!B1:B1000")) &lt; MATCH(
                    K271,
                    INDIRECT("'" &amp; 'Hulp (overig)'!$C$16 &amp; "'!A1:A1000"),
                    0
                ))
            ),
            ROW(INDIRECT("'" &amp; 'Hulp (overig)'!$C$16 &amp; "'!B1:B1000"))
        )
    ),0) &lt; 1,
    "",
    IF(INDEX(
        INDIRECT("'" &amp; 'Hulp (overig)'!$C$16 &amp; "'!" &amp;
        'Hulp (overig)'!$C$17 &amp; "1:" &amp; 'Hulp (overig)'!$C$17 &amp; 1000
        ),
        IFERROR(MIN(
            IF(
                (TRIM(INDIRECT("'" &amp; 'Hulp (overig)'!$C$16 &amp; "'!B1:B1000")) = TEXT(J273,"0")) *
                (ROW(INDIRECT("'" &amp; 'Hulp (overig)'!$C$16 &amp; "'!B1:B1000")) &gt;= MATCH(
                    J271,
                    INDIRECT("'" &amp; 'Hulp (overig)'!$C$16 &amp; "'!A1:A1000"),
                    0
                )) *
                IF(
                    K271="",
                    1,
                    (ROW(INDIRECT("'" &amp; 'Hulp (overig)'!$C$16 &amp; "'!B1:B1000")) &lt; MATCH(
                        K271,
                        INDIRECT("'" &amp; 'Hulp (overig)'!$C$16 &amp; "'!A1:A1000"),
                        0
                    ))
                ),
                ROW(INDIRECT("'" &amp; 'Hulp (overig)'!$C$16 &amp; "'!B1:B1000"))
            )
        ),0)
    )=0,"",
INDEX(
        INDIRECT("'" &amp; 'Hulp (overig)'!$C$16 &amp; "'!" &amp;
        'Hulp (overig)'!$C$17 &amp; "1:" &amp; 'Hulp (overig)'!$C$17 &amp; 1000
        ),
        IFERROR(MIN(
            IF(
                (TRIM(INDIRECT("'" &amp; 'Hulp (overig)'!$C$16 &amp; "'!B1:B1000")) = TEXT(J273,"0")) *
                (ROW(INDIRECT("'" &amp; 'Hulp (overig)'!$C$16 &amp; "'!B1:B1000")) &gt;= MATCH(
                    J271,
                    INDIRECT("'" &amp; 'Hulp (overig)'!$C$16 &amp; "'!A1:A1000"),
                    0
                )) *
                IF(
                    K271="",
                    1,
                    (ROW(INDIRECT("'" &amp; 'Hulp (overig)'!$C$16 &amp; "'!B1:B1000")) &lt; MATCH(
                        K271,
                        INDIRECT("'" &amp; 'Hulp (overig)'!$C$16 &amp; "'!A1:A1000"),
                        0
                    ))
                ),
                ROW(INDIRECT("'" &amp; 'Hulp (overig)'!$C$16 &amp; "'!B1:B1000"))
            )
        ),0)
    ))
))))</f>
        <v>#VALUE!</v>
      </c>
      <c r="K274" s="425" t="e" cm="1">
        <f t="array" aca="1" ref="K274" ca="1">IF($BF274, IF(K271="","",
   INDEX(
      INDIRECT("'" &amp; 'Hulp (CAO''s)'!$AE$8 &amp; "'!" &amp;
               'Hulp (overig)'!$C$17 &amp; "1:" &amp;
               'Hulp (overig)'!$C$17 &amp; "1000"),
      MATCH(
         K271,
         INDIRECT("'" &amp; 'Hulp (CAO''s)'!$AE$8 &amp; "'!A1:A1000"),
         0
      )
   )
), IF($D272="Gebruik % van maximum salaris",
IF(
    OR(K271="",K272=""),
    "",
    MAX(
        INDIRECT(
            "'" &amp; 'Hulp (overig)'!$C$16 &amp; "'!" &amp;
            'Hulp (overig)'!$C$17 &amp;
            MATCH(K271, INDIRECT("'" &amp; 'Hulp (overig)'!$C$16 &amp; "'!A1:A1000"), 0) &amp;
            ":" &amp;
            'Hulp (overig)'!$C$17 &amp;
LOOKUP(
    2,
    1 / (
        (ROW(INDIRECT("'" &amp; 'Hulp (overig)'!$C$16 &amp; "'!B1:B1000")) &lt;
            IF(L271&lt;&gt;"",
               MATCH(L271, INDIRECT("'" &amp; 'Hulp (overig)'!$C$16 &amp; "'!A1:A1000"),0),
               1000
            )
        ) *
        (LEFT(TRIM(INDIRECT("'" &amp; 'Hulp (overig)'!$C$16 &amp; "'!B1:B1000")),1) &lt;&gt; "u")
    ),
    ROW(INDIRECT("'" &amp; 'Hulp (overig)'!$C$16 &amp; "'!B1:B1000"))
)
        )
    ) * K272
),
IF(K273="","",
IF(
    IFERROR(MIN(
        IF(
            (TRIM(INDIRECT("'" &amp; 'Hulp (overig)'!$C$16 &amp; "'!B1:B1000")) = TEXT(K273,"0")) *
            (ROW(INDIRECT("'" &amp; 'Hulp (overig)'!$C$16 &amp; "'!B1:B1000")) &gt;= MATCH(
                K271,
                INDIRECT("'" &amp; 'Hulp (overig)'!$C$16 &amp; "'!A1:A1000"),
                0
            )) *
            IF(
                L271="",
                1,
                (ROW(INDIRECT("'" &amp; 'Hulp (overig)'!$C$16 &amp; "'!B1:B1000")) &lt; MATCH(
                    L271,
                    INDIRECT("'" &amp; 'Hulp (overig)'!$C$16 &amp; "'!A1:A1000"),
                    0
                ))
            ),
            ROW(INDIRECT("'" &amp; 'Hulp (overig)'!$C$16 &amp; "'!B1:B1000"))
        )
    ),0) &lt; 1,
    "",
    IF(INDEX(
        INDIRECT("'" &amp; 'Hulp (overig)'!$C$16 &amp; "'!" &amp;
        'Hulp (overig)'!$C$17 &amp; "1:" &amp; 'Hulp (overig)'!$C$17 &amp; 1000
        ),
        IFERROR(MIN(
            IF(
                (TRIM(INDIRECT("'" &amp; 'Hulp (overig)'!$C$16 &amp; "'!B1:B1000")) = TEXT(K273,"0")) *
                (ROW(INDIRECT("'" &amp; 'Hulp (overig)'!$C$16 &amp; "'!B1:B1000")) &gt;= MATCH(
                    K271,
                    INDIRECT("'" &amp; 'Hulp (overig)'!$C$16 &amp; "'!A1:A1000"),
                    0
                )) *
                IF(
                    L271="",
                    1,
                    (ROW(INDIRECT("'" &amp; 'Hulp (overig)'!$C$16 &amp; "'!B1:B1000")) &lt; MATCH(
                        L271,
                        INDIRECT("'" &amp; 'Hulp (overig)'!$C$16 &amp; "'!A1:A1000"),
                        0
                    ))
                ),
                ROW(INDIRECT("'" &amp; 'Hulp (overig)'!$C$16 &amp; "'!B1:B1000"))
            )
        ),0)
    )=0,"",
INDEX(
        INDIRECT("'" &amp; 'Hulp (overig)'!$C$16 &amp; "'!" &amp;
        'Hulp (overig)'!$C$17 &amp; "1:" &amp; 'Hulp (overig)'!$C$17 &amp; 1000
        ),
        IFERROR(MIN(
            IF(
                (TRIM(INDIRECT("'" &amp; 'Hulp (overig)'!$C$16 &amp; "'!B1:B1000")) = TEXT(K273,"0")) *
                (ROW(INDIRECT("'" &amp; 'Hulp (overig)'!$C$16 &amp; "'!B1:B1000")) &gt;= MATCH(
                    K271,
                    INDIRECT("'" &amp; 'Hulp (overig)'!$C$16 &amp; "'!A1:A1000"),
                    0
                )) *
                IF(
                    L271="",
                    1,
                    (ROW(INDIRECT("'" &amp; 'Hulp (overig)'!$C$16 &amp; "'!B1:B1000")) &lt; MATCH(
                        L271,
                        INDIRECT("'" &amp; 'Hulp (overig)'!$C$16 &amp; "'!A1:A1000"),
                        0
                    ))
                ),
                ROW(INDIRECT("'" &amp; 'Hulp (overig)'!$C$16 &amp; "'!B1:B1000"))
            )
        ),0)
    ))
))))</f>
        <v>#VALUE!</v>
      </c>
      <c r="L274" s="425" t="e" cm="1">
        <f t="array" aca="1" ref="L274" ca="1">IF($BF274, IF(L271="","",
   INDEX(
      INDIRECT("'" &amp; 'Hulp (CAO''s)'!$AE$8 &amp; "'!" &amp;
               'Hulp (overig)'!$C$17 &amp; "1:" &amp;
               'Hulp (overig)'!$C$17 &amp; "1000"),
      MATCH(
         L271,
         INDIRECT("'" &amp; 'Hulp (CAO''s)'!$AE$8 &amp; "'!A1:A1000"),
         0
      )
   )
), IF($D272="Gebruik % van maximum salaris",
IF(
    OR(L271="",L272=""),
    "",
    MAX(
        INDIRECT(
            "'" &amp; 'Hulp (overig)'!$C$16 &amp; "'!" &amp;
            'Hulp (overig)'!$C$17 &amp;
            MATCH(L271, INDIRECT("'" &amp; 'Hulp (overig)'!$C$16 &amp; "'!A1:A1000"), 0) &amp;
            ":" &amp;
            'Hulp (overig)'!$C$17 &amp;
LOOKUP(
    2,
    1 / (
        (ROW(INDIRECT("'" &amp; 'Hulp (overig)'!$C$16 &amp; "'!B1:B1000")) &lt;
            IF(M271&lt;&gt;"",
               MATCH(M271, INDIRECT("'" &amp; 'Hulp (overig)'!$C$16 &amp; "'!A1:A1000"),0),
               1000
            )
        ) *
        (LEFT(TRIM(INDIRECT("'" &amp; 'Hulp (overig)'!$C$16 &amp; "'!B1:B1000")),1) &lt;&gt; "u")
    ),
    ROW(INDIRECT("'" &amp; 'Hulp (overig)'!$C$16 &amp; "'!B1:B1000"))
)
        )
    ) * L272
),
IF(L273="","",
IF(
    IFERROR(MIN(
        IF(
            (TRIM(INDIRECT("'" &amp; 'Hulp (overig)'!$C$16 &amp; "'!B1:B1000")) = TEXT(L273,"0")) *
            (ROW(INDIRECT("'" &amp; 'Hulp (overig)'!$C$16 &amp; "'!B1:B1000")) &gt;= MATCH(
                L271,
                INDIRECT("'" &amp; 'Hulp (overig)'!$C$16 &amp; "'!A1:A1000"),
                0
            )) *
            IF(
                M271="",
                1,
                (ROW(INDIRECT("'" &amp; 'Hulp (overig)'!$C$16 &amp; "'!B1:B1000")) &lt; MATCH(
                    M271,
                    INDIRECT("'" &amp; 'Hulp (overig)'!$C$16 &amp; "'!A1:A1000"),
                    0
                ))
            ),
            ROW(INDIRECT("'" &amp; 'Hulp (overig)'!$C$16 &amp; "'!B1:B1000"))
        )
    ),0) &lt; 1,
    "",
    IF(INDEX(
        INDIRECT("'" &amp; 'Hulp (overig)'!$C$16 &amp; "'!" &amp;
        'Hulp (overig)'!$C$17 &amp; "1:" &amp; 'Hulp (overig)'!$C$17 &amp; 1000
        ),
        IFERROR(MIN(
            IF(
                (TRIM(INDIRECT("'" &amp; 'Hulp (overig)'!$C$16 &amp; "'!B1:B1000")) = TEXT(L273,"0")) *
                (ROW(INDIRECT("'" &amp; 'Hulp (overig)'!$C$16 &amp; "'!B1:B1000")) &gt;= MATCH(
                    L271,
                    INDIRECT("'" &amp; 'Hulp (overig)'!$C$16 &amp; "'!A1:A1000"),
                    0
                )) *
                IF(
                    M271="",
                    1,
                    (ROW(INDIRECT("'" &amp; 'Hulp (overig)'!$C$16 &amp; "'!B1:B1000")) &lt; MATCH(
                        M271,
                        INDIRECT("'" &amp; 'Hulp (overig)'!$C$16 &amp; "'!A1:A1000"),
                        0
                    ))
                ),
                ROW(INDIRECT("'" &amp; 'Hulp (overig)'!$C$16 &amp; "'!B1:B1000"))
            )
        ),0)
    )=0,"",
INDEX(
        INDIRECT("'" &amp; 'Hulp (overig)'!$C$16 &amp; "'!" &amp;
        'Hulp (overig)'!$C$17 &amp; "1:" &amp; 'Hulp (overig)'!$C$17 &amp; 1000
        ),
        IFERROR(MIN(
            IF(
                (TRIM(INDIRECT("'" &amp; 'Hulp (overig)'!$C$16 &amp; "'!B1:B1000")) = TEXT(L273,"0")) *
                (ROW(INDIRECT("'" &amp; 'Hulp (overig)'!$C$16 &amp; "'!B1:B1000")) &gt;= MATCH(
                    L271,
                    INDIRECT("'" &amp; 'Hulp (overig)'!$C$16 &amp; "'!A1:A1000"),
                    0
                )) *
                IF(
                    M271="",
                    1,
                    (ROW(INDIRECT("'" &amp; 'Hulp (overig)'!$C$16 &amp; "'!B1:B1000")) &lt; MATCH(
                        M271,
                        INDIRECT("'" &amp; 'Hulp (overig)'!$C$16 &amp; "'!A1:A1000"),
                        0
                    ))
                ),
                ROW(INDIRECT("'" &amp; 'Hulp (overig)'!$C$16 &amp; "'!B1:B1000"))
            )
        ),0)
    ))
))))</f>
        <v>#VALUE!</v>
      </c>
      <c r="M274" s="425" t="e" cm="1">
        <f t="array" aca="1" ref="M274" ca="1">IF($BF274, IF(M271="","",
   INDEX(
      INDIRECT("'" &amp; 'Hulp (CAO''s)'!$AE$8 &amp; "'!" &amp;
               'Hulp (overig)'!$C$17 &amp; "1:" &amp;
               'Hulp (overig)'!$C$17 &amp; "1000"),
      MATCH(
         M271,
         INDIRECT("'" &amp; 'Hulp (CAO''s)'!$AE$8 &amp; "'!A1:A1000"),
         0
      )
   )
), IF($D272="Gebruik % van maximum salaris",
IF(
    OR(M271="",M272=""),
    "",
    MAX(
        INDIRECT(
            "'" &amp; 'Hulp (overig)'!$C$16 &amp; "'!" &amp;
            'Hulp (overig)'!$C$17 &amp;
            MATCH(M271, INDIRECT("'" &amp; 'Hulp (overig)'!$C$16 &amp; "'!A1:A1000"), 0) &amp;
            ":" &amp;
            'Hulp (overig)'!$C$17 &amp;
LOOKUP(
    2,
    1 / (
        (ROW(INDIRECT("'" &amp; 'Hulp (overig)'!$C$16 &amp; "'!B1:B1000")) &lt;
            IF(N271&lt;&gt;"",
               MATCH(N271, INDIRECT("'" &amp; 'Hulp (overig)'!$C$16 &amp; "'!A1:A1000"),0),
               1000
            )
        ) *
        (LEFT(TRIM(INDIRECT("'" &amp; 'Hulp (overig)'!$C$16 &amp; "'!B1:B1000")),1) &lt;&gt; "u")
    ),
    ROW(INDIRECT("'" &amp; 'Hulp (overig)'!$C$16 &amp; "'!B1:B1000"))
)
        )
    ) * M272
),
IF(M273="","",
IF(
    IFERROR(MIN(
        IF(
            (TRIM(INDIRECT("'" &amp; 'Hulp (overig)'!$C$16 &amp; "'!B1:B1000")) = TEXT(M273,"0")) *
            (ROW(INDIRECT("'" &amp; 'Hulp (overig)'!$C$16 &amp; "'!B1:B1000")) &gt;= MATCH(
                M271,
                INDIRECT("'" &amp; 'Hulp (overig)'!$C$16 &amp; "'!A1:A1000"),
                0
            )) *
            IF(
                N271="",
                1,
                (ROW(INDIRECT("'" &amp; 'Hulp (overig)'!$C$16 &amp; "'!B1:B1000")) &lt; MATCH(
                    N271,
                    INDIRECT("'" &amp; 'Hulp (overig)'!$C$16 &amp; "'!A1:A1000"),
                    0
                ))
            ),
            ROW(INDIRECT("'" &amp; 'Hulp (overig)'!$C$16 &amp; "'!B1:B1000"))
        )
    ),0) &lt; 1,
    "",
    IF(INDEX(
        INDIRECT("'" &amp; 'Hulp (overig)'!$C$16 &amp; "'!" &amp;
        'Hulp (overig)'!$C$17 &amp; "1:" &amp; 'Hulp (overig)'!$C$17 &amp; 1000
        ),
        IFERROR(MIN(
            IF(
                (TRIM(INDIRECT("'" &amp; 'Hulp (overig)'!$C$16 &amp; "'!B1:B1000")) = TEXT(M273,"0")) *
                (ROW(INDIRECT("'" &amp; 'Hulp (overig)'!$C$16 &amp; "'!B1:B1000")) &gt;= MATCH(
                    M271,
                    INDIRECT("'" &amp; 'Hulp (overig)'!$C$16 &amp; "'!A1:A1000"),
                    0
                )) *
                IF(
                    N271="",
                    1,
                    (ROW(INDIRECT("'" &amp; 'Hulp (overig)'!$C$16 &amp; "'!B1:B1000")) &lt; MATCH(
                        N271,
                        INDIRECT("'" &amp; 'Hulp (overig)'!$C$16 &amp; "'!A1:A1000"),
                        0
                    ))
                ),
                ROW(INDIRECT("'" &amp; 'Hulp (overig)'!$C$16 &amp; "'!B1:B1000"))
            )
        ),0)
    )=0,"",
INDEX(
        INDIRECT("'" &amp; 'Hulp (overig)'!$C$16 &amp; "'!" &amp;
        'Hulp (overig)'!$C$17 &amp; "1:" &amp; 'Hulp (overig)'!$C$17 &amp; 1000
        ),
        IFERROR(MIN(
            IF(
                (TRIM(INDIRECT("'" &amp; 'Hulp (overig)'!$C$16 &amp; "'!B1:B1000")) = TEXT(M273,"0")) *
                (ROW(INDIRECT("'" &amp; 'Hulp (overig)'!$C$16 &amp; "'!B1:B1000")) &gt;= MATCH(
                    M271,
                    INDIRECT("'" &amp; 'Hulp (overig)'!$C$16 &amp; "'!A1:A1000"),
                    0
                )) *
                IF(
                    N271="",
                    1,
                    (ROW(INDIRECT("'" &amp; 'Hulp (overig)'!$C$16 &amp; "'!B1:B1000")) &lt; MATCH(
                        N271,
                        INDIRECT("'" &amp; 'Hulp (overig)'!$C$16 &amp; "'!A1:A1000"),
                        0
                    ))
                ),
                ROW(INDIRECT("'" &amp; 'Hulp (overig)'!$C$16 &amp; "'!B1:B1000"))
            )
        ),0)
    ))
))))</f>
        <v>#VALUE!</v>
      </c>
      <c r="N274" s="425" t="e" cm="1">
        <f t="array" aca="1" ref="N274" ca="1">IF($BF274, IF(N271="","",
   INDEX(
      INDIRECT("'" &amp; 'Hulp (CAO''s)'!$AE$8 &amp; "'!" &amp;
               'Hulp (overig)'!$C$17 &amp; "1:" &amp;
               'Hulp (overig)'!$C$17 &amp; "1000"),
      MATCH(
         N271,
         INDIRECT("'" &amp; 'Hulp (CAO''s)'!$AE$8 &amp; "'!A1:A1000"),
         0
      )
   )
), IF($D272="Gebruik % van maximum salaris",
IF(
    OR(N271="",N272=""),
    "",
    MAX(
        INDIRECT(
            "'" &amp; 'Hulp (overig)'!$C$16 &amp; "'!" &amp;
            'Hulp (overig)'!$C$17 &amp;
            MATCH(N271, INDIRECT("'" &amp; 'Hulp (overig)'!$C$16 &amp; "'!A1:A1000"), 0) &amp;
            ":" &amp;
            'Hulp (overig)'!$C$17 &amp;
LOOKUP(
    2,
    1 / (
        (ROW(INDIRECT("'" &amp; 'Hulp (overig)'!$C$16 &amp; "'!B1:B1000")) &lt;
            IF(O271&lt;&gt;"",
               MATCH(O271, INDIRECT("'" &amp; 'Hulp (overig)'!$C$16 &amp; "'!A1:A1000"),0),
               1000
            )
        ) *
        (LEFT(TRIM(INDIRECT("'" &amp; 'Hulp (overig)'!$C$16 &amp; "'!B1:B1000")),1) &lt;&gt; "u")
    ),
    ROW(INDIRECT("'" &amp; 'Hulp (overig)'!$C$16 &amp; "'!B1:B1000"))
)
        )
    ) * N272
),
IF(N273="","",
IF(
    IFERROR(MIN(
        IF(
            (TRIM(INDIRECT("'" &amp; 'Hulp (overig)'!$C$16 &amp; "'!B1:B1000")) = TEXT(N273,"0")) *
            (ROW(INDIRECT("'" &amp; 'Hulp (overig)'!$C$16 &amp; "'!B1:B1000")) &gt;= MATCH(
                N271,
                INDIRECT("'" &amp; 'Hulp (overig)'!$C$16 &amp; "'!A1:A1000"),
                0
            )) *
            IF(
                O271="",
                1,
                (ROW(INDIRECT("'" &amp; 'Hulp (overig)'!$C$16 &amp; "'!B1:B1000")) &lt; MATCH(
                    O271,
                    INDIRECT("'" &amp; 'Hulp (overig)'!$C$16 &amp; "'!A1:A1000"),
                    0
                ))
            ),
            ROW(INDIRECT("'" &amp; 'Hulp (overig)'!$C$16 &amp; "'!B1:B1000"))
        )
    ),0) &lt; 1,
    "",
    IF(INDEX(
        INDIRECT("'" &amp; 'Hulp (overig)'!$C$16 &amp; "'!" &amp;
        'Hulp (overig)'!$C$17 &amp; "1:" &amp; 'Hulp (overig)'!$C$17 &amp; 1000
        ),
        IFERROR(MIN(
            IF(
                (TRIM(INDIRECT("'" &amp; 'Hulp (overig)'!$C$16 &amp; "'!B1:B1000")) = TEXT(N273,"0")) *
                (ROW(INDIRECT("'" &amp; 'Hulp (overig)'!$C$16 &amp; "'!B1:B1000")) &gt;= MATCH(
                    N271,
                    INDIRECT("'" &amp; 'Hulp (overig)'!$C$16 &amp; "'!A1:A1000"),
                    0
                )) *
                IF(
                    O271="",
                    1,
                    (ROW(INDIRECT("'" &amp; 'Hulp (overig)'!$C$16 &amp; "'!B1:B1000")) &lt; MATCH(
                        O271,
                        INDIRECT("'" &amp; 'Hulp (overig)'!$C$16 &amp; "'!A1:A1000"),
                        0
                    ))
                ),
                ROW(INDIRECT("'" &amp; 'Hulp (overig)'!$C$16 &amp; "'!B1:B1000"))
            )
        ),0)
    )=0,"",
INDEX(
        INDIRECT("'" &amp; 'Hulp (overig)'!$C$16 &amp; "'!" &amp;
        'Hulp (overig)'!$C$17 &amp; "1:" &amp; 'Hulp (overig)'!$C$17 &amp; 1000
        ),
        IFERROR(MIN(
            IF(
                (TRIM(INDIRECT("'" &amp; 'Hulp (overig)'!$C$16 &amp; "'!B1:B1000")) = TEXT(N273,"0")) *
                (ROW(INDIRECT("'" &amp; 'Hulp (overig)'!$C$16 &amp; "'!B1:B1000")) &gt;= MATCH(
                    N271,
                    INDIRECT("'" &amp; 'Hulp (overig)'!$C$16 &amp; "'!A1:A1000"),
                    0
                )) *
                IF(
                    O271="",
                    1,
                    (ROW(INDIRECT("'" &amp; 'Hulp (overig)'!$C$16 &amp; "'!B1:B1000")) &lt; MATCH(
                        O271,
                        INDIRECT("'" &amp; 'Hulp (overig)'!$C$16 &amp; "'!A1:A1000"),
                        0
                    ))
                ),
                ROW(INDIRECT("'" &amp; 'Hulp (overig)'!$C$16 &amp; "'!B1:B1000"))
            )
        ),0)
    ))
))))</f>
        <v>#VALUE!</v>
      </c>
      <c r="O274" s="425" t="e" cm="1">
        <f t="array" aca="1" ref="O274" ca="1">IF($BF274, IF(O271="","",
   INDEX(
      INDIRECT("'" &amp; 'Hulp (CAO''s)'!$AE$8 &amp; "'!" &amp;
               'Hulp (overig)'!$C$17 &amp; "1:" &amp;
               'Hulp (overig)'!$C$17 &amp; "1000"),
      MATCH(
         O271,
         INDIRECT("'" &amp; 'Hulp (CAO''s)'!$AE$8 &amp; "'!A1:A1000"),
         0
      )
   )
), IF($D272="Gebruik % van maximum salaris",
IF(
    OR(O271="",O272=""),
    "",
    MAX(
        INDIRECT(
            "'" &amp; 'Hulp (overig)'!$C$16 &amp; "'!" &amp;
            'Hulp (overig)'!$C$17 &amp;
            MATCH(O271, INDIRECT("'" &amp; 'Hulp (overig)'!$C$16 &amp; "'!A1:A1000"), 0) &amp;
            ":" &amp;
            'Hulp (overig)'!$C$17 &amp;
LOOKUP(
    2,
    1 / (
        (ROW(INDIRECT("'" &amp; 'Hulp (overig)'!$C$16 &amp; "'!B1:B1000")) &lt;
            IF(P271&lt;&gt;"",
               MATCH(P271, INDIRECT("'" &amp; 'Hulp (overig)'!$C$16 &amp; "'!A1:A1000"),0),
               1000
            )
        ) *
        (LEFT(TRIM(INDIRECT("'" &amp; 'Hulp (overig)'!$C$16 &amp; "'!B1:B1000")),1) &lt;&gt; "u")
    ),
    ROW(INDIRECT("'" &amp; 'Hulp (overig)'!$C$16 &amp; "'!B1:B1000"))
)
        )
    ) * O272
),
IF(O273="","",
IF(
    IFERROR(MIN(
        IF(
            (TRIM(INDIRECT("'" &amp; 'Hulp (overig)'!$C$16 &amp; "'!B1:B1000")) = TEXT(O273,"0")) *
            (ROW(INDIRECT("'" &amp; 'Hulp (overig)'!$C$16 &amp; "'!B1:B1000")) &gt;= MATCH(
                O271,
                INDIRECT("'" &amp; 'Hulp (overig)'!$C$16 &amp; "'!A1:A1000"),
                0
            )) *
            IF(
                P271="",
                1,
                (ROW(INDIRECT("'" &amp; 'Hulp (overig)'!$C$16 &amp; "'!B1:B1000")) &lt; MATCH(
                    P271,
                    INDIRECT("'" &amp; 'Hulp (overig)'!$C$16 &amp; "'!A1:A1000"),
                    0
                ))
            ),
            ROW(INDIRECT("'" &amp; 'Hulp (overig)'!$C$16 &amp; "'!B1:B1000"))
        )
    ),0) &lt; 1,
    "",
    IF(INDEX(
        INDIRECT("'" &amp; 'Hulp (overig)'!$C$16 &amp; "'!" &amp;
        'Hulp (overig)'!$C$17 &amp; "1:" &amp; 'Hulp (overig)'!$C$17 &amp; 1000
        ),
        IFERROR(MIN(
            IF(
                (TRIM(INDIRECT("'" &amp; 'Hulp (overig)'!$C$16 &amp; "'!B1:B1000")) = TEXT(O273,"0")) *
                (ROW(INDIRECT("'" &amp; 'Hulp (overig)'!$C$16 &amp; "'!B1:B1000")) &gt;= MATCH(
                    O271,
                    INDIRECT("'" &amp; 'Hulp (overig)'!$C$16 &amp; "'!A1:A1000"),
                    0
                )) *
                IF(
                    P271="",
                    1,
                    (ROW(INDIRECT("'" &amp; 'Hulp (overig)'!$C$16 &amp; "'!B1:B1000")) &lt; MATCH(
                        P271,
                        INDIRECT("'" &amp; 'Hulp (overig)'!$C$16 &amp; "'!A1:A1000"),
                        0
                    ))
                ),
                ROW(INDIRECT("'" &amp; 'Hulp (overig)'!$C$16 &amp; "'!B1:B1000"))
            )
        ),0)
    )=0,"",
INDEX(
        INDIRECT("'" &amp; 'Hulp (overig)'!$C$16 &amp; "'!" &amp;
        'Hulp (overig)'!$C$17 &amp; "1:" &amp; 'Hulp (overig)'!$C$17 &amp; 1000
        ),
        IFERROR(MIN(
            IF(
                (TRIM(INDIRECT("'" &amp; 'Hulp (overig)'!$C$16 &amp; "'!B1:B1000")) = TEXT(O273,"0")) *
                (ROW(INDIRECT("'" &amp; 'Hulp (overig)'!$C$16 &amp; "'!B1:B1000")) &gt;= MATCH(
                    O271,
                    INDIRECT("'" &amp; 'Hulp (overig)'!$C$16 &amp; "'!A1:A1000"),
                    0
                )) *
                IF(
                    P271="",
                    1,
                    (ROW(INDIRECT("'" &amp; 'Hulp (overig)'!$C$16 &amp; "'!B1:B1000")) &lt; MATCH(
                        P271,
                        INDIRECT("'" &amp; 'Hulp (overig)'!$C$16 &amp; "'!A1:A1000"),
                        0
                    ))
                ),
                ROW(INDIRECT("'" &amp; 'Hulp (overig)'!$C$16 &amp; "'!B1:B1000"))
            )
        ),0)
    ))
))))</f>
        <v>#VALUE!</v>
      </c>
      <c r="P274" s="425" t="e" cm="1">
        <f t="array" aca="1" ref="P274" ca="1">IF($BF274, IF(P271="","",
   INDEX(
      INDIRECT("'" &amp; 'Hulp (CAO''s)'!$AE$8 &amp; "'!" &amp;
               'Hulp (overig)'!$C$17 &amp; "1:" &amp;
               'Hulp (overig)'!$C$17 &amp; "1000"),
      MATCH(
         P271,
         INDIRECT("'" &amp; 'Hulp (CAO''s)'!$AE$8 &amp; "'!A1:A1000"),
         0
      )
   )
), IF($D272="Gebruik % van maximum salaris",
IF(
    OR(P271="",P272=""),
    "",
    MAX(
        INDIRECT(
            "'" &amp; 'Hulp (overig)'!$C$16 &amp; "'!" &amp;
            'Hulp (overig)'!$C$17 &amp;
            MATCH(P271, INDIRECT("'" &amp; 'Hulp (overig)'!$C$16 &amp; "'!A1:A1000"), 0) &amp;
            ":" &amp;
            'Hulp (overig)'!$C$17 &amp;
LOOKUP(
    2,
    1 / (
        (ROW(INDIRECT("'" &amp; 'Hulp (overig)'!$C$16 &amp; "'!B1:B1000")) &lt;
            IF(Q271&lt;&gt;"",
               MATCH(Q271, INDIRECT("'" &amp; 'Hulp (overig)'!$C$16 &amp; "'!A1:A1000"),0),
               1000
            )
        ) *
        (LEFT(TRIM(INDIRECT("'" &amp; 'Hulp (overig)'!$C$16 &amp; "'!B1:B1000")),1) &lt;&gt; "u")
    ),
    ROW(INDIRECT("'" &amp; 'Hulp (overig)'!$C$16 &amp; "'!B1:B1000"))
)
        )
    ) * P272
),
IF(P273="","",
IF(
    IFERROR(MIN(
        IF(
            (TRIM(INDIRECT("'" &amp; 'Hulp (overig)'!$C$16 &amp; "'!B1:B1000")) = TEXT(P273,"0")) *
            (ROW(INDIRECT("'" &amp; 'Hulp (overig)'!$C$16 &amp; "'!B1:B1000")) &gt;= MATCH(
                P271,
                INDIRECT("'" &amp; 'Hulp (overig)'!$C$16 &amp; "'!A1:A1000"),
                0
            )) *
            IF(
                Q271="",
                1,
                (ROW(INDIRECT("'" &amp; 'Hulp (overig)'!$C$16 &amp; "'!B1:B1000")) &lt; MATCH(
                    Q271,
                    INDIRECT("'" &amp; 'Hulp (overig)'!$C$16 &amp; "'!A1:A1000"),
                    0
                ))
            ),
            ROW(INDIRECT("'" &amp; 'Hulp (overig)'!$C$16 &amp; "'!B1:B1000"))
        )
    ),0) &lt; 1,
    "",
    IF(INDEX(
        INDIRECT("'" &amp; 'Hulp (overig)'!$C$16 &amp; "'!" &amp;
        'Hulp (overig)'!$C$17 &amp; "1:" &amp; 'Hulp (overig)'!$C$17 &amp; 1000
        ),
        IFERROR(MIN(
            IF(
                (TRIM(INDIRECT("'" &amp; 'Hulp (overig)'!$C$16 &amp; "'!B1:B1000")) = TEXT(P273,"0")) *
                (ROW(INDIRECT("'" &amp; 'Hulp (overig)'!$C$16 &amp; "'!B1:B1000")) &gt;= MATCH(
                    P271,
                    INDIRECT("'" &amp; 'Hulp (overig)'!$C$16 &amp; "'!A1:A1000"),
                    0
                )) *
                IF(
                    Q271="",
                    1,
                    (ROW(INDIRECT("'" &amp; 'Hulp (overig)'!$C$16 &amp; "'!B1:B1000")) &lt; MATCH(
                        Q271,
                        INDIRECT("'" &amp; 'Hulp (overig)'!$C$16 &amp; "'!A1:A1000"),
                        0
                    ))
                ),
                ROW(INDIRECT("'" &amp; 'Hulp (overig)'!$C$16 &amp; "'!B1:B1000"))
            )
        ),0)
    )=0,"",
INDEX(
        INDIRECT("'" &amp; 'Hulp (overig)'!$C$16 &amp; "'!" &amp;
        'Hulp (overig)'!$C$17 &amp; "1:" &amp; 'Hulp (overig)'!$C$17 &amp; 1000
        ),
        IFERROR(MIN(
            IF(
                (TRIM(INDIRECT("'" &amp; 'Hulp (overig)'!$C$16 &amp; "'!B1:B1000")) = TEXT(P273,"0")) *
                (ROW(INDIRECT("'" &amp; 'Hulp (overig)'!$C$16 &amp; "'!B1:B1000")) &gt;= MATCH(
                    P271,
                    INDIRECT("'" &amp; 'Hulp (overig)'!$C$16 &amp; "'!A1:A1000"),
                    0
                )) *
                IF(
                    Q271="",
                    1,
                    (ROW(INDIRECT("'" &amp; 'Hulp (overig)'!$C$16 &amp; "'!B1:B1000")) &lt; MATCH(
                        Q271,
                        INDIRECT("'" &amp; 'Hulp (overig)'!$C$16 &amp; "'!A1:A1000"),
                        0
                    ))
                ),
                ROW(INDIRECT("'" &amp; 'Hulp (overig)'!$C$16 &amp; "'!B1:B1000"))
            )
        ),0)
    ))
))))</f>
        <v>#VALUE!</v>
      </c>
      <c r="Q274" s="425" t="e" cm="1">
        <f t="array" aca="1" ref="Q274" ca="1">IF($BF274, IF(Q271="","",
   INDEX(
      INDIRECT("'" &amp; 'Hulp (CAO''s)'!$AE$8 &amp; "'!" &amp;
               'Hulp (overig)'!$C$17 &amp; "1:" &amp;
               'Hulp (overig)'!$C$17 &amp; "1000"),
      MATCH(
         Q271,
         INDIRECT("'" &amp; 'Hulp (CAO''s)'!$AE$8 &amp; "'!A1:A1000"),
         0
      )
   )
), IF($D272="Gebruik % van maximum salaris",
IF(
    OR(Q271="",Q272=""),
    "",
    MAX(
        INDIRECT(
            "'" &amp; 'Hulp (overig)'!$C$16 &amp; "'!" &amp;
            'Hulp (overig)'!$C$17 &amp;
            MATCH(Q271, INDIRECT("'" &amp; 'Hulp (overig)'!$C$16 &amp; "'!A1:A1000"), 0) &amp;
            ":" &amp;
            'Hulp (overig)'!$C$17 &amp;
LOOKUP(
    2,
    1 / (
        (ROW(INDIRECT("'" &amp; 'Hulp (overig)'!$C$16 &amp; "'!B1:B1000")) &lt;
            IF(R271&lt;&gt;"",
               MATCH(R271, INDIRECT("'" &amp; 'Hulp (overig)'!$C$16 &amp; "'!A1:A1000"),0),
               1000
            )
        ) *
        (LEFT(TRIM(INDIRECT("'" &amp; 'Hulp (overig)'!$C$16 &amp; "'!B1:B1000")),1) &lt;&gt; "u")
    ),
    ROW(INDIRECT("'" &amp; 'Hulp (overig)'!$C$16 &amp; "'!B1:B1000"))
)
        )
    ) * Q272
),
IF(Q273="","",
IF(
    IFERROR(MIN(
        IF(
            (TRIM(INDIRECT("'" &amp; 'Hulp (overig)'!$C$16 &amp; "'!B1:B1000")) = TEXT(Q273,"0")) *
            (ROW(INDIRECT("'" &amp; 'Hulp (overig)'!$C$16 &amp; "'!B1:B1000")) &gt;= MATCH(
                Q271,
                INDIRECT("'" &amp; 'Hulp (overig)'!$C$16 &amp; "'!A1:A1000"),
                0
            )) *
            IF(
                R271="",
                1,
                (ROW(INDIRECT("'" &amp; 'Hulp (overig)'!$C$16 &amp; "'!B1:B1000")) &lt; MATCH(
                    R271,
                    INDIRECT("'" &amp; 'Hulp (overig)'!$C$16 &amp; "'!A1:A1000"),
                    0
                ))
            ),
            ROW(INDIRECT("'" &amp; 'Hulp (overig)'!$C$16 &amp; "'!B1:B1000"))
        )
    ),0) &lt; 1,
    "",
    IF(INDEX(
        INDIRECT("'" &amp; 'Hulp (overig)'!$C$16 &amp; "'!" &amp;
        'Hulp (overig)'!$C$17 &amp; "1:" &amp; 'Hulp (overig)'!$C$17 &amp; 1000
        ),
        IFERROR(MIN(
            IF(
                (TRIM(INDIRECT("'" &amp; 'Hulp (overig)'!$C$16 &amp; "'!B1:B1000")) = TEXT(Q273,"0")) *
                (ROW(INDIRECT("'" &amp; 'Hulp (overig)'!$C$16 &amp; "'!B1:B1000")) &gt;= MATCH(
                    Q271,
                    INDIRECT("'" &amp; 'Hulp (overig)'!$C$16 &amp; "'!A1:A1000"),
                    0
                )) *
                IF(
                    R271="",
                    1,
                    (ROW(INDIRECT("'" &amp; 'Hulp (overig)'!$C$16 &amp; "'!B1:B1000")) &lt; MATCH(
                        R271,
                        INDIRECT("'" &amp; 'Hulp (overig)'!$C$16 &amp; "'!A1:A1000"),
                        0
                    ))
                ),
                ROW(INDIRECT("'" &amp; 'Hulp (overig)'!$C$16 &amp; "'!B1:B1000"))
            )
        ),0)
    )=0,"",
INDEX(
        INDIRECT("'" &amp; 'Hulp (overig)'!$C$16 &amp; "'!" &amp;
        'Hulp (overig)'!$C$17 &amp; "1:" &amp; 'Hulp (overig)'!$C$17 &amp; 1000
        ),
        IFERROR(MIN(
            IF(
                (TRIM(INDIRECT("'" &amp; 'Hulp (overig)'!$C$16 &amp; "'!B1:B1000")) = TEXT(Q273,"0")) *
                (ROW(INDIRECT("'" &amp; 'Hulp (overig)'!$C$16 &amp; "'!B1:B1000")) &gt;= MATCH(
                    Q271,
                    INDIRECT("'" &amp; 'Hulp (overig)'!$C$16 &amp; "'!A1:A1000"),
                    0
                )) *
                IF(
                    R271="",
                    1,
                    (ROW(INDIRECT("'" &amp; 'Hulp (overig)'!$C$16 &amp; "'!B1:B1000")) &lt; MATCH(
                        R271,
                        INDIRECT("'" &amp; 'Hulp (overig)'!$C$16 &amp; "'!A1:A1000"),
                        0
                    ))
                ),
                ROW(INDIRECT("'" &amp; 'Hulp (overig)'!$C$16 &amp; "'!B1:B1000"))
            )
        ),0)
    ))
))))</f>
        <v>#VALUE!</v>
      </c>
      <c r="R274" s="425" t="e" cm="1">
        <f t="array" aca="1" ref="R274" ca="1">IF($BF274, IF(R271="","",
   INDEX(
      INDIRECT("'" &amp; 'Hulp (CAO''s)'!$AE$8 &amp; "'!" &amp;
               'Hulp (overig)'!$C$17 &amp; "1:" &amp;
               'Hulp (overig)'!$C$17 &amp; "1000"),
      MATCH(
         R271,
         INDIRECT("'" &amp; 'Hulp (CAO''s)'!$AE$8 &amp; "'!A1:A1000"),
         0
      )
   )
), IF($D272="Gebruik % van maximum salaris",
IF(
    OR(R271="",R272=""),
    "",
    MAX(
        INDIRECT(
            "'" &amp; 'Hulp (overig)'!$C$16 &amp; "'!" &amp;
            'Hulp (overig)'!$C$17 &amp;
            MATCH(R271, INDIRECT("'" &amp; 'Hulp (overig)'!$C$16 &amp; "'!A1:A1000"), 0) &amp;
            ":" &amp;
            'Hulp (overig)'!$C$17 &amp;
LOOKUP(
    2,
    1 / (
        (ROW(INDIRECT("'" &amp; 'Hulp (overig)'!$C$16 &amp; "'!B1:B1000")) &lt;
            IF(S271&lt;&gt;"",
               MATCH(S271, INDIRECT("'" &amp; 'Hulp (overig)'!$C$16 &amp; "'!A1:A1000"),0),
               1000
            )
        ) *
        (LEFT(TRIM(INDIRECT("'" &amp; 'Hulp (overig)'!$C$16 &amp; "'!B1:B1000")),1) &lt;&gt; "u")
    ),
    ROW(INDIRECT("'" &amp; 'Hulp (overig)'!$C$16 &amp; "'!B1:B1000"))
)
        )
    ) * R272
),
IF(R273="","",
IF(
    IFERROR(MIN(
        IF(
            (TRIM(INDIRECT("'" &amp; 'Hulp (overig)'!$C$16 &amp; "'!B1:B1000")) = TEXT(R273,"0")) *
            (ROW(INDIRECT("'" &amp; 'Hulp (overig)'!$C$16 &amp; "'!B1:B1000")) &gt;= MATCH(
                R271,
                INDIRECT("'" &amp; 'Hulp (overig)'!$C$16 &amp; "'!A1:A1000"),
                0
            )) *
            IF(
                S271="",
                1,
                (ROW(INDIRECT("'" &amp; 'Hulp (overig)'!$C$16 &amp; "'!B1:B1000")) &lt; MATCH(
                    S271,
                    INDIRECT("'" &amp; 'Hulp (overig)'!$C$16 &amp; "'!A1:A1000"),
                    0
                ))
            ),
            ROW(INDIRECT("'" &amp; 'Hulp (overig)'!$C$16 &amp; "'!B1:B1000"))
        )
    ),0) &lt; 1,
    "",
    IF(INDEX(
        INDIRECT("'" &amp; 'Hulp (overig)'!$C$16 &amp; "'!" &amp;
        'Hulp (overig)'!$C$17 &amp; "1:" &amp; 'Hulp (overig)'!$C$17 &amp; 1000
        ),
        IFERROR(MIN(
            IF(
                (TRIM(INDIRECT("'" &amp; 'Hulp (overig)'!$C$16 &amp; "'!B1:B1000")) = TEXT(R273,"0")) *
                (ROW(INDIRECT("'" &amp; 'Hulp (overig)'!$C$16 &amp; "'!B1:B1000")) &gt;= MATCH(
                    R271,
                    INDIRECT("'" &amp; 'Hulp (overig)'!$C$16 &amp; "'!A1:A1000"),
                    0
                )) *
                IF(
                    S271="",
                    1,
                    (ROW(INDIRECT("'" &amp; 'Hulp (overig)'!$C$16 &amp; "'!B1:B1000")) &lt; MATCH(
                        S271,
                        INDIRECT("'" &amp; 'Hulp (overig)'!$C$16 &amp; "'!A1:A1000"),
                        0
                    ))
                ),
                ROW(INDIRECT("'" &amp; 'Hulp (overig)'!$C$16 &amp; "'!B1:B1000"))
            )
        ),0)
    )=0,"",
INDEX(
        INDIRECT("'" &amp; 'Hulp (overig)'!$C$16 &amp; "'!" &amp;
        'Hulp (overig)'!$C$17 &amp; "1:" &amp; 'Hulp (overig)'!$C$17 &amp; 1000
        ),
        IFERROR(MIN(
            IF(
                (TRIM(INDIRECT("'" &amp; 'Hulp (overig)'!$C$16 &amp; "'!B1:B1000")) = TEXT(R273,"0")) *
                (ROW(INDIRECT("'" &amp; 'Hulp (overig)'!$C$16 &amp; "'!B1:B1000")) &gt;= MATCH(
                    R271,
                    INDIRECT("'" &amp; 'Hulp (overig)'!$C$16 &amp; "'!A1:A1000"),
                    0
                )) *
                IF(
                    S271="",
                    1,
                    (ROW(INDIRECT("'" &amp; 'Hulp (overig)'!$C$16 &amp; "'!B1:B1000")) &lt; MATCH(
                        S271,
                        INDIRECT("'" &amp; 'Hulp (overig)'!$C$16 &amp; "'!A1:A1000"),
                        0
                    ))
                ),
                ROW(INDIRECT("'" &amp; 'Hulp (overig)'!$C$16 &amp; "'!B1:B1000"))
            )
        ),0)
    ))
))))</f>
        <v>#VALUE!</v>
      </c>
      <c r="S274" s="425" t="e" cm="1">
        <f t="array" aca="1" ref="S274" ca="1">IF($BF274, IF(S271="","",
   INDEX(
      INDIRECT("'" &amp; 'Hulp (CAO''s)'!$AE$8 &amp; "'!" &amp;
               'Hulp (overig)'!$C$17 &amp; "1:" &amp;
               'Hulp (overig)'!$C$17 &amp; "1000"),
      MATCH(
         S271,
         INDIRECT("'" &amp; 'Hulp (CAO''s)'!$AE$8 &amp; "'!A1:A1000"),
         0
      )
   )
), IF($D272="Gebruik % van maximum salaris",
IF(
    OR(S271="",S272=""),
    "",
    MAX(
        INDIRECT(
            "'" &amp; 'Hulp (overig)'!$C$16 &amp; "'!" &amp;
            'Hulp (overig)'!$C$17 &amp;
            MATCH(S271, INDIRECT("'" &amp; 'Hulp (overig)'!$C$16 &amp; "'!A1:A1000"), 0) &amp;
            ":" &amp;
            'Hulp (overig)'!$C$17 &amp;
LOOKUP(
    2,
    1 / (
        (ROW(INDIRECT("'" &amp; 'Hulp (overig)'!$C$16 &amp; "'!B1:B1000")) &lt;
            IF(T271&lt;&gt;"",
               MATCH(T271, INDIRECT("'" &amp; 'Hulp (overig)'!$C$16 &amp; "'!A1:A1000"),0),
               1000
            )
        ) *
        (LEFT(TRIM(INDIRECT("'" &amp; 'Hulp (overig)'!$C$16 &amp; "'!B1:B1000")),1) &lt;&gt; "u")
    ),
    ROW(INDIRECT("'" &amp; 'Hulp (overig)'!$C$16 &amp; "'!B1:B1000"))
)
        )
    ) * S272
),
IF(S273="","",
IF(
    IFERROR(MIN(
        IF(
            (TRIM(INDIRECT("'" &amp; 'Hulp (overig)'!$C$16 &amp; "'!B1:B1000")) = TEXT(S273,"0")) *
            (ROW(INDIRECT("'" &amp; 'Hulp (overig)'!$C$16 &amp; "'!B1:B1000")) &gt;= MATCH(
                S271,
                INDIRECT("'" &amp; 'Hulp (overig)'!$C$16 &amp; "'!A1:A1000"),
                0
            )) *
            IF(
                T271="",
                1,
                (ROW(INDIRECT("'" &amp; 'Hulp (overig)'!$C$16 &amp; "'!B1:B1000")) &lt; MATCH(
                    T271,
                    INDIRECT("'" &amp; 'Hulp (overig)'!$C$16 &amp; "'!A1:A1000"),
                    0
                ))
            ),
            ROW(INDIRECT("'" &amp; 'Hulp (overig)'!$C$16 &amp; "'!B1:B1000"))
        )
    ),0) &lt; 1,
    "",
    IF(INDEX(
        INDIRECT("'" &amp; 'Hulp (overig)'!$C$16 &amp; "'!" &amp;
        'Hulp (overig)'!$C$17 &amp; "1:" &amp; 'Hulp (overig)'!$C$17 &amp; 1000
        ),
        IFERROR(MIN(
            IF(
                (TRIM(INDIRECT("'" &amp; 'Hulp (overig)'!$C$16 &amp; "'!B1:B1000")) = TEXT(S273,"0")) *
                (ROW(INDIRECT("'" &amp; 'Hulp (overig)'!$C$16 &amp; "'!B1:B1000")) &gt;= MATCH(
                    S271,
                    INDIRECT("'" &amp; 'Hulp (overig)'!$C$16 &amp; "'!A1:A1000"),
                    0
                )) *
                IF(
                    T271="",
                    1,
                    (ROW(INDIRECT("'" &amp; 'Hulp (overig)'!$C$16 &amp; "'!B1:B1000")) &lt; MATCH(
                        T271,
                        INDIRECT("'" &amp; 'Hulp (overig)'!$C$16 &amp; "'!A1:A1000"),
                        0
                    ))
                ),
                ROW(INDIRECT("'" &amp; 'Hulp (overig)'!$C$16 &amp; "'!B1:B1000"))
            )
        ),0)
    )=0,"",
INDEX(
        INDIRECT("'" &amp; 'Hulp (overig)'!$C$16 &amp; "'!" &amp;
        'Hulp (overig)'!$C$17 &amp; "1:" &amp; 'Hulp (overig)'!$C$17 &amp; 1000
        ),
        IFERROR(MIN(
            IF(
                (TRIM(INDIRECT("'" &amp; 'Hulp (overig)'!$C$16 &amp; "'!B1:B1000")) = TEXT(S273,"0")) *
                (ROW(INDIRECT("'" &amp; 'Hulp (overig)'!$C$16 &amp; "'!B1:B1000")) &gt;= MATCH(
                    S271,
                    INDIRECT("'" &amp; 'Hulp (overig)'!$C$16 &amp; "'!A1:A1000"),
                    0
                )) *
                IF(
                    T271="",
                    1,
                    (ROW(INDIRECT("'" &amp; 'Hulp (overig)'!$C$16 &amp; "'!B1:B1000")) &lt; MATCH(
                        T271,
                        INDIRECT("'" &amp; 'Hulp (overig)'!$C$16 &amp; "'!A1:A1000"),
                        0
                    ))
                ),
                ROW(INDIRECT("'" &amp; 'Hulp (overig)'!$C$16 &amp; "'!B1:B1000"))
            )
        ),0)
    ))
))))</f>
        <v>#VALUE!</v>
      </c>
      <c r="T274" s="425" t="e" cm="1">
        <f t="array" aca="1" ref="T274" ca="1">IF($BF274, IF(T271="","",
   INDEX(
      INDIRECT("'" &amp; 'Hulp (CAO''s)'!$AE$8 &amp; "'!" &amp;
               'Hulp (overig)'!$C$17 &amp; "1:" &amp;
               'Hulp (overig)'!$C$17 &amp; "1000"),
      MATCH(
         T271,
         INDIRECT("'" &amp; 'Hulp (CAO''s)'!$AE$8 &amp; "'!A1:A1000"),
         0
      )
   )
), IF($D272="Gebruik % van maximum salaris",
IF(
    OR(T271="",T272=""),
    "",
    MAX(
        INDIRECT(
            "'" &amp; 'Hulp (overig)'!$C$16 &amp; "'!" &amp;
            'Hulp (overig)'!$C$17 &amp;
            MATCH(T271, INDIRECT("'" &amp; 'Hulp (overig)'!$C$16 &amp; "'!A1:A1000"), 0) &amp;
            ":" &amp;
            'Hulp (overig)'!$C$17 &amp;
LOOKUP(
    2,
    1 / (
        (ROW(INDIRECT("'" &amp; 'Hulp (overig)'!$C$16 &amp; "'!B1:B1000")) &lt;
            IF(U271&lt;&gt;"",
               MATCH(U271, INDIRECT("'" &amp; 'Hulp (overig)'!$C$16 &amp; "'!A1:A1000"),0),
               1000
            )
        ) *
        (LEFT(TRIM(INDIRECT("'" &amp; 'Hulp (overig)'!$C$16 &amp; "'!B1:B1000")),1) &lt;&gt; "u")
    ),
    ROW(INDIRECT("'" &amp; 'Hulp (overig)'!$C$16 &amp; "'!B1:B1000"))
)
        )
    ) * T272
),
IF(T273="","",
IF(
    IFERROR(MIN(
        IF(
            (TRIM(INDIRECT("'" &amp; 'Hulp (overig)'!$C$16 &amp; "'!B1:B1000")) = TEXT(T273,"0")) *
            (ROW(INDIRECT("'" &amp; 'Hulp (overig)'!$C$16 &amp; "'!B1:B1000")) &gt;= MATCH(
                T271,
                INDIRECT("'" &amp; 'Hulp (overig)'!$C$16 &amp; "'!A1:A1000"),
                0
            )) *
            IF(
                U271="",
                1,
                (ROW(INDIRECT("'" &amp; 'Hulp (overig)'!$C$16 &amp; "'!B1:B1000")) &lt; MATCH(
                    U271,
                    INDIRECT("'" &amp; 'Hulp (overig)'!$C$16 &amp; "'!A1:A1000"),
                    0
                ))
            ),
            ROW(INDIRECT("'" &amp; 'Hulp (overig)'!$C$16 &amp; "'!B1:B1000"))
        )
    ),0) &lt; 1,
    "",
    IF(INDEX(
        INDIRECT("'" &amp; 'Hulp (overig)'!$C$16 &amp; "'!" &amp;
        'Hulp (overig)'!$C$17 &amp; "1:" &amp; 'Hulp (overig)'!$C$17 &amp; 1000
        ),
        IFERROR(MIN(
            IF(
                (TRIM(INDIRECT("'" &amp; 'Hulp (overig)'!$C$16 &amp; "'!B1:B1000")) = TEXT(T273,"0")) *
                (ROW(INDIRECT("'" &amp; 'Hulp (overig)'!$C$16 &amp; "'!B1:B1000")) &gt;= MATCH(
                    T271,
                    INDIRECT("'" &amp; 'Hulp (overig)'!$C$16 &amp; "'!A1:A1000"),
                    0
                )) *
                IF(
                    U271="",
                    1,
                    (ROW(INDIRECT("'" &amp; 'Hulp (overig)'!$C$16 &amp; "'!B1:B1000")) &lt; MATCH(
                        U271,
                        INDIRECT("'" &amp; 'Hulp (overig)'!$C$16 &amp; "'!A1:A1000"),
                        0
                    ))
                ),
                ROW(INDIRECT("'" &amp; 'Hulp (overig)'!$C$16 &amp; "'!B1:B1000"))
            )
        ),0)
    )=0,"",
INDEX(
        INDIRECT("'" &amp; 'Hulp (overig)'!$C$16 &amp; "'!" &amp;
        'Hulp (overig)'!$C$17 &amp; "1:" &amp; 'Hulp (overig)'!$C$17 &amp; 1000
        ),
        IFERROR(MIN(
            IF(
                (TRIM(INDIRECT("'" &amp; 'Hulp (overig)'!$C$16 &amp; "'!B1:B1000")) = TEXT(T273,"0")) *
                (ROW(INDIRECT("'" &amp; 'Hulp (overig)'!$C$16 &amp; "'!B1:B1000")) &gt;= MATCH(
                    T271,
                    INDIRECT("'" &amp; 'Hulp (overig)'!$C$16 &amp; "'!A1:A1000"),
                    0
                )) *
                IF(
                    U271="",
                    1,
                    (ROW(INDIRECT("'" &amp; 'Hulp (overig)'!$C$16 &amp; "'!B1:B1000")) &lt; MATCH(
                        U271,
                        INDIRECT("'" &amp; 'Hulp (overig)'!$C$16 &amp; "'!A1:A1000"),
                        0
                    ))
                ),
                ROW(INDIRECT("'" &amp; 'Hulp (overig)'!$C$16 &amp; "'!B1:B1000"))
            )
        ),0)
    ))
))))</f>
        <v>#VALUE!</v>
      </c>
      <c r="U274" s="723" t="e" cm="1">
        <f t="array" aca="1" ref="U274" ca="1">IF($BF274, IF(U271="","",
   INDEX(
      INDIRECT("'" &amp; 'Hulp (CAO''s)'!$AE$8 &amp; "'!" &amp;
               'Hulp (overig)'!$C$17 &amp; "1:" &amp;
               'Hulp (overig)'!$C$17 &amp; "1000"),
      MATCH(
         U271,
         INDIRECT("'" &amp; 'Hulp (CAO''s)'!$AE$8 &amp; "'!A1:A1000"),
         0
      )
   )
), IF($D272="Gebruik % van maximum salaris",
IF(
    OR(U271="",U272=""),
    "",
    MAX(
        INDIRECT(
            "'" &amp; 'Hulp (overig)'!$C$16 &amp; "'!" &amp;
            'Hulp (overig)'!$C$17 &amp;
            MATCH(U271, INDIRECT("'" &amp; 'Hulp (overig)'!$C$16 &amp; "'!A1:A1000"), 0) &amp;
            ":" &amp;
            'Hulp (overig)'!$C$17 &amp;
LOOKUP(
    2,
    1 / (
        (ROW(INDIRECT("'" &amp; 'Hulp (overig)'!$C$16 &amp; "'!B1:B1000")) &lt;
            IF(V271&lt;&gt;"",
               MATCH(V271, INDIRECT("'" &amp; 'Hulp (overig)'!$C$16 &amp; "'!A1:A1000"),0),
               1000
            )
        ) *
        (LEFT(TRIM(INDIRECT("'" &amp; 'Hulp (overig)'!$C$16 &amp; "'!B1:B1000")),1) &lt;&gt; "u")
    ),
    ROW(INDIRECT("'" &amp; 'Hulp (overig)'!$C$16 &amp; "'!B1:B1000"))
)
        )
    ) * U272
),
IF(U273="","",
IF(
    IFERROR(MIN(
        IF(
            (TRIM(INDIRECT("'" &amp; 'Hulp (overig)'!$C$16 &amp; "'!B1:B1000")) = TEXT(U273,"0")) *
            (ROW(INDIRECT("'" &amp; 'Hulp (overig)'!$C$16 &amp; "'!B1:B1000")) &gt;= MATCH(
                U271,
                INDIRECT("'" &amp; 'Hulp (overig)'!$C$16 &amp; "'!A1:A1000"),
                0
            )) *
            IF(
                V271="",
                1,
                (ROW(INDIRECT("'" &amp; 'Hulp (overig)'!$C$16 &amp; "'!B1:B1000")) &lt; MATCH(
                    V271,
                    INDIRECT("'" &amp; 'Hulp (overig)'!$C$16 &amp; "'!A1:A1000"),
                    0
                ))
            ),
            ROW(INDIRECT("'" &amp; 'Hulp (overig)'!$C$16 &amp; "'!B1:B1000"))
        )
    ),0) &lt; 1,
    "",
    IF(INDEX(
        INDIRECT("'" &amp; 'Hulp (overig)'!$C$16 &amp; "'!" &amp;
        'Hulp (overig)'!$C$17 &amp; "1:" &amp; 'Hulp (overig)'!$C$17 &amp; 1000
        ),
        IFERROR(MIN(
            IF(
                (TRIM(INDIRECT("'" &amp; 'Hulp (overig)'!$C$16 &amp; "'!B1:B1000")) = TEXT(U273,"0")) *
                (ROW(INDIRECT("'" &amp; 'Hulp (overig)'!$C$16 &amp; "'!B1:B1000")) &gt;= MATCH(
                    U271,
                    INDIRECT("'" &amp; 'Hulp (overig)'!$C$16 &amp; "'!A1:A1000"),
                    0
                )) *
                IF(
                    V271="",
                    1,
                    (ROW(INDIRECT("'" &amp; 'Hulp (overig)'!$C$16 &amp; "'!B1:B1000")) &lt; MATCH(
                        V271,
                        INDIRECT("'" &amp; 'Hulp (overig)'!$C$16 &amp; "'!A1:A1000"),
                        0
                    ))
                ),
                ROW(INDIRECT("'" &amp; 'Hulp (overig)'!$C$16 &amp; "'!B1:B1000"))
            )
        ),0)
    )=0,"",
INDEX(
        INDIRECT("'" &amp; 'Hulp (overig)'!$C$16 &amp; "'!" &amp;
        'Hulp (overig)'!$C$17 &amp; "1:" &amp; 'Hulp (overig)'!$C$17 &amp; 1000
        ),
        IFERROR(MIN(
            IF(
                (TRIM(INDIRECT("'" &amp; 'Hulp (overig)'!$C$16 &amp; "'!B1:B1000")) = TEXT(U273,"0")) *
                (ROW(INDIRECT("'" &amp; 'Hulp (overig)'!$C$16 &amp; "'!B1:B1000")) &gt;= MATCH(
                    U271,
                    INDIRECT("'" &amp; 'Hulp (overig)'!$C$16 &amp; "'!A1:A1000"),
                    0
                )) *
                IF(
                    V271="",
                    1,
                    (ROW(INDIRECT("'" &amp; 'Hulp (overig)'!$C$16 &amp; "'!B1:B1000")) &lt; MATCH(
                        V271,
                        INDIRECT("'" &amp; 'Hulp (overig)'!$C$16 &amp; "'!A1:A1000"),
                        0
                    ))
                ),
                ROW(INDIRECT("'" &amp; 'Hulp (overig)'!$C$16 &amp; "'!B1:B1000"))
            )
        ),0)
    ))
))))</f>
        <v>#VALUE!</v>
      </c>
      <c r="V274" s="413" t="str" cm="1">
        <f t="array" ref="V274">IF(SUM(F275:U275)=0,"",
IF(SUM(F274:U274)=0,"",
IF(SUMPRODUCT((F275:U275&lt;&gt;0)*(F274:U274=""))&gt;0,"",
(
   SUMPRODUCT(
      IF(F274:U274="",0,F274:U274),
      IF(F275:U275="",0,F275:U275) / SUM(F275:U275)
   )
))))</f>
        <v/>
      </c>
      <c r="W274" s="418"/>
      <c r="X274" s="620"/>
      <c r="Y274" s="419" t="str">
        <f ca="1">IF(B271="","",
        IF(INDIRECT("'Hulp (control forms)'!C" &amp; (13 + INT((ROW()-ROW($B$5))/7))),
            IF(X274="","",X274),
            IF(V274="","",V274)
    )
)</f>
        <v/>
      </c>
      <c r="Z274" s="333"/>
      <c r="AA274" s="771"/>
      <c r="AB274" s="770"/>
      <c r="AC274" s="289"/>
      <c r="AD274" s="289"/>
      <c r="AE274" s="289"/>
      <c r="AF274" s="289"/>
      <c r="AG274" s="289"/>
      <c r="AH274" s="289"/>
      <c r="AI274" s="289"/>
      <c r="AJ274" s="289"/>
      <c r="AK274" s="289"/>
      <c r="AL274" s="289"/>
      <c r="AM274" s="289"/>
      <c r="AN274" s="289"/>
      <c r="AO274" s="289"/>
      <c r="AP274" s="289"/>
      <c r="AQ274" s="289"/>
      <c r="AR274" s="289"/>
      <c r="AS274" s="289"/>
      <c r="AT274" s="289"/>
      <c r="AU274" s="289"/>
      <c r="AV274" s="289"/>
      <c r="AW274" s="289"/>
      <c r="AX274" s="289"/>
      <c r="AY274" s="289"/>
      <c r="AZ274" s="289"/>
      <c r="BA274" cm="1">
        <f t="array" aca="1" ref="BA274" ca="1">IF(
   SUM(Y274)=0,
   1,
   IF(
      N(INDIRECT("'Hulp (control forms)'!C"&amp;(13+INT((ROW()-ROW($B$5))/7))))&lt;&gt;0,
      MIN(1,
      ('Hulp (overig)'!$C$6/12) /
      (Y274 * BC274 + BD274)),
      MIN(1,
         IF(
            SUM(F274:U274)=0,
            "",
            SUMPRODUCT(
               IF(
                  (IF(F274:U274="",0,F274:U274) * BC274) + BD274
                  &gt; 'Hulp (overig)'!$C$6/12,
                  'Hulp (overig)'!$C$6/12,
                  (IF(F274:U274="",0,F274:U274) * BC274) + BD274
               ),
               IF(F275:U275="",0,F275:U275) / SUM(F275:U275)
            )
         ) /
         ((Y274 * BC274) + BD274)
      )
   )
)</f>
        <v>1</v>
      </c>
      <c r="BB274" cm="1">
        <f t="array" aca="1" ref="BB274" ca="1">IF(
   SUM(Y274)=0,
   1,
   IF(
      N(INDIRECT("'Hulp (control forms)'!C"&amp;(13+INT((ROW()-ROW($B$5))/7))))&lt;&gt;0,
      MIN('Hulp (overig)'!$C$5/12,
      (Y274 * BC274) + BD274) * 12,
         IF(
            SUM(F274:U274)=0,
            "",
            SUMPRODUCT(
               IF(
                  (IF(F274:U274="",0,F274:U274) * BC274) + BD274
                  &gt; 'Hulp (overig)'!$C$5/12,
                  'Hulp (overig)'!$C$5/12,
                  (IF(F274:U274="",0,F274:U274) * BC274) + BD274
               ),
               IF(F275:U275="",0,F275:U275) / SUM(F275:U275)
            )
         ) * 12
   )
)</f>
        <v>1</v>
      </c>
      <c r="BC274" s="287" cm="1">
        <f t="array" aca="1" ref="BC274" ca="1">IFERROR(
   (INDEX('2. Output kostprijs'!$24:$24, 5 + 2*INT((ROW()-8)/7))
    - SUM(INDEX('2. Output kostprijs'!$23:$23, 5 + 2*INT((ROW()-8)/7))))
   / INDEX('2. Output kostprijs'!$19:$19, 5 + 2*INT((ROW()-8)/7)),
   1
)</f>
        <v>1</v>
      </c>
      <c r="BD274" s="287" cm="1">
        <f t="array" aca="1" ref="BD274" ca="1">IFERROR(
   (INDEX('2. Output kostprijs'!$23:$23, 5 + 2*INT((ROW()-8)/7))
    * INDEX('2. Output kostprijs'!$18:$18, 5 + 2*INT((ROW()-8)/7))
   ) / 12,
   0
)</f>
        <v>0</v>
      </c>
      <c r="BE274" t="b">
        <f ca="1">NOT(AND(B271&lt;&gt;"",Y274=""))</f>
        <v>1</v>
      </c>
      <c r="BF274" t="str" cm="1">
        <f t="array" aca="1" ref="BF274" ca="1">INDIRECT("'1a. Input organisatieniveau'!$AD" &amp; 7 + INT((ROW()-ROW($F$8))/7))</f>
        <v/>
      </c>
      <c r="BG274" t="b" cm="1">
        <f t="array" ref="BG274">IFERROR(INDEX('Hulp (control forms)'!C:C, 13 + INT((ROW(A267)-1)/7)),FALSE)</f>
        <v>0</v>
      </c>
    </row>
    <row r="275" spans="1:59" ht="16.05" customHeight="1" thickBot="1" x14ac:dyDescent="0.5">
      <c r="A275" s="289"/>
      <c r="B275" s="343"/>
      <c r="C275" s="325" t="s">
        <v>779</v>
      </c>
      <c r="D275" s="688" t="s">
        <v>60</v>
      </c>
      <c r="E275" s="433" t="s">
        <v>59</v>
      </c>
      <c r="F275" s="624"/>
      <c r="G275" s="624"/>
      <c r="H275" s="624"/>
      <c r="I275" s="624"/>
      <c r="J275" s="624"/>
      <c r="K275" s="624"/>
      <c r="L275" s="624"/>
      <c r="M275" s="624"/>
      <c r="N275" s="624"/>
      <c r="O275" s="624"/>
      <c r="P275" s="624"/>
      <c r="Q275" s="624"/>
      <c r="R275" s="624"/>
      <c r="S275" s="624"/>
      <c r="T275" s="624"/>
      <c r="U275" s="625"/>
      <c r="V275" s="420" t="str">
        <f ca="1">IF($B271="","",IF($D275="Aandeel in %",
   "Totaal: "&amp;SUM(F275:U275)*100&amp;"%",
   "Totaal: "&amp;SUM(F275:U275)&amp;" uur"
))</f>
        <v/>
      </c>
      <c r="W275" s="294"/>
      <c r="X275" s="621"/>
      <c r="Y275" s="328"/>
      <c r="Z275" s="329"/>
      <c r="AA275" s="289"/>
      <c r="AB275" s="289"/>
      <c r="AC275" s="289"/>
      <c r="AD275" s="289"/>
      <c r="AE275" s="289"/>
      <c r="AF275" s="289"/>
      <c r="AG275" s="289"/>
      <c r="AH275" s="289"/>
      <c r="AI275" s="289"/>
      <c r="AJ275" s="289"/>
      <c r="AK275" s="289"/>
      <c r="AL275" s="289"/>
      <c r="AM275" s="289"/>
      <c r="AN275" s="289"/>
      <c r="AO275" s="289"/>
      <c r="AP275" s="289"/>
      <c r="AQ275" s="289"/>
      <c r="AR275" s="289"/>
      <c r="AS275" s="289"/>
      <c r="AT275" s="289"/>
      <c r="AU275" s="289"/>
      <c r="AV275" s="289"/>
      <c r="AW275" s="289"/>
      <c r="AX275" s="289"/>
      <c r="AY275" s="289"/>
      <c r="AZ275" s="289"/>
    </row>
    <row r="276" spans="1:59" ht="16.05" customHeight="1" thickBot="1" x14ac:dyDescent="0.5">
      <c r="A276" s="289"/>
      <c r="B276" s="343"/>
      <c r="C276" s="326" t="s">
        <v>779</v>
      </c>
      <c r="D276" s="421"/>
      <c r="E276" s="426"/>
      <c r="F276" s="426"/>
      <c r="G276" s="426"/>
      <c r="H276" s="426"/>
      <c r="I276" s="426"/>
      <c r="J276" s="426"/>
      <c r="K276" s="426"/>
      <c r="L276" s="426"/>
      <c r="M276" s="426"/>
      <c r="N276" s="426"/>
      <c r="O276" s="426"/>
      <c r="P276" s="426"/>
      <c r="Q276" s="426"/>
      <c r="R276" s="426"/>
      <c r="S276" s="426"/>
      <c r="T276" s="427"/>
      <c r="U276" s="427"/>
      <c r="V276" s="421"/>
      <c r="W276" s="421"/>
      <c r="X276" s="622"/>
      <c r="Y276" s="421"/>
      <c r="Z276" s="327"/>
      <c r="AA276" s="289"/>
      <c r="AB276" s="289"/>
      <c r="AC276" s="289"/>
      <c r="AD276" s="289"/>
      <c r="AE276" s="289"/>
      <c r="AF276" s="289"/>
      <c r="AG276" s="289"/>
      <c r="AH276" s="289"/>
      <c r="AI276" s="289"/>
      <c r="AJ276" s="289"/>
      <c r="AK276" s="289"/>
      <c r="AL276" s="289"/>
      <c r="AM276" s="289"/>
      <c r="AN276" s="289"/>
      <c r="AO276" s="289"/>
      <c r="AP276" s="289"/>
      <c r="AQ276" s="289"/>
      <c r="AR276" s="289"/>
      <c r="AS276" s="289"/>
      <c r="AT276" s="289"/>
      <c r="AU276" s="289"/>
      <c r="AV276" s="289"/>
      <c r="AW276" s="289"/>
      <c r="AX276" s="289"/>
      <c r="AY276" s="289"/>
      <c r="AZ276" s="289"/>
    </row>
    <row r="277" spans="1:59" ht="16.05" customHeight="1" thickBot="1" x14ac:dyDescent="0.55000000000000004">
      <c r="A277" s="289"/>
      <c r="B277" s="585" t="str">
        <f ca="1">IF(B278="","",
IF(
   OR(
      INDIRECT("'1a. Input organisatieniveau'!AC" &amp; (7 + INT((ROW()-4)/7)))="",
      INDIRECT("'1a. Input organisatieniveau'!AC" &amp; (7 + INT((ROW()-4)/7)))=0
   ),
   "",
   INDIRECT("'1a. Input organisatieniveau'!AC" &amp; (7 + INT((ROW()-4)/7)))
))</f>
        <v/>
      </c>
      <c r="C277" s="324" t="s">
        <v>779</v>
      </c>
      <c r="D277" s="416"/>
      <c r="E277" s="428"/>
      <c r="F277" s="422" t="str">
        <f t="shared" ref="F277:U277" ca="1" si="39">IF($B278="","",
IF($D279="Gebruik % van maximum salaris",
 IF(OR(AND(AND(F278&lt;&gt;"",F279&lt;&gt;""),F281=""),AND(F281="",F282&lt;&gt;"")),"!",""),
 IF(OR(AND(AND(F278&lt;&gt;"",F280&lt;&gt;""),F281=""),AND(F281="",F282&lt;&gt;"")),"!","")))</f>
        <v/>
      </c>
      <c r="G277" s="422" t="str">
        <f t="shared" ca="1" si="39"/>
        <v/>
      </c>
      <c r="H277" s="422" t="str">
        <f t="shared" ca="1" si="39"/>
        <v/>
      </c>
      <c r="I277" s="422" t="str">
        <f t="shared" ca="1" si="39"/>
        <v/>
      </c>
      <c r="J277" s="422" t="str">
        <f t="shared" ca="1" si="39"/>
        <v/>
      </c>
      <c r="K277" s="422" t="str">
        <f t="shared" ca="1" si="39"/>
        <v/>
      </c>
      <c r="L277" s="422" t="str">
        <f t="shared" ca="1" si="39"/>
        <v/>
      </c>
      <c r="M277" s="422" t="str">
        <f t="shared" ca="1" si="39"/>
        <v/>
      </c>
      <c r="N277" s="422" t="str">
        <f t="shared" ca="1" si="39"/>
        <v/>
      </c>
      <c r="O277" s="422" t="str">
        <f t="shared" ca="1" si="39"/>
        <v/>
      </c>
      <c r="P277" s="422" t="str">
        <f t="shared" ca="1" si="39"/>
        <v/>
      </c>
      <c r="Q277" s="422" t="str">
        <f t="shared" ca="1" si="39"/>
        <v/>
      </c>
      <c r="R277" s="422" t="str">
        <f t="shared" ca="1" si="39"/>
        <v/>
      </c>
      <c r="S277" s="422" t="str">
        <f t="shared" ca="1" si="39"/>
        <v/>
      </c>
      <c r="T277" s="422" t="str">
        <f t="shared" ca="1" si="39"/>
        <v/>
      </c>
      <c r="U277" s="422" t="str">
        <f t="shared" ca="1" si="39"/>
        <v/>
      </c>
      <c r="V277" s="416"/>
      <c r="W277" s="416"/>
      <c r="X277" s="619"/>
      <c r="Y277" s="416"/>
      <c r="Z277" s="330"/>
      <c r="AA277" s="354"/>
      <c r="AB277" s="289"/>
      <c r="AC277" s="289"/>
      <c r="AD277" s="289"/>
      <c r="AE277" s="289"/>
      <c r="AF277" s="289"/>
      <c r="AG277" s="289"/>
      <c r="AH277" s="289"/>
      <c r="AI277" s="289"/>
      <c r="AJ277" s="289"/>
      <c r="AK277" s="289"/>
      <c r="AL277" s="289"/>
      <c r="AM277" s="289"/>
      <c r="AN277" s="289"/>
      <c r="AO277" s="289"/>
      <c r="AP277" s="289"/>
      <c r="AQ277" s="289"/>
      <c r="AR277" s="289"/>
      <c r="AS277" s="289"/>
      <c r="AT277" s="289"/>
      <c r="AU277" s="289"/>
      <c r="AV277" s="289"/>
      <c r="AW277" s="289"/>
      <c r="AX277" s="289"/>
      <c r="AY277" s="289"/>
      <c r="AZ277" s="289"/>
    </row>
    <row r="278" spans="1:59" ht="16.05" customHeight="1" thickBot="1" x14ac:dyDescent="0.5">
      <c r="A278" s="289"/>
      <c r="B278" s="586" t="str">
        <f ca="1">IF(
   OR(
      INDIRECT("'1a. Input organisatieniveau'!AA" &amp; (7 + INT((ROW()-4)/7)))="",
      INDIRECT("'1a. Input organisatieniveau'!AA" &amp; (7 + INT((ROW()-4)/7)))=0
   ),
   "",
   INDIRECT("'1a. Input organisatieniveau'!AA" &amp; (7 + INT((ROW()-4)/7)))
)</f>
        <v/>
      </c>
      <c r="C278" s="325" t="s">
        <v>779</v>
      </c>
      <c r="D278" s="434"/>
      <c r="E278" s="429" t="s">
        <v>28</v>
      </c>
      <c r="F278" s="423" t="str">
        <f ca="1">IF($B278="", "", IF($BF281, IF('Hulp (CAO''s)'!J$8&lt;&gt;"",'Hulp (CAO''s)'!J$8,""), INDEX('Hulp (CAO''s)'!J$3:J$7, MATCH(TRUE, 'Hulp (CAO''s)'!$D$3:$D$7, 0))))</f>
        <v/>
      </c>
      <c r="G278" s="423" t="str">
        <f ca="1">IF($B278="", "", IF($BF281, IF('Hulp (CAO''s)'!K$8&lt;&gt;"",'Hulp (CAO''s)'!K$8,""), INDEX('Hulp (CAO''s)'!K$3:K$7, MATCH(TRUE, 'Hulp (CAO''s)'!$D$3:$D$7, 0))))</f>
        <v/>
      </c>
      <c r="H278" s="423" t="str">
        <f ca="1">IF($B278="", "", IF($BF281, IF('Hulp (CAO''s)'!L$8&lt;&gt;"",'Hulp (CAO''s)'!L$8,""), INDEX('Hulp (CAO''s)'!L$3:L$7, MATCH(TRUE, 'Hulp (CAO''s)'!$D$3:$D$7, 0))))</f>
        <v/>
      </c>
      <c r="I278" s="423" t="str">
        <f ca="1">IF($B278="", "", IF($BF281, IF('Hulp (CAO''s)'!M$8&lt;&gt;"",'Hulp (CAO''s)'!M$8,""), INDEX('Hulp (CAO''s)'!M$3:M$7, MATCH(TRUE, 'Hulp (CAO''s)'!$D$3:$D$7, 0))))</f>
        <v/>
      </c>
      <c r="J278" s="423" t="str">
        <f ca="1">IF($B278="", "", IF($BF281, IF('Hulp (CAO''s)'!N$8&lt;&gt;"",'Hulp (CAO''s)'!N$8,""), INDEX('Hulp (CAO''s)'!N$3:N$7, MATCH(TRUE, 'Hulp (CAO''s)'!$D$3:$D$7, 0))))</f>
        <v/>
      </c>
      <c r="K278" s="423" t="str">
        <f ca="1">IF($B278="", "", IF($BF281, IF('Hulp (CAO''s)'!O$8&lt;&gt;"",'Hulp (CAO''s)'!O$8,""), INDEX('Hulp (CAO''s)'!O$3:O$7, MATCH(TRUE, 'Hulp (CAO''s)'!$D$3:$D$7, 0))))</f>
        <v/>
      </c>
      <c r="L278" s="423" t="str">
        <f ca="1">IF($B278="", "", IF($BF281, IF('Hulp (CAO''s)'!P$8&lt;&gt;"",'Hulp (CAO''s)'!P$8,""), INDEX('Hulp (CAO''s)'!P$3:P$7, MATCH(TRUE, 'Hulp (CAO''s)'!$D$3:$D$7, 0))))</f>
        <v/>
      </c>
      <c r="M278" s="423" t="str">
        <f ca="1">IF($B278="", "", IF($BF281, IF('Hulp (CAO''s)'!Q$8&lt;&gt;"",'Hulp (CAO''s)'!Q$8,""), INDEX('Hulp (CAO''s)'!Q$3:Q$7, MATCH(TRUE, 'Hulp (CAO''s)'!$D$3:$D$7, 0))))</f>
        <v/>
      </c>
      <c r="N278" s="423" t="str">
        <f ca="1">IF($B278="", "", IF($BF281, IF('Hulp (CAO''s)'!R$8&lt;&gt;"",'Hulp (CAO''s)'!R$8,""), INDEX('Hulp (CAO''s)'!R$3:R$7, MATCH(TRUE, 'Hulp (CAO''s)'!$D$3:$D$7, 0))))</f>
        <v/>
      </c>
      <c r="O278" s="423" t="str">
        <f ca="1">IF($B278="", "", IF($BF281, IF('Hulp (CAO''s)'!S$8&lt;&gt;"",'Hulp (CAO''s)'!S$8,""), INDEX('Hulp (CAO''s)'!S$3:S$7, MATCH(TRUE, 'Hulp (CAO''s)'!$D$3:$D$7, 0))))</f>
        <v/>
      </c>
      <c r="P278" s="423" t="str">
        <f ca="1">IF($B278="", "", IF($BF281, IF('Hulp (CAO''s)'!T$8&lt;&gt;"",'Hulp (CAO''s)'!T$8,""), INDEX('Hulp (CAO''s)'!T$3:T$7, MATCH(TRUE, 'Hulp (CAO''s)'!$D$3:$D$7, 0))))</f>
        <v/>
      </c>
      <c r="Q278" s="423" t="str">
        <f ca="1">IF($B278="", "", IF($BF281, IF('Hulp (CAO''s)'!U$8&lt;&gt;"",'Hulp (CAO''s)'!U$8,""), INDEX('Hulp (CAO''s)'!U$3:U$7, MATCH(TRUE, 'Hulp (CAO''s)'!$D$3:$D$7, 0))))</f>
        <v/>
      </c>
      <c r="R278" s="423" t="str">
        <f ca="1">IF($B278="", "", IF($BF281, IF('Hulp (CAO''s)'!V$8&lt;&gt;"",'Hulp (CAO''s)'!V$8,""), INDEX('Hulp (CAO''s)'!V$3:V$7, MATCH(TRUE, 'Hulp (CAO''s)'!$D$3:$D$7, 0))))</f>
        <v/>
      </c>
      <c r="S278" s="423" t="str">
        <f ca="1">IF($B278="", "", IF($BF281, IF('Hulp (CAO''s)'!W$8&lt;&gt;"",'Hulp (CAO''s)'!W$8,""), INDEX('Hulp (CAO''s)'!W$3:W$7, MATCH(TRUE, 'Hulp (CAO''s)'!$D$3:$D$7, 0))))</f>
        <v/>
      </c>
      <c r="T278" s="423" t="str">
        <f ca="1">IF($B278="", "", IF($BF281, IF('Hulp (CAO''s)'!X$8&lt;&gt;"",'Hulp (CAO''s)'!X$8,""), INDEX('Hulp (CAO''s)'!X$3:X$7, MATCH(TRUE, 'Hulp (CAO''s)'!$D$3:$D$7, 0))))</f>
        <v/>
      </c>
      <c r="U278" s="424" t="str">
        <f ca="1">IF($B278="", "", IF($BF281, IF('Hulp (CAO''s)'!Y$8&lt;&gt;"",'Hulp (CAO''s)'!Y$8,""), INDEX('Hulp (CAO''s)'!Y$3:Y$7, MATCH(TRUE, 'Hulp (CAO''s)'!$D$3:$D$7, 0))))</f>
        <v/>
      </c>
      <c r="V278" s="417"/>
      <c r="W278" s="343"/>
      <c r="X278" s="617"/>
      <c r="Y278" s="343"/>
      <c r="Z278" s="329"/>
      <c r="AA278" s="320"/>
      <c r="AB278" s="289"/>
      <c r="AC278" s="289"/>
      <c r="AD278" s="289"/>
      <c r="AE278" s="289"/>
      <c r="AF278" s="289"/>
      <c r="AG278" s="289"/>
      <c r="AH278" s="289"/>
      <c r="AI278" s="289"/>
      <c r="AJ278" s="289"/>
      <c r="AK278" s="289"/>
      <c r="AL278" s="289"/>
      <c r="AM278" s="289"/>
      <c r="AN278" s="289"/>
      <c r="AO278" s="289"/>
      <c r="AP278" s="289"/>
      <c r="AQ278" s="289"/>
      <c r="AR278" s="289"/>
      <c r="AS278" s="289"/>
      <c r="AT278" s="289"/>
      <c r="AU278" s="289"/>
      <c r="AV278" s="289"/>
      <c r="AW278" s="289"/>
      <c r="AX278" s="289"/>
      <c r="AY278" s="289"/>
      <c r="AZ278" s="289"/>
    </row>
    <row r="279" spans="1:59" ht="16.05" customHeight="1" x14ac:dyDescent="0.45">
      <c r="A279" s="289"/>
      <c r="B279" s="343"/>
      <c r="C279" s="325" t="s">
        <v>779</v>
      </c>
      <c r="D279" s="772" t="s">
        <v>772</v>
      </c>
      <c r="E279" s="430" t="e">
        <f ca="1">IF($BF281, "", "% t.o.v. max salaris in de schaal")</f>
        <v>#VALUE!</v>
      </c>
      <c r="F279" s="615"/>
      <c r="G279" s="615"/>
      <c r="H279" s="615"/>
      <c r="I279" s="615"/>
      <c r="J279" s="615"/>
      <c r="K279" s="615"/>
      <c r="L279" s="615"/>
      <c r="M279" s="615"/>
      <c r="N279" s="615"/>
      <c r="O279" s="615"/>
      <c r="P279" s="615"/>
      <c r="Q279" s="615"/>
      <c r="R279" s="615"/>
      <c r="S279" s="615"/>
      <c r="T279" s="615"/>
      <c r="U279" s="616"/>
      <c r="V279" s="774" t="s">
        <v>884</v>
      </c>
      <c r="W279" s="332"/>
      <c r="X279" s="776" t="s">
        <v>882</v>
      </c>
      <c r="Y279" s="778" t="s">
        <v>883</v>
      </c>
      <c r="Z279" s="329"/>
      <c r="AA279" s="771" t="s">
        <v>780</v>
      </c>
      <c r="AB279" s="770" t="s">
        <v>1079</v>
      </c>
      <c r="AC279" s="289"/>
      <c r="AD279" s="289"/>
      <c r="AE279" s="289"/>
      <c r="AF279" s="289"/>
      <c r="AG279" s="289"/>
      <c r="AH279" s="289"/>
      <c r="AI279" s="289"/>
      <c r="AJ279" s="289"/>
      <c r="AK279" s="289"/>
      <c r="AL279" s="289"/>
      <c r="AM279" s="289"/>
      <c r="AN279" s="289"/>
      <c r="AO279" s="289"/>
      <c r="AP279" s="289"/>
      <c r="AQ279" s="289"/>
      <c r="AR279" s="289"/>
      <c r="AS279" s="289"/>
      <c r="AT279" s="289"/>
      <c r="AU279" s="289"/>
      <c r="AV279" s="289"/>
      <c r="AW279" s="289"/>
      <c r="AX279" s="289"/>
      <c r="AY279" s="289"/>
      <c r="AZ279" s="289"/>
    </row>
    <row r="280" spans="1:59" ht="16.05" customHeight="1" thickBot="1" x14ac:dyDescent="0.5">
      <c r="A280" s="289"/>
      <c r="B280" s="343"/>
      <c r="C280" s="325" t="s">
        <v>779</v>
      </c>
      <c r="D280" s="773"/>
      <c r="E280" s="431" t="e">
        <f ca="1">IF($BF281, "", "Trede (gemiddeld)")</f>
        <v>#VALUE!</v>
      </c>
      <c r="F280" s="737"/>
      <c r="G280" s="737"/>
      <c r="H280" s="737"/>
      <c r="I280" s="737"/>
      <c r="J280" s="737"/>
      <c r="K280" s="737"/>
      <c r="L280" s="737"/>
      <c r="M280" s="737"/>
      <c r="N280" s="737"/>
      <c r="O280" s="737"/>
      <c r="P280" s="737"/>
      <c r="Q280" s="737"/>
      <c r="R280" s="737"/>
      <c r="S280" s="737"/>
      <c r="T280" s="737"/>
      <c r="U280" s="740"/>
      <c r="V280" s="775"/>
      <c r="W280" s="294"/>
      <c r="X280" s="777"/>
      <c r="Y280" s="779"/>
      <c r="Z280" s="329"/>
      <c r="AA280" s="771"/>
      <c r="AB280" s="770"/>
      <c r="AC280" s="289"/>
      <c r="AD280" s="289"/>
      <c r="AE280" s="289"/>
      <c r="AF280" s="289"/>
      <c r="AG280" s="289"/>
      <c r="AH280" s="289"/>
      <c r="AI280" s="289"/>
      <c r="AJ280" s="289"/>
      <c r="AK280" s="289"/>
      <c r="AL280" s="289"/>
      <c r="AM280" s="289"/>
      <c r="AN280" s="289"/>
      <c r="AO280" s="289"/>
      <c r="AP280" s="289"/>
      <c r="AQ280" s="289"/>
      <c r="AR280" s="289"/>
      <c r="AS280" s="289"/>
      <c r="AT280" s="289"/>
      <c r="AU280" s="289"/>
      <c r="AV280" s="289"/>
      <c r="AW280" s="289"/>
      <c r="AX280" s="289"/>
      <c r="AY280" s="289"/>
      <c r="AZ280" s="289"/>
    </row>
    <row r="281" spans="1:59" ht="16.05" customHeight="1" thickBot="1" x14ac:dyDescent="0.5">
      <c r="A281" s="289"/>
      <c r="B281" s="343"/>
      <c r="C281" s="325" t="s">
        <v>779</v>
      </c>
      <c r="E281" s="432" t="str">
        <f>IFERROR(
   INDEX('Hulp (CAO''s)'!$I$3:$I$7, MATCH(TRUE, 'Hulp (CAO''s)'!$D$3:$D$7, 0)),
"")</f>
        <v>Bruto maandsalaris</v>
      </c>
      <c r="F281" s="425" t="e" cm="1">
        <f t="array" aca="1" ref="F281" ca="1">IF($BF281, IF(F278="","",
   INDEX(
      INDIRECT("'" &amp; 'Hulp (CAO''s)'!$AE$8 &amp; "'!" &amp;
               'Hulp (overig)'!$C$17 &amp; "1:" &amp;
               'Hulp (overig)'!$C$17 &amp; "1000"),
      MATCH(
         F278,
         INDIRECT("'" &amp; 'Hulp (CAO''s)'!$AE$8 &amp; "'!A1:A1000"),
         0
      )
   )
), IF($D279="Gebruik % van maximum salaris",
IF(
    OR(F278="",F279=""),
    "",
    MAX(
        INDIRECT(
            "'" &amp; 'Hulp (overig)'!$C$16 &amp; "'!" &amp;
            'Hulp (overig)'!$C$17 &amp;
            MATCH(F278, INDIRECT("'" &amp; 'Hulp (overig)'!$C$16 &amp; "'!A1:A1000"), 0) &amp;
            ":" &amp;
            'Hulp (overig)'!$C$17 &amp;
LOOKUP(
    2,
    1 / (
        (ROW(INDIRECT("'" &amp; 'Hulp (overig)'!$C$16 &amp; "'!B1:B1000")) &lt;
            IF(G278&lt;&gt;"",
               MATCH(G278, INDIRECT("'" &amp; 'Hulp (overig)'!$C$16 &amp; "'!A1:A1000"),0),
               1000
            )
        ) *
        (LEFT(TRIM(INDIRECT("'" &amp; 'Hulp (overig)'!$C$16 &amp; "'!B1:B1000")),1) &lt;&gt; "u")
    ),
    ROW(INDIRECT("'" &amp; 'Hulp (overig)'!$C$16 &amp; "'!B1:B1000"))
)
        )
    ) * F279
),
IF(F280="","",
IF(
    IFERROR(MIN(
        IF(
            (TRIM(INDIRECT("'" &amp; 'Hulp (overig)'!$C$16 &amp; "'!B1:B1000")) = TEXT(F280,"0")) *
            (ROW(INDIRECT("'" &amp; 'Hulp (overig)'!$C$16 &amp; "'!B1:B1000")) &gt;= MATCH(
                F278,
                INDIRECT("'" &amp; 'Hulp (overig)'!$C$16 &amp; "'!A1:A1000"),
                0
            )) *
            IF(
                G278="",
                1,
                (ROW(INDIRECT("'" &amp; 'Hulp (overig)'!$C$16 &amp; "'!B1:B1000")) &lt; MATCH(
                    G278,
                    INDIRECT("'" &amp; 'Hulp (overig)'!$C$16 &amp; "'!A1:A1000"),
                    0
                ))
            ),
            ROW(INDIRECT("'" &amp; 'Hulp (overig)'!$C$16 &amp; "'!B1:B1000"))
        )
    ),0) &lt; 1,
    "",
    IF(INDEX(
        INDIRECT("'" &amp; 'Hulp (overig)'!$C$16 &amp; "'!" &amp;
        'Hulp (overig)'!$C$17 &amp; "1:" &amp; 'Hulp (overig)'!$C$17 &amp; 1000
        ),
        IFERROR(MIN(
            IF(
                (TRIM(INDIRECT("'" &amp; 'Hulp (overig)'!$C$16 &amp; "'!B1:B1000")) = TEXT(F280,"0")) *
                (ROW(INDIRECT("'" &amp; 'Hulp (overig)'!$C$16 &amp; "'!B1:B1000")) &gt;= MATCH(
                    F278,
                    INDIRECT("'" &amp; 'Hulp (overig)'!$C$16 &amp; "'!A1:A1000"),
                    0
                )) *
                IF(
                    G278="",
                    1,
                    (ROW(INDIRECT("'" &amp; 'Hulp (overig)'!$C$16 &amp; "'!B1:B1000")) &lt; MATCH(
                        G278,
                        INDIRECT("'" &amp; 'Hulp (overig)'!$C$16 &amp; "'!A1:A1000"),
                        0
                    ))
                ),
                ROW(INDIRECT("'" &amp; 'Hulp (overig)'!$C$16 &amp; "'!B1:B1000"))
            )
        ),0)
    )=0,"",
INDEX(
        INDIRECT("'" &amp; 'Hulp (overig)'!$C$16 &amp; "'!" &amp;
        'Hulp (overig)'!$C$17 &amp; "1:" &amp; 'Hulp (overig)'!$C$17 &amp; 1000
        ),
        IFERROR(MIN(
            IF(
                (TRIM(INDIRECT("'" &amp; 'Hulp (overig)'!$C$16 &amp; "'!B1:B1000")) = TEXT(F280,"0")) *
                (ROW(INDIRECT("'" &amp; 'Hulp (overig)'!$C$16 &amp; "'!B1:B1000")) &gt;= MATCH(
                    F278,
                    INDIRECT("'" &amp; 'Hulp (overig)'!$C$16 &amp; "'!A1:A1000"),
                    0
                )) *
                IF(
                    G278="",
                    1,
                    (ROW(INDIRECT("'" &amp; 'Hulp (overig)'!$C$16 &amp; "'!B1:B1000")) &lt; MATCH(
                        G278,
                        INDIRECT("'" &amp; 'Hulp (overig)'!$C$16 &amp; "'!A1:A1000"),
                        0
                    ))
                ),
                ROW(INDIRECT("'" &amp; 'Hulp (overig)'!$C$16 &amp; "'!B1:B1000"))
            )
        ),0)
    ))
))))</f>
        <v>#VALUE!</v>
      </c>
      <c r="G281" s="425" t="e" cm="1">
        <f t="array" aca="1" ref="G281" ca="1">IF($BF281, IF(G278="","",
   INDEX(
      INDIRECT("'" &amp; 'Hulp (CAO''s)'!$AE$8 &amp; "'!" &amp;
               'Hulp (overig)'!$C$17 &amp; "1:" &amp;
               'Hulp (overig)'!$C$17 &amp; "1000"),
      MATCH(
         G278,
         INDIRECT("'" &amp; 'Hulp (CAO''s)'!$AE$8 &amp; "'!A1:A1000"),
         0
      )
   )
), IF($D279="Gebruik % van maximum salaris",
IF(
    OR(G278="",G279=""),
    "",
    MAX(
        INDIRECT(
            "'" &amp; 'Hulp (overig)'!$C$16 &amp; "'!" &amp;
            'Hulp (overig)'!$C$17 &amp;
            MATCH(G278, INDIRECT("'" &amp; 'Hulp (overig)'!$C$16 &amp; "'!A1:A1000"), 0) &amp;
            ":" &amp;
            'Hulp (overig)'!$C$17 &amp;
LOOKUP(
    2,
    1 / (
        (ROW(INDIRECT("'" &amp; 'Hulp (overig)'!$C$16 &amp; "'!B1:B1000")) &lt;
            IF(H278&lt;&gt;"",
               MATCH(H278, INDIRECT("'" &amp; 'Hulp (overig)'!$C$16 &amp; "'!A1:A1000"),0),
               1000
            )
        ) *
        (LEFT(TRIM(INDIRECT("'" &amp; 'Hulp (overig)'!$C$16 &amp; "'!B1:B1000")),1) &lt;&gt; "u")
    ),
    ROW(INDIRECT("'" &amp; 'Hulp (overig)'!$C$16 &amp; "'!B1:B1000"))
)
        )
    ) * G279
),
IF(G280="","",
IF(
    IFERROR(MIN(
        IF(
            (TRIM(INDIRECT("'" &amp; 'Hulp (overig)'!$C$16 &amp; "'!B1:B1000")) = TEXT(G280,"0")) *
            (ROW(INDIRECT("'" &amp; 'Hulp (overig)'!$C$16 &amp; "'!B1:B1000")) &gt;= MATCH(
                G278,
                INDIRECT("'" &amp; 'Hulp (overig)'!$C$16 &amp; "'!A1:A1000"),
                0
            )) *
            IF(
                H278="",
                1,
                (ROW(INDIRECT("'" &amp; 'Hulp (overig)'!$C$16 &amp; "'!B1:B1000")) &lt; MATCH(
                    H278,
                    INDIRECT("'" &amp; 'Hulp (overig)'!$C$16 &amp; "'!A1:A1000"),
                    0
                ))
            ),
            ROW(INDIRECT("'" &amp; 'Hulp (overig)'!$C$16 &amp; "'!B1:B1000"))
        )
    ),0) &lt; 1,
    "",
    IF(INDEX(
        INDIRECT("'" &amp; 'Hulp (overig)'!$C$16 &amp; "'!" &amp;
        'Hulp (overig)'!$C$17 &amp; "1:" &amp; 'Hulp (overig)'!$C$17 &amp; 1000
        ),
        IFERROR(MIN(
            IF(
                (TRIM(INDIRECT("'" &amp; 'Hulp (overig)'!$C$16 &amp; "'!B1:B1000")) = TEXT(G280,"0")) *
                (ROW(INDIRECT("'" &amp; 'Hulp (overig)'!$C$16 &amp; "'!B1:B1000")) &gt;= MATCH(
                    G278,
                    INDIRECT("'" &amp; 'Hulp (overig)'!$C$16 &amp; "'!A1:A1000"),
                    0
                )) *
                IF(
                    H278="",
                    1,
                    (ROW(INDIRECT("'" &amp; 'Hulp (overig)'!$C$16 &amp; "'!B1:B1000")) &lt; MATCH(
                        H278,
                        INDIRECT("'" &amp; 'Hulp (overig)'!$C$16 &amp; "'!A1:A1000"),
                        0
                    ))
                ),
                ROW(INDIRECT("'" &amp; 'Hulp (overig)'!$C$16 &amp; "'!B1:B1000"))
            )
        ),0)
    )=0,"",
INDEX(
        INDIRECT("'" &amp; 'Hulp (overig)'!$C$16 &amp; "'!" &amp;
        'Hulp (overig)'!$C$17 &amp; "1:" &amp; 'Hulp (overig)'!$C$17 &amp; 1000
        ),
        IFERROR(MIN(
            IF(
                (TRIM(INDIRECT("'" &amp; 'Hulp (overig)'!$C$16 &amp; "'!B1:B1000")) = TEXT(G280,"0")) *
                (ROW(INDIRECT("'" &amp; 'Hulp (overig)'!$C$16 &amp; "'!B1:B1000")) &gt;= MATCH(
                    G278,
                    INDIRECT("'" &amp; 'Hulp (overig)'!$C$16 &amp; "'!A1:A1000"),
                    0
                )) *
                IF(
                    H278="",
                    1,
                    (ROW(INDIRECT("'" &amp; 'Hulp (overig)'!$C$16 &amp; "'!B1:B1000")) &lt; MATCH(
                        H278,
                        INDIRECT("'" &amp; 'Hulp (overig)'!$C$16 &amp; "'!A1:A1000"),
                        0
                    ))
                ),
                ROW(INDIRECT("'" &amp; 'Hulp (overig)'!$C$16 &amp; "'!B1:B1000"))
            )
        ),0)
    ))
))))</f>
        <v>#VALUE!</v>
      </c>
      <c r="H281" s="425" t="e" cm="1">
        <f t="array" aca="1" ref="H281" ca="1">IF($BF281, IF(H278="","",
   INDEX(
      INDIRECT("'" &amp; 'Hulp (CAO''s)'!$AE$8 &amp; "'!" &amp;
               'Hulp (overig)'!$C$17 &amp; "1:" &amp;
               'Hulp (overig)'!$C$17 &amp; "1000"),
      MATCH(
         H278,
         INDIRECT("'" &amp; 'Hulp (CAO''s)'!$AE$8 &amp; "'!A1:A1000"),
         0
      )
   )
), IF($D279="Gebruik % van maximum salaris",
IF(
    OR(H278="",H279=""),
    "",
    MAX(
        INDIRECT(
            "'" &amp; 'Hulp (overig)'!$C$16 &amp; "'!" &amp;
            'Hulp (overig)'!$C$17 &amp;
            MATCH(H278, INDIRECT("'" &amp; 'Hulp (overig)'!$C$16 &amp; "'!A1:A1000"), 0) &amp;
            ":" &amp;
            'Hulp (overig)'!$C$17 &amp;
LOOKUP(
    2,
    1 / (
        (ROW(INDIRECT("'" &amp; 'Hulp (overig)'!$C$16 &amp; "'!B1:B1000")) &lt;
            IF(I278&lt;&gt;"",
               MATCH(I278, INDIRECT("'" &amp; 'Hulp (overig)'!$C$16 &amp; "'!A1:A1000"),0),
               1000
            )
        ) *
        (LEFT(TRIM(INDIRECT("'" &amp; 'Hulp (overig)'!$C$16 &amp; "'!B1:B1000")),1) &lt;&gt; "u")
    ),
    ROW(INDIRECT("'" &amp; 'Hulp (overig)'!$C$16 &amp; "'!B1:B1000"))
)
        )
    ) * H279
),
IF(H280="","",
IF(
    IFERROR(MIN(
        IF(
            (TRIM(INDIRECT("'" &amp; 'Hulp (overig)'!$C$16 &amp; "'!B1:B1000")) = TEXT(H280,"0")) *
            (ROW(INDIRECT("'" &amp; 'Hulp (overig)'!$C$16 &amp; "'!B1:B1000")) &gt;= MATCH(
                H278,
                INDIRECT("'" &amp; 'Hulp (overig)'!$C$16 &amp; "'!A1:A1000"),
                0
            )) *
            IF(
                I278="",
                1,
                (ROW(INDIRECT("'" &amp; 'Hulp (overig)'!$C$16 &amp; "'!B1:B1000")) &lt; MATCH(
                    I278,
                    INDIRECT("'" &amp; 'Hulp (overig)'!$C$16 &amp; "'!A1:A1000"),
                    0
                ))
            ),
            ROW(INDIRECT("'" &amp; 'Hulp (overig)'!$C$16 &amp; "'!B1:B1000"))
        )
    ),0) &lt; 1,
    "",
    IF(INDEX(
        INDIRECT("'" &amp; 'Hulp (overig)'!$C$16 &amp; "'!" &amp;
        'Hulp (overig)'!$C$17 &amp; "1:" &amp; 'Hulp (overig)'!$C$17 &amp; 1000
        ),
        IFERROR(MIN(
            IF(
                (TRIM(INDIRECT("'" &amp; 'Hulp (overig)'!$C$16 &amp; "'!B1:B1000")) = TEXT(H280,"0")) *
                (ROW(INDIRECT("'" &amp; 'Hulp (overig)'!$C$16 &amp; "'!B1:B1000")) &gt;= MATCH(
                    H278,
                    INDIRECT("'" &amp; 'Hulp (overig)'!$C$16 &amp; "'!A1:A1000"),
                    0
                )) *
                IF(
                    I278="",
                    1,
                    (ROW(INDIRECT("'" &amp; 'Hulp (overig)'!$C$16 &amp; "'!B1:B1000")) &lt; MATCH(
                        I278,
                        INDIRECT("'" &amp; 'Hulp (overig)'!$C$16 &amp; "'!A1:A1000"),
                        0
                    ))
                ),
                ROW(INDIRECT("'" &amp; 'Hulp (overig)'!$C$16 &amp; "'!B1:B1000"))
            )
        ),0)
    )=0,"",
INDEX(
        INDIRECT("'" &amp; 'Hulp (overig)'!$C$16 &amp; "'!" &amp;
        'Hulp (overig)'!$C$17 &amp; "1:" &amp; 'Hulp (overig)'!$C$17 &amp; 1000
        ),
        IFERROR(MIN(
            IF(
                (TRIM(INDIRECT("'" &amp; 'Hulp (overig)'!$C$16 &amp; "'!B1:B1000")) = TEXT(H280,"0")) *
                (ROW(INDIRECT("'" &amp; 'Hulp (overig)'!$C$16 &amp; "'!B1:B1000")) &gt;= MATCH(
                    H278,
                    INDIRECT("'" &amp; 'Hulp (overig)'!$C$16 &amp; "'!A1:A1000"),
                    0
                )) *
                IF(
                    I278="",
                    1,
                    (ROW(INDIRECT("'" &amp; 'Hulp (overig)'!$C$16 &amp; "'!B1:B1000")) &lt; MATCH(
                        I278,
                        INDIRECT("'" &amp; 'Hulp (overig)'!$C$16 &amp; "'!A1:A1000"),
                        0
                    ))
                ),
                ROW(INDIRECT("'" &amp; 'Hulp (overig)'!$C$16 &amp; "'!B1:B1000"))
            )
        ),0)
    ))
))))</f>
        <v>#VALUE!</v>
      </c>
      <c r="I281" s="425" t="e" cm="1">
        <f t="array" aca="1" ref="I281" ca="1">IF($BF281, IF(I278="","",
   INDEX(
      INDIRECT("'" &amp; 'Hulp (CAO''s)'!$AE$8 &amp; "'!" &amp;
               'Hulp (overig)'!$C$17 &amp; "1:" &amp;
               'Hulp (overig)'!$C$17 &amp; "1000"),
      MATCH(
         I278,
         INDIRECT("'" &amp; 'Hulp (CAO''s)'!$AE$8 &amp; "'!A1:A1000"),
         0
      )
   )
), IF($D279="Gebruik % van maximum salaris",
IF(
    OR(I278="",I279=""),
    "",
    MAX(
        INDIRECT(
            "'" &amp; 'Hulp (overig)'!$C$16 &amp; "'!" &amp;
            'Hulp (overig)'!$C$17 &amp;
            MATCH(I278, INDIRECT("'" &amp; 'Hulp (overig)'!$C$16 &amp; "'!A1:A1000"), 0) &amp;
            ":" &amp;
            'Hulp (overig)'!$C$17 &amp;
LOOKUP(
    2,
    1 / (
        (ROW(INDIRECT("'" &amp; 'Hulp (overig)'!$C$16 &amp; "'!B1:B1000")) &lt;
            IF(J278&lt;&gt;"",
               MATCH(J278, INDIRECT("'" &amp; 'Hulp (overig)'!$C$16 &amp; "'!A1:A1000"),0),
               1000
            )
        ) *
        (LEFT(TRIM(INDIRECT("'" &amp; 'Hulp (overig)'!$C$16 &amp; "'!B1:B1000")),1) &lt;&gt; "u")
    ),
    ROW(INDIRECT("'" &amp; 'Hulp (overig)'!$C$16 &amp; "'!B1:B1000"))
)
        )
    ) * I279
),
IF(I280="","",
IF(
    IFERROR(MIN(
        IF(
            (TRIM(INDIRECT("'" &amp; 'Hulp (overig)'!$C$16 &amp; "'!B1:B1000")) = TEXT(I280,"0")) *
            (ROW(INDIRECT("'" &amp; 'Hulp (overig)'!$C$16 &amp; "'!B1:B1000")) &gt;= MATCH(
                I278,
                INDIRECT("'" &amp; 'Hulp (overig)'!$C$16 &amp; "'!A1:A1000"),
                0
            )) *
            IF(
                J278="",
                1,
                (ROW(INDIRECT("'" &amp; 'Hulp (overig)'!$C$16 &amp; "'!B1:B1000")) &lt; MATCH(
                    J278,
                    INDIRECT("'" &amp; 'Hulp (overig)'!$C$16 &amp; "'!A1:A1000"),
                    0
                ))
            ),
            ROW(INDIRECT("'" &amp; 'Hulp (overig)'!$C$16 &amp; "'!B1:B1000"))
        )
    ),0) &lt; 1,
    "",
    IF(INDEX(
        INDIRECT("'" &amp; 'Hulp (overig)'!$C$16 &amp; "'!" &amp;
        'Hulp (overig)'!$C$17 &amp; "1:" &amp; 'Hulp (overig)'!$C$17 &amp; 1000
        ),
        IFERROR(MIN(
            IF(
                (TRIM(INDIRECT("'" &amp; 'Hulp (overig)'!$C$16 &amp; "'!B1:B1000")) = TEXT(I280,"0")) *
                (ROW(INDIRECT("'" &amp; 'Hulp (overig)'!$C$16 &amp; "'!B1:B1000")) &gt;= MATCH(
                    I278,
                    INDIRECT("'" &amp; 'Hulp (overig)'!$C$16 &amp; "'!A1:A1000"),
                    0
                )) *
                IF(
                    J278="",
                    1,
                    (ROW(INDIRECT("'" &amp; 'Hulp (overig)'!$C$16 &amp; "'!B1:B1000")) &lt; MATCH(
                        J278,
                        INDIRECT("'" &amp; 'Hulp (overig)'!$C$16 &amp; "'!A1:A1000"),
                        0
                    ))
                ),
                ROW(INDIRECT("'" &amp; 'Hulp (overig)'!$C$16 &amp; "'!B1:B1000"))
            )
        ),0)
    )=0,"",
INDEX(
        INDIRECT("'" &amp; 'Hulp (overig)'!$C$16 &amp; "'!" &amp;
        'Hulp (overig)'!$C$17 &amp; "1:" &amp; 'Hulp (overig)'!$C$17 &amp; 1000
        ),
        IFERROR(MIN(
            IF(
                (TRIM(INDIRECT("'" &amp; 'Hulp (overig)'!$C$16 &amp; "'!B1:B1000")) = TEXT(I280,"0")) *
                (ROW(INDIRECT("'" &amp; 'Hulp (overig)'!$C$16 &amp; "'!B1:B1000")) &gt;= MATCH(
                    I278,
                    INDIRECT("'" &amp; 'Hulp (overig)'!$C$16 &amp; "'!A1:A1000"),
                    0
                )) *
                IF(
                    J278="",
                    1,
                    (ROW(INDIRECT("'" &amp; 'Hulp (overig)'!$C$16 &amp; "'!B1:B1000")) &lt; MATCH(
                        J278,
                        INDIRECT("'" &amp; 'Hulp (overig)'!$C$16 &amp; "'!A1:A1000"),
                        0
                    ))
                ),
                ROW(INDIRECT("'" &amp; 'Hulp (overig)'!$C$16 &amp; "'!B1:B1000"))
            )
        ),0)
    ))
))))</f>
        <v>#VALUE!</v>
      </c>
      <c r="J281" s="425" t="e" cm="1">
        <f t="array" aca="1" ref="J281" ca="1">IF($BF281, IF(J278="","",
   INDEX(
      INDIRECT("'" &amp; 'Hulp (CAO''s)'!$AE$8 &amp; "'!" &amp;
               'Hulp (overig)'!$C$17 &amp; "1:" &amp;
               'Hulp (overig)'!$C$17 &amp; "1000"),
      MATCH(
         J278,
         INDIRECT("'" &amp; 'Hulp (CAO''s)'!$AE$8 &amp; "'!A1:A1000"),
         0
      )
   )
), IF($D279="Gebruik % van maximum salaris",
IF(
    OR(J278="",J279=""),
    "",
    MAX(
        INDIRECT(
            "'" &amp; 'Hulp (overig)'!$C$16 &amp; "'!" &amp;
            'Hulp (overig)'!$C$17 &amp;
            MATCH(J278, INDIRECT("'" &amp; 'Hulp (overig)'!$C$16 &amp; "'!A1:A1000"), 0) &amp;
            ":" &amp;
            'Hulp (overig)'!$C$17 &amp;
LOOKUP(
    2,
    1 / (
        (ROW(INDIRECT("'" &amp; 'Hulp (overig)'!$C$16 &amp; "'!B1:B1000")) &lt;
            IF(K278&lt;&gt;"",
               MATCH(K278, INDIRECT("'" &amp; 'Hulp (overig)'!$C$16 &amp; "'!A1:A1000"),0),
               1000
            )
        ) *
        (LEFT(TRIM(INDIRECT("'" &amp; 'Hulp (overig)'!$C$16 &amp; "'!B1:B1000")),1) &lt;&gt; "u")
    ),
    ROW(INDIRECT("'" &amp; 'Hulp (overig)'!$C$16 &amp; "'!B1:B1000"))
)
        )
    ) * J279
),
IF(J280="","",
IF(
    IFERROR(MIN(
        IF(
            (TRIM(INDIRECT("'" &amp; 'Hulp (overig)'!$C$16 &amp; "'!B1:B1000")) = TEXT(J280,"0")) *
            (ROW(INDIRECT("'" &amp; 'Hulp (overig)'!$C$16 &amp; "'!B1:B1000")) &gt;= MATCH(
                J278,
                INDIRECT("'" &amp; 'Hulp (overig)'!$C$16 &amp; "'!A1:A1000"),
                0
            )) *
            IF(
                K278="",
                1,
                (ROW(INDIRECT("'" &amp; 'Hulp (overig)'!$C$16 &amp; "'!B1:B1000")) &lt; MATCH(
                    K278,
                    INDIRECT("'" &amp; 'Hulp (overig)'!$C$16 &amp; "'!A1:A1000"),
                    0
                ))
            ),
            ROW(INDIRECT("'" &amp; 'Hulp (overig)'!$C$16 &amp; "'!B1:B1000"))
        )
    ),0) &lt; 1,
    "",
    IF(INDEX(
        INDIRECT("'" &amp; 'Hulp (overig)'!$C$16 &amp; "'!" &amp;
        'Hulp (overig)'!$C$17 &amp; "1:" &amp; 'Hulp (overig)'!$C$17 &amp; 1000
        ),
        IFERROR(MIN(
            IF(
                (TRIM(INDIRECT("'" &amp; 'Hulp (overig)'!$C$16 &amp; "'!B1:B1000")) = TEXT(J280,"0")) *
                (ROW(INDIRECT("'" &amp; 'Hulp (overig)'!$C$16 &amp; "'!B1:B1000")) &gt;= MATCH(
                    J278,
                    INDIRECT("'" &amp; 'Hulp (overig)'!$C$16 &amp; "'!A1:A1000"),
                    0
                )) *
                IF(
                    K278="",
                    1,
                    (ROW(INDIRECT("'" &amp; 'Hulp (overig)'!$C$16 &amp; "'!B1:B1000")) &lt; MATCH(
                        K278,
                        INDIRECT("'" &amp; 'Hulp (overig)'!$C$16 &amp; "'!A1:A1000"),
                        0
                    ))
                ),
                ROW(INDIRECT("'" &amp; 'Hulp (overig)'!$C$16 &amp; "'!B1:B1000"))
            )
        ),0)
    )=0,"",
INDEX(
        INDIRECT("'" &amp; 'Hulp (overig)'!$C$16 &amp; "'!" &amp;
        'Hulp (overig)'!$C$17 &amp; "1:" &amp; 'Hulp (overig)'!$C$17 &amp; 1000
        ),
        IFERROR(MIN(
            IF(
                (TRIM(INDIRECT("'" &amp; 'Hulp (overig)'!$C$16 &amp; "'!B1:B1000")) = TEXT(J280,"0")) *
                (ROW(INDIRECT("'" &amp; 'Hulp (overig)'!$C$16 &amp; "'!B1:B1000")) &gt;= MATCH(
                    J278,
                    INDIRECT("'" &amp; 'Hulp (overig)'!$C$16 &amp; "'!A1:A1000"),
                    0
                )) *
                IF(
                    K278="",
                    1,
                    (ROW(INDIRECT("'" &amp; 'Hulp (overig)'!$C$16 &amp; "'!B1:B1000")) &lt; MATCH(
                        K278,
                        INDIRECT("'" &amp; 'Hulp (overig)'!$C$16 &amp; "'!A1:A1000"),
                        0
                    ))
                ),
                ROW(INDIRECT("'" &amp; 'Hulp (overig)'!$C$16 &amp; "'!B1:B1000"))
            )
        ),0)
    ))
))))</f>
        <v>#VALUE!</v>
      </c>
      <c r="K281" s="425" t="e" cm="1">
        <f t="array" aca="1" ref="K281" ca="1">IF($BF281, IF(K278="","",
   INDEX(
      INDIRECT("'" &amp; 'Hulp (CAO''s)'!$AE$8 &amp; "'!" &amp;
               'Hulp (overig)'!$C$17 &amp; "1:" &amp;
               'Hulp (overig)'!$C$17 &amp; "1000"),
      MATCH(
         K278,
         INDIRECT("'" &amp; 'Hulp (CAO''s)'!$AE$8 &amp; "'!A1:A1000"),
         0
      )
   )
), IF($D279="Gebruik % van maximum salaris",
IF(
    OR(K278="",K279=""),
    "",
    MAX(
        INDIRECT(
            "'" &amp; 'Hulp (overig)'!$C$16 &amp; "'!" &amp;
            'Hulp (overig)'!$C$17 &amp;
            MATCH(K278, INDIRECT("'" &amp; 'Hulp (overig)'!$C$16 &amp; "'!A1:A1000"), 0) &amp;
            ":" &amp;
            'Hulp (overig)'!$C$17 &amp;
LOOKUP(
    2,
    1 / (
        (ROW(INDIRECT("'" &amp; 'Hulp (overig)'!$C$16 &amp; "'!B1:B1000")) &lt;
            IF(L278&lt;&gt;"",
               MATCH(L278, INDIRECT("'" &amp; 'Hulp (overig)'!$C$16 &amp; "'!A1:A1000"),0),
               1000
            )
        ) *
        (LEFT(TRIM(INDIRECT("'" &amp; 'Hulp (overig)'!$C$16 &amp; "'!B1:B1000")),1) &lt;&gt; "u")
    ),
    ROW(INDIRECT("'" &amp; 'Hulp (overig)'!$C$16 &amp; "'!B1:B1000"))
)
        )
    ) * K279
),
IF(K280="","",
IF(
    IFERROR(MIN(
        IF(
            (TRIM(INDIRECT("'" &amp; 'Hulp (overig)'!$C$16 &amp; "'!B1:B1000")) = TEXT(K280,"0")) *
            (ROW(INDIRECT("'" &amp; 'Hulp (overig)'!$C$16 &amp; "'!B1:B1000")) &gt;= MATCH(
                K278,
                INDIRECT("'" &amp; 'Hulp (overig)'!$C$16 &amp; "'!A1:A1000"),
                0
            )) *
            IF(
                L278="",
                1,
                (ROW(INDIRECT("'" &amp; 'Hulp (overig)'!$C$16 &amp; "'!B1:B1000")) &lt; MATCH(
                    L278,
                    INDIRECT("'" &amp; 'Hulp (overig)'!$C$16 &amp; "'!A1:A1000"),
                    0
                ))
            ),
            ROW(INDIRECT("'" &amp; 'Hulp (overig)'!$C$16 &amp; "'!B1:B1000"))
        )
    ),0) &lt; 1,
    "",
    IF(INDEX(
        INDIRECT("'" &amp; 'Hulp (overig)'!$C$16 &amp; "'!" &amp;
        'Hulp (overig)'!$C$17 &amp; "1:" &amp; 'Hulp (overig)'!$C$17 &amp; 1000
        ),
        IFERROR(MIN(
            IF(
                (TRIM(INDIRECT("'" &amp; 'Hulp (overig)'!$C$16 &amp; "'!B1:B1000")) = TEXT(K280,"0")) *
                (ROW(INDIRECT("'" &amp; 'Hulp (overig)'!$C$16 &amp; "'!B1:B1000")) &gt;= MATCH(
                    K278,
                    INDIRECT("'" &amp; 'Hulp (overig)'!$C$16 &amp; "'!A1:A1000"),
                    0
                )) *
                IF(
                    L278="",
                    1,
                    (ROW(INDIRECT("'" &amp; 'Hulp (overig)'!$C$16 &amp; "'!B1:B1000")) &lt; MATCH(
                        L278,
                        INDIRECT("'" &amp; 'Hulp (overig)'!$C$16 &amp; "'!A1:A1000"),
                        0
                    ))
                ),
                ROW(INDIRECT("'" &amp; 'Hulp (overig)'!$C$16 &amp; "'!B1:B1000"))
            )
        ),0)
    )=0,"",
INDEX(
        INDIRECT("'" &amp; 'Hulp (overig)'!$C$16 &amp; "'!" &amp;
        'Hulp (overig)'!$C$17 &amp; "1:" &amp; 'Hulp (overig)'!$C$17 &amp; 1000
        ),
        IFERROR(MIN(
            IF(
                (TRIM(INDIRECT("'" &amp; 'Hulp (overig)'!$C$16 &amp; "'!B1:B1000")) = TEXT(K280,"0")) *
                (ROW(INDIRECT("'" &amp; 'Hulp (overig)'!$C$16 &amp; "'!B1:B1000")) &gt;= MATCH(
                    K278,
                    INDIRECT("'" &amp; 'Hulp (overig)'!$C$16 &amp; "'!A1:A1000"),
                    0
                )) *
                IF(
                    L278="",
                    1,
                    (ROW(INDIRECT("'" &amp; 'Hulp (overig)'!$C$16 &amp; "'!B1:B1000")) &lt; MATCH(
                        L278,
                        INDIRECT("'" &amp; 'Hulp (overig)'!$C$16 &amp; "'!A1:A1000"),
                        0
                    ))
                ),
                ROW(INDIRECT("'" &amp; 'Hulp (overig)'!$C$16 &amp; "'!B1:B1000"))
            )
        ),0)
    ))
))))</f>
        <v>#VALUE!</v>
      </c>
      <c r="L281" s="425" t="e" cm="1">
        <f t="array" aca="1" ref="L281" ca="1">IF($BF281, IF(L278="","",
   INDEX(
      INDIRECT("'" &amp; 'Hulp (CAO''s)'!$AE$8 &amp; "'!" &amp;
               'Hulp (overig)'!$C$17 &amp; "1:" &amp;
               'Hulp (overig)'!$C$17 &amp; "1000"),
      MATCH(
         L278,
         INDIRECT("'" &amp; 'Hulp (CAO''s)'!$AE$8 &amp; "'!A1:A1000"),
         0
      )
   )
), IF($D279="Gebruik % van maximum salaris",
IF(
    OR(L278="",L279=""),
    "",
    MAX(
        INDIRECT(
            "'" &amp; 'Hulp (overig)'!$C$16 &amp; "'!" &amp;
            'Hulp (overig)'!$C$17 &amp;
            MATCH(L278, INDIRECT("'" &amp; 'Hulp (overig)'!$C$16 &amp; "'!A1:A1000"), 0) &amp;
            ":" &amp;
            'Hulp (overig)'!$C$17 &amp;
LOOKUP(
    2,
    1 / (
        (ROW(INDIRECT("'" &amp; 'Hulp (overig)'!$C$16 &amp; "'!B1:B1000")) &lt;
            IF(M278&lt;&gt;"",
               MATCH(M278, INDIRECT("'" &amp; 'Hulp (overig)'!$C$16 &amp; "'!A1:A1000"),0),
               1000
            )
        ) *
        (LEFT(TRIM(INDIRECT("'" &amp; 'Hulp (overig)'!$C$16 &amp; "'!B1:B1000")),1) &lt;&gt; "u")
    ),
    ROW(INDIRECT("'" &amp; 'Hulp (overig)'!$C$16 &amp; "'!B1:B1000"))
)
        )
    ) * L279
),
IF(L280="","",
IF(
    IFERROR(MIN(
        IF(
            (TRIM(INDIRECT("'" &amp; 'Hulp (overig)'!$C$16 &amp; "'!B1:B1000")) = TEXT(L280,"0")) *
            (ROW(INDIRECT("'" &amp; 'Hulp (overig)'!$C$16 &amp; "'!B1:B1000")) &gt;= MATCH(
                L278,
                INDIRECT("'" &amp; 'Hulp (overig)'!$C$16 &amp; "'!A1:A1000"),
                0
            )) *
            IF(
                M278="",
                1,
                (ROW(INDIRECT("'" &amp; 'Hulp (overig)'!$C$16 &amp; "'!B1:B1000")) &lt; MATCH(
                    M278,
                    INDIRECT("'" &amp; 'Hulp (overig)'!$C$16 &amp; "'!A1:A1000"),
                    0
                ))
            ),
            ROW(INDIRECT("'" &amp; 'Hulp (overig)'!$C$16 &amp; "'!B1:B1000"))
        )
    ),0) &lt; 1,
    "",
    IF(INDEX(
        INDIRECT("'" &amp; 'Hulp (overig)'!$C$16 &amp; "'!" &amp;
        'Hulp (overig)'!$C$17 &amp; "1:" &amp; 'Hulp (overig)'!$C$17 &amp; 1000
        ),
        IFERROR(MIN(
            IF(
                (TRIM(INDIRECT("'" &amp; 'Hulp (overig)'!$C$16 &amp; "'!B1:B1000")) = TEXT(L280,"0")) *
                (ROW(INDIRECT("'" &amp; 'Hulp (overig)'!$C$16 &amp; "'!B1:B1000")) &gt;= MATCH(
                    L278,
                    INDIRECT("'" &amp; 'Hulp (overig)'!$C$16 &amp; "'!A1:A1000"),
                    0
                )) *
                IF(
                    M278="",
                    1,
                    (ROW(INDIRECT("'" &amp; 'Hulp (overig)'!$C$16 &amp; "'!B1:B1000")) &lt; MATCH(
                        M278,
                        INDIRECT("'" &amp; 'Hulp (overig)'!$C$16 &amp; "'!A1:A1000"),
                        0
                    ))
                ),
                ROW(INDIRECT("'" &amp; 'Hulp (overig)'!$C$16 &amp; "'!B1:B1000"))
            )
        ),0)
    )=0,"",
INDEX(
        INDIRECT("'" &amp; 'Hulp (overig)'!$C$16 &amp; "'!" &amp;
        'Hulp (overig)'!$C$17 &amp; "1:" &amp; 'Hulp (overig)'!$C$17 &amp; 1000
        ),
        IFERROR(MIN(
            IF(
                (TRIM(INDIRECT("'" &amp; 'Hulp (overig)'!$C$16 &amp; "'!B1:B1000")) = TEXT(L280,"0")) *
                (ROW(INDIRECT("'" &amp; 'Hulp (overig)'!$C$16 &amp; "'!B1:B1000")) &gt;= MATCH(
                    L278,
                    INDIRECT("'" &amp; 'Hulp (overig)'!$C$16 &amp; "'!A1:A1000"),
                    0
                )) *
                IF(
                    M278="",
                    1,
                    (ROW(INDIRECT("'" &amp; 'Hulp (overig)'!$C$16 &amp; "'!B1:B1000")) &lt; MATCH(
                        M278,
                        INDIRECT("'" &amp; 'Hulp (overig)'!$C$16 &amp; "'!A1:A1000"),
                        0
                    ))
                ),
                ROW(INDIRECT("'" &amp; 'Hulp (overig)'!$C$16 &amp; "'!B1:B1000"))
            )
        ),0)
    ))
))))</f>
        <v>#VALUE!</v>
      </c>
      <c r="M281" s="425" t="e" cm="1">
        <f t="array" aca="1" ref="M281" ca="1">IF($BF281, IF(M278="","",
   INDEX(
      INDIRECT("'" &amp; 'Hulp (CAO''s)'!$AE$8 &amp; "'!" &amp;
               'Hulp (overig)'!$C$17 &amp; "1:" &amp;
               'Hulp (overig)'!$C$17 &amp; "1000"),
      MATCH(
         M278,
         INDIRECT("'" &amp; 'Hulp (CAO''s)'!$AE$8 &amp; "'!A1:A1000"),
         0
      )
   )
), IF($D279="Gebruik % van maximum salaris",
IF(
    OR(M278="",M279=""),
    "",
    MAX(
        INDIRECT(
            "'" &amp; 'Hulp (overig)'!$C$16 &amp; "'!" &amp;
            'Hulp (overig)'!$C$17 &amp;
            MATCH(M278, INDIRECT("'" &amp; 'Hulp (overig)'!$C$16 &amp; "'!A1:A1000"), 0) &amp;
            ":" &amp;
            'Hulp (overig)'!$C$17 &amp;
LOOKUP(
    2,
    1 / (
        (ROW(INDIRECT("'" &amp; 'Hulp (overig)'!$C$16 &amp; "'!B1:B1000")) &lt;
            IF(N278&lt;&gt;"",
               MATCH(N278, INDIRECT("'" &amp; 'Hulp (overig)'!$C$16 &amp; "'!A1:A1000"),0),
               1000
            )
        ) *
        (LEFT(TRIM(INDIRECT("'" &amp; 'Hulp (overig)'!$C$16 &amp; "'!B1:B1000")),1) &lt;&gt; "u")
    ),
    ROW(INDIRECT("'" &amp; 'Hulp (overig)'!$C$16 &amp; "'!B1:B1000"))
)
        )
    ) * M279
),
IF(M280="","",
IF(
    IFERROR(MIN(
        IF(
            (TRIM(INDIRECT("'" &amp; 'Hulp (overig)'!$C$16 &amp; "'!B1:B1000")) = TEXT(M280,"0")) *
            (ROW(INDIRECT("'" &amp; 'Hulp (overig)'!$C$16 &amp; "'!B1:B1000")) &gt;= MATCH(
                M278,
                INDIRECT("'" &amp; 'Hulp (overig)'!$C$16 &amp; "'!A1:A1000"),
                0
            )) *
            IF(
                N278="",
                1,
                (ROW(INDIRECT("'" &amp; 'Hulp (overig)'!$C$16 &amp; "'!B1:B1000")) &lt; MATCH(
                    N278,
                    INDIRECT("'" &amp; 'Hulp (overig)'!$C$16 &amp; "'!A1:A1000"),
                    0
                ))
            ),
            ROW(INDIRECT("'" &amp; 'Hulp (overig)'!$C$16 &amp; "'!B1:B1000"))
        )
    ),0) &lt; 1,
    "",
    IF(INDEX(
        INDIRECT("'" &amp; 'Hulp (overig)'!$C$16 &amp; "'!" &amp;
        'Hulp (overig)'!$C$17 &amp; "1:" &amp; 'Hulp (overig)'!$C$17 &amp; 1000
        ),
        IFERROR(MIN(
            IF(
                (TRIM(INDIRECT("'" &amp; 'Hulp (overig)'!$C$16 &amp; "'!B1:B1000")) = TEXT(M280,"0")) *
                (ROW(INDIRECT("'" &amp; 'Hulp (overig)'!$C$16 &amp; "'!B1:B1000")) &gt;= MATCH(
                    M278,
                    INDIRECT("'" &amp; 'Hulp (overig)'!$C$16 &amp; "'!A1:A1000"),
                    0
                )) *
                IF(
                    N278="",
                    1,
                    (ROW(INDIRECT("'" &amp; 'Hulp (overig)'!$C$16 &amp; "'!B1:B1000")) &lt; MATCH(
                        N278,
                        INDIRECT("'" &amp; 'Hulp (overig)'!$C$16 &amp; "'!A1:A1000"),
                        0
                    ))
                ),
                ROW(INDIRECT("'" &amp; 'Hulp (overig)'!$C$16 &amp; "'!B1:B1000"))
            )
        ),0)
    )=0,"",
INDEX(
        INDIRECT("'" &amp; 'Hulp (overig)'!$C$16 &amp; "'!" &amp;
        'Hulp (overig)'!$C$17 &amp; "1:" &amp; 'Hulp (overig)'!$C$17 &amp; 1000
        ),
        IFERROR(MIN(
            IF(
                (TRIM(INDIRECT("'" &amp; 'Hulp (overig)'!$C$16 &amp; "'!B1:B1000")) = TEXT(M280,"0")) *
                (ROW(INDIRECT("'" &amp; 'Hulp (overig)'!$C$16 &amp; "'!B1:B1000")) &gt;= MATCH(
                    M278,
                    INDIRECT("'" &amp; 'Hulp (overig)'!$C$16 &amp; "'!A1:A1000"),
                    0
                )) *
                IF(
                    N278="",
                    1,
                    (ROW(INDIRECT("'" &amp; 'Hulp (overig)'!$C$16 &amp; "'!B1:B1000")) &lt; MATCH(
                        N278,
                        INDIRECT("'" &amp; 'Hulp (overig)'!$C$16 &amp; "'!A1:A1000"),
                        0
                    ))
                ),
                ROW(INDIRECT("'" &amp; 'Hulp (overig)'!$C$16 &amp; "'!B1:B1000"))
            )
        ),0)
    ))
))))</f>
        <v>#VALUE!</v>
      </c>
      <c r="N281" s="425" t="e" cm="1">
        <f t="array" aca="1" ref="N281" ca="1">IF($BF281, IF(N278="","",
   INDEX(
      INDIRECT("'" &amp; 'Hulp (CAO''s)'!$AE$8 &amp; "'!" &amp;
               'Hulp (overig)'!$C$17 &amp; "1:" &amp;
               'Hulp (overig)'!$C$17 &amp; "1000"),
      MATCH(
         N278,
         INDIRECT("'" &amp; 'Hulp (CAO''s)'!$AE$8 &amp; "'!A1:A1000"),
         0
      )
   )
), IF($D279="Gebruik % van maximum salaris",
IF(
    OR(N278="",N279=""),
    "",
    MAX(
        INDIRECT(
            "'" &amp; 'Hulp (overig)'!$C$16 &amp; "'!" &amp;
            'Hulp (overig)'!$C$17 &amp;
            MATCH(N278, INDIRECT("'" &amp; 'Hulp (overig)'!$C$16 &amp; "'!A1:A1000"), 0) &amp;
            ":" &amp;
            'Hulp (overig)'!$C$17 &amp;
LOOKUP(
    2,
    1 / (
        (ROW(INDIRECT("'" &amp; 'Hulp (overig)'!$C$16 &amp; "'!B1:B1000")) &lt;
            IF(O278&lt;&gt;"",
               MATCH(O278, INDIRECT("'" &amp; 'Hulp (overig)'!$C$16 &amp; "'!A1:A1000"),0),
               1000
            )
        ) *
        (LEFT(TRIM(INDIRECT("'" &amp; 'Hulp (overig)'!$C$16 &amp; "'!B1:B1000")),1) &lt;&gt; "u")
    ),
    ROW(INDIRECT("'" &amp; 'Hulp (overig)'!$C$16 &amp; "'!B1:B1000"))
)
        )
    ) * N279
),
IF(N280="","",
IF(
    IFERROR(MIN(
        IF(
            (TRIM(INDIRECT("'" &amp; 'Hulp (overig)'!$C$16 &amp; "'!B1:B1000")) = TEXT(N280,"0")) *
            (ROW(INDIRECT("'" &amp; 'Hulp (overig)'!$C$16 &amp; "'!B1:B1000")) &gt;= MATCH(
                N278,
                INDIRECT("'" &amp; 'Hulp (overig)'!$C$16 &amp; "'!A1:A1000"),
                0
            )) *
            IF(
                O278="",
                1,
                (ROW(INDIRECT("'" &amp; 'Hulp (overig)'!$C$16 &amp; "'!B1:B1000")) &lt; MATCH(
                    O278,
                    INDIRECT("'" &amp; 'Hulp (overig)'!$C$16 &amp; "'!A1:A1000"),
                    0
                ))
            ),
            ROW(INDIRECT("'" &amp; 'Hulp (overig)'!$C$16 &amp; "'!B1:B1000"))
        )
    ),0) &lt; 1,
    "",
    IF(INDEX(
        INDIRECT("'" &amp; 'Hulp (overig)'!$C$16 &amp; "'!" &amp;
        'Hulp (overig)'!$C$17 &amp; "1:" &amp; 'Hulp (overig)'!$C$17 &amp; 1000
        ),
        IFERROR(MIN(
            IF(
                (TRIM(INDIRECT("'" &amp; 'Hulp (overig)'!$C$16 &amp; "'!B1:B1000")) = TEXT(N280,"0")) *
                (ROW(INDIRECT("'" &amp; 'Hulp (overig)'!$C$16 &amp; "'!B1:B1000")) &gt;= MATCH(
                    N278,
                    INDIRECT("'" &amp; 'Hulp (overig)'!$C$16 &amp; "'!A1:A1000"),
                    0
                )) *
                IF(
                    O278="",
                    1,
                    (ROW(INDIRECT("'" &amp; 'Hulp (overig)'!$C$16 &amp; "'!B1:B1000")) &lt; MATCH(
                        O278,
                        INDIRECT("'" &amp; 'Hulp (overig)'!$C$16 &amp; "'!A1:A1000"),
                        0
                    ))
                ),
                ROW(INDIRECT("'" &amp; 'Hulp (overig)'!$C$16 &amp; "'!B1:B1000"))
            )
        ),0)
    )=0,"",
INDEX(
        INDIRECT("'" &amp; 'Hulp (overig)'!$C$16 &amp; "'!" &amp;
        'Hulp (overig)'!$C$17 &amp; "1:" &amp; 'Hulp (overig)'!$C$17 &amp; 1000
        ),
        IFERROR(MIN(
            IF(
                (TRIM(INDIRECT("'" &amp; 'Hulp (overig)'!$C$16 &amp; "'!B1:B1000")) = TEXT(N280,"0")) *
                (ROW(INDIRECT("'" &amp; 'Hulp (overig)'!$C$16 &amp; "'!B1:B1000")) &gt;= MATCH(
                    N278,
                    INDIRECT("'" &amp; 'Hulp (overig)'!$C$16 &amp; "'!A1:A1000"),
                    0
                )) *
                IF(
                    O278="",
                    1,
                    (ROW(INDIRECT("'" &amp; 'Hulp (overig)'!$C$16 &amp; "'!B1:B1000")) &lt; MATCH(
                        O278,
                        INDIRECT("'" &amp; 'Hulp (overig)'!$C$16 &amp; "'!A1:A1000"),
                        0
                    ))
                ),
                ROW(INDIRECT("'" &amp; 'Hulp (overig)'!$C$16 &amp; "'!B1:B1000"))
            )
        ),0)
    ))
))))</f>
        <v>#VALUE!</v>
      </c>
      <c r="O281" s="425" t="e" cm="1">
        <f t="array" aca="1" ref="O281" ca="1">IF($BF281, IF(O278="","",
   INDEX(
      INDIRECT("'" &amp; 'Hulp (CAO''s)'!$AE$8 &amp; "'!" &amp;
               'Hulp (overig)'!$C$17 &amp; "1:" &amp;
               'Hulp (overig)'!$C$17 &amp; "1000"),
      MATCH(
         O278,
         INDIRECT("'" &amp; 'Hulp (CAO''s)'!$AE$8 &amp; "'!A1:A1000"),
         0
      )
   )
), IF($D279="Gebruik % van maximum salaris",
IF(
    OR(O278="",O279=""),
    "",
    MAX(
        INDIRECT(
            "'" &amp; 'Hulp (overig)'!$C$16 &amp; "'!" &amp;
            'Hulp (overig)'!$C$17 &amp;
            MATCH(O278, INDIRECT("'" &amp; 'Hulp (overig)'!$C$16 &amp; "'!A1:A1000"), 0) &amp;
            ":" &amp;
            'Hulp (overig)'!$C$17 &amp;
LOOKUP(
    2,
    1 / (
        (ROW(INDIRECT("'" &amp; 'Hulp (overig)'!$C$16 &amp; "'!B1:B1000")) &lt;
            IF(P278&lt;&gt;"",
               MATCH(P278, INDIRECT("'" &amp; 'Hulp (overig)'!$C$16 &amp; "'!A1:A1000"),0),
               1000
            )
        ) *
        (LEFT(TRIM(INDIRECT("'" &amp; 'Hulp (overig)'!$C$16 &amp; "'!B1:B1000")),1) &lt;&gt; "u")
    ),
    ROW(INDIRECT("'" &amp; 'Hulp (overig)'!$C$16 &amp; "'!B1:B1000"))
)
        )
    ) * O279
),
IF(O280="","",
IF(
    IFERROR(MIN(
        IF(
            (TRIM(INDIRECT("'" &amp; 'Hulp (overig)'!$C$16 &amp; "'!B1:B1000")) = TEXT(O280,"0")) *
            (ROW(INDIRECT("'" &amp; 'Hulp (overig)'!$C$16 &amp; "'!B1:B1000")) &gt;= MATCH(
                O278,
                INDIRECT("'" &amp; 'Hulp (overig)'!$C$16 &amp; "'!A1:A1000"),
                0
            )) *
            IF(
                P278="",
                1,
                (ROW(INDIRECT("'" &amp; 'Hulp (overig)'!$C$16 &amp; "'!B1:B1000")) &lt; MATCH(
                    P278,
                    INDIRECT("'" &amp; 'Hulp (overig)'!$C$16 &amp; "'!A1:A1000"),
                    0
                ))
            ),
            ROW(INDIRECT("'" &amp; 'Hulp (overig)'!$C$16 &amp; "'!B1:B1000"))
        )
    ),0) &lt; 1,
    "",
    IF(INDEX(
        INDIRECT("'" &amp; 'Hulp (overig)'!$C$16 &amp; "'!" &amp;
        'Hulp (overig)'!$C$17 &amp; "1:" &amp; 'Hulp (overig)'!$C$17 &amp; 1000
        ),
        IFERROR(MIN(
            IF(
                (TRIM(INDIRECT("'" &amp; 'Hulp (overig)'!$C$16 &amp; "'!B1:B1000")) = TEXT(O280,"0")) *
                (ROW(INDIRECT("'" &amp; 'Hulp (overig)'!$C$16 &amp; "'!B1:B1000")) &gt;= MATCH(
                    O278,
                    INDIRECT("'" &amp; 'Hulp (overig)'!$C$16 &amp; "'!A1:A1000"),
                    0
                )) *
                IF(
                    P278="",
                    1,
                    (ROW(INDIRECT("'" &amp; 'Hulp (overig)'!$C$16 &amp; "'!B1:B1000")) &lt; MATCH(
                        P278,
                        INDIRECT("'" &amp; 'Hulp (overig)'!$C$16 &amp; "'!A1:A1000"),
                        0
                    ))
                ),
                ROW(INDIRECT("'" &amp; 'Hulp (overig)'!$C$16 &amp; "'!B1:B1000"))
            )
        ),0)
    )=0,"",
INDEX(
        INDIRECT("'" &amp; 'Hulp (overig)'!$C$16 &amp; "'!" &amp;
        'Hulp (overig)'!$C$17 &amp; "1:" &amp; 'Hulp (overig)'!$C$17 &amp; 1000
        ),
        IFERROR(MIN(
            IF(
                (TRIM(INDIRECT("'" &amp; 'Hulp (overig)'!$C$16 &amp; "'!B1:B1000")) = TEXT(O280,"0")) *
                (ROW(INDIRECT("'" &amp; 'Hulp (overig)'!$C$16 &amp; "'!B1:B1000")) &gt;= MATCH(
                    O278,
                    INDIRECT("'" &amp; 'Hulp (overig)'!$C$16 &amp; "'!A1:A1000"),
                    0
                )) *
                IF(
                    P278="",
                    1,
                    (ROW(INDIRECT("'" &amp; 'Hulp (overig)'!$C$16 &amp; "'!B1:B1000")) &lt; MATCH(
                        P278,
                        INDIRECT("'" &amp; 'Hulp (overig)'!$C$16 &amp; "'!A1:A1000"),
                        0
                    ))
                ),
                ROW(INDIRECT("'" &amp; 'Hulp (overig)'!$C$16 &amp; "'!B1:B1000"))
            )
        ),0)
    ))
))))</f>
        <v>#VALUE!</v>
      </c>
      <c r="P281" s="425" t="e" cm="1">
        <f t="array" aca="1" ref="P281" ca="1">IF($BF281, IF(P278="","",
   INDEX(
      INDIRECT("'" &amp; 'Hulp (CAO''s)'!$AE$8 &amp; "'!" &amp;
               'Hulp (overig)'!$C$17 &amp; "1:" &amp;
               'Hulp (overig)'!$C$17 &amp; "1000"),
      MATCH(
         P278,
         INDIRECT("'" &amp; 'Hulp (CAO''s)'!$AE$8 &amp; "'!A1:A1000"),
         0
      )
   )
), IF($D279="Gebruik % van maximum salaris",
IF(
    OR(P278="",P279=""),
    "",
    MAX(
        INDIRECT(
            "'" &amp; 'Hulp (overig)'!$C$16 &amp; "'!" &amp;
            'Hulp (overig)'!$C$17 &amp;
            MATCH(P278, INDIRECT("'" &amp; 'Hulp (overig)'!$C$16 &amp; "'!A1:A1000"), 0) &amp;
            ":" &amp;
            'Hulp (overig)'!$C$17 &amp;
LOOKUP(
    2,
    1 / (
        (ROW(INDIRECT("'" &amp; 'Hulp (overig)'!$C$16 &amp; "'!B1:B1000")) &lt;
            IF(Q278&lt;&gt;"",
               MATCH(Q278, INDIRECT("'" &amp; 'Hulp (overig)'!$C$16 &amp; "'!A1:A1000"),0),
               1000
            )
        ) *
        (LEFT(TRIM(INDIRECT("'" &amp; 'Hulp (overig)'!$C$16 &amp; "'!B1:B1000")),1) &lt;&gt; "u")
    ),
    ROW(INDIRECT("'" &amp; 'Hulp (overig)'!$C$16 &amp; "'!B1:B1000"))
)
        )
    ) * P279
),
IF(P280="","",
IF(
    IFERROR(MIN(
        IF(
            (TRIM(INDIRECT("'" &amp; 'Hulp (overig)'!$C$16 &amp; "'!B1:B1000")) = TEXT(P280,"0")) *
            (ROW(INDIRECT("'" &amp; 'Hulp (overig)'!$C$16 &amp; "'!B1:B1000")) &gt;= MATCH(
                P278,
                INDIRECT("'" &amp; 'Hulp (overig)'!$C$16 &amp; "'!A1:A1000"),
                0
            )) *
            IF(
                Q278="",
                1,
                (ROW(INDIRECT("'" &amp; 'Hulp (overig)'!$C$16 &amp; "'!B1:B1000")) &lt; MATCH(
                    Q278,
                    INDIRECT("'" &amp; 'Hulp (overig)'!$C$16 &amp; "'!A1:A1000"),
                    0
                ))
            ),
            ROW(INDIRECT("'" &amp; 'Hulp (overig)'!$C$16 &amp; "'!B1:B1000"))
        )
    ),0) &lt; 1,
    "",
    IF(INDEX(
        INDIRECT("'" &amp; 'Hulp (overig)'!$C$16 &amp; "'!" &amp;
        'Hulp (overig)'!$C$17 &amp; "1:" &amp; 'Hulp (overig)'!$C$17 &amp; 1000
        ),
        IFERROR(MIN(
            IF(
                (TRIM(INDIRECT("'" &amp; 'Hulp (overig)'!$C$16 &amp; "'!B1:B1000")) = TEXT(P280,"0")) *
                (ROW(INDIRECT("'" &amp; 'Hulp (overig)'!$C$16 &amp; "'!B1:B1000")) &gt;= MATCH(
                    P278,
                    INDIRECT("'" &amp; 'Hulp (overig)'!$C$16 &amp; "'!A1:A1000"),
                    0
                )) *
                IF(
                    Q278="",
                    1,
                    (ROW(INDIRECT("'" &amp; 'Hulp (overig)'!$C$16 &amp; "'!B1:B1000")) &lt; MATCH(
                        Q278,
                        INDIRECT("'" &amp; 'Hulp (overig)'!$C$16 &amp; "'!A1:A1000"),
                        0
                    ))
                ),
                ROW(INDIRECT("'" &amp; 'Hulp (overig)'!$C$16 &amp; "'!B1:B1000"))
            )
        ),0)
    )=0,"",
INDEX(
        INDIRECT("'" &amp; 'Hulp (overig)'!$C$16 &amp; "'!" &amp;
        'Hulp (overig)'!$C$17 &amp; "1:" &amp; 'Hulp (overig)'!$C$17 &amp; 1000
        ),
        IFERROR(MIN(
            IF(
                (TRIM(INDIRECT("'" &amp; 'Hulp (overig)'!$C$16 &amp; "'!B1:B1000")) = TEXT(P280,"0")) *
                (ROW(INDIRECT("'" &amp; 'Hulp (overig)'!$C$16 &amp; "'!B1:B1000")) &gt;= MATCH(
                    P278,
                    INDIRECT("'" &amp; 'Hulp (overig)'!$C$16 &amp; "'!A1:A1000"),
                    0
                )) *
                IF(
                    Q278="",
                    1,
                    (ROW(INDIRECT("'" &amp; 'Hulp (overig)'!$C$16 &amp; "'!B1:B1000")) &lt; MATCH(
                        Q278,
                        INDIRECT("'" &amp; 'Hulp (overig)'!$C$16 &amp; "'!A1:A1000"),
                        0
                    ))
                ),
                ROW(INDIRECT("'" &amp; 'Hulp (overig)'!$C$16 &amp; "'!B1:B1000"))
            )
        ),0)
    ))
))))</f>
        <v>#VALUE!</v>
      </c>
      <c r="Q281" s="425" t="e" cm="1">
        <f t="array" aca="1" ref="Q281" ca="1">IF($BF281, IF(Q278="","",
   INDEX(
      INDIRECT("'" &amp; 'Hulp (CAO''s)'!$AE$8 &amp; "'!" &amp;
               'Hulp (overig)'!$C$17 &amp; "1:" &amp;
               'Hulp (overig)'!$C$17 &amp; "1000"),
      MATCH(
         Q278,
         INDIRECT("'" &amp; 'Hulp (CAO''s)'!$AE$8 &amp; "'!A1:A1000"),
         0
      )
   )
), IF($D279="Gebruik % van maximum salaris",
IF(
    OR(Q278="",Q279=""),
    "",
    MAX(
        INDIRECT(
            "'" &amp; 'Hulp (overig)'!$C$16 &amp; "'!" &amp;
            'Hulp (overig)'!$C$17 &amp;
            MATCH(Q278, INDIRECT("'" &amp; 'Hulp (overig)'!$C$16 &amp; "'!A1:A1000"), 0) &amp;
            ":" &amp;
            'Hulp (overig)'!$C$17 &amp;
LOOKUP(
    2,
    1 / (
        (ROW(INDIRECT("'" &amp; 'Hulp (overig)'!$C$16 &amp; "'!B1:B1000")) &lt;
            IF(R278&lt;&gt;"",
               MATCH(R278, INDIRECT("'" &amp; 'Hulp (overig)'!$C$16 &amp; "'!A1:A1000"),0),
               1000
            )
        ) *
        (LEFT(TRIM(INDIRECT("'" &amp; 'Hulp (overig)'!$C$16 &amp; "'!B1:B1000")),1) &lt;&gt; "u")
    ),
    ROW(INDIRECT("'" &amp; 'Hulp (overig)'!$C$16 &amp; "'!B1:B1000"))
)
        )
    ) * Q279
),
IF(Q280="","",
IF(
    IFERROR(MIN(
        IF(
            (TRIM(INDIRECT("'" &amp; 'Hulp (overig)'!$C$16 &amp; "'!B1:B1000")) = TEXT(Q280,"0")) *
            (ROW(INDIRECT("'" &amp; 'Hulp (overig)'!$C$16 &amp; "'!B1:B1000")) &gt;= MATCH(
                Q278,
                INDIRECT("'" &amp; 'Hulp (overig)'!$C$16 &amp; "'!A1:A1000"),
                0
            )) *
            IF(
                R278="",
                1,
                (ROW(INDIRECT("'" &amp; 'Hulp (overig)'!$C$16 &amp; "'!B1:B1000")) &lt; MATCH(
                    R278,
                    INDIRECT("'" &amp; 'Hulp (overig)'!$C$16 &amp; "'!A1:A1000"),
                    0
                ))
            ),
            ROW(INDIRECT("'" &amp; 'Hulp (overig)'!$C$16 &amp; "'!B1:B1000"))
        )
    ),0) &lt; 1,
    "",
    IF(INDEX(
        INDIRECT("'" &amp; 'Hulp (overig)'!$C$16 &amp; "'!" &amp;
        'Hulp (overig)'!$C$17 &amp; "1:" &amp; 'Hulp (overig)'!$C$17 &amp; 1000
        ),
        IFERROR(MIN(
            IF(
                (TRIM(INDIRECT("'" &amp; 'Hulp (overig)'!$C$16 &amp; "'!B1:B1000")) = TEXT(Q280,"0")) *
                (ROW(INDIRECT("'" &amp; 'Hulp (overig)'!$C$16 &amp; "'!B1:B1000")) &gt;= MATCH(
                    Q278,
                    INDIRECT("'" &amp; 'Hulp (overig)'!$C$16 &amp; "'!A1:A1000"),
                    0
                )) *
                IF(
                    R278="",
                    1,
                    (ROW(INDIRECT("'" &amp; 'Hulp (overig)'!$C$16 &amp; "'!B1:B1000")) &lt; MATCH(
                        R278,
                        INDIRECT("'" &amp; 'Hulp (overig)'!$C$16 &amp; "'!A1:A1000"),
                        0
                    ))
                ),
                ROW(INDIRECT("'" &amp; 'Hulp (overig)'!$C$16 &amp; "'!B1:B1000"))
            )
        ),0)
    )=0,"",
INDEX(
        INDIRECT("'" &amp; 'Hulp (overig)'!$C$16 &amp; "'!" &amp;
        'Hulp (overig)'!$C$17 &amp; "1:" &amp; 'Hulp (overig)'!$C$17 &amp; 1000
        ),
        IFERROR(MIN(
            IF(
                (TRIM(INDIRECT("'" &amp; 'Hulp (overig)'!$C$16 &amp; "'!B1:B1000")) = TEXT(Q280,"0")) *
                (ROW(INDIRECT("'" &amp; 'Hulp (overig)'!$C$16 &amp; "'!B1:B1000")) &gt;= MATCH(
                    Q278,
                    INDIRECT("'" &amp; 'Hulp (overig)'!$C$16 &amp; "'!A1:A1000"),
                    0
                )) *
                IF(
                    R278="",
                    1,
                    (ROW(INDIRECT("'" &amp; 'Hulp (overig)'!$C$16 &amp; "'!B1:B1000")) &lt; MATCH(
                        R278,
                        INDIRECT("'" &amp; 'Hulp (overig)'!$C$16 &amp; "'!A1:A1000"),
                        0
                    ))
                ),
                ROW(INDIRECT("'" &amp; 'Hulp (overig)'!$C$16 &amp; "'!B1:B1000"))
            )
        ),0)
    ))
))))</f>
        <v>#VALUE!</v>
      </c>
      <c r="R281" s="425" t="e" cm="1">
        <f t="array" aca="1" ref="R281" ca="1">IF($BF281, IF(R278="","",
   INDEX(
      INDIRECT("'" &amp; 'Hulp (CAO''s)'!$AE$8 &amp; "'!" &amp;
               'Hulp (overig)'!$C$17 &amp; "1:" &amp;
               'Hulp (overig)'!$C$17 &amp; "1000"),
      MATCH(
         R278,
         INDIRECT("'" &amp; 'Hulp (CAO''s)'!$AE$8 &amp; "'!A1:A1000"),
         0
      )
   )
), IF($D279="Gebruik % van maximum salaris",
IF(
    OR(R278="",R279=""),
    "",
    MAX(
        INDIRECT(
            "'" &amp; 'Hulp (overig)'!$C$16 &amp; "'!" &amp;
            'Hulp (overig)'!$C$17 &amp;
            MATCH(R278, INDIRECT("'" &amp; 'Hulp (overig)'!$C$16 &amp; "'!A1:A1000"), 0) &amp;
            ":" &amp;
            'Hulp (overig)'!$C$17 &amp;
LOOKUP(
    2,
    1 / (
        (ROW(INDIRECT("'" &amp; 'Hulp (overig)'!$C$16 &amp; "'!B1:B1000")) &lt;
            IF(S278&lt;&gt;"",
               MATCH(S278, INDIRECT("'" &amp; 'Hulp (overig)'!$C$16 &amp; "'!A1:A1000"),0),
               1000
            )
        ) *
        (LEFT(TRIM(INDIRECT("'" &amp; 'Hulp (overig)'!$C$16 &amp; "'!B1:B1000")),1) &lt;&gt; "u")
    ),
    ROW(INDIRECT("'" &amp; 'Hulp (overig)'!$C$16 &amp; "'!B1:B1000"))
)
        )
    ) * R279
),
IF(R280="","",
IF(
    IFERROR(MIN(
        IF(
            (TRIM(INDIRECT("'" &amp; 'Hulp (overig)'!$C$16 &amp; "'!B1:B1000")) = TEXT(R280,"0")) *
            (ROW(INDIRECT("'" &amp; 'Hulp (overig)'!$C$16 &amp; "'!B1:B1000")) &gt;= MATCH(
                R278,
                INDIRECT("'" &amp; 'Hulp (overig)'!$C$16 &amp; "'!A1:A1000"),
                0
            )) *
            IF(
                S278="",
                1,
                (ROW(INDIRECT("'" &amp; 'Hulp (overig)'!$C$16 &amp; "'!B1:B1000")) &lt; MATCH(
                    S278,
                    INDIRECT("'" &amp; 'Hulp (overig)'!$C$16 &amp; "'!A1:A1000"),
                    0
                ))
            ),
            ROW(INDIRECT("'" &amp; 'Hulp (overig)'!$C$16 &amp; "'!B1:B1000"))
        )
    ),0) &lt; 1,
    "",
    IF(INDEX(
        INDIRECT("'" &amp; 'Hulp (overig)'!$C$16 &amp; "'!" &amp;
        'Hulp (overig)'!$C$17 &amp; "1:" &amp; 'Hulp (overig)'!$C$17 &amp; 1000
        ),
        IFERROR(MIN(
            IF(
                (TRIM(INDIRECT("'" &amp; 'Hulp (overig)'!$C$16 &amp; "'!B1:B1000")) = TEXT(R280,"0")) *
                (ROW(INDIRECT("'" &amp; 'Hulp (overig)'!$C$16 &amp; "'!B1:B1000")) &gt;= MATCH(
                    R278,
                    INDIRECT("'" &amp; 'Hulp (overig)'!$C$16 &amp; "'!A1:A1000"),
                    0
                )) *
                IF(
                    S278="",
                    1,
                    (ROW(INDIRECT("'" &amp; 'Hulp (overig)'!$C$16 &amp; "'!B1:B1000")) &lt; MATCH(
                        S278,
                        INDIRECT("'" &amp; 'Hulp (overig)'!$C$16 &amp; "'!A1:A1000"),
                        0
                    ))
                ),
                ROW(INDIRECT("'" &amp; 'Hulp (overig)'!$C$16 &amp; "'!B1:B1000"))
            )
        ),0)
    )=0,"",
INDEX(
        INDIRECT("'" &amp; 'Hulp (overig)'!$C$16 &amp; "'!" &amp;
        'Hulp (overig)'!$C$17 &amp; "1:" &amp; 'Hulp (overig)'!$C$17 &amp; 1000
        ),
        IFERROR(MIN(
            IF(
                (TRIM(INDIRECT("'" &amp; 'Hulp (overig)'!$C$16 &amp; "'!B1:B1000")) = TEXT(R280,"0")) *
                (ROW(INDIRECT("'" &amp; 'Hulp (overig)'!$C$16 &amp; "'!B1:B1000")) &gt;= MATCH(
                    R278,
                    INDIRECT("'" &amp; 'Hulp (overig)'!$C$16 &amp; "'!A1:A1000"),
                    0
                )) *
                IF(
                    S278="",
                    1,
                    (ROW(INDIRECT("'" &amp; 'Hulp (overig)'!$C$16 &amp; "'!B1:B1000")) &lt; MATCH(
                        S278,
                        INDIRECT("'" &amp; 'Hulp (overig)'!$C$16 &amp; "'!A1:A1000"),
                        0
                    ))
                ),
                ROW(INDIRECT("'" &amp; 'Hulp (overig)'!$C$16 &amp; "'!B1:B1000"))
            )
        ),0)
    ))
))))</f>
        <v>#VALUE!</v>
      </c>
      <c r="S281" s="425" t="e" cm="1">
        <f t="array" aca="1" ref="S281" ca="1">IF($BF281, IF(S278="","",
   INDEX(
      INDIRECT("'" &amp; 'Hulp (CAO''s)'!$AE$8 &amp; "'!" &amp;
               'Hulp (overig)'!$C$17 &amp; "1:" &amp;
               'Hulp (overig)'!$C$17 &amp; "1000"),
      MATCH(
         S278,
         INDIRECT("'" &amp; 'Hulp (CAO''s)'!$AE$8 &amp; "'!A1:A1000"),
         0
      )
   )
), IF($D279="Gebruik % van maximum salaris",
IF(
    OR(S278="",S279=""),
    "",
    MAX(
        INDIRECT(
            "'" &amp; 'Hulp (overig)'!$C$16 &amp; "'!" &amp;
            'Hulp (overig)'!$C$17 &amp;
            MATCH(S278, INDIRECT("'" &amp; 'Hulp (overig)'!$C$16 &amp; "'!A1:A1000"), 0) &amp;
            ":" &amp;
            'Hulp (overig)'!$C$17 &amp;
LOOKUP(
    2,
    1 / (
        (ROW(INDIRECT("'" &amp; 'Hulp (overig)'!$C$16 &amp; "'!B1:B1000")) &lt;
            IF(T278&lt;&gt;"",
               MATCH(T278, INDIRECT("'" &amp; 'Hulp (overig)'!$C$16 &amp; "'!A1:A1000"),0),
               1000
            )
        ) *
        (LEFT(TRIM(INDIRECT("'" &amp; 'Hulp (overig)'!$C$16 &amp; "'!B1:B1000")),1) &lt;&gt; "u")
    ),
    ROW(INDIRECT("'" &amp; 'Hulp (overig)'!$C$16 &amp; "'!B1:B1000"))
)
        )
    ) * S279
),
IF(S280="","",
IF(
    IFERROR(MIN(
        IF(
            (TRIM(INDIRECT("'" &amp; 'Hulp (overig)'!$C$16 &amp; "'!B1:B1000")) = TEXT(S280,"0")) *
            (ROW(INDIRECT("'" &amp; 'Hulp (overig)'!$C$16 &amp; "'!B1:B1000")) &gt;= MATCH(
                S278,
                INDIRECT("'" &amp; 'Hulp (overig)'!$C$16 &amp; "'!A1:A1000"),
                0
            )) *
            IF(
                T278="",
                1,
                (ROW(INDIRECT("'" &amp; 'Hulp (overig)'!$C$16 &amp; "'!B1:B1000")) &lt; MATCH(
                    T278,
                    INDIRECT("'" &amp; 'Hulp (overig)'!$C$16 &amp; "'!A1:A1000"),
                    0
                ))
            ),
            ROW(INDIRECT("'" &amp; 'Hulp (overig)'!$C$16 &amp; "'!B1:B1000"))
        )
    ),0) &lt; 1,
    "",
    IF(INDEX(
        INDIRECT("'" &amp; 'Hulp (overig)'!$C$16 &amp; "'!" &amp;
        'Hulp (overig)'!$C$17 &amp; "1:" &amp; 'Hulp (overig)'!$C$17 &amp; 1000
        ),
        IFERROR(MIN(
            IF(
                (TRIM(INDIRECT("'" &amp; 'Hulp (overig)'!$C$16 &amp; "'!B1:B1000")) = TEXT(S280,"0")) *
                (ROW(INDIRECT("'" &amp; 'Hulp (overig)'!$C$16 &amp; "'!B1:B1000")) &gt;= MATCH(
                    S278,
                    INDIRECT("'" &amp; 'Hulp (overig)'!$C$16 &amp; "'!A1:A1000"),
                    0
                )) *
                IF(
                    T278="",
                    1,
                    (ROW(INDIRECT("'" &amp; 'Hulp (overig)'!$C$16 &amp; "'!B1:B1000")) &lt; MATCH(
                        T278,
                        INDIRECT("'" &amp; 'Hulp (overig)'!$C$16 &amp; "'!A1:A1000"),
                        0
                    ))
                ),
                ROW(INDIRECT("'" &amp; 'Hulp (overig)'!$C$16 &amp; "'!B1:B1000"))
            )
        ),0)
    )=0,"",
INDEX(
        INDIRECT("'" &amp; 'Hulp (overig)'!$C$16 &amp; "'!" &amp;
        'Hulp (overig)'!$C$17 &amp; "1:" &amp; 'Hulp (overig)'!$C$17 &amp; 1000
        ),
        IFERROR(MIN(
            IF(
                (TRIM(INDIRECT("'" &amp; 'Hulp (overig)'!$C$16 &amp; "'!B1:B1000")) = TEXT(S280,"0")) *
                (ROW(INDIRECT("'" &amp; 'Hulp (overig)'!$C$16 &amp; "'!B1:B1000")) &gt;= MATCH(
                    S278,
                    INDIRECT("'" &amp; 'Hulp (overig)'!$C$16 &amp; "'!A1:A1000"),
                    0
                )) *
                IF(
                    T278="",
                    1,
                    (ROW(INDIRECT("'" &amp; 'Hulp (overig)'!$C$16 &amp; "'!B1:B1000")) &lt; MATCH(
                        T278,
                        INDIRECT("'" &amp; 'Hulp (overig)'!$C$16 &amp; "'!A1:A1000"),
                        0
                    ))
                ),
                ROW(INDIRECT("'" &amp; 'Hulp (overig)'!$C$16 &amp; "'!B1:B1000"))
            )
        ),0)
    ))
))))</f>
        <v>#VALUE!</v>
      </c>
      <c r="T281" s="425" t="e" cm="1">
        <f t="array" aca="1" ref="T281" ca="1">IF($BF281, IF(T278="","",
   INDEX(
      INDIRECT("'" &amp; 'Hulp (CAO''s)'!$AE$8 &amp; "'!" &amp;
               'Hulp (overig)'!$C$17 &amp; "1:" &amp;
               'Hulp (overig)'!$C$17 &amp; "1000"),
      MATCH(
         T278,
         INDIRECT("'" &amp; 'Hulp (CAO''s)'!$AE$8 &amp; "'!A1:A1000"),
         0
      )
   )
), IF($D279="Gebruik % van maximum salaris",
IF(
    OR(T278="",T279=""),
    "",
    MAX(
        INDIRECT(
            "'" &amp; 'Hulp (overig)'!$C$16 &amp; "'!" &amp;
            'Hulp (overig)'!$C$17 &amp;
            MATCH(T278, INDIRECT("'" &amp; 'Hulp (overig)'!$C$16 &amp; "'!A1:A1000"), 0) &amp;
            ":" &amp;
            'Hulp (overig)'!$C$17 &amp;
LOOKUP(
    2,
    1 / (
        (ROW(INDIRECT("'" &amp; 'Hulp (overig)'!$C$16 &amp; "'!B1:B1000")) &lt;
            IF(U278&lt;&gt;"",
               MATCH(U278, INDIRECT("'" &amp; 'Hulp (overig)'!$C$16 &amp; "'!A1:A1000"),0),
               1000
            )
        ) *
        (LEFT(TRIM(INDIRECT("'" &amp; 'Hulp (overig)'!$C$16 &amp; "'!B1:B1000")),1) &lt;&gt; "u")
    ),
    ROW(INDIRECT("'" &amp; 'Hulp (overig)'!$C$16 &amp; "'!B1:B1000"))
)
        )
    ) * T279
),
IF(T280="","",
IF(
    IFERROR(MIN(
        IF(
            (TRIM(INDIRECT("'" &amp; 'Hulp (overig)'!$C$16 &amp; "'!B1:B1000")) = TEXT(T280,"0")) *
            (ROW(INDIRECT("'" &amp; 'Hulp (overig)'!$C$16 &amp; "'!B1:B1000")) &gt;= MATCH(
                T278,
                INDIRECT("'" &amp; 'Hulp (overig)'!$C$16 &amp; "'!A1:A1000"),
                0
            )) *
            IF(
                U278="",
                1,
                (ROW(INDIRECT("'" &amp; 'Hulp (overig)'!$C$16 &amp; "'!B1:B1000")) &lt; MATCH(
                    U278,
                    INDIRECT("'" &amp; 'Hulp (overig)'!$C$16 &amp; "'!A1:A1000"),
                    0
                ))
            ),
            ROW(INDIRECT("'" &amp; 'Hulp (overig)'!$C$16 &amp; "'!B1:B1000"))
        )
    ),0) &lt; 1,
    "",
    IF(INDEX(
        INDIRECT("'" &amp; 'Hulp (overig)'!$C$16 &amp; "'!" &amp;
        'Hulp (overig)'!$C$17 &amp; "1:" &amp; 'Hulp (overig)'!$C$17 &amp; 1000
        ),
        IFERROR(MIN(
            IF(
                (TRIM(INDIRECT("'" &amp; 'Hulp (overig)'!$C$16 &amp; "'!B1:B1000")) = TEXT(T280,"0")) *
                (ROW(INDIRECT("'" &amp; 'Hulp (overig)'!$C$16 &amp; "'!B1:B1000")) &gt;= MATCH(
                    T278,
                    INDIRECT("'" &amp; 'Hulp (overig)'!$C$16 &amp; "'!A1:A1000"),
                    0
                )) *
                IF(
                    U278="",
                    1,
                    (ROW(INDIRECT("'" &amp; 'Hulp (overig)'!$C$16 &amp; "'!B1:B1000")) &lt; MATCH(
                        U278,
                        INDIRECT("'" &amp; 'Hulp (overig)'!$C$16 &amp; "'!A1:A1000"),
                        0
                    ))
                ),
                ROW(INDIRECT("'" &amp; 'Hulp (overig)'!$C$16 &amp; "'!B1:B1000"))
            )
        ),0)
    )=0,"",
INDEX(
        INDIRECT("'" &amp; 'Hulp (overig)'!$C$16 &amp; "'!" &amp;
        'Hulp (overig)'!$C$17 &amp; "1:" &amp; 'Hulp (overig)'!$C$17 &amp; 1000
        ),
        IFERROR(MIN(
            IF(
                (TRIM(INDIRECT("'" &amp; 'Hulp (overig)'!$C$16 &amp; "'!B1:B1000")) = TEXT(T280,"0")) *
                (ROW(INDIRECT("'" &amp; 'Hulp (overig)'!$C$16 &amp; "'!B1:B1000")) &gt;= MATCH(
                    T278,
                    INDIRECT("'" &amp; 'Hulp (overig)'!$C$16 &amp; "'!A1:A1000"),
                    0
                )) *
                IF(
                    U278="",
                    1,
                    (ROW(INDIRECT("'" &amp; 'Hulp (overig)'!$C$16 &amp; "'!B1:B1000")) &lt; MATCH(
                        U278,
                        INDIRECT("'" &amp; 'Hulp (overig)'!$C$16 &amp; "'!A1:A1000"),
                        0
                    ))
                ),
                ROW(INDIRECT("'" &amp; 'Hulp (overig)'!$C$16 &amp; "'!B1:B1000"))
            )
        ),0)
    ))
))))</f>
        <v>#VALUE!</v>
      </c>
      <c r="U281" s="723" t="e" cm="1">
        <f t="array" aca="1" ref="U281" ca="1">IF($BF281, IF(U278="","",
   INDEX(
      INDIRECT("'" &amp; 'Hulp (CAO''s)'!$AE$8 &amp; "'!" &amp;
               'Hulp (overig)'!$C$17 &amp; "1:" &amp;
               'Hulp (overig)'!$C$17 &amp; "1000"),
      MATCH(
         U278,
         INDIRECT("'" &amp; 'Hulp (CAO''s)'!$AE$8 &amp; "'!A1:A1000"),
         0
      )
   )
), IF($D279="Gebruik % van maximum salaris",
IF(
    OR(U278="",U279=""),
    "",
    MAX(
        INDIRECT(
            "'" &amp; 'Hulp (overig)'!$C$16 &amp; "'!" &amp;
            'Hulp (overig)'!$C$17 &amp;
            MATCH(U278, INDIRECT("'" &amp; 'Hulp (overig)'!$C$16 &amp; "'!A1:A1000"), 0) &amp;
            ":" &amp;
            'Hulp (overig)'!$C$17 &amp;
LOOKUP(
    2,
    1 / (
        (ROW(INDIRECT("'" &amp; 'Hulp (overig)'!$C$16 &amp; "'!B1:B1000")) &lt;
            IF(V278&lt;&gt;"",
               MATCH(V278, INDIRECT("'" &amp; 'Hulp (overig)'!$C$16 &amp; "'!A1:A1000"),0),
               1000
            )
        ) *
        (LEFT(TRIM(INDIRECT("'" &amp; 'Hulp (overig)'!$C$16 &amp; "'!B1:B1000")),1) &lt;&gt; "u")
    ),
    ROW(INDIRECT("'" &amp; 'Hulp (overig)'!$C$16 &amp; "'!B1:B1000"))
)
        )
    ) * U279
),
IF(U280="","",
IF(
    IFERROR(MIN(
        IF(
            (TRIM(INDIRECT("'" &amp; 'Hulp (overig)'!$C$16 &amp; "'!B1:B1000")) = TEXT(U280,"0")) *
            (ROW(INDIRECT("'" &amp; 'Hulp (overig)'!$C$16 &amp; "'!B1:B1000")) &gt;= MATCH(
                U278,
                INDIRECT("'" &amp; 'Hulp (overig)'!$C$16 &amp; "'!A1:A1000"),
                0
            )) *
            IF(
                V278="",
                1,
                (ROW(INDIRECT("'" &amp; 'Hulp (overig)'!$C$16 &amp; "'!B1:B1000")) &lt; MATCH(
                    V278,
                    INDIRECT("'" &amp; 'Hulp (overig)'!$C$16 &amp; "'!A1:A1000"),
                    0
                ))
            ),
            ROW(INDIRECT("'" &amp; 'Hulp (overig)'!$C$16 &amp; "'!B1:B1000"))
        )
    ),0) &lt; 1,
    "",
    IF(INDEX(
        INDIRECT("'" &amp; 'Hulp (overig)'!$C$16 &amp; "'!" &amp;
        'Hulp (overig)'!$C$17 &amp; "1:" &amp; 'Hulp (overig)'!$C$17 &amp; 1000
        ),
        IFERROR(MIN(
            IF(
                (TRIM(INDIRECT("'" &amp; 'Hulp (overig)'!$C$16 &amp; "'!B1:B1000")) = TEXT(U280,"0")) *
                (ROW(INDIRECT("'" &amp; 'Hulp (overig)'!$C$16 &amp; "'!B1:B1000")) &gt;= MATCH(
                    U278,
                    INDIRECT("'" &amp; 'Hulp (overig)'!$C$16 &amp; "'!A1:A1000"),
                    0
                )) *
                IF(
                    V278="",
                    1,
                    (ROW(INDIRECT("'" &amp; 'Hulp (overig)'!$C$16 &amp; "'!B1:B1000")) &lt; MATCH(
                        V278,
                        INDIRECT("'" &amp; 'Hulp (overig)'!$C$16 &amp; "'!A1:A1000"),
                        0
                    ))
                ),
                ROW(INDIRECT("'" &amp; 'Hulp (overig)'!$C$16 &amp; "'!B1:B1000"))
            )
        ),0)
    )=0,"",
INDEX(
        INDIRECT("'" &amp; 'Hulp (overig)'!$C$16 &amp; "'!" &amp;
        'Hulp (overig)'!$C$17 &amp; "1:" &amp; 'Hulp (overig)'!$C$17 &amp; 1000
        ),
        IFERROR(MIN(
            IF(
                (TRIM(INDIRECT("'" &amp; 'Hulp (overig)'!$C$16 &amp; "'!B1:B1000")) = TEXT(U280,"0")) *
                (ROW(INDIRECT("'" &amp; 'Hulp (overig)'!$C$16 &amp; "'!B1:B1000")) &gt;= MATCH(
                    U278,
                    INDIRECT("'" &amp; 'Hulp (overig)'!$C$16 &amp; "'!A1:A1000"),
                    0
                )) *
                IF(
                    V278="",
                    1,
                    (ROW(INDIRECT("'" &amp; 'Hulp (overig)'!$C$16 &amp; "'!B1:B1000")) &lt; MATCH(
                        V278,
                        INDIRECT("'" &amp; 'Hulp (overig)'!$C$16 &amp; "'!A1:A1000"),
                        0
                    ))
                ),
                ROW(INDIRECT("'" &amp; 'Hulp (overig)'!$C$16 &amp; "'!B1:B1000"))
            )
        ),0)
    ))
))))</f>
        <v>#VALUE!</v>
      </c>
      <c r="V281" s="413" t="str" cm="1">
        <f t="array" ref="V281">IF(SUM(F282:U282)=0,"",
IF(SUM(F281:U281)=0,"",
IF(SUMPRODUCT((F282:U282&lt;&gt;0)*(F281:U281=""))&gt;0,"",
(
   SUMPRODUCT(
      IF(F281:U281="",0,F281:U281),
      IF(F282:U282="",0,F282:U282) / SUM(F282:U282)
   )
))))</f>
        <v/>
      </c>
      <c r="W281" s="418"/>
      <c r="X281" s="620"/>
      <c r="Y281" s="419" t="str">
        <f ca="1">IF(B278="","",
        IF(INDIRECT("'Hulp (control forms)'!C" &amp; (13 + INT((ROW()-ROW($B$5))/7))),
            IF(X281="","",X281),
            IF(V281="","",V281)
    )
)</f>
        <v/>
      </c>
      <c r="Z281" s="333"/>
      <c r="AA281" s="771"/>
      <c r="AB281" s="770"/>
      <c r="AC281" s="289"/>
      <c r="AD281" s="289"/>
      <c r="AE281" s="289"/>
      <c r="AF281" s="289"/>
      <c r="AG281" s="289"/>
      <c r="AH281" s="289"/>
      <c r="AI281" s="289"/>
      <c r="AJ281" s="289"/>
      <c r="AK281" s="289"/>
      <c r="AL281" s="289"/>
      <c r="AM281" s="289"/>
      <c r="AN281" s="289"/>
      <c r="AO281" s="289"/>
      <c r="AP281" s="289"/>
      <c r="AQ281" s="289"/>
      <c r="AR281" s="289"/>
      <c r="AS281" s="289"/>
      <c r="AT281" s="289"/>
      <c r="AU281" s="289"/>
      <c r="AV281" s="289"/>
      <c r="AW281" s="289"/>
      <c r="AX281" s="289"/>
      <c r="AY281" s="289"/>
      <c r="AZ281" s="289"/>
      <c r="BA281" cm="1">
        <f t="array" aca="1" ref="BA281" ca="1">IF(
   SUM(Y281)=0,
   1,
   IF(
      N(INDIRECT("'Hulp (control forms)'!C"&amp;(13+INT((ROW()-ROW($B$5))/7))))&lt;&gt;0,
      MIN(1,
      ('Hulp (overig)'!$C$6/12) /
      (Y281 * BC281 + BD281)),
      MIN(1,
         IF(
            SUM(F281:U281)=0,
            "",
            SUMPRODUCT(
               IF(
                  (IF(F281:U281="",0,F281:U281) * BC281) + BD281
                  &gt; 'Hulp (overig)'!$C$6/12,
                  'Hulp (overig)'!$C$6/12,
                  (IF(F281:U281="",0,F281:U281) * BC281) + BD281
               ),
               IF(F282:U282="",0,F282:U282) / SUM(F282:U282)
            )
         ) /
         ((Y281 * BC281) + BD281)
      )
   )
)</f>
        <v>1</v>
      </c>
      <c r="BB281" cm="1">
        <f t="array" aca="1" ref="BB281" ca="1">IF(
   SUM(Y281)=0,
   1,
   IF(
      N(INDIRECT("'Hulp (control forms)'!C"&amp;(13+INT((ROW()-ROW($B$5))/7))))&lt;&gt;0,
      MIN('Hulp (overig)'!$C$5/12,
      (Y281 * BC281) + BD281) * 12,
         IF(
            SUM(F281:U281)=0,
            "",
            SUMPRODUCT(
               IF(
                  (IF(F281:U281="",0,F281:U281) * BC281) + BD281
                  &gt; 'Hulp (overig)'!$C$5/12,
                  'Hulp (overig)'!$C$5/12,
                  (IF(F281:U281="",0,F281:U281) * BC281) + BD281
               ),
               IF(F282:U282="",0,F282:U282) / SUM(F282:U282)
            )
         ) * 12
   )
)</f>
        <v>1</v>
      </c>
      <c r="BC281" s="287" cm="1">
        <f t="array" aca="1" ref="BC281" ca="1">IFERROR(
   (INDEX('2. Output kostprijs'!$24:$24, 5 + 2*INT((ROW()-8)/7))
    - SUM(INDEX('2. Output kostprijs'!$23:$23, 5 + 2*INT((ROW()-8)/7))))
   / INDEX('2. Output kostprijs'!$19:$19, 5 + 2*INT((ROW()-8)/7)),
   1
)</f>
        <v>1</v>
      </c>
      <c r="BD281" s="287" cm="1">
        <f t="array" aca="1" ref="BD281" ca="1">IFERROR(
   (INDEX('2. Output kostprijs'!$23:$23, 5 + 2*INT((ROW()-8)/7))
    * INDEX('2. Output kostprijs'!$18:$18, 5 + 2*INT((ROW()-8)/7))
   ) / 12,
   0
)</f>
        <v>0</v>
      </c>
      <c r="BE281" t="b">
        <f ca="1">NOT(AND(B278&lt;&gt;"",Y281=""))</f>
        <v>1</v>
      </c>
      <c r="BF281" t="str" cm="1">
        <f t="array" aca="1" ref="BF281" ca="1">INDIRECT("'1a. Input organisatieniveau'!$AD" &amp; 7 + INT((ROW()-ROW($F$8))/7))</f>
        <v/>
      </c>
      <c r="BG281" t="b" cm="1">
        <f t="array" ref="BG281">IFERROR(INDEX('Hulp (control forms)'!C:C, 13 + INT((ROW(A274)-1)/7)),FALSE)</f>
        <v>0</v>
      </c>
    </row>
    <row r="282" spans="1:59" ht="16.05" customHeight="1" thickBot="1" x14ac:dyDescent="0.5">
      <c r="A282" s="289"/>
      <c r="B282" s="343"/>
      <c r="C282" s="325" t="s">
        <v>779</v>
      </c>
      <c r="D282" s="688" t="s">
        <v>60</v>
      </c>
      <c r="E282" s="433" t="s">
        <v>59</v>
      </c>
      <c r="F282" s="624"/>
      <c r="G282" s="624"/>
      <c r="H282" s="624"/>
      <c r="I282" s="624"/>
      <c r="J282" s="624"/>
      <c r="K282" s="624"/>
      <c r="L282" s="624"/>
      <c r="M282" s="624"/>
      <c r="N282" s="624"/>
      <c r="O282" s="624"/>
      <c r="P282" s="624"/>
      <c r="Q282" s="624"/>
      <c r="R282" s="624"/>
      <c r="S282" s="624"/>
      <c r="T282" s="624"/>
      <c r="U282" s="625"/>
      <c r="V282" s="420" t="str">
        <f ca="1">IF($B278="","",IF($D282="Aandeel in %",
   "Totaal: "&amp;SUM(F282:U282)*100&amp;"%",
   "Totaal: "&amp;SUM(F282:U282)&amp;" uur"
))</f>
        <v/>
      </c>
      <c r="W282" s="294"/>
      <c r="X282" s="621"/>
      <c r="Y282" s="328"/>
      <c r="Z282" s="329"/>
      <c r="AA282" s="289"/>
      <c r="AB282" s="289"/>
      <c r="AC282" s="289"/>
      <c r="AD282" s="289"/>
      <c r="AE282" s="289"/>
      <c r="AF282" s="289"/>
      <c r="AG282" s="289"/>
      <c r="AH282" s="289"/>
      <c r="AI282" s="289"/>
      <c r="AJ282" s="289"/>
      <c r="AK282" s="289"/>
      <c r="AL282" s="289"/>
      <c r="AM282" s="289"/>
      <c r="AN282" s="289"/>
      <c r="AO282" s="289"/>
      <c r="AP282" s="289"/>
      <c r="AQ282" s="289"/>
      <c r="AR282" s="289"/>
      <c r="AS282" s="289"/>
      <c r="AT282" s="289"/>
      <c r="AU282" s="289"/>
      <c r="AV282" s="289"/>
      <c r="AW282" s="289"/>
      <c r="AX282" s="289"/>
      <c r="AY282" s="289"/>
      <c r="AZ282" s="289"/>
    </row>
    <row r="283" spans="1:59" ht="16.05" customHeight="1" thickBot="1" x14ac:dyDescent="0.5">
      <c r="A283" s="289"/>
      <c r="B283" s="343"/>
      <c r="C283" s="326" t="s">
        <v>779</v>
      </c>
      <c r="D283" s="421"/>
      <c r="E283" s="426"/>
      <c r="F283" s="426"/>
      <c r="G283" s="426"/>
      <c r="H283" s="426"/>
      <c r="I283" s="426"/>
      <c r="J283" s="426"/>
      <c r="K283" s="426"/>
      <c r="L283" s="426"/>
      <c r="M283" s="426"/>
      <c r="N283" s="426"/>
      <c r="O283" s="426"/>
      <c r="P283" s="426"/>
      <c r="Q283" s="426"/>
      <c r="R283" s="426"/>
      <c r="S283" s="426"/>
      <c r="T283" s="427"/>
      <c r="U283" s="427"/>
      <c r="V283" s="421"/>
      <c r="W283" s="421"/>
      <c r="X283" s="622"/>
      <c r="Y283" s="421"/>
      <c r="Z283" s="327"/>
      <c r="AA283" s="289"/>
      <c r="AB283" s="289"/>
      <c r="AC283" s="289"/>
      <c r="AD283" s="289"/>
      <c r="AE283" s="289"/>
      <c r="AF283" s="289"/>
      <c r="AG283" s="289"/>
      <c r="AH283" s="289"/>
      <c r="AI283" s="289"/>
      <c r="AJ283" s="289"/>
      <c r="AK283" s="289"/>
      <c r="AL283" s="289"/>
      <c r="AM283" s="289"/>
      <c r="AN283" s="289"/>
      <c r="AO283" s="289"/>
      <c r="AP283" s="289"/>
      <c r="AQ283" s="289"/>
      <c r="AR283" s="289"/>
      <c r="AS283" s="289"/>
      <c r="AT283" s="289"/>
      <c r="AU283" s="289"/>
      <c r="AV283" s="289"/>
      <c r="AW283" s="289"/>
      <c r="AX283" s="289"/>
      <c r="AY283" s="289"/>
      <c r="AZ283" s="289"/>
    </row>
    <row r="284" spans="1:59" ht="14.25" x14ac:dyDescent="0.45">
      <c r="A284" s="289"/>
      <c r="B284" s="343"/>
      <c r="C284" s="323"/>
      <c r="D284" s="343"/>
      <c r="E284" s="294"/>
      <c r="F284" s="294"/>
      <c r="G284" s="294"/>
      <c r="H284" s="294"/>
      <c r="I284" s="294"/>
      <c r="J284" s="294"/>
      <c r="K284" s="294"/>
      <c r="L284" s="294"/>
      <c r="M284" s="294"/>
      <c r="N284" s="294"/>
      <c r="O284" s="294"/>
      <c r="P284" s="294"/>
      <c r="Q284" s="294"/>
      <c r="R284" s="294"/>
      <c r="S284" s="294"/>
      <c r="T284" s="294"/>
      <c r="U284" s="294"/>
      <c r="V284" s="343"/>
      <c r="W284" s="343"/>
      <c r="X284" s="617"/>
      <c r="Y284" s="343"/>
      <c r="Z284" s="323"/>
      <c r="AA284" s="289"/>
      <c r="AB284" s="289"/>
      <c r="AC284" s="289"/>
      <c r="AD284" s="289"/>
      <c r="AE284" s="289"/>
      <c r="AF284" s="289"/>
      <c r="AG284" s="289"/>
      <c r="AH284" s="289"/>
      <c r="AI284" s="289"/>
      <c r="AJ284" s="289"/>
      <c r="AK284" s="289"/>
      <c r="AL284" s="289"/>
      <c r="AM284" s="289"/>
      <c r="AN284" s="289"/>
      <c r="AO284" s="289"/>
      <c r="AP284" s="289"/>
      <c r="AQ284" s="289"/>
      <c r="AR284" s="289"/>
      <c r="AS284" s="289"/>
      <c r="AT284" s="289"/>
      <c r="AU284" s="289"/>
      <c r="AV284" s="289"/>
      <c r="AW284" s="289"/>
      <c r="AX284" s="289"/>
      <c r="AY284" s="289"/>
      <c r="AZ284" s="289"/>
    </row>
    <row r="285" spans="1:59" ht="14.25" x14ac:dyDescent="0.45">
      <c r="A285" s="289"/>
      <c r="B285" s="343"/>
      <c r="C285" s="323"/>
      <c r="D285" s="343"/>
      <c r="E285" s="294"/>
      <c r="F285" s="294"/>
      <c r="G285" s="294"/>
      <c r="H285" s="294"/>
      <c r="I285" s="294"/>
      <c r="J285" s="294"/>
      <c r="K285" s="294"/>
      <c r="L285" s="294"/>
      <c r="M285" s="294"/>
      <c r="N285" s="294"/>
      <c r="O285" s="294"/>
      <c r="P285" s="294"/>
      <c r="Q285" s="294"/>
      <c r="R285" s="294"/>
      <c r="S285" s="294"/>
      <c r="T285" s="294"/>
      <c r="U285" s="294"/>
      <c r="V285" s="343"/>
      <c r="W285" s="343"/>
      <c r="X285" s="617"/>
      <c r="Y285" s="343"/>
      <c r="Z285" s="323"/>
      <c r="AA285" s="289"/>
      <c r="AB285" s="289"/>
      <c r="AC285" s="289"/>
      <c r="AD285" s="289"/>
      <c r="AE285" s="289"/>
      <c r="AF285" s="289"/>
      <c r="AG285" s="289"/>
      <c r="AH285" s="289"/>
      <c r="AI285" s="289"/>
      <c r="AJ285" s="289"/>
      <c r="AK285" s="289"/>
      <c r="AL285" s="289"/>
      <c r="AM285" s="289"/>
      <c r="AN285" s="289"/>
      <c r="AO285" s="289"/>
      <c r="AP285" s="289"/>
      <c r="AQ285" s="289"/>
      <c r="AR285" s="289"/>
      <c r="AS285" s="289"/>
      <c r="AT285" s="289"/>
      <c r="AU285" s="289"/>
      <c r="AV285" s="289"/>
      <c r="AW285" s="289"/>
      <c r="AX285" s="289"/>
      <c r="AY285" s="289"/>
      <c r="AZ285" s="289"/>
    </row>
    <row r="286" spans="1:59" ht="14.25" x14ac:dyDescent="0.45">
      <c r="A286" s="289"/>
      <c r="B286" s="343"/>
      <c r="C286" s="323"/>
      <c r="D286" s="343"/>
      <c r="E286" s="294"/>
      <c r="F286" s="294"/>
      <c r="G286" s="294"/>
      <c r="H286" s="294"/>
      <c r="I286" s="294"/>
      <c r="J286" s="294"/>
      <c r="K286" s="294"/>
      <c r="L286" s="294"/>
      <c r="M286" s="294"/>
      <c r="N286" s="294"/>
      <c r="O286" s="294"/>
      <c r="P286" s="294"/>
      <c r="Q286" s="294"/>
      <c r="R286" s="294"/>
      <c r="S286" s="294"/>
      <c r="T286" s="294"/>
      <c r="U286" s="294"/>
      <c r="V286" s="343"/>
      <c r="W286" s="343"/>
      <c r="X286" s="617"/>
      <c r="Y286" s="343"/>
      <c r="Z286" s="323"/>
      <c r="AA286" s="289"/>
      <c r="AB286" s="289"/>
      <c r="AC286" s="289"/>
      <c r="AD286" s="289"/>
      <c r="AE286" s="289"/>
      <c r="AF286" s="289"/>
      <c r="AG286" s="289"/>
      <c r="AH286" s="289"/>
      <c r="AI286" s="289"/>
      <c r="AJ286" s="289"/>
      <c r="AK286" s="289"/>
      <c r="AL286" s="289"/>
      <c r="AM286" s="289"/>
      <c r="AN286" s="289"/>
      <c r="AO286" s="289"/>
      <c r="AP286" s="289"/>
      <c r="AQ286" s="289"/>
      <c r="AR286" s="289"/>
      <c r="AS286" s="289"/>
      <c r="AT286" s="289"/>
      <c r="AU286" s="289"/>
      <c r="AV286" s="289"/>
      <c r="AW286" s="289"/>
      <c r="AX286" s="289"/>
      <c r="AY286" s="289"/>
      <c r="AZ286" s="289"/>
    </row>
    <row r="287" spans="1:59" ht="14.25" x14ac:dyDescent="0.45">
      <c r="A287" s="289"/>
      <c r="B287" s="343"/>
      <c r="C287" s="323"/>
      <c r="D287" s="343"/>
      <c r="E287" s="294"/>
      <c r="F287" s="294"/>
      <c r="G287" s="294"/>
      <c r="H287" s="294"/>
      <c r="I287" s="294"/>
      <c r="J287" s="294"/>
      <c r="K287" s="294"/>
      <c r="L287" s="294"/>
      <c r="M287" s="294"/>
      <c r="N287" s="294"/>
      <c r="O287" s="294"/>
      <c r="P287" s="294"/>
      <c r="Q287" s="294"/>
      <c r="R287" s="294"/>
      <c r="S287" s="294"/>
      <c r="T287" s="294"/>
      <c r="U287" s="294"/>
      <c r="V287" s="343"/>
      <c r="W287" s="343"/>
      <c r="X287" s="617"/>
      <c r="Y287" s="343"/>
      <c r="Z287" s="323"/>
      <c r="AA287" s="289"/>
      <c r="AB287" s="289"/>
      <c r="AC287" s="289"/>
      <c r="AD287" s="289"/>
      <c r="AE287" s="289"/>
      <c r="AF287" s="289"/>
      <c r="AG287" s="289"/>
      <c r="AH287" s="289"/>
      <c r="AI287" s="289"/>
      <c r="AJ287" s="289"/>
      <c r="AK287" s="289"/>
      <c r="AL287" s="289"/>
      <c r="AM287" s="289"/>
      <c r="AN287" s="289"/>
      <c r="AO287" s="289"/>
      <c r="AP287" s="289"/>
      <c r="AQ287" s="289"/>
      <c r="AR287" s="289"/>
      <c r="AS287" s="289"/>
      <c r="AT287" s="289"/>
      <c r="AU287" s="289"/>
      <c r="AV287" s="289"/>
      <c r="AW287" s="289"/>
      <c r="AX287" s="289"/>
      <c r="AY287" s="289"/>
      <c r="AZ287" s="289"/>
    </row>
    <row r="288" spans="1:59" ht="14.25" x14ac:dyDescent="0.45">
      <c r="A288" s="289"/>
      <c r="B288" s="343"/>
      <c r="C288" s="323"/>
      <c r="D288" s="343"/>
      <c r="E288" s="294"/>
      <c r="F288" s="294"/>
      <c r="G288" s="294"/>
      <c r="H288" s="294"/>
      <c r="I288" s="294"/>
      <c r="J288" s="294"/>
      <c r="K288" s="294"/>
      <c r="L288" s="294"/>
      <c r="M288" s="294"/>
      <c r="N288" s="294"/>
      <c r="O288" s="294"/>
      <c r="P288" s="294"/>
      <c r="Q288" s="294"/>
      <c r="R288" s="294"/>
      <c r="S288" s="294"/>
      <c r="T288" s="294"/>
      <c r="U288" s="294"/>
      <c r="V288" s="343"/>
      <c r="W288" s="343"/>
      <c r="X288" s="617"/>
      <c r="Y288" s="343"/>
      <c r="Z288" s="323"/>
      <c r="AA288" s="289"/>
      <c r="AB288" s="289"/>
      <c r="AC288" s="289"/>
      <c r="AD288" s="289"/>
      <c r="AE288" s="289"/>
      <c r="AF288" s="289"/>
      <c r="AG288" s="289"/>
      <c r="AH288" s="289"/>
      <c r="AI288" s="289"/>
      <c r="AJ288" s="289"/>
      <c r="AK288" s="289"/>
      <c r="AL288" s="289"/>
      <c r="AM288" s="289"/>
      <c r="AN288" s="289"/>
      <c r="AO288" s="289"/>
      <c r="AP288" s="289"/>
      <c r="AQ288" s="289"/>
      <c r="AR288" s="289"/>
      <c r="AS288" s="289"/>
      <c r="AT288" s="289"/>
      <c r="AU288" s="289"/>
      <c r="AV288" s="289"/>
      <c r="AW288" s="289"/>
      <c r="AX288" s="289"/>
      <c r="AY288" s="289"/>
      <c r="AZ288" s="289"/>
    </row>
    <row r="289" spans="1:52" ht="14.25" x14ac:dyDescent="0.45">
      <c r="A289" s="289"/>
      <c r="B289" s="343"/>
      <c r="C289" s="323"/>
      <c r="D289" s="343"/>
      <c r="E289" s="294"/>
      <c r="F289" s="294"/>
      <c r="G289" s="294"/>
      <c r="H289" s="294"/>
      <c r="I289" s="294"/>
      <c r="J289" s="294"/>
      <c r="K289" s="294"/>
      <c r="L289" s="294"/>
      <c r="M289" s="294"/>
      <c r="N289" s="294"/>
      <c r="O289" s="294"/>
      <c r="P289" s="294"/>
      <c r="Q289" s="294"/>
      <c r="R289" s="294"/>
      <c r="S289" s="294"/>
      <c r="T289" s="294"/>
      <c r="U289" s="294"/>
      <c r="V289" s="343"/>
      <c r="W289" s="343"/>
      <c r="X289" s="617"/>
      <c r="Y289" s="343"/>
      <c r="Z289" s="323"/>
      <c r="AA289" s="289"/>
      <c r="AB289" s="289"/>
      <c r="AC289" s="289"/>
      <c r="AD289" s="289"/>
      <c r="AE289" s="289"/>
      <c r="AF289" s="289"/>
      <c r="AG289" s="289"/>
      <c r="AH289" s="289"/>
      <c r="AI289" s="289"/>
      <c r="AJ289" s="289"/>
      <c r="AK289" s="289"/>
      <c r="AL289" s="289"/>
      <c r="AM289" s="289"/>
      <c r="AN289" s="289"/>
      <c r="AO289" s="289"/>
      <c r="AP289" s="289"/>
      <c r="AQ289" s="289"/>
      <c r="AR289" s="289"/>
      <c r="AS289" s="289"/>
      <c r="AT289" s="289"/>
      <c r="AU289" s="289"/>
      <c r="AV289" s="289"/>
      <c r="AW289" s="289"/>
      <c r="AX289" s="289"/>
      <c r="AY289" s="289"/>
      <c r="AZ289" s="289"/>
    </row>
    <row r="290" spans="1:52" ht="14.25" x14ac:dyDescent="0.45">
      <c r="A290" s="289"/>
      <c r="B290" s="343"/>
      <c r="C290" s="323"/>
      <c r="D290" s="343"/>
      <c r="E290" s="294"/>
      <c r="F290" s="294"/>
      <c r="G290" s="294"/>
      <c r="H290" s="294"/>
      <c r="I290" s="294"/>
      <c r="J290" s="294"/>
      <c r="K290" s="294"/>
      <c r="L290" s="294"/>
      <c r="M290" s="294"/>
      <c r="N290" s="294"/>
      <c r="O290" s="294"/>
      <c r="P290" s="294"/>
      <c r="Q290" s="294"/>
      <c r="R290" s="294"/>
      <c r="S290" s="294"/>
      <c r="T290" s="294"/>
      <c r="U290" s="294"/>
      <c r="V290" s="343"/>
      <c r="W290" s="343"/>
      <c r="X290" s="617"/>
      <c r="Y290" s="343"/>
      <c r="Z290" s="323"/>
      <c r="AA290" s="289"/>
      <c r="AB290" s="289"/>
      <c r="AC290" s="289"/>
      <c r="AD290" s="289"/>
      <c r="AE290" s="289"/>
      <c r="AF290" s="289"/>
      <c r="AG290" s="289"/>
      <c r="AH290" s="289"/>
      <c r="AI290" s="289"/>
      <c r="AJ290" s="289"/>
      <c r="AK290" s="289"/>
      <c r="AL290" s="289"/>
      <c r="AM290" s="289"/>
      <c r="AN290" s="289"/>
      <c r="AO290" s="289"/>
      <c r="AP290" s="289"/>
      <c r="AQ290" s="289"/>
      <c r="AR290" s="289"/>
      <c r="AS290" s="289"/>
      <c r="AT290" s="289"/>
      <c r="AU290" s="289"/>
      <c r="AV290" s="289"/>
      <c r="AW290" s="289"/>
      <c r="AX290" s="289"/>
      <c r="AY290" s="289"/>
      <c r="AZ290" s="289"/>
    </row>
    <row r="291" spans="1:52" ht="14.25" x14ac:dyDescent="0.45">
      <c r="A291" s="289"/>
      <c r="B291" s="343"/>
      <c r="C291" s="323"/>
      <c r="D291" s="343"/>
      <c r="E291" s="294"/>
      <c r="F291" s="294"/>
      <c r="G291" s="294"/>
      <c r="H291" s="294"/>
      <c r="I291" s="294"/>
      <c r="J291" s="294"/>
      <c r="K291" s="294"/>
      <c r="L291" s="294"/>
      <c r="M291" s="294"/>
      <c r="N291" s="294"/>
      <c r="O291" s="294"/>
      <c r="P291" s="294"/>
      <c r="Q291" s="294"/>
      <c r="R291" s="294"/>
      <c r="S291" s="294"/>
      <c r="T291" s="294"/>
      <c r="U291" s="294"/>
      <c r="V291" s="343"/>
      <c r="W291" s="343"/>
      <c r="X291" s="617"/>
      <c r="Y291" s="343"/>
      <c r="Z291" s="323"/>
      <c r="AA291" s="289"/>
      <c r="AB291" s="289"/>
      <c r="AC291" s="289"/>
      <c r="AD291" s="289"/>
      <c r="AE291" s="289"/>
      <c r="AF291" s="289"/>
      <c r="AG291" s="289"/>
      <c r="AH291" s="289"/>
      <c r="AI291" s="289"/>
      <c r="AJ291" s="289"/>
      <c r="AK291" s="289"/>
      <c r="AL291" s="289"/>
      <c r="AM291" s="289"/>
      <c r="AN291" s="289"/>
      <c r="AO291" s="289"/>
      <c r="AP291" s="289"/>
      <c r="AQ291" s="289"/>
      <c r="AR291" s="289"/>
      <c r="AS291" s="289"/>
      <c r="AT291" s="289"/>
      <c r="AU291" s="289"/>
      <c r="AV291" s="289"/>
      <c r="AW291" s="289"/>
      <c r="AX291" s="289"/>
      <c r="AY291" s="289"/>
      <c r="AZ291" s="289"/>
    </row>
    <row r="292" spans="1:52" ht="14.25" x14ac:dyDescent="0.45">
      <c r="A292" s="289"/>
      <c r="B292" s="343"/>
      <c r="C292" s="323"/>
      <c r="D292" s="343"/>
      <c r="E292" s="294"/>
      <c r="F292" s="294"/>
      <c r="G292" s="294"/>
      <c r="H292" s="294"/>
      <c r="I292" s="294"/>
      <c r="J292" s="294"/>
      <c r="K292" s="294"/>
      <c r="L292" s="294"/>
      <c r="M292" s="294"/>
      <c r="N292" s="294"/>
      <c r="O292" s="294"/>
      <c r="P292" s="294"/>
      <c r="Q292" s="294"/>
      <c r="R292" s="294"/>
      <c r="S292" s="294"/>
      <c r="T292" s="294"/>
      <c r="U292" s="294"/>
      <c r="V292" s="343"/>
      <c r="W292" s="343"/>
      <c r="X292" s="617"/>
      <c r="Y292" s="343"/>
      <c r="Z292" s="323"/>
      <c r="AA292" s="289"/>
      <c r="AB292" s="289"/>
      <c r="AC292" s="289"/>
      <c r="AD292" s="289"/>
      <c r="AE292" s="289"/>
      <c r="AF292" s="289"/>
      <c r="AG292" s="289"/>
      <c r="AH292" s="289"/>
      <c r="AI292" s="289"/>
      <c r="AJ292" s="289"/>
      <c r="AK292" s="289"/>
      <c r="AL292" s="289"/>
      <c r="AM292" s="289"/>
      <c r="AN292" s="289"/>
      <c r="AO292" s="289"/>
      <c r="AP292" s="289"/>
      <c r="AQ292" s="289"/>
      <c r="AR292" s="289"/>
      <c r="AS292" s="289"/>
      <c r="AT292" s="289"/>
      <c r="AU292" s="289"/>
      <c r="AV292" s="289"/>
      <c r="AW292" s="289"/>
      <c r="AX292" s="289"/>
      <c r="AY292" s="289"/>
      <c r="AZ292" s="289"/>
    </row>
    <row r="293" spans="1:52" ht="14.25" x14ac:dyDescent="0.45">
      <c r="A293" s="289"/>
      <c r="B293" s="343"/>
      <c r="C293" s="323"/>
      <c r="D293" s="343"/>
      <c r="E293" s="294"/>
      <c r="F293" s="294"/>
      <c r="G293" s="294"/>
      <c r="H293" s="294"/>
      <c r="I293" s="294"/>
      <c r="J293" s="294"/>
      <c r="K293" s="294"/>
      <c r="L293" s="294"/>
      <c r="M293" s="294"/>
      <c r="N293" s="294"/>
      <c r="O293" s="294"/>
      <c r="P293" s="294"/>
      <c r="Q293" s="294"/>
      <c r="R293" s="294"/>
      <c r="S293" s="294"/>
      <c r="T293" s="294"/>
      <c r="U293" s="294"/>
      <c r="V293" s="343"/>
      <c r="W293" s="343"/>
      <c r="X293" s="617"/>
      <c r="Y293" s="343"/>
      <c r="Z293" s="323"/>
      <c r="AA293" s="289"/>
      <c r="AB293" s="289"/>
      <c r="AC293" s="289"/>
      <c r="AD293" s="289"/>
      <c r="AE293" s="289"/>
      <c r="AF293" s="289"/>
      <c r="AG293" s="289"/>
      <c r="AH293" s="289"/>
      <c r="AI293" s="289"/>
      <c r="AJ293" s="289"/>
      <c r="AK293" s="289"/>
      <c r="AL293" s="289"/>
      <c r="AM293" s="289"/>
      <c r="AN293" s="289"/>
      <c r="AO293" s="289"/>
      <c r="AP293" s="289"/>
      <c r="AQ293" s="289"/>
      <c r="AR293" s="289"/>
      <c r="AS293" s="289"/>
      <c r="AT293" s="289"/>
      <c r="AU293" s="289"/>
      <c r="AV293" s="289"/>
      <c r="AW293" s="289"/>
      <c r="AX293" s="289"/>
      <c r="AY293" s="289"/>
      <c r="AZ293" s="289"/>
    </row>
    <row r="294" spans="1:52" ht="14.25" x14ac:dyDescent="0.45">
      <c r="A294" s="289"/>
      <c r="B294" s="343"/>
      <c r="C294" s="323"/>
      <c r="D294" s="343"/>
      <c r="E294" s="294"/>
      <c r="F294" s="294"/>
      <c r="G294" s="294"/>
      <c r="H294" s="294"/>
      <c r="I294" s="294"/>
      <c r="J294" s="294"/>
      <c r="K294" s="294"/>
      <c r="L294" s="294"/>
      <c r="M294" s="294"/>
      <c r="N294" s="294"/>
      <c r="O294" s="294"/>
      <c r="P294" s="294"/>
      <c r="Q294" s="294"/>
      <c r="R294" s="294"/>
      <c r="S294" s="294"/>
      <c r="T294" s="294"/>
      <c r="U294" s="294"/>
      <c r="V294" s="343"/>
      <c r="W294" s="343"/>
      <c r="X294" s="617"/>
      <c r="Y294" s="343"/>
      <c r="Z294" s="323"/>
      <c r="AA294" s="289"/>
      <c r="AB294" s="289"/>
      <c r="AC294" s="289"/>
      <c r="AD294" s="289"/>
      <c r="AE294" s="289"/>
      <c r="AF294" s="289"/>
      <c r="AG294" s="289"/>
      <c r="AH294" s="289"/>
      <c r="AI294" s="289"/>
      <c r="AJ294" s="289"/>
      <c r="AK294" s="289"/>
      <c r="AL294" s="289"/>
      <c r="AM294" s="289"/>
      <c r="AN294" s="289"/>
      <c r="AO294" s="289"/>
      <c r="AP294" s="289"/>
      <c r="AQ294" s="289"/>
      <c r="AR294" s="289"/>
      <c r="AS294" s="289"/>
      <c r="AT294" s="289"/>
      <c r="AU294" s="289"/>
      <c r="AV294" s="289"/>
      <c r="AW294" s="289"/>
      <c r="AX294" s="289"/>
      <c r="AY294" s="289"/>
      <c r="AZ294" s="289"/>
    </row>
    <row r="295" spans="1:52" ht="14.25" x14ac:dyDescent="0.45">
      <c r="A295" s="289"/>
      <c r="B295" s="343"/>
      <c r="C295" s="323"/>
      <c r="D295" s="343"/>
      <c r="E295" s="294"/>
      <c r="F295" s="294"/>
      <c r="G295" s="294"/>
      <c r="H295" s="294"/>
      <c r="I295" s="294"/>
      <c r="J295" s="294"/>
      <c r="K295" s="294"/>
      <c r="L295" s="294"/>
      <c r="M295" s="294"/>
      <c r="N295" s="294"/>
      <c r="O295" s="294"/>
      <c r="P295" s="294"/>
      <c r="Q295" s="294"/>
      <c r="R295" s="294"/>
      <c r="S295" s="294"/>
      <c r="T295" s="294"/>
      <c r="U295" s="294"/>
      <c r="V295" s="343"/>
      <c r="W295" s="343"/>
      <c r="X295" s="617"/>
      <c r="Y295" s="343"/>
      <c r="Z295" s="323"/>
      <c r="AA295" s="289"/>
      <c r="AB295" s="289"/>
      <c r="AC295" s="289"/>
      <c r="AD295" s="289"/>
      <c r="AE295" s="289"/>
      <c r="AF295" s="289"/>
      <c r="AG295" s="289"/>
      <c r="AH295" s="289"/>
      <c r="AI295" s="289"/>
      <c r="AJ295" s="289"/>
      <c r="AK295" s="289"/>
      <c r="AL295" s="289"/>
      <c r="AM295" s="289"/>
      <c r="AN295" s="289"/>
      <c r="AO295" s="289"/>
      <c r="AP295" s="289"/>
      <c r="AQ295" s="289"/>
      <c r="AR295" s="289"/>
      <c r="AS295" s="289"/>
      <c r="AT295" s="289"/>
      <c r="AU295" s="289"/>
      <c r="AV295" s="289"/>
      <c r="AW295" s="289"/>
      <c r="AX295" s="289"/>
      <c r="AY295" s="289"/>
      <c r="AZ295" s="289"/>
    </row>
    <row r="296" spans="1:52" ht="14.25" x14ac:dyDescent="0.45">
      <c r="A296" s="289"/>
      <c r="B296" s="343"/>
      <c r="C296" s="323"/>
      <c r="D296" s="343"/>
      <c r="E296" s="294"/>
      <c r="F296" s="294"/>
      <c r="G296" s="294"/>
      <c r="H296" s="294"/>
      <c r="I296" s="294"/>
      <c r="J296" s="294"/>
      <c r="K296" s="294"/>
      <c r="L296" s="294"/>
      <c r="M296" s="294"/>
      <c r="N296" s="294"/>
      <c r="O296" s="294"/>
      <c r="P296" s="294"/>
      <c r="Q296" s="294"/>
      <c r="R296" s="294"/>
      <c r="S296" s="294"/>
      <c r="T296" s="294"/>
      <c r="U296" s="294"/>
      <c r="V296" s="343"/>
      <c r="W296" s="343"/>
      <c r="X296" s="617"/>
      <c r="Y296" s="343"/>
      <c r="Z296" s="323"/>
      <c r="AA296" s="289"/>
      <c r="AB296" s="289"/>
      <c r="AC296" s="289"/>
      <c r="AD296" s="289"/>
      <c r="AE296" s="289"/>
      <c r="AF296" s="289"/>
      <c r="AG296" s="289"/>
      <c r="AH296" s="289"/>
      <c r="AI296" s="289"/>
      <c r="AJ296" s="289"/>
      <c r="AK296" s="289"/>
      <c r="AL296" s="289"/>
      <c r="AM296" s="289"/>
      <c r="AN296" s="289"/>
      <c r="AO296" s="289"/>
      <c r="AP296" s="289"/>
      <c r="AQ296" s="289"/>
      <c r="AR296" s="289"/>
      <c r="AS296" s="289"/>
      <c r="AT296" s="289"/>
      <c r="AU296" s="289"/>
      <c r="AV296" s="289"/>
      <c r="AW296" s="289"/>
      <c r="AX296" s="289"/>
      <c r="AY296" s="289"/>
      <c r="AZ296" s="289"/>
    </row>
    <row r="297" spans="1:52" ht="14.25" x14ac:dyDescent="0.45">
      <c r="A297" s="289"/>
      <c r="B297" s="343"/>
      <c r="C297" s="323"/>
      <c r="D297" s="343"/>
      <c r="E297" s="294"/>
      <c r="F297" s="294"/>
      <c r="G297" s="294"/>
      <c r="H297" s="294"/>
      <c r="I297" s="294"/>
      <c r="J297" s="294"/>
      <c r="K297" s="294"/>
      <c r="L297" s="294"/>
      <c r="M297" s="294"/>
      <c r="N297" s="294"/>
      <c r="O297" s="294"/>
      <c r="P297" s="294"/>
      <c r="Q297" s="294"/>
      <c r="R297" s="294"/>
      <c r="S297" s="294"/>
      <c r="T297" s="294"/>
      <c r="U297" s="294"/>
      <c r="V297" s="343"/>
      <c r="W297" s="343"/>
      <c r="X297" s="617"/>
      <c r="Y297" s="343"/>
      <c r="Z297" s="323"/>
      <c r="AA297" s="289"/>
      <c r="AB297" s="289"/>
      <c r="AC297" s="289"/>
      <c r="AD297" s="289"/>
      <c r="AE297" s="289"/>
      <c r="AF297" s="289"/>
      <c r="AG297" s="289"/>
      <c r="AH297" s="289"/>
      <c r="AI297" s="289"/>
      <c r="AJ297" s="289"/>
      <c r="AK297" s="289"/>
      <c r="AL297" s="289"/>
      <c r="AM297" s="289"/>
      <c r="AN297" s="289"/>
      <c r="AO297" s="289"/>
      <c r="AP297" s="289"/>
      <c r="AQ297" s="289"/>
      <c r="AR297" s="289"/>
      <c r="AS297" s="289"/>
      <c r="AT297" s="289"/>
      <c r="AU297" s="289"/>
      <c r="AV297" s="289"/>
      <c r="AW297" s="289"/>
      <c r="AX297" s="289"/>
      <c r="AY297" s="289"/>
      <c r="AZ297" s="289"/>
    </row>
    <row r="298" spans="1:52" ht="14.25" x14ac:dyDescent="0.45">
      <c r="A298" s="289"/>
      <c r="B298" s="343"/>
      <c r="C298" s="323"/>
      <c r="D298" s="343"/>
      <c r="E298" s="294"/>
      <c r="F298" s="294"/>
      <c r="G298" s="294"/>
      <c r="H298" s="294"/>
      <c r="I298" s="294"/>
      <c r="J298" s="294"/>
      <c r="K298" s="294"/>
      <c r="L298" s="294"/>
      <c r="M298" s="294"/>
      <c r="N298" s="294"/>
      <c r="O298" s="294"/>
      <c r="P298" s="294"/>
      <c r="Q298" s="294"/>
      <c r="R298" s="294"/>
      <c r="S298" s="294"/>
      <c r="T298" s="294"/>
      <c r="U298" s="294"/>
      <c r="V298" s="343"/>
      <c r="W298" s="343"/>
      <c r="X298" s="617"/>
      <c r="Y298" s="343"/>
      <c r="Z298" s="323"/>
      <c r="AA298" s="289"/>
      <c r="AB298" s="289"/>
      <c r="AC298" s="289"/>
      <c r="AD298" s="289"/>
      <c r="AE298" s="289"/>
      <c r="AF298" s="289"/>
      <c r="AG298" s="289"/>
      <c r="AH298" s="289"/>
      <c r="AI298" s="289"/>
      <c r="AJ298" s="289"/>
      <c r="AK298" s="289"/>
      <c r="AL298" s="289"/>
      <c r="AM298" s="289"/>
      <c r="AN298" s="289"/>
      <c r="AO298" s="289"/>
      <c r="AP298" s="289"/>
      <c r="AQ298" s="289"/>
      <c r="AR298" s="289"/>
      <c r="AS298" s="289"/>
      <c r="AT298" s="289"/>
      <c r="AU298" s="289"/>
      <c r="AV298" s="289"/>
      <c r="AW298" s="289"/>
      <c r="AX298" s="289"/>
      <c r="AY298" s="289"/>
      <c r="AZ298" s="289"/>
    </row>
    <row r="299" spans="1:52" ht="14.25" x14ac:dyDescent="0.45">
      <c r="A299" s="289"/>
      <c r="B299" s="343"/>
      <c r="C299" s="323"/>
      <c r="D299" s="343"/>
      <c r="E299" s="294"/>
      <c r="F299" s="294"/>
      <c r="G299" s="294"/>
      <c r="H299" s="294"/>
      <c r="I299" s="294"/>
      <c r="J299" s="294"/>
      <c r="K299" s="294"/>
      <c r="L299" s="294"/>
      <c r="M299" s="294"/>
      <c r="N299" s="294"/>
      <c r="O299" s="294"/>
      <c r="P299" s="294"/>
      <c r="Q299" s="294"/>
      <c r="R299" s="294"/>
      <c r="S299" s="294"/>
      <c r="T299" s="294"/>
      <c r="U299" s="294"/>
      <c r="V299" s="343"/>
      <c r="W299" s="343"/>
      <c r="X299" s="617"/>
      <c r="Y299" s="343"/>
      <c r="Z299" s="323"/>
      <c r="AA299" s="289"/>
      <c r="AB299" s="289"/>
      <c r="AC299" s="289"/>
      <c r="AD299" s="289"/>
      <c r="AE299" s="289"/>
      <c r="AF299" s="289"/>
      <c r="AG299" s="289"/>
      <c r="AH299" s="289"/>
      <c r="AI299" s="289"/>
      <c r="AJ299" s="289"/>
      <c r="AK299" s="289"/>
      <c r="AL299" s="289"/>
      <c r="AM299" s="289"/>
      <c r="AN299" s="289"/>
      <c r="AO299" s="289"/>
      <c r="AP299" s="289"/>
      <c r="AQ299" s="289"/>
      <c r="AR299" s="289"/>
      <c r="AS299" s="289"/>
      <c r="AT299" s="289"/>
      <c r="AU299" s="289"/>
      <c r="AV299" s="289"/>
      <c r="AW299" s="289"/>
      <c r="AX299" s="289"/>
      <c r="AY299" s="289"/>
      <c r="AZ299" s="289"/>
    </row>
    <row r="300" spans="1:52" ht="14.25" x14ac:dyDescent="0.45">
      <c r="A300" s="289"/>
      <c r="B300" s="343"/>
      <c r="C300" s="323"/>
      <c r="D300" s="343"/>
      <c r="E300" s="294"/>
      <c r="F300" s="294"/>
      <c r="G300" s="294"/>
      <c r="H300" s="294"/>
      <c r="I300" s="294"/>
      <c r="J300" s="294"/>
      <c r="K300" s="294"/>
      <c r="L300" s="294"/>
      <c r="M300" s="294"/>
      <c r="N300" s="294"/>
      <c r="O300" s="294"/>
      <c r="P300" s="294"/>
      <c r="Q300" s="294"/>
      <c r="R300" s="294"/>
      <c r="S300" s="294"/>
      <c r="T300" s="294"/>
      <c r="U300" s="294"/>
      <c r="V300" s="343"/>
      <c r="W300" s="343"/>
      <c r="X300" s="617"/>
      <c r="Y300" s="343"/>
      <c r="Z300" s="323"/>
      <c r="AA300" s="289"/>
      <c r="AB300" s="289"/>
      <c r="AC300" s="289"/>
      <c r="AD300" s="289"/>
      <c r="AE300" s="289"/>
      <c r="AF300" s="289"/>
      <c r="AG300" s="289"/>
      <c r="AH300" s="289"/>
      <c r="AI300" s="289"/>
      <c r="AJ300" s="289"/>
      <c r="AK300" s="289"/>
      <c r="AL300" s="289"/>
      <c r="AM300" s="289"/>
      <c r="AN300" s="289"/>
      <c r="AO300" s="289"/>
      <c r="AP300" s="289"/>
      <c r="AQ300" s="289"/>
      <c r="AR300" s="289"/>
      <c r="AS300" s="289"/>
      <c r="AT300" s="289"/>
      <c r="AU300" s="289"/>
      <c r="AV300" s="289"/>
      <c r="AW300" s="289"/>
      <c r="AX300" s="289"/>
      <c r="AY300" s="289"/>
      <c r="AZ300" s="289"/>
    </row>
  </sheetData>
  <sheetProtection algorithmName="SHA-512" hashValue="iwfGLJyn2uvWToQiHwJSPjj/VIRsx5cSLXdDjjy2lrMoj5SYO5ji925KK9fSfayrYeNPRQdD9Fik6c/R1FycaA==" saltValue="eeKmj+OvLY382zUgi4z9qQ==" spinCount="100000" sheet="1" objects="1" scenarios="1"/>
  <mergeCells count="240">
    <mergeCell ref="Y48:Y49"/>
    <mergeCell ref="Y55:Y56"/>
    <mergeCell ref="Y27:Y28"/>
    <mergeCell ref="Y34:Y35"/>
    <mergeCell ref="Y41:Y42"/>
    <mergeCell ref="Y69:Y70"/>
    <mergeCell ref="Y76:Y77"/>
    <mergeCell ref="Y83:Y84"/>
    <mergeCell ref="Y62:Y63"/>
    <mergeCell ref="D48:D49"/>
    <mergeCell ref="D55:D56"/>
    <mergeCell ref="D62:D63"/>
    <mergeCell ref="V48:V49"/>
    <mergeCell ref="X48:X49"/>
    <mergeCell ref="V55:V56"/>
    <mergeCell ref="X55:X56"/>
    <mergeCell ref="V62:V63"/>
    <mergeCell ref="X62:X63"/>
    <mergeCell ref="Y20:Y21"/>
    <mergeCell ref="D6:D7"/>
    <mergeCell ref="D13:D14"/>
    <mergeCell ref="D20:D21"/>
    <mergeCell ref="V20:V21"/>
    <mergeCell ref="X20:X21"/>
    <mergeCell ref="D27:D28"/>
    <mergeCell ref="D34:D35"/>
    <mergeCell ref="D41:D42"/>
    <mergeCell ref="V27:V28"/>
    <mergeCell ref="X27:X28"/>
    <mergeCell ref="V34:V35"/>
    <mergeCell ref="X34:X35"/>
    <mergeCell ref="V41:V42"/>
    <mergeCell ref="X41:X42"/>
    <mergeCell ref="V6:V7"/>
    <mergeCell ref="X6:X7"/>
    <mergeCell ref="Y6:Y7"/>
    <mergeCell ref="V13:V14"/>
    <mergeCell ref="X13:X14"/>
    <mergeCell ref="Y13:Y14"/>
    <mergeCell ref="AA27:AA29"/>
    <mergeCell ref="AB27:AB29"/>
    <mergeCell ref="AA34:AA36"/>
    <mergeCell ref="AB34:AB36"/>
    <mergeCell ref="AA41:AA43"/>
    <mergeCell ref="AB41:AB43"/>
    <mergeCell ref="AA6:AA8"/>
    <mergeCell ref="AB6:AB8"/>
    <mergeCell ref="AA13:AA15"/>
    <mergeCell ref="AB13:AB15"/>
    <mergeCell ref="AA20:AA22"/>
    <mergeCell ref="AB20:AB22"/>
    <mergeCell ref="AB69:AB71"/>
    <mergeCell ref="AA76:AA78"/>
    <mergeCell ref="AB76:AB78"/>
    <mergeCell ref="AA83:AA85"/>
    <mergeCell ref="AB83:AB85"/>
    <mergeCell ref="AA48:AA50"/>
    <mergeCell ref="AB48:AB50"/>
    <mergeCell ref="AA55:AA57"/>
    <mergeCell ref="AB55:AB57"/>
    <mergeCell ref="AA62:AA64"/>
    <mergeCell ref="AB62:AB64"/>
    <mergeCell ref="D90:D91"/>
    <mergeCell ref="V90:V91"/>
    <mergeCell ref="X90:X91"/>
    <mergeCell ref="Y90:Y91"/>
    <mergeCell ref="D97:D98"/>
    <mergeCell ref="V97:V98"/>
    <mergeCell ref="X97:X98"/>
    <mergeCell ref="Y97:Y98"/>
    <mergeCell ref="AA69:AA71"/>
    <mergeCell ref="D69:D70"/>
    <mergeCell ref="D76:D77"/>
    <mergeCell ref="D83:D84"/>
    <mergeCell ref="V69:V70"/>
    <mergeCell ref="X69:X70"/>
    <mergeCell ref="V76:V77"/>
    <mergeCell ref="X76:X77"/>
    <mergeCell ref="V83:V84"/>
    <mergeCell ref="X83:X84"/>
    <mergeCell ref="AA90:AA92"/>
    <mergeCell ref="D118:D119"/>
    <mergeCell ref="V118:V119"/>
    <mergeCell ref="X118:X119"/>
    <mergeCell ref="Y118:Y119"/>
    <mergeCell ref="D125:D126"/>
    <mergeCell ref="V125:V126"/>
    <mergeCell ref="X125:X126"/>
    <mergeCell ref="Y125:Y126"/>
    <mergeCell ref="D104:D105"/>
    <mergeCell ref="V104:V105"/>
    <mergeCell ref="X104:X105"/>
    <mergeCell ref="Y104:Y105"/>
    <mergeCell ref="D111:D112"/>
    <mergeCell ref="V111:V112"/>
    <mergeCell ref="X111:X112"/>
    <mergeCell ref="Y111:Y112"/>
    <mergeCell ref="D146:D147"/>
    <mergeCell ref="V146:V147"/>
    <mergeCell ref="X146:X147"/>
    <mergeCell ref="Y146:Y147"/>
    <mergeCell ref="D153:D154"/>
    <mergeCell ref="V153:V154"/>
    <mergeCell ref="X153:X154"/>
    <mergeCell ref="Y153:Y154"/>
    <mergeCell ref="D132:D133"/>
    <mergeCell ref="V132:V133"/>
    <mergeCell ref="X132:X133"/>
    <mergeCell ref="Y132:Y133"/>
    <mergeCell ref="D139:D140"/>
    <mergeCell ref="V139:V140"/>
    <mergeCell ref="X139:X140"/>
    <mergeCell ref="Y139:Y140"/>
    <mergeCell ref="D174:D175"/>
    <mergeCell ref="V174:V175"/>
    <mergeCell ref="X174:X175"/>
    <mergeCell ref="Y174:Y175"/>
    <mergeCell ref="D181:D182"/>
    <mergeCell ref="V181:V182"/>
    <mergeCell ref="X181:X182"/>
    <mergeCell ref="Y181:Y182"/>
    <mergeCell ref="D160:D161"/>
    <mergeCell ref="V160:V161"/>
    <mergeCell ref="X160:X161"/>
    <mergeCell ref="Y160:Y161"/>
    <mergeCell ref="D167:D168"/>
    <mergeCell ref="V167:V168"/>
    <mergeCell ref="X167:X168"/>
    <mergeCell ref="Y167:Y168"/>
    <mergeCell ref="D202:D203"/>
    <mergeCell ref="V202:V203"/>
    <mergeCell ref="X202:X203"/>
    <mergeCell ref="Y202:Y203"/>
    <mergeCell ref="D209:D210"/>
    <mergeCell ref="V209:V210"/>
    <mergeCell ref="X209:X210"/>
    <mergeCell ref="Y209:Y210"/>
    <mergeCell ref="D188:D189"/>
    <mergeCell ref="V188:V189"/>
    <mergeCell ref="X188:X189"/>
    <mergeCell ref="Y188:Y189"/>
    <mergeCell ref="D195:D196"/>
    <mergeCell ref="V195:V196"/>
    <mergeCell ref="X195:X196"/>
    <mergeCell ref="Y195:Y196"/>
    <mergeCell ref="X237:X238"/>
    <mergeCell ref="Y237:Y238"/>
    <mergeCell ref="D216:D217"/>
    <mergeCell ref="V216:V217"/>
    <mergeCell ref="X216:X217"/>
    <mergeCell ref="Y216:Y217"/>
    <mergeCell ref="D223:D224"/>
    <mergeCell ref="V223:V224"/>
    <mergeCell ref="X223:X224"/>
    <mergeCell ref="Y223:Y224"/>
    <mergeCell ref="D279:D280"/>
    <mergeCell ref="V279:V280"/>
    <mergeCell ref="X279:X280"/>
    <mergeCell ref="Y279:Y280"/>
    <mergeCell ref="D258:D259"/>
    <mergeCell ref="V258:V259"/>
    <mergeCell ref="X258:X259"/>
    <mergeCell ref="Y258:Y259"/>
    <mergeCell ref="D265:D266"/>
    <mergeCell ref="V265:V266"/>
    <mergeCell ref="X265:X266"/>
    <mergeCell ref="Y265:Y266"/>
    <mergeCell ref="AB90:AB92"/>
    <mergeCell ref="AA97:AA99"/>
    <mergeCell ref="AB97:AB99"/>
    <mergeCell ref="AA104:AA106"/>
    <mergeCell ref="AB104:AB106"/>
    <mergeCell ref="D272:D273"/>
    <mergeCell ref="V272:V273"/>
    <mergeCell ref="X272:X273"/>
    <mergeCell ref="Y272:Y273"/>
    <mergeCell ref="D244:D245"/>
    <mergeCell ref="V244:V245"/>
    <mergeCell ref="X244:X245"/>
    <mergeCell ref="Y244:Y245"/>
    <mergeCell ref="D251:D252"/>
    <mergeCell ref="V251:V252"/>
    <mergeCell ref="X251:X252"/>
    <mergeCell ref="Y251:Y252"/>
    <mergeCell ref="D230:D231"/>
    <mergeCell ref="V230:V231"/>
    <mergeCell ref="X230:X231"/>
    <mergeCell ref="Y230:Y231"/>
    <mergeCell ref="D237:D238"/>
    <mergeCell ref="V237:V238"/>
    <mergeCell ref="AA132:AA134"/>
    <mergeCell ref="AB132:AB134"/>
    <mergeCell ref="AA139:AA141"/>
    <mergeCell ref="AB139:AB141"/>
    <mergeCell ref="AA146:AA148"/>
    <mergeCell ref="AB146:AB148"/>
    <mergeCell ref="AA111:AA113"/>
    <mergeCell ref="AB111:AB113"/>
    <mergeCell ref="AA118:AA120"/>
    <mergeCell ref="AB118:AB120"/>
    <mergeCell ref="AA125:AA127"/>
    <mergeCell ref="AB125:AB127"/>
    <mergeCell ref="AA174:AA176"/>
    <mergeCell ref="AB174:AB176"/>
    <mergeCell ref="AA181:AA183"/>
    <mergeCell ref="AB181:AB183"/>
    <mergeCell ref="AA188:AA190"/>
    <mergeCell ref="AB188:AB190"/>
    <mergeCell ref="AA153:AA155"/>
    <mergeCell ref="AB153:AB155"/>
    <mergeCell ref="AA160:AA162"/>
    <mergeCell ref="AB160:AB162"/>
    <mergeCell ref="AA167:AA169"/>
    <mergeCell ref="AB167:AB169"/>
    <mergeCell ref="AA216:AA218"/>
    <mergeCell ref="AB216:AB218"/>
    <mergeCell ref="AA223:AA225"/>
    <mergeCell ref="AB223:AB225"/>
    <mergeCell ref="AA230:AA232"/>
    <mergeCell ref="AB230:AB232"/>
    <mergeCell ref="AA195:AA197"/>
    <mergeCell ref="AB195:AB197"/>
    <mergeCell ref="AA202:AA204"/>
    <mergeCell ref="AB202:AB204"/>
    <mergeCell ref="AA209:AA211"/>
    <mergeCell ref="AB209:AB211"/>
    <mergeCell ref="AA279:AA281"/>
    <mergeCell ref="AB279:AB281"/>
    <mergeCell ref="AA258:AA260"/>
    <mergeCell ref="AB258:AB260"/>
    <mergeCell ref="AA265:AA267"/>
    <mergeCell ref="AB265:AB267"/>
    <mergeCell ref="AA272:AA274"/>
    <mergeCell ref="AB272:AB274"/>
    <mergeCell ref="AA237:AA239"/>
    <mergeCell ref="AB237:AB239"/>
    <mergeCell ref="AA244:AA246"/>
    <mergeCell ref="AB244:AB246"/>
    <mergeCell ref="AA251:AA253"/>
    <mergeCell ref="AB251:AB253"/>
  </mergeCells>
  <conditionalFormatting sqref="B11">
    <cfRule type="expression" dxfId="2129" priority="2532" stopIfTrue="1">
      <formula>$B12=""</formula>
    </cfRule>
  </conditionalFormatting>
  <conditionalFormatting sqref="B18">
    <cfRule type="expression" dxfId="2128" priority="2152" stopIfTrue="1">
      <formula>$B19=""</formula>
    </cfRule>
  </conditionalFormatting>
  <conditionalFormatting sqref="B25">
    <cfRule type="expression" dxfId="2127" priority="2132" stopIfTrue="1">
      <formula>$B26=""</formula>
    </cfRule>
  </conditionalFormatting>
  <conditionalFormatting sqref="B32">
    <cfRule type="expression" dxfId="2126" priority="717" stopIfTrue="1">
      <formula>$B33=""</formula>
    </cfRule>
  </conditionalFormatting>
  <conditionalFormatting sqref="B39">
    <cfRule type="expression" dxfId="2125" priority="703" stopIfTrue="1">
      <formula>$B40=""</formula>
    </cfRule>
  </conditionalFormatting>
  <conditionalFormatting sqref="B46">
    <cfRule type="expression" dxfId="2124" priority="683" stopIfTrue="1">
      <formula>$B47=""</formula>
    </cfRule>
  </conditionalFormatting>
  <conditionalFormatting sqref="B53">
    <cfRule type="expression" dxfId="2123" priority="669" stopIfTrue="1">
      <formula>$B54=""</formula>
    </cfRule>
  </conditionalFormatting>
  <conditionalFormatting sqref="B60">
    <cfRule type="expression" dxfId="2122" priority="649" stopIfTrue="1">
      <formula>$B61=""</formula>
    </cfRule>
  </conditionalFormatting>
  <conditionalFormatting sqref="B67">
    <cfRule type="expression" dxfId="2121" priority="635" stopIfTrue="1">
      <formula>$B68=""</formula>
    </cfRule>
  </conditionalFormatting>
  <conditionalFormatting sqref="B74">
    <cfRule type="expression" dxfId="2120" priority="615" stopIfTrue="1">
      <formula>$B75=""</formula>
    </cfRule>
  </conditionalFormatting>
  <conditionalFormatting sqref="B81">
    <cfRule type="expression" dxfId="2119" priority="601" stopIfTrue="1">
      <formula>$B82=""</formula>
    </cfRule>
  </conditionalFormatting>
  <conditionalFormatting sqref="B88">
    <cfRule type="expression" dxfId="2118" priority="581" stopIfTrue="1">
      <formula>$B89=""</formula>
    </cfRule>
  </conditionalFormatting>
  <conditionalFormatting sqref="B95">
    <cfRule type="expression" dxfId="2117" priority="567" stopIfTrue="1">
      <formula>$B96=""</formula>
    </cfRule>
  </conditionalFormatting>
  <conditionalFormatting sqref="B102">
    <cfRule type="expression" dxfId="2116" priority="547" stopIfTrue="1">
      <formula>$B103=""</formula>
    </cfRule>
  </conditionalFormatting>
  <conditionalFormatting sqref="B109">
    <cfRule type="expression" dxfId="2115" priority="533" stopIfTrue="1">
      <formula>$B110=""</formula>
    </cfRule>
  </conditionalFormatting>
  <conditionalFormatting sqref="B116">
    <cfRule type="expression" dxfId="2114" priority="513" stopIfTrue="1">
      <formula>$B117=""</formula>
    </cfRule>
  </conditionalFormatting>
  <conditionalFormatting sqref="B123">
    <cfRule type="expression" dxfId="2113" priority="499" stopIfTrue="1">
      <formula>$B124=""</formula>
    </cfRule>
  </conditionalFormatting>
  <conditionalFormatting sqref="B130">
    <cfRule type="expression" dxfId="2112" priority="479" stopIfTrue="1">
      <formula>$B131=""</formula>
    </cfRule>
  </conditionalFormatting>
  <conditionalFormatting sqref="B137">
    <cfRule type="expression" dxfId="2111" priority="465" stopIfTrue="1">
      <formula>$B138=""</formula>
    </cfRule>
  </conditionalFormatting>
  <conditionalFormatting sqref="B144">
    <cfRule type="expression" dxfId="2110" priority="445" stopIfTrue="1">
      <formula>$B145=""</formula>
    </cfRule>
  </conditionalFormatting>
  <conditionalFormatting sqref="B151">
    <cfRule type="expression" dxfId="2109" priority="431" stopIfTrue="1">
      <formula>$B152=""</formula>
    </cfRule>
  </conditionalFormatting>
  <conditionalFormatting sqref="B158">
    <cfRule type="expression" dxfId="2108" priority="411" stopIfTrue="1">
      <formula>$B159=""</formula>
    </cfRule>
  </conditionalFormatting>
  <conditionalFormatting sqref="B165">
    <cfRule type="expression" dxfId="2107" priority="397" stopIfTrue="1">
      <formula>$B166=""</formula>
    </cfRule>
  </conditionalFormatting>
  <conditionalFormatting sqref="B172">
    <cfRule type="expression" dxfId="2106" priority="377" stopIfTrue="1">
      <formula>$B173=""</formula>
    </cfRule>
  </conditionalFormatting>
  <conditionalFormatting sqref="B179">
    <cfRule type="expression" dxfId="2105" priority="363" stopIfTrue="1">
      <formula>$B180=""</formula>
    </cfRule>
  </conditionalFormatting>
  <conditionalFormatting sqref="B186">
    <cfRule type="expression" dxfId="2104" priority="343" stopIfTrue="1">
      <formula>$B187=""</formula>
    </cfRule>
  </conditionalFormatting>
  <conditionalFormatting sqref="B193">
    <cfRule type="expression" dxfId="2103" priority="329" stopIfTrue="1">
      <formula>$B194=""</formula>
    </cfRule>
  </conditionalFormatting>
  <conditionalFormatting sqref="B200">
    <cfRule type="expression" dxfId="2102" priority="309" stopIfTrue="1">
      <formula>$B201=""</formula>
    </cfRule>
  </conditionalFormatting>
  <conditionalFormatting sqref="B207">
    <cfRule type="expression" dxfId="2101" priority="295" stopIfTrue="1">
      <formula>$B208=""</formula>
    </cfRule>
  </conditionalFormatting>
  <conditionalFormatting sqref="B214">
    <cfRule type="expression" dxfId="2100" priority="275" stopIfTrue="1">
      <formula>$B215=""</formula>
    </cfRule>
  </conditionalFormatting>
  <conditionalFormatting sqref="B221">
    <cfRule type="expression" dxfId="2099" priority="261" stopIfTrue="1">
      <formula>$B222=""</formula>
    </cfRule>
  </conditionalFormatting>
  <conditionalFormatting sqref="B228">
    <cfRule type="expression" dxfId="2098" priority="241" stopIfTrue="1">
      <formula>$B229=""</formula>
    </cfRule>
  </conditionalFormatting>
  <conditionalFormatting sqref="B235">
    <cfRule type="expression" dxfId="2097" priority="227" stopIfTrue="1">
      <formula>$B236=""</formula>
    </cfRule>
  </conditionalFormatting>
  <conditionalFormatting sqref="B242">
    <cfRule type="expression" dxfId="2096" priority="173" stopIfTrue="1">
      <formula>$B243=""</formula>
    </cfRule>
  </conditionalFormatting>
  <conditionalFormatting sqref="B249">
    <cfRule type="expression" dxfId="2095" priority="159" stopIfTrue="1">
      <formula>$B250=""</formula>
    </cfRule>
  </conditionalFormatting>
  <conditionalFormatting sqref="B256">
    <cfRule type="expression" dxfId="2094" priority="139" stopIfTrue="1">
      <formula>$B257=""</formula>
    </cfRule>
  </conditionalFormatting>
  <conditionalFormatting sqref="B263">
    <cfRule type="expression" dxfId="2093" priority="125" stopIfTrue="1">
      <formula>$B264=""</formula>
    </cfRule>
  </conditionalFormatting>
  <conditionalFormatting sqref="B270">
    <cfRule type="expression" dxfId="2092" priority="105" stopIfTrue="1">
      <formula>$B271=""</formula>
    </cfRule>
  </conditionalFormatting>
  <conditionalFormatting sqref="B277">
    <cfRule type="expression" dxfId="2091" priority="91" stopIfTrue="1">
      <formula>$B278=""</formula>
    </cfRule>
  </conditionalFormatting>
  <conditionalFormatting sqref="B13:C13 E13:U13 W13 Z13">
    <cfRule type="expression" dxfId="2090" priority="2529" stopIfTrue="1">
      <formula>$B12=""</formula>
    </cfRule>
  </conditionalFormatting>
  <conditionalFormatting sqref="B14:C14 E14:U14 W14 Z14">
    <cfRule type="expression" dxfId="2089" priority="2528" stopIfTrue="1">
      <formula>$B12=""</formula>
    </cfRule>
  </conditionalFormatting>
  <conditionalFormatting sqref="B20:C20 E20:U20 W20 Z20">
    <cfRule type="expression" dxfId="2088" priority="2149" stopIfTrue="1">
      <formula>$B19=""</formula>
    </cfRule>
  </conditionalFormatting>
  <conditionalFormatting sqref="B21:C21 E21:U21 W21 Z21">
    <cfRule type="expression" dxfId="2087" priority="2148" stopIfTrue="1">
      <formula>$B19=""</formula>
    </cfRule>
  </conditionalFormatting>
  <conditionalFormatting sqref="B27:C27 E27:U27 W27 Z27">
    <cfRule type="expression" dxfId="2086" priority="2129" stopIfTrue="1">
      <formula>$B26=""</formula>
    </cfRule>
  </conditionalFormatting>
  <conditionalFormatting sqref="B28:C28 E28:U28 W28 Z28">
    <cfRule type="expression" dxfId="2085" priority="2128" stopIfTrue="1">
      <formula>$B26=""</formula>
    </cfRule>
  </conditionalFormatting>
  <conditionalFormatting sqref="B34:C34 E34:U34 W34 Z34">
    <cfRule type="expression" dxfId="2084" priority="714" stopIfTrue="1">
      <formula>$B33=""</formula>
    </cfRule>
  </conditionalFormatting>
  <conditionalFormatting sqref="B35:C35 E35:U35 W35 Z35">
    <cfRule type="expression" dxfId="2083" priority="713" stopIfTrue="1">
      <formula>$B33=""</formula>
    </cfRule>
  </conditionalFormatting>
  <conditionalFormatting sqref="B41:C41 E41:U41 W41 Z41">
    <cfRule type="expression" dxfId="2082" priority="700" stopIfTrue="1">
      <formula>$B40=""</formula>
    </cfRule>
  </conditionalFormatting>
  <conditionalFormatting sqref="B42:C42 E42:U42 W42 Z42">
    <cfRule type="expression" dxfId="2081" priority="699" stopIfTrue="1">
      <formula>$B40=""</formula>
    </cfRule>
  </conditionalFormatting>
  <conditionalFormatting sqref="B48:C48 E48:U48 W48 Z48">
    <cfRule type="expression" dxfId="2080" priority="680" stopIfTrue="1">
      <formula>$B47=""</formula>
    </cfRule>
  </conditionalFormatting>
  <conditionalFormatting sqref="B49:C49 E49:U49 W49 Z49">
    <cfRule type="expression" dxfId="2079" priority="679" stopIfTrue="1">
      <formula>$B47=""</formula>
    </cfRule>
  </conditionalFormatting>
  <conditionalFormatting sqref="B55:C55 E55:U55 W55 Z55">
    <cfRule type="expression" dxfId="2078" priority="666" stopIfTrue="1">
      <formula>$B54=""</formula>
    </cfRule>
  </conditionalFormatting>
  <conditionalFormatting sqref="B56:C56 E56:U56 W56 Z56">
    <cfRule type="expression" dxfId="2077" priority="665" stopIfTrue="1">
      <formula>$B54=""</formula>
    </cfRule>
  </conditionalFormatting>
  <conditionalFormatting sqref="B62:C62 E62:U62 W62 Z62">
    <cfRule type="expression" dxfId="2076" priority="646" stopIfTrue="1">
      <formula>$B61=""</formula>
    </cfRule>
  </conditionalFormatting>
  <conditionalFormatting sqref="B63:C63 E63:U63 W63 Z63">
    <cfRule type="expression" dxfId="2075" priority="645" stopIfTrue="1">
      <formula>$B61=""</formula>
    </cfRule>
  </conditionalFormatting>
  <conditionalFormatting sqref="B69:C69 E69:U69 W69 Z69">
    <cfRule type="expression" dxfId="2074" priority="632" stopIfTrue="1">
      <formula>$B68=""</formula>
    </cfRule>
  </conditionalFormatting>
  <conditionalFormatting sqref="B70:C70 E70:U70 W70 Z70">
    <cfRule type="expression" dxfId="2073" priority="631" stopIfTrue="1">
      <formula>$B68=""</formula>
    </cfRule>
  </conditionalFormatting>
  <conditionalFormatting sqref="B76:C76 E76:U76 W76 Z76">
    <cfRule type="expression" dxfId="2072" priority="612" stopIfTrue="1">
      <formula>$B75=""</formula>
    </cfRule>
  </conditionalFormatting>
  <conditionalFormatting sqref="B77:C77 E77:U77 W77 Z77">
    <cfRule type="expression" dxfId="2071" priority="611" stopIfTrue="1">
      <formula>$B75=""</formula>
    </cfRule>
  </conditionalFormatting>
  <conditionalFormatting sqref="B83:C83 E83:U83 W83 Z83">
    <cfRule type="expression" dxfId="2070" priority="598" stopIfTrue="1">
      <formula>$B82=""</formula>
    </cfRule>
  </conditionalFormatting>
  <conditionalFormatting sqref="B84:C84 E84:U84 W84 Z84">
    <cfRule type="expression" dxfId="2069" priority="597" stopIfTrue="1">
      <formula>$B82=""</formula>
    </cfRule>
  </conditionalFormatting>
  <conditionalFormatting sqref="B90:C90 E90:U90 W90 Z90">
    <cfRule type="expression" dxfId="2068" priority="578" stopIfTrue="1">
      <formula>$B89=""</formula>
    </cfRule>
  </conditionalFormatting>
  <conditionalFormatting sqref="B91:C91 E91:U91 W91 Z91">
    <cfRule type="expression" dxfId="2067" priority="577" stopIfTrue="1">
      <formula>$B89=""</formula>
    </cfRule>
  </conditionalFormatting>
  <conditionalFormatting sqref="B97:C97 E97:U97 W97 Z97">
    <cfRule type="expression" dxfId="2066" priority="564" stopIfTrue="1">
      <formula>$B96=""</formula>
    </cfRule>
  </conditionalFormatting>
  <conditionalFormatting sqref="B98:C98 E98:U98 W98 Z98">
    <cfRule type="expression" dxfId="2065" priority="563" stopIfTrue="1">
      <formula>$B96=""</formula>
    </cfRule>
  </conditionalFormatting>
  <conditionalFormatting sqref="B104:C104 E104:U104 W104 Z104">
    <cfRule type="expression" dxfId="2064" priority="544" stopIfTrue="1">
      <formula>$B103=""</formula>
    </cfRule>
  </conditionalFormatting>
  <conditionalFormatting sqref="B105:C105 E105:U105 W105 Z105">
    <cfRule type="expression" dxfId="2063" priority="543" stopIfTrue="1">
      <formula>$B103=""</formula>
    </cfRule>
  </conditionalFormatting>
  <conditionalFormatting sqref="B111:C111 E111:U111 W111 Z111">
    <cfRule type="expression" dxfId="2062" priority="530" stopIfTrue="1">
      <formula>$B110=""</formula>
    </cfRule>
  </conditionalFormatting>
  <conditionalFormatting sqref="B112:C112 E112:U112 W112 Z112">
    <cfRule type="expression" dxfId="2061" priority="529" stopIfTrue="1">
      <formula>$B110=""</formula>
    </cfRule>
  </conditionalFormatting>
  <conditionalFormatting sqref="B118:C118 E118:U118 W118 Z118">
    <cfRule type="expression" dxfId="2060" priority="510" stopIfTrue="1">
      <formula>$B117=""</formula>
    </cfRule>
  </conditionalFormatting>
  <conditionalFormatting sqref="B119:C119 E119:U119 W119 Z119">
    <cfRule type="expression" dxfId="2059" priority="509" stopIfTrue="1">
      <formula>$B117=""</formula>
    </cfRule>
  </conditionalFormatting>
  <conditionalFormatting sqref="B125:C125 E125:U125 W125 Z125">
    <cfRule type="expression" dxfId="2058" priority="496" stopIfTrue="1">
      <formula>$B124=""</formula>
    </cfRule>
  </conditionalFormatting>
  <conditionalFormatting sqref="B126:C126 E126:U126 W126 Z126">
    <cfRule type="expression" dxfId="2057" priority="495" stopIfTrue="1">
      <formula>$B124=""</formula>
    </cfRule>
  </conditionalFormatting>
  <conditionalFormatting sqref="B132:C132 E132:U132 W132 Z132">
    <cfRule type="expression" dxfId="2056" priority="476" stopIfTrue="1">
      <formula>$B131=""</formula>
    </cfRule>
  </conditionalFormatting>
  <conditionalFormatting sqref="B133:C133 E133:U133 W133 Z133">
    <cfRule type="expression" dxfId="2055" priority="475" stopIfTrue="1">
      <formula>$B131=""</formula>
    </cfRule>
  </conditionalFormatting>
  <conditionalFormatting sqref="B139:C139 E139:U139 W139 Z139">
    <cfRule type="expression" dxfId="2054" priority="462" stopIfTrue="1">
      <formula>$B138=""</formula>
    </cfRule>
  </conditionalFormatting>
  <conditionalFormatting sqref="B140:C140 E140:U140 W140 Z140">
    <cfRule type="expression" dxfId="2053" priority="461" stopIfTrue="1">
      <formula>$B138=""</formula>
    </cfRule>
  </conditionalFormatting>
  <conditionalFormatting sqref="B146:C146 E146:U146 W146 Z146">
    <cfRule type="expression" dxfId="2052" priority="442" stopIfTrue="1">
      <formula>$B145=""</formula>
    </cfRule>
  </conditionalFormatting>
  <conditionalFormatting sqref="B147:C147 E147:U147 W147 Z147">
    <cfRule type="expression" dxfId="2051" priority="441" stopIfTrue="1">
      <formula>$B145=""</formula>
    </cfRule>
  </conditionalFormatting>
  <conditionalFormatting sqref="B153:C153 E153:U153 W153 Z153">
    <cfRule type="expression" dxfId="2050" priority="428" stopIfTrue="1">
      <formula>$B152=""</formula>
    </cfRule>
  </conditionalFormatting>
  <conditionalFormatting sqref="B154:C154 E154:U154 W154 Z154">
    <cfRule type="expression" dxfId="2049" priority="427" stopIfTrue="1">
      <formula>$B152=""</formula>
    </cfRule>
  </conditionalFormatting>
  <conditionalFormatting sqref="B160:C160 E160:U160 W160 Z160">
    <cfRule type="expression" dxfId="2048" priority="408" stopIfTrue="1">
      <formula>$B159=""</formula>
    </cfRule>
  </conditionalFormatting>
  <conditionalFormatting sqref="B161:C161 E161:U161 W161 Z161">
    <cfRule type="expression" dxfId="2047" priority="407" stopIfTrue="1">
      <formula>$B159=""</formula>
    </cfRule>
  </conditionalFormatting>
  <conditionalFormatting sqref="B167:C167 E167:U167 W167 Z167">
    <cfRule type="expression" dxfId="2046" priority="394" stopIfTrue="1">
      <formula>$B166=""</formula>
    </cfRule>
  </conditionalFormatting>
  <conditionalFormatting sqref="B168:C168 E168:U168 W168 Z168">
    <cfRule type="expression" dxfId="2045" priority="393" stopIfTrue="1">
      <formula>$B166=""</formula>
    </cfRule>
  </conditionalFormatting>
  <conditionalFormatting sqref="B174:C174 E174:U174 W174 Z174">
    <cfRule type="expression" dxfId="2044" priority="374" stopIfTrue="1">
      <formula>$B173=""</formula>
    </cfRule>
  </conditionalFormatting>
  <conditionalFormatting sqref="B175:C175 E175:U175 W175 Z175">
    <cfRule type="expression" dxfId="2043" priority="373" stopIfTrue="1">
      <formula>$B173=""</formula>
    </cfRule>
  </conditionalFormatting>
  <conditionalFormatting sqref="B181:C181 E181:U181 W181 Z181">
    <cfRule type="expression" dxfId="2042" priority="360" stopIfTrue="1">
      <formula>$B180=""</formula>
    </cfRule>
  </conditionalFormatting>
  <conditionalFormatting sqref="B182:C182 E182:U182 W182 Z182">
    <cfRule type="expression" dxfId="2041" priority="359" stopIfTrue="1">
      <formula>$B180=""</formula>
    </cfRule>
  </conditionalFormatting>
  <conditionalFormatting sqref="B188:C188 E188:U188 W188 Z188">
    <cfRule type="expression" dxfId="2040" priority="340" stopIfTrue="1">
      <formula>$B187=""</formula>
    </cfRule>
  </conditionalFormatting>
  <conditionalFormatting sqref="B189:C189 E189:U189 W189 Z189">
    <cfRule type="expression" dxfId="2039" priority="339" stopIfTrue="1">
      <formula>$B187=""</formula>
    </cfRule>
  </conditionalFormatting>
  <conditionalFormatting sqref="B195:C195 E195:U195 W195 Z195">
    <cfRule type="expression" dxfId="2038" priority="326" stopIfTrue="1">
      <formula>$B194=""</formula>
    </cfRule>
  </conditionalFormatting>
  <conditionalFormatting sqref="B196:C196 E196:U196 W196 Z196">
    <cfRule type="expression" dxfId="2037" priority="325" stopIfTrue="1">
      <formula>$B194=""</formula>
    </cfRule>
  </conditionalFormatting>
  <conditionalFormatting sqref="B202:C202 E202:U202 W202 Z202">
    <cfRule type="expression" dxfId="2036" priority="306" stopIfTrue="1">
      <formula>$B201=""</formula>
    </cfRule>
  </conditionalFormatting>
  <conditionalFormatting sqref="B203:C203 E203:U203 W203 Z203">
    <cfRule type="expression" dxfId="2035" priority="305" stopIfTrue="1">
      <formula>$B201=""</formula>
    </cfRule>
  </conditionalFormatting>
  <conditionalFormatting sqref="B209:C209 E209:U209 W209 Z209">
    <cfRule type="expression" dxfId="2034" priority="292" stopIfTrue="1">
      <formula>$B208=""</formula>
    </cfRule>
  </conditionalFormatting>
  <conditionalFormatting sqref="B210:C210 E210:U210 W210 Z210">
    <cfRule type="expression" dxfId="2033" priority="291" stopIfTrue="1">
      <formula>$B208=""</formula>
    </cfRule>
  </conditionalFormatting>
  <conditionalFormatting sqref="B216:C216 E216:U216 W216 Z216">
    <cfRule type="expression" dxfId="2032" priority="272" stopIfTrue="1">
      <formula>$B215=""</formula>
    </cfRule>
  </conditionalFormatting>
  <conditionalFormatting sqref="B217:C217 E217:U217 W217 Z217">
    <cfRule type="expression" dxfId="2031" priority="271" stopIfTrue="1">
      <formula>$B215=""</formula>
    </cfRule>
  </conditionalFormatting>
  <conditionalFormatting sqref="B223:C223 E223:U223 W223 Z223">
    <cfRule type="expression" dxfId="2030" priority="258" stopIfTrue="1">
      <formula>$B222=""</formula>
    </cfRule>
  </conditionalFormatting>
  <conditionalFormatting sqref="B224:C224 E224:U224 W224 Z224">
    <cfRule type="expression" dxfId="2029" priority="257" stopIfTrue="1">
      <formula>$B222=""</formula>
    </cfRule>
  </conditionalFormatting>
  <conditionalFormatting sqref="B230:C230 E230:U230 W230 Z230">
    <cfRule type="expression" dxfId="2028" priority="238" stopIfTrue="1">
      <formula>$B229=""</formula>
    </cfRule>
  </conditionalFormatting>
  <conditionalFormatting sqref="B231:C231 E231:U231 W231 Z231">
    <cfRule type="expression" dxfId="2027" priority="237" stopIfTrue="1">
      <formula>$B229=""</formula>
    </cfRule>
  </conditionalFormatting>
  <conditionalFormatting sqref="B237:C237 E237:U237 W237 Z237">
    <cfRule type="expression" dxfId="2026" priority="224" stopIfTrue="1">
      <formula>$B236=""</formula>
    </cfRule>
  </conditionalFormatting>
  <conditionalFormatting sqref="B238:C238 E238:U238 W238 Z238">
    <cfRule type="expression" dxfId="2025" priority="223" stopIfTrue="1">
      <formula>$B236=""</formula>
    </cfRule>
  </conditionalFormatting>
  <conditionalFormatting sqref="B244:C244 E244:U244 W244 Z244">
    <cfRule type="expression" dxfId="2024" priority="170" stopIfTrue="1">
      <formula>$B243=""</formula>
    </cfRule>
  </conditionalFormatting>
  <conditionalFormatting sqref="B245:C245 E245:U245 W245 Z245">
    <cfRule type="expression" dxfId="2023" priority="169" stopIfTrue="1">
      <formula>$B243=""</formula>
    </cfRule>
  </conditionalFormatting>
  <conditionalFormatting sqref="B251:C251 E251:U251 W251 Z251">
    <cfRule type="expression" dxfId="2022" priority="156" stopIfTrue="1">
      <formula>$B250=""</formula>
    </cfRule>
  </conditionalFormatting>
  <conditionalFormatting sqref="B252:C252 E252:U252 W252 Z252">
    <cfRule type="expression" dxfId="2021" priority="155" stopIfTrue="1">
      <formula>$B250=""</formula>
    </cfRule>
  </conditionalFormatting>
  <conditionalFormatting sqref="B258:C258 E258:U258 W258 Z258">
    <cfRule type="expression" dxfId="2020" priority="136" stopIfTrue="1">
      <formula>$B257=""</formula>
    </cfRule>
  </conditionalFormatting>
  <conditionalFormatting sqref="B259:C259 E259:U259 W259 Z259">
    <cfRule type="expression" dxfId="2019" priority="135" stopIfTrue="1">
      <formula>$B257=""</formula>
    </cfRule>
  </conditionalFormatting>
  <conditionalFormatting sqref="B265:C265 E265:U265 W265 Z265">
    <cfRule type="expression" dxfId="2018" priority="122" stopIfTrue="1">
      <formula>$B264=""</formula>
    </cfRule>
  </conditionalFormatting>
  <conditionalFormatting sqref="B266:C266 E266:U266 W266 Z266">
    <cfRule type="expression" dxfId="2017" priority="121" stopIfTrue="1">
      <formula>$B264=""</formula>
    </cfRule>
  </conditionalFormatting>
  <conditionalFormatting sqref="B272:C272 E272:U272 W272 Z272">
    <cfRule type="expression" dxfId="2016" priority="102" stopIfTrue="1">
      <formula>$B271=""</formula>
    </cfRule>
  </conditionalFormatting>
  <conditionalFormatting sqref="B273:C273 E273:U273 W273 Z273">
    <cfRule type="expression" dxfId="2015" priority="101" stopIfTrue="1">
      <formula>$B271=""</formula>
    </cfRule>
  </conditionalFormatting>
  <conditionalFormatting sqref="B279:C279 E279:U279 W279 Z279">
    <cfRule type="expression" dxfId="2014" priority="88" stopIfTrue="1">
      <formula>$B278=""</formula>
    </cfRule>
  </conditionalFormatting>
  <conditionalFormatting sqref="B280:C280 E280:U280 W280 Z280">
    <cfRule type="expression" dxfId="2013" priority="87" stopIfTrue="1">
      <formula>$B278=""</formula>
    </cfRule>
  </conditionalFormatting>
  <conditionalFormatting sqref="B12:Z12">
    <cfRule type="expression" dxfId="2012" priority="2530" stopIfTrue="1">
      <formula>$B12=""</formula>
    </cfRule>
  </conditionalFormatting>
  <conditionalFormatting sqref="B15:Z15">
    <cfRule type="expression" dxfId="2011" priority="2524" stopIfTrue="1">
      <formula>$B12=""</formula>
    </cfRule>
  </conditionalFormatting>
  <conditionalFormatting sqref="B16:Z16">
    <cfRule type="expression" dxfId="2010" priority="2526" stopIfTrue="1">
      <formula>$B12=""</formula>
    </cfRule>
  </conditionalFormatting>
  <conditionalFormatting sqref="B17:Z17">
    <cfRule type="expression" dxfId="2009" priority="2525" stopIfTrue="1">
      <formula>$B12=""</formula>
    </cfRule>
  </conditionalFormatting>
  <conditionalFormatting sqref="B19:Z19">
    <cfRule type="expression" dxfId="2008" priority="2150" stopIfTrue="1">
      <formula>$B19=""</formula>
    </cfRule>
  </conditionalFormatting>
  <conditionalFormatting sqref="B22:Z22">
    <cfRule type="expression" dxfId="2007" priority="75" stopIfTrue="1">
      <formula>$B19=""</formula>
    </cfRule>
  </conditionalFormatting>
  <conditionalFormatting sqref="B23:Z23">
    <cfRule type="expression" dxfId="2006" priority="2146" stopIfTrue="1">
      <formula>$B19=""</formula>
    </cfRule>
  </conditionalFormatting>
  <conditionalFormatting sqref="B24:Z24">
    <cfRule type="expression" dxfId="2005" priority="2145" stopIfTrue="1">
      <formula>$B19=""</formula>
    </cfRule>
  </conditionalFormatting>
  <conditionalFormatting sqref="B26:Z26">
    <cfRule type="expression" dxfId="2004" priority="2130" stopIfTrue="1">
      <formula>$B26=""</formula>
    </cfRule>
  </conditionalFormatting>
  <conditionalFormatting sqref="B29:Z29">
    <cfRule type="expression" dxfId="2003" priority="73" stopIfTrue="1">
      <formula>$B26=""</formula>
    </cfRule>
  </conditionalFormatting>
  <conditionalFormatting sqref="B30:Z30">
    <cfRule type="expression" dxfId="2002" priority="2126" stopIfTrue="1">
      <formula>$B26=""</formula>
    </cfRule>
  </conditionalFormatting>
  <conditionalFormatting sqref="B31:Z31">
    <cfRule type="expression" dxfId="2001" priority="2125" stopIfTrue="1">
      <formula>$B26=""</formula>
    </cfRule>
  </conditionalFormatting>
  <conditionalFormatting sqref="B33:Z33">
    <cfRule type="expression" dxfId="2000" priority="715" stopIfTrue="1">
      <formula>$B33=""</formula>
    </cfRule>
  </conditionalFormatting>
  <conditionalFormatting sqref="B36:Z36">
    <cfRule type="expression" dxfId="1999" priority="71" stopIfTrue="1">
      <formula>$B33=""</formula>
    </cfRule>
  </conditionalFormatting>
  <conditionalFormatting sqref="B37:Z37">
    <cfRule type="expression" dxfId="1998" priority="711" stopIfTrue="1">
      <formula>$B33=""</formula>
    </cfRule>
  </conditionalFormatting>
  <conditionalFormatting sqref="B38:Z38">
    <cfRule type="expression" dxfId="1997" priority="710" stopIfTrue="1">
      <formula>$B33=""</formula>
    </cfRule>
  </conditionalFormatting>
  <conditionalFormatting sqref="B40:Z40">
    <cfRule type="expression" dxfId="1996" priority="701" stopIfTrue="1">
      <formula>$B40=""</formula>
    </cfRule>
  </conditionalFormatting>
  <conditionalFormatting sqref="B43:Z43">
    <cfRule type="expression" dxfId="1995" priority="69" stopIfTrue="1">
      <formula>$B40=""</formula>
    </cfRule>
  </conditionalFormatting>
  <conditionalFormatting sqref="B44:Z44">
    <cfRule type="expression" dxfId="1994" priority="697" stopIfTrue="1">
      <formula>$B40=""</formula>
    </cfRule>
  </conditionalFormatting>
  <conditionalFormatting sqref="B45:Z45">
    <cfRule type="expression" dxfId="1993" priority="696" stopIfTrue="1">
      <formula>$B40=""</formula>
    </cfRule>
  </conditionalFormatting>
  <conditionalFormatting sqref="B47:Z47">
    <cfRule type="expression" dxfId="1992" priority="681" stopIfTrue="1">
      <formula>$B47=""</formula>
    </cfRule>
  </conditionalFormatting>
  <conditionalFormatting sqref="B50:Z50">
    <cfRule type="expression" dxfId="1991" priority="67" stopIfTrue="1">
      <formula>$B47=""</formula>
    </cfRule>
  </conditionalFormatting>
  <conditionalFormatting sqref="B51:Z51">
    <cfRule type="expression" dxfId="1990" priority="677" stopIfTrue="1">
      <formula>$B47=""</formula>
    </cfRule>
  </conditionalFormatting>
  <conditionalFormatting sqref="B52:Z52">
    <cfRule type="expression" dxfId="1989" priority="676" stopIfTrue="1">
      <formula>$B47=""</formula>
    </cfRule>
  </conditionalFormatting>
  <conditionalFormatting sqref="B54:Z54">
    <cfRule type="expression" dxfId="1988" priority="667" stopIfTrue="1">
      <formula>$B54=""</formula>
    </cfRule>
  </conditionalFormatting>
  <conditionalFormatting sqref="B57:Z57">
    <cfRule type="expression" dxfId="1987" priority="65" stopIfTrue="1">
      <formula>$B54=""</formula>
    </cfRule>
  </conditionalFormatting>
  <conditionalFormatting sqref="B58:Z58">
    <cfRule type="expression" dxfId="1986" priority="663" stopIfTrue="1">
      <formula>$B54=""</formula>
    </cfRule>
  </conditionalFormatting>
  <conditionalFormatting sqref="B59:Z59">
    <cfRule type="expression" dxfId="1985" priority="662" stopIfTrue="1">
      <formula>$B54=""</formula>
    </cfRule>
  </conditionalFormatting>
  <conditionalFormatting sqref="B61:Z61">
    <cfRule type="expression" dxfId="1984" priority="647" stopIfTrue="1">
      <formula>$B61=""</formula>
    </cfRule>
  </conditionalFormatting>
  <conditionalFormatting sqref="B64:Z64">
    <cfRule type="expression" dxfId="1983" priority="63" stopIfTrue="1">
      <formula>$B61=""</formula>
    </cfRule>
  </conditionalFormatting>
  <conditionalFormatting sqref="B65:Z65">
    <cfRule type="expression" dxfId="1982" priority="643" stopIfTrue="1">
      <formula>$B61=""</formula>
    </cfRule>
  </conditionalFormatting>
  <conditionalFormatting sqref="B66:Z66">
    <cfRule type="expression" dxfId="1981" priority="642" stopIfTrue="1">
      <formula>$B61=""</formula>
    </cfRule>
  </conditionalFormatting>
  <conditionalFormatting sqref="B68:Z68">
    <cfRule type="expression" dxfId="1980" priority="633" stopIfTrue="1">
      <formula>$B68=""</formula>
    </cfRule>
  </conditionalFormatting>
  <conditionalFormatting sqref="B71:Z71">
    <cfRule type="expression" dxfId="1979" priority="61" stopIfTrue="1">
      <formula>$B68=""</formula>
    </cfRule>
  </conditionalFormatting>
  <conditionalFormatting sqref="B72:Z72">
    <cfRule type="expression" dxfId="1978" priority="629" stopIfTrue="1">
      <formula>$B68=""</formula>
    </cfRule>
  </conditionalFormatting>
  <conditionalFormatting sqref="B73:Z73">
    <cfRule type="expression" dxfId="1977" priority="628" stopIfTrue="1">
      <formula>$B68=""</formula>
    </cfRule>
  </conditionalFormatting>
  <conditionalFormatting sqref="B75:Z75">
    <cfRule type="expression" dxfId="1976" priority="613" stopIfTrue="1">
      <formula>$B75=""</formula>
    </cfRule>
  </conditionalFormatting>
  <conditionalFormatting sqref="B78:Z78">
    <cfRule type="expression" dxfId="1975" priority="59" stopIfTrue="1">
      <formula>$B75=""</formula>
    </cfRule>
  </conditionalFormatting>
  <conditionalFormatting sqref="B79:Z79">
    <cfRule type="expression" dxfId="1974" priority="609" stopIfTrue="1">
      <formula>$B75=""</formula>
    </cfRule>
  </conditionalFormatting>
  <conditionalFormatting sqref="B80:Z80">
    <cfRule type="expression" dxfId="1973" priority="608" stopIfTrue="1">
      <formula>$B75=""</formula>
    </cfRule>
  </conditionalFormatting>
  <conditionalFormatting sqref="B82:Z82">
    <cfRule type="expression" dxfId="1972" priority="599" stopIfTrue="1">
      <formula>$B82=""</formula>
    </cfRule>
  </conditionalFormatting>
  <conditionalFormatting sqref="B85:Z85">
    <cfRule type="expression" dxfId="1971" priority="57" stopIfTrue="1">
      <formula>$B82=""</formula>
    </cfRule>
  </conditionalFormatting>
  <conditionalFormatting sqref="B86:Z86">
    <cfRule type="expression" dxfId="1970" priority="595" stopIfTrue="1">
      <formula>$B82=""</formula>
    </cfRule>
  </conditionalFormatting>
  <conditionalFormatting sqref="B87:Z87">
    <cfRule type="expression" dxfId="1969" priority="594" stopIfTrue="1">
      <formula>$B82=""</formula>
    </cfRule>
  </conditionalFormatting>
  <conditionalFormatting sqref="B89:Z89">
    <cfRule type="expression" dxfId="1968" priority="579" stopIfTrue="1">
      <formula>$B89=""</formula>
    </cfRule>
  </conditionalFormatting>
  <conditionalFormatting sqref="B92:Z92">
    <cfRule type="expression" dxfId="1967" priority="55" stopIfTrue="1">
      <formula>$B89=""</formula>
    </cfRule>
  </conditionalFormatting>
  <conditionalFormatting sqref="B93:Z93">
    <cfRule type="expression" dxfId="1966" priority="575" stopIfTrue="1">
      <formula>$B89=""</formula>
    </cfRule>
  </conditionalFormatting>
  <conditionalFormatting sqref="B94:Z94">
    <cfRule type="expression" dxfId="1965" priority="574" stopIfTrue="1">
      <formula>$B89=""</formula>
    </cfRule>
  </conditionalFormatting>
  <conditionalFormatting sqref="B96:Z96">
    <cfRule type="expression" dxfId="1964" priority="565" stopIfTrue="1">
      <formula>$B96=""</formula>
    </cfRule>
  </conditionalFormatting>
  <conditionalFormatting sqref="B99:Z99">
    <cfRule type="expression" dxfId="1963" priority="53" stopIfTrue="1">
      <formula>$B96=""</formula>
    </cfRule>
  </conditionalFormatting>
  <conditionalFormatting sqref="B100:Z100">
    <cfRule type="expression" dxfId="1962" priority="561" stopIfTrue="1">
      <formula>$B96=""</formula>
    </cfRule>
  </conditionalFormatting>
  <conditionalFormatting sqref="B101:Z101">
    <cfRule type="expression" dxfId="1961" priority="560" stopIfTrue="1">
      <formula>$B96=""</formula>
    </cfRule>
  </conditionalFormatting>
  <conditionalFormatting sqref="B103:Z103">
    <cfRule type="expression" dxfId="1960" priority="545" stopIfTrue="1">
      <formula>$B103=""</formula>
    </cfRule>
  </conditionalFormatting>
  <conditionalFormatting sqref="B106:Z106">
    <cfRule type="expression" dxfId="1959" priority="51" stopIfTrue="1">
      <formula>$B103=""</formula>
    </cfRule>
  </conditionalFormatting>
  <conditionalFormatting sqref="B107:Z107">
    <cfRule type="expression" dxfId="1958" priority="541" stopIfTrue="1">
      <formula>$B103=""</formula>
    </cfRule>
  </conditionalFormatting>
  <conditionalFormatting sqref="B108:Z108">
    <cfRule type="expression" dxfId="1957" priority="540" stopIfTrue="1">
      <formula>$B103=""</formula>
    </cfRule>
  </conditionalFormatting>
  <conditionalFormatting sqref="B110:Z110">
    <cfRule type="expression" dxfId="1956" priority="531" stopIfTrue="1">
      <formula>$B110=""</formula>
    </cfRule>
  </conditionalFormatting>
  <conditionalFormatting sqref="B113:Z113">
    <cfRule type="expression" dxfId="1955" priority="49" stopIfTrue="1">
      <formula>$B110=""</formula>
    </cfRule>
  </conditionalFormatting>
  <conditionalFormatting sqref="B114:Z114">
    <cfRule type="expression" dxfId="1954" priority="527" stopIfTrue="1">
      <formula>$B110=""</formula>
    </cfRule>
  </conditionalFormatting>
  <conditionalFormatting sqref="B115:Z115">
    <cfRule type="expression" dxfId="1953" priority="526" stopIfTrue="1">
      <formula>$B110=""</formula>
    </cfRule>
  </conditionalFormatting>
  <conditionalFormatting sqref="B117:Z117">
    <cfRule type="expression" dxfId="1952" priority="511" stopIfTrue="1">
      <formula>$B117=""</formula>
    </cfRule>
  </conditionalFormatting>
  <conditionalFormatting sqref="B120:Z120">
    <cfRule type="expression" dxfId="1951" priority="47" stopIfTrue="1">
      <formula>$B117=""</formula>
    </cfRule>
  </conditionalFormatting>
  <conditionalFormatting sqref="B121:Z121">
    <cfRule type="expression" dxfId="1950" priority="507" stopIfTrue="1">
      <formula>$B117=""</formula>
    </cfRule>
  </conditionalFormatting>
  <conditionalFormatting sqref="B122:Z122">
    <cfRule type="expression" dxfId="1949" priority="506" stopIfTrue="1">
      <formula>$B117=""</formula>
    </cfRule>
  </conditionalFormatting>
  <conditionalFormatting sqref="B124:Z124">
    <cfRule type="expression" dxfId="1948" priority="497" stopIfTrue="1">
      <formula>$B124=""</formula>
    </cfRule>
  </conditionalFormatting>
  <conditionalFormatting sqref="B127:Z127">
    <cfRule type="expression" dxfId="1947" priority="45" stopIfTrue="1">
      <formula>$B124=""</formula>
    </cfRule>
  </conditionalFormatting>
  <conditionalFormatting sqref="B128:Z128">
    <cfRule type="expression" dxfId="1946" priority="493" stopIfTrue="1">
      <formula>$B124=""</formula>
    </cfRule>
  </conditionalFormatting>
  <conditionalFormatting sqref="B129:Z129">
    <cfRule type="expression" dxfId="1945" priority="492" stopIfTrue="1">
      <formula>$B124=""</formula>
    </cfRule>
  </conditionalFormatting>
  <conditionalFormatting sqref="B131:Z131">
    <cfRule type="expression" dxfId="1944" priority="477" stopIfTrue="1">
      <formula>$B131=""</formula>
    </cfRule>
  </conditionalFormatting>
  <conditionalFormatting sqref="B134:Z134">
    <cfRule type="expression" dxfId="1943" priority="43" stopIfTrue="1">
      <formula>$B131=""</formula>
    </cfRule>
  </conditionalFormatting>
  <conditionalFormatting sqref="B135:Z135">
    <cfRule type="expression" dxfId="1942" priority="473" stopIfTrue="1">
      <formula>$B131=""</formula>
    </cfRule>
  </conditionalFormatting>
  <conditionalFormatting sqref="B136:Z136">
    <cfRule type="expression" dxfId="1941" priority="472" stopIfTrue="1">
      <formula>$B131=""</formula>
    </cfRule>
  </conditionalFormatting>
  <conditionalFormatting sqref="B138:Z138">
    <cfRule type="expression" dxfId="1940" priority="463" stopIfTrue="1">
      <formula>$B138=""</formula>
    </cfRule>
  </conditionalFormatting>
  <conditionalFormatting sqref="B141:Z141">
    <cfRule type="expression" dxfId="1939" priority="41" stopIfTrue="1">
      <formula>$B138=""</formula>
    </cfRule>
  </conditionalFormatting>
  <conditionalFormatting sqref="B142:Z142">
    <cfRule type="expression" dxfId="1938" priority="459" stopIfTrue="1">
      <formula>$B138=""</formula>
    </cfRule>
  </conditionalFormatting>
  <conditionalFormatting sqref="B143:Z143">
    <cfRule type="expression" dxfId="1937" priority="458" stopIfTrue="1">
      <formula>$B138=""</formula>
    </cfRule>
  </conditionalFormatting>
  <conditionalFormatting sqref="B145:Z145">
    <cfRule type="expression" dxfId="1936" priority="443" stopIfTrue="1">
      <formula>$B145=""</formula>
    </cfRule>
  </conditionalFormatting>
  <conditionalFormatting sqref="B148:Z148">
    <cfRule type="expression" dxfId="1935" priority="39" stopIfTrue="1">
      <formula>$B145=""</formula>
    </cfRule>
  </conditionalFormatting>
  <conditionalFormatting sqref="B149:Z149">
    <cfRule type="expression" dxfId="1934" priority="439" stopIfTrue="1">
      <formula>$B145=""</formula>
    </cfRule>
  </conditionalFormatting>
  <conditionalFormatting sqref="B150:Z150">
    <cfRule type="expression" dxfId="1933" priority="438" stopIfTrue="1">
      <formula>$B145=""</formula>
    </cfRule>
  </conditionalFormatting>
  <conditionalFormatting sqref="B152:Z152">
    <cfRule type="expression" dxfId="1932" priority="429" stopIfTrue="1">
      <formula>$B152=""</formula>
    </cfRule>
  </conditionalFormatting>
  <conditionalFormatting sqref="B155:Z155">
    <cfRule type="expression" dxfId="1931" priority="37" stopIfTrue="1">
      <formula>$B152=""</formula>
    </cfRule>
  </conditionalFormatting>
  <conditionalFormatting sqref="B156:Z156">
    <cfRule type="expression" dxfId="1930" priority="425" stopIfTrue="1">
      <formula>$B152=""</formula>
    </cfRule>
  </conditionalFormatting>
  <conditionalFormatting sqref="B157:Z157">
    <cfRule type="expression" dxfId="1929" priority="424" stopIfTrue="1">
      <formula>$B152=""</formula>
    </cfRule>
  </conditionalFormatting>
  <conditionalFormatting sqref="B159:Z159">
    <cfRule type="expression" dxfId="1928" priority="409" stopIfTrue="1">
      <formula>$B159=""</formula>
    </cfRule>
  </conditionalFormatting>
  <conditionalFormatting sqref="B162:Z162">
    <cfRule type="expression" dxfId="1927" priority="35" stopIfTrue="1">
      <formula>$B159=""</formula>
    </cfRule>
  </conditionalFormatting>
  <conditionalFormatting sqref="B163:Z163">
    <cfRule type="expression" dxfId="1926" priority="405" stopIfTrue="1">
      <formula>$B159=""</formula>
    </cfRule>
  </conditionalFormatting>
  <conditionalFormatting sqref="B164:Z164">
    <cfRule type="expression" dxfId="1925" priority="404" stopIfTrue="1">
      <formula>$B159=""</formula>
    </cfRule>
  </conditionalFormatting>
  <conditionalFormatting sqref="B166:Z166">
    <cfRule type="expression" dxfId="1924" priority="395" stopIfTrue="1">
      <formula>$B166=""</formula>
    </cfRule>
  </conditionalFormatting>
  <conditionalFormatting sqref="B169:Z169">
    <cfRule type="expression" dxfId="1923" priority="33" stopIfTrue="1">
      <formula>$B166=""</formula>
    </cfRule>
  </conditionalFormatting>
  <conditionalFormatting sqref="B170:Z170">
    <cfRule type="expression" dxfId="1922" priority="391" stopIfTrue="1">
      <formula>$B166=""</formula>
    </cfRule>
  </conditionalFormatting>
  <conditionalFormatting sqref="B171:Z171">
    <cfRule type="expression" dxfId="1921" priority="390" stopIfTrue="1">
      <formula>$B166=""</formula>
    </cfRule>
  </conditionalFormatting>
  <conditionalFormatting sqref="B173:Z173">
    <cfRule type="expression" dxfId="1920" priority="375" stopIfTrue="1">
      <formula>$B173=""</formula>
    </cfRule>
  </conditionalFormatting>
  <conditionalFormatting sqref="B176:Z176">
    <cfRule type="expression" dxfId="1919" priority="31" stopIfTrue="1">
      <formula>$B173=""</formula>
    </cfRule>
  </conditionalFormatting>
  <conditionalFormatting sqref="B177:Z177">
    <cfRule type="expression" dxfId="1918" priority="371" stopIfTrue="1">
      <formula>$B173=""</formula>
    </cfRule>
  </conditionalFormatting>
  <conditionalFormatting sqref="B178:Z178">
    <cfRule type="expression" dxfId="1917" priority="370" stopIfTrue="1">
      <formula>$B173=""</formula>
    </cfRule>
  </conditionalFormatting>
  <conditionalFormatting sqref="B180:Z180">
    <cfRule type="expression" dxfId="1916" priority="361" stopIfTrue="1">
      <formula>$B180=""</formula>
    </cfRule>
  </conditionalFormatting>
  <conditionalFormatting sqref="B183:Z183">
    <cfRule type="expression" dxfId="1915" priority="29" stopIfTrue="1">
      <formula>$B180=""</formula>
    </cfRule>
  </conditionalFormatting>
  <conditionalFormatting sqref="B184:Z184">
    <cfRule type="expression" dxfId="1914" priority="357" stopIfTrue="1">
      <formula>$B180=""</formula>
    </cfRule>
  </conditionalFormatting>
  <conditionalFormatting sqref="B185:Z185">
    <cfRule type="expression" dxfId="1913" priority="356" stopIfTrue="1">
      <formula>$B180=""</formula>
    </cfRule>
  </conditionalFormatting>
  <conditionalFormatting sqref="B187:Z187">
    <cfRule type="expression" dxfId="1912" priority="341" stopIfTrue="1">
      <formula>$B187=""</formula>
    </cfRule>
  </conditionalFormatting>
  <conditionalFormatting sqref="B190:Z190">
    <cfRule type="expression" dxfId="1911" priority="27" stopIfTrue="1">
      <formula>$B187=""</formula>
    </cfRule>
  </conditionalFormatting>
  <conditionalFormatting sqref="B191:Z191">
    <cfRule type="expression" dxfId="1910" priority="337" stopIfTrue="1">
      <formula>$B187=""</formula>
    </cfRule>
  </conditionalFormatting>
  <conditionalFormatting sqref="B192:Z192">
    <cfRule type="expression" dxfId="1909" priority="336" stopIfTrue="1">
      <formula>$B187=""</formula>
    </cfRule>
  </conditionalFormatting>
  <conditionalFormatting sqref="B194:Z194">
    <cfRule type="expression" dxfId="1908" priority="327" stopIfTrue="1">
      <formula>$B194=""</formula>
    </cfRule>
  </conditionalFormatting>
  <conditionalFormatting sqref="B197:Z197">
    <cfRule type="expression" dxfId="1907" priority="25" stopIfTrue="1">
      <formula>$B194=""</formula>
    </cfRule>
  </conditionalFormatting>
  <conditionalFormatting sqref="B198:Z198">
    <cfRule type="expression" dxfId="1906" priority="323" stopIfTrue="1">
      <formula>$B194=""</formula>
    </cfRule>
  </conditionalFormatting>
  <conditionalFormatting sqref="B199:Z199">
    <cfRule type="expression" dxfId="1905" priority="322" stopIfTrue="1">
      <formula>$B194=""</formula>
    </cfRule>
  </conditionalFormatting>
  <conditionalFormatting sqref="B201:Z201">
    <cfRule type="expression" dxfId="1904" priority="307" stopIfTrue="1">
      <formula>$B201=""</formula>
    </cfRule>
  </conditionalFormatting>
  <conditionalFormatting sqref="B204:Z204">
    <cfRule type="expression" dxfId="1903" priority="23" stopIfTrue="1">
      <formula>$B201=""</formula>
    </cfRule>
  </conditionalFormatting>
  <conditionalFormatting sqref="B205:Z205">
    <cfRule type="expression" dxfId="1902" priority="303" stopIfTrue="1">
      <formula>$B201=""</formula>
    </cfRule>
  </conditionalFormatting>
  <conditionalFormatting sqref="B206:Z206">
    <cfRule type="expression" dxfId="1901" priority="302" stopIfTrue="1">
      <formula>$B201=""</formula>
    </cfRule>
  </conditionalFormatting>
  <conditionalFormatting sqref="B208:Z208">
    <cfRule type="expression" dxfId="1900" priority="293" stopIfTrue="1">
      <formula>$B208=""</formula>
    </cfRule>
  </conditionalFormatting>
  <conditionalFormatting sqref="B211:Z211">
    <cfRule type="expression" dxfId="1899" priority="21" stopIfTrue="1">
      <formula>$B208=""</formula>
    </cfRule>
  </conditionalFormatting>
  <conditionalFormatting sqref="B212:Z212">
    <cfRule type="expression" dxfId="1898" priority="289" stopIfTrue="1">
      <formula>$B208=""</formula>
    </cfRule>
  </conditionalFormatting>
  <conditionalFormatting sqref="B213:Z213">
    <cfRule type="expression" dxfId="1897" priority="288" stopIfTrue="1">
      <formula>$B208=""</formula>
    </cfRule>
  </conditionalFormatting>
  <conditionalFormatting sqref="B215:Z215">
    <cfRule type="expression" dxfId="1896" priority="273" stopIfTrue="1">
      <formula>$B215=""</formula>
    </cfRule>
  </conditionalFormatting>
  <conditionalFormatting sqref="B218:Z218">
    <cfRule type="expression" dxfId="1895" priority="19" stopIfTrue="1">
      <formula>$B215=""</formula>
    </cfRule>
  </conditionalFormatting>
  <conditionalFormatting sqref="B219:Z219">
    <cfRule type="expression" dxfId="1894" priority="269" stopIfTrue="1">
      <formula>$B215=""</formula>
    </cfRule>
  </conditionalFormatting>
  <conditionalFormatting sqref="B220:Z220">
    <cfRule type="expression" dxfId="1893" priority="268" stopIfTrue="1">
      <formula>$B215=""</formula>
    </cfRule>
  </conditionalFormatting>
  <conditionalFormatting sqref="B222:Z222">
    <cfRule type="expression" dxfId="1892" priority="259" stopIfTrue="1">
      <formula>$B222=""</formula>
    </cfRule>
  </conditionalFormatting>
  <conditionalFormatting sqref="B225:Z225">
    <cfRule type="expression" dxfId="1891" priority="17" stopIfTrue="1">
      <formula>$B222=""</formula>
    </cfRule>
  </conditionalFormatting>
  <conditionalFormatting sqref="B226:Z226">
    <cfRule type="expression" dxfId="1890" priority="255" stopIfTrue="1">
      <formula>$B222=""</formula>
    </cfRule>
  </conditionalFormatting>
  <conditionalFormatting sqref="B227:Z227">
    <cfRule type="expression" dxfId="1889" priority="254" stopIfTrue="1">
      <formula>$B222=""</formula>
    </cfRule>
  </conditionalFormatting>
  <conditionalFormatting sqref="B229:Z229">
    <cfRule type="expression" dxfId="1888" priority="239" stopIfTrue="1">
      <formula>$B229=""</formula>
    </cfRule>
  </conditionalFormatting>
  <conditionalFormatting sqref="B232:Z232">
    <cfRule type="expression" dxfId="1887" priority="15" stopIfTrue="1">
      <formula>$B229=""</formula>
    </cfRule>
  </conditionalFormatting>
  <conditionalFormatting sqref="B233:Z233">
    <cfRule type="expression" dxfId="1886" priority="235" stopIfTrue="1">
      <formula>$B229=""</formula>
    </cfRule>
  </conditionalFormatting>
  <conditionalFormatting sqref="B234:Z234">
    <cfRule type="expression" dxfId="1885" priority="234" stopIfTrue="1">
      <formula>$B229=""</formula>
    </cfRule>
  </conditionalFormatting>
  <conditionalFormatting sqref="B236:Z236">
    <cfRule type="expression" dxfId="1884" priority="225" stopIfTrue="1">
      <formula>$B236=""</formula>
    </cfRule>
  </conditionalFormatting>
  <conditionalFormatting sqref="B239:Z239">
    <cfRule type="expression" dxfId="1883" priority="13" stopIfTrue="1">
      <formula>$B236=""</formula>
    </cfRule>
  </conditionalFormatting>
  <conditionalFormatting sqref="B240:Z240">
    <cfRule type="expression" dxfId="1882" priority="221" stopIfTrue="1">
      <formula>$B236=""</formula>
    </cfRule>
  </conditionalFormatting>
  <conditionalFormatting sqref="B241:Z241">
    <cfRule type="expression" dxfId="1881" priority="220" stopIfTrue="1">
      <formula>$B236=""</formula>
    </cfRule>
  </conditionalFormatting>
  <conditionalFormatting sqref="B243:Z243">
    <cfRule type="expression" dxfId="1880" priority="171" stopIfTrue="1">
      <formula>$B243=""</formula>
    </cfRule>
  </conditionalFormatting>
  <conditionalFormatting sqref="B246:Z246">
    <cfRule type="expression" dxfId="1879" priority="11" stopIfTrue="1">
      <formula>$B243=""</formula>
    </cfRule>
  </conditionalFormatting>
  <conditionalFormatting sqref="B247:Z247">
    <cfRule type="expression" dxfId="1878" priority="167" stopIfTrue="1">
      <formula>$B243=""</formula>
    </cfRule>
  </conditionalFormatting>
  <conditionalFormatting sqref="B248:Z248">
    <cfRule type="expression" dxfId="1877" priority="166" stopIfTrue="1">
      <formula>$B243=""</formula>
    </cfRule>
  </conditionalFormatting>
  <conditionalFormatting sqref="B250:Z250">
    <cfRule type="expression" dxfId="1876" priority="157" stopIfTrue="1">
      <formula>$B250=""</formula>
    </cfRule>
  </conditionalFormatting>
  <conditionalFormatting sqref="B253:Z253">
    <cfRule type="expression" dxfId="1875" priority="9" stopIfTrue="1">
      <formula>$B250=""</formula>
    </cfRule>
  </conditionalFormatting>
  <conditionalFormatting sqref="B254:Z254">
    <cfRule type="expression" dxfId="1874" priority="153" stopIfTrue="1">
      <formula>$B250=""</formula>
    </cfRule>
  </conditionalFormatting>
  <conditionalFormatting sqref="B255:Z255">
    <cfRule type="expression" dxfId="1873" priority="152" stopIfTrue="1">
      <formula>$B250=""</formula>
    </cfRule>
  </conditionalFormatting>
  <conditionalFormatting sqref="B257:Z257">
    <cfRule type="expression" dxfId="1872" priority="137" stopIfTrue="1">
      <formula>$B257=""</formula>
    </cfRule>
  </conditionalFormatting>
  <conditionalFormatting sqref="B260:Z260">
    <cfRule type="expression" dxfId="1871" priority="7" stopIfTrue="1">
      <formula>$B257=""</formula>
    </cfRule>
  </conditionalFormatting>
  <conditionalFormatting sqref="B261:Z261">
    <cfRule type="expression" dxfId="1870" priority="133" stopIfTrue="1">
      <formula>$B257=""</formula>
    </cfRule>
  </conditionalFormatting>
  <conditionalFormatting sqref="B262:Z262">
    <cfRule type="expression" dxfId="1869" priority="132" stopIfTrue="1">
      <formula>$B257=""</formula>
    </cfRule>
  </conditionalFormatting>
  <conditionalFormatting sqref="B264:Z264">
    <cfRule type="expression" dxfId="1868" priority="123" stopIfTrue="1">
      <formula>$B264=""</formula>
    </cfRule>
  </conditionalFormatting>
  <conditionalFormatting sqref="B267:Z267">
    <cfRule type="expression" dxfId="1867" priority="5" stopIfTrue="1">
      <formula>$B264=""</formula>
    </cfRule>
  </conditionalFormatting>
  <conditionalFormatting sqref="B268:Z268">
    <cfRule type="expression" dxfId="1866" priority="119" stopIfTrue="1">
      <formula>$B264=""</formula>
    </cfRule>
  </conditionalFormatting>
  <conditionalFormatting sqref="B269:Z269">
    <cfRule type="expression" dxfId="1865" priority="118" stopIfTrue="1">
      <formula>$B264=""</formula>
    </cfRule>
  </conditionalFormatting>
  <conditionalFormatting sqref="B271:Z271">
    <cfRule type="expression" dxfId="1864" priority="103" stopIfTrue="1">
      <formula>$B271=""</formula>
    </cfRule>
  </conditionalFormatting>
  <conditionalFormatting sqref="B274:Z274">
    <cfRule type="expression" dxfId="1863" priority="3" stopIfTrue="1">
      <formula>$B271=""</formula>
    </cfRule>
  </conditionalFormatting>
  <conditionalFormatting sqref="B275:Z275">
    <cfRule type="expression" dxfId="1862" priority="99" stopIfTrue="1">
      <formula>$B271=""</formula>
    </cfRule>
  </conditionalFormatting>
  <conditionalFormatting sqref="B276:Z276">
    <cfRule type="expression" dxfId="1861" priority="98" stopIfTrue="1">
      <formula>$B271=""</formula>
    </cfRule>
  </conditionalFormatting>
  <conditionalFormatting sqref="B278:Z278">
    <cfRule type="expression" dxfId="1860" priority="89" stopIfTrue="1">
      <formula>$B278=""</formula>
    </cfRule>
  </conditionalFormatting>
  <conditionalFormatting sqref="B281:Z281">
    <cfRule type="expression" dxfId="1859" priority="1" stopIfTrue="1">
      <formula>$B278=""</formula>
    </cfRule>
  </conditionalFormatting>
  <conditionalFormatting sqref="B282:Z282">
    <cfRule type="expression" dxfId="1858" priority="85" stopIfTrue="1">
      <formula>$B278=""</formula>
    </cfRule>
  </conditionalFormatting>
  <conditionalFormatting sqref="B283:Z283">
    <cfRule type="expression" dxfId="1857" priority="84" stopIfTrue="1">
      <formula>$B278=""</formula>
    </cfRule>
  </conditionalFormatting>
  <conditionalFormatting sqref="D6:D7">
    <cfRule type="expression" dxfId="1856" priority="1324">
      <formula>$BF8</formula>
    </cfRule>
  </conditionalFormatting>
  <conditionalFormatting sqref="D13:D14 V13:V14 X13:Y14">
    <cfRule type="expression" dxfId="1855" priority="2527" stopIfTrue="1">
      <formula>$B12=""</formula>
    </cfRule>
  </conditionalFormatting>
  <conditionalFormatting sqref="D13:D14">
    <cfRule type="expression" dxfId="1854" priority="1323">
      <formula>$BF15</formula>
    </cfRule>
  </conditionalFormatting>
  <conditionalFormatting sqref="D20:D21 V20:V21 X20:Y21">
    <cfRule type="expression" dxfId="1853" priority="2147" stopIfTrue="1">
      <formula>$B19=""</formula>
    </cfRule>
  </conditionalFormatting>
  <conditionalFormatting sqref="D20:D21">
    <cfRule type="expression" dxfId="1852" priority="1322">
      <formula>$BF22</formula>
    </cfRule>
  </conditionalFormatting>
  <conditionalFormatting sqref="D27:D28 V27:V28 X27:Y28">
    <cfRule type="expression" dxfId="1851" priority="2127" stopIfTrue="1">
      <formula>$B26=""</formula>
    </cfRule>
  </conditionalFormatting>
  <conditionalFormatting sqref="D27:D28">
    <cfRule type="expression" dxfId="1850" priority="723">
      <formula>$BF22</formula>
    </cfRule>
  </conditionalFormatting>
  <conditionalFormatting sqref="D34:D35 V34:V35 X34:Y35">
    <cfRule type="expression" dxfId="1849" priority="712" stopIfTrue="1">
      <formula>$B33=""</formula>
    </cfRule>
  </conditionalFormatting>
  <conditionalFormatting sqref="D34:D35">
    <cfRule type="expression" dxfId="1848" priority="692">
      <formula>$BF36</formula>
    </cfRule>
  </conditionalFormatting>
  <conditionalFormatting sqref="D41:D42 V41:V42 X41:Y42">
    <cfRule type="expression" dxfId="1847" priority="698" stopIfTrue="1">
      <formula>$B40=""</formula>
    </cfRule>
  </conditionalFormatting>
  <conditionalFormatting sqref="D41:D42">
    <cfRule type="expression" dxfId="1846" priority="689">
      <formula>$BF36</formula>
    </cfRule>
  </conditionalFormatting>
  <conditionalFormatting sqref="D48:D49 V48:V49 X48:Y49">
    <cfRule type="expression" dxfId="1845" priority="678" stopIfTrue="1">
      <formula>$B47=""</formula>
    </cfRule>
  </conditionalFormatting>
  <conditionalFormatting sqref="D48:D49">
    <cfRule type="expression" dxfId="1844" priority="658">
      <formula>$BF50</formula>
    </cfRule>
  </conditionalFormatting>
  <conditionalFormatting sqref="D55:D56 V55:V56 X55:Y56">
    <cfRule type="expression" dxfId="1843" priority="664" stopIfTrue="1">
      <formula>$B54=""</formula>
    </cfRule>
  </conditionalFormatting>
  <conditionalFormatting sqref="D55:D56">
    <cfRule type="expression" dxfId="1842" priority="655">
      <formula>$BF50</formula>
    </cfRule>
  </conditionalFormatting>
  <conditionalFormatting sqref="D62:D63 V62:V63 X62:Y63">
    <cfRule type="expression" dxfId="1841" priority="644" stopIfTrue="1">
      <formula>$B61=""</formula>
    </cfRule>
  </conditionalFormatting>
  <conditionalFormatting sqref="D62:D63">
    <cfRule type="expression" dxfId="1840" priority="624">
      <formula>$BF64</formula>
    </cfRule>
  </conditionalFormatting>
  <conditionalFormatting sqref="D69:D70 V69:V70 X69:Y70">
    <cfRule type="expression" dxfId="1839" priority="630" stopIfTrue="1">
      <formula>$B68=""</formula>
    </cfRule>
  </conditionalFormatting>
  <conditionalFormatting sqref="D69:D70">
    <cfRule type="expression" dxfId="1838" priority="621">
      <formula>$BF64</formula>
    </cfRule>
  </conditionalFormatting>
  <conditionalFormatting sqref="D76:D77 V76:V77 X76:Y77">
    <cfRule type="expression" dxfId="1837" priority="610" stopIfTrue="1">
      <formula>$B75=""</formula>
    </cfRule>
  </conditionalFormatting>
  <conditionalFormatting sqref="D76:D77">
    <cfRule type="expression" dxfId="1836" priority="590">
      <formula>$BF78</formula>
    </cfRule>
  </conditionalFormatting>
  <conditionalFormatting sqref="D83:D84 V83:V84 X83:Y84">
    <cfRule type="expression" dxfId="1835" priority="596" stopIfTrue="1">
      <formula>$B82=""</formula>
    </cfRule>
  </conditionalFormatting>
  <conditionalFormatting sqref="D83:D84">
    <cfRule type="expression" dxfId="1834" priority="587">
      <formula>$BF78</formula>
    </cfRule>
  </conditionalFormatting>
  <conditionalFormatting sqref="D90:D91 V90:V91 X90:Y91">
    <cfRule type="expression" dxfId="1833" priority="576" stopIfTrue="1">
      <formula>$B89=""</formula>
    </cfRule>
  </conditionalFormatting>
  <conditionalFormatting sqref="D90:D91">
    <cfRule type="expression" dxfId="1832" priority="556">
      <formula>$BF92</formula>
    </cfRule>
  </conditionalFormatting>
  <conditionalFormatting sqref="D97:D98 V97:V98 X97:Y98">
    <cfRule type="expression" dxfId="1831" priority="562" stopIfTrue="1">
      <formula>$B96=""</formula>
    </cfRule>
  </conditionalFormatting>
  <conditionalFormatting sqref="D97:D98">
    <cfRule type="expression" dxfId="1830" priority="553">
      <formula>$BF92</formula>
    </cfRule>
  </conditionalFormatting>
  <conditionalFormatting sqref="D104:D105 V104:V105 X104:Y105">
    <cfRule type="expression" dxfId="1829" priority="542" stopIfTrue="1">
      <formula>$B103=""</formula>
    </cfRule>
  </conditionalFormatting>
  <conditionalFormatting sqref="D104:D105">
    <cfRule type="expression" dxfId="1828" priority="522">
      <formula>$BF106</formula>
    </cfRule>
  </conditionalFormatting>
  <conditionalFormatting sqref="D111:D112 V111:V112 X111:Y112">
    <cfRule type="expression" dxfId="1827" priority="528" stopIfTrue="1">
      <formula>$B110=""</formula>
    </cfRule>
  </conditionalFormatting>
  <conditionalFormatting sqref="D111:D112">
    <cfRule type="expression" dxfId="1826" priority="519">
      <formula>$BF106</formula>
    </cfRule>
  </conditionalFormatting>
  <conditionalFormatting sqref="D118:D119 V118:V119 X118:Y119">
    <cfRule type="expression" dxfId="1825" priority="508" stopIfTrue="1">
      <formula>$B117=""</formula>
    </cfRule>
  </conditionalFormatting>
  <conditionalFormatting sqref="D118:D119">
    <cfRule type="expression" dxfId="1824" priority="488">
      <formula>$BF120</formula>
    </cfRule>
  </conditionalFormatting>
  <conditionalFormatting sqref="D125:D126 V125:V126 X125:Y126">
    <cfRule type="expression" dxfId="1823" priority="494" stopIfTrue="1">
      <formula>$B124=""</formula>
    </cfRule>
  </conditionalFormatting>
  <conditionalFormatting sqref="D125:D126">
    <cfRule type="expression" dxfId="1822" priority="485">
      <formula>$BF120</formula>
    </cfRule>
  </conditionalFormatting>
  <conditionalFormatting sqref="D132:D133 V132:V133 X132:Y133">
    <cfRule type="expression" dxfId="1821" priority="474" stopIfTrue="1">
      <formula>$B131=""</formula>
    </cfRule>
  </conditionalFormatting>
  <conditionalFormatting sqref="D132:D133">
    <cfRule type="expression" dxfId="1820" priority="454">
      <formula>$BF134</formula>
    </cfRule>
  </conditionalFormatting>
  <conditionalFormatting sqref="D139:D140 V139:V140 X139:Y140">
    <cfRule type="expression" dxfId="1819" priority="460" stopIfTrue="1">
      <formula>$B138=""</formula>
    </cfRule>
  </conditionalFormatting>
  <conditionalFormatting sqref="D139:D140">
    <cfRule type="expression" dxfId="1818" priority="451">
      <formula>$BF134</formula>
    </cfRule>
  </conditionalFormatting>
  <conditionalFormatting sqref="D146:D147 V146:V147 X146:Y147">
    <cfRule type="expression" dxfId="1817" priority="440" stopIfTrue="1">
      <formula>$B145=""</formula>
    </cfRule>
  </conditionalFormatting>
  <conditionalFormatting sqref="D146:D147">
    <cfRule type="expression" dxfId="1816" priority="420">
      <formula>$BF148</formula>
    </cfRule>
  </conditionalFormatting>
  <conditionalFormatting sqref="D153:D154 V153:V154 X153:Y154">
    <cfRule type="expression" dxfId="1815" priority="426" stopIfTrue="1">
      <formula>$B152=""</formula>
    </cfRule>
  </conditionalFormatting>
  <conditionalFormatting sqref="D153:D154">
    <cfRule type="expression" dxfId="1814" priority="417">
      <formula>$BF148</formula>
    </cfRule>
  </conditionalFormatting>
  <conditionalFormatting sqref="D160:D161 V160:V161 X160:Y161">
    <cfRule type="expression" dxfId="1813" priority="406" stopIfTrue="1">
      <formula>$B159=""</formula>
    </cfRule>
  </conditionalFormatting>
  <conditionalFormatting sqref="D160:D161">
    <cfRule type="expression" dxfId="1812" priority="386">
      <formula>$BF162</formula>
    </cfRule>
  </conditionalFormatting>
  <conditionalFormatting sqref="D167:D168 V167:V168 X167:Y168">
    <cfRule type="expression" dxfId="1811" priority="392" stopIfTrue="1">
      <formula>$B166=""</formula>
    </cfRule>
  </conditionalFormatting>
  <conditionalFormatting sqref="D167:D168">
    <cfRule type="expression" dxfId="1810" priority="383">
      <formula>$BF162</formula>
    </cfRule>
  </conditionalFormatting>
  <conditionalFormatting sqref="D174:D175 V174:V175 X174:Y175">
    <cfRule type="expression" dxfId="1809" priority="372" stopIfTrue="1">
      <formula>$B173=""</formula>
    </cfRule>
  </conditionalFormatting>
  <conditionalFormatting sqref="D174:D175">
    <cfRule type="expression" dxfId="1808" priority="352">
      <formula>$BF176</formula>
    </cfRule>
  </conditionalFormatting>
  <conditionalFormatting sqref="D181:D182 V181:V182 X181:Y182">
    <cfRule type="expression" dxfId="1807" priority="358" stopIfTrue="1">
      <formula>$B180=""</formula>
    </cfRule>
  </conditionalFormatting>
  <conditionalFormatting sqref="D181:D182">
    <cfRule type="expression" dxfId="1806" priority="349">
      <formula>$BF176</formula>
    </cfRule>
  </conditionalFormatting>
  <conditionalFormatting sqref="D188:D189 V188:V189 X188:Y189">
    <cfRule type="expression" dxfId="1805" priority="338" stopIfTrue="1">
      <formula>$B187=""</formula>
    </cfRule>
  </conditionalFormatting>
  <conditionalFormatting sqref="D188:D189">
    <cfRule type="expression" dxfId="1804" priority="318">
      <formula>$BF190</formula>
    </cfRule>
  </conditionalFormatting>
  <conditionalFormatting sqref="D195:D196 V195:V196 X195:Y196">
    <cfRule type="expression" dxfId="1803" priority="324" stopIfTrue="1">
      <formula>$B194=""</formula>
    </cfRule>
  </conditionalFormatting>
  <conditionalFormatting sqref="D195:D196">
    <cfRule type="expression" dxfId="1802" priority="315">
      <formula>$BF190</formula>
    </cfRule>
  </conditionalFormatting>
  <conditionalFormatting sqref="D202:D203 V202:V203 X202:Y203">
    <cfRule type="expression" dxfId="1801" priority="304" stopIfTrue="1">
      <formula>$B201=""</formula>
    </cfRule>
  </conditionalFormatting>
  <conditionalFormatting sqref="D202:D203">
    <cfRule type="expression" dxfId="1800" priority="284">
      <formula>$BF204</formula>
    </cfRule>
  </conditionalFormatting>
  <conditionalFormatting sqref="D209:D210 V209:V210 X209:Y210">
    <cfRule type="expression" dxfId="1799" priority="290" stopIfTrue="1">
      <formula>$B208=""</formula>
    </cfRule>
  </conditionalFormatting>
  <conditionalFormatting sqref="D209:D210">
    <cfRule type="expression" dxfId="1798" priority="281">
      <formula>$BF204</formula>
    </cfRule>
  </conditionalFormatting>
  <conditionalFormatting sqref="D216:D217 V216:V217 X216:Y217">
    <cfRule type="expression" dxfId="1797" priority="270" stopIfTrue="1">
      <formula>$B215=""</formula>
    </cfRule>
  </conditionalFormatting>
  <conditionalFormatting sqref="D216:D217">
    <cfRule type="expression" dxfId="1796" priority="250">
      <formula>$BF218</formula>
    </cfRule>
  </conditionalFormatting>
  <conditionalFormatting sqref="D223:D224 V223:V224 X223:Y224">
    <cfRule type="expression" dxfId="1795" priority="256" stopIfTrue="1">
      <formula>$B222=""</formula>
    </cfRule>
  </conditionalFormatting>
  <conditionalFormatting sqref="D223:D224">
    <cfRule type="expression" dxfId="1794" priority="247">
      <formula>$BF218</formula>
    </cfRule>
  </conditionalFormatting>
  <conditionalFormatting sqref="D230:D231 V230:V231 X230:Y231">
    <cfRule type="expression" dxfId="1793" priority="236" stopIfTrue="1">
      <formula>$B229=""</formula>
    </cfRule>
  </conditionalFormatting>
  <conditionalFormatting sqref="D230:D231">
    <cfRule type="expression" dxfId="1792" priority="216">
      <formula>$BF232</formula>
    </cfRule>
  </conditionalFormatting>
  <conditionalFormatting sqref="D237:D238 V237:V238 X237:Y238">
    <cfRule type="expression" dxfId="1791" priority="222" stopIfTrue="1">
      <formula>$B236=""</formula>
    </cfRule>
  </conditionalFormatting>
  <conditionalFormatting sqref="D237:D238">
    <cfRule type="expression" dxfId="1790" priority="213">
      <formula>$BF232</formula>
    </cfRule>
  </conditionalFormatting>
  <conditionalFormatting sqref="D244:D245 V244:V245 X244:Y245">
    <cfRule type="expression" dxfId="1789" priority="168" stopIfTrue="1">
      <formula>$B243=""</formula>
    </cfRule>
  </conditionalFormatting>
  <conditionalFormatting sqref="D244:D245">
    <cfRule type="expression" dxfId="1788" priority="148">
      <formula>$BF246</formula>
    </cfRule>
  </conditionalFormatting>
  <conditionalFormatting sqref="D251:D252 V251:V252 X251:Y252">
    <cfRule type="expression" dxfId="1787" priority="154" stopIfTrue="1">
      <formula>$B250=""</formula>
    </cfRule>
  </conditionalFormatting>
  <conditionalFormatting sqref="D251:D252">
    <cfRule type="expression" dxfId="1786" priority="145">
      <formula>$BF246</formula>
    </cfRule>
  </conditionalFormatting>
  <conditionalFormatting sqref="D258:D259 V258:V259 X258:Y259">
    <cfRule type="expression" dxfId="1785" priority="134" stopIfTrue="1">
      <formula>$B257=""</formula>
    </cfRule>
  </conditionalFormatting>
  <conditionalFormatting sqref="D258:D259">
    <cfRule type="expression" dxfId="1784" priority="114">
      <formula>$BF260</formula>
    </cfRule>
  </conditionalFormatting>
  <conditionalFormatting sqref="D265:D266 V265:V266 X265:Y266">
    <cfRule type="expression" dxfId="1783" priority="120" stopIfTrue="1">
      <formula>$B264=""</formula>
    </cfRule>
  </conditionalFormatting>
  <conditionalFormatting sqref="D265:D266">
    <cfRule type="expression" dxfId="1782" priority="111">
      <formula>$BF260</formula>
    </cfRule>
  </conditionalFormatting>
  <conditionalFormatting sqref="D272:D273 V272:V273 X272:Y273">
    <cfRule type="expression" dxfId="1781" priority="100" stopIfTrue="1">
      <formula>$B271=""</formula>
    </cfRule>
  </conditionalFormatting>
  <conditionalFormatting sqref="D272:D273">
    <cfRule type="expression" dxfId="1780" priority="80">
      <formula>$BF274</formula>
    </cfRule>
  </conditionalFormatting>
  <conditionalFormatting sqref="D279:D280 V279:V280 X279:Y280">
    <cfRule type="expression" dxfId="1779" priority="86" stopIfTrue="1">
      <formula>$B278=""</formula>
    </cfRule>
  </conditionalFormatting>
  <conditionalFormatting sqref="D279:D280">
    <cfRule type="expression" dxfId="1778" priority="77">
      <formula>$BF274</formula>
    </cfRule>
  </conditionalFormatting>
  <conditionalFormatting sqref="F5:U5">
    <cfRule type="expression" dxfId="1777" priority="3080">
      <formula>$B5=""</formula>
    </cfRule>
  </conditionalFormatting>
  <conditionalFormatting sqref="F6:U6">
    <cfRule type="expression" dxfId="1776" priority="2883">
      <formula>OR($B5="",$D6&lt;&gt;"Gebruik % van maximum salaris", $BF8)</formula>
    </cfRule>
  </conditionalFormatting>
  <conditionalFormatting sqref="F7:U7">
    <cfRule type="expression" dxfId="1775" priority="2884">
      <formula>OR($B5="",$D6&lt;&gt;"Gebruik trede (gemiddeld)", $BF8)</formula>
    </cfRule>
  </conditionalFormatting>
  <conditionalFormatting sqref="F9:U9">
    <cfRule type="expression" dxfId="1774" priority="1325">
      <formula>$B5=""</formula>
    </cfRule>
    <cfRule type="expression" dxfId="1773" priority="1321">
      <formula>$D9&lt;&gt;"Aandeel in %"</formula>
    </cfRule>
  </conditionalFormatting>
  <conditionalFormatting sqref="F12:U12">
    <cfRule type="expression" dxfId="1772" priority="2540">
      <formula>$B12=""</formula>
    </cfRule>
  </conditionalFormatting>
  <conditionalFormatting sqref="F13:U13">
    <cfRule type="expression" dxfId="1771" priority="2537">
      <formula>OR($B12="",$D13&lt;&gt;"Gebruik % van maximum salaris", $BF15)</formula>
    </cfRule>
  </conditionalFormatting>
  <conditionalFormatting sqref="F14:U14">
    <cfRule type="expression" dxfId="1770" priority="2538">
      <formula>OR($B12="",$D13&lt;&gt;"Gebruik trede (gemiddeld)", $BF15)</formula>
    </cfRule>
  </conditionalFormatting>
  <conditionalFormatting sqref="F16:U16">
    <cfRule type="expression" dxfId="1769" priority="1320">
      <formula>$D16&lt;&gt;"Aandeel in %"</formula>
    </cfRule>
  </conditionalFormatting>
  <conditionalFormatting sqref="F19:U19">
    <cfRule type="expression" dxfId="1768" priority="2160">
      <formula>$B19=""</formula>
    </cfRule>
  </conditionalFormatting>
  <conditionalFormatting sqref="F20:U20">
    <cfRule type="expression" dxfId="1767" priority="2157">
      <formula>OR($B19="",$D20&lt;&gt;"Gebruik % van maximum salaris", $BF22)</formula>
    </cfRule>
  </conditionalFormatting>
  <conditionalFormatting sqref="F21:U21">
    <cfRule type="expression" dxfId="1766" priority="2158">
      <formula>OR($B19="",$D20&lt;&gt;"Gebruik trede (gemiddeld)", $BF22)</formula>
    </cfRule>
  </conditionalFormatting>
  <conditionalFormatting sqref="F23:U23">
    <cfRule type="expression" dxfId="1765" priority="1319">
      <formula>$D23&lt;&gt;"Aandeel in %"</formula>
    </cfRule>
  </conditionalFormatting>
  <conditionalFormatting sqref="F26:U26">
    <cfRule type="expression" dxfId="1764" priority="2140">
      <formula>$B26=""</formula>
    </cfRule>
  </conditionalFormatting>
  <conditionalFormatting sqref="F27:U27">
    <cfRule type="expression" dxfId="1763" priority="2137">
      <formula>OR($B26="",$D27&lt;&gt;"Gebruik % van maximum salaris", $BF29)</formula>
    </cfRule>
  </conditionalFormatting>
  <conditionalFormatting sqref="F28:U28">
    <cfRule type="expression" dxfId="1762" priority="2138">
      <formula>OR($B26="",$D27&lt;&gt;"Gebruik trede (gemiddeld)", $BF29)</formula>
    </cfRule>
  </conditionalFormatting>
  <conditionalFormatting sqref="F30:U30">
    <cfRule type="expression" dxfId="1761" priority="1318">
      <formula>$D30&lt;&gt;"Aandeel in %"</formula>
    </cfRule>
  </conditionalFormatting>
  <conditionalFormatting sqref="F33:U33">
    <cfRule type="expression" dxfId="1760" priority="721">
      <formula>$B33=""</formula>
    </cfRule>
  </conditionalFormatting>
  <conditionalFormatting sqref="F34:U34">
    <cfRule type="expression" dxfId="1759" priority="718">
      <formula>OR($B33="",$D34&lt;&gt;"Gebruik % van maximum salaris", $BF36)</formula>
    </cfRule>
  </conditionalFormatting>
  <conditionalFormatting sqref="F35:U35">
    <cfRule type="expression" dxfId="1758" priority="719">
      <formula>OR($B33="",$D34&lt;&gt;"Gebruik trede (gemiddeld)", $BF36)</formula>
    </cfRule>
  </conditionalFormatting>
  <conditionalFormatting sqref="F37:U37">
    <cfRule type="expression" dxfId="1757" priority="691">
      <formula>$D37&lt;&gt;"Aandeel in %"</formula>
    </cfRule>
  </conditionalFormatting>
  <conditionalFormatting sqref="F40:U40">
    <cfRule type="expression" dxfId="1756" priority="707">
      <formula>$B40=""</formula>
    </cfRule>
  </conditionalFormatting>
  <conditionalFormatting sqref="F41:U41">
    <cfRule type="expression" dxfId="1755" priority="704">
      <formula>OR($B40="",$D41&lt;&gt;"Gebruik % van maximum salaris", $BF43)</formula>
    </cfRule>
  </conditionalFormatting>
  <conditionalFormatting sqref="F42:U42">
    <cfRule type="expression" dxfId="1754" priority="705">
      <formula>OR($B40="",$D41&lt;&gt;"Gebruik trede (gemiddeld)", $BF43)</formula>
    </cfRule>
  </conditionalFormatting>
  <conditionalFormatting sqref="F44:U44">
    <cfRule type="expression" dxfId="1753" priority="690">
      <formula>$D44&lt;&gt;"Aandeel in %"</formula>
    </cfRule>
  </conditionalFormatting>
  <conditionalFormatting sqref="F47:U47">
    <cfRule type="expression" dxfId="1752" priority="687">
      <formula>$B47=""</formula>
    </cfRule>
  </conditionalFormatting>
  <conditionalFormatting sqref="F48:U48">
    <cfRule type="expression" dxfId="1751" priority="684">
      <formula>OR($B47="",$D48&lt;&gt;"Gebruik % van maximum salaris", $BF50)</formula>
    </cfRule>
  </conditionalFormatting>
  <conditionalFormatting sqref="F49:U49">
    <cfRule type="expression" dxfId="1750" priority="685">
      <formula>OR($B47="",$D48&lt;&gt;"Gebruik trede (gemiddeld)", $BF50)</formula>
    </cfRule>
  </conditionalFormatting>
  <conditionalFormatting sqref="F51:U51">
    <cfRule type="expression" dxfId="1749" priority="657">
      <formula>$D51&lt;&gt;"Aandeel in %"</formula>
    </cfRule>
  </conditionalFormatting>
  <conditionalFormatting sqref="F54:U54">
    <cfRule type="expression" dxfId="1748" priority="673">
      <formula>$B54=""</formula>
    </cfRule>
  </conditionalFormatting>
  <conditionalFormatting sqref="F55:U55">
    <cfRule type="expression" dxfId="1747" priority="670">
      <formula>OR($B54="",$D55&lt;&gt;"Gebruik % van maximum salaris", $BF57)</formula>
    </cfRule>
  </conditionalFormatting>
  <conditionalFormatting sqref="F56:U56">
    <cfRule type="expression" dxfId="1746" priority="671">
      <formula>OR($B54="",$D55&lt;&gt;"Gebruik trede (gemiddeld)", $BF57)</formula>
    </cfRule>
  </conditionalFormatting>
  <conditionalFormatting sqref="F58:U58">
    <cfRule type="expression" dxfId="1745" priority="656">
      <formula>$D58&lt;&gt;"Aandeel in %"</formula>
    </cfRule>
  </conditionalFormatting>
  <conditionalFormatting sqref="F61:U61">
    <cfRule type="expression" dxfId="1744" priority="653">
      <formula>$B61=""</formula>
    </cfRule>
  </conditionalFormatting>
  <conditionalFormatting sqref="F62:U62">
    <cfRule type="expression" dxfId="1743" priority="650">
      <formula>OR($B61="",$D62&lt;&gt;"Gebruik % van maximum salaris", $BF64)</formula>
    </cfRule>
  </conditionalFormatting>
  <conditionalFormatting sqref="F63:U63">
    <cfRule type="expression" dxfId="1742" priority="651">
      <formula>OR($B61="",$D62&lt;&gt;"Gebruik trede (gemiddeld)", $BF64)</formula>
    </cfRule>
  </conditionalFormatting>
  <conditionalFormatting sqref="F65:U65">
    <cfRule type="expression" dxfId="1741" priority="623">
      <formula>$D65&lt;&gt;"Aandeel in %"</formula>
    </cfRule>
  </conditionalFormatting>
  <conditionalFormatting sqref="F68:U68">
    <cfRule type="expression" dxfId="1740" priority="639">
      <formula>$B68=""</formula>
    </cfRule>
  </conditionalFormatting>
  <conditionalFormatting sqref="F69:U69">
    <cfRule type="expression" dxfId="1739" priority="636">
      <formula>OR($B68="",$D69&lt;&gt;"Gebruik % van maximum salaris", $BF71)</formula>
    </cfRule>
  </conditionalFormatting>
  <conditionalFormatting sqref="F70:U70">
    <cfRule type="expression" dxfId="1738" priority="637">
      <formula>OR($B68="",$D69&lt;&gt;"Gebruik trede (gemiddeld)", $BF71)</formula>
    </cfRule>
  </conditionalFormatting>
  <conditionalFormatting sqref="F72:U72">
    <cfRule type="expression" dxfId="1737" priority="622">
      <formula>$D72&lt;&gt;"Aandeel in %"</formula>
    </cfRule>
  </conditionalFormatting>
  <conditionalFormatting sqref="F75:U75">
    <cfRule type="expression" dxfId="1736" priority="619">
      <formula>$B75=""</formula>
    </cfRule>
  </conditionalFormatting>
  <conditionalFormatting sqref="F76:U76">
    <cfRule type="expression" dxfId="1735" priority="616">
      <formula>OR($B75="",$D76&lt;&gt;"Gebruik % van maximum salaris", $BF78)</formula>
    </cfRule>
  </conditionalFormatting>
  <conditionalFormatting sqref="F77:U77">
    <cfRule type="expression" dxfId="1734" priority="617">
      <formula>OR($B75="",$D76&lt;&gt;"Gebruik trede (gemiddeld)", $BF78)</formula>
    </cfRule>
  </conditionalFormatting>
  <conditionalFormatting sqref="F79:U79">
    <cfRule type="expression" dxfId="1733" priority="589">
      <formula>$D79&lt;&gt;"Aandeel in %"</formula>
    </cfRule>
  </conditionalFormatting>
  <conditionalFormatting sqref="F82:U82">
    <cfRule type="expression" dxfId="1732" priority="605">
      <formula>$B82=""</formula>
    </cfRule>
  </conditionalFormatting>
  <conditionalFormatting sqref="F83:U83">
    <cfRule type="expression" dxfId="1731" priority="602">
      <formula>OR($B82="",$D83&lt;&gt;"Gebruik % van maximum salaris", $BF85)</formula>
    </cfRule>
  </conditionalFormatting>
  <conditionalFormatting sqref="F84:U84">
    <cfRule type="expression" dxfId="1730" priority="603">
      <formula>OR($B82="",$D83&lt;&gt;"Gebruik trede (gemiddeld)", $BF85)</formula>
    </cfRule>
  </conditionalFormatting>
  <conditionalFormatting sqref="F86:U86">
    <cfRule type="expression" dxfId="1729" priority="588">
      <formula>$D86&lt;&gt;"Aandeel in %"</formula>
    </cfRule>
  </conditionalFormatting>
  <conditionalFormatting sqref="F89:U89">
    <cfRule type="expression" dxfId="1728" priority="585">
      <formula>$B89=""</formula>
    </cfRule>
  </conditionalFormatting>
  <conditionalFormatting sqref="F90:U90">
    <cfRule type="expression" dxfId="1727" priority="582">
      <formula>OR($B89="",$D90&lt;&gt;"Gebruik % van maximum salaris", $BF92)</formula>
    </cfRule>
  </conditionalFormatting>
  <conditionalFormatting sqref="F91:U91">
    <cfRule type="expression" dxfId="1726" priority="583">
      <formula>OR($B89="",$D90&lt;&gt;"Gebruik trede (gemiddeld)", $BF92)</formula>
    </cfRule>
  </conditionalFormatting>
  <conditionalFormatting sqref="F93:U93">
    <cfRule type="expression" dxfId="1725" priority="555">
      <formula>$D93&lt;&gt;"Aandeel in %"</formula>
    </cfRule>
  </conditionalFormatting>
  <conditionalFormatting sqref="F96:U96">
    <cfRule type="expression" dxfId="1724" priority="571">
      <formula>$B96=""</formula>
    </cfRule>
  </conditionalFormatting>
  <conditionalFormatting sqref="F97:U97">
    <cfRule type="expression" dxfId="1723" priority="568">
      <formula>OR($B96="",$D97&lt;&gt;"Gebruik % van maximum salaris", $BF99)</formula>
    </cfRule>
  </conditionalFormatting>
  <conditionalFormatting sqref="F98:U98">
    <cfRule type="expression" dxfId="1722" priority="569">
      <formula>OR($B96="",$D97&lt;&gt;"Gebruik trede (gemiddeld)", $BF99)</formula>
    </cfRule>
  </conditionalFormatting>
  <conditionalFormatting sqref="F100:U100">
    <cfRule type="expression" dxfId="1721" priority="554">
      <formula>$D100&lt;&gt;"Aandeel in %"</formula>
    </cfRule>
  </conditionalFormatting>
  <conditionalFormatting sqref="F103:U103">
    <cfRule type="expression" dxfId="1720" priority="551">
      <formula>$B103=""</formula>
    </cfRule>
  </conditionalFormatting>
  <conditionalFormatting sqref="F104:U104">
    <cfRule type="expression" dxfId="1719" priority="548">
      <formula>OR($B103="",$D104&lt;&gt;"Gebruik % van maximum salaris", $BF106)</formula>
    </cfRule>
  </conditionalFormatting>
  <conditionalFormatting sqref="F105:U105">
    <cfRule type="expression" dxfId="1718" priority="549">
      <formula>OR($B103="",$D104&lt;&gt;"Gebruik trede (gemiddeld)", $BF106)</formula>
    </cfRule>
  </conditionalFormatting>
  <conditionalFormatting sqref="F107:U107">
    <cfRule type="expression" dxfId="1717" priority="521">
      <formula>$D107&lt;&gt;"Aandeel in %"</formula>
    </cfRule>
  </conditionalFormatting>
  <conditionalFormatting sqref="F110:U110">
    <cfRule type="expression" dxfId="1716" priority="537">
      <formula>$B110=""</formula>
    </cfRule>
  </conditionalFormatting>
  <conditionalFormatting sqref="F111:U111">
    <cfRule type="expression" dxfId="1715" priority="534">
      <formula>OR($B110="",$D111&lt;&gt;"Gebruik % van maximum salaris", $BF113)</formula>
    </cfRule>
  </conditionalFormatting>
  <conditionalFormatting sqref="F112:U112">
    <cfRule type="expression" dxfId="1714" priority="535">
      <formula>OR($B110="",$D111&lt;&gt;"Gebruik trede (gemiddeld)", $BF113)</formula>
    </cfRule>
  </conditionalFormatting>
  <conditionalFormatting sqref="F114:U114">
    <cfRule type="expression" dxfId="1713" priority="520">
      <formula>$D114&lt;&gt;"Aandeel in %"</formula>
    </cfRule>
  </conditionalFormatting>
  <conditionalFormatting sqref="F117:U117">
    <cfRule type="expression" dxfId="1712" priority="517">
      <formula>$B117=""</formula>
    </cfRule>
  </conditionalFormatting>
  <conditionalFormatting sqref="F118:U118">
    <cfRule type="expression" dxfId="1711" priority="514">
      <formula>OR($B117="",$D118&lt;&gt;"Gebruik % van maximum salaris", $BF120)</formula>
    </cfRule>
  </conditionalFormatting>
  <conditionalFormatting sqref="F119:U119">
    <cfRule type="expression" dxfId="1710" priority="515">
      <formula>OR($B117="",$D118&lt;&gt;"Gebruik trede (gemiddeld)", $BF120)</formula>
    </cfRule>
  </conditionalFormatting>
  <conditionalFormatting sqref="F121:U121">
    <cfRule type="expression" dxfId="1709" priority="487">
      <formula>$D121&lt;&gt;"Aandeel in %"</formula>
    </cfRule>
  </conditionalFormatting>
  <conditionalFormatting sqref="F124:U124">
    <cfRule type="expression" dxfId="1708" priority="503">
      <formula>$B124=""</formula>
    </cfRule>
  </conditionalFormatting>
  <conditionalFormatting sqref="F125:U125">
    <cfRule type="expression" dxfId="1707" priority="500">
      <formula>OR($B124="",$D125&lt;&gt;"Gebruik % van maximum salaris", $BF127)</formula>
    </cfRule>
  </conditionalFormatting>
  <conditionalFormatting sqref="F126:U126">
    <cfRule type="expression" dxfId="1706" priority="501">
      <formula>OR($B124="",$D125&lt;&gt;"Gebruik trede (gemiddeld)", $BF127)</formula>
    </cfRule>
  </conditionalFormatting>
  <conditionalFormatting sqref="F128:U128">
    <cfRule type="expression" dxfId="1705" priority="486">
      <formula>$D128&lt;&gt;"Aandeel in %"</formula>
    </cfRule>
  </conditionalFormatting>
  <conditionalFormatting sqref="F131:U131">
    <cfRule type="expression" dxfId="1704" priority="483">
      <formula>$B131=""</formula>
    </cfRule>
  </conditionalFormatting>
  <conditionalFormatting sqref="F132:U132">
    <cfRule type="expression" dxfId="1703" priority="480">
      <formula>OR($B131="",$D132&lt;&gt;"Gebruik % van maximum salaris", $BF134)</formula>
    </cfRule>
  </conditionalFormatting>
  <conditionalFormatting sqref="F133:U133">
    <cfRule type="expression" dxfId="1702" priority="481">
      <formula>OR($B131="",$D132&lt;&gt;"Gebruik trede (gemiddeld)", $BF134)</formula>
    </cfRule>
  </conditionalFormatting>
  <conditionalFormatting sqref="F135:U135">
    <cfRule type="expression" dxfId="1701" priority="453">
      <formula>$D135&lt;&gt;"Aandeel in %"</formula>
    </cfRule>
  </conditionalFormatting>
  <conditionalFormatting sqref="F138:U138">
    <cfRule type="expression" dxfId="1700" priority="469">
      <formula>$B138=""</formula>
    </cfRule>
  </conditionalFormatting>
  <conditionalFormatting sqref="F139:U139">
    <cfRule type="expression" dxfId="1699" priority="466">
      <formula>OR($B138="",$D139&lt;&gt;"Gebruik % van maximum salaris", $BF141)</formula>
    </cfRule>
  </conditionalFormatting>
  <conditionalFormatting sqref="F140:U140">
    <cfRule type="expression" dxfId="1698" priority="467">
      <formula>OR($B138="",$D139&lt;&gt;"Gebruik trede (gemiddeld)", $BF141)</formula>
    </cfRule>
  </conditionalFormatting>
  <conditionalFormatting sqref="F142:U142">
    <cfRule type="expression" dxfId="1697" priority="452">
      <formula>$D142&lt;&gt;"Aandeel in %"</formula>
    </cfRule>
  </conditionalFormatting>
  <conditionalFormatting sqref="F145:U145">
    <cfRule type="expression" dxfId="1696" priority="449">
      <formula>$B145=""</formula>
    </cfRule>
  </conditionalFormatting>
  <conditionalFormatting sqref="F146:U146">
    <cfRule type="expression" dxfId="1695" priority="446">
      <formula>OR($B145="",$D146&lt;&gt;"Gebruik % van maximum salaris", $BF148)</formula>
    </cfRule>
  </conditionalFormatting>
  <conditionalFormatting sqref="F147:U147">
    <cfRule type="expression" dxfId="1694" priority="447">
      <formula>OR($B145="",$D146&lt;&gt;"Gebruik trede (gemiddeld)", $BF148)</formula>
    </cfRule>
  </conditionalFormatting>
  <conditionalFormatting sqref="F149:U149">
    <cfRule type="expression" dxfId="1693" priority="419">
      <formula>$D149&lt;&gt;"Aandeel in %"</formula>
    </cfRule>
  </conditionalFormatting>
  <conditionalFormatting sqref="F152:U152">
    <cfRule type="expression" dxfId="1692" priority="435">
      <formula>$B152=""</formula>
    </cfRule>
  </conditionalFormatting>
  <conditionalFormatting sqref="F153:U153">
    <cfRule type="expression" dxfId="1691" priority="432">
      <formula>OR($B152="",$D153&lt;&gt;"Gebruik % van maximum salaris", $BF155)</formula>
    </cfRule>
  </conditionalFormatting>
  <conditionalFormatting sqref="F154:U154">
    <cfRule type="expression" dxfId="1690" priority="433">
      <formula>OR($B152="",$D153&lt;&gt;"Gebruik trede (gemiddeld)", $BF155)</formula>
    </cfRule>
  </conditionalFormatting>
  <conditionalFormatting sqref="F156:U156">
    <cfRule type="expression" dxfId="1689" priority="418">
      <formula>$D156&lt;&gt;"Aandeel in %"</formula>
    </cfRule>
  </conditionalFormatting>
  <conditionalFormatting sqref="F159:U159">
    <cfRule type="expression" dxfId="1688" priority="415">
      <formula>$B159=""</formula>
    </cfRule>
  </conditionalFormatting>
  <conditionalFormatting sqref="F160:U160">
    <cfRule type="expression" dxfId="1687" priority="412">
      <formula>OR($B159="",$D160&lt;&gt;"Gebruik % van maximum salaris", $BF162)</formula>
    </cfRule>
  </conditionalFormatting>
  <conditionalFormatting sqref="F161:U161">
    <cfRule type="expression" dxfId="1686" priority="413">
      <formula>OR($B159="",$D160&lt;&gt;"Gebruik trede (gemiddeld)", $BF162)</formula>
    </cfRule>
  </conditionalFormatting>
  <conditionalFormatting sqref="F163:U163">
    <cfRule type="expression" dxfId="1685" priority="385">
      <formula>$D163&lt;&gt;"Aandeel in %"</formula>
    </cfRule>
  </conditionalFormatting>
  <conditionalFormatting sqref="F166:U166">
    <cfRule type="expression" dxfId="1684" priority="401">
      <formula>$B166=""</formula>
    </cfRule>
  </conditionalFormatting>
  <conditionalFormatting sqref="F167:U167">
    <cfRule type="expression" dxfId="1683" priority="398">
      <formula>OR($B166="",$D167&lt;&gt;"Gebruik % van maximum salaris", $BF169)</formula>
    </cfRule>
  </conditionalFormatting>
  <conditionalFormatting sqref="F168:U168">
    <cfRule type="expression" dxfId="1682" priority="399">
      <formula>OR($B166="",$D167&lt;&gt;"Gebruik trede (gemiddeld)", $BF169)</formula>
    </cfRule>
  </conditionalFormatting>
  <conditionalFormatting sqref="F170:U170">
    <cfRule type="expression" dxfId="1681" priority="384">
      <formula>$D170&lt;&gt;"Aandeel in %"</formula>
    </cfRule>
  </conditionalFormatting>
  <conditionalFormatting sqref="F173:U173">
    <cfRule type="expression" dxfId="1680" priority="381">
      <formula>$B173=""</formula>
    </cfRule>
  </conditionalFormatting>
  <conditionalFormatting sqref="F174:U174">
    <cfRule type="expression" dxfId="1679" priority="378">
      <formula>OR($B173="",$D174&lt;&gt;"Gebruik % van maximum salaris", $BF176)</formula>
    </cfRule>
  </conditionalFormatting>
  <conditionalFormatting sqref="F175:U175">
    <cfRule type="expression" dxfId="1678" priority="379">
      <formula>OR($B173="",$D174&lt;&gt;"Gebruik trede (gemiddeld)", $BF176)</formula>
    </cfRule>
  </conditionalFormatting>
  <conditionalFormatting sqref="F177:U177">
    <cfRule type="expression" dxfId="1677" priority="351">
      <formula>$D177&lt;&gt;"Aandeel in %"</formula>
    </cfRule>
  </conditionalFormatting>
  <conditionalFormatting sqref="F180:U180">
    <cfRule type="expression" dxfId="1676" priority="367">
      <formula>$B180=""</formula>
    </cfRule>
  </conditionalFormatting>
  <conditionalFormatting sqref="F181:U181">
    <cfRule type="expression" dxfId="1675" priority="364">
      <formula>OR($B180="",$D181&lt;&gt;"Gebruik % van maximum salaris", $BF183)</formula>
    </cfRule>
  </conditionalFormatting>
  <conditionalFormatting sqref="F182:U182">
    <cfRule type="expression" dxfId="1674" priority="365">
      <formula>OR($B180="",$D181&lt;&gt;"Gebruik trede (gemiddeld)", $BF183)</formula>
    </cfRule>
  </conditionalFormatting>
  <conditionalFormatting sqref="F184:U184">
    <cfRule type="expression" dxfId="1673" priority="350">
      <formula>$D184&lt;&gt;"Aandeel in %"</formula>
    </cfRule>
  </conditionalFormatting>
  <conditionalFormatting sqref="F187:U187">
    <cfRule type="expression" dxfId="1672" priority="347">
      <formula>$B187=""</formula>
    </cfRule>
  </conditionalFormatting>
  <conditionalFormatting sqref="F188:U188">
    <cfRule type="expression" dxfId="1671" priority="344">
      <formula>OR($B187="",$D188&lt;&gt;"Gebruik % van maximum salaris", $BF190)</formula>
    </cfRule>
  </conditionalFormatting>
  <conditionalFormatting sqref="F189:U189">
    <cfRule type="expression" dxfId="1670" priority="345">
      <formula>OR($B187="",$D188&lt;&gt;"Gebruik trede (gemiddeld)", $BF190)</formula>
    </cfRule>
  </conditionalFormatting>
  <conditionalFormatting sqref="F191:U191">
    <cfRule type="expression" dxfId="1669" priority="317">
      <formula>$D191&lt;&gt;"Aandeel in %"</formula>
    </cfRule>
  </conditionalFormatting>
  <conditionalFormatting sqref="F194:U194">
    <cfRule type="expression" dxfId="1668" priority="333">
      <formula>$B194=""</formula>
    </cfRule>
  </conditionalFormatting>
  <conditionalFormatting sqref="F195:U195">
    <cfRule type="expression" dxfId="1667" priority="330">
      <formula>OR($B194="",$D195&lt;&gt;"Gebruik % van maximum salaris", $BF197)</formula>
    </cfRule>
  </conditionalFormatting>
  <conditionalFormatting sqref="F196:U196">
    <cfRule type="expression" dxfId="1666" priority="331">
      <formula>OR($B194="",$D195&lt;&gt;"Gebruik trede (gemiddeld)", $BF197)</formula>
    </cfRule>
  </conditionalFormatting>
  <conditionalFormatting sqref="F198:U198">
    <cfRule type="expression" dxfId="1665" priority="316">
      <formula>$D198&lt;&gt;"Aandeel in %"</formula>
    </cfRule>
  </conditionalFormatting>
  <conditionalFormatting sqref="F201:U201">
    <cfRule type="expression" dxfId="1664" priority="313">
      <formula>$B201=""</formula>
    </cfRule>
  </conditionalFormatting>
  <conditionalFormatting sqref="F202:U202">
    <cfRule type="expression" dxfId="1663" priority="310">
      <formula>OR($B201="",$D202&lt;&gt;"Gebruik % van maximum salaris", $BF204)</formula>
    </cfRule>
  </conditionalFormatting>
  <conditionalFormatting sqref="F203:U203">
    <cfRule type="expression" dxfId="1662" priority="311">
      <formula>OR($B201="",$D202&lt;&gt;"Gebruik trede (gemiddeld)", $BF204)</formula>
    </cfRule>
  </conditionalFormatting>
  <conditionalFormatting sqref="F205:U205">
    <cfRule type="expression" dxfId="1661" priority="283">
      <formula>$D205&lt;&gt;"Aandeel in %"</formula>
    </cfRule>
  </conditionalFormatting>
  <conditionalFormatting sqref="F208:U208">
    <cfRule type="expression" dxfId="1660" priority="299">
      <formula>$B208=""</formula>
    </cfRule>
  </conditionalFormatting>
  <conditionalFormatting sqref="F209:U209">
    <cfRule type="expression" dxfId="1659" priority="296">
      <formula>OR($B208="",$D209&lt;&gt;"Gebruik % van maximum salaris", $BF211)</formula>
    </cfRule>
  </conditionalFormatting>
  <conditionalFormatting sqref="F210:U210">
    <cfRule type="expression" dxfId="1658" priority="297">
      <formula>OR($B208="",$D209&lt;&gt;"Gebruik trede (gemiddeld)", $BF211)</formula>
    </cfRule>
  </conditionalFormatting>
  <conditionalFormatting sqref="F212:U212">
    <cfRule type="expression" dxfId="1657" priority="282">
      <formula>$D212&lt;&gt;"Aandeel in %"</formula>
    </cfRule>
  </conditionalFormatting>
  <conditionalFormatting sqref="F215:U215">
    <cfRule type="expression" dxfId="1656" priority="279">
      <formula>$B215=""</formula>
    </cfRule>
  </conditionalFormatting>
  <conditionalFormatting sqref="F216:U216">
    <cfRule type="expression" dxfId="1655" priority="276">
      <formula>OR($B215="",$D216&lt;&gt;"Gebruik % van maximum salaris", $BF218)</formula>
    </cfRule>
  </conditionalFormatting>
  <conditionalFormatting sqref="F217:U217">
    <cfRule type="expression" dxfId="1654" priority="277">
      <formula>OR($B215="",$D216&lt;&gt;"Gebruik trede (gemiddeld)", $BF218)</formula>
    </cfRule>
  </conditionalFormatting>
  <conditionalFormatting sqref="F219:U219">
    <cfRule type="expression" dxfId="1653" priority="249">
      <formula>$D219&lt;&gt;"Aandeel in %"</formula>
    </cfRule>
  </conditionalFormatting>
  <conditionalFormatting sqref="F222:U222">
    <cfRule type="expression" dxfId="1652" priority="265">
      <formula>$B222=""</formula>
    </cfRule>
  </conditionalFormatting>
  <conditionalFormatting sqref="F223:U223">
    <cfRule type="expression" dxfId="1651" priority="262">
      <formula>OR($B222="",$D223&lt;&gt;"Gebruik % van maximum salaris", $BF225)</formula>
    </cfRule>
  </conditionalFormatting>
  <conditionalFormatting sqref="F224:U224">
    <cfRule type="expression" dxfId="1650" priority="263">
      <formula>OR($B222="",$D223&lt;&gt;"Gebruik trede (gemiddeld)", $BF225)</formula>
    </cfRule>
  </conditionalFormatting>
  <conditionalFormatting sqref="F226:U226">
    <cfRule type="expression" dxfId="1649" priority="248">
      <formula>$D226&lt;&gt;"Aandeel in %"</formula>
    </cfRule>
  </conditionalFormatting>
  <conditionalFormatting sqref="F229:U229">
    <cfRule type="expression" dxfId="1648" priority="245">
      <formula>$B229=""</formula>
    </cfRule>
  </conditionalFormatting>
  <conditionalFormatting sqref="F230:U230">
    <cfRule type="expression" dxfId="1647" priority="242">
      <formula>OR($B229="",$D230&lt;&gt;"Gebruik % van maximum salaris", $BF232)</formula>
    </cfRule>
  </conditionalFormatting>
  <conditionalFormatting sqref="F231:U231">
    <cfRule type="expression" dxfId="1646" priority="243">
      <formula>OR($B229="",$D230&lt;&gt;"Gebruik trede (gemiddeld)", $BF232)</formula>
    </cfRule>
  </conditionalFormatting>
  <conditionalFormatting sqref="F233:U233">
    <cfRule type="expression" dxfId="1645" priority="215">
      <formula>$D233&lt;&gt;"Aandeel in %"</formula>
    </cfRule>
  </conditionalFormatting>
  <conditionalFormatting sqref="F236:U236">
    <cfRule type="expression" dxfId="1644" priority="231">
      <formula>$B236=""</formula>
    </cfRule>
  </conditionalFormatting>
  <conditionalFormatting sqref="F237:U237">
    <cfRule type="expression" dxfId="1643" priority="228">
      <formula>OR($B236="",$D237&lt;&gt;"Gebruik % van maximum salaris", $BF239)</formula>
    </cfRule>
  </conditionalFormatting>
  <conditionalFormatting sqref="F238:U238">
    <cfRule type="expression" dxfId="1642" priority="229">
      <formula>OR($B236="",$D237&lt;&gt;"Gebruik trede (gemiddeld)", $BF239)</formula>
    </cfRule>
  </conditionalFormatting>
  <conditionalFormatting sqref="F240:U240">
    <cfRule type="expression" dxfId="1641" priority="214">
      <formula>$D240&lt;&gt;"Aandeel in %"</formula>
    </cfRule>
  </conditionalFormatting>
  <conditionalFormatting sqref="F243:U243">
    <cfRule type="expression" dxfId="1640" priority="177">
      <formula>$B243=""</formula>
    </cfRule>
  </conditionalFormatting>
  <conditionalFormatting sqref="F244:U244">
    <cfRule type="expression" dxfId="1639" priority="174">
      <formula>OR($B243="",$D244&lt;&gt;"Gebruik % van maximum salaris", $BF246)</formula>
    </cfRule>
  </conditionalFormatting>
  <conditionalFormatting sqref="F245:U245">
    <cfRule type="expression" dxfId="1638" priority="175">
      <formula>OR($B243="",$D244&lt;&gt;"Gebruik trede (gemiddeld)", $BF246)</formula>
    </cfRule>
  </conditionalFormatting>
  <conditionalFormatting sqref="F247:U247">
    <cfRule type="expression" dxfId="1637" priority="147">
      <formula>$D247&lt;&gt;"Aandeel in %"</formula>
    </cfRule>
  </conditionalFormatting>
  <conditionalFormatting sqref="F250:U250">
    <cfRule type="expression" dxfId="1636" priority="163">
      <formula>$B250=""</formula>
    </cfRule>
  </conditionalFormatting>
  <conditionalFormatting sqref="F251:U251">
    <cfRule type="expression" dxfId="1635" priority="160">
      <formula>OR($B250="",$D251&lt;&gt;"Gebruik % van maximum salaris", $BF253)</formula>
    </cfRule>
  </conditionalFormatting>
  <conditionalFormatting sqref="F252:U252">
    <cfRule type="expression" dxfId="1634" priority="161">
      <formula>OR($B250="",$D251&lt;&gt;"Gebruik trede (gemiddeld)", $BF253)</formula>
    </cfRule>
  </conditionalFormatting>
  <conditionalFormatting sqref="F254:U254">
    <cfRule type="expression" dxfId="1633" priority="146">
      <formula>$D254&lt;&gt;"Aandeel in %"</formula>
    </cfRule>
  </conditionalFormatting>
  <conditionalFormatting sqref="F257:U257">
    <cfRule type="expression" dxfId="1632" priority="143">
      <formula>$B257=""</formula>
    </cfRule>
  </conditionalFormatting>
  <conditionalFormatting sqref="F258:U258">
    <cfRule type="expression" dxfId="1631" priority="140">
      <formula>OR($B257="",$D258&lt;&gt;"Gebruik % van maximum salaris", $BF260)</formula>
    </cfRule>
  </conditionalFormatting>
  <conditionalFormatting sqref="F259:U259">
    <cfRule type="expression" dxfId="1630" priority="141">
      <formula>OR($B257="",$D258&lt;&gt;"Gebruik trede (gemiddeld)", $BF260)</formula>
    </cfRule>
  </conditionalFormatting>
  <conditionalFormatting sqref="F261:U261">
    <cfRule type="expression" dxfId="1629" priority="113">
      <formula>$D261&lt;&gt;"Aandeel in %"</formula>
    </cfRule>
  </conditionalFormatting>
  <conditionalFormatting sqref="F264:U264">
    <cfRule type="expression" dxfId="1628" priority="129">
      <formula>$B264=""</formula>
    </cfRule>
  </conditionalFormatting>
  <conditionalFormatting sqref="F265:U265">
    <cfRule type="expression" dxfId="1627" priority="126">
      <formula>OR($B264="",$D265&lt;&gt;"Gebruik % van maximum salaris", $BF267)</formula>
    </cfRule>
  </conditionalFormatting>
  <conditionalFormatting sqref="F266:U266">
    <cfRule type="expression" dxfId="1626" priority="127">
      <formula>OR($B264="",$D265&lt;&gt;"Gebruik trede (gemiddeld)", $BF267)</formula>
    </cfRule>
  </conditionalFormatting>
  <conditionalFormatting sqref="F268:U268">
    <cfRule type="expression" dxfId="1625" priority="112">
      <formula>$D268&lt;&gt;"Aandeel in %"</formula>
    </cfRule>
  </conditionalFormatting>
  <conditionalFormatting sqref="F271:U271">
    <cfRule type="expression" dxfId="1624" priority="109">
      <formula>$B271=""</formula>
    </cfRule>
  </conditionalFormatting>
  <conditionalFormatting sqref="F272:U272">
    <cfRule type="expression" dxfId="1623" priority="106">
      <formula>OR($B271="",$D272&lt;&gt;"Gebruik % van maximum salaris", $BF274)</formula>
    </cfRule>
  </conditionalFormatting>
  <conditionalFormatting sqref="F273:U273">
    <cfRule type="expression" dxfId="1622" priority="107">
      <formula>OR($B271="",$D272&lt;&gt;"Gebruik trede (gemiddeld)", $BF274)</formula>
    </cfRule>
  </conditionalFormatting>
  <conditionalFormatting sqref="F275:U275">
    <cfRule type="expression" dxfId="1621" priority="79">
      <formula>$D275&lt;&gt;"Aandeel in %"</formula>
    </cfRule>
  </conditionalFormatting>
  <conditionalFormatting sqref="F278:U278">
    <cfRule type="expression" dxfId="1620" priority="95">
      <formula>$B278=""</formula>
    </cfRule>
  </conditionalFormatting>
  <conditionalFormatting sqref="F279:U279">
    <cfRule type="expression" dxfId="1619" priority="92">
      <formula>OR($B278="",$D279&lt;&gt;"Gebruik % van maximum salaris", $BF281)</formula>
    </cfRule>
  </conditionalFormatting>
  <conditionalFormatting sqref="F280:U280">
    <cfRule type="expression" dxfId="1618" priority="93">
      <formula>OR($B278="",$D279&lt;&gt;"Gebruik trede (gemiddeld)", $BF281)</formula>
    </cfRule>
  </conditionalFormatting>
  <conditionalFormatting sqref="F282:U282">
    <cfRule type="expression" dxfId="1617" priority="78">
      <formula>$D282&lt;&gt;"Aandeel in %"</formula>
    </cfRule>
  </conditionalFormatting>
  <conditionalFormatting sqref="F8:V8 Y8">
    <cfRule type="expression" dxfId="1616" priority="2995">
      <formula>$B5=""</formula>
    </cfRule>
  </conditionalFormatting>
  <conditionalFormatting sqref="F15:V15 Y15">
    <cfRule type="expression" dxfId="1615" priority="2539">
      <formula>$B12=""</formula>
    </cfRule>
  </conditionalFormatting>
  <conditionalFormatting sqref="F22:V22 Y22">
    <cfRule type="expression" dxfId="1614" priority="2159">
      <formula>$B19=""</formula>
    </cfRule>
  </conditionalFormatting>
  <conditionalFormatting sqref="F29:V29 Y29">
    <cfRule type="expression" dxfId="1613" priority="2139">
      <formula>$B26=""</formula>
    </cfRule>
  </conditionalFormatting>
  <conditionalFormatting sqref="F36:V36 Y36">
    <cfRule type="expression" dxfId="1612" priority="720">
      <formula>$B33=""</formula>
    </cfRule>
  </conditionalFormatting>
  <conditionalFormatting sqref="F43:V43 Y43">
    <cfRule type="expression" dxfId="1611" priority="706">
      <formula>$B40=""</formula>
    </cfRule>
  </conditionalFormatting>
  <conditionalFormatting sqref="F50:V50 Y50">
    <cfRule type="expression" dxfId="1610" priority="686">
      <formula>$B47=""</formula>
    </cfRule>
  </conditionalFormatting>
  <conditionalFormatting sqref="F57:V57 Y57">
    <cfRule type="expression" dxfId="1609" priority="672">
      <formula>$B54=""</formula>
    </cfRule>
  </conditionalFormatting>
  <conditionalFormatting sqref="F64:V64 Y64">
    <cfRule type="expression" dxfId="1608" priority="652">
      <formula>$B61=""</formula>
    </cfRule>
  </conditionalFormatting>
  <conditionalFormatting sqref="F71:V71 Y71">
    <cfRule type="expression" dxfId="1607" priority="638">
      <formula>$B68=""</formula>
    </cfRule>
  </conditionalFormatting>
  <conditionalFormatting sqref="F78:V78 Y78">
    <cfRule type="expression" dxfId="1606" priority="618">
      <formula>$B75=""</formula>
    </cfRule>
  </conditionalFormatting>
  <conditionalFormatting sqref="F85:V85 Y85">
    <cfRule type="expression" dxfId="1605" priority="604">
      <formula>$B82=""</formula>
    </cfRule>
  </conditionalFormatting>
  <conditionalFormatting sqref="F92:V92 Y92">
    <cfRule type="expression" dxfId="1604" priority="584">
      <formula>$B89=""</formula>
    </cfRule>
  </conditionalFormatting>
  <conditionalFormatting sqref="F99:V99 Y99">
    <cfRule type="expression" dxfId="1603" priority="570">
      <formula>$B96=""</formula>
    </cfRule>
  </conditionalFormatting>
  <conditionalFormatting sqref="F106:V106 Y106">
    <cfRule type="expression" dxfId="1602" priority="550">
      <formula>$B103=""</formula>
    </cfRule>
  </conditionalFormatting>
  <conditionalFormatting sqref="F113:V113 Y113">
    <cfRule type="expression" dxfId="1601" priority="536">
      <formula>$B110=""</formula>
    </cfRule>
  </conditionalFormatting>
  <conditionalFormatting sqref="F120:V120 Y120">
    <cfRule type="expression" dxfId="1600" priority="516">
      <formula>$B117=""</formula>
    </cfRule>
  </conditionalFormatting>
  <conditionalFormatting sqref="F127:V127 Y127">
    <cfRule type="expression" dxfId="1599" priority="502">
      <formula>$B124=""</formula>
    </cfRule>
  </conditionalFormatting>
  <conditionalFormatting sqref="F134:V134 Y134">
    <cfRule type="expression" dxfId="1598" priority="482">
      <formula>$B131=""</formula>
    </cfRule>
  </conditionalFormatting>
  <conditionalFormatting sqref="F141:V141 Y141">
    <cfRule type="expression" dxfId="1597" priority="468">
      <formula>$B138=""</formula>
    </cfRule>
  </conditionalFormatting>
  <conditionalFormatting sqref="F148:V148 Y148">
    <cfRule type="expression" dxfId="1596" priority="448">
      <formula>$B145=""</formula>
    </cfRule>
  </conditionalFormatting>
  <conditionalFormatting sqref="F155:V155 Y155">
    <cfRule type="expression" dxfId="1595" priority="434">
      <formula>$B152=""</formula>
    </cfRule>
  </conditionalFormatting>
  <conditionalFormatting sqref="F162:V162 Y162">
    <cfRule type="expression" dxfId="1594" priority="414">
      <formula>$B159=""</formula>
    </cfRule>
  </conditionalFormatting>
  <conditionalFormatting sqref="F169:V169 Y169">
    <cfRule type="expression" dxfId="1593" priority="400">
      <formula>$B166=""</formula>
    </cfRule>
  </conditionalFormatting>
  <conditionalFormatting sqref="F176:V176 Y176">
    <cfRule type="expression" dxfId="1592" priority="380">
      <formula>$B173=""</formula>
    </cfRule>
  </conditionalFormatting>
  <conditionalFormatting sqref="F183:V183 Y183">
    <cfRule type="expression" dxfId="1591" priority="366">
      <formula>$B180=""</formula>
    </cfRule>
  </conditionalFormatting>
  <conditionalFormatting sqref="F190:V190 Y190">
    <cfRule type="expression" dxfId="1590" priority="346">
      <formula>$B187=""</formula>
    </cfRule>
  </conditionalFormatting>
  <conditionalFormatting sqref="F197:V197 Y197">
    <cfRule type="expression" dxfId="1589" priority="332">
      <formula>$B194=""</formula>
    </cfRule>
  </conditionalFormatting>
  <conditionalFormatting sqref="F204:V204 Y204">
    <cfRule type="expression" dxfId="1588" priority="312">
      <formula>$B201=""</formula>
    </cfRule>
  </conditionalFormatting>
  <conditionalFormatting sqref="F211:V211 Y211">
    <cfRule type="expression" dxfId="1587" priority="298">
      <formula>$B208=""</formula>
    </cfRule>
  </conditionalFormatting>
  <conditionalFormatting sqref="F218:V218 Y218">
    <cfRule type="expression" dxfId="1586" priority="278">
      <formula>$B215=""</formula>
    </cfRule>
  </conditionalFormatting>
  <conditionalFormatting sqref="F225:V225 Y225">
    <cfRule type="expression" dxfId="1585" priority="264">
      <formula>$B222=""</formula>
    </cfRule>
  </conditionalFormatting>
  <conditionalFormatting sqref="F232:V232 Y232">
    <cfRule type="expression" dxfId="1584" priority="244">
      <formula>$B229=""</formula>
    </cfRule>
  </conditionalFormatting>
  <conditionalFormatting sqref="F239:V239 Y239">
    <cfRule type="expression" dxfId="1583" priority="230">
      <formula>$B236=""</formula>
    </cfRule>
  </conditionalFormatting>
  <conditionalFormatting sqref="F246:V246 Y246">
    <cfRule type="expression" dxfId="1582" priority="176">
      <formula>$B243=""</formula>
    </cfRule>
  </conditionalFormatting>
  <conditionalFormatting sqref="F253:V253 Y253">
    <cfRule type="expression" dxfId="1581" priority="162">
      <formula>$B250=""</formula>
    </cfRule>
  </conditionalFormatting>
  <conditionalFormatting sqref="F260:V260 Y260">
    <cfRule type="expression" dxfId="1580" priority="142">
      <formula>$B257=""</formula>
    </cfRule>
  </conditionalFormatting>
  <conditionalFormatting sqref="F267:V267 Y267">
    <cfRule type="expression" dxfId="1579" priority="128">
      <formula>$B264=""</formula>
    </cfRule>
  </conditionalFormatting>
  <conditionalFormatting sqref="F274:V274 Y274">
    <cfRule type="expression" dxfId="1578" priority="108">
      <formula>$B271=""</formula>
    </cfRule>
  </conditionalFormatting>
  <conditionalFormatting sqref="F281:V281 Y281">
    <cfRule type="expression" dxfId="1577" priority="94">
      <formula>$B278=""</formula>
    </cfRule>
  </conditionalFormatting>
  <conditionalFormatting sqref="X8">
    <cfRule type="expression" dxfId="1576" priority="16097">
      <formula>OR($B5="",BG8&lt;&gt;TRUE)</formula>
    </cfRule>
  </conditionalFormatting>
  <conditionalFormatting sqref="X15">
    <cfRule type="expression" dxfId="1575" priority="2541">
      <formula>OR($B12="",BG15&lt;&gt;TRUE)</formula>
    </cfRule>
  </conditionalFormatting>
  <conditionalFormatting sqref="X22">
    <cfRule type="expression" dxfId="1574" priority="76">
      <formula>OR($B19="",BG22&lt;&gt;TRUE)</formula>
    </cfRule>
  </conditionalFormatting>
  <conditionalFormatting sqref="X29">
    <cfRule type="expression" dxfId="1573" priority="74">
      <formula>OR($B26="",BG29&lt;&gt;TRUE)</formula>
    </cfRule>
  </conditionalFormatting>
  <conditionalFormatting sqref="X36">
    <cfRule type="expression" dxfId="1572" priority="72">
      <formula>OR($B33="",BG36&lt;&gt;TRUE)</formula>
    </cfRule>
  </conditionalFormatting>
  <conditionalFormatting sqref="X43">
    <cfRule type="expression" dxfId="1571" priority="70">
      <formula>OR($B40="",BG43&lt;&gt;TRUE)</formula>
    </cfRule>
  </conditionalFormatting>
  <conditionalFormatting sqref="X50">
    <cfRule type="expression" dxfId="1570" priority="68">
      <formula>OR($B47="",BG50&lt;&gt;TRUE)</formula>
    </cfRule>
  </conditionalFormatting>
  <conditionalFormatting sqref="X57">
    <cfRule type="expression" dxfId="1569" priority="66">
      <formula>OR($B54="",BG57&lt;&gt;TRUE)</formula>
    </cfRule>
  </conditionalFormatting>
  <conditionalFormatting sqref="X64">
    <cfRule type="expression" dxfId="1568" priority="64">
      <formula>OR($B61="",BG64&lt;&gt;TRUE)</formula>
    </cfRule>
  </conditionalFormatting>
  <conditionalFormatting sqref="X71">
    <cfRule type="expression" dxfId="1567" priority="62">
      <formula>OR($B68="",BG71&lt;&gt;TRUE)</formula>
    </cfRule>
  </conditionalFormatting>
  <conditionalFormatting sqref="X78">
    <cfRule type="expression" dxfId="1566" priority="60">
      <formula>OR($B75="",BG78&lt;&gt;TRUE)</formula>
    </cfRule>
  </conditionalFormatting>
  <conditionalFormatting sqref="X85">
    <cfRule type="expression" dxfId="1565" priority="58">
      <formula>OR($B82="",BG85&lt;&gt;TRUE)</formula>
    </cfRule>
  </conditionalFormatting>
  <conditionalFormatting sqref="X92">
    <cfRule type="expression" dxfId="1564" priority="56">
      <formula>OR($B89="",BG92&lt;&gt;TRUE)</formula>
    </cfRule>
  </conditionalFormatting>
  <conditionalFormatting sqref="X99">
    <cfRule type="expression" dxfId="1563" priority="54">
      <formula>OR($B96="",BG99&lt;&gt;TRUE)</formula>
    </cfRule>
  </conditionalFormatting>
  <conditionalFormatting sqref="X106">
    <cfRule type="expression" dxfId="1562" priority="52">
      <formula>OR($B103="",BG106&lt;&gt;TRUE)</formula>
    </cfRule>
  </conditionalFormatting>
  <conditionalFormatting sqref="X113">
    <cfRule type="expression" dxfId="1561" priority="50">
      <formula>OR($B110="",BG113&lt;&gt;TRUE)</formula>
    </cfRule>
  </conditionalFormatting>
  <conditionalFormatting sqref="X120">
    <cfRule type="expression" dxfId="1560" priority="48">
      <formula>OR($B117="",BG120&lt;&gt;TRUE)</formula>
    </cfRule>
  </conditionalFormatting>
  <conditionalFormatting sqref="X127">
    <cfRule type="expression" dxfId="1559" priority="46">
      <formula>OR($B124="",BG127&lt;&gt;TRUE)</formula>
    </cfRule>
  </conditionalFormatting>
  <conditionalFormatting sqref="X134">
    <cfRule type="expression" dxfId="1558" priority="44">
      <formula>OR($B131="",BG134&lt;&gt;TRUE)</formula>
    </cfRule>
  </conditionalFormatting>
  <conditionalFormatting sqref="X141">
    <cfRule type="expression" dxfId="1557" priority="42">
      <formula>OR($B138="",BG141&lt;&gt;TRUE)</formula>
    </cfRule>
  </conditionalFormatting>
  <conditionalFormatting sqref="X148">
    <cfRule type="expression" dxfId="1556" priority="40">
      <formula>OR($B145="",BG148&lt;&gt;TRUE)</formula>
    </cfRule>
  </conditionalFormatting>
  <conditionalFormatting sqref="X155">
    <cfRule type="expression" dxfId="1555" priority="38">
      <formula>OR($B152="",BG155&lt;&gt;TRUE)</formula>
    </cfRule>
  </conditionalFormatting>
  <conditionalFormatting sqref="X162">
    <cfRule type="expression" dxfId="1554" priority="36">
      <formula>OR($B159="",BG162&lt;&gt;TRUE)</formula>
    </cfRule>
  </conditionalFormatting>
  <conditionalFormatting sqref="X169">
    <cfRule type="expression" dxfId="1553" priority="34">
      <formula>OR($B166="",BG169&lt;&gt;TRUE)</formula>
    </cfRule>
  </conditionalFormatting>
  <conditionalFormatting sqref="X176">
    <cfRule type="expression" dxfId="1552" priority="32">
      <formula>OR($B173="",BG176&lt;&gt;TRUE)</formula>
    </cfRule>
  </conditionalFormatting>
  <conditionalFormatting sqref="X183">
    <cfRule type="expression" dxfId="1551" priority="30">
      <formula>OR($B180="",BG183&lt;&gt;TRUE)</formula>
    </cfRule>
  </conditionalFormatting>
  <conditionalFormatting sqref="X190">
    <cfRule type="expression" dxfId="1550" priority="28">
      <formula>OR($B187="",BG190&lt;&gt;TRUE)</formula>
    </cfRule>
  </conditionalFormatting>
  <conditionalFormatting sqref="X197">
    <cfRule type="expression" dxfId="1549" priority="26">
      <formula>OR($B194="",BG197&lt;&gt;TRUE)</formula>
    </cfRule>
  </conditionalFormatting>
  <conditionalFormatting sqref="X204">
    <cfRule type="expression" dxfId="1548" priority="24">
      <formula>OR($B201="",BG204&lt;&gt;TRUE)</formula>
    </cfRule>
  </conditionalFormatting>
  <conditionalFormatting sqref="X211">
    <cfRule type="expression" dxfId="1547" priority="22">
      <formula>OR($B208="",BG211&lt;&gt;TRUE)</formula>
    </cfRule>
  </conditionalFormatting>
  <conditionalFormatting sqref="X218">
    <cfRule type="expression" dxfId="1546" priority="20">
      <formula>OR($B215="",BG218&lt;&gt;TRUE)</formula>
    </cfRule>
  </conditionalFormatting>
  <conditionalFormatting sqref="X225">
    <cfRule type="expression" dxfId="1545" priority="18">
      <formula>OR($B222="",BG225&lt;&gt;TRUE)</formula>
    </cfRule>
  </conditionalFormatting>
  <conditionalFormatting sqref="X232">
    <cfRule type="expression" dxfId="1544" priority="16">
      <formula>OR($B229="",BG232&lt;&gt;TRUE)</formula>
    </cfRule>
  </conditionalFormatting>
  <conditionalFormatting sqref="X239">
    <cfRule type="expression" dxfId="1543" priority="14">
      <formula>OR($B236="",BG239&lt;&gt;TRUE)</formula>
    </cfRule>
  </conditionalFormatting>
  <conditionalFormatting sqref="X246">
    <cfRule type="expression" dxfId="1542" priority="12">
      <formula>OR($B243="",BG246&lt;&gt;TRUE)</formula>
    </cfRule>
  </conditionalFormatting>
  <conditionalFormatting sqref="X253">
    <cfRule type="expression" dxfId="1541" priority="10">
      <formula>OR($B250="",BG253&lt;&gt;TRUE)</formula>
    </cfRule>
  </conditionalFormatting>
  <conditionalFormatting sqref="X260">
    <cfRule type="expression" dxfId="1540" priority="8">
      <formula>OR($B257="",BG260&lt;&gt;TRUE)</formula>
    </cfRule>
  </conditionalFormatting>
  <conditionalFormatting sqref="X267">
    <cfRule type="expression" dxfId="1539" priority="6">
      <formula>OR($B264="",BG267&lt;&gt;TRUE)</formula>
    </cfRule>
  </conditionalFormatting>
  <conditionalFormatting sqref="X274">
    <cfRule type="expression" dxfId="1538" priority="4">
      <formula>OR($B271="",BG274&lt;&gt;TRUE)</formula>
    </cfRule>
  </conditionalFormatting>
  <conditionalFormatting sqref="X281">
    <cfRule type="expression" dxfId="1537" priority="2">
      <formula>OR($B278="",BG281&lt;&gt;TRUE)</formula>
    </cfRule>
  </conditionalFormatting>
  <conditionalFormatting sqref="AA11">
    <cfRule type="expression" dxfId="1536" priority="2531" stopIfTrue="1">
      <formula>$B12=""</formula>
    </cfRule>
  </conditionalFormatting>
  <conditionalFormatting sqref="AA18">
    <cfRule type="expression" dxfId="1535" priority="2151" stopIfTrue="1">
      <formula>$B19=""</formula>
    </cfRule>
  </conditionalFormatting>
  <conditionalFormatting sqref="AA25">
    <cfRule type="expression" dxfId="1534" priority="2131" stopIfTrue="1">
      <formula>$B26=""</formula>
    </cfRule>
  </conditionalFormatting>
  <conditionalFormatting sqref="AA32">
    <cfRule type="expression" dxfId="1533" priority="716" stopIfTrue="1">
      <formula>$B33=""</formula>
    </cfRule>
  </conditionalFormatting>
  <conditionalFormatting sqref="AA39">
    <cfRule type="expression" dxfId="1532" priority="702" stopIfTrue="1">
      <formula>$B40=""</formula>
    </cfRule>
  </conditionalFormatting>
  <conditionalFormatting sqref="AA46">
    <cfRule type="expression" dxfId="1531" priority="682" stopIfTrue="1">
      <formula>$B47=""</formula>
    </cfRule>
  </conditionalFormatting>
  <conditionalFormatting sqref="AA53">
    <cfRule type="expression" dxfId="1530" priority="668" stopIfTrue="1">
      <formula>$B54=""</formula>
    </cfRule>
  </conditionalFormatting>
  <conditionalFormatting sqref="AA60">
    <cfRule type="expression" dxfId="1529" priority="648" stopIfTrue="1">
      <formula>$B61=""</formula>
    </cfRule>
  </conditionalFormatting>
  <conditionalFormatting sqref="AA67">
    <cfRule type="expression" dxfId="1528" priority="634" stopIfTrue="1">
      <formula>$B68=""</formula>
    </cfRule>
  </conditionalFormatting>
  <conditionalFormatting sqref="AA74">
    <cfRule type="expression" dxfId="1527" priority="614" stopIfTrue="1">
      <formula>$B75=""</formula>
    </cfRule>
  </conditionalFormatting>
  <conditionalFormatting sqref="AA81">
    <cfRule type="expression" dxfId="1526" priority="600" stopIfTrue="1">
      <formula>$B82=""</formula>
    </cfRule>
  </conditionalFormatting>
  <conditionalFormatting sqref="AA88">
    <cfRule type="expression" dxfId="1525" priority="580" stopIfTrue="1">
      <formula>$B89=""</formula>
    </cfRule>
  </conditionalFormatting>
  <conditionalFormatting sqref="AA95">
    <cfRule type="expression" dxfId="1524" priority="566" stopIfTrue="1">
      <formula>$B96=""</formula>
    </cfRule>
  </conditionalFormatting>
  <conditionalFormatting sqref="AA102">
    <cfRule type="expression" dxfId="1523" priority="546" stopIfTrue="1">
      <formula>$B103=""</formula>
    </cfRule>
  </conditionalFormatting>
  <conditionalFormatting sqref="AA109">
    <cfRule type="expression" dxfId="1522" priority="532" stopIfTrue="1">
      <formula>$B110=""</formula>
    </cfRule>
  </conditionalFormatting>
  <conditionalFormatting sqref="AA116">
    <cfRule type="expression" dxfId="1521" priority="512" stopIfTrue="1">
      <formula>$B117=""</formula>
    </cfRule>
  </conditionalFormatting>
  <conditionalFormatting sqref="AA123">
    <cfRule type="expression" dxfId="1520" priority="498" stopIfTrue="1">
      <formula>$B124=""</formula>
    </cfRule>
  </conditionalFormatting>
  <conditionalFormatting sqref="AA130">
    <cfRule type="expression" dxfId="1519" priority="478" stopIfTrue="1">
      <formula>$B131=""</formula>
    </cfRule>
  </conditionalFormatting>
  <conditionalFormatting sqref="AA137">
    <cfRule type="expression" dxfId="1518" priority="464" stopIfTrue="1">
      <formula>$B138=""</formula>
    </cfRule>
  </conditionalFormatting>
  <conditionalFormatting sqref="AA144">
    <cfRule type="expression" dxfId="1517" priority="444" stopIfTrue="1">
      <formula>$B145=""</formula>
    </cfRule>
  </conditionalFormatting>
  <conditionalFormatting sqref="AA151">
    <cfRule type="expression" dxfId="1516" priority="430" stopIfTrue="1">
      <formula>$B152=""</formula>
    </cfRule>
  </conditionalFormatting>
  <conditionalFormatting sqref="AA158">
    <cfRule type="expression" dxfId="1515" priority="410" stopIfTrue="1">
      <formula>$B159=""</formula>
    </cfRule>
  </conditionalFormatting>
  <conditionalFormatting sqref="AA165">
    <cfRule type="expression" dxfId="1514" priority="396" stopIfTrue="1">
      <formula>$B166=""</formula>
    </cfRule>
  </conditionalFormatting>
  <conditionalFormatting sqref="AA172">
    <cfRule type="expression" dxfId="1513" priority="376" stopIfTrue="1">
      <formula>$B173=""</formula>
    </cfRule>
  </conditionalFormatting>
  <conditionalFormatting sqref="AA179">
    <cfRule type="expression" dxfId="1512" priority="362" stopIfTrue="1">
      <formula>$B180=""</formula>
    </cfRule>
  </conditionalFormatting>
  <conditionalFormatting sqref="AA186">
    <cfRule type="expression" dxfId="1511" priority="342" stopIfTrue="1">
      <formula>$B187=""</formula>
    </cfRule>
  </conditionalFormatting>
  <conditionalFormatting sqref="AA193">
    <cfRule type="expression" dxfId="1510" priority="328" stopIfTrue="1">
      <formula>$B194=""</formula>
    </cfRule>
  </conditionalFormatting>
  <conditionalFormatting sqref="AA200">
    <cfRule type="expression" dxfId="1509" priority="308" stopIfTrue="1">
      <formula>$B201=""</formula>
    </cfRule>
  </conditionalFormatting>
  <conditionalFormatting sqref="AA207">
    <cfRule type="expression" dxfId="1508" priority="294" stopIfTrue="1">
      <formula>$B208=""</formula>
    </cfRule>
  </conditionalFormatting>
  <conditionalFormatting sqref="AA214">
    <cfRule type="expression" dxfId="1507" priority="274" stopIfTrue="1">
      <formula>$B215=""</formula>
    </cfRule>
  </conditionalFormatting>
  <conditionalFormatting sqref="AA221">
    <cfRule type="expression" dxfId="1506" priority="260" stopIfTrue="1">
      <formula>$B222=""</formula>
    </cfRule>
  </conditionalFormatting>
  <conditionalFormatting sqref="AA228">
    <cfRule type="expression" dxfId="1505" priority="240" stopIfTrue="1">
      <formula>$B229=""</formula>
    </cfRule>
  </conditionalFormatting>
  <conditionalFormatting sqref="AA235">
    <cfRule type="expression" dxfId="1504" priority="226" stopIfTrue="1">
      <formula>$B236=""</formula>
    </cfRule>
  </conditionalFormatting>
  <conditionalFormatting sqref="AA242">
    <cfRule type="expression" dxfId="1503" priority="172" stopIfTrue="1">
      <formula>$B243=""</formula>
    </cfRule>
  </conditionalFormatting>
  <conditionalFormatting sqref="AA249">
    <cfRule type="expression" dxfId="1502" priority="158" stopIfTrue="1">
      <formula>$B250=""</formula>
    </cfRule>
  </conditionalFormatting>
  <conditionalFormatting sqref="AA256">
    <cfRule type="expression" dxfId="1501" priority="138" stopIfTrue="1">
      <formula>$B257=""</formula>
    </cfRule>
  </conditionalFormatting>
  <conditionalFormatting sqref="AA263">
    <cfRule type="expression" dxfId="1500" priority="124" stopIfTrue="1">
      <formula>$B264=""</formula>
    </cfRule>
  </conditionalFormatting>
  <conditionalFormatting sqref="AA270">
    <cfRule type="expression" dxfId="1499" priority="104" stopIfTrue="1">
      <formula>$B271=""</formula>
    </cfRule>
  </conditionalFormatting>
  <conditionalFormatting sqref="AA277">
    <cfRule type="expression" dxfId="1498" priority="90" stopIfTrue="1">
      <formula>$B278=""</formula>
    </cfRule>
  </conditionalFormatting>
  <conditionalFormatting sqref="AA6:AB8">
    <cfRule type="expression" dxfId="1497" priority="2845">
      <formula>$BE8=TRUE</formula>
    </cfRule>
  </conditionalFormatting>
  <conditionalFormatting sqref="AA13:AB15">
    <cfRule type="expression" dxfId="1496" priority="1402">
      <formula>$BE15=TRUE</formula>
    </cfRule>
  </conditionalFormatting>
  <conditionalFormatting sqref="AA20:AB22">
    <cfRule type="expression" dxfId="1495" priority="1400">
      <formula>$BE22=TRUE</formula>
    </cfRule>
  </conditionalFormatting>
  <conditionalFormatting sqref="AA27:AB29">
    <cfRule type="expression" dxfId="1494" priority="1398">
      <formula>$BE29=TRUE</formula>
    </cfRule>
  </conditionalFormatting>
  <conditionalFormatting sqref="AA34:AB36">
    <cfRule type="expression" dxfId="1493" priority="694">
      <formula>$BE36=TRUE</formula>
    </cfRule>
  </conditionalFormatting>
  <conditionalFormatting sqref="AA41:AB43">
    <cfRule type="expression" dxfId="1492" priority="693">
      <formula>$BE43=TRUE</formula>
    </cfRule>
  </conditionalFormatting>
  <conditionalFormatting sqref="AA48:AB50">
    <cfRule type="expression" dxfId="1491" priority="660">
      <formula>$BE50=TRUE</formula>
    </cfRule>
  </conditionalFormatting>
  <conditionalFormatting sqref="AA55:AB57">
    <cfRule type="expression" dxfId="1490" priority="659">
      <formula>$BE57=TRUE</formula>
    </cfRule>
  </conditionalFormatting>
  <conditionalFormatting sqref="AA62:AB64">
    <cfRule type="expression" dxfId="1489" priority="626">
      <formula>$BE64=TRUE</formula>
    </cfRule>
  </conditionalFormatting>
  <conditionalFormatting sqref="AA69:AB71">
    <cfRule type="expression" dxfId="1488" priority="625">
      <formula>$BE71=TRUE</formula>
    </cfRule>
  </conditionalFormatting>
  <conditionalFormatting sqref="AA76:AB78">
    <cfRule type="expression" dxfId="1487" priority="592">
      <formula>$BE78=TRUE</formula>
    </cfRule>
  </conditionalFormatting>
  <conditionalFormatting sqref="AA83:AB85">
    <cfRule type="expression" dxfId="1486" priority="591">
      <formula>$BE85=TRUE</formula>
    </cfRule>
  </conditionalFormatting>
  <conditionalFormatting sqref="AA90:AB92">
    <cfRule type="expression" dxfId="1485" priority="558">
      <formula>$BE92=TRUE</formula>
    </cfRule>
  </conditionalFormatting>
  <conditionalFormatting sqref="AA97:AB99">
    <cfRule type="expression" dxfId="1484" priority="557">
      <formula>$BE99=TRUE</formula>
    </cfRule>
  </conditionalFormatting>
  <conditionalFormatting sqref="AA104:AB106">
    <cfRule type="expression" dxfId="1483" priority="524">
      <formula>$BE106=TRUE</formula>
    </cfRule>
  </conditionalFormatting>
  <conditionalFormatting sqref="AA111:AB113">
    <cfRule type="expression" dxfId="1482" priority="523">
      <formula>$BE113=TRUE</formula>
    </cfRule>
  </conditionalFormatting>
  <conditionalFormatting sqref="AA118:AB120">
    <cfRule type="expression" dxfId="1481" priority="490">
      <formula>$BE120=TRUE</formula>
    </cfRule>
  </conditionalFormatting>
  <conditionalFormatting sqref="AA125:AB127">
    <cfRule type="expression" dxfId="1480" priority="489">
      <formula>$BE127=TRUE</formula>
    </cfRule>
  </conditionalFormatting>
  <conditionalFormatting sqref="AA132:AB134">
    <cfRule type="expression" dxfId="1479" priority="456">
      <formula>$BE134=TRUE</formula>
    </cfRule>
  </conditionalFormatting>
  <conditionalFormatting sqref="AA139:AB141">
    <cfRule type="expression" dxfId="1478" priority="455">
      <formula>$BE141=TRUE</formula>
    </cfRule>
  </conditionalFormatting>
  <conditionalFormatting sqref="AA146:AB148">
    <cfRule type="expression" dxfId="1477" priority="422">
      <formula>$BE148=TRUE</formula>
    </cfRule>
  </conditionalFormatting>
  <conditionalFormatting sqref="AA153:AB155">
    <cfRule type="expression" dxfId="1476" priority="421">
      <formula>$BE155=TRUE</formula>
    </cfRule>
  </conditionalFormatting>
  <conditionalFormatting sqref="AA160:AB162">
    <cfRule type="expression" dxfId="1475" priority="388">
      <formula>$BE162=TRUE</formula>
    </cfRule>
  </conditionalFormatting>
  <conditionalFormatting sqref="AA167:AB169">
    <cfRule type="expression" dxfId="1474" priority="387">
      <formula>$BE169=TRUE</formula>
    </cfRule>
  </conditionalFormatting>
  <conditionalFormatting sqref="AA174:AB176">
    <cfRule type="expression" dxfId="1473" priority="354">
      <formula>$BE176=TRUE</formula>
    </cfRule>
  </conditionalFormatting>
  <conditionalFormatting sqref="AA181:AB183">
    <cfRule type="expression" dxfId="1472" priority="353">
      <formula>$BE183=TRUE</formula>
    </cfRule>
  </conditionalFormatting>
  <conditionalFormatting sqref="AA188:AB190">
    <cfRule type="expression" dxfId="1471" priority="320">
      <formula>$BE190=TRUE</formula>
    </cfRule>
  </conditionalFormatting>
  <conditionalFormatting sqref="AA195:AB197">
    <cfRule type="expression" dxfId="1470" priority="319">
      <formula>$BE197=TRUE</formula>
    </cfRule>
  </conditionalFormatting>
  <conditionalFormatting sqref="AA202:AB204">
    <cfRule type="expression" dxfId="1469" priority="286">
      <formula>$BE204=TRUE</formula>
    </cfRule>
  </conditionalFormatting>
  <conditionalFormatting sqref="AA209:AB211">
    <cfRule type="expression" dxfId="1468" priority="285">
      <formula>$BE211=TRUE</formula>
    </cfRule>
  </conditionalFormatting>
  <conditionalFormatting sqref="AA216:AB218">
    <cfRule type="expression" dxfId="1467" priority="252">
      <formula>$BE218=TRUE</formula>
    </cfRule>
  </conditionalFormatting>
  <conditionalFormatting sqref="AA223:AB225">
    <cfRule type="expression" dxfId="1466" priority="251">
      <formula>$BE225=TRUE</formula>
    </cfRule>
  </conditionalFormatting>
  <conditionalFormatting sqref="AA230:AB232">
    <cfRule type="expression" dxfId="1465" priority="218">
      <formula>$BE232=TRUE</formula>
    </cfRule>
  </conditionalFormatting>
  <conditionalFormatting sqref="AA237:AB239">
    <cfRule type="expression" dxfId="1464" priority="217">
      <formula>$BE239=TRUE</formula>
    </cfRule>
  </conditionalFormatting>
  <conditionalFormatting sqref="AA244:AB246">
    <cfRule type="expression" dxfId="1463" priority="150">
      <formula>$BE246=TRUE</formula>
    </cfRule>
  </conditionalFormatting>
  <conditionalFormatting sqref="AA251:AB253">
    <cfRule type="expression" dxfId="1462" priority="149">
      <formula>$BE253=TRUE</formula>
    </cfRule>
  </conditionalFormatting>
  <conditionalFormatting sqref="AA258:AB260">
    <cfRule type="expression" dxfId="1461" priority="116">
      <formula>$BE260=TRUE</formula>
    </cfRule>
  </conditionalFormatting>
  <conditionalFormatting sqref="AA265:AB267">
    <cfRule type="expression" dxfId="1460" priority="115">
      <formula>$BE267=TRUE</formula>
    </cfRule>
  </conditionalFormatting>
  <conditionalFormatting sqref="AA272:AB274">
    <cfRule type="expression" dxfId="1459" priority="82">
      <formula>$BE274=TRUE</formula>
    </cfRule>
  </conditionalFormatting>
  <conditionalFormatting sqref="AA279:AB281">
    <cfRule type="expression" dxfId="1458" priority="81">
      <formula>$BE281=TRUE</formula>
    </cfRule>
  </conditionalFormatting>
  <dataValidations count="3">
    <dataValidation type="list" allowBlank="1" showInputMessage="1" showErrorMessage="1" sqref="D9 D261 D247 D37 D16 D93 D23 D30 D100 D254 D268 D44 D65 D79 D219 D51 D58 D72 D86 D135 D142 D107 D114 D121 D128 D149 D177 D191 D156 D163 D170 D184 D198 D233 D240 D205 D212 D226 D275 D282" xr:uid="{00000000-0002-0000-0500-000001000000}">
      <formula1>"Aandeel in %, Aandeel in uren"</formula1>
    </dataValidation>
    <dataValidation type="list" allowBlank="1" showInputMessage="1" showErrorMessage="1" sqref="D6:D7 D13:D14 D20:D21 D27:D28 D34:D35 D41:D42 D48:D49 D55:D56 D62:D63 D69:D70 D76:D77 D83:D84 D90:D91 D97:D98 D104:D105 D111:D112 D118:D119 D125:D126 D132:D133 D139:D140 D146:D147 D153:D154 D160:D161 D167:D168 D174:D175 D181:D182 D188:D189 D195:D196 D202:D203 D209:D210 D216:D217 D223:D224 D230:D231 D237:D238 D244:D245 D251:D252 D258:D259 D265:D266 D272:D273 D279:D280" xr:uid="{09DF284A-6DDF-44A1-929D-4F5626F9EA53}">
      <formula1>"Gebruik % van maximum salaris, Gebruik trede (gemiddeld)"</formula1>
    </dataValidation>
    <dataValidation allowBlank="1" showInputMessage="1" showErrorMessage="1" promptTitle="Voorbeeld:" prompt="Het gemiddelde salaris van hulpverleners in de schaal is € 3720. Het salaris van de hoogste reguliere trede in de schaal is € 4000. Vul in: 3720 / 4000 x 100% = 93% in. Let op: neem de hoogste reguliere trede, niet de uitloopschalen." sqref="E6 E13 E20 E27 E34 E41 E48 E55 E62 E69 E76 E83 E90 E97 E104 E111 E118 E125 E132 E139 E146 E153 E160 E167 E174 E181 E188 E195 E202 E209 E216 E223 E230 E237 E244 E251 E258 E265 E272 E279" xr:uid="{4B0938E6-49C1-417A-B52D-608BBB55A915}"/>
  </dataValidations>
  <pageMargins left="0.7" right="0.7" top="0.75" bottom="0.75" header="0.3" footer="0.3"/>
  <pageSetup paperSize="9" orientation="portrait" r:id="rId1"/>
  <ignoredErrors>
    <ignoredError sqref="V28 V27 V35 V34 V42 V41 V49 V48 V56 V55 V63 V62 V70 V69 V77 V76 V84 V83 V91 V90 V98 V97 V105 V104 V112 V111 V119 V118 V126 V125 V133 V132 V140 V139 V147 V146 V154 V153 V161 V160 V168 V167 V175 V174 V182 V181 V189 V188 V196 V195 V203 V202 V210 V209 V217 V216 V224 V223 V231 V230 V238 V237 V245 V244 V252 V251 V259 V258 V266 V265 V273 V272 V280 V279 V30:V31 V29 V33 V32 V37:V38 V36 V40 V39 V44:V45 V43 V47 V46 V51:V52 V50 V54 V53 V58:V59 V57 V61 V60 V65:V66 V64 V68 V67 V72:V73 V71 V75 V74 V79:V80 V78 V82 V81 V86:V87 V85 V89 V88 V93:V94 V92 V96 V95 V100:V101 V99 V103 V102 V107:V108 V106 V110 V109 V114:V115 V113 V117 V116 V121:V122 V120 V124 V123 V128:V129 V127 V131 V130 V135:V136 V134 V138 V137 V142:V143 V141 V145 V144 V149:V150 V148 V152 V151 V156:V157 V155 V159 V158 V163:V164 V162 V166 V165 V170:V171 V169 V173 V172 V177:V178 V176 V180 V179 V184:V185 V183 V187 V186 V191:V192 V190 V194 V193 V198:V199 V197 V201 V200 V205:V206 V204 V208 V207 V212:V213 V211 V215 V214 V219:V220 V218 V222 V221 V226:V227 V225 V229 V228 V233:V234 V232 V236 V235 V240:V241 V239 V243 V242 V247:V248 V246 V250 V249 V254:V255 V253 V257 V256 V261:V262 V260 V264 V263 V268:V269 V267 V271 V270 V275:V276 V274 V278 V277 E287:V293 V281 V282:V286 F282:U286 F278:U278 F275:U276 F271:U271 F268:U269 F264:U264 F261:U262 F257:U257 F254:U255 F250:U250 F247:U248 F243:U243 F240:U241 F236:U236 F233:U234 F229:U229 F226:U227 F222:U222 F219:U220 F215:U215 F212:U213 F208:U208 F205:U206 F201:U201 F198:U199 F194:U194 F191:U192 F187:U187 F184:U185 F180:U180 F177:U178 F173:U173 F170:U171 F166:U166 F163:U164 F159:U159 F156:U157 F152:U152 F149:U150 F145:U145 F142:U143 F138:U138 F135:U136 F131:U131 F128:U129 F124:U124 F121:U122 F117:U117 F114:U115 F110:U110 F107:U108 F103:U103 F100:U101 F96:U96 F93:U94 F89:U89 F86:U87 F82:U82 F79:U80 F75:U75 F72:U73 F68:U68 F65:U66 F61:U61 F58:U59 F54:U54 F51:U52 F47:U47 F44:U45 F40:U40 F37:U38 F33:U33 F30:U31 F279:U279 F280:H280 F272:U272 F273:U273 F265:U265 F266:U266 F258:U258 F259:U259 F251:U251 F252:U252 F244:U244 F245:U245 F237:U237 F238:U238 F230:U230 F231:U231 F223:U223 F224:U224 F216:U216 F217:U217 F209:U209 F210:U210 F202:U202 F203:U203 F195:U195 F196:U196 F188:U188 F189:U189 F181:U181 F182:U182 F174:U174 F175:U175 F167:U167 F168:U168 F160:U160 F161:U161 F153:U153 F154:U154 F146:U146 F147:U147 F139:U139 F140:U140 F132:U132 F133:U133 F125:U125 F126:U126 F118:U118 F119:U119 F111:U111 F112:U112 F104:U104 F105:U105 F97:U97 F98:U98 F90:U90 F91:U91 F83:U83 F84:U84 F76:U76 F77:U77 F69:U69 F70:U70 F62:U62 F63:U63 F55:U55 F56:U56 F48:U48 F49:U49 F41:U41 F42:U42 F34:U34 F35:U35 F27:U27 F28:U28 F29:U29 F36:U36 F43:U43 F50:U50 F57:U57 F64:U64 F71:U71 F78:U78 F85:U85 F92:U92 F99:U99 F106:U106 F113:U113 F120:U120 F127:U127 F134:U134 F141:U141 F148:U148 F155:U155 F162:U162 F169:U169 F176:U176 F183:U183 F190:U190 F197:U197 F204:U204 F211:U211 F218:U218 F225:U225 F232:U232 F239:U239 F246:U246 F253:U253 F260:U260 F267:U267 F274:U274 F281:U281 F32:U32 F39:U39 F46:U46 F53:U53 F60:U60 F67:U67 F74:U74 F81:U81 F88:U88 F95:U95 F102:U102 F109:U109 F116:U116 F123:U123 F130:U130 F137:U137 F144:U144 F151:U151 F158:U158 F165:U165 F172:U172 F179:U179 F186:U186 F193:U193 F200:U200 F207:U207 F214:U214 F221:U221 F228:U228 F235:U235 F242:U242 F249:U249 F256:U256 F263:U263 F270:U270 F277:U277 E28 E35 E42 E49 E56 E63 E70 E77 E84 E91 E98 E105 E112 E119 E126 E133 E140 E147 E154 E161 E168 E175 E182 E189 E196 E203 E210 E217 E224 E231 E238 E245 E252 E259 E266 E273 E280 E30:E31 E29 E33 E32 E37:E38 E36 E40 E39 E44:E45 E43 E47 E46 E51:E52 E50 E54 E53 E58:E59 E57 E61 E60 E65:E66 E64 E68 E67 E72:E73 E71 E75 E74 E79:E80 E78 E82 E81 E86:E87 E85 E89 E88 E93:E94 E92 E96 E95 E100:E101 E99 E103 E102 E107:E108 E106 E110 E109 E114:E115 E113 E117 E116 E121:E122 E120 E124 E123 E128:E129 E127 E131 E130 E135:E136 E134 E138 E137 E142:E143 E141 E145 E144 E149:E150 E148 E152 E151 E156:E157 E155 E159 E158 E163:E164 E162 E166 E165 E170:E171 E169 E173 E172 E177:E178 E176 E180 E179 E184:E185 E183 E187 E186 E191:E192 E190 E194 E193 E198:E199 E197 E201 E200 E205:E206 E204 E208 E207 E212:E213 E211 E215 E214 E219:E220 E218 E222 E221 E226:E227 E225 E229 E228 E233:E234 E232 E236 E235 E240:E241 E239 E243 E242 E247:E248 E246 E250 E249 E254:E255 E253 E257 E256 E261:E262 E260 E264 E263 E268:E269 E267 E271 E270 E275:E276 E274 E278 E277 E282:E286 E281 E27 E279 E272 E265 E258 E251 E244 E237 E230 E223 E216 E209 E202 E195 E188 E181 E174 E167 E160 E153 E146 E139 E132 E125 E118 E111 E104 E97 E90 E83 E76 E69 E62 E55 E48 E41 E34 E6 J280:U280 E8:U8 E7 R7:U7 P7 R6:U6 E10:U22 E9:N9 P9:U9 G7:N7"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22</xdr:col>
                    <xdr:colOff>261938</xdr:colOff>
                    <xdr:row>6</xdr:row>
                    <xdr:rowOff>190500</xdr:rowOff>
                  </from>
                  <to>
                    <xdr:col>23</xdr:col>
                    <xdr:colOff>23813</xdr:colOff>
                    <xdr:row>8</xdr:row>
                    <xdr:rowOff>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22</xdr:col>
                    <xdr:colOff>252413</xdr:colOff>
                    <xdr:row>13</xdr:row>
                    <xdr:rowOff>190500</xdr:rowOff>
                  </from>
                  <to>
                    <xdr:col>23</xdr:col>
                    <xdr:colOff>0</xdr:colOff>
                    <xdr:row>15</xdr:row>
                    <xdr:rowOff>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22</xdr:col>
                    <xdr:colOff>261938</xdr:colOff>
                    <xdr:row>20</xdr:row>
                    <xdr:rowOff>204788</xdr:rowOff>
                  </from>
                  <to>
                    <xdr:col>23</xdr:col>
                    <xdr:colOff>23813</xdr:colOff>
                    <xdr:row>21</xdr:row>
                    <xdr:rowOff>190500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22</xdr:col>
                    <xdr:colOff>261938</xdr:colOff>
                    <xdr:row>27</xdr:row>
                    <xdr:rowOff>195263</xdr:rowOff>
                  </from>
                  <to>
                    <xdr:col>22</xdr:col>
                    <xdr:colOff>457200</xdr:colOff>
                    <xdr:row>28</xdr:row>
                    <xdr:rowOff>195263</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22</xdr:col>
                    <xdr:colOff>261938</xdr:colOff>
                    <xdr:row>34</xdr:row>
                    <xdr:rowOff>195263</xdr:rowOff>
                  </from>
                  <to>
                    <xdr:col>23</xdr:col>
                    <xdr:colOff>52388</xdr:colOff>
                    <xdr:row>35</xdr:row>
                    <xdr:rowOff>195263</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22</xdr:col>
                    <xdr:colOff>261938</xdr:colOff>
                    <xdr:row>41</xdr:row>
                    <xdr:rowOff>185738</xdr:rowOff>
                  </from>
                  <to>
                    <xdr:col>23</xdr:col>
                    <xdr:colOff>33338</xdr:colOff>
                    <xdr:row>42</xdr:row>
                    <xdr:rowOff>195263</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22</xdr:col>
                    <xdr:colOff>261938</xdr:colOff>
                    <xdr:row>48</xdr:row>
                    <xdr:rowOff>185738</xdr:rowOff>
                  </from>
                  <to>
                    <xdr:col>23</xdr:col>
                    <xdr:colOff>33338</xdr:colOff>
                    <xdr:row>49</xdr:row>
                    <xdr:rowOff>176213</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22</xdr:col>
                    <xdr:colOff>261938</xdr:colOff>
                    <xdr:row>55</xdr:row>
                    <xdr:rowOff>176213</xdr:rowOff>
                  </from>
                  <to>
                    <xdr:col>22</xdr:col>
                    <xdr:colOff>452438</xdr:colOff>
                    <xdr:row>56</xdr:row>
                    <xdr:rowOff>157163</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22</xdr:col>
                    <xdr:colOff>261938</xdr:colOff>
                    <xdr:row>62</xdr:row>
                    <xdr:rowOff>157163</xdr:rowOff>
                  </from>
                  <to>
                    <xdr:col>23</xdr:col>
                    <xdr:colOff>33338</xdr:colOff>
                    <xdr:row>63</xdr:row>
                    <xdr:rowOff>157163</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22</xdr:col>
                    <xdr:colOff>261938</xdr:colOff>
                    <xdr:row>69</xdr:row>
                    <xdr:rowOff>152400</xdr:rowOff>
                  </from>
                  <to>
                    <xdr:col>23</xdr:col>
                    <xdr:colOff>33338</xdr:colOff>
                    <xdr:row>70</xdr:row>
                    <xdr:rowOff>157163</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22</xdr:col>
                    <xdr:colOff>261938</xdr:colOff>
                    <xdr:row>76</xdr:row>
                    <xdr:rowOff>152400</xdr:rowOff>
                  </from>
                  <to>
                    <xdr:col>23</xdr:col>
                    <xdr:colOff>23813</xdr:colOff>
                    <xdr:row>77</xdr:row>
                    <xdr:rowOff>195263</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22</xdr:col>
                    <xdr:colOff>261938</xdr:colOff>
                    <xdr:row>83</xdr:row>
                    <xdr:rowOff>185738</xdr:rowOff>
                  </from>
                  <to>
                    <xdr:col>23</xdr:col>
                    <xdr:colOff>33338</xdr:colOff>
                    <xdr:row>84</xdr:row>
                    <xdr:rowOff>176213</xdr:rowOff>
                  </to>
                </anchor>
              </controlPr>
            </control>
          </mc:Choice>
        </mc:AlternateContent>
        <mc:AlternateContent xmlns:mc="http://schemas.openxmlformats.org/markup-compatibility/2006">
          <mc:Choice Requires="x14">
            <control shapeId="83992" r:id="rId16" name="Check Box 24">
              <controlPr defaultSize="0" autoFill="0" autoLine="0" autoPict="0">
                <anchor moveWithCells="1">
                  <from>
                    <xdr:col>22</xdr:col>
                    <xdr:colOff>261938</xdr:colOff>
                    <xdr:row>90</xdr:row>
                    <xdr:rowOff>185738</xdr:rowOff>
                  </from>
                  <to>
                    <xdr:col>23</xdr:col>
                    <xdr:colOff>33338</xdr:colOff>
                    <xdr:row>91</xdr:row>
                    <xdr:rowOff>195263</xdr:rowOff>
                  </to>
                </anchor>
              </controlPr>
            </control>
          </mc:Choice>
        </mc:AlternateContent>
        <mc:AlternateContent xmlns:mc="http://schemas.openxmlformats.org/markup-compatibility/2006">
          <mc:Choice Requires="x14">
            <control shapeId="83993" r:id="rId17" name="Check Box 25">
              <controlPr defaultSize="0" autoFill="0" autoLine="0" autoPict="0">
                <anchor moveWithCells="1">
                  <from>
                    <xdr:col>22</xdr:col>
                    <xdr:colOff>261938</xdr:colOff>
                    <xdr:row>97</xdr:row>
                    <xdr:rowOff>185738</xdr:rowOff>
                  </from>
                  <to>
                    <xdr:col>23</xdr:col>
                    <xdr:colOff>33338</xdr:colOff>
                    <xdr:row>98</xdr:row>
                    <xdr:rowOff>176213</xdr:rowOff>
                  </to>
                </anchor>
              </controlPr>
            </control>
          </mc:Choice>
        </mc:AlternateContent>
        <mc:AlternateContent xmlns:mc="http://schemas.openxmlformats.org/markup-compatibility/2006">
          <mc:Choice Requires="x14">
            <control shapeId="83994" r:id="rId18" name="Check Box 26">
              <controlPr defaultSize="0" autoFill="0" autoLine="0" autoPict="0">
                <anchor moveWithCells="1">
                  <from>
                    <xdr:col>22</xdr:col>
                    <xdr:colOff>261938</xdr:colOff>
                    <xdr:row>104</xdr:row>
                    <xdr:rowOff>176213</xdr:rowOff>
                  </from>
                  <to>
                    <xdr:col>22</xdr:col>
                    <xdr:colOff>452438</xdr:colOff>
                    <xdr:row>105</xdr:row>
                    <xdr:rowOff>157163</xdr:rowOff>
                  </to>
                </anchor>
              </controlPr>
            </control>
          </mc:Choice>
        </mc:AlternateContent>
        <mc:AlternateContent xmlns:mc="http://schemas.openxmlformats.org/markup-compatibility/2006">
          <mc:Choice Requires="x14">
            <control shapeId="83995" r:id="rId19" name="Check Box 27">
              <controlPr defaultSize="0" autoFill="0" autoLine="0" autoPict="0">
                <anchor moveWithCells="1">
                  <from>
                    <xdr:col>22</xdr:col>
                    <xdr:colOff>261938</xdr:colOff>
                    <xdr:row>111</xdr:row>
                    <xdr:rowOff>157163</xdr:rowOff>
                  </from>
                  <to>
                    <xdr:col>23</xdr:col>
                    <xdr:colOff>33338</xdr:colOff>
                    <xdr:row>112</xdr:row>
                    <xdr:rowOff>157163</xdr:rowOff>
                  </to>
                </anchor>
              </controlPr>
            </control>
          </mc:Choice>
        </mc:AlternateContent>
        <mc:AlternateContent xmlns:mc="http://schemas.openxmlformats.org/markup-compatibility/2006">
          <mc:Choice Requires="x14">
            <control shapeId="83996" r:id="rId20" name="Check Box 28">
              <controlPr defaultSize="0" autoFill="0" autoLine="0" autoPict="0">
                <anchor moveWithCells="1">
                  <from>
                    <xdr:col>22</xdr:col>
                    <xdr:colOff>261938</xdr:colOff>
                    <xdr:row>118</xdr:row>
                    <xdr:rowOff>152400</xdr:rowOff>
                  </from>
                  <to>
                    <xdr:col>23</xdr:col>
                    <xdr:colOff>52388</xdr:colOff>
                    <xdr:row>119</xdr:row>
                    <xdr:rowOff>157163</xdr:rowOff>
                  </to>
                </anchor>
              </controlPr>
            </control>
          </mc:Choice>
        </mc:AlternateContent>
        <mc:AlternateContent xmlns:mc="http://schemas.openxmlformats.org/markup-compatibility/2006">
          <mc:Choice Requires="x14">
            <control shapeId="83997" r:id="rId21" name="Check Box 29">
              <controlPr defaultSize="0" autoFill="0" autoLine="0" autoPict="0">
                <anchor moveWithCells="1">
                  <from>
                    <xdr:col>22</xdr:col>
                    <xdr:colOff>261938</xdr:colOff>
                    <xdr:row>125</xdr:row>
                    <xdr:rowOff>152400</xdr:rowOff>
                  </from>
                  <to>
                    <xdr:col>23</xdr:col>
                    <xdr:colOff>23813</xdr:colOff>
                    <xdr:row>126</xdr:row>
                    <xdr:rowOff>176213</xdr:rowOff>
                  </to>
                </anchor>
              </controlPr>
            </control>
          </mc:Choice>
        </mc:AlternateContent>
        <mc:AlternateContent xmlns:mc="http://schemas.openxmlformats.org/markup-compatibility/2006">
          <mc:Choice Requires="x14">
            <control shapeId="83998" r:id="rId22" name="Check Box 30">
              <controlPr defaultSize="0" autoFill="0" autoLine="0" autoPict="0">
                <anchor moveWithCells="1">
                  <from>
                    <xdr:col>22</xdr:col>
                    <xdr:colOff>261938</xdr:colOff>
                    <xdr:row>132</xdr:row>
                    <xdr:rowOff>185738</xdr:rowOff>
                  </from>
                  <to>
                    <xdr:col>23</xdr:col>
                    <xdr:colOff>33338</xdr:colOff>
                    <xdr:row>133</xdr:row>
                    <xdr:rowOff>176213</xdr:rowOff>
                  </to>
                </anchor>
              </controlPr>
            </control>
          </mc:Choice>
        </mc:AlternateContent>
        <mc:AlternateContent xmlns:mc="http://schemas.openxmlformats.org/markup-compatibility/2006">
          <mc:Choice Requires="x14">
            <control shapeId="83999" r:id="rId23" name="Check Box 31">
              <controlPr defaultSize="0" autoFill="0" autoLine="0" autoPict="0">
                <anchor moveWithCells="1">
                  <from>
                    <xdr:col>22</xdr:col>
                    <xdr:colOff>261938</xdr:colOff>
                    <xdr:row>139</xdr:row>
                    <xdr:rowOff>185738</xdr:rowOff>
                  </from>
                  <to>
                    <xdr:col>23</xdr:col>
                    <xdr:colOff>33338</xdr:colOff>
                    <xdr:row>140</xdr:row>
                    <xdr:rowOff>176213</xdr:rowOff>
                  </to>
                </anchor>
              </controlPr>
            </control>
          </mc:Choice>
        </mc:AlternateContent>
        <mc:AlternateContent xmlns:mc="http://schemas.openxmlformats.org/markup-compatibility/2006">
          <mc:Choice Requires="x14">
            <control shapeId="84000" r:id="rId24" name="Check Box 32">
              <controlPr defaultSize="0" autoFill="0" autoLine="0" autoPict="0">
                <anchor moveWithCells="1">
                  <from>
                    <xdr:col>22</xdr:col>
                    <xdr:colOff>261938</xdr:colOff>
                    <xdr:row>146</xdr:row>
                    <xdr:rowOff>185738</xdr:rowOff>
                  </from>
                  <to>
                    <xdr:col>23</xdr:col>
                    <xdr:colOff>33338</xdr:colOff>
                    <xdr:row>147</xdr:row>
                    <xdr:rowOff>176213</xdr:rowOff>
                  </to>
                </anchor>
              </controlPr>
            </control>
          </mc:Choice>
        </mc:AlternateContent>
        <mc:AlternateContent xmlns:mc="http://schemas.openxmlformats.org/markup-compatibility/2006">
          <mc:Choice Requires="x14">
            <control shapeId="84001" r:id="rId25" name="Check Box 33">
              <controlPr defaultSize="0" autoFill="0" autoLine="0" autoPict="0">
                <anchor moveWithCells="1">
                  <from>
                    <xdr:col>22</xdr:col>
                    <xdr:colOff>261938</xdr:colOff>
                    <xdr:row>153</xdr:row>
                    <xdr:rowOff>176213</xdr:rowOff>
                  </from>
                  <to>
                    <xdr:col>22</xdr:col>
                    <xdr:colOff>452438</xdr:colOff>
                    <xdr:row>154</xdr:row>
                    <xdr:rowOff>157163</xdr:rowOff>
                  </to>
                </anchor>
              </controlPr>
            </control>
          </mc:Choice>
        </mc:AlternateContent>
        <mc:AlternateContent xmlns:mc="http://schemas.openxmlformats.org/markup-compatibility/2006">
          <mc:Choice Requires="x14">
            <control shapeId="84002" r:id="rId26" name="Check Box 34">
              <controlPr defaultSize="0" autoFill="0" autoLine="0" autoPict="0">
                <anchor moveWithCells="1">
                  <from>
                    <xdr:col>22</xdr:col>
                    <xdr:colOff>261938</xdr:colOff>
                    <xdr:row>160</xdr:row>
                    <xdr:rowOff>157163</xdr:rowOff>
                  </from>
                  <to>
                    <xdr:col>23</xdr:col>
                    <xdr:colOff>33338</xdr:colOff>
                    <xdr:row>161</xdr:row>
                    <xdr:rowOff>152400</xdr:rowOff>
                  </to>
                </anchor>
              </controlPr>
            </control>
          </mc:Choice>
        </mc:AlternateContent>
        <mc:AlternateContent xmlns:mc="http://schemas.openxmlformats.org/markup-compatibility/2006">
          <mc:Choice Requires="x14">
            <control shapeId="84003" r:id="rId27" name="Check Box 35">
              <controlPr defaultSize="0" autoFill="0" autoLine="0" autoPict="0">
                <anchor moveWithCells="1">
                  <from>
                    <xdr:col>22</xdr:col>
                    <xdr:colOff>261938</xdr:colOff>
                    <xdr:row>167</xdr:row>
                    <xdr:rowOff>152400</xdr:rowOff>
                  </from>
                  <to>
                    <xdr:col>23</xdr:col>
                    <xdr:colOff>52388</xdr:colOff>
                    <xdr:row>168</xdr:row>
                    <xdr:rowOff>157163</xdr:rowOff>
                  </to>
                </anchor>
              </controlPr>
            </control>
          </mc:Choice>
        </mc:AlternateContent>
        <mc:AlternateContent xmlns:mc="http://schemas.openxmlformats.org/markup-compatibility/2006">
          <mc:Choice Requires="x14">
            <control shapeId="84004" r:id="rId28" name="Check Box 36">
              <controlPr defaultSize="0" autoFill="0" autoLine="0" autoPict="0">
                <anchor moveWithCells="1">
                  <from>
                    <xdr:col>22</xdr:col>
                    <xdr:colOff>261938</xdr:colOff>
                    <xdr:row>174</xdr:row>
                    <xdr:rowOff>152400</xdr:rowOff>
                  </from>
                  <to>
                    <xdr:col>23</xdr:col>
                    <xdr:colOff>23813</xdr:colOff>
                    <xdr:row>175</xdr:row>
                    <xdr:rowOff>176213</xdr:rowOff>
                  </to>
                </anchor>
              </controlPr>
            </control>
          </mc:Choice>
        </mc:AlternateContent>
        <mc:AlternateContent xmlns:mc="http://schemas.openxmlformats.org/markup-compatibility/2006">
          <mc:Choice Requires="x14">
            <control shapeId="84005" r:id="rId29" name="Check Box 37">
              <controlPr defaultSize="0" autoFill="0" autoLine="0" autoPict="0">
                <anchor moveWithCells="1">
                  <from>
                    <xdr:col>22</xdr:col>
                    <xdr:colOff>261938</xdr:colOff>
                    <xdr:row>181</xdr:row>
                    <xdr:rowOff>185738</xdr:rowOff>
                  </from>
                  <to>
                    <xdr:col>23</xdr:col>
                    <xdr:colOff>33338</xdr:colOff>
                    <xdr:row>182</xdr:row>
                    <xdr:rowOff>176213</xdr:rowOff>
                  </to>
                </anchor>
              </controlPr>
            </control>
          </mc:Choice>
        </mc:AlternateContent>
        <mc:AlternateContent xmlns:mc="http://schemas.openxmlformats.org/markup-compatibility/2006">
          <mc:Choice Requires="x14">
            <control shapeId="84006" r:id="rId30" name="Check Box 38">
              <controlPr defaultSize="0" autoFill="0" autoLine="0" autoPict="0">
                <anchor moveWithCells="1">
                  <from>
                    <xdr:col>22</xdr:col>
                    <xdr:colOff>261938</xdr:colOff>
                    <xdr:row>188</xdr:row>
                    <xdr:rowOff>185738</xdr:rowOff>
                  </from>
                  <to>
                    <xdr:col>23</xdr:col>
                    <xdr:colOff>33338</xdr:colOff>
                    <xdr:row>189</xdr:row>
                    <xdr:rowOff>176213</xdr:rowOff>
                  </to>
                </anchor>
              </controlPr>
            </control>
          </mc:Choice>
        </mc:AlternateContent>
        <mc:AlternateContent xmlns:mc="http://schemas.openxmlformats.org/markup-compatibility/2006">
          <mc:Choice Requires="x14">
            <control shapeId="84007" r:id="rId31" name="Check Box 39">
              <controlPr defaultSize="0" autoFill="0" autoLine="0" autoPict="0">
                <anchor moveWithCells="1">
                  <from>
                    <xdr:col>22</xdr:col>
                    <xdr:colOff>261938</xdr:colOff>
                    <xdr:row>195</xdr:row>
                    <xdr:rowOff>185738</xdr:rowOff>
                  </from>
                  <to>
                    <xdr:col>23</xdr:col>
                    <xdr:colOff>33338</xdr:colOff>
                    <xdr:row>196</xdr:row>
                    <xdr:rowOff>176213</xdr:rowOff>
                  </to>
                </anchor>
              </controlPr>
            </control>
          </mc:Choice>
        </mc:AlternateContent>
        <mc:AlternateContent xmlns:mc="http://schemas.openxmlformats.org/markup-compatibility/2006">
          <mc:Choice Requires="x14">
            <control shapeId="84008" r:id="rId32" name="Check Box 40">
              <controlPr defaultSize="0" autoFill="0" autoLine="0" autoPict="0">
                <anchor moveWithCells="1">
                  <from>
                    <xdr:col>22</xdr:col>
                    <xdr:colOff>261938</xdr:colOff>
                    <xdr:row>202</xdr:row>
                    <xdr:rowOff>176213</xdr:rowOff>
                  </from>
                  <to>
                    <xdr:col>22</xdr:col>
                    <xdr:colOff>452438</xdr:colOff>
                    <xdr:row>203</xdr:row>
                    <xdr:rowOff>157163</xdr:rowOff>
                  </to>
                </anchor>
              </controlPr>
            </control>
          </mc:Choice>
        </mc:AlternateContent>
        <mc:AlternateContent xmlns:mc="http://schemas.openxmlformats.org/markup-compatibility/2006">
          <mc:Choice Requires="x14">
            <control shapeId="84009" r:id="rId33" name="Check Box 41">
              <controlPr defaultSize="0" autoFill="0" autoLine="0" autoPict="0">
                <anchor moveWithCells="1">
                  <from>
                    <xdr:col>22</xdr:col>
                    <xdr:colOff>261938</xdr:colOff>
                    <xdr:row>209</xdr:row>
                    <xdr:rowOff>157163</xdr:rowOff>
                  </from>
                  <to>
                    <xdr:col>23</xdr:col>
                    <xdr:colOff>33338</xdr:colOff>
                    <xdr:row>210</xdr:row>
                    <xdr:rowOff>152400</xdr:rowOff>
                  </to>
                </anchor>
              </controlPr>
            </control>
          </mc:Choice>
        </mc:AlternateContent>
        <mc:AlternateContent xmlns:mc="http://schemas.openxmlformats.org/markup-compatibility/2006">
          <mc:Choice Requires="x14">
            <control shapeId="84010" r:id="rId34" name="Check Box 42">
              <controlPr defaultSize="0" autoFill="0" autoLine="0" autoPict="0">
                <anchor moveWithCells="1">
                  <from>
                    <xdr:col>22</xdr:col>
                    <xdr:colOff>261938</xdr:colOff>
                    <xdr:row>216</xdr:row>
                    <xdr:rowOff>152400</xdr:rowOff>
                  </from>
                  <to>
                    <xdr:col>23</xdr:col>
                    <xdr:colOff>52388</xdr:colOff>
                    <xdr:row>217</xdr:row>
                    <xdr:rowOff>157163</xdr:rowOff>
                  </to>
                </anchor>
              </controlPr>
            </control>
          </mc:Choice>
        </mc:AlternateContent>
        <mc:AlternateContent xmlns:mc="http://schemas.openxmlformats.org/markup-compatibility/2006">
          <mc:Choice Requires="x14">
            <control shapeId="84011" r:id="rId35" name="Check Box 43">
              <controlPr defaultSize="0" autoFill="0" autoLine="0" autoPict="0">
                <anchor moveWithCells="1">
                  <from>
                    <xdr:col>22</xdr:col>
                    <xdr:colOff>261938</xdr:colOff>
                    <xdr:row>223</xdr:row>
                    <xdr:rowOff>152400</xdr:rowOff>
                  </from>
                  <to>
                    <xdr:col>23</xdr:col>
                    <xdr:colOff>23813</xdr:colOff>
                    <xdr:row>224</xdr:row>
                    <xdr:rowOff>176213</xdr:rowOff>
                  </to>
                </anchor>
              </controlPr>
            </control>
          </mc:Choice>
        </mc:AlternateContent>
        <mc:AlternateContent xmlns:mc="http://schemas.openxmlformats.org/markup-compatibility/2006">
          <mc:Choice Requires="x14">
            <control shapeId="84012" r:id="rId36" name="Check Box 44">
              <controlPr defaultSize="0" autoFill="0" autoLine="0" autoPict="0">
                <anchor moveWithCells="1">
                  <from>
                    <xdr:col>22</xdr:col>
                    <xdr:colOff>261938</xdr:colOff>
                    <xdr:row>230</xdr:row>
                    <xdr:rowOff>185738</xdr:rowOff>
                  </from>
                  <to>
                    <xdr:col>23</xdr:col>
                    <xdr:colOff>33338</xdr:colOff>
                    <xdr:row>231</xdr:row>
                    <xdr:rowOff>176213</xdr:rowOff>
                  </to>
                </anchor>
              </controlPr>
            </control>
          </mc:Choice>
        </mc:AlternateContent>
        <mc:AlternateContent xmlns:mc="http://schemas.openxmlformats.org/markup-compatibility/2006">
          <mc:Choice Requires="x14">
            <control shapeId="84013" r:id="rId37" name="Check Box 45">
              <controlPr defaultSize="0" autoFill="0" autoLine="0" autoPict="0">
                <anchor moveWithCells="1">
                  <from>
                    <xdr:col>22</xdr:col>
                    <xdr:colOff>261938</xdr:colOff>
                    <xdr:row>237</xdr:row>
                    <xdr:rowOff>185738</xdr:rowOff>
                  </from>
                  <to>
                    <xdr:col>23</xdr:col>
                    <xdr:colOff>33338</xdr:colOff>
                    <xdr:row>238</xdr:row>
                    <xdr:rowOff>176213</xdr:rowOff>
                  </to>
                </anchor>
              </controlPr>
            </control>
          </mc:Choice>
        </mc:AlternateContent>
        <mc:AlternateContent xmlns:mc="http://schemas.openxmlformats.org/markup-compatibility/2006">
          <mc:Choice Requires="x14">
            <control shapeId="84014" r:id="rId38" name="Check Box 46">
              <controlPr defaultSize="0" autoFill="0" autoLine="0" autoPict="0">
                <anchor moveWithCells="1">
                  <from>
                    <xdr:col>22</xdr:col>
                    <xdr:colOff>261938</xdr:colOff>
                    <xdr:row>244</xdr:row>
                    <xdr:rowOff>185738</xdr:rowOff>
                  </from>
                  <to>
                    <xdr:col>23</xdr:col>
                    <xdr:colOff>33338</xdr:colOff>
                    <xdr:row>245</xdr:row>
                    <xdr:rowOff>176213</xdr:rowOff>
                  </to>
                </anchor>
              </controlPr>
            </control>
          </mc:Choice>
        </mc:AlternateContent>
        <mc:AlternateContent xmlns:mc="http://schemas.openxmlformats.org/markup-compatibility/2006">
          <mc:Choice Requires="x14">
            <control shapeId="84015" r:id="rId39" name="Check Box 47">
              <controlPr defaultSize="0" autoFill="0" autoLine="0" autoPict="0">
                <anchor moveWithCells="1">
                  <from>
                    <xdr:col>22</xdr:col>
                    <xdr:colOff>261938</xdr:colOff>
                    <xdr:row>251</xdr:row>
                    <xdr:rowOff>176213</xdr:rowOff>
                  </from>
                  <to>
                    <xdr:col>22</xdr:col>
                    <xdr:colOff>452438</xdr:colOff>
                    <xdr:row>252</xdr:row>
                    <xdr:rowOff>157163</xdr:rowOff>
                  </to>
                </anchor>
              </controlPr>
            </control>
          </mc:Choice>
        </mc:AlternateContent>
        <mc:AlternateContent xmlns:mc="http://schemas.openxmlformats.org/markup-compatibility/2006">
          <mc:Choice Requires="x14">
            <control shapeId="84016" r:id="rId40" name="Check Box 48">
              <controlPr defaultSize="0" autoFill="0" autoLine="0" autoPict="0">
                <anchor moveWithCells="1">
                  <from>
                    <xdr:col>22</xdr:col>
                    <xdr:colOff>261938</xdr:colOff>
                    <xdr:row>258</xdr:row>
                    <xdr:rowOff>157163</xdr:rowOff>
                  </from>
                  <to>
                    <xdr:col>23</xdr:col>
                    <xdr:colOff>33338</xdr:colOff>
                    <xdr:row>259</xdr:row>
                    <xdr:rowOff>152400</xdr:rowOff>
                  </to>
                </anchor>
              </controlPr>
            </control>
          </mc:Choice>
        </mc:AlternateContent>
        <mc:AlternateContent xmlns:mc="http://schemas.openxmlformats.org/markup-compatibility/2006">
          <mc:Choice Requires="x14">
            <control shapeId="84017" r:id="rId41" name="Check Box 49">
              <controlPr defaultSize="0" autoFill="0" autoLine="0" autoPict="0">
                <anchor moveWithCells="1">
                  <from>
                    <xdr:col>22</xdr:col>
                    <xdr:colOff>261938</xdr:colOff>
                    <xdr:row>265</xdr:row>
                    <xdr:rowOff>152400</xdr:rowOff>
                  </from>
                  <to>
                    <xdr:col>23</xdr:col>
                    <xdr:colOff>52388</xdr:colOff>
                    <xdr:row>266</xdr:row>
                    <xdr:rowOff>157163</xdr:rowOff>
                  </to>
                </anchor>
              </controlPr>
            </control>
          </mc:Choice>
        </mc:AlternateContent>
        <mc:AlternateContent xmlns:mc="http://schemas.openxmlformats.org/markup-compatibility/2006">
          <mc:Choice Requires="x14">
            <control shapeId="84018" r:id="rId42" name="Check Box 50">
              <controlPr defaultSize="0" autoFill="0" autoLine="0" autoPict="0">
                <anchor moveWithCells="1">
                  <from>
                    <xdr:col>22</xdr:col>
                    <xdr:colOff>261938</xdr:colOff>
                    <xdr:row>272</xdr:row>
                    <xdr:rowOff>152400</xdr:rowOff>
                  </from>
                  <to>
                    <xdr:col>23</xdr:col>
                    <xdr:colOff>23813</xdr:colOff>
                    <xdr:row>273</xdr:row>
                    <xdr:rowOff>176213</xdr:rowOff>
                  </to>
                </anchor>
              </controlPr>
            </control>
          </mc:Choice>
        </mc:AlternateContent>
        <mc:AlternateContent xmlns:mc="http://schemas.openxmlformats.org/markup-compatibility/2006">
          <mc:Choice Requires="x14">
            <control shapeId="84019" r:id="rId43" name="Check Box 51">
              <controlPr defaultSize="0" autoFill="0" autoLine="0" autoPict="0">
                <anchor moveWithCells="1">
                  <from>
                    <xdr:col>22</xdr:col>
                    <xdr:colOff>261938</xdr:colOff>
                    <xdr:row>279</xdr:row>
                    <xdr:rowOff>185738</xdr:rowOff>
                  </from>
                  <to>
                    <xdr:col>23</xdr:col>
                    <xdr:colOff>33338</xdr:colOff>
                    <xdr:row>280</xdr:row>
                    <xdr:rowOff>176213</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1"/>
  </sheetPr>
  <dimension ref="A1:H258"/>
  <sheetViews>
    <sheetView workbookViewId="0">
      <selection activeCell="F4" sqref="F4"/>
    </sheetView>
  </sheetViews>
  <sheetFormatPr defaultRowHeight="14.25" x14ac:dyDescent="0.45"/>
  <cols>
    <col min="1" max="1" width="14.06640625" style="382" customWidth="1"/>
    <col min="2" max="2" width="14.06640625" style="48" customWidth="1"/>
    <col min="3" max="3" width="17" bestFit="1" customWidth="1"/>
    <col min="4" max="5" width="13.59765625" bestFit="1" customWidth="1"/>
  </cols>
  <sheetData>
    <row r="1" spans="1:8" x14ac:dyDescent="0.45">
      <c r="A1" s="382" t="s">
        <v>1277</v>
      </c>
      <c r="C1" s="362">
        <f>IF(D2&lt;&gt;"", D2-1, DATE(2030,1,1))</f>
        <v>45930</v>
      </c>
      <c r="D1" s="362">
        <f>IF(E2&lt;&gt;"", E2-1, DATE(2030,1,1))</f>
        <v>46295</v>
      </c>
      <c r="E1" s="362">
        <f>IF(F2&lt;&gt;"", F2-1, DATE(2030,1,1))</f>
        <v>47484</v>
      </c>
    </row>
    <row r="2" spans="1:8" x14ac:dyDescent="0.45">
      <c r="A2" s="382" t="s">
        <v>1276</v>
      </c>
      <c r="C2" s="362">
        <v>45658</v>
      </c>
      <c r="D2" s="362">
        <v>45931</v>
      </c>
      <c r="E2" s="362">
        <v>46296</v>
      </c>
    </row>
    <row r="3" spans="1:8" s="5" customFormat="1" x14ac:dyDescent="0.45">
      <c r="A3" s="35" t="s">
        <v>28</v>
      </c>
      <c r="B3" s="380" t="s">
        <v>1702</v>
      </c>
      <c r="C3" s="381" t="s">
        <v>1613</v>
      </c>
      <c r="D3" s="35" t="s">
        <v>1278</v>
      </c>
      <c r="E3" s="35" t="s">
        <v>1279</v>
      </c>
      <c r="G3" s="5" t="s">
        <v>1229</v>
      </c>
      <c r="H3" s="5" t="s">
        <v>2210</v>
      </c>
    </row>
    <row r="4" spans="1:8" x14ac:dyDescent="0.45">
      <c r="A4" s="996">
        <v>1</v>
      </c>
      <c r="B4" s="380">
        <v>0</v>
      </c>
      <c r="C4" t="s">
        <v>1703</v>
      </c>
      <c r="D4" t="s">
        <v>1704</v>
      </c>
      <c r="E4" t="s">
        <v>1705</v>
      </c>
      <c r="G4">
        <f>IF(
    OR(
        AND(MAX(0, MIN($C$1, DATE(Initialisatie!$C$5,12,31)) - MAX($C$2, DATE(Initialisatie!$C$5,1,1)) + 1) &gt; 0, IFERROR(VALUE($C4),0)=0),
        AND(MAX(0, MIN($D$1, DATE(Initialisatie!$C$5,12,31)) - MAX($D$2, DATE(Initialisatie!$C$5,1,1)) + 1) &gt; 0, IFERROR(VALUE($D4),0)=0),
        AND(MAX(0, MIN($E$1, DATE(Initialisatie!$C$5,12,31)) - MAX($E$2, DATE(Initialisatie!$C$5,1,1)) + 1) &gt; 0, IFERROR(VALUE($E4),0)=0)
    ),
    0,
    SUM(
        IFERROR(VALUE($C4),0) * MAX(0, MIN($C$1, DATE(Initialisatie!$C$5,12,31)) - MAX($C$2, DATE(Initialisatie!$C$5,1,1)) + 1),
        IFERROR(VALUE($D4),0) * MAX(0, MIN($D$1, DATE(Initialisatie!$C$5,12,31)) - MAX($D$2, DATE(Initialisatie!$C$5,1,1)) + 1),
        IFERROR(VALUE($E4),0) * MAX(0, MIN($E$1, DATE(Initialisatie!$C$5,12,31)) - MAX($E$2, DATE(Initialisatie!$C$5,1,1)) + 1)
    ) / (DATE(Initialisatie!$C$5,12,31) - DATE(Initialisatie!$C$5,1,1) + 1)
)</f>
        <v>2345.3506849315067</v>
      </c>
      <c r="H4">
        <f>IF(
    OR(
        AND(MAX(0, IF(MIN($C$1, DATE(Initialisatie!$C$5,12,31)) &lt; MAX($C$2, DATE(Initialisatie!$C$5,1,1)), 0, MONTH(MIN($C$1, DATE(Initialisatie!$C$5,12,31))) - MONTH(MAX($C$2, DATE(Initialisatie!$C$5,1,1))) + 1)) &lt;= 0, IFERROR(VALUE($C4),0)=0),
        AND(MAX(0, IF(MIN($D$1, DATE(Initialisatie!$C$5,12,31)) &lt; MAX($D$2, DATE(Initialisatie!$C$5,1,1)), 0, MONTH(MIN($D$1, DATE(Initialisatie!$C$5,12,31))) - MONTH(MAX($D$2, DATE(Initialisatie!$C$5,1,1))) + 1)) &lt;= 0, IFERROR(VALUE($D4),0)=0),
        AND(MAX(0, IF(MIN($E$1, DATE(Initialisatie!$C$5,12,31)) &lt; MAX($E$2, DATE(Initialisatie!$C$5,1,1)), 0, MONTH(MIN($E$1, DATE(Initialisatie!$C$5,12,31))) - MONTH(MAX($E$2, DATE(Initialisatie!$C$5,1,1))) + 1)) &lt;= 0, IFERROR(VALUE($E4),0)=0)
    ),
    0,
    SUM(
        IFERROR(VALUE($C4),0) * MAX(0, IF(MIN($C$1, DATE(Initialisatie!$C$5,12,31)) &lt; MAX($C$2, DATE(Initialisatie!$C$5,1,1)), 0, MONTH(MIN($C$1, DATE(Initialisatie!$C$5,12,31))) - MONTH(MAX($C$2, DATE(Initialisatie!$C$5,1,1))) + 1)),
        IFERROR(VALUE($D4),0) * MAX(0, IF(MIN($D$1, DATE(Initialisatie!$C$5,12,31)) &lt; MAX($D$2, DATE(Initialisatie!$C$5,1,1)), 0, MONTH(MIN($D$1, DATE(Initialisatie!$C$5,12,31))) - MONTH(MAX($D$2, DATE(Initialisatie!$C$5,1,1))) + 1)),
        IFERROR(VALUE($E4),0) * MAX(0, IF(MIN($E$1, DATE(Initialisatie!$C$5,12,31)) &lt; MAX($E$2, DATE(Initialisatie!$C$5,1,1)), 0, MONTH(MIN($E$1, DATE(Initialisatie!$C$5,12,31))) - MONTH(MAX($E$2, DATE(Initialisatie!$C$5,1,1))) + 1))
    ) / 12
)</f>
        <v>2345.25</v>
      </c>
    </row>
    <row r="5" spans="1:8" x14ac:dyDescent="0.45">
      <c r="A5" s="997"/>
      <c r="B5" s="380">
        <v>1</v>
      </c>
      <c r="C5" t="s">
        <v>1706</v>
      </c>
      <c r="D5" t="s">
        <v>1707</v>
      </c>
      <c r="E5" t="s">
        <v>1708</v>
      </c>
      <c r="G5">
        <f>IF(
    OR(
        AND(MAX(0, MIN($C$1, DATE(Initialisatie!$C$5,12,31)) - MAX($C$2, DATE(Initialisatie!$C$5,1,1)) + 1) &gt; 0, IFERROR(VALUE($C5),0)=0),
        AND(MAX(0, MIN($D$1, DATE(Initialisatie!$C$5,12,31)) - MAX($D$2, DATE(Initialisatie!$C$5,1,1)) + 1) &gt; 0, IFERROR(VALUE($D5),0)=0),
        AND(MAX(0, MIN($E$1, DATE(Initialisatie!$C$5,12,31)) - MAX($E$2, DATE(Initialisatie!$C$5,1,1)) + 1) &gt; 0, IFERROR(VALUE($E5),0)=0)
    ),
    0,
    SUM(
        IFERROR(VALUE($C5),0) * MAX(0, MIN($C$1, DATE(Initialisatie!$C$5,12,31)) - MAX($C$2, DATE(Initialisatie!$C$5,1,1)) + 1),
        IFERROR(VALUE($D5),0) * MAX(0, MIN($D$1, DATE(Initialisatie!$C$5,12,31)) - MAX($D$2, DATE(Initialisatie!$C$5,1,1)) + 1),
        IFERROR(VALUE($E5),0) * MAX(0, MIN($E$1, DATE(Initialisatie!$C$5,12,31)) - MAX($E$2, DATE(Initialisatie!$C$5,1,1)) + 1)
    ) / (DATE(Initialisatie!$C$5,12,31) - DATE(Initialisatie!$C$5,1,1) + 1)
)</f>
        <v>2354.3506849315067</v>
      </c>
      <c r="H5">
        <f>IF(
    OR(
        AND(MAX(0, IF(MIN($C$1, DATE(Initialisatie!$C$5,12,31)) &lt; MAX($C$2, DATE(Initialisatie!$C$5,1,1)), 0, MONTH(MIN($C$1, DATE(Initialisatie!$C$5,12,31))) - MONTH(MAX($C$2, DATE(Initialisatie!$C$5,1,1))) + 1)) &lt;= 0, IFERROR(VALUE($C5),0)=0),
        AND(MAX(0, IF(MIN($D$1, DATE(Initialisatie!$C$5,12,31)) &lt; MAX($D$2, DATE(Initialisatie!$C$5,1,1)), 0, MONTH(MIN($D$1, DATE(Initialisatie!$C$5,12,31))) - MONTH(MAX($D$2, DATE(Initialisatie!$C$5,1,1))) + 1)) &lt;= 0, IFERROR(VALUE($D5),0)=0),
        AND(MAX(0, IF(MIN($E$1, DATE(Initialisatie!$C$5,12,31)) &lt; MAX($E$2, DATE(Initialisatie!$C$5,1,1)), 0, MONTH(MIN($E$1, DATE(Initialisatie!$C$5,12,31))) - MONTH(MAX($E$2, DATE(Initialisatie!$C$5,1,1))) + 1)) &lt;= 0, IFERROR(VALUE($E5),0)=0)
    ),
    0,
    SUM(
        IFERROR(VALUE($C5),0) * MAX(0, IF(MIN($C$1, DATE(Initialisatie!$C$5,12,31)) &lt; MAX($C$2, DATE(Initialisatie!$C$5,1,1)), 0, MONTH(MIN($C$1, DATE(Initialisatie!$C$5,12,31))) - MONTH(MAX($C$2, DATE(Initialisatie!$C$5,1,1))) + 1)),
        IFERROR(VALUE($D5),0) * MAX(0, IF(MIN($D$1, DATE(Initialisatie!$C$5,12,31)) &lt; MAX($D$2, DATE(Initialisatie!$C$5,1,1)), 0, MONTH(MIN($D$1, DATE(Initialisatie!$C$5,12,31))) - MONTH(MAX($D$2, DATE(Initialisatie!$C$5,1,1))) + 1)),
        IFERROR(VALUE($E5),0) * MAX(0, IF(MIN($E$1, DATE(Initialisatie!$C$5,12,31)) &lt; MAX($E$2, DATE(Initialisatie!$C$5,1,1)), 0, MONTH(MIN($E$1, DATE(Initialisatie!$C$5,12,31))) - MONTH(MAX($E$2, DATE(Initialisatie!$C$5,1,1))) + 1))
    ) / 12
)</f>
        <v>2354.25</v>
      </c>
    </row>
    <row r="6" spans="1:8" x14ac:dyDescent="0.45">
      <c r="A6" s="997"/>
      <c r="B6" s="380">
        <v>2</v>
      </c>
      <c r="C6" t="s">
        <v>1709</v>
      </c>
      <c r="D6" t="s">
        <v>1710</v>
      </c>
      <c r="E6" t="s">
        <v>1711</v>
      </c>
      <c r="G6">
        <f>IF(
    OR(
        AND(MAX(0, MIN($C$1, DATE(Initialisatie!$C$5,12,31)) - MAX($C$2, DATE(Initialisatie!$C$5,1,1)) + 1) &gt; 0, IFERROR(VALUE($C6),0)=0),
        AND(MAX(0, MIN($D$1, DATE(Initialisatie!$C$5,12,31)) - MAX($D$2, DATE(Initialisatie!$C$5,1,1)) + 1) &gt; 0, IFERROR(VALUE($D6),0)=0),
        AND(MAX(0, MIN($E$1, DATE(Initialisatie!$C$5,12,31)) - MAX($E$2, DATE(Initialisatie!$C$5,1,1)) + 1) &gt; 0, IFERROR(VALUE($E6),0)=0)
    ),
    0,
    SUM(
        IFERROR(VALUE($C6),0) * MAX(0, MIN($C$1, DATE(Initialisatie!$C$5,12,31)) - MAX($C$2, DATE(Initialisatie!$C$5,1,1)) + 1),
        IFERROR(VALUE($D6),0) * MAX(0, MIN($D$1, DATE(Initialisatie!$C$5,12,31)) - MAX($D$2, DATE(Initialisatie!$C$5,1,1)) + 1),
        IFERROR(VALUE($E6),0) * MAX(0, MIN($E$1, DATE(Initialisatie!$C$5,12,31)) - MAX($E$2, DATE(Initialisatie!$C$5,1,1)) + 1)
    ) / (DATE(Initialisatie!$C$5,12,31) - DATE(Initialisatie!$C$5,1,1) + 1)
)</f>
        <v>2410.6027397260273</v>
      </c>
      <c r="H6">
        <f>IF(
    OR(
        AND(MAX(0, IF(MIN($C$1, DATE(Initialisatie!$C$5,12,31)) &lt; MAX($C$2, DATE(Initialisatie!$C$5,1,1)), 0, MONTH(MIN($C$1, DATE(Initialisatie!$C$5,12,31))) - MONTH(MAX($C$2, DATE(Initialisatie!$C$5,1,1))) + 1)) &lt;= 0, IFERROR(VALUE($C6),0)=0),
        AND(MAX(0, IF(MIN($D$1, DATE(Initialisatie!$C$5,12,31)) &lt; MAX($D$2, DATE(Initialisatie!$C$5,1,1)), 0, MONTH(MIN($D$1, DATE(Initialisatie!$C$5,12,31))) - MONTH(MAX($D$2, DATE(Initialisatie!$C$5,1,1))) + 1)) &lt;= 0, IFERROR(VALUE($D6),0)=0),
        AND(MAX(0, IF(MIN($E$1, DATE(Initialisatie!$C$5,12,31)) &lt; MAX($E$2, DATE(Initialisatie!$C$5,1,1)), 0, MONTH(MIN($E$1, DATE(Initialisatie!$C$5,12,31))) - MONTH(MAX($E$2, DATE(Initialisatie!$C$5,1,1))) + 1)) &lt;= 0, IFERROR(VALUE($E6),0)=0)
    ),
    0,
    SUM(
        IFERROR(VALUE($C6),0) * MAX(0, IF(MIN($C$1, DATE(Initialisatie!$C$5,12,31)) &lt; MAX($C$2, DATE(Initialisatie!$C$5,1,1)), 0, MONTH(MIN($C$1, DATE(Initialisatie!$C$5,12,31))) - MONTH(MAX($C$2, DATE(Initialisatie!$C$5,1,1))) + 1)),
        IFERROR(VALUE($D6),0) * MAX(0, IF(MIN($D$1, DATE(Initialisatie!$C$5,12,31)) &lt; MAX($D$2, DATE(Initialisatie!$C$5,1,1)), 0, MONTH(MIN($D$1, DATE(Initialisatie!$C$5,12,31))) - MONTH(MAX($D$2, DATE(Initialisatie!$C$5,1,1))) + 1)),
        IFERROR(VALUE($E6),0) * MAX(0, IF(MIN($E$1, DATE(Initialisatie!$C$5,12,31)) &lt; MAX($E$2, DATE(Initialisatie!$C$5,1,1)), 0, MONTH(MIN($E$1, DATE(Initialisatie!$C$5,12,31))) - MONTH(MAX($E$2, DATE(Initialisatie!$C$5,1,1))) + 1))
    ) / 12
)</f>
        <v>2410.5</v>
      </c>
    </row>
    <row r="7" spans="1:8" x14ac:dyDescent="0.45">
      <c r="A7" s="997"/>
      <c r="B7" s="380">
        <v>3</v>
      </c>
      <c r="C7" t="s">
        <v>1712</v>
      </c>
      <c r="D7" t="s">
        <v>1713</v>
      </c>
      <c r="E7" t="s">
        <v>1714</v>
      </c>
      <c r="G7">
        <f>IF(
    OR(
        AND(MAX(0, MIN($C$1, DATE(Initialisatie!$C$5,12,31)) - MAX($C$2, DATE(Initialisatie!$C$5,1,1)) + 1) &gt; 0, IFERROR(VALUE($C7),0)=0),
        AND(MAX(0, MIN($D$1, DATE(Initialisatie!$C$5,12,31)) - MAX($D$2, DATE(Initialisatie!$C$5,1,1)) + 1) &gt; 0, IFERROR(VALUE($D7),0)=0),
        AND(MAX(0, MIN($E$1, DATE(Initialisatie!$C$5,12,31)) - MAX($E$2, DATE(Initialisatie!$C$5,1,1)) + 1) &gt; 0, IFERROR(VALUE($E7),0)=0)
    ),
    0,
    SUM(
        IFERROR(VALUE($C7),0) * MAX(0, MIN($C$1, DATE(Initialisatie!$C$5,12,31)) - MAX($C$2, DATE(Initialisatie!$C$5,1,1)) + 1),
        IFERROR(VALUE($D7),0) * MAX(0, MIN($D$1, DATE(Initialisatie!$C$5,12,31)) - MAX($D$2, DATE(Initialisatie!$C$5,1,1)) + 1),
        IFERROR(VALUE($E7),0) * MAX(0, MIN($E$1, DATE(Initialisatie!$C$5,12,31)) - MAX($E$2, DATE(Initialisatie!$C$5,1,1)) + 1)
    ) / (DATE(Initialisatie!$C$5,12,31) - DATE(Initialisatie!$C$5,1,1) + 1)
)</f>
        <v>2471.1068493150683</v>
      </c>
      <c r="H7">
        <f>IF(
    OR(
        AND(MAX(0, IF(MIN($C$1, DATE(Initialisatie!$C$5,12,31)) &lt; MAX($C$2, DATE(Initialisatie!$C$5,1,1)), 0, MONTH(MIN($C$1, DATE(Initialisatie!$C$5,12,31))) - MONTH(MAX($C$2, DATE(Initialisatie!$C$5,1,1))) + 1)) &lt;= 0, IFERROR(VALUE($C7),0)=0),
        AND(MAX(0, IF(MIN($D$1, DATE(Initialisatie!$C$5,12,31)) &lt; MAX($D$2, DATE(Initialisatie!$C$5,1,1)), 0, MONTH(MIN($D$1, DATE(Initialisatie!$C$5,12,31))) - MONTH(MAX($D$2, DATE(Initialisatie!$C$5,1,1))) + 1)) &lt;= 0, IFERROR(VALUE($D7),0)=0),
        AND(MAX(0, IF(MIN($E$1, DATE(Initialisatie!$C$5,12,31)) &lt; MAX($E$2, DATE(Initialisatie!$C$5,1,1)), 0, MONTH(MIN($E$1, DATE(Initialisatie!$C$5,12,31))) - MONTH(MAX($E$2, DATE(Initialisatie!$C$5,1,1))) + 1)) &lt;= 0, IFERROR(VALUE($E7),0)=0)
    ),
    0,
    SUM(
        IFERROR(VALUE($C7),0) * MAX(0, IF(MIN($C$1, DATE(Initialisatie!$C$5,12,31)) &lt; MAX($C$2, DATE(Initialisatie!$C$5,1,1)), 0, MONTH(MIN($C$1, DATE(Initialisatie!$C$5,12,31))) - MONTH(MAX($C$2, DATE(Initialisatie!$C$5,1,1))) + 1)),
        IFERROR(VALUE($D7),0) * MAX(0, IF(MIN($D$1, DATE(Initialisatie!$C$5,12,31)) &lt; MAX($D$2, DATE(Initialisatie!$C$5,1,1)), 0, MONTH(MIN($D$1, DATE(Initialisatie!$C$5,12,31))) - MONTH(MAX($D$2, DATE(Initialisatie!$C$5,1,1))) + 1)),
        IFERROR(VALUE($E7),0) * MAX(0, IF(MIN($E$1, DATE(Initialisatie!$C$5,12,31)) &lt; MAX($E$2, DATE(Initialisatie!$C$5,1,1)), 0, MONTH(MIN($E$1, DATE(Initialisatie!$C$5,12,31))) - MONTH(MAX($E$2, DATE(Initialisatie!$C$5,1,1))) + 1))
    ) / 12
)</f>
        <v>2471</v>
      </c>
    </row>
    <row r="8" spans="1:8" x14ac:dyDescent="0.45">
      <c r="A8" s="997"/>
      <c r="B8" s="380">
        <v>4</v>
      </c>
      <c r="C8" t="s">
        <v>1715</v>
      </c>
      <c r="D8" t="s">
        <v>1716</v>
      </c>
      <c r="E8" t="s">
        <v>1717</v>
      </c>
      <c r="G8">
        <f>IF(
    OR(
        AND(MAX(0, MIN($C$1, DATE(Initialisatie!$C$5,12,31)) - MAX($C$2, DATE(Initialisatie!$C$5,1,1)) + 1) &gt; 0, IFERROR(VALUE($C8),0)=0),
        AND(MAX(0, MIN($D$1, DATE(Initialisatie!$C$5,12,31)) - MAX($D$2, DATE(Initialisatie!$C$5,1,1)) + 1) &gt; 0, IFERROR(VALUE($D8),0)=0),
        AND(MAX(0, MIN($E$1, DATE(Initialisatie!$C$5,12,31)) - MAX($E$2, DATE(Initialisatie!$C$5,1,1)) + 1) &gt; 0, IFERROR(VALUE($E8),0)=0)
    ),
    0,
    SUM(
        IFERROR(VALUE($C8),0) * MAX(0, MIN($C$1, DATE(Initialisatie!$C$5,12,31)) - MAX($C$2, DATE(Initialisatie!$C$5,1,1)) + 1),
        IFERROR(VALUE($D8),0) * MAX(0, MIN($D$1, DATE(Initialisatie!$C$5,12,31)) - MAX($D$2, DATE(Initialisatie!$C$5,1,1)) + 1),
        IFERROR(VALUE($E8),0) * MAX(0, MIN($E$1, DATE(Initialisatie!$C$5,12,31)) - MAX($E$2, DATE(Initialisatie!$C$5,1,1)) + 1)
    ) / (DATE(Initialisatie!$C$5,12,31) - DATE(Initialisatie!$C$5,1,1) + 1)
)</f>
        <v>2527.3589041095888</v>
      </c>
      <c r="H8">
        <f>IF(
    OR(
        AND(MAX(0, IF(MIN($C$1, DATE(Initialisatie!$C$5,12,31)) &lt; MAX($C$2, DATE(Initialisatie!$C$5,1,1)), 0, MONTH(MIN($C$1, DATE(Initialisatie!$C$5,12,31))) - MONTH(MAX($C$2, DATE(Initialisatie!$C$5,1,1))) + 1)) &lt;= 0, IFERROR(VALUE($C8),0)=0),
        AND(MAX(0, IF(MIN($D$1, DATE(Initialisatie!$C$5,12,31)) &lt; MAX($D$2, DATE(Initialisatie!$C$5,1,1)), 0, MONTH(MIN($D$1, DATE(Initialisatie!$C$5,12,31))) - MONTH(MAX($D$2, DATE(Initialisatie!$C$5,1,1))) + 1)) &lt;= 0, IFERROR(VALUE($D8),0)=0),
        AND(MAX(0, IF(MIN($E$1, DATE(Initialisatie!$C$5,12,31)) &lt; MAX($E$2, DATE(Initialisatie!$C$5,1,1)), 0, MONTH(MIN($E$1, DATE(Initialisatie!$C$5,12,31))) - MONTH(MAX($E$2, DATE(Initialisatie!$C$5,1,1))) + 1)) &lt;= 0, IFERROR(VALUE($E8),0)=0)
    ),
    0,
    SUM(
        IFERROR(VALUE($C8),0) * MAX(0, IF(MIN($C$1, DATE(Initialisatie!$C$5,12,31)) &lt; MAX($C$2, DATE(Initialisatie!$C$5,1,1)), 0, MONTH(MIN($C$1, DATE(Initialisatie!$C$5,12,31))) - MONTH(MAX($C$2, DATE(Initialisatie!$C$5,1,1))) + 1)),
        IFERROR(VALUE($D8),0) * MAX(0, IF(MIN($D$1, DATE(Initialisatie!$C$5,12,31)) &lt; MAX($D$2, DATE(Initialisatie!$C$5,1,1)), 0, MONTH(MIN($D$1, DATE(Initialisatie!$C$5,12,31))) - MONTH(MAX($D$2, DATE(Initialisatie!$C$5,1,1))) + 1)),
        IFERROR(VALUE($E8),0) * MAX(0, IF(MIN($E$1, DATE(Initialisatie!$C$5,12,31)) &lt; MAX($E$2, DATE(Initialisatie!$C$5,1,1)), 0, MONTH(MIN($E$1, DATE(Initialisatie!$C$5,12,31))) - MONTH(MAX($E$2, DATE(Initialisatie!$C$5,1,1))) + 1))
    ) / 12
)</f>
        <v>2527.25</v>
      </c>
    </row>
    <row r="9" spans="1:8" x14ac:dyDescent="0.45">
      <c r="A9" s="997"/>
      <c r="B9" s="380">
        <v>5</v>
      </c>
      <c r="C9" t="s">
        <v>1718</v>
      </c>
      <c r="D9" t="s">
        <v>1719</v>
      </c>
      <c r="E9" t="s">
        <v>1720</v>
      </c>
      <c r="G9">
        <f>IF(
    OR(
        AND(MAX(0, MIN($C$1, DATE(Initialisatie!$C$5,12,31)) - MAX($C$2, DATE(Initialisatie!$C$5,1,1)) + 1) &gt; 0, IFERROR(VALUE($C9),0)=0),
        AND(MAX(0, MIN($D$1, DATE(Initialisatie!$C$5,12,31)) - MAX($D$2, DATE(Initialisatie!$C$5,1,1)) + 1) &gt; 0, IFERROR(VALUE($D9),0)=0),
        AND(MAX(0, MIN($E$1, DATE(Initialisatie!$C$5,12,31)) - MAX($E$2, DATE(Initialisatie!$C$5,1,1)) + 1) &gt; 0, IFERROR(VALUE($E9),0)=0)
    ),
    0,
    SUM(
        IFERROR(VALUE($C9),0) * MAX(0, MIN($C$1, DATE(Initialisatie!$C$5,12,31)) - MAX($C$2, DATE(Initialisatie!$C$5,1,1)) + 1),
        IFERROR(VALUE($D9),0) * MAX(0, MIN($D$1, DATE(Initialisatie!$C$5,12,31)) - MAX($D$2, DATE(Initialisatie!$C$5,1,1)) + 1),
        IFERROR(VALUE($E9),0) * MAX(0, MIN($E$1, DATE(Initialisatie!$C$5,12,31)) - MAX($E$2, DATE(Initialisatie!$C$5,1,1)) + 1)
    ) / (DATE(Initialisatie!$C$5,12,31) - DATE(Initialisatie!$C$5,1,1) + 1)
)</f>
        <v>2585.6109589041098</v>
      </c>
      <c r="H9">
        <f>IF(
    OR(
        AND(MAX(0, IF(MIN($C$1, DATE(Initialisatie!$C$5,12,31)) &lt; MAX($C$2, DATE(Initialisatie!$C$5,1,1)), 0, MONTH(MIN($C$1, DATE(Initialisatie!$C$5,12,31))) - MONTH(MAX($C$2, DATE(Initialisatie!$C$5,1,1))) + 1)) &lt;= 0, IFERROR(VALUE($C9),0)=0),
        AND(MAX(0, IF(MIN($D$1, DATE(Initialisatie!$C$5,12,31)) &lt; MAX($D$2, DATE(Initialisatie!$C$5,1,1)), 0, MONTH(MIN($D$1, DATE(Initialisatie!$C$5,12,31))) - MONTH(MAX($D$2, DATE(Initialisatie!$C$5,1,1))) + 1)) &lt;= 0, IFERROR(VALUE($D9),0)=0),
        AND(MAX(0, IF(MIN($E$1, DATE(Initialisatie!$C$5,12,31)) &lt; MAX($E$2, DATE(Initialisatie!$C$5,1,1)), 0, MONTH(MIN($E$1, DATE(Initialisatie!$C$5,12,31))) - MONTH(MAX($E$2, DATE(Initialisatie!$C$5,1,1))) + 1)) &lt;= 0, IFERROR(VALUE($E9),0)=0)
    ),
    0,
    SUM(
        IFERROR(VALUE($C9),0) * MAX(0, IF(MIN($C$1, DATE(Initialisatie!$C$5,12,31)) &lt; MAX($C$2, DATE(Initialisatie!$C$5,1,1)), 0, MONTH(MIN($C$1, DATE(Initialisatie!$C$5,12,31))) - MONTH(MAX($C$2, DATE(Initialisatie!$C$5,1,1))) + 1)),
        IFERROR(VALUE($D9),0) * MAX(0, IF(MIN($D$1, DATE(Initialisatie!$C$5,12,31)) &lt; MAX($D$2, DATE(Initialisatie!$C$5,1,1)), 0, MONTH(MIN($D$1, DATE(Initialisatie!$C$5,12,31))) - MONTH(MAX($D$2, DATE(Initialisatie!$C$5,1,1))) + 1)),
        IFERROR(VALUE($E9),0) * MAX(0, IF(MIN($E$1, DATE(Initialisatie!$C$5,12,31)) &lt; MAX($E$2, DATE(Initialisatie!$C$5,1,1)), 0, MONTH(MIN($E$1, DATE(Initialisatie!$C$5,12,31))) - MONTH(MAX($E$2, DATE(Initialisatie!$C$5,1,1))) + 1))
    ) / 12
)</f>
        <v>2585.5</v>
      </c>
    </row>
    <row r="10" spans="1:8" x14ac:dyDescent="0.45">
      <c r="A10" s="997"/>
      <c r="B10" s="380">
        <v>6</v>
      </c>
      <c r="C10" t="s">
        <v>1721</v>
      </c>
      <c r="D10" t="s">
        <v>1722</v>
      </c>
      <c r="E10" t="s">
        <v>1723</v>
      </c>
      <c r="G10">
        <f>IF(
    OR(
        AND(MAX(0, MIN($C$1, DATE(Initialisatie!$C$5,12,31)) - MAX($C$2, DATE(Initialisatie!$C$5,1,1)) + 1) &gt; 0, IFERROR(VALUE($C10),0)=0),
        AND(MAX(0, MIN($D$1, DATE(Initialisatie!$C$5,12,31)) - MAX($D$2, DATE(Initialisatie!$C$5,1,1)) + 1) &gt; 0, IFERROR(VALUE($D10),0)=0),
        AND(MAX(0, MIN($E$1, DATE(Initialisatie!$C$5,12,31)) - MAX($E$2, DATE(Initialisatie!$C$5,1,1)) + 1) &gt; 0, IFERROR(VALUE($E10),0)=0)
    ),
    0,
    SUM(
        IFERROR(VALUE($C10),0) * MAX(0, MIN($C$1, DATE(Initialisatie!$C$5,12,31)) - MAX($C$2, DATE(Initialisatie!$C$5,1,1)) + 1),
        IFERROR(VALUE($D10),0) * MAX(0, MIN($D$1, DATE(Initialisatie!$C$5,12,31)) - MAX($D$2, DATE(Initialisatie!$C$5,1,1)) + 1),
        IFERROR(VALUE($E10),0) * MAX(0, MIN($E$1, DATE(Initialisatie!$C$5,12,31)) - MAX($E$2, DATE(Initialisatie!$C$5,1,1)) + 1)
    ) / (DATE(Initialisatie!$C$5,12,31) - DATE(Initialisatie!$C$5,1,1) + 1)
)</f>
        <v>2648.8630136986303</v>
      </c>
      <c r="H10">
        <f>IF(
    OR(
        AND(MAX(0, IF(MIN($C$1, DATE(Initialisatie!$C$5,12,31)) &lt; MAX($C$2, DATE(Initialisatie!$C$5,1,1)), 0, MONTH(MIN($C$1, DATE(Initialisatie!$C$5,12,31))) - MONTH(MAX($C$2, DATE(Initialisatie!$C$5,1,1))) + 1)) &lt;= 0, IFERROR(VALUE($C10),0)=0),
        AND(MAX(0, IF(MIN($D$1, DATE(Initialisatie!$C$5,12,31)) &lt; MAX($D$2, DATE(Initialisatie!$C$5,1,1)), 0, MONTH(MIN($D$1, DATE(Initialisatie!$C$5,12,31))) - MONTH(MAX($D$2, DATE(Initialisatie!$C$5,1,1))) + 1)) &lt;= 0, IFERROR(VALUE($D10),0)=0),
        AND(MAX(0, IF(MIN($E$1, DATE(Initialisatie!$C$5,12,31)) &lt; MAX($E$2, DATE(Initialisatie!$C$5,1,1)), 0, MONTH(MIN($E$1, DATE(Initialisatie!$C$5,12,31))) - MONTH(MAX($E$2, DATE(Initialisatie!$C$5,1,1))) + 1)) &lt;= 0, IFERROR(VALUE($E10),0)=0)
    ),
    0,
    SUM(
        IFERROR(VALUE($C10),0) * MAX(0, IF(MIN($C$1, DATE(Initialisatie!$C$5,12,31)) &lt; MAX($C$2, DATE(Initialisatie!$C$5,1,1)), 0, MONTH(MIN($C$1, DATE(Initialisatie!$C$5,12,31))) - MONTH(MAX($C$2, DATE(Initialisatie!$C$5,1,1))) + 1)),
        IFERROR(VALUE($D10),0) * MAX(0, IF(MIN($D$1, DATE(Initialisatie!$C$5,12,31)) &lt; MAX($D$2, DATE(Initialisatie!$C$5,1,1)), 0, MONTH(MIN($D$1, DATE(Initialisatie!$C$5,12,31))) - MONTH(MAX($D$2, DATE(Initialisatie!$C$5,1,1))) + 1)),
        IFERROR(VALUE($E10),0) * MAX(0, IF(MIN($E$1, DATE(Initialisatie!$C$5,12,31)) &lt; MAX($E$2, DATE(Initialisatie!$C$5,1,1)), 0, MONTH(MIN($E$1, DATE(Initialisatie!$C$5,12,31))) - MONTH(MAX($E$2, DATE(Initialisatie!$C$5,1,1))) + 1))
    ) / 12
)</f>
        <v>2648.75</v>
      </c>
    </row>
    <row r="11" spans="1:8" x14ac:dyDescent="0.45">
      <c r="A11" s="997"/>
      <c r="B11" s="380">
        <v>7</v>
      </c>
      <c r="C11" t="s">
        <v>1724</v>
      </c>
      <c r="D11" t="s">
        <v>1725</v>
      </c>
      <c r="E11" t="s">
        <v>1726</v>
      </c>
      <c r="G11">
        <f>IF(
    OR(
        AND(MAX(0, MIN($C$1, DATE(Initialisatie!$C$5,12,31)) - MAX($C$2, DATE(Initialisatie!$C$5,1,1)) + 1) &gt; 0, IFERROR(VALUE($C11),0)=0),
        AND(MAX(0, MIN($D$1, DATE(Initialisatie!$C$5,12,31)) - MAX($D$2, DATE(Initialisatie!$C$5,1,1)) + 1) &gt; 0, IFERROR(VALUE($D11),0)=0),
        AND(MAX(0, MIN($E$1, DATE(Initialisatie!$C$5,12,31)) - MAX($E$2, DATE(Initialisatie!$C$5,1,1)) + 1) &gt; 0, IFERROR(VALUE($E11),0)=0)
    ),
    0,
    SUM(
        IFERROR(VALUE($C11),0) * MAX(0, MIN($C$1, DATE(Initialisatie!$C$5,12,31)) - MAX($C$2, DATE(Initialisatie!$C$5,1,1)) + 1),
        IFERROR(VALUE($D11),0) * MAX(0, MIN($D$1, DATE(Initialisatie!$C$5,12,31)) - MAX($D$2, DATE(Initialisatie!$C$5,1,1)) + 1),
        IFERROR(VALUE($E11),0) * MAX(0, MIN($E$1, DATE(Initialisatie!$C$5,12,31)) - MAX($E$2, DATE(Initialisatie!$C$5,1,1)) + 1)
    ) / (DATE(Initialisatie!$C$5,12,31) - DATE(Initialisatie!$C$5,1,1) + 1)
)</f>
        <v>2715.3671232876713</v>
      </c>
      <c r="H11">
        <f>IF(
    OR(
        AND(MAX(0, IF(MIN($C$1, DATE(Initialisatie!$C$5,12,31)) &lt; MAX($C$2, DATE(Initialisatie!$C$5,1,1)), 0, MONTH(MIN($C$1, DATE(Initialisatie!$C$5,12,31))) - MONTH(MAX($C$2, DATE(Initialisatie!$C$5,1,1))) + 1)) &lt;= 0, IFERROR(VALUE($C11),0)=0),
        AND(MAX(0, IF(MIN($D$1, DATE(Initialisatie!$C$5,12,31)) &lt; MAX($D$2, DATE(Initialisatie!$C$5,1,1)), 0, MONTH(MIN($D$1, DATE(Initialisatie!$C$5,12,31))) - MONTH(MAX($D$2, DATE(Initialisatie!$C$5,1,1))) + 1)) &lt;= 0, IFERROR(VALUE($D11),0)=0),
        AND(MAX(0, IF(MIN($E$1, DATE(Initialisatie!$C$5,12,31)) &lt; MAX($E$2, DATE(Initialisatie!$C$5,1,1)), 0, MONTH(MIN($E$1, DATE(Initialisatie!$C$5,12,31))) - MONTH(MAX($E$2, DATE(Initialisatie!$C$5,1,1))) + 1)) &lt;= 0, IFERROR(VALUE($E11),0)=0)
    ),
    0,
    SUM(
        IFERROR(VALUE($C11),0) * MAX(0, IF(MIN($C$1, DATE(Initialisatie!$C$5,12,31)) &lt; MAX($C$2, DATE(Initialisatie!$C$5,1,1)), 0, MONTH(MIN($C$1, DATE(Initialisatie!$C$5,12,31))) - MONTH(MAX($C$2, DATE(Initialisatie!$C$5,1,1))) + 1)),
        IFERROR(VALUE($D11),0) * MAX(0, IF(MIN($D$1, DATE(Initialisatie!$C$5,12,31)) &lt; MAX($D$2, DATE(Initialisatie!$C$5,1,1)), 0, MONTH(MIN($D$1, DATE(Initialisatie!$C$5,12,31))) - MONTH(MAX($D$2, DATE(Initialisatie!$C$5,1,1))) + 1)),
        IFERROR(VALUE($E11),0) * MAX(0, IF(MIN($E$1, DATE(Initialisatie!$C$5,12,31)) &lt; MAX($E$2, DATE(Initialisatie!$C$5,1,1)), 0, MONTH(MIN($E$1, DATE(Initialisatie!$C$5,12,31))) - MONTH(MAX($E$2, DATE(Initialisatie!$C$5,1,1))) + 1))
    ) / 12
)</f>
        <v>2715.25</v>
      </c>
    </row>
    <row r="12" spans="1:8" x14ac:dyDescent="0.45">
      <c r="A12" s="997"/>
      <c r="B12" s="380">
        <v>8</v>
      </c>
      <c r="C12" t="s">
        <v>1727</v>
      </c>
      <c r="D12" t="s">
        <v>1728</v>
      </c>
      <c r="E12" t="s">
        <v>1729</v>
      </c>
      <c r="G12">
        <f>IF(
    OR(
        AND(MAX(0, MIN($C$1, DATE(Initialisatie!$C$5,12,31)) - MAX($C$2, DATE(Initialisatie!$C$5,1,1)) + 1) &gt; 0, IFERROR(VALUE($C12),0)=0),
        AND(MAX(0, MIN($D$1, DATE(Initialisatie!$C$5,12,31)) - MAX($D$2, DATE(Initialisatie!$C$5,1,1)) + 1) &gt; 0, IFERROR(VALUE($D12),0)=0),
        AND(MAX(0, MIN($E$1, DATE(Initialisatie!$C$5,12,31)) - MAX($E$2, DATE(Initialisatie!$C$5,1,1)) + 1) &gt; 0, IFERROR(VALUE($E12),0)=0)
    ),
    0,
    SUM(
        IFERROR(VALUE($C12),0) * MAX(0, MIN($C$1, DATE(Initialisatie!$C$5,12,31)) - MAX($C$2, DATE(Initialisatie!$C$5,1,1)) + 1),
        IFERROR(VALUE($D12),0) * MAX(0, MIN($D$1, DATE(Initialisatie!$C$5,12,31)) - MAX($D$2, DATE(Initialisatie!$C$5,1,1)) + 1),
        IFERROR(VALUE($E12),0) * MAX(0, MIN($E$1, DATE(Initialisatie!$C$5,12,31)) - MAX($E$2, DATE(Initialisatie!$C$5,1,1)) + 1)
    ) / (DATE(Initialisatie!$C$5,12,31) - DATE(Initialisatie!$C$5,1,1) + 1)
)</f>
        <v>2777.6191780821919</v>
      </c>
      <c r="H12">
        <f>IF(
    OR(
        AND(MAX(0, IF(MIN($C$1, DATE(Initialisatie!$C$5,12,31)) &lt; MAX($C$2, DATE(Initialisatie!$C$5,1,1)), 0, MONTH(MIN($C$1, DATE(Initialisatie!$C$5,12,31))) - MONTH(MAX($C$2, DATE(Initialisatie!$C$5,1,1))) + 1)) &lt;= 0, IFERROR(VALUE($C12),0)=0),
        AND(MAX(0, IF(MIN($D$1, DATE(Initialisatie!$C$5,12,31)) &lt; MAX($D$2, DATE(Initialisatie!$C$5,1,1)), 0, MONTH(MIN($D$1, DATE(Initialisatie!$C$5,12,31))) - MONTH(MAX($D$2, DATE(Initialisatie!$C$5,1,1))) + 1)) &lt;= 0, IFERROR(VALUE($D12),0)=0),
        AND(MAX(0, IF(MIN($E$1, DATE(Initialisatie!$C$5,12,31)) &lt; MAX($E$2, DATE(Initialisatie!$C$5,1,1)), 0, MONTH(MIN($E$1, DATE(Initialisatie!$C$5,12,31))) - MONTH(MAX($E$2, DATE(Initialisatie!$C$5,1,1))) + 1)) &lt;= 0, IFERROR(VALUE($E12),0)=0)
    ),
    0,
    SUM(
        IFERROR(VALUE($C12),0) * MAX(0, IF(MIN($C$1, DATE(Initialisatie!$C$5,12,31)) &lt; MAX($C$2, DATE(Initialisatie!$C$5,1,1)), 0, MONTH(MIN($C$1, DATE(Initialisatie!$C$5,12,31))) - MONTH(MAX($C$2, DATE(Initialisatie!$C$5,1,1))) + 1)),
        IFERROR(VALUE($D12),0) * MAX(0, IF(MIN($D$1, DATE(Initialisatie!$C$5,12,31)) &lt; MAX($D$2, DATE(Initialisatie!$C$5,1,1)), 0, MONTH(MIN($D$1, DATE(Initialisatie!$C$5,12,31))) - MONTH(MAX($D$2, DATE(Initialisatie!$C$5,1,1))) + 1)),
        IFERROR(VALUE($E12),0) * MAX(0, IF(MIN($E$1, DATE(Initialisatie!$C$5,12,31)) &lt; MAX($E$2, DATE(Initialisatie!$C$5,1,1)), 0, MONTH(MIN($E$1, DATE(Initialisatie!$C$5,12,31))) - MONTH(MAX($E$2, DATE(Initialisatie!$C$5,1,1))) + 1))
    ) / 12
)</f>
        <v>2777.5</v>
      </c>
    </row>
    <row r="13" spans="1:8" x14ac:dyDescent="0.45">
      <c r="A13" s="997"/>
      <c r="B13" s="380">
        <v>9</v>
      </c>
      <c r="C13" t="s">
        <v>1730</v>
      </c>
      <c r="D13" t="s">
        <v>1731</v>
      </c>
      <c r="E13" t="s">
        <v>1732</v>
      </c>
      <c r="G13">
        <f>IF(
    OR(
        AND(MAX(0, MIN($C$1, DATE(Initialisatie!$C$5,12,31)) - MAX($C$2, DATE(Initialisatie!$C$5,1,1)) + 1) &gt; 0, IFERROR(VALUE($C13),0)=0),
        AND(MAX(0, MIN($D$1, DATE(Initialisatie!$C$5,12,31)) - MAX($D$2, DATE(Initialisatie!$C$5,1,1)) + 1) &gt; 0, IFERROR(VALUE($D13),0)=0),
        AND(MAX(0, MIN($E$1, DATE(Initialisatie!$C$5,12,31)) - MAX($E$2, DATE(Initialisatie!$C$5,1,1)) + 1) &gt; 0, IFERROR(VALUE($E13),0)=0)
    ),
    0,
    SUM(
        IFERROR(VALUE($C13),0) * MAX(0, MIN($C$1, DATE(Initialisatie!$C$5,12,31)) - MAX($C$2, DATE(Initialisatie!$C$5,1,1)) + 1),
        IFERROR(VALUE($D13),0) * MAX(0, MIN($D$1, DATE(Initialisatie!$C$5,12,31)) - MAX($D$2, DATE(Initialisatie!$C$5,1,1)) + 1),
        IFERROR(VALUE($E13),0) * MAX(0, MIN($E$1, DATE(Initialisatie!$C$5,12,31)) - MAX($E$2, DATE(Initialisatie!$C$5,1,1)) + 1)
    ) / (DATE(Initialisatie!$C$5,12,31) - DATE(Initialisatie!$C$5,1,1) + 1)
)</f>
        <v>2847.8712328767124</v>
      </c>
      <c r="H13">
        <f>IF(
    OR(
        AND(MAX(0, IF(MIN($C$1, DATE(Initialisatie!$C$5,12,31)) &lt; MAX($C$2, DATE(Initialisatie!$C$5,1,1)), 0, MONTH(MIN($C$1, DATE(Initialisatie!$C$5,12,31))) - MONTH(MAX($C$2, DATE(Initialisatie!$C$5,1,1))) + 1)) &lt;= 0, IFERROR(VALUE($C13),0)=0),
        AND(MAX(0, IF(MIN($D$1, DATE(Initialisatie!$C$5,12,31)) &lt; MAX($D$2, DATE(Initialisatie!$C$5,1,1)), 0, MONTH(MIN($D$1, DATE(Initialisatie!$C$5,12,31))) - MONTH(MAX($D$2, DATE(Initialisatie!$C$5,1,1))) + 1)) &lt;= 0, IFERROR(VALUE($D13),0)=0),
        AND(MAX(0, IF(MIN($E$1, DATE(Initialisatie!$C$5,12,31)) &lt; MAX($E$2, DATE(Initialisatie!$C$5,1,1)), 0, MONTH(MIN($E$1, DATE(Initialisatie!$C$5,12,31))) - MONTH(MAX($E$2, DATE(Initialisatie!$C$5,1,1))) + 1)) &lt;= 0, IFERROR(VALUE($E13),0)=0)
    ),
    0,
    SUM(
        IFERROR(VALUE($C13),0) * MAX(0, IF(MIN($C$1, DATE(Initialisatie!$C$5,12,31)) &lt; MAX($C$2, DATE(Initialisatie!$C$5,1,1)), 0, MONTH(MIN($C$1, DATE(Initialisatie!$C$5,12,31))) - MONTH(MAX($C$2, DATE(Initialisatie!$C$5,1,1))) + 1)),
        IFERROR(VALUE($D13),0) * MAX(0, IF(MIN($D$1, DATE(Initialisatie!$C$5,12,31)) &lt; MAX($D$2, DATE(Initialisatie!$C$5,1,1)), 0, MONTH(MIN($D$1, DATE(Initialisatie!$C$5,12,31))) - MONTH(MAX($D$2, DATE(Initialisatie!$C$5,1,1))) + 1)),
        IFERROR(VALUE($E13),0) * MAX(0, IF(MIN($E$1, DATE(Initialisatie!$C$5,12,31)) &lt; MAX($E$2, DATE(Initialisatie!$C$5,1,1)), 0, MONTH(MIN($E$1, DATE(Initialisatie!$C$5,12,31))) - MONTH(MAX($E$2, DATE(Initialisatie!$C$5,1,1))) + 1))
    ) / 12
)</f>
        <v>2847.75</v>
      </c>
    </row>
    <row r="14" spans="1:8" x14ac:dyDescent="0.45">
      <c r="A14" s="997"/>
      <c r="B14" s="380">
        <v>10</v>
      </c>
      <c r="C14" t="s">
        <v>1733</v>
      </c>
      <c r="D14" t="s">
        <v>1734</v>
      </c>
      <c r="E14" t="s">
        <v>1735</v>
      </c>
      <c r="G14">
        <f>IF(
    OR(
        AND(MAX(0, MIN($C$1, DATE(Initialisatie!$C$5,12,31)) - MAX($C$2, DATE(Initialisatie!$C$5,1,1)) + 1) &gt; 0, IFERROR(VALUE($C14),0)=0),
        AND(MAX(0, MIN($D$1, DATE(Initialisatie!$C$5,12,31)) - MAX($D$2, DATE(Initialisatie!$C$5,1,1)) + 1) &gt; 0, IFERROR(VALUE($D14),0)=0),
        AND(MAX(0, MIN($E$1, DATE(Initialisatie!$C$5,12,31)) - MAX($E$2, DATE(Initialisatie!$C$5,1,1)) + 1) &gt; 0, IFERROR(VALUE($E14),0)=0)
    ),
    0,
    SUM(
        IFERROR(VALUE($C14),0) * MAX(0, MIN($C$1, DATE(Initialisatie!$C$5,12,31)) - MAX($C$2, DATE(Initialisatie!$C$5,1,1)) + 1),
        IFERROR(VALUE($D14),0) * MAX(0, MIN($D$1, DATE(Initialisatie!$C$5,12,31)) - MAX($D$2, DATE(Initialisatie!$C$5,1,1)) + 1),
        IFERROR(VALUE($E14),0) * MAX(0, MIN($E$1, DATE(Initialisatie!$C$5,12,31)) - MAX($E$2, DATE(Initialisatie!$C$5,1,1)) + 1)
    ) / (DATE(Initialisatie!$C$5,12,31) - DATE(Initialisatie!$C$5,1,1) + 1)
)</f>
        <v>2943.3753424657534</v>
      </c>
      <c r="H14">
        <f>IF(
    OR(
        AND(MAX(0, IF(MIN($C$1, DATE(Initialisatie!$C$5,12,31)) &lt; MAX($C$2, DATE(Initialisatie!$C$5,1,1)), 0, MONTH(MIN($C$1, DATE(Initialisatie!$C$5,12,31))) - MONTH(MAX($C$2, DATE(Initialisatie!$C$5,1,1))) + 1)) &lt;= 0, IFERROR(VALUE($C14),0)=0),
        AND(MAX(0, IF(MIN($D$1, DATE(Initialisatie!$C$5,12,31)) &lt; MAX($D$2, DATE(Initialisatie!$C$5,1,1)), 0, MONTH(MIN($D$1, DATE(Initialisatie!$C$5,12,31))) - MONTH(MAX($D$2, DATE(Initialisatie!$C$5,1,1))) + 1)) &lt;= 0, IFERROR(VALUE($D14),0)=0),
        AND(MAX(0, IF(MIN($E$1, DATE(Initialisatie!$C$5,12,31)) &lt; MAX($E$2, DATE(Initialisatie!$C$5,1,1)), 0, MONTH(MIN($E$1, DATE(Initialisatie!$C$5,12,31))) - MONTH(MAX($E$2, DATE(Initialisatie!$C$5,1,1))) + 1)) &lt;= 0, IFERROR(VALUE($E14),0)=0)
    ),
    0,
    SUM(
        IFERROR(VALUE($C14),0) * MAX(0, IF(MIN($C$1, DATE(Initialisatie!$C$5,12,31)) &lt; MAX($C$2, DATE(Initialisatie!$C$5,1,1)), 0, MONTH(MIN($C$1, DATE(Initialisatie!$C$5,12,31))) - MONTH(MAX($C$2, DATE(Initialisatie!$C$5,1,1))) + 1)),
        IFERROR(VALUE($D14),0) * MAX(0, IF(MIN($D$1, DATE(Initialisatie!$C$5,12,31)) &lt; MAX($D$2, DATE(Initialisatie!$C$5,1,1)), 0, MONTH(MIN($D$1, DATE(Initialisatie!$C$5,12,31))) - MONTH(MAX($D$2, DATE(Initialisatie!$C$5,1,1))) + 1)),
        IFERROR(VALUE($E14),0) * MAX(0, IF(MIN($E$1, DATE(Initialisatie!$C$5,12,31)) &lt; MAX($E$2, DATE(Initialisatie!$C$5,1,1)), 0, MONTH(MIN($E$1, DATE(Initialisatie!$C$5,12,31))) - MONTH(MAX($E$2, DATE(Initialisatie!$C$5,1,1))) + 1))
    ) / 12
)</f>
        <v>2943.25</v>
      </c>
    </row>
    <row r="15" spans="1:8" x14ac:dyDescent="0.45">
      <c r="A15" s="997"/>
      <c r="B15" s="380">
        <v>11</v>
      </c>
      <c r="C15" t="s">
        <v>1736</v>
      </c>
      <c r="D15" t="s">
        <v>1737</v>
      </c>
      <c r="E15" t="s">
        <v>1738</v>
      </c>
      <c r="G15">
        <f>IF(
    OR(
        AND(MAX(0, MIN($C$1, DATE(Initialisatie!$C$5,12,31)) - MAX($C$2, DATE(Initialisatie!$C$5,1,1)) + 1) &gt; 0, IFERROR(VALUE($C15),0)=0),
        AND(MAX(0, MIN($D$1, DATE(Initialisatie!$C$5,12,31)) - MAX($D$2, DATE(Initialisatie!$C$5,1,1)) + 1) &gt; 0, IFERROR(VALUE($D15),0)=0),
        AND(MAX(0, MIN($E$1, DATE(Initialisatie!$C$5,12,31)) - MAX($E$2, DATE(Initialisatie!$C$5,1,1)) + 1) &gt; 0, IFERROR(VALUE($E15),0)=0)
    ),
    0,
    SUM(
        IFERROR(VALUE($C15),0) * MAX(0, MIN($C$1, DATE(Initialisatie!$C$5,12,31)) - MAX($C$2, DATE(Initialisatie!$C$5,1,1)) + 1),
        IFERROR(VALUE($D15),0) * MAX(0, MIN($D$1, DATE(Initialisatie!$C$5,12,31)) - MAX($D$2, DATE(Initialisatie!$C$5,1,1)) + 1),
        IFERROR(VALUE($E15),0) * MAX(0, MIN($E$1, DATE(Initialisatie!$C$5,12,31)) - MAX($E$2, DATE(Initialisatie!$C$5,1,1)) + 1)
    ) / (DATE(Initialisatie!$C$5,12,31) - DATE(Initialisatie!$C$5,1,1) + 1)
)</f>
        <v>3025.8794520547945</v>
      </c>
      <c r="H15">
        <f>IF(
    OR(
        AND(MAX(0, IF(MIN($C$1, DATE(Initialisatie!$C$5,12,31)) &lt; MAX($C$2, DATE(Initialisatie!$C$5,1,1)), 0, MONTH(MIN($C$1, DATE(Initialisatie!$C$5,12,31))) - MONTH(MAX($C$2, DATE(Initialisatie!$C$5,1,1))) + 1)) &lt;= 0, IFERROR(VALUE($C15),0)=0),
        AND(MAX(0, IF(MIN($D$1, DATE(Initialisatie!$C$5,12,31)) &lt; MAX($D$2, DATE(Initialisatie!$C$5,1,1)), 0, MONTH(MIN($D$1, DATE(Initialisatie!$C$5,12,31))) - MONTH(MAX($D$2, DATE(Initialisatie!$C$5,1,1))) + 1)) &lt;= 0, IFERROR(VALUE($D15),0)=0),
        AND(MAX(0, IF(MIN($E$1, DATE(Initialisatie!$C$5,12,31)) &lt; MAX($E$2, DATE(Initialisatie!$C$5,1,1)), 0, MONTH(MIN($E$1, DATE(Initialisatie!$C$5,12,31))) - MONTH(MAX($E$2, DATE(Initialisatie!$C$5,1,1))) + 1)) &lt;= 0, IFERROR(VALUE($E15),0)=0)
    ),
    0,
    SUM(
        IFERROR(VALUE($C15),0) * MAX(0, IF(MIN($C$1, DATE(Initialisatie!$C$5,12,31)) &lt; MAX($C$2, DATE(Initialisatie!$C$5,1,1)), 0, MONTH(MIN($C$1, DATE(Initialisatie!$C$5,12,31))) - MONTH(MAX($C$2, DATE(Initialisatie!$C$5,1,1))) + 1)),
        IFERROR(VALUE($D15),0) * MAX(0, IF(MIN($D$1, DATE(Initialisatie!$C$5,12,31)) &lt; MAX($D$2, DATE(Initialisatie!$C$5,1,1)), 0, MONTH(MIN($D$1, DATE(Initialisatie!$C$5,12,31))) - MONTH(MAX($D$2, DATE(Initialisatie!$C$5,1,1))) + 1)),
        IFERROR(VALUE($E15),0) * MAX(0, IF(MIN($E$1, DATE(Initialisatie!$C$5,12,31)) &lt; MAX($E$2, DATE(Initialisatie!$C$5,1,1)), 0, MONTH(MIN($E$1, DATE(Initialisatie!$C$5,12,31))) - MONTH(MAX($E$2, DATE(Initialisatie!$C$5,1,1))) + 1))
    ) / 12
)</f>
        <v>3025.75</v>
      </c>
    </row>
    <row r="16" spans="1:8" x14ac:dyDescent="0.45">
      <c r="A16" s="997"/>
      <c r="B16" s="380">
        <v>12</v>
      </c>
      <c r="C16" t="s">
        <v>891</v>
      </c>
      <c r="D16" t="s">
        <v>891</v>
      </c>
      <c r="E16" t="s">
        <v>891</v>
      </c>
      <c r="G16">
        <f>IF(
    OR(
        AND(MAX(0, MIN($C$1, DATE(Initialisatie!$C$5,12,31)) - MAX($C$2, DATE(Initialisatie!$C$5,1,1)) + 1) &gt; 0, IFERROR(VALUE($C16),0)=0),
        AND(MAX(0, MIN($D$1, DATE(Initialisatie!$C$5,12,31)) - MAX($D$2, DATE(Initialisatie!$C$5,1,1)) + 1) &gt; 0, IFERROR(VALUE($D16),0)=0),
        AND(MAX(0, MIN($E$1, DATE(Initialisatie!$C$5,12,31)) - MAX($E$2, DATE(Initialisatie!$C$5,1,1)) + 1) &gt; 0, IFERROR(VALUE($E16),0)=0)
    ),
    0,
    SUM(
        IFERROR(VALUE($C16),0) * MAX(0, MIN($C$1, DATE(Initialisatie!$C$5,12,31)) - MAX($C$2, DATE(Initialisatie!$C$5,1,1)) + 1),
        IFERROR(VALUE($D16),0) * MAX(0, MIN($D$1, DATE(Initialisatie!$C$5,12,31)) - MAX($D$2, DATE(Initialisatie!$C$5,1,1)) + 1),
        IFERROR(VALUE($E16),0) * MAX(0, MIN($E$1, DATE(Initialisatie!$C$5,12,31)) - MAX($E$2, DATE(Initialisatie!$C$5,1,1)) + 1)
    ) / (DATE(Initialisatie!$C$5,12,31) - DATE(Initialisatie!$C$5,1,1) + 1)
)</f>
        <v>0</v>
      </c>
      <c r="H16">
        <f>IF(
    OR(
        AND(MAX(0, IF(MIN($C$1, DATE(Initialisatie!$C$5,12,31)) &lt; MAX($C$2, DATE(Initialisatie!$C$5,1,1)), 0, MONTH(MIN($C$1, DATE(Initialisatie!$C$5,12,31))) - MONTH(MAX($C$2, DATE(Initialisatie!$C$5,1,1))) + 1)) &lt;= 0, IFERROR(VALUE($C16),0)=0),
        AND(MAX(0, IF(MIN($D$1, DATE(Initialisatie!$C$5,12,31)) &lt; MAX($D$2, DATE(Initialisatie!$C$5,1,1)), 0, MONTH(MIN($D$1, DATE(Initialisatie!$C$5,12,31))) - MONTH(MAX($D$2, DATE(Initialisatie!$C$5,1,1))) + 1)) &lt;= 0, IFERROR(VALUE($D16),0)=0),
        AND(MAX(0, IF(MIN($E$1, DATE(Initialisatie!$C$5,12,31)) &lt; MAX($E$2, DATE(Initialisatie!$C$5,1,1)), 0, MONTH(MIN($E$1, DATE(Initialisatie!$C$5,12,31))) - MONTH(MAX($E$2, DATE(Initialisatie!$C$5,1,1))) + 1)) &lt;= 0, IFERROR(VALUE($E16),0)=0)
    ),
    0,
    SUM(
        IFERROR(VALUE($C16),0) * MAX(0, IF(MIN($C$1, DATE(Initialisatie!$C$5,12,31)) &lt; MAX($C$2, DATE(Initialisatie!$C$5,1,1)), 0, MONTH(MIN($C$1, DATE(Initialisatie!$C$5,12,31))) - MONTH(MAX($C$2, DATE(Initialisatie!$C$5,1,1))) + 1)),
        IFERROR(VALUE($D16),0) * MAX(0, IF(MIN($D$1, DATE(Initialisatie!$C$5,12,31)) &lt; MAX($D$2, DATE(Initialisatie!$C$5,1,1)), 0, MONTH(MIN($D$1, DATE(Initialisatie!$C$5,12,31))) - MONTH(MAX($D$2, DATE(Initialisatie!$C$5,1,1))) + 1)),
        IFERROR(VALUE($E16),0) * MAX(0, IF(MIN($E$1, DATE(Initialisatie!$C$5,12,31)) &lt; MAX($E$2, DATE(Initialisatie!$C$5,1,1)), 0, MONTH(MIN($E$1, DATE(Initialisatie!$C$5,12,31))) - MONTH(MAX($E$2, DATE(Initialisatie!$C$5,1,1))) + 1))
    ) / 12
)</f>
        <v>0</v>
      </c>
    </row>
    <row r="17" spans="1:8" x14ac:dyDescent="0.45">
      <c r="A17" s="997"/>
      <c r="B17" s="380">
        <v>13</v>
      </c>
      <c r="C17" t="s">
        <v>891</v>
      </c>
      <c r="D17" t="s">
        <v>891</v>
      </c>
      <c r="E17" t="s">
        <v>891</v>
      </c>
      <c r="G17">
        <f>IF(
    OR(
        AND(MAX(0, MIN($C$1, DATE(Initialisatie!$C$5,12,31)) - MAX($C$2, DATE(Initialisatie!$C$5,1,1)) + 1) &gt; 0, IFERROR(VALUE($C17),0)=0),
        AND(MAX(0, MIN($D$1, DATE(Initialisatie!$C$5,12,31)) - MAX($D$2, DATE(Initialisatie!$C$5,1,1)) + 1) &gt; 0, IFERROR(VALUE($D17),0)=0),
        AND(MAX(0, MIN($E$1, DATE(Initialisatie!$C$5,12,31)) - MAX($E$2, DATE(Initialisatie!$C$5,1,1)) + 1) &gt; 0, IFERROR(VALUE($E17),0)=0)
    ),
    0,
    SUM(
        IFERROR(VALUE($C17),0) * MAX(0, MIN($C$1, DATE(Initialisatie!$C$5,12,31)) - MAX($C$2, DATE(Initialisatie!$C$5,1,1)) + 1),
        IFERROR(VALUE($D17),0) * MAX(0, MIN($D$1, DATE(Initialisatie!$C$5,12,31)) - MAX($D$2, DATE(Initialisatie!$C$5,1,1)) + 1),
        IFERROR(VALUE($E17),0) * MAX(0, MIN($E$1, DATE(Initialisatie!$C$5,12,31)) - MAX($E$2, DATE(Initialisatie!$C$5,1,1)) + 1)
    ) / (DATE(Initialisatie!$C$5,12,31) - DATE(Initialisatie!$C$5,1,1) + 1)
)</f>
        <v>0</v>
      </c>
      <c r="H17">
        <f>IF(
    OR(
        AND(MAX(0, IF(MIN($C$1, DATE(Initialisatie!$C$5,12,31)) &lt; MAX($C$2, DATE(Initialisatie!$C$5,1,1)), 0, MONTH(MIN($C$1, DATE(Initialisatie!$C$5,12,31))) - MONTH(MAX($C$2, DATE(Initialisatie!$C$5,1,1))) + 1)) &lt;= 0, IFERROR(VALUE($C17),0)=0),
        AND(MAX(0, IF(MIN($D$1, DATE(Initialisatie!$C$5,12,31)) &lt; MAX($D$2, DATE(Initialisatie!$C$5,1,1)), 0, MONTH(MIN($D$1, DATE(Initialisatie!$C$5,12,31))) - MONTH(MAX($D$2, DATE(Initialisatie!$C$5,1,1))) + 1)) &lt;= 0, IFERROR(VALUE($D17),0)=0),
        AND(MAX(0, IF(MIN($E$1, DATE(Initialisatie!$C$5,12,31)) &lt; MAX($E$2, DATE(Initialisatie!$C$5,1,1)), 0, MONTH(MIN($E$1, DATE(Initialisatie!$C$5,12,31))) - MONTH(MAX($E$2, DATE(Initialisatie!$C$5,1,1))) + 1)) &lt;= 0, IFERROR(VALUE($E17),0)=0)
    ),
    0,
    SUM(
        IFERROR(VALUE($C17),0) * MAX(0, IF(MIN($C$1, DATE(Initialisatie!$C$5,12,31)) &lt; MAX($C$2, DATE(Initialisatie!$C$5,1,1)), 0, MONTH(MIN($C$1, DATE(Initialisatie!$C$5,12,31))) - MONTH(MAX($C$2, DATE(Initialisatie!$C$5,1,1))) + 1)),
        IFERROR(VALUE($D17),0) * MAX(0, IF(MIN($D$1, DATE(Initialisatie!$C$5,12,31)) &lt; MAX($D$2, DATE(Initialisatie!$C$5,1,1)), 0, MONTH(MIN($D$1, DATE(Initialisatie!$C$5,12,31))) - MONTH(MAX($D$2, DATE(Initialisatie!$C$5,1,1))) + 1)),
        IFERROR(VALUE($E17),0) * MAX(0, IF(MIN($E$1, DATE(Initialisatie!$C$5,12,31)) &lt; MAX($E$2, DATE(Initialisatie!$C$5,1,1)), 0, MONTH(MIN($E$1, DATE(Initialisatie!$C$5,12,31))) - MONTH(MAX($E$2, DATE(Initialisatie!$C$5,1,1))) + 1))
    ) / 12
)</f>
        <v>0</v>
      </c>
    </row>
    <row r="18" spans="1:8" x14ac:dyDescent="0.45">
      <c r="A18" s="997"/>
      <c r="B18" s="380">
        <v>14</v>
      </c>
      <c r="C18" t="s">
        <v>891</v>
      </c>
      <c r="D18" t="s">
        <v>891</v>
      </c>
      <c r="E18" t="s">
        <v>891</v>
      </c>
      <c r="G18">
        <f>IF(
    OR(
        AND(MAX(0, MIN($C$1, DATE(Initialisatie!$C$5,12,31)) - MAX($C$2, DATE(Initialisatie!$C$5,1,1)) + 1) &gt; 0, IFERROR(VALUE($C18),0)=0),
        AND(MAX(0, MIN($D$1, DATE(Initialisatie!$C$5,12,31)) - MAX($D$2, DATE(Initialisatie!$C$5,1,1)) + 1) &gt; 0, IFERROR(VALUE($D18),0)=0),
        AND(MAX(0, MIN($E$1, DATE(Initialisatie!$C$5,12,31)) - MAX($E$2, DATE(Initialisatie!$C$5,1,1)) + 1) &gt; 0, IFERROR(VALUE($E18),0)=0)
    ),
    0,
    SUM(
        IFERROR(VALUE($C18),0) * MAX(0, MIN($C$1, DATE(Initialisatie!$C$5,12,31)) - MAX($C$2, DATE(Initialisatie!$C$5,1,1)) + 1),
        IFERROR(VALUE($D18),0) * MAX(0, MIN($D$1, DATE(Initialisatie!$C$5,12,31)) - MAX($D$2, DATE(Initialisatie!$C$5,1,1)) + 1),
        IFERROR(VALUE($E18),0) * MAX(0, MIN($E$1, DATE(Initialisatie!$C$5,12,31)) - MAX($E$2, DATE(Initialisatie!$C$5,1,1)) + 1)
    ) / (DATE(Initialisatie!$C$5,12,31) - DATE(Initialisatie!$C$5,1,1) + 1)
)</f>
        <v>0</v>
      </c>
      <c r="H18">
        <f>IF(
    OR(
        AND(MAX(0, IF(MIN($C$1, DATE(Initialisatie!$C$5,12,31)) &lt; MAX($C$2, DATE(Initialisatie!$C$5,1,1)), 0, MONTH(MIN($C$1, DATE(Initialisatie!$C$5,12,31))) - MONTH(MAX($C$2, DATE(Initialisatie!$C$5,1,1))) + 1)) &lt;= 0, IFERROR(VALUE($C18),0)=0),
        AND(MAX(0, IF(MIN($D$1, DATE(Initialisatie!$C$5,12,31)) &lt; MAX($D$2, DATE(Initialisatie!$C$5,1,1)), 0, MONTH(MIN($D$1, DATE(Initialisatie!$C$5,12,31))) - MONTH(MAX($D$2, DATE(Initialisatie!$C$5,1,1))) + 1)) &lt;= 0, IFERROR(VALUE($D18),0)=0),
        AND(MAX(0, IF(MIN($E$1, DATE(Initialisatie!$C$5,12,31)) &lt; MAX($E$2, DATE(Initialisatie!$C$5,1,1)), 0, MONTH(MIN($E$1, DATE(Initialisatie!$C$5,12,31))) - MONTH(MAX($E$2, DATE(Initialisatie!$C$5,1,1))) + 1)) &lt;= 0, IFERROR(VALUE($E18),0)=0)
    ),
    0,
    SUM(
        IFERROR(VALUE($C18),0) * MAX(0, IF(MIN($C$1, DATE(Initialisatie!$C$5,12,31)) &lt; MAX($C$2, DATE(Initialisatie!$C$5,1,1)), 0, MONTH(MIN($C$1, DATE(Initialisatie!$C$5,12,31))) - MONTH(MAX($C$2, DATE(Initialisatie!$C$5,1,1))) + 1)),
        IFERROR(VALUE($D18),0) * MAX(0, IF(MIN($D$1, DATE(Initialisatie!$C$5,12,31)) &lt; MAX($D$2, DATE(Initialisatie!$C$5,1,1)), 0, MONTH(MIN($D$1, DATE(Initialisatie!$C$5,12,31))) - MONTH(MAX($D$2, DATE(Initialisatie!$C$5,1,1))) + 1)),
        IFERROR(VALUE($E18),0) * MAX(0, IF(MIN($E$1, DATE(Initialisatie!$C$5,12,31)) &lt; MAX($E$2, DATE(Initialisatie!$C$5,1,1)), 0, MONTH(MIN($E$1, DATE(Initialisatie!$C$5,12,31))) - MONTH(MAX($E$2, DATE(Initialisatie!$C$5,1,1))) + 1))
    ) / 12
)</f>
        <v>0</v>
      </c>
    </row>
    <row r="19" spans="1:8" x14ac:dyDescent="0.45">
      <c r="A19" s="997"/>
      <c r="B19" s="380">
        <v>15</v>
      </c>
      <c r="C19" t="s">
        <v>891</v>
      </c>
      <c r="D19" t="s">
        <v>891</v>
      </c>
      <c r="E19" t="s">
        <v>891</v>
      </c>
      <c r="G19">
        <f>IF(
    OR(
        AND(MAX(0, MIN($C$1, DATE(Initialisatie!$C$5,12,31)) - MAX($C$2, DATE(Initialisatie!$C$5,1,1)) + 1) &gt; 0, IFERROR(VALUE($C19),0)=0),
        AND(MAX(0, MIN($D$1, DATE(Initialisatie!$C$5,12,31)) - MAX($D$2, DATE(Initialisatie!$C$5,1,1)) + 1) &gt; 0, IFERROR(VALUE($D19),0)=0),
        AND(MAX(0, MIN($E$1, DATE(Initialisatie!$C$5,12,31)) - MAX($E$2, DATE(Initialisatie!$C$5,1,1)) + 1) &gt; 0, IFERROR(VALUE($E19),0)=0)
    ),
    0,
    SUM(
        IFERROR(VALUE($C19),0) * MAX(0, MIN($C$1, DATE(Initialisatie!$C$5,12,31)) - MAX($C$2, DATE(Initialisatie!$C$5,1,1)) + 1),
        IFERROR(VALUE($D19),0) * MAX(0, MIN($D$1, DATE(Initialisatie!$C$5,12,31)) - MAX($D$2, DATE(Initialisatie!$C$5,1,1)) + 1),
        IFERROR(VALUE($E19),0) * MAX(0, MIN($E$1, DATE(Initialisatie!$C$5,12,31)) - MAX($E$2, DATE(Initialisatie!$C$5,1,1)) + 1)
    ) / (DATE(Initialisatie!$C$5,12,31) - DATE(Initialisatie!$C$5,1,1) + 1)
)</f>
        <v>0</v>
      </c>
      <c r="H19">
        <f>IF(
    OR(
        AND(MAX(0, IF(MIN($C$1, DATE(Initialisatie!$C$5,12,31)) &lt; MAX($C$2, DATE(Initialisatie!$C$5,1,1)), 0, MONTH(MIN($C$1, DATE(Initialisatie!$C$5,12,31))) - MONTH(MAX($C$2, DATE(Initialisatie!$C$5,1,1))) + 1)) &lt;= 0, IFERROR(VALUE($C19),0)=0),
        AND(MAX(0, IF(MIN($D$1, DATE(Initialisatie!$C$5,12,31)) &lt; MAX($D$2, DATE(Initialisatie!$C$5,1,1)), 0, MONTH(MIN($D$1, DATE(Initialisatie!$C$5,12,31))) - MONTH(MAX($D$2, DATE(Initialisatie!$C$5,1,1))) + 1)) &lt;= 0, IFERROR(VALUE($D19),0)=0),
        AND(MAX(0, IF(MIN($E$1, DATE(Initialisatie!$C$5,12,31)) &lt; MAX($E$2, DATE(Initialisatie!$C$5,1,1)), 0, MONTH(MIN($E$1, DATE(Initialisatie!$C$5,12,31))) - MONTH(MAX($E$2, DATE(Initialisatie!$C$5,1,1))) + 1)) &lt;= 0, IFERROR(VALUE($E19),0)=0)
    ),
    0,
    SUM(
        IFERROR(VALUE($C19),0) * MAX(0, IF(MIN($C$1, DATE(Initialisatie!$C$5,12,31)) &lt; MAX($C$2, DATE(Initialisatie!$C$5,1,1)), 0, MONTH(MIN($C$1, DATE(Initialisatie!$C$5,12,31))) - MONTH(MAX($C$2, DATE(Initialisatie!$C$5,1,1))) + 1)),
        IFERROR(VALUE($D19),0) * MAX(0, IF(MIN($D$1, DATE(Initialisatie!$C$5,12,31)) &lt; MAX($D$2, DATE(Initialisatie!$C$5,1,1)), 0, MONTH(MIN($D$1, DATE(Initialisatie!$C$5,12,31))) - MONTH(MAX($D$2, DATE(Initialisatie!$C$5,1,1))) + 1)),
        IFERROR(VALUE($E19),0) * MAX(0, IF(MIN($E$1, DATE(Initialisatie!$C$5,12,31)) &lt; MAX($E$2, DATE(Initialisatie!$C$5,1,1)), 0, MONTH(MIN($E$1, DATE(Initialisatie!$C$5,12,31))) - MONTH(MAX($E$2, DATE(Initialisatie!$C$5,1,1))) + 1))
    ) / 12
)</f>
        <v>0</v>
      </c>
    </row>
    <row r="20" spans="1:8" x14ac:dyDescent="0.45">
      <c r="A20" s="998"/>
      <c r="B20" s="380" t="s">
        <v>517</v>
      </c>
      <c r="C20" t="s">
        <v>1703</v>
      </c>
      <c r="D20" t="s">
        <v>1704</v>
      </c>
      <c r="E20" t="s">
        <v>1705</v>
      </c>
      <c r="G20">
        <f>IF(
    OR(
        AND(MAX(0, MIN($C$1, DATE(Initialisatie!$C$5,12,31)) - MAX($C$2, DATE(Initialisatie!$C$5,1,1)) + 1) &gt; 0, IFERROR(VALUE($C20),0)=0),
        AND(MAX(0, MIN($D$1, DATE(Initialisatie!$C$5,12,31)) - MAX($D$2, DATE(Initialisatie!$C$5,1,1)) + 1) &gt; 0, IFERROR(VALUE($D20),0)=0),
        AND(MAX(0, MIN($E$1, DATE(Initialisatie!$C$5,12,31)) - MAX($E$2, DATE(Initialisatie!$C$5,1,1)) + 1) &gt; 0, IFERROR(VALUE($E20),0)=0)
    ),
    0,
    SUM(
        IFERROR(VALUE($C20),0) * MAX(0, MIN($C$1, DATE(Initialisatie!$C$5,12,31)) - MAX($C$2, DATE(Initialisatie!$C$5,1,1)) + 1),
        IFERROR(VALUE($D20),0) * MAX(0, MIN($D$1, DATE(Initialisatie!$C$5,12,31)) - MAX($D$2, DATE(Initialisatie!$C$5,1,1)) + 1),
        IFERROR(VALUE($E20),0) * MAX(0, MIN($E$1, DATE(Initialisatie!$C$5,12,31)) - MAX($E$2, DATE(Initialisatie!$C$5,1,1)) + 1)
    ) / (DATE(Initialisatie!$C$5,12,31) - DATE(Initialisatie!$C$5,1,1) + 1)
)</f>
        <v>2345.3506849315067</v>
      </c>
      <c r="H20">
        <f>IF(
    OR(
        AND(MAX(0, IF(MIN($C$1, DATE(Initialisatie!$C$5,12,31)) &lt; MAX($C$2, DATE(Initialisatie!$C$5,1,1)), 0, MONTH(MIN($C$1, DATE(Initialisatie!$C$5,12,31))) - MONTH(MAX($C$2, DATE(Initialisatie!$C$5,1,1))) + 1)) &lt;= 0, IFERROR(VALUE($C20),0)=0),
        AND(MAX(0, IF(MIN($D$1, DATE(Initialisatie!$C$5,12,31)) &lt; MAX($D$2, DATE(Initialisatie!$C$5,1,1)), 0, MONTH(MIN($D$1, DATE(Initialisatie!$C$5,12,31))) - MONTH(MAX($D$2, DATE(Initialisatie!$C$5,1,1))) + 1)) &lt;= 0, IFERROR(VALUE($D20),0)=0),
        AND(MAX(0, IF(MIN($E$1, DATE(Initialisatie!$C$5,12,31)) &lt; MAX($E$2, DATE(Initialisatie!$C$5,1,1)), 0, MONTH(MIN($E$1, DATE(Initialisatie!$C$5,12,31))) - MONTH(MAX($E$2, DATE(Initialisatie!$C$5,1,1))) + 1)) &lt;= 0, IFERROR(VALUE($E20),0)=0)
    ),
    0,
    SUM(
        IFERROR(VALUE($C20),0) * MAX(0, IF(MIN($C$1, DATE(Initialisatie!$C$5,12,31)) &lt; MAX($C$2, DATE(Initialisatie!$C$5,1,1)), 0, MONTH(MIN($C$1, DATE(Initialisatie!$C$5,12,31))) - MONTH(MAX($C$2, DATE(Initialisatie!$C$5,1,1))) + 1)),
        IFERROR(VALUE($D20),0) * MAX(0, IF(MIN($D$1, DATE(Initialisatie!$C$5,12,31)) &lt; MAX($D$2, DATE(Initialisatie!$C$5,1,1)), 0, MONTH(MIN($D$1, DATE(Initialisatie!$C$5,12,31))) - MONTH(MAX($D$2, DATE(Initialisatie!$C$5,1,1))) + 1)),
        IFERROR(VALUE($E20),0) * MAX(0, IF(MIN($E$1, DATE(Initialisatie!$C$5,12,31)) &lt; MAX($E$2, DATE(Initialisatie!$C$5,1,1)), 0, MONTH(MIN($E$1, DATE(Initialisatie!$C$5,12,31))) - MONTH(MAX($E$2, DATE(Initialisatie!$C$5,1,1))) + 1))
    ) / 12
)</f>
        <v>2345.25</v>
      </c>
    </row>
    <row r="21" spans="1:8" x14ac:dyDescent="0.45">
      <c r="A21" s="996">
        <v>2</v>
      </c>
      <c r="B21" s="380">
        <v>0</v>
      </c>
      <c r="C21" t="s">
        <v>1706</v>
      </c>
      <c r="D21" t="s">
        <v>1707</v>
      </c>
      <c r="E21" t="s">
        <v>1708</v>
      </c>
      <c r="G21">
        <f>IF(
    OR(
        AND(MAX(0, MIN($C$1, DATE(Initialisatie!$C$5,12,31)) - MAX($C$2, DATE(Initialisatie!$C$5,1,1)) + 1) &gt; 0, IFERROR(VALUE($C21),0)=0),
        AND(MAX(0, MIN($D$1, DATE(Initialisatie!$C$5,12,31)) - MAX($D$2, DATE(Initialisatie!$C$5,1,1)) + 1) &gt; 0, IFERROR(VALUE($D21),0)=0),
        AND(MAX(0, MIN($E$1, DATE(Initialisatie!$C$5,12,31)) - MAX($E$2, DATE(Initialisatie!$C$5,1,1)) + 1) &gt; 0, IFERROR(VALUE($E21),0)=0)
    ),
    0,
    SUM(
        IFERROR(VALUE($C21),0) * MAX(0, MIN($C$1, DATE(Initialisatie!$C$5,12,31)) - MAX($C$2, DATE(Initialisatie!$C$5,1,1)) + 1),
        IFERROR(VALUE($D21),0) * MAX(0, MIN($D$1, DATE(Initialisatie!$C$5,12,31)) - MAX($D$2, DATE(Initialisatie!$C$5,1,1)) + 1),
        IFERROR(VALUE($E21),0) * MAX(0, MIN($E$1, DATE(Initialisatie!$C$5,12,31)) - MAX($E$2, DATE(Initialisatie!$C$5,1,1)) + 1)
    ) / (DATE(Initialisatie!$C$5,12,31) - DATE(Initialisatie!$C$5,1,1) + 1)
)</f>
        <v>2354.3506849315067</v>
      </c>
      <c r="H21">
        <f>IF(
    OR(
        AND(MAX(0, IF(MIN($C$1, DATE(Initialisatie!$C$5,12,31)) &lt; MAX($C$2, DATE(Initialisatie!$C$5,1,1)), 0, MONTH(MIN($C$1, DATE(Initialisatie!$C$5,12,31))) - MONTH(MAX($C$2, DATE(Initialisatie!$C$5,1,1))) + 1)) &lt;= 0, IFERROR(VALUE($C21),0)=0),
        AND(MAX(0, IF(MIN($D$1, DATE(Initialisatie!$C$5,12,31)) &lt; MAX($D$2, DATE(Initialisatie!$C$5,1,1)), 0, MONTH(MIN($D$1, DATE(Initialisatie!$C$5,12,31))) - MONTH(MAX($D$2, DATE(Initialisatie!$C$5,1,1))) + 1)) &lt;= 0, IFERROR(VALUE($D21),0)=0),
        AND(MAX(0, IF(MIN($E$1, DATE(Initialisatie!$C$5,12,31)) &lt; MAX($E$2, DATE(Initialisatie!$C$5,1,1)), 0, MONTH(MIN($E$1, DATE(Initialisatie!$C$5,12,31))) - MONTH(MAX($E$2, DATE(Initialisatie!$C$5,1,1))) + 1)) &lt;= 0, IFERROR(VALUE($E21),0)=0)
    ),
    0,
    SUM(
        IFERROR(VALUE($C21),0) * MAX(0, IF(MIN($C$1, DATE(Initialisatie!$C$5,12,31)) &lt; MAX($C$2, DATE(Initialisatie!$C$5,1,1)), 0, MONTH(MIN($C$1, DATE(Initialisatie!$C$5,12,31))) - MONTH(MAX($C$2, DATE(Initialisatie!$C$5,1,1))) + 1)),
        IFERROR(VALUE($D21),0) * MAX(0, IF(MIN($D$1, DATE(Initialisatie!$C$5,12,31)) &lt; MAX($D$2, DATE(Initialisatie!$C$5,1,1)), 0, MONTH(MIN($D$1, DATE(Initialisatie!$C$5,12,31))) - MONTH(MAX($D$2, DATE(Initialisatie!$C$5,1,1))) + 1)),
        IFERROR(VALUE($E21),0) * MAX(0, IF(MIN($E$1, DATE(Initialisatie!$C$5,12,31)) &lt; MAX($E$2, DATE(Initialisatie!$C$5,1,1)), 0, MONTH(MIN($E$1, DATE(Initialisatie!$C$5,12,31))) - MONTH(MAX($E$2, DATE(Initialisatie!$C$5,1,1))) + 1))
    ) / 12
)</f>
        <v>2354.25</v>
      </c>
    </row>
    <row r="22" spans="1:8" x14ac:dyDescent="0.45">
      <c r="A22" s="997"/>
      <c r="B22" s="380">
        <v>1</v>
      </c>
      <c r="C22" t="s">
        <v>1709</v>
      </c>
      <c r="D22" t="s">
        <v>1710</v>
      </c>
      <c r="E22" t="s">
        <v>1711</v>
      </c>
      <c r="G22">
        <f>IF(
    OR(
        AND(MAX(0, MIN($C$1, DATE(Initialisatie!$C$5,12,31)) - MAX($C$2, DATE(Initialisatie!$C$5,1,1)) + 1) &gt; 0, IFERROR(VALUE($C22),0)=0),
        AND(MAX(0, MIN($D$1, DATE(Initialisatie!$C$5,12,31)) - MAX($D$2, DATE(Initialisatie!$C$5,1,1)) + 1) &gt; 0, IFERROR(VALUE($D22),0)=0),
        AND(MAX(0, MIN($E$1, DATE(Initialisatie!$C$5,12,31)) - MAX($E$2, DATE(Initialisatie!$C$5,1,1)) + 1) &gt; 0, IFERROR(VALUE($E22),0)=0)
    ),
    0,
    SUM(
        IFERROR(VALUE($C22),0) * MAX(0, MIN($C$1, DATE(Initialisatie!$C$5,12,31)) - MAX($C$2, DATE(Initialisatie!$C$5,1,1)) + 1),
        IFERROR(VALUE($D22),0) * MAX(0, MIN($D$1, DATE(Initialisatie!$C$5,12,31)) - MAX($D$2, DATE(Initialisatie!$C$5,1,1)) + 1),
        IFERROR(VALUE($E22),0) * MAX(0, MIN($E$1, DATE(Initialisatie!$C$5,12,31)) - MAX($E$2, DATE(Initialisatie!$C$5,1,1)) + 1)
    ) / (DATE(Initialisatie!$C$5,12,31) - DATE(Initialisatie!$C$5,1,1) + 1)
)</f>
        <v>2410.6027397260273</v>
      </c>
      <c r="H22">
        <f>IF(
    OR(
        AND(MAX(0, IF(MIN($C$1, DATE(Initialisatie!$C$5,12,31)) &lt; MAX($C$2, DATE(Initialisatie!$C$5,1,1)), 0, MONTH(MIN($C$1, DATE(Initialisatie!$C$5,12,31))) - MONTH(MAX($C$2, DATE(Initialisatie!$C$5,1,1))) + 1)) &lt;= 0, IFERROR(VALUE($C22),0)=0),
        AND(MAX(0, IF(MIN($D$1, DATE(Initialisatie!$C$5,12,31)) &lt; MAX($D$2, DATE(Initialisatie!$C$5,1,1)), 0, MONTH(MIN($D$1, DATE(Initialisatie!$C$5,12,31))) - MONTH(MAX($D$2, DATE(Initialisatie!$C$5,1,1))) + 1)) &lt;= 0, IFERROR(VALUE($D22),0)=0),
        AND(MAX(0, IF(MIN($E$1, DATE(Initialisatie!$C$5,12,31)) &lt; MAX($E$2, DATE(Initialisatie!$C$5,1,1)), 0, MONTH(MIN($E$1, DATE(Initialisatie!$C$5,12,31))) - MONTH(MAX($E$2, DATE(Initialisatie!$C$5,1,1))) + 1)) &lt;= 0, IFERROR(VALUE($E22),0)=0)
    ),
    0,
    SUM(
        IFERROR(VALUE($C22),0) * MAX(0, IF(MIN($C$1, DATE(Initialisatie!$C$5,12,31)) &lt; MAX($C$2, DATE(Initialisatie!$C$5,1,1)), 0, MONTH(MIN($C$1, DATE(Initialisatie!$C$5,12,31))) - MONTH(MAX($C$2, DATE(Initialisatie!$C$5,1,1))) + 1)),
        IFERROR(VALUE($D22),0) * MAX(0, IF(MIN($D$1, DATE(Initialisatie!$C$5,12,31)) &lt; MAX($D$2, DATE(Initialisatie!$C$5,1,1)), 0, MONTH(MIN($D$1, DATE(Initialisatie!$C$5,12,31))) - MONTH(MAX($D$2, DATE(Initialisatie!$C$5,1,1))) + 1)),
        IFERROR(VALUE($E22),0) * MAX(0, IF(MIN($E$1, DATE(Initialisatie!$C$5,12,31)) &lt; MAX($E$2, DATE(Initialisatie!$C$5,1,1)), 0, MONTH(MIN($E$1, DATE(Initialisatie!$C$5,12,31))) - MONTH(MAX($E$2, DATE(Initialisatie!$C$5,1,1))) + 1))
    ) / 12
)</f>
        <v>2410.5</v>
      </c>
    </row>
    <row r="23" spans="1:8" x14ac:dyDescent="0.45">
      <c r="A23" s="997"/>
      <c r="B23" s="380">
        <v>2</v>
      </c>
      <c r="C23" t="s">
        <v>1712</v>
      </c>
      <c r="D23" t="s">
        <v>1713</v>
      </c>
      <c r="E23" t="s">
        <v>1714</v>
      </c>
      <c r="G23">
        <f>IF(
    OR(
        AND(MAX(0, MIN($C$1, DATE(Initialisatie!$C$5,12,31)) - MAX($C$2, DATE(Initialisatie!$C$5,1,1)) + 1) &gt; 0, IFERROR(VALUE($C23),0)=0),
        AND(MAX(0, MIN($D$1, DATE(Initialisatie!$C$5,12,31)) - MAX($D$2, DATE(Initialisatie!$C$5,1,1)) + 1) &gt; 0, IFERROR(VALUE($D23),0)=0),
        AND(MAX(0, MIN($E$1, DATE(Initialisatie!$C$5,12,31)) - MAX($E$2, DATE(Initialisatie!$C$5,1,1)) + 1) &gt; 0, IFERROR(VALUE($E23),0)=0)
    ),
    0,
    SUM(
        IFERROR(VALUE($C23),0) * MAX(0, MIN($C$1, DATE(Initialisatie!$C$5,12,31)) - MAX($C$2, DATE(Initialisatie!$C$5,1,1)) + 1),
        IFERROR(VALUE($D23),0) * MAX(0, MIN($D$1, DATE(Initialisatie!$C$5,12,31)) - MAX($D$2, DATE(Initialisatie!$C$5,1,1)) + 1),
        IFERROR(VALUE($E23),0) * MAX(0, MIN($E$1, DATE(Initialisatie!$C$5,12,31)) - MAX($E$2, DATE(Initialisatie!$C$5,1,1)) + 1)
    ) / (DATE(Initialisatie!$C$5,12,31) - DATE(Initialisatie!$C$5,1,1) + 1)
)</f>
        <v>2471.1068493150683</v>
      </c>
      <c r="H23">
        <f>IF(
    OR(
        AND(MAX(0, IF(MIN($C$1, DATE(Initialisatie!$C$5,12,31)) &lt; MAX($C$2, DATE(Initialisatie!$C$5,1,1)), 0, MONTH(MIN($C$1, DATE(Initialisatie!$C$5,12,31))) - MONTH(MAX($C$2, DATE(Initialisatie!$C$5,1,1))) + 1)) &lt;= 0, IFERROR(VALUE($C23),0)=0),
        AND(MAX(0, IF(MIN($D$1, DATE(Initialisatie!$C$5,12,31)) &lt; MAX($D$2, DATE(Initialisatie!$C$5,1,1)), 0, MONTH(MIN($D$1, DATE(Initialisatie!$C$5,12,31))) - MONTH(MAX($D$2, DATE(Initialisatie!$C$5,1,1))) + 1)) &lt;= 0, IFERROR(VALUE($D23),0)=0),
        AND(MAX(0, IF(MIN($E$1, DATE(Initialisatie!$C$5,12,31)) &lt; MAX($E$2, DATE(Initialisatie!$C$5,1,1)), 0, MONTH(MIN($E$1, DATE(Initialisatie!$C$5,12,31))) - MONTH(MAX($E$2, DATE(Initialisatie!$C$5,1,1))) + 1)) &lt;= 0, IFERROR(VALUE($E23),0)=0)
    ),
    0,
    SUM(
        IFERROR(VALUE($C23),0) * MAX(0, IF(MIN($C$1, DATE(Initialisatie!$C$5,12,31)) &lt; MAX($C$2, DATE(Initialisatie!$C$5,1,1)), 0, MONTH(MIN($C$1, DATE(Initialisatie!$C$5,12,31))) - MONTH(MAX($C$2, DATE(Initialisatie!$C$5,1,1))) + 1)),
        IFERROR(VALUE($D23),0) * MAX(0, IF(MIN($D$1, DATE(Initialisatie!$C$5,12,31)) &lt; MAX($D$2, DATE(Initialisatie!$C$5,1,1)), 0, MONTH(MIN($D$1, DATE(Initialisatie!$C$5,12,31))) - MONTH(MAX($D$2, DATE(Initialisatie!$C$5,1,1))) + 1)),
        IFERROR(VALUE($E23),0) * MAX(0, IF(MIN($E$1, DATE(Initialisatie!$C$5,12,31)) &lt; MAX($E$2, DATE(Initialisatie!$C$5,1,1)), 0, MONTH(MIN($E$1, DATE(Initialisatie!$C$5,12,31))) - MONTH(MAX($E$2, DATE(Initialisatie!$C$5,1,1))) + 1))
    ) / 12
)</f>
        <v>2471</v>
      </c>
    </row>
    <row r="24" spans="1:8" x14ac:dyDescent="0.45">
      <c r="A24" s="997"/>
      <c r="B24" s="380">
        <v>3</v>
      </c>
      <c r="C24" t="s">
        <v>1715</v>
      </c>
      <c r="D24" t="s">
        <v>1716</v>
      </c>
      <c r="E24" t="s">
        <v>1717</v>
      </c>
      <c r="G24">
        <f>IF(
    OR(
        AND(MAX(0, MIN($C$1, DATE(Initialisatie!$C$5,12,31)) - MAX($C$2, DATE(Initialisatie!$C$5,1,1)) + 1) &gt; 0, IFERROR(VALUE($C24),0)=0),
        AND(MAX(0, MIN($D$1, DATE(Initialisatie!$C$5,12,31)) - MAX($D$2, DATE(Initialisatie!$C$5,1,1)) + 1) &gt; 0, IFERROR(VALUE($D24),0)=0),
        AND(MAX(0, MIN($E$1, DATE(Initialisatie!$C$5,12,31)) - MAX($E$2, DATE(Initialisatie!$C$5,1,1)) + 1) &gt; 0, IFERROR(VALUE($E24),0)=0)
    ),
    0,
    SUM(
        IFERROR(VALUE($C24),0) * MAX(0, MIN($C$1, DATE(Initialisatie!$C$5,12,31)) - MAX($C$2, DATE(Initialisatie!$C$5,1,1)) + 1),
        IFERROR(VALUE($D24),0) * MAX(0, MIN($D$1, DATE(Initialisatie!$C$5,12,31)) - MAX($D$2, DATE(Initialisatie!$C$5,1,1)) + 1),
        IFERROR(VALUE($E24),0) * MAX(0, MIN($E$1, DATE(Initialisatie!$C$5,12,31)) - MAX($E$2, DATE(Initialisatie!$C$5,1,1)) + 1)
    ) / (DATE(Initialisatie!$C$5,12,31) - DATE(Initialisatie!$C$5,1,1) + 1)
)</f>
        <v>2527.3589041095888</v>
      </c>
      <c r="H24">
        <f>IF(
    OR(
        AND(MAX(0, IF(MIN($C$1, DATE(Initialisatie!$C$5,12,31)) &lt; MAX($C$2, DATE(Initialisatie!$C$5,1,1)), 0, MONTH(MIN($C$1, DATE(Initialisatie!$C$5,12,31))) - MONTH(MAX($C$2, DATE(Initialisatie!$C$5,1,1))) + 1)) &lt;= 0, IFERROR(VALUE($C24),0)=0),
        AND(MAX(0, IF(MIN($D$1, DATE(Initialisatie!$C$5,12,31)) &lt; MAX($D$2, DATE(Initialisatie!$C$5,1,1)), 0, MONTH(MIN($D$1, DATE(Initialisatie!$C$5,12,31))) - MONTH(MAX($D$2, DATE(Initialisatie!$C$5,1,1))) + 1)) &lt;= 0, IFERROR(VALUE($D24),0)=0),
        AND(MAX(0, IF(MIN($E$1, DATE(Initialisatie!$C$5,12,31)) &lt; MAX($E$2, DATE(Initialisatie!$C$5,1,1)), 0, MONTH(MIN($E$1, DATE(Initialisatie!$C$5,12,31))) - MONTH(MAX($E$2, DATE(Initialisatie!$C$5,1,1))) + 1)) &lt;= 0, IFERROR(VALUE($E24),0)=0)
    ),
    0,
    SUM(
        IFERROR(VALUE($C24),0) * MAX(0, IF(MIN($C$1, DATE(Initialisatie!$C$5,12,31)) &lt; MAX($C$2, DATE(Initialisatie!$C$5,1,1)), 0, MONTH(MIN($C$1, DATE(Initialisatie!$C$5,12,31))) - MONTH(MAX($C$2, DATE(Initialisatie!$C$5,1,1))) + 1)),
        IFERROR(VALUE($D24),0) * MAX(0, IF(MIN($D$1, DATE(Initialisatie!$C$5,12,31)) &lt; MAX($D$2, DATE(Initialisatie!$C$5,1,1)), 0, MONTH(MIN($D$1, DATE(Initialisatie!$C$5,12,31))) - MONTH(MAX($D$2, DATE(Initialisatie!$C$5,1,1))) + 1)),
        IFERROR(VALUE($E24),0) * MAX(0, IF(MIN($E$1, DATE(Initialisatie!$C$5,12,31)) &lt; MAX($E$2, DATE(Initialisatie!$C$5,1,1)), 0, MONTH(MIN($E$1, DATE(Initialisatie!$C$5,12,31))) - MONTH(MAX($E$2, DATE(Initialisatie!$C$5,1,1))) + 1))
    ) / 12
)</f>
        <v>2527.25</v>
      </c>
    </row>
    <row r="25" spans="1:8" x14ac:dyDescent="0.45">
      <c r="A25" s="997"/>
      <c r="B25" s="380">
        <v>4</v>
      </c>
      <c r="C25" t="s">
        <v>1718</v>
      </c>
      <c r="D25" t="s">
        <v>1719</v>
      </c>
      <c r="E25" t="s">
        <v>1720</v>
      </c>
      <c r="G25">
        <f>IF(
    OR(
        AND(MAX(0, MIN($C$1, DATE(Initialisatie!$C$5,12,31)) - MAX($C$2, DATE(Initialisatie!$C$5,1,1)) + 1) &gt; 0, IFERROR(VALUE($C25),0)=0),
        AND(MAX(0, MIN($D$1, DATE(Initialisatie!$C$5,12,31)) - MAX($D$2, DATE(Initialisatie!$C$5,1,1)) + 1) &gt; 0, IFERROR(VALUE($D25),0)=0),
        AND(MAX(0, MIN($E$1, DATE(Initialisatie!$C$5,12,31)) - MAX($E$2, DATE(Initialisatie!$C$5,1,1)) + 1) &gt; 0, IFERROR(VALUE($E25),0)=0)
    ),
    0,
    SUM(
        IFERROR(VALUE($C25),0) * MAX(0, MIN($C$1, DATE(Initialisatie!$C$5,12,31)) - MAX($C$2, DATE(Initialisatie!$C$5,1,1)) + 1),
        IFERROR(VALUE($D25),0) * MAX(0, MIN($D$1, DATE(Initialisatie!$C$5,12,31)) - MAX($D$2, DATE(Initialisatie!$C$5,1,1)) + 1),
        IFERROR(VALUE($E25),0) * MAX(0, MIN($E$1, DATE(Initialisatie!$C$5,12,31)) - MAX($E$2, DATE(Initialisatie!$C$5,1,1)) + 1)
    ) / (DATE(Initialisatie!$C$5,12,31) - DATE(Initialisatie!$C$5,1,1) + 1)
)</f>
        <v>2585.6109589041098</v>
      </c>
      <c r="H25">
        <f>IF(
    OR(
        AND(MAX(0, IF(MIN($C$1, DATE(Initialisatie!$C$5,12,31)) &lt; MAX($C$2, DATE(Initialisatie!$C$5,1,1)), 0, MONTH(MIN($C$1, DATE(Initialisatie!$C$5,12,31))) - MONTH(MAX($C$2, DATE(Initialisatie!$C$5,1,1))) + 1)) &lt;= 0, IFERROR(VALUE($C25),0)=0),
        AND(MAX(0, IF(MIN($D$1, DATE(Initialisatie!$C$5,12,31)) &lt; MAX($D$2, DATE(Initialisatie!$C$5,1,1)), 0, MONTH(MIN($D$1, DATE(Initialisatie!$C$5,12,31))) - MONTH(MAX($D$2, DATE(Initialisatie!$C$5,1,1))) + 1)) &lt;= 0, IFERROR(VALUE($D25),0)=0),
        AND(MAX(0, IF(MIN($E$1, DATE(Initialisatie!$C$5,12,31)) &lt; MAX($E$2, DATE(Initialisatie!$C$5,1,1)), 0, MONTH(MIN($E$1, DATE(Initialisatie!$C$5,12,31))) - MONTH(MAX($E$2, DATE(Initialisatie!$C$5,1,1))) + 1)) &lt;= 0, IFERROR(VALUE($E25),0)=0)
    ),
    0,
    SUM(
        IFERROR(VALUE($C25),0) * MAX(0, IF(MIN($C$1, DATE(Initialisatie!$C$5,12,31)) &lt; MAX($C$2, DATE(Initialisatie!$C$5,1,1)), 0, MONTH(MIN($C$1, DATE(Initialisatie!$C$5,12,31))) - MONTH(MAX($C$2, DATE(Initialisatie!$C$5,1,1))) + 1)),
        IFERROR(VALUE($D25),0) * MAX(0, IF(MIN($D$1, DATE(Initialisatie!$C$5,12,31)) &lt; MAX($D$2, DATE(Initialisatie!$C$5,1,1)), 0, MONTH(MIN($D$1, DATE(Initialisatie!$C$5,12,31))) - MONTH(MAX($D$2, DATE(Initialisatie!$C$5,1,1))) + 1)),
        IFERROR(VALUE($E25),0) * MAX(0, IF(MIN($E$1, DATE(Initialisatie!$C$5,12,31)) &lt; MAX($E$2, DATE(Initialisatie!$C$5,1,1)), 0, MONTH(MIN($E$1, DATE(Initialisatie!$C$5,12,31))) - MONTH(MAX($E$2, DATE(Initialisatie!$C$5,1,1))) + 1))
    ) / 12
)</f>
        <v>2585.5</v>
      </c>
    </row>
    <row r="26" spans="1:8" x14ac:dyDescent="0.45">
      <c r="A26" s="997"/>
      <c r="B26" s="380">
        <v>5</v>
      </c>
      <c r="C26" t="s">
        <v>1721</v>
      </c>
      <c r="D26" t="s">
        <v>1722</v>
      </c>
      <c r="E26" t="s">
        <v>1723</v>
      </c>
      <c r="G26">
        <f>IF(
    OR(
        AND(MAX(0, MIN($C$1, DATE(Initialisatie!$C$5,12,31)) - MAX($C$2, DATE(Initialisatie!$C$5,1,1)) + 1) &gt; 0, IFERROR(VALUE($C26),0)=0),
        AND(MAX(0, MIN($D$1, DATE(Initialisatie!$C$5,12,31)) - MAX($D$2, DATE(Initialisatie!$C$5,1,1)) + 1) &gt; 0, IFERROR(VALUE($D26),0)=0),
        AND(MAX(0, MIN($E$1, DATE(Initialisatie!$C$5,12,31)) - MAX($E$2, DATE(Initialisatie!$C$5,1,1)) + 1) &gt; 0, IFERROR(VALUE($E26),0)=0)
    ),
    0,
    SUM(
        IFERROR(VALUE($C26),0) * MAX(0, MIN($C$1, DATE(Initialisatie!$C$5,12,31)) - MAX($C$2, DATE(Initialisatie!$C$5,1,1)) + 1),
        IFERROR(VALUE($D26),0) * MAX(0, MIN($D$1, DATE(Initialisatie!$C$5,12,31)) - MAX($D$2, DATE(Initialisatie!$C$5,1,1)) + 1),
        IFERROR(VALUE($E26),0) * MAX(0, MIN($E$1, DATE(Initialisatie!$C$5,12,31)) - MAX($E$2, DATE(Initialisatie!$C$5,1,1)) + 1)
    ) / (DATE(Initialisatie!$C$5,12,31) - DATE(Initialisatie!$C$5,1,1) + 1)
)</f>
        <v>2648.8630136986303</v>
      </c>
      <c r="H26">
        <f>IF(
    OR(
        AND(MAX(0, IF(MIN($C$1, DATE(Initialisatie!$C$5,12,31)) &lt; MAX($C$2, DATE(Initialisatie!$C$5,1,1)), 0, MONTH(MIN($C$1, DATE(Initialisatie!$C$5,12,31))) - MONTH(MAX($C$2, DATE(Initialisatie!$C$5,1,1))) + 1)) &lt;= 0, IFERROR(VALUE($C26),0)=0),
        AND(MAX(0, IF(MIN($D$1, DATE(Initialisatie!$C$5,12,31)) &lt; MAX($D$2, DATE(Initialisatie!$C$5,1,1)), 0, MONTH(MIN($D$1, DATE(Initialisatie!$C$5,12,31))) - MONTH(MAX($D$2, DATE(Initialisatie!$C$5,1,1))) + 1)) &lt;= 0, IFERROR(VALUE($D26),0)=0),
        AND(MAX(0, IF(MIN($E$1, DATE(Initialisatie!$C$5,12,31)) &lt; MAX($E$2, DATE(Initialisatie!$C$5,1,1)), 0, MONTH(MIN($E$1, DATE(Initialisatie!$C$5,12,31))) - MONTH(MAX($E$2, DATE(Initialisatie!$C$5,1,1))) + 1)) &lt;= 0, IFERROR(VALUE($E26),0)=0)
    ),
    0,
    SUM(
        IFERROR(VALUE($C26),0) * MAX(0, IF(MIN($C$1, DATE(Initialisatie!$C$5,12,31)) &lt; MAX($C$2, DATE(Initialisatie!$C$5,1,1)), 0, MONTH(MIN($C$1, DATE(Initialisatie!$C$5,12,31))) - MONTH(MAX($C$2, DATE(Initialisatie!$C$5,1,1))) + 1)),
        IFERROR(VALUE($D26),0) * MAX(0, IF(MIN($D$1, DATE(Initialisatie!$C$5,12,31)) &lt; MAX($D$2, DATE(Initialisatie!$C$5,1,1)), 0, MONTH(MIN($D$1, DATE(Initialisatie!$C$5,12,31))) - MONTH(MAX($D$2, DATE(Initialisatie!$C$5,1,1))) + 1)),
        IFERROR(VALUE($E26),0) * MAX(0, IF(MIN($E$1, DATE(Initialisatie!$C$5,12,31)) &lt; MAX($E$2, DATE(Initialisatie!$C$5,1,1)), 0, MONTH(MIN($E$1, DATE(Initialisatie!$C$5,12,31))) - MONTH(MAX($E$2, DATE(Initialisatie!$C$5,1,1))) + 1))
    ) / 12
)</f>
        <v>2648.75</v>
      </c>
    </row>
    <row r="27" spans="1:8" x14ac:dyDescent="0.45">
      <c r="A27" s="997"/>
      <c r="B27" s="380">
        <v>6</v>
      </c>
      <c r="C27" t="s">
        <v>1724</v>
      </c>
      <c r="D27" t="s">
        <v>1725</v>
      </c>
      <c r="E27" t="s">
        <v>1726</v>
      </c>
      <c r="G27">
        <f>IF(
    OR(
        AND(MAX(0, MIN($C$1, DATE(Initialisatie!$C$5,12,31)) - MAX($C$2, DATE(Initialisatie!$C$5,1,1)) + 1) &gt; 0, IFERROR(VALUE($C27),0)=0),
        AND(MAX(0, MIN($D$1, DATE(Initialisatie!$C$5,12,31)) - MAX($D$2, DATE(Initialisatie!$C$5,1,1)) + 1) &gt; 0, IFERROR(VALUE($D27),0)=0),
        AND(MAX(0, MIN($E$1, DATE(Initialisatie!$C$5,12,31)) - MAX($E$2, DATE(Initialisatie!$C$5,1,1)) + 1) &gt; 0, IFERROR(VALUE($E27),0)=0)
    ),
    0,
    SUM(
        IFERROR(VALUE($C27),0) * MAX(0, MIN($C$1, DATE(Initialisatie!$C$5,12,31)) - MAX($C$2, DATE(Initialisatie!$C$5,1,1)) + 1),
        IFERROR(VALUE($D27),0) * MAX(0, MIN($D$1, DATE(Initialisatie!$C$5,12,31)) - MAX($D$2, DATE(Initialisatie!$C$5,1,1)) + 1),
        IFERROR(VALUE($E27),0) * MAX(0, MIN($E$1, DATE(Initialisatie!$C$5,12,31)) - MAX($E$2, DATE(Initialisatie!$C$5,1,1)) + 1)
    ) / (DATE(Initialisatie!$C$5,12,31) - DATE(Initialisatie!$C$5,1,1) + 1)
)</f>
        <v>2715.3671232876713</v>
      </c>
      <c r="H27">
        <f>IF(
    OR(
        AND(MAX(0, IF(MIN($C$1, DATE(Initialisatie!$C$5,12,31)) &lt; MAX($C$2, DATE(Initialisatie!$C$5,1,1)), 0, MONTH(MIN($C$1, DATE(Initialisatie!$C$5,12,31))) - MONTH(MAX($C$2, DATE(Initialisatie!$C$5,1,1))) + 1)) &lt;= 0, IFERROR(VALUE($C27),0)=0),
        AND(MAX(0, IF(MIN($D$1, DATE(Initialisatie!$C$5,12,31)) &lt; MAX($D$2, DATE(Initialisatie!$C$5,1,1)), 0, MONTH(MIN($D$1, DATE(Initialisatie!$C$5,12,31))) - MONTH(MAX($D$2, DATE(Initialisatie!$C$5,1,1))) + 1)) &lt;= 0, IFERROR(VALUE($D27),0)=0),
        AND(MAX(0, IF(MIN($E$1, DATE(Initialisatie!$C$5,12,31)) &lt; MAX($E$2, DATE(Initialisatie!$C$5,1,1)), 0, MONTH(MIN($E$1, DATE(Initialisatie!$C$5,12,31))) - MONTH(MAX($E$2, DATE(Initialisatie!$C$5,1,1))) + 1)) &lt;= 0, IFERROR(VALUE($E27),0)=0)
    ),
    0,
    SUM(
        IFERROR(VALUE($C27),0) * MAX(0, IF(MIN($C$1, DATE(Initialisatie!$C$5,12,31)) &lt; MAX($C$2, DATE(Initialisatie!$C$5,1,1)), 0, MONTH(MIN($C$1, DATE(Initialisatie!$C$5,12,31))) - MONTH(MAX($C$2, DATE(Initialisatie!$C$5,1,1))) + 1)),
        IFERROR(VALUE($D27),0) * MAX(0, IF(MIN($D$1, DATE(Initialisatie!$C$5,12,31)) &lt; MAX($D$2, DATE(Initialisatie!$C$5,1,1)), 0, MONTH(MIN($D$1, DATE(Initialisatie!$C$5,12,31))) - MONTH(MAX($D$2, DATE(Initialisatie!$C$5,1,1))) + 1)),
        IFERROR(VALUE($E27),0) * MAX(0, IF(MIN($E$1, DATE(Initialisatie!$C$5,12,31)) &lt; MAX($E$2, DATE(Initialisatie!$C$5,1,1)), 0, MONTH(MIN($E$1, DATE(Initialisatie!$C$5,12,31))) - MONTH(MAX($E$2, DATE(Initialisatie!$C$5,1,1))) + 1))
    ) / 12
)</f>
        <v>2715.25</v>
      </c>
    </row>
    <row r="28" spans="1:8" x14ac:dyDescent="0.45">
      <c r="A28" s="997"/>
      <c r="B28" s="380">
        <v>7</v>
      </c>
      <c r="C28" t="s">
        <v>1727</v>
      </c>
      <c r="D28" t="s">
        <v>1728</v>
      </c>
      <c r="E28" t="s">
        <v>1729</v>
      </c>
      <c r="G28">
        <f>IF(
    OR(
        AND(MAX(0, MIN($C$1, DATE(Initialisatie!$C$5,12,31)) - MAX($C$2, DATE(Initialisatie!$C$5,1,1)) + 1) &gt; 0, IFERROR(VALUE($C28),0)=0),
        AND(MAX(0, MIN($D$1, DATE(Initialisatie!$C$5,12,31)) - MAX($D$2, DATE(Initialisatie!$C$5,1,1)) + 1) &gt; 0, IFERROR(VALUE($D28),0)=0),
        AND(MAX(0, MIN($E$1, DATE(Initialisatie!$C$5,12,31)) - MAX($E$2, DATE(Initialisatie!$C$5,1,1)) + 1) &gt; 0, IFERROR(VALUE($E28),0)=0)
    ),
    0,
    SUM(
        IFERROR(VALUE($C28),0) * MAX(0, MIN($C$1, DATE(Initialisatie!$C$5,12,31)) - MAX($C$2, DATE(Initialisatie!$C$5,1,1)) + 1),
        IFERROR(VALUE($D28),0) * MAX(0, MIN($D$1, DATE(Initialisatie!$C$5,12,31)) - MAX($D$2, DATE(Initialisatie!$C$5,1,1)) + 1),
        IFERROR(VALUE($E28),0) * MAX(0, MIN($E$1, DATE(Initialisatie!$C$5,12,31)) - MAX($E$2, DATE(Initialisatie!$C$5,1,1)) + 1)
    ) / (DATE(Initialisatie!$C$5,12,31) - DATE(Initialisatie!$C$5,1,1) + 1)
)</f>
        <v>2777.6191780821919</v>
      </c>
      <c r="H28">
        <f>IF(
    OR(
        AND(MAX(0, IF(MIN($C$1, DATE(Initialisatie!$C$5,12,31)) &lt; MAX($C$2, DATE(Initialisatie!$C$5,1,1)), 0, MONTH(MIN($C$1, DATE(Initialisatie!$C$5,12,31))) - MONTH(MAX($C$2, DATE(Initialisatie!$C$5,1,1))) + 1)) &lt;= 0, IFERROR(VALUE($C28),0)=0),
        AND(MAX(0, IF(MIN($D$1, DATE(Initialisatie!$C$5,12,31)) &lt; MAX($D$2, DATE(Initialisatie!$C$5,1,1)), 0, MONTH(MIN($D$1, DATE(Initialisatie!$C$5,12,31))) - MONTH(MAX($D$2, DATE(Initialisatie!$C$5,1,1))) + 1)) &lt;= 0, IFERROR(VALUE($D28),0)=0),
        AND(MAX(0, IF(MIN($E$1, DATE(Initialisatie!$C$5,12,31)) &lt; MAX($E$2, DATE(Initialisatie!$C$5,1,1)), 0, MONTH(MIN($E$1, DATE(Initialisatie!$C$5,12,31))) - MONTH(MAX($E$2, DATE(Initialisatie!$C$5,1,1))) + 1)) &lt;= 0, IFERROR(VALUE($E28),0)=0)
    ),
    0,
    SUM(
        IFERROR(VALUE($C28),0) * MAX(0, IF(MIN($C$1, DATE(Initialisatie!$C$5,12,31)) &lt; MAX($C$2, DATE(Initialisatie!$C$5,1,1)), 0, MONTH(MIN($C$1, DATE(Initialisatie!$C$5,12,31))) - MONTH(MAX($C$2, DATE(Initialisatie!$C$5,1,1))) + 1)),
        IFERROR(VALUE($D28),0) * MAX(0, IF(MIN($D$1, DATE(Initialisatie!$C$5,12,31)) &lt; MAX($D$2, DATE(Initialisatie!$C$5,1,1)), 0, MONTH(MIN($D$1, DATE(Initialisatie!$C$5,12,31))) - MONTH(MAX($D$2, DATE(Initialisatie!$C$5,1,1))) + 1)),
        IFERROR(VALUE($E28),0) * MAX(0, IF(MIN($E$1, DATE(Initialisatie!$C$5,12,31)) &lt; MAX($E$2, DATE(Initialisatie!$C$5,1,1)), 0, MONTH(MIN($E$1, DATE(Initialisatie!$C$5,12,31))) - MONTH(MAX($E$2, DATE(Initialisatie!$C$5,1,1))) + 1))
    ) / 12
)</f>
        <v>2777.5</v>
      </c>
    </row>
    <row r="29" spans="1:8" x14ac:dyDescent="0.45">
      <c r="A29" s="997"/>
      <c r="B29" s="380">
        <v>8</v>
      </c>
      <c r="C29" t="s">
        <v>1730</v>
      </c>
      <c r="D29" t="s">
        <v>1731</v>
      </c>
      <c r="E29" t="s">
        <v>1732</v>
      </c>
      <c r="G29">
        <f>IF(
    OR(
        AND(MAX(0, MIN($C$1, DATE(Initialisatie!$C$5,12,31)) - MAX($C$2, DATE(Initialisatie!$C$5,1,1)) + 1) &gt; 0, IFERROR(VALUE($C29),0)=0),
        AND(MAX(0, MIN($D$1, DATE(Initialisatie!$C$5,12,31)) - MAX($D$2, DATE(Initialisatie!$C$5,1,1)) + 1) &gt; 0, IFERROR(VALUE($D29),0)=0),
        AND(MAX(0, MIN($E$1, DATE(Initialisatie!$C$5,12,31)) - MAX($E$2, DATE(Initialisatie!$C$5,1,1)) + 1) &gt; 0, IFERROR(VALUE($E29),0)=0)
    ),
    0,
    SUM(
        IFERROR(VALUE($C29),0) * MAX(0, MIN($C$1, DATE(Initialisatie!$C$5,12,31)) - MAX($C$2, DATE(Initialisatie!$C$5,1,1)) + 1),
        IFERROR(VALUE($D29),0) * MAX(0, MIN($D$1, DATE(Initialisatie!$C$5,12,31)) - MAX($D$2, DATE(Initialisatie!$C$5,1,1)) + 1),
        IFERROR(VALUE($E29),0) * MAX(0, MIN($E$1, DATE(Initialisatie!$C$5,12,31)) - MAX($E$2, DATE(Initialisatie!$C$5,1,1)) + 1)
    ) / (DATE(Initialisatie!$C$5,12,31) - DATE(Initialisatie!$C$5,1,1) + 1)
)</f>
        <v>2847.8712328767124</v>
      </c>
      <c r="H29">
        <f>IF(
    OR(
        AND(MAX(0, IF(MIN($C$1, DATE(Initialisatie!$C$5,12,31)) &lt; MAX($C$2, DATE(Initialisatie!$C$5,1,1)), 0, MONTH(MIN($C$1, DATE(Initialisatie!$C$5,12,31))) - MONTH(MAX($C$2, DATE(Initialisatie!$C$5,1,1))) + 1)) &lt;= 0, IFERROR(VALUE($C29),0)=0),
        AND(MAX(0, IF(MIN($D$1, DATE(Initialisatie!$C$5,12,31)) &lt; MAX($D$2, DATE(Initialisatie!$C$5,1,1)), 0, MONTH(MIN($D$1, DATE(Initialisatie!$C$5,12,31))) - MONTH(MAX($D$2, DATE(Initialisatie!$C$5,1,1))) + 1)) &lt;= 0, IFERROR(VALUE($D29),0)=0),
        AND(MAX(0, IF(MIN($E$1, DATE(Initialisatie!$C$5,12,31)) &lt; MAX($E$2, DATE(Initialisatie!$C$5,1,1)), 0, MONTH(MIN($E$1, DATE(Initialisatie!$C$5,12,31))) - MONTH(MAX($E$2, DATE(Initialisatie!$C$5,1,1))) + 1)) &lt;= 0, IFERROR(VALUE($E29),0)=0)
    ),
    0,
    SUM(
        IFERROR(VALUE($C29),0) * MAX(0, IF(MIN($C$1, DATE(Initialisatie!$C$5,12,31)) &lt; MAX($C$2, DATE(Initialisatie!$C$5,1,1)), 0, MONTH(MIN($C$1, DATE(Initialisatie!$C$5,12,31))) - MONTH(MAX($C$2, DATE(Initialisatie!$C$5,1,1))) + 1)),
        IFERROR(VALUE($D29),0) * MAX(0, IF(MIN($D$1, DATE(Initialisatie!$C$5,12,31)) &lt; MAX($D$2, DATE(Initialisatie!$C$5,1,1)), 0, MONTH(MIN($D$1, DATE(Initialisatie!$C$5,12,31))) - MONTH(MAX($D$2, DATE(Initialisatie!$C$5,1,1))) + 1)),
        IFERROR(VALUE($E29),0) * MAX(0, IF(MIN($E$1, DATE(Initialisatie!$C$5,12,31)) &lt; MAX($E$2, DATE(Initialisatie!$C$5,1,1)), 0, MONTH(MIN($E$1, DATE(Initialisatie!$C$5,12,31))) - MONTH(MAX($E$2, DATE(Initialisatie!$C$5,1,1))) + 1))
    ) / 12
)</f>
        <v>2847.75</v>
      </c>
    </row>
    <row r="30" spans="1:8" x14ac:dyDescent="0.45">
      <c r="A30" s="997"/>
      <c r="B30" s="380">
        <v>9</v>
      </c>
      <c r="C30" t="s">
        <v>1733</v>
      </c>
      <c r="D30" t="s">
        <v>1734</v>
      </c>
      <c r="E30" t="s">
        <v>1735</v>
      </c>
      <c r="G30">
        <f>IF(
    OR(
        AND(MAX(0, MIN($C$1, DATE(Initialisatie!$C$5,12,31)) - MAX($C$2, DATE(Initialisatie!$C$5,1,1)) + 1) &gt; 0, IFERROR(VALUE($C30),0)=0),
        AND(MAX(0, MIN($D$1, DATE(Initialisatie!$C$5,12,31)) - MAX($D$2, DATE(Initialisatie!$C$5,1,1)) + 1) &gt; 0, IFERROR(VALUE($D30),0)=0),
        AND(MAX(0, MIN($E$1, DATE(Initialisatie!$C$5,12,31)) - MAX($E$2, DATE(Initialisatie!$C$5,1,1)) + 1) &gt; 0, IFERROR(VALUE($E30),0)=0)
    ),
    0,
    SUM(
        IFERROR(VALUE($C30),0) * MAX(0, MIN($C$1, DATE(Initialisatie!$C$5,12,31)) - MAX($C$2, DATE(Initialisatie!$C$5,1,1)) + 1),
        IFERROR(VALUE($D30),0) * MAX(0, MIN($D$1, DATE(Initialisatie!$C$5,12,31)) - MAX($D$2, DATE(Initialisatie!$C$5,1,1)) + 1),
        IFERROR(VALUE($E30),0) * MAX(0, MIN($E$1, DATE(Initialisatie!$C$5,12,31)) - MAX($E$2, DATE(Initialisatie!$C$5,1,1)) + 1)
    ) / (DATE(Initialisatie!$C$5,12,31) - DATE(Initialisatie!$C$5,1,1) + 1)
)</f>
        <v>2943.3753424657534</v>
      </c>
      <c r="H30">
        <f>IF(
    OR(
        AND(MAX(0, IF(MIN($C$1, DATE(Initialisatie!$C$5,12,31)) &lt; MAX($C$2, DATE(Initialisatie!$C$5,1,1)), 0, MONTH(MIN($C$1, DATE(Initialisatie!$C$5,12,31))) - MONTH(MAX($C$2, DATE(Initialisatie!$C$5,1,1))) + 1)) &lt;= 0, IFERROR(VALUE($C30),0)=0),
        AND(MAX(0, IF(MIN($D$1, DATE(Initialisatie!$C$5,12,31)) &lt; MAX($D$2, DATE(Initialisatie!$C$5,1,1)), 0, MONTH(MIN($D$1, DATE(Initialisatie!$C$5,12,31))) - MONTH(MAX($D$2, DATE(Initialisatie!$C$5,1,1))) + 1)) &lt;= 0, IFERROR(VALUE($D30),0)=0),
        AND(MAX(0, IF(MIN($E$1, DATE(Initialisatie!$C$5,12,31)) &lt; MAX($E$2, DATE(Initialisatie!$C$5,1,1)), 0, MONTH(MIN($E$1, DATE(Initialisatie!$C$5,12,31))) - MONTH(MAX($E$2, DATE(Initialisatie!$C$5,1,1))) + 1)) &lt;= 0, IFERROR(VALUE($E30),0)=0)
    ),
    0,
    SUM(
        IFERROR(VALUE($C30),0) * MAX(0, IF(MIN($C$1, DATE(Initialisatie!$C$5,12,31)) &lt; MAX($C$2, DATE(Initialisatie!$C$5,1,1)), 0, MONTH(MIN($C$1, DATE(Initialisatie!$C$5,12,31))) - MONTH(MAX($C$2, DATE(Initialisatie!$C$5,1,1))) + 1)),
        IFERROR(VALUE($D30),0) * MAX(0, IF(MIN($D$1, DATE(Initialisatie!$C$5,12,31)) &lt; MAX($D$2, DATE(Initialisatie!$C$5,1,1)), 0, MONTH(MIN($D$1, DATE(Initialisatie!$C$5,12,31))) - MONTH(MAX($D$2, DATE(Initialisatie!$C$5,1,1))) + 1)),
        IFERROR(VALUE($E30),0) * MAX(0, IF(MIN($E$1, DATE(Initialisatie!$C$5,12,31)) &lt; MAX($E$2, DATE(Initialisatie!$C$5,1,1)), 0, MONTH(MIN($E$1, DATE(Initialisatie!$C$5,12,31))) - MONTH(MAX($E$2, DATE(Initialisatie!$C$5,1,1))) + 1))
    ) / 12
)</f>
        <v>2943.25</v>
      </c>
    </row>
    <row r="31" spans="1:8" x14ac:dyDescent="0.45">
      <c r="A31" s="997"/>
      <c r="B31" s="380">
        <v>10</v>
      </c>
      <c r="C31" t="s">
        <v>1736</v>
      </c>
      <c r="D31" t="s">
        <v>1737</v>
      </c>
      <c r="E31" t="s">
        <v>1738</v>
      </c>
      <c r="G31">
        <f>IF(
    OR(
        AND(MAX(0, MIN($C$1, DATE(Initialisatie!$C$5,12,31)) - MAX($C$2, DATE(Initialisatie!$C$5,1,1)) + 1) &gt; 0, IFERROR(VALUE($C31),0)=0),
        AND(MAX(0, MIN($D$1, DATE(Initialisatie!$C$5,12,31)) - MAX($D$2, DATE(Initialisatie!$C$5,1,1)) + 1) &gt; 0, IFERROR(VALUE($D31),0)=0),
        AND(MAX(0, MIN($E$1, DATE(Initialisatie!$C$5,12,31)) - MAX($E$2, DATE(Initialisatie!$C$5,1,1)) + 1) &gt; 0, IFERROR(VALUE($E31),0)=0)
    ),
    0,
    SUM(
        IFERROR(VALUE($C31),0) * MAX(0, MIN($C$1, DATE(Initialisatie!$C$5,12,31)) - MAX($C$2, DATE(Initialisatie!$C$5,1,1)) + 1),
        IFERROR(VALUE($D31),0) * MAX(0, MIN($D$1, DATE(Initialisatie!$C$5,12,31)) - MAX($D$2, DATE(Initialisatie!$C$5,1,1)) + 1),
        IFERROR(VALUE($E31),0) * MAX(0, MIN($E$1, DATE(Initialisatie!$C$5,12,31)) - MAX($E$2, DATE(Initialisatie!$C$5,1,1)) + 1)
    ) / (DATE(Initialisatie!$C$5,12,31) - DATE(Initialisatie!$C$5,1,1) + 1)
)</f>
        <v>3025.8794520547945</v>
      </c>
      <c r="H31">
        <f>IF(
    OR(
        AND(MAX(0, IF(MIN($C$1, DATE(Initialisatie!$C$5,12,31)) &lt; MAX($C$2, DATE(Initialisatie!$C$5,1,1)), 0, MONTH(MIN($C$1, DATE(Initialisatie!$C$5,12,31))) - MONTH(MAX($C$2, DATE(Initialisatie!$C$5,1,1))) + 1)) &lt;= 0, IFERROR(VALUE($C31),0)=0),
        AND(MAX(0, IF(MIN($D$1, DATE(Initialisatie!$C$5,12,31)) &lt; MAX($D$2, DATE(Initialisatie!$C$5,1,1)), 0, MONTH(MIN($D$1, DATE(Initialisatie!$C$5,12,31))) - MONTH(MAX($D$2, DATE(Initialisatie!$C$5,1,1))) + 1)) &lt;= 0, IFERROR(VALUE($D31),0)=0),
        AND(MAX(0, IF(MIN($E$1, DATE(Initialisatie!$C$5,12,31)) &lt; MAX($E$2, DATE(Initialisatie!$C$5,1,1)), 0, MONTH(MIN($E$1, DATE(Initialisatie!$C$5,12,31))) - MONTH(MAX($E$2, DATE(Initialisatie!$C$5,1,1))) + 1)) &lt;= 0, IFERROR(VALUE($E31),0)=0)
    ),
    0,
    SUM(
        IFERROR(VALUE($C31),0) * MAX(0, IF(MIN($C$1, DATE(Initialisatie!$C$5,12,31)) &lt; MAX($C$2, DATE(Initialisatie!$C$5,1,1)), 0, MONTH(MIN($C$1, DATE(Initialisatie!$C$5,12,31))) - MONTH(MAX($C$2, DATE(Initialisatie!$C$5,1,1))) + 1)),
        IFERROR(VALUE($D31),0) * MAX(0, IF(MIN($D$1, DATE(Initialisatie!$C$5,12,31)) &lt; MAX($D$2, DATE(Initialisatie!$C$5,1,1)), 0, MONTH(MIN($D$1, DATE(Initialisatie!$C$5,12,31))) - MONTH(MAX($D$2, DATE(Initialisatie!$C$5,1,1))) + 1)),
        IFERROR(VALUE($E31),0) * MAX(0, IF(MIN($E$1, DATE(Initialisatie!$C$5,12,31)) &lt; MAX($E$2, DATE(Initialisatie!$C$5,1,1)), 0, MONTH(MIN($E$1, DATE(Initialisatie!$C$5,12,31))) - MONTH(MAX($E$2, DATE(Initialisatie!$C$5,1,1))) + 1))
    ) / 12
)</f>
        <v>3025.75</v>
      </c>
    </row>
    <row r="32" spans="1:8" x14ac:dyDescent="0.45">
      <c r="A32" s="997"/>
      <c r="B32" s="380">
        <v>11</v>
      </c>
      <c r="C32" t="s">
        <v>1739</v>
      </c>
      <c r="D32" t="s">
        <v>1740</v>
      </c>
      <c r="E32" t="s">
        <v>1741</v>
      </c>
      <c r="G32">
        <f>IF(
    OR(
        AND(MAX(0, MIN($C$1, DATE(Initialisatie!$C$5,12,31)) - MAX($C$2, DATE(Initialisatie!$C$5,1,1)) + 1) &gt; 0, IFERROR(VALUE($C32),0)=0),
        AND(MAX(0, MIN($D$1, DATE(Initialisatie!$C$5,12,31)) - MAX($D$2, DATE(Initialisatie!$C$5,1,1)) + 1) &gt; 0, IFERROR(VALUE($D32),0)=0),
        AND(MAX(0, MIN($E$1, DATE(Initialisatie!$C$5,12,31)) - MAX($E$2, DATE(Initialisatie!$C$5,1,1)) + 1) &gt; 0, IFERROR(VALUE($E32),0)=0)
    ),
    0,
    SUM(
        IFERROR(VALUE($C32),0) * MAX(0, MIN($C$1, DATE(Initialisatie!$C$5,12,31)) - MAX($C$2, DATE(Initialisatie!$C$5,1,1)) + 1),
        IFERROR(VALUE($D32),0) * MAX(0, MIN($D$1, DATE(Initialisatie!$C$5,12,31)) - MAX($D$2, DATE(Initialisatie!$C$5,1,1)) + 1),
        IFERROR(VALUE($E32),0) * MAX(0, MIN($E$1, DATE(Initialisatie!$C$5,12,31)) - MAX($E$2, DATE(Initialisatie!$C$5,1,1)) + 1)
    ) / (DATE(Initialisatie!$C$5,12,31) - DATE(Initialisatie!$C$5,1,1) + 1)
)</f>
        <v>3123.3835616438355</v>
      </c>
      <c r="H32">
        <f>IF(
    OR(
        AND(MAX(0, IF(MIN($C$1, DATE(Initialisatie!$C$5,12,31)) &lt; MAX($C$2, DATE(Initialisatie!$C$5,1,1)), 0, MONTH(MIN($C$1, DATE(Initialisatie!$C$5,12,31))) - MONTH(MAX($C$2, DATE(Initialisatie!$C$5,1,1))) + 1)) &lt;= 0, IFERROR(VALUE($C32),0)=0),
        AND(MAX(0, IF(MIN($D$1, DATE(Initialisatie!$C$5,12,31)) &lt; MAX($D$2, DATE(Initialisatie!$C$5,1,1)), 0, MONTH(MIN($D$1, DATE(Initialisatie!$C$5,12,31))) - MONTH(MAX($D$2, DATE(Initialisatie!$C$5,1,1))) + 1)) &lt;= 0, IFERROR(VALUE($D32),0)=0),
        AND(MAX(0, IF(MIN($E$1, DATE(Initialisatie!$C$5,12,31)) &lt; MAX($E$2, DATE(Initialisatie!$C$5,1,1)), 0, MONTH(MIN($E$1, DATE(Initialisatie!$C$5,12,31))) - MONTH(MAX($E$2, DATE(Initialisatie!$C$5,1,1))) + 1)) &lt;= 0, IFERROR(VALUE($E32),0)=0)
    ),
    0,
    SUM(
        IFERROR(VALUE($C32),0) * MAX(0, IF(MIN($C$1, DATE(Initialisatie!$C$5,12,31)) &lt; MAX($C$2, DATE(Initialisatie!$C$5,1,1)), 0, MONTH(MIN($C$1, DATE(Initialisatie!$C$5,12,31))) - MONTH(MAX($C$2, DATE(Initialisatie!$C$5,1,1))) + 1)),
        IFERROR(VALUE($D32),0) * MAX(0, IF(MIN($D$1, DATE(Initialisatie!$C$5,12,31)) &lt; MAX($D$2, DATE(Initialisatie!$C$5,1,1)), 0, MONTH(MIN($D$1, DATE(Initialisatie!$C$5,12,31))) - MONTH(MAX($D$2, DATE(Initialisatie!$C$5,1,1))) + 1)),
        IFERROR(VALUE($E32),0) * MAX(0, IF(MIN($E$1, DATE(Initialisatie!$C$5,12,31)) &lt; MAX($E$2, DATE(Initialisatie!$C$5,1,1)), 0, MONTH(MIN($E$1, DATE(Initialisatie!$C$5,12,31))) - MONTH(MAX($E$2, DATE(Initialisatie!$C$5,1,1))) + 1))
    ) / 12
)</f>
        <v>3123.25</v>
      </c>
    </row>
    <row r="33" spans="1:8" x14ac:dyDescent="0.45">
      <c r="A33" s="997"/>
      <c r="B33" s="380">
        <v>12</v>
      </c>
      <c r="C33" t="s">
        <v>1742</v>
      </c>
      <c r="D33" t="s">
        <v>1743</v>
      </c>
      <c r="E33" t="s">
        <v>1744</v>
      </c>
      <c r="G33">
        <f>IF(
    OR(
        AND(MAX(0, MIN($C$1, DATE(Initialisatie!$C$5,12,31)) - MAX($C$2, DATE(Initialisatie!$C$5,1,1)) + 1) &gt; 0, IFERROR(VALUE($C33),0)=0),
        AND(MAX(0, MIN($D$1, DATE(Initialisatie!$C$5,12,31)) - MAX($D$2, DATE(Initialisatie!$C$5,1,1)) + 1) &gt; 0, IFERROR(VALUE($D33),0)=0),
        AND(MAX(0, MIN($E$1, DATE(Initialisatie!$C$5,12,31)) - MAX($E$2, DATE(Initialisatie!$C$5,1,1)) + 1) &gt; 0, IFERROR(VALUE($E33),0)=0)
    ),
    0,
    SUM(
        IFERROR(VALUE($C33),0) * MAX(0, MIN($C$1, DATE(Initialisatie!$C$5,12,31)) - MAX($C$2, DATE(Initialisatie!$C$5,1,1)) + 1),
        IFERROR(VALUE($D33),0) * MAX(0, MIN($D$1, DATE(Initialisatie!$C$5,12,31)) - MAX($D$2, DATE(Initialisatie!$C$5,1,1)) + 1),
        IFERROR(VALUE($E33),0) * MAX(0, MIN($E$1, DATE(Initialisatie!$C$5,12,31)) - MAX($E$2, DATE(Initialisatie!$C$5,1,1)) + 1)
    ) / (DATE(Initialisatie!$C$5,12,31) - DATE(Initialisatie!$C$5,1,1) + 1)
)</f>
        <v>3210.8876712328765</v>
      </c>
      <c r="H33">
        <f>IF(
    OR(
        AND(MAX(0, IF(MIN($C$1, DATE(Initialisatie!$C$5,12,31)) &lt; MAX($C$2, DATE(Initialisatie!$C$5,1,1)), 0, MONTH(MIN($C$1, DATE(Initialisatie!$C$5,12,31))) - MONTH(MAX($C$2, DATE(Initialisatie!$C$5,1,1))) + 1)) &lt;= 0, IFERROR(VALUE($C33),0)=0),
        AND(MAX(0, IF(MIN($D$1, DATE(Initialisatie!$C$5,12,31)) &lt; MAX($D$2, DATE(Initialisatie!$C$5,1,1)), 0, MONTH(MIN($D$1, DATE(Initialisatie!$C$5,12,31))) - MONTH(MAX($D$2, DATE(Initialisatie!$C$5,1,1))) + 1)) &lt;= 0, IFERROR(VALUE($D33),0)=0),
        AND(MAX(0, IF(MIN($E$1, DATE(Initialisatie!$C$5,12,31)) &lt; MAX($E$2, DATE(Initialisatie!$C$5,1,1)), 0, MONTH(MIN($E$1, DATE(Initialisatie!$C$5,12,31))) - MONTH(MAX($E$2, DATE(Initialisatie!$C$5,1,1))) + 1)) &lt;= 0, IFERROR(VALUE($E33),0)=0)
    ),
    0,
    SUM(
        IFERROR(VALUE($C33),0) * MAX(0, IF(MIN($C$1, DATE(Initialisatie!$C$5,12,31)) &lt; MAX($C$2, DATE(Initialisatie!$C$5,1,1)), 0, MONTH(MIN($C$1, DATE(Initialisatie!$C$5,12,31))) - MONTH(MAX($C$2, DATE(Initialisatie!$C$5,1,1))) + 1)),
        IFERROR(VALUE($D33),0) * MAX(0, IF(MIN($D$1, DATE(Initialisatie!$C$5,12,31)) &lt; MAX($D$2, DATE(Initialisatie!$C$5,1,1)), 0, MONTH(MIN($D$1, DATE(Initialisatie!$C$5,12,31))) - MONTH(MAX($D$2, DATE(Initialisatie!$C$5,1,1))) + 1)),
        IFERROR(VALUE($E33),0) * MAX(0, IF(MIN($E$1, DATE(Initialisatie!$C$5,12,31)) &lt; MAX($E$2, DATE(Initialisatie!$C$5,1,1)), 0, MONTH(MIN($E$1, DATE(Initialisatie!$C$5,12,31))) - MONTH(MAX($E$2, DATE(Initialisatie!$C$5,1,1))) + 1))
    ) / 12
)</f>
        <v>3210.75</v>
      </c>
    </row>
    <row r="34" spans="1:8" x14ac:dyDescent="0.45">
      <c r="A34" s="997"/>
      <c r="B34" s="380">
        <v>13</v>
      </c>
      <c r="C34" t="s">
        <v>891</v>
      </c>
      <c r="D34" t="s">
        <v>891</v>
      </c>
      <c r="E34" t="s">
        <v>891</v>
      </c>
      <c r="G34">
        <f>IF(
    OR(
        AND(MAX(0, MIN($C$1, DATE(Initialisatie!$C$5,12,31)) - MAX($C$2, DATE(Initialisatie!$C$5,1,1)) + 1) &gt; 0, IFERROR(VALUE($C34),0)=0),
        AND(MAX(0, MIN($D$1, DATE(Initialisatie!$C$5,12,31)) - MAX($D$2, DATE(Initialisatie!$C$5,1,1)) + 1) &gt; 0, IFERROR(VALUE($D34),0)=0),
        AND(MAX(0, MIN($E$1, DATE(Initialisatie!$C$5,12,31)) - MAX($E$2, DATE(Initialisatie!$C$5,1,1)) + 1) &gt; 0, IFERROR(VALUE($E34),0)=0)
    ),
    0,
    SUM(
        IFERROR(VALUE($C34),0) * MAX(0, MIN($C$1, DATE(Initialisatie!$C$5,12,31)) - MAX($C$2, DATE(Initialisatie!$C$5,1,1)) + 1),
        IFERROR(VALUE($D34),0) * MAX(0, MIN($D$1, DATE(Initialisatie!$C$5,12,31)) - MAX($D$2, DATE(Initialisatie!$C$5,1,1)) + 1),
        IFERROR(VALUE($E34),0) * MAX(0, MIN($E$1, DATE(Initialisatie!$C$5,12,31)) - MAX($E$2, DATE(Initialisatie!$C$5,1,1)) + 1)
    ) / (DATE(Initialisatie!$C$5,12,31) - DATE(Initialisatie!$C$5,1,1) + 1)
)</f>
        <v>0</v>
      </c>
      <c r="H34">
        <f>IF(
    OR(
        AND(MAX(0, IF(MIN($C$1, DATE(Initialisatie!$C$5,12,31)) &lt; MAX($C$2, DATE(Initialisatie!$C$5,1,1)), 0, MONTH(MIN($C$1, DATE(Initialisatie!$C$5,12,31))) - MONTH(MAX($C$2, DATE(Initialisatie!$C$5,1,1))) + 1)) &lt;= 0, IFERROR(VALUE($C34),0)=0),
        AND(MAX(0, IF(MIN($D$1, DATE(Initialisatie!$C$5,12,31)) &lt; MAX($D$2, DATE(Initialisatie!$C$5,1,1)), 0, MONTH(MIN($D$1, DATE(Initialisatie!$C$5,12,31))) - MONTH(MAX($D$2, DATE(Initialisatie!$C$5,1,1))) + 1)) &lt;= 0, IFERROR(VALUE($D34),0)=0),
        AND(MAX(0, IF(MIN($E$1, DATE(Initialisatie!$C$5,12,31)) &lt; MAX($E$2, DATE(Initialisatie!$C$5,1,1)), 0, MONTH(MIN($E$1, DATE(Initialisatie!$C$5,12,31))) - MONTH(MAX($E$2, DATE(Initialisatie!$C$5,1,1))) + 1)) &lt;= 0, IFERROR(VALUE($E34),0)=0)
    ),
    0,
    SUM(
        IFERROR(VALUE($C34),0) * MAX(0, IF(MIN($C$1, DATE(Initialisatie!$C$5,12,31)) &lt; MAX($C$2, DATE(Initialisatie!$C$5,1,1)), 0, MONTH(MIN($C$1, DATE(Initialisatie!$C$5,12,31))) - MONTH(MAX($C$2, DATE(Initialisatie!$C$5,1,1))) + 1)),
        IFERROR(VALUE($D34),0) * MAX(0, IF(MIN($D$1, DATE(Initialisatie!$C$5,12,31)) &lt; MAX($D$2, DATE(Initialisatie!$C$5,1,1)), 0, MONTH(MIN($D$1, DATE(Initialisatie!$C$5,12,31))) - MONTH(MAX($D$2, DATE(Initialisatie!$C$5,1,1))) + 1)),
        IFERROR(VALUE($E34),0) * MAX(0, IF(MIN($E$1, DATE(Initialisatie!$C$5,12,31)) &lt; MAX($E$2, DATE(Initialisatie!$C$5,1,1)), 0, MONTH(MIN($E$1, DATE(Initialisatie!$C$5,12,31))) - MONTH(MAX($E$2, DATE(Initialisatie!$C$5,1,1))) + 1))
    ) / 12
)</f>
        <v>0</v>
      </c>
    </row>
    <row r="35" spans="1:8" x14ac:dyDescent="0.45">
      <c r="A35" s="997"/>
      <c r="B35" s="380">
        <v>14</v>
      </c>
      <c r="C35" t="s">
        <v>891</v>
      </c>
      <c r="D35" t="s">
        <v>891</v>
      </c>
      <c r="E35" t="s">
        <v>891</v>
      </c>
      <c r="G35">
        <f>IF(
    OR(
        AND(MAX(0, MIN($C$1, DATE(Initialisatie!$C$5,12,31)) - MAX($C$2, DATE(Initialisatie!$C$5,1,1)) + 1) &gt; 0, IFERROR(VALUE($C35),0)=0),
        AND(MAX(0, MIN($D$1, DATE(Initialisatie!$C$5,12,31)) - MAX($D$2, DATE(Initialisatie!$C$5,1,1)) + 1) &gt; 0, IFERROR(VALUE($D35),0)=0),
        AND(MAX(0, MIN($E$1, DATE(Initialisatie!$C$5,12,31)) - MAX($E$2, DATE(Initialisatie!$C$5,1,1)) + 1) &gt; 0, IFERROR(VALUE($E35),0)=0)
    ),
    0,
    SUM(
        IFERROR(VALUE($C35),0) * MAX(0, MIN($C$1, DATE(Initialisatie!$C$5,12,31)) - MAX($C$2, DATE(Initialisatie!$C$5,1,1)) + 1),
        IFERROR(VALUE($D35),0) * MAX(0, MIN($D$1, DATE(Initialisatie!$C$5,12,31)) - MAX($D$2, DATE(Initialisatie!$C$5,1,1)) + 1),
        IFERROR(VALUE($E35),0) * MAX(0, MIN($E$1, DATE(Initialisatie!$C$5,12,31)) - MAX($E$2, DATE(Initialisatie!$C$5,1,1)) + 1)
    ) / (DATE(Initialisatie!$C$5,12,31) - DATE(Initialisatie!$C$5,1,1) + 1)
)</f>
        <v>0</v>
      </c>
      <c r="H35">
        <f>IF(
    OR(
        AND(MAX(0, IF(MIN($C$1, DATE(Initialisatie!$C$5,12,31)) &lt; MAX($C$2, DATE(Initialisatie!$C$5,1,1)), 0, MONTH(MIN($C$1, DATE(Initialisatie!$C$5,12,31))) - MONTH(MAX($C$2, DATE(Initialisatie!$C$5,1,1))) + 1)) &lt;= 0, IFERROR(VALUE($C35),0)=0),
        AND(MAX(0, IF(MIN($D$1, DATE(Initialisatie!$C$5,12,31)) &lt; MAX($D$2, DATE(Initialisatie!$C$5,1,1)), 0, MONTH(MIN($D$1, DATE(Initialisatie!$C$5,12,31))) - MONTH(MAX($D$2, DATE(Initialisatie!$C$5,1,1))) + 1)) &lt;= 0, IFERROR(VALUE($D35),0)=0),
        AND(MAX(0, IF(MIN($E$1, DATE(Initialisatie!$C$5,12,31)) &lt; MAX($E$2, DATE(Initialisatie!$C$5,1,1)), 0, MONTH(MIN($E$1, DATE(Initialisatie!$C$5,12,31))) - MONTH(MAX($E$2, DATE(Initialisatie!$C$5,1,1))) + 1)) &lt;= 0, IFERROR(VALUE($E35),0)=0)
    ),
    0,
    SUM(
        IFERROR(VALUE($C35),0) * MAX(0, IF(MIN($C$1, DATE(Initialisatie!$C$5,12,31)) &lt; MAX($C$2, DATE(Initialisatie!$C$5,1,1)), 0, MONTH(MIN($C$1, DATE(Initialisatie!$C$5,12,31))) - MONTH(MAX($C$2, DATE(Initialisatie!$C$5,1,1))) + 1)),
        IFERROR(VALUE($D35),0) * MAX(0, IF(MIN($D$1, DATE(Initialisatie!$C$5,12,31)) &lt; MAX($D$2, DATE(Initialisatie!$C$5,1,1)), 0, MONTH(MIN($D$1, DATE(Initialisatie!$C$5,12,31))) - MONTH(MAX($D$2, DATE(Initialisatie!$C$5,1,1))) + 1)),
        IFERROR(VALUE($E35),0) * MAX(0, IF(MIN($E$1, DATE(Initialisatie!$C$5,12,31)) &lt; MAX($E$2, DATE(Initialisatie!$C$5,1,1)), 0, MONTH(MIN($E$1, DATE(Initialisatie!$C$5,12,31))) - MONTH(MAX($E$2, DATE(Initialisatie!$C$5,1,1))) + 1))
    ) / 12
)</f>
        <v>0</v>
      </c>
    </row>
    <row r="36" spans="1:8" x14ac:dyDescent="0.45">
      <c r="A36" s="997"/>
      <c r="B36" s="380">
        <v>15</v>
      </c>
      <c r="C36" t="s">
        <v>891</v>
      </c>
      <c r="D36" t="s">
        <v>891</v>
      </c>
      <c r="E36" t="s">
        <v>891</v>
      </c>
      <c r="G36">
        <f>IF(
    OR(
        AND(MAX(0, MIN($C$1, DATE(Initialisatie!$C$5,12,31)) - MAX($C$2, DATE(Initialisatie!$C$5,1,1)) + 1) &gt; 0, IFERROR(VALUE($C36),0)=0),
        AND(MAX(0, MIN($D$1, DATE(Initialisatie!$C$5,12,31)) - MAX($D$2, DATE(Initialisatie!$C$5,1,1)) + 1) &gt; 0, IFERROR(VALUE($D36),0)=0),
        AND(MAX(0, MIN($E$1, DATE(Initialisatie!$C$5,12,31)) - MAX($E$2, DATE(Initialisatie!$C$5,1,1)) + 1) &gt; 0, IFERROR(VALUE($E36),0)=0)
    ),
    0,
    SUM(
        IFERROR(VALUE($C36),0) * MAX(0, MIN($C$1, DATE(Initialisatie!$C$5,12,31)) - MAX($C$2, DATE(Initialisatie!$C$5,1,1)) + 1),
        IFERROR(VALUE($D36),0) * MAX(0, MIN($D$1, DATE(Initialisatie!$C$5,12,31)) - MAX($D$2, DATE(Initialisatie!$C$5,1,1)) + 1),
        IFERROR(VALUE($E36),0) * MAX(0, MIN($E$1, DATE(Initialisatie!$C$5,12,31)) - MAX($E$2, DATE(Initialisatie!$C$5,1,1)) + 1)
    ) / (DATE(Initialisatie!$C$5,12,31) - DATE(Initialisatie!$C$5,1,1) + 1)
)</f>
        <v>0</v>
      </c>
      <c r="H36">
        <f>IF(
    OR(
        AND(MAX(0, IF(MIN($C$1, DATE(Initialisatie!$C$5,12,31)) &lt; MAX($C$2, DATE(Initialisatie!$C$5,1,1)), 0, MONTH(MIN($C$1, DATE(Initialisatie!$C$5,12,31))) - MONTH(MAX($C$2, DATE(Initialisatie!$C$5,1,1))) + 1)) &lt;= 0, IFERROR(VALUE($C36),0)=0),
        AND(MAX(0, IF(MIN($D$1, DATE(Initialisatie!$C$5,12,31)) &lt; MAX($D$2, DATE(Initialisatie!$C$5,1,1)), 0, MONTH(MIN($D$1, DATE(Initialisatie!$C$5,12,31))) - MONTH(MAX($D$2, DATE(Initialisatie!$C$5,1,1))) + 1)) &lt;= 0, IFERROR(VALUE($D36),0)=0),
        AND(MAX(0, IF(MIN($E$1, DATE(Initialisatie!$C$5,12,31)) &lt; MAX($E$2, DATE(Initialisatie!$C$5,1,1)), 0, MONTH(MIN($E$1, DATE(Initialisatie!$C$5,12,31))) - MONTH(MAX($E$2, DATE(Initialisatie!$C$5,1,1))) + 1)) &lt;= 0, IFERROR(VALUE($E36),0)=0)
    ),
    0,
    SUM(
        IFERROR(VALUE($C36),0) * MAX(0, IF(MIN($C$1, DATE(Initialisatie!$C$5,12,31)) &lt; MAX($C$2, DATE(Initialisatie!$C$5,1,1)), 0, MONTH(MIN($C$1, DATE(Initialisatie!$C$5,12,31))) - MONTH(MAX($C$2, DATE(Initialisatie!$C$5,1,1))) + 1)),
        IFERROR(VALUE($D36),0) * MAX(0, IF(MIN($D$1, DATE(Initialisatie!$C$5,12,31)) &lt; MAX($D$2, DATE(Initialisatie!$C$5,1,1)), 0, MONTH(MIN($D$1, DATE(Initialisatie!$C$5,12,31))) - MONTH(MAX($D$2, DATE(Initialisatie!$C$5,1,1))) + 1)),
        IFERROR(VALUE($E36),0) * MAX(0, IF(MIN($E$1, DATE(Initialisatie!$C$5,12,31)) &lt; MAX($E$2, DATE(Initialisatie!$C$5,1,1)), 0, MONTH(MIN($E$1, DATE(Initialisatie!$C$5,12,31))) - MONTH(MAX($E$2, DATE(Initialisatie!$C$5,1,1))) + 1))
    ) / 12
)</f>
        <v>0</v>
      </c>
    </row>
    <row r="37" spans="1:8" x14ac:dyDescent="0.45">
      <c r="A37" s="998"/>
      <c r="B37" s="380" t="s">
        <v>517</v>
      </c>
      <c r="C37" t="s">
        <v>1703</v>
      </c>
      <c r="D37" t="s">
        <v>1704</v>
      </c>
      <c r="E37" t="s">
        <v>1705</v>
      </c>
      <c r="G37">
        <f>IF(
    OR(
        AND(MAX(0, MIN($C$1, DATE(Initialisatie!$C$5,12,31)) - MAX($C$2, DATE(Initialisatie!$C$5,1,1)) + 1) &gt; 0, IFERROR(VALUE($C37),0)=0),
        AND(MAX(0, MIN($D$1, DATE(Initialisatie!$C$5,12,31)) - MAX($D$2, DATE(Initialisatie!$C$5,1,1)) + 1) &gt; 0, IFERROR(VALUE($D37),0)=0),
        AND(MAX(0, MIN($E$1, DATE(Initialisatie!$C$5,12,31)) - MAX($E$2, DATE(Initialisatie!$C$5,1,1)) + 1) &gt; 0, IFERROR(VALUE($E37),0)=0)
    ),
    0,
    SUM(
        IFERROR(VALUE($C37),0) * MAX(0, MIN($C$1, DATE(Initialisatie!$C$5,12,31)) - MAX($C$2, DATE(Initialisatie!$C$5,1,1)) + 1),
        IFERROR(VALUE($D37),0) * MAX(0, MIN($D$1, DATE(Initialisatie!$C$5,12,31)) - MAX($D$2, DATE(Initialisatie!$C$5,1,1)) + 1),
        IFERROR(VALUE($E37),0) * MAX(0, MIN($E$1, DATE(Initialisatie!$C$5,12,31)) - MAX($E$2, DATE(Initialisatie!$C$5,1,1)) + 1)
    ) / (DATE(Initialisatie!$C$5,12,31) - DATE(Initialisatie!$C$5,1,1) + 1)
)</f>
        <v>2345.3506849315067</v>
      </c>
      <c r="H37">
        <f>IF(
    OR(
        AND(MAX(0, IF(MIN($C$1, DATE(Initialisatie!$C$5,12,31)) &lt; MAX($C$2, DATE(Initialisatie!$C$5,1,1)), 0, MONTH(MIN($C$1, DATE(Initialisatie!$C$5,12,31))) - MONTH(MAX($C$2, DATE(Initialisatie!$C$5,1,1))) + 1)) &lt;= 0, IFERROR(VALUE($C37),0)=0),
        AND(MAX(0, IF(MIN($D$1, DATE(Initialisatie!$C$5,12,31)) &lt; MAX($D$2, DATE(Initialisatie!$C$5,1,1)), 0, MONTH(MIN($D$1, DATE(Initialisatie!$C$5,12,31))) - MONTH(MAX($D$2, DATE(Initialisatie!$C$5,1,1))) + 1)) &lt;= 0, IFERROR(VALUE($D37),0)=0),
        AND(MAX(0, IF(MIN($E$1, DATE(Initialisatie!$C$5,12,31)) &lt; MAX($E$2, DATE(Initialisatie!$C$5,1,1)), 0, MONTH(MIN($E$1, DATE(Initialisatie!$C$5,12,31))) - MONTH(MAX($E$2, DATE(Initialisatie!$C$5,1,1))) + 1)) &lt;= 0, IFERROR(VALUE($E37),0)=0)
    ),
    0,
    SUM(
        IFERROR(VALUE($C37),0) * MAX(0, IF(MIN($C$1, DATE(Initialisatie!$C$5,12,31)) &lt; MAX($C$2, DATE(Initialisatie!$C$5,1,1)), 0, MONTH(MIN($C$1, DATE(Initialisatie!$C$5,12,31))) - MONTH(MAX($C$2, DATE(Initialisatie!$C$5,1,1))) + 1)),
        IFERROR(VALUE($D37),0) * MAX(0, IF(MIN($D$1, DATE(Initialisatie!$C$5,12,31)) &lt; MAX($D$2, DATE(Initialisatie!$C$5,1,1)), 0, MONTH(MIN($D$1, DATE(Initialisatie!$C$5,12,31))) - MONTH(MAX($D$2, DATE(Initialisatie!$C$5,1,1))) + 1)),
        IFERROR(VALUE($E37),0) * MAX(0, IF(MIN($E$1, DATE(Initialisatie!$C$5,12,31)) &lt; MAX($E$2, DATE(Initialisatie!$C$5,1,1)), 0, MONTH(MIN($E$1, DATE(Initialisatie!$C$5,12,31))) - MONTH(MAX($E$2, DATE(Initialisatie!$C$5,1,1))) + 1))
    ) / 12
)</f>
        <v>2345.25</v>
      </c>
    </row>
    <row r="38" spans="1:8" x14ac:dyDescent="0.45">
      <c r="A38" s="996">
        <v>3</v>
      </c>
      <c r="B38" s="380">
        <v>0</v>
      </c>
      <c r="C38" t="s">
        <v>1709</v>
      </c>
      <c r="D38" t="s">
        <v>1710</v>
      </c>
      <c r="E38" t="s">
        <v>1711</v>
      </c>
      <c r="G38">
        <f>IF(
    OR(
        AND(MAX(0, MIN($C$1, DATE(Initialisatie!$C$5,12,31)) - MAX($C$2, DATE(Initialisatie!$C$5,1,1)) + 1) &gt; 0, IFERROR(VALUE($C38),0)=0),
        AND(MAX(0, MIN($D$1, DATE(Initialisatie!$C$5,12,31)) - MAX($D$2, DATE(Initialisatie!$C$5,1,1)) + 1) &gt; 0, IFERROR(VALUE($D38),0)=0),
        AND(MAX(0, MIN($E$1, DATE(Initialisatie!$C$5,12,31)) - MAX($E$2, DATE(Initialisatie!$C$5,1,1)) + 1) &gt; 0, IFERROR(VALUE($E38),0)=0)
    ),
    0,
    SUM(
        IFERROR(VALUE($C38),0) * MAX(0, MIN($C$1, DATE(Initialisatie!$C$5,12,31)) - MAX($C$2, DATE(Initialisatie!$C$5,1,1)) + 1),
        IFERROR(VALUE($D38),0) * MAX(0, MIN($D$1, DATE(Initialisatie!$C$5,12,31)) - MAX($D$2, DATE(Initialisatie!$C$5,1,1)) + 1),
        IFERROR(VALUE($E38),0) * MAX(0, MIN($E$1, DATE(Initialisatie!$C$5,12,31)) - MAX($E$2, DATE(Initialisatie!$C$5,1,1)) + 1)
    ) / (DATE(Initialisatie!$C$5,12,31) - DATE(Initialisatie!$C$5,1,1) + 1)
)</f>
        <v>2410.6027397260273</v>
      </c>
      <c r="H38">
        <f>IF(
    OR(
        AND(MAX(0, IF(MIN($C$1, DATE(Initialisatie!$C$5,12,31)) &lt; MAX($C$2, DATE(Initialisatie!$C$5,1,1)), 0, MONTH(MIN($C$1, DATE(Initialisatie!$C$5,12,31))) - MONTH(MAX($C$2, DATE(Initialisatie!$C$5,1,1))) + 1)) &lt;= 0, IFERROR(VALUE($C38),0)=0),
        AND(MAX(0, IF(MIN($D$1, DATE(Initialisatie!$C$5,12,31)) &lt; MAX($D$2, DATE(Initialisatie!$C$5,1,1)), 0, MONTH(MIN($D$1, DATE(Initialisatie!$C$5,12,31))) - MONTH(MAX($D$2, DATE(Initialisatie!$C$5,1,1))) + 1)) &lt;= 0, IFERROR(VALUE($D38),0)=0),
        AND(MAX(0, IF(MIN($E$1, DATE(Initialisatie!$C$5,12,31)) &lt; MAX($E$2, DATE(Initialisatie!$C$5,1,1)), 0, MONTH(MIN($E$1, DATE(Initialisatie!$C$5,12,31))) - MONTH(MAX($E$2, DATE(Initialisatie!$C$5,1,1))) + 1)) &lt;= 0, IFERROR(VALUE($E38),0)=0)
    ),
    0,
    SUM(
        IFERROR(VALUE($C38),0) * MAX(0, IF(MIN($C$1, DATE(Initialisatie!$C$5,12,31)) &lt; MAX($C$2, DATE(Initialisatie!$C$5,1,1)), 0, MONTH(MIN($C$1, DATE(Initialisatie!$C$5,12,31))) - MONTH(MAX($C$2, DATE(Initialisatie!$C$5,1,1))) + 1)),
        IFERROR(VALUE($D38),0) * MAX(0, IF(MIN($D$1, DATE(Initialisatie!$C$5,12,31)) &lt; MAX($D$2, DATE(Initialisatie!$C$5,1,1)), 0, MONTH(MIN($D$1, DATE(Initialisatie!$C$5,12,31))) - MONTH(MAX($D$2, DATE(Initialisatie!$C$5,1,1))) + 1)),
        IFERROR(VALUE($E38),0) * MAX(0, IF(MIN($E$1, DATE(Initialisatie!$C$5,12,31)) &lt; MAX($E$2, DATE(Initialisatie!$C$5,1,1)), 0, MONTH(MIN($E$1, DATE(Initialisatie!$C$5,12,31))) - MONTH(MAX($E$2, DATE(Initialisatie!$C$5,1,1))) + 1))
    ) / 12
)</f>
        <v>2410.5</v>
      </c>
    </row>
    <row r="39" spans="1:8" x14ac:dyDescent="0.45">
      <c r="A39" s="997"/>
      <c r="B39" s="380">
        <v>1</v>
      </c>
      <c r="C39" t="s">
        <v>1712</v>
      </c>
      <c r="D39" t="s">
        <v>1713</v>
      </c>
      <c r="E39" t="s">
        <v>1714</v>
      </c>
      <c r="G39">
        <f>IF(
    OR(
        AND(MAX(0, MIN($C$1, DATE(Initialisatie!$C$5,12,31)) - MAX($C$2, DATE(Initialisatie!$C$5,1,1)) + 1) &gt; 0, IFERROR(VALUE($C39),0)=0),
        AND(MAX(0, MIN($D$1, DATE(Initialisatie!$C$5,12,31)) - MAX($D$2, DATE(Initialisatie!$C$5,1,1)) + 1) &gt; 0, IFERROR(VALUE($D39),0)=0),
        AND(MAX(0, MIN($E$1, DATE(Initialisatie!$C$5,12,31)) - MAX($E$2, DATE(Initialisatie!$C$5,1,1)) + 1) &gt; 0, IFERROR(VALUE($E39),0)=0)
    ),
    0,
    SUM(
        IFERROR(VALUE($C39),0) * MAX(0, MIN($C$1, DATE(Initialisatie!$C$5,12,31)) - MAX($C$2, DATE(Initialisatie!$C$5,1,1)) + 1),
        IFERROR(VALUE($D39),0) * MAX(0, MIN($D$1, DATE(Initialisatie!$C$5,12,31)) - MAX($D$2, DATE(Initialisatie!$C$5,1,1)) + 1),
        IFERROR(VALUE($E39),0) * MAX(0, MIN($E$1, DATE(Initialisatie!$C$5,12,31)) - MAX($E$2, DATE(Initialisatie!$C$5,1,1)) + 1)
    ) / (DATE(Initialisatie!$C$5,12,31) - DATE(Initialisatie!$C$5,1,1) + 1)
)</f>
        <v>2471.1068493150683</v>
      </c>
      <c r="H39">
        <f>IF(
    OR(
        AND(MAX(0, IF(MIN($C$1, DATE(Initialisatie!$C$5,12,31)) &lt; MAX($C$2, DATE(Initialisatie!$C$5,1,1)), 0, MONTH(MIN($C$1, DATE(Initialisatie!$C$5,12,31))) - MONTH(MAX($C$2, DATE(Initialisatie!$C$5,1,1))) + 1)) &lt;= 0, IFERROR(VALUE($C39),0)=0),
        AND(MAX(0, IF(MIN($D$1, DATE(Initialisatie!$C$5,12,31)) &lt; MAX($D$2, DATE(Initialisatie!$C$5,1,1)), 0, MONTH(MIN($D$1, DATE(Initialisatie!$C$5,12,31))) - MONTH(MAX($D$2, DATE(Initialisatie!$C$5,1,1))) + 1)) &lt;= 0, IFERROR(VALUE($D39),0)=0),
        AND(MAX(0, IF(MIN($E$1, DATE(Initialisatie!$C$5,12,31)) &lt; MAX($E$2, DATE(Initialisatie!$C$5,1,1)), 0, MONTH(MIN($E$1, DATE(Initialisatie!$C$5,12,31))) - MONTH(MAX($E$2, DATE(Initialisatie!$C$5,1,1))) + 1)) &lt;= 0, IFERROR(VALUE($E39),0)=0)
    ),
    0,
    SUM(
        IFERROR(VALUE($C39),0) * MAX(0, IF(MIN($C$1, DATE(Initialisatie!$C$5,12,31)) &lt; MAX($C$2, DATE(Initialisatie!$C$5,1,1)), 0, MONTH(MIN($C$1, DATE(Initialisatie!$C$5,12,31))) - MONTH(MAX($C$2, DATE(Initialisatie!$C$5,1,1))) + 1)),
        IFERROR(VALUE($D39),0) * MAX(0, IF(MIN($D$1, DATE(Initialisatie!$C$5,12,31)) &lt; MAX($D$2, DATE(Initialisatie!$C$5,1,1)), 0, MONTH(MIN($D$1, DATE(Initialisatie!$C$5,12,31))) - MONTH(MAX($D$2, DATE(Initialisatie!$C$5,1,1))) + 1)),
        IFERROR(VALUE($E39),0) * MAX(0, IF(MIN($E$1, DATE(Initialisatie!$C$5,12,31)) &lt; MAX($E$2, DATE(Initialisatie!$C$5,1,1)), 0, MONTH(MIN($E$1, DATE(Initialisatie!$C$5,12,31))) - MONTH(MAX($E$2, DATE(Initialisatie!$C$5,1,1))) + 1))
    ) / 12
)</f>
        <v>2471</v>
      </c>
    </row>
    <row r="40" spans="1:8" x14ac:dyDescent="0.45">
      <c r="A40" s="997"/>
      <c r="B40" s="380">
        <v>2</v>
      </c>
      <c r="C40" t="s">
        <v>1715</v>
      </c>
      <c r="D40" t="s">
        <v>1716</v>
      </c>
      <c r="E40" t="s">
        <v>1717</v>
      </c>
      <c r="G40">
        <f>IF(
    OR(
        AND(MAX(0, MIN($C$1, DATE(Initialisatie!$C$5,12,31)) - MAX($C$2, DATE(Initialisatie!$C$5,1,1)) + 1) &gt; 0, IFERROR(VALUE($C40),0)=0),
        AND(MAX(0, MIN($D$1, DATE(Initialisatie!$C$5,12,31)) - MAX($D$2, DATE(Initialisatie!$C$5,1,1)) + 1) &gt; 0, IFERROR(VALUE($D40),0)=0),
        AND(MAX(0, MIN($E$1, DATE(Initialisatie!$C$5,12,31)) - MAX($E$2, DATE(Initialisatie!$C$5,1,1)) + 1) &gt; 0, IFERROR(VALUE($E40),0)=0)
    ),
    0,
    SUM(
        IFERROR(VALUE($C40),0) * MAX(0, MIN($C$1, DATE(Initialisatie!$C$5,12,31)) - MAX($C$2, DATE(Initialisatie!$C$5,1,1)) + 1),
        IFERROR(VALUE($D40),0) * MAX(0, MIN($D$1, DATE(Initialisatie!$C$5,12,31)) - MAX($D$2, DATE(Initialisatie!$C$5,1,1)) + 1),
        IFERROR(VALUE($E40),0) * MAX(0, MIN($E$1, DATE(Initialisatie!$C$5,12,31)) - MAX($E$2, DATE(Initialisatie!$C$5,1,1)) + 1)
    ) / (DATE(Initialisatie!$C$5,12,31) - DATE(Initialisatie!$C$5,1,1) + 1)
)</f>
        <v>2527.3589041095888</v>
      </c>
      <c r="H40">
        <f>IF(
    OR(
        AND(MAX(0, IF(MIN($C$1, DATE(Initialisatie!$C$5,12,31)) &lt; MAX($C$2, DATE(Initialisatie!$C$5,1,1)), 0, MONTH(MIN($C$1, DATE(Initialisatie!$C$5,12,31))) - MONTH(MAX($C$2, DATE(Initialisatie!$C$5,1,1))) + 1)) &lt;= 0, IFERROR(VALUE($C40),0)=0),
        AND(MAX(0, IF(MIN($D$1, DATE(Initialisatie!$C$5,12,31)) &lt; MAX($D$2, DATE(Initialisatie!$C$5,1,1)), 0, MONTH(MIN($D$1, DATE(Initialisatie!$C$5,12,31))) - MONTH(MAX($D$2, DATE(Initialisatie!$C$5,1,1))) + 1)) &lt;= 0, IFERROR(VALUE($D40),0)=0),
        AND(MAX(0, IF(MIN($E$1, DATE(Initialisatie!$C$5,12,31)) &lt; MAX($E$2, DATE(Initialisatie!$C$5,1,1)), 0, MONTH(MIN($E$1, DATE(Initialisatie!$C$5,12,31))) - MONTH(MAX($E$2, DATE(Initialisatie!$C$5,1,1))) + 1)) &lt;= 0, IFERROR(VALUE($E40),0)=0)
    ),
    0,
    SUM(
        IFERROR(VALUE($C40),0) * MAX(0, IF(MIN($C$1, DATE(Initialisatie!$C$5,12,31)) &lt; MAX($C$2, DATE(Initialisatie!$C$5,1,1)), 0, MONTH(MIN($C$1, DATE(Initialisatie!$C$5,12,31))) - MONTH(MAX($C$2, DATE(Initialisatie!$C$5,1,1))) + 1)),
        IFERROR(VALUE($D40),0) * MAX(0, IF(MIN($D$1, DATE(Initialisatie!$C$5,12,31)) &lt; MAX($D$2, DATE(Initialisatie!$C$5,1,1)), 0, MONTH(MIN($D$1, DATE(Initialisatie!$C$5,12,31))) - MONTH(MAX($D$2, DATE(Initialisatie!$C$5,1,1))) + 1)),
        IFERROR(VALUE($E40),0) * MAX(0, IF(MIN($E$1, DATE(Initialisatie!$C$5,12,31)) &lt; MAX($E$2, DATE(Initialisatie!$C$5,1,1)), 0, MONTH(MIN($E$1, DATE(Initialisatie!$C$5,12,31))) - MONTH(MAX($E$2, DATE(Initialisatie!$C$5,1,1))) + 1))
    ) / 12
)</f>
        <v>2527.25</v>
      </c>
    </row>
    <row r="41" spans="1:8" x14ac:dyDescent="0.45">
      <c r="A41" s="997"/>
      <c r="B41" s="380">
        <v>3</v>
      </c>
      <c r="C41" t="s">
        <v>1718</v>
      </c>
      <c r="D41" t="s">
        <v>1719</v>
      </c>
      <c r="E41" t="s">
        <v>1720</v>
      </c>
      <c r="G41">
        <f>IF(
    OR(
        AND(MAX(0, MIN($C$1, DATE(Initialisatie!$C$5,12,31)) - MAX($C$2, DATE(Initialisatie!$C$5,1,1)) + 1) &gt; 0, IFERROR(VALUE($C41),0)=0),
        AND(MAX(0, MIN($D$1, DATE(Initialisatie!$C$5,12,31)) - MAX($D$2, DATE(Initialisatie!$C$5,1,1)) + 1) &gt; 0, IFERROR(VALUE($D41),0)=0),
        AND(MAX(0, MIN($E$1, DATE(Initialisatie!$C$5,12,31)) - MAX($E$2, DATE(Initialisatie!$C$5,1,1)) + 1) &gt; 0, IFERROR(VALUE($E41),0)=0)
    ),
    0,
    SUM(
        IFERROR(VALUE($C41),0) * MAX(0, MIN($C$1, DATE(Initialisatie!$C$5,12,31)) - MAX($C$2, DATE(Initialisatie!$C$5,1,1)) + 1),
        IFERROR(VALUE($D41),0) * MAX(0, MIN($D$1, DATE(Initialisatie!$C$5,12,31)) - MAX($D$2, DATE(Initialisatie!$C$5,1,1)) + 1),
        IFERROR(VALUE($E41),0) * MAX(0, MIN($E$1, DATE(Initialisatie!$C$5,12,31)) - MAX($E$2, DATE(Initialisatie!$C$5,1,1)) + 1)
    ) / (DATE(Initialisatie!$C$5,12,31) - DATE(Initialisatie!$C$5,1,1) + 1)
)</f>
        <v>2585.6109589041098</v>
      </c>
      <c r="H41">
        <f>IF(
    OR(
        AND(MAX(0, IF(MIN($C$1, DATE(Initialisatie!$C$5,12,31)) &lt; MAX($C$2, DATE(Initialisatie!$C$5,1,1)), 0, MONTH(MIN($C$1, DATE(Initialisatie!$C$5,12,31))) - MONTH(MAX($C$2, DATE(Initialisatie!$C$5,1,1))) + 1)) &lt;= 0, IFERROR(VALUE($C41),0)=0),
        AND(MAX(0, IF(MIN($D$1, DATE(Initialisatie!$C$5,12,31)) &lt; MAX($D$2, DATE(Initialisatie!$C$5,1,1)), 0, MONTH(MIN($D$1, DATE(Initialisatie!$C$5,12,31))) - MONTH(MAX($D$2, DATE(Initialisatie!$C$5,1,1))) + 1)) &lt;= 0, IFERROR(VALUE($D41),0)=0),
        AND(MAX(0, IF(MIN($E$1, DATE(Initialisatie!$C$5,12,31)) &lt; MAX($E$2, DATE(Initialisatie!$C$5,1,1)), 0, MONTH(MIN($E$1, DATE(Initialisatie!$C$5,12,31))) - MONTH(MAX($E$2, DATE(Initialisatie!$C$5,1,1))) + 1)) &lt;= 0, IFERROR(VALUE($E41),0)=0)
    ),
    0,
    SUM(
        IFERROR(VALUE($C41),0) * MAX(0, IF(MIN($C$1, DATE(Initialisatie!$C$5,12,31)) &lt; MAX($C$2, DATE(Initialisatie!$C$5,1,1)), 0, MONTH(MIN($C$1, DATE(Initialisatie!$C$5,12,31))) - MONTH(MAX($C$2, DATE(Initialisatie!$C$5,1,1))) + 1)),
        IFERROR(VALUE($D41),0) * MAX(0, IF(MIN($D$1, DATE(Initialisatie!$C$5,12,31)) &lt; MAX($D$2, DATE(Initialisatie!$C$5,1,1)), 0, MONTH(MIN($D$1, DATE(Initialisatie!$C$5,12,31))) - MONTH(MAX($D$2, DATE(Initialisatie!$C$5,1,1))) + 1)),
        IFERROR(VALUE($E41),0) * MAX(0, IF(MIN($E$1, DATE(Initialisatie!$C$5,12,31)) &lt; MAX($E$2, DATE(Initialisatie!$C$5,1,1)), 0, MONTH(MIN($E$1, DATE(Initialisatie!$C$5,12,31))) - MONTH(MAX($E$2, DATE(Initialisatie!$C$5,1,1))) + 1))
    ) / 12
)</f>
        <v>2585.5</v>
      </c>
    </row>
    <row r="42" spans="1:8" x14ac:dyDescent="0.45">
      <c r="A42" s="997"/>
      <c r="B42" s="380">
        <v>4</v>
      </c>
      <c r="C42" t="s">
        <v>1721</v>
      </c>
      <c r="D42" t="s">
        <v>1722</v>
      </c>
      <c r="E42" t="s">
        <v>1723</v>
      </c>
      <c r="G42">
        <f>IF(
    OR(
        AND(MAX(0, MIN($C$1, DATE(Initialisatie!$C$5,12,31)) - MAX($C$2, DATE(Initialisatie!$C$5,1,1)) + 1) &gt; 0, IFERROR(VALUE($C42),0)=0),
        AND(MAX(0, MIN($D$1, DATE(Initialisatie!$C$5,12,31)) - MAX($D$2, DATE(Initialisatie!$C$5,1,1)) + 1) &gt; 0, IFERROR(VALUE($D42),0)=0),
        AND(MAX(0, MIN($E$1, DATE(Initialisatie!$C$5,12,31)) - MAX($E$2, DATE(Initialisatie!$C$5,1,1)) + 1) &gt; 0, IFERROR(VALUE($E42),0)=0)
    ),
    0,
    SUM(
        IFERROR(VALUE($C42),0) * MAX(0, MIN($C$1, DATE(Initialisatie!$C$5,12,31)) - MAX($C$2, DATE(Initialisatie!$C$5,1,1)) + 1),
        IFERROR(VALUE($D42),0) * MAX(0, MIN($D$1, DATE(Initialisatie!$C$5,12,31)) - MAX($D$2, DATE(Initialisatie!$C$5,1,1)) + 1),
        IFERROR(VALUE($E42),0) * MAX(0, MIN($E$1, DATE(Initialisatie!$C$5,12,31)) - MAX($E$2, DATE(Initialisatie!$C$5,1,1)) + 1)
    ) / (DATE(Initialisatie!$C$5,12,31) - DATE(Initialisatie!$C$5,1,1) + 1)
)</f>
        <v>2648.8630136986303</v>
      </c>
      <c r="H42">
        <f>IF(
    OR(
        AND(MAX(0, IF(MIN($C$1, DATE(Initialisatie!$C$5,12,31)) &lt; MAX($C$2, DATE(Initialisatie!$C$5,1,1)), 0, MONTH(MIN($C$1, DATE(Initialisatie!$C$5,12,31))) - MONTH(MAX($C$2, DATE(Initialisatie!$C$5,1,1))) + 1)) &lt;= 0, IFERROR(VALUE($C42),0)=0),
        AND(MAX(0, IF(MIN($D$1, DATE(Initialisatie!$C$5,12,31)) &lt; MAX($D$2, DATE(Initialisatie!$C$5,1,1)), 0, MONTH(MIN($D$1, DATE(Initialisatie!$C$5,12,31))) - MONTH(MAX($D$2, DATE(Initialisatie!$C$5,1,1))) + 1)) &lt;= 0, IFERROR(VALUE($D42),0)=0),
        AND(MAX(0, IF(MIN($E$1, DATE(Initialisatie!$C$5,12,31)) &lt; MAX($E$2, DATE(Initialisatie!$C$5,1,1)), 0, MONTH(MIN($E$1, DATE(Initialisatie!$C$5,12,31))) - MONTH(MAX($E$2, DATE(Initialisatie!$C$5,1,1))) + 1)) &lt;= 0, IFERROR(VALUE($E42),0)=0)
    ),
    0,
    SUM(
        IFERROR(VALUE($C42),0) * MAX(0, IF(MIN($C$1, DATE(Initialisatie!$C$5,12,31)) &lt; MAX($C$2, DATE(Initialisatie!$C$5,1,1)), 0, MONTH(MIN($C$1, DATE(Initialisatie!$C$5,12,31))) - MONTH(MAX($C$2, DATE(Initialisatie!$C$5,1,1))) + 1)),
        IFERROR(VALUE($D42),0) * MAX(0, IF(MIN($D$1, DATE(Initialisatie!$C$5,12,31)) &lt; MAX($D$2, DATE(Initialisatie!$C$5,1,1)), 0, MONTH(MIN($D$1, DATE(Initialisatie!$C$5,12,31))) - MONTH(MAX($D$2, DATE(Initialisatie!$C$5,1,1))) + 1)),
        IFERROR(VALUE($E42),0) * MAX(0, IF(MIN($E$1, DATE(Initialisatie!$C$5,12,31)) &lt; MAX($E$2, DATE(Initialisatie!$C$5,1,1)), 0, MONTH(MIN($E$1, DATE(Initialisatie!$C$5,12,31))) - MONTH(MAX($E$2, DATE(Initialisatie!$C$5,1,1))) + 1))
    ) / 12
)</f>
        <v>2648.75</v>
      </c>
    </row>
    <row r="43" spans="1:8" x14ac:dyDescent="0.45">
      <c r="A43" s="997"/>
      <c r="B43" s="380">
        <v>5</v>
      </c>
      <c r="C43" t="s">
        <v>1724</v>
      </c>
      <c r="D43" t="s">
        <v>1725</v>
      </c>
      <c r="E43" t="s">
        <v>1726</v>
      </c>
      <c r="G43">
        <f>IF(
    OR(
        AND(MAX(0, MIN($C$1, DATE(Initialisatie!$C$5,12,31)) - MAX($C$2, DATE(Initialisatie!$C$5,1,1)) + 1) &gt; 0, IFERROR(VALUE($C43),0)=0),
        AND(MAX(0, MIN($D$1, DATE(Initialisatie!$C$5,12,31)) - MAX($D$2, DATE(Initialisatie!$C$5,1,1)) + 1) &gt; 0, IFERROR(VALUE($D43),0)=0),
        AND(MAX(0, MIN($E$1, DATE(Initialisatie!$C$5,12,31)) - MAX($E$2, DATE(Initialisatie!$C$5,1,1)) + 1) &gt; 0, IFERROR(VALUE($E43),0)=0)
    ),
    0,
    SUM(
        IFERROR(VALUE($C43),0) * MAX(0, MIN($C$1, DATE(Initialisatie!$C$5,12,31)) - MAX($C$2, DATE(Initialisatie!$C$5,1,1)) + 1),
        IFERROR(VALUE($D43),0) * MAX(0, MIN($D$1, DATE(Initialisatie!$C$5,12,31)) - MAX($D$2, DATE(Initialisatie!$C$5,1,1)) + 1),
        IFERROR(VALUE($E43),0) * MAX(0, MIN($E$1, DATE(Initialisatie!$C$5,12,31)) - MAX($E$2, DATE(Initialisatie!$C$5,1,1)) + 1)
    ) / (DATE(Initialisatie!$C$5,12,31) - DATE(Initialisatie!$C$5,1,1) + 1)
)</f>
        <v>2715.3671232876713</v>
      </c>
      <c r="H43">
        <f>IF(
    OR(
        AND(MAX(0, IF(MIN($C$1, DATE(Initialisatie!$C$5,12,31)) &lt; MAX($C$2, DATE(Initialisatie!$C$5,1,1)), 0, MONTH(MIN($C$1, DATE(Initialisatie!$C$5,12,31))) - MONTH(MAX($C$2, DATE(Initialisatie!$C$5,1,1))) + 1)) &lt;= 0, IFERROR(VALUE($C43),0)=0),
        AND(MAX(0, IF(MIN($D$1, DATE(Initialisatie!$C$5,12,31)) &lt; MAX($D$2, DATE(Initialisatie!$C$5,1,1)), 0, MONTH(MIN($D$1, DATE(Initialisatie!$C$5,12,31))) - MONTH(MAX($D$2, DATE(Initialisatie!$C$5,1,1))) + 1)) &lt;= 0, IFERROR(VALUE($D43),0)=0),
        AND(MAX(0, IF(MIN($E$1, DATE(Initialisatie!$C$5,12,31)) &lt; MAX($E$2, DATE(Initialisatie!$C$5,1,1)), 0, MONTH(MIN($E$1, DATE(Initialisatie!$C$5,12,31))) - MONTH(MAX($E$2, DATE(Initialisatie!$C$5,1,1))) + 1)) &lt;= 0, IFERROR(VALUE($E43),0)=0)
    ),
    0,
    SUM(
        IFERROR(VALUE($C43),0) * MAX(0, IF(MIN($C$1, DATE(Initialisatie!$C$5,12,31)) &lt; MAX($C$2, DATE(Initialisatie!$C$5,1,1)), 0, MONTH(MIN($C$1, DATE(Initialisatie!$C$5,12,31))) - MONTH(MAX($C$2, DATE(Initialisatie!$C$5,1,1))) + 1)),
        IFERROR(VALUE($D43),0) * MAX(0, IF(MIN($D$1, DATE(Initialisatie!$C$5,12,31)) &lt; MAX($D$2, DATE(Initialisatie!$C$5,1,1)), 0, MONTH(MIN($D$1, DATE(Initialisatie!$C$5,12,31))) - MONTH(MAX($D$2, DATE(Initialisatie!$C$5,1,1))) + 1)),
        IFERROR(VALUE($E43),0) * MAX(0, IF(MIN($E$1, DATE(Initialisatie!$C$5,12,31)) &lt; MAX($E$2, DATE(Initialisatie!$C$5,1,1)), 0, MONTH(MIN($E$1, DATE(Initialisatie!$C$5,12,31))) - MONTH(MAX($E$2, DATE(Initialisatie!$C$5,1,1))) + 1))
    ) / 12
)</f>
        <v>2715.25</v>
      </c>
    </row>
    <row r="44" spans="1:8" x14ac:dyDescent="0.45">
      <c r="A44" s="997"/>
      <c r="B44" s="380">
        <v>6</v>
      </c>
      <c r="C44" t="s">
        <v>1727</v>
      </c>
      <c r="D44" t="s">
        <v>1728</v>
      </c>
      <c r="E44" t="s">
        <v>1729</v>
      </c>
      <c r="G44">
        <f>IF(
    OR(
        AND(MAX(0, MIN($C$1, DATE(Initialisatie!$C$5,12,31)) - MAX($C$2, DATE(Initialisatie!$C$5,1,1)) + 1) &gt; 0, IFERROR(VALUE($C44),0)=0),
        AND(MAX(0, MIN($D$1, DATE(Initialisatie!$C$5,12,31)) - MAX($D$2, DATE(Initialisatie!$C$5,1,1)) + 1) &gt; 0, IFERROR(VALUE($D44),0)=0),
        AND(MAX(0, MIN($E$1, DATE(Initialisatie!$C$5,12,31)) - MAX($E$2, DATE(Initialisatie!$C$5,1,1)) + 1) &gt; 0, IFERROR(VALUE($E44),0)=0)
    ),
    0,
    SUM(
        IFERROR(VALUE($C44),0) * MAX(0, MIN($C$1, DATE(Initialisatie!$C$5,12,31)) - MAX($C$2, DATE(Initialisatie!$C$5,1,1)) + 1),
        IFERROR(VALUE($D44),0) * MAX(0, MIN($D$1, DATE(Initialisatie!$C$5,12,31)) - MAX($D$2, DATE(Initialisatie!$C$5,1,1)) + 1),
        IFERROR(VALUE($E44),0) * MAX(0, MIN($E$1, DATE(Initialisatie!$C$5,12,31)) - MAX($E$2, DATE(Initialisatie!$C$5,1,1)) + 1)
    ) / (DATE(Initialisatie!$C$5,12,31) - DATE(Initialisatie!$C$5,1,1) + 1)
)</f>
        <v>2777.6191780821919</v>
      </c>
      <c r="H44">
        <f>IF(
    OR(
        AND(MAX(0, IF(MIN($C$1, DATE(Initialisatie!$C$5,12,31)) &lt; MAX($C$2, DATE(Initialisatie!$C$5,1,1)), 0, MONTH(MIN($C$1, DATE(Initialisatie!$C$5,12,31))) - MONTH(MAX($C$2, DATE(Initialisatie!$C$5,1,1))) + 1)) &lt;= 0, IFERROR(VALUE($C44),0)=0),
        AND(MAX(0, IF(MIN($D$1, DATE(Initialisatie!$C$5,12,31)) &lt; MAX($D$2, DATE(Initialisatie!$C$5,1,1)), 0, MONTH(MIN($D$1, DATE(Initialisatie!$C$5,12,31))) - MONTH(MAX($D$2, DATE(Initialisatie!$C$5,1,1))) + 1)) &lt;= 0, IFERROR(VALUE($D44),0)=0),
        AND(MAX(0, IF(MIN($E$1, DATE(Initialisatie!$C$5,12,31)) &lt; MAX($E$2, DATE(Initialisatie!$C$5,1,1)), 0, MONTH(MIN($E$1, DATE(Initialisatie!$C$5,12,31))) - MONTH(MAX($E$2, DATE(Initialisatie!$C$5,1,1))) + 1)) &lt;= 0, IFERROR(VALUE($E44),0)=0)
    ),
    0,
    SUM(
        IFERROR(VALUE($C44),0) * MAX(0, IF(MIN($C$1, DATE(Initialisatie!$C$5,12,31)) &lt; MAX($C$2, DATE(Initialisatie!$C$5,1,1)), 0, MONTH(MIN($C$1, DATE(Initialisatie!$C$5,12,31))) - MONTH(MAX($C$2, DATE(Initialisatie!$C$5,1,1))) + 1)),
        IFERROR(VALUE($D44),0) * MAX(0, IF(MIN($D$1, DATE(Initialisatie!$C$5,12,31)) &lt; MAX($D$2, DATE(Initialisatie!$C$5,1,1)), 0, MONTH(MIN($D$1, DATE(Initialisatie!$C$5,12,31))) - MONTH(MAX($D$2, DATE(Initialisatie!$C$5,1,1))) + 1)),
        IFERROR(VALUE($E44),0) * MAX(0, IF(MIN($E$1, DATE(Initialisatie!$C$5,12,31)) &lt; MAX($E$2, DATE(Initialisatie!$C$5,1,1)), 0, MONTH(MIN($E$1, DATE(Initialisatie!$C$5,12,31))) - MONTH(MAX($E$2, DATE(Initialisatie!$C$5,1,1))) + 1))
    ) / 12
)</f>
        <v>2777.5</v>
      </c>
    </row>
    <row r="45" spans="1:8" x14ac:dyDescent="0.45">
      <c r="A45" s="997"/>
      <c r="B45" s="380">
        <v>7</v>
      </c>
      <c r="C45" t="s">
        <v>1730</v>
      </c>
      <c r="D45" t="s">
        <v>1731</v>
      </c>
      <c r="E45" t="s">
        <v>1732</v>
      </c>
      <c r="G45">
        <f>IF(
    OR(
        AND(MAX(0, MIN($C$1, DATE(Initialisatie!$C$5,12,31)) - MAX($C$2, DATE(Initialisatie!$C$5,1,1)) + 1) &gt; 0, IFERROR(VALUE($C45),0)=0),
        AND(MAX(0, MIN($D$1, DATE(Initialisatie!$C$5,12,31)) - MAX($D$2, DATE(Initialisatie!$C$5,1,1)) + 1) &gt; 0, IFERROR(VALUE($D45),0)=0),
        AND(MAX(0, MIN($E$1, DATE(Initialisatie!$C$5,12,31)) - MAX($E$2, DATE(Initialisatie!$C$5,1,1)) + 1) &gt; 0, IFERROR(VALUE($E45),0)=0)
    ),
    0,
    SUM(
        IFERROR(VALUE($C45),0) * MAX(0, MIN($C$1, DATE(Initialisatie!$C$5,12,31)) - MAX($C$2, DATE(Initialisatie!$C$5,1,1)) + 1),
        IFERROR(VALUE($D45),0) * MAX(0, MIN($D$1, DATE(Initialisatie!$C$5,12,31)) - MAX($D$2, DATE(Initialisatie!$C$5,1,1)) + 1),
        IFERROR(VALUE($E45),0) * MAX(0, MIN($E$1, DATE(Initialisatie!$C$5,12,31)) - MAX($E$2, DATE(Initialisatie!$C$5,1,1)) + 1)
    ) / (DATE(Initialisatie!$C$5,12,31) - DATE(Initialisatie!$C$5,1,1) + 1)
)</f>
        <v>2847.8712328767124</v>
      </c>
      <c r="H45">
        <f>IF(
    OR(
        AND(MAX(0, IF(MIN($C$1, DATE(Initialisatie!$C$5,12,31)) &lt; MAX($C$2, DATE(Initialisatie!$C$5,1,1)), 0, MONTH(MIN($C$1, DATE(Initialisatie!$C$5,12,31))) - MONTH(MAX($C$2, DATE(Initialisatie!$C$5,1,1))) + 1)) &lt;= 0, IFERROR(VALUE($C45),0)=0),
        AND(MAX(0, IF(MIN($D$1, DATE(Initialisatie!$C$5,12,31)) &lt; MAX($D$2, DATE(Initialisatie!$C$5,1,1)), 0, MONTH(MIN($D$1, DATE(Initialisatie!$C$5,12,31))) - MONTH(MAX($D$2, DATE(Initialisatie!$C$5,1,1))) + 1)) &lt;= 0, IFERROR(VALUE($D45),0)=0),
        AND(MAX(0, IF(MIN($E$1, DATE(Initialisatie!$C$5,12,31)) &lt; MAX($E$2, DATE(Initialisatie!$C$5,1,1)), 0, MONTH(MIN($E$1, DATE(Initialisatie!$C$5,12,31))) - MONTH(MAX($E$2, DATE(Initialisatie!$C$5,1,1))) + 1)) &lt;= 0, IFERROR(VALUE($E45),0)=0)
    ),
    0,
    SUM(
        IFERROR(VALUE($C45),0) * MAX(0, IF(MIN($C$1, DATE(Initialisatie!$C$5,12,31)) &lt; MAX($C$2, DATE(Initialisatie!$C$5,1,1)), 0, MONTH(MIN($C$1, DATE(Initialisatie!$C$5,12,31))) - MONTH(MAX($C$2, DATE(Initialisatie!$C$5,1,1))) + 1)),
        IFERROR(VALUE($D45),0) * MAX(0, IF(MIN($D$1, DATE(Initialisatie!$C$5,12,31)) &lt; MAX($D$2, DATE(Initialisatie!$C$5,1,1)), 0, MONTH(MIN($D$1, DATE(Initialisatie!$C$5,12,31))) - MONTH(MAX($D$2, DATE(Initialisatie!$C$5,1,1))) + 1)),
        IFERROR(VALUE($E45),0) * MAX(0, IF(MIN($E$1, DATE(Initialisatie!$C$5,12,31)) &lt; MAX($E$2, DATE(Initialisatie!$C$5,1,1)), 0, MONTH(MIN($E$1, DATE(Initialisatie!$C$5,12,31))) - MONTH(MAX($E$2, DATE(Initialisatie!$C$5,1,1))) + 1))
    ) / 12
)</f>
        <v>2847.75</v>
      </c>
    </row>
    <row r="46" spans="1:8" x14ac:dyDescent="0.45">
      <c r="A46" s="997"/>
      <c r="B46" s="380">
        <v>8</v>
      </c>
      <c r="C46" t="s">
        <v>1733</v>
      </c>
      <c r="D46" t="s">
        <v>1734</v>
      </c>
      <c r="E46" t="s">
        <v>1735</v>
      </c>
      <c r="G46">
        <f>IF(
    OR(
        AND(MAX(0, MIN($C$1, DATE(Initialisatie!$C$5,12,31)) - MAX($C$2, DATE(Initialisatie!$C$5,1,1)) + 1) &gt; 0, IFERROR(VALUE($C46),0)=0),
        AND(MAX(0, MIN($D$1, DATE(Initialisatie!$C$5,12,31)) - MAX($D$2, DATE(Initialisatie!$C$5,1,1)) + 1) &gt; 0, IFERROR(VALUE($D46),0)=0),
        AND(MAX(0, MIN($E$1, DATE(Initialisatie!$C$5,12,31)) - MAX($E$2, DATE(Initialisatie!$C$5,1,1)) + 1) &gt; 0, IFERROR(VALUE($E46),0)=0)
    ),
    0,
    SUM(
        IFERROR(VALUE($C46),0) * MAX(0, MIN($C$1, DATE(Initialisatie!$C$5,12,31)) - MAX($C$2, DATE(Initialisatie!$C$5,1,1)) + 1),
        IFERROR(VALUE($D46),0) * MAX(0, MIN($D$1, DATE(Initialisatie!$C$5,12,31)) - MAX($D$2, DATE(Initialisatie!$C$5,1,1)) + 1),
        IFERROR(VALUE($E46),0) * MAX(0, MIN($E$1, DATE(Initialisatie!$C$5,12,31)) - MAX($E$2, DATE(Initialisatie!$C$5,1,1)) + 1)
    ) / (DATE(Initialisatie!$C$5,12,31) - DATE(Initialisatie!$C$5,1,1) + 1)
)</f>
        <v>2943.3753424657534</v>
      </c>
      <c r="H46">
        <f>IF(
    OR(
        AND(MAX(0, IF(MIN($C$1, DATE(Initialisatie!$C$5,12,31)) &lt; MAX($C$2, DATE(Initialisatie!$C$5,1,1)), 0, MONTH(MIN($C$1, DATE(Initialisatie!$C$5,12,31))) - MONTH(MAX($C$2, DATE(Initialisatie!$C$5,1,1))) + 1)) &lt;= 0, IFERROR(VALUE($C46),0)=0),
        AND(MAX(0, IF(MIN($D$1, DATE(Initialisatie!$C$5,12,31)) &lt; MAX($D$2, DATE(Initialisatie!$C$5,1,1)), 0, MONTH(MIN($D$1, DATE(Initialisatie!$C$5,12,31))) - MONTH(MAX($D$2, DATE(Initialisatie!$C$5,1,1))) + 1)) &lt;= 0, IFERROR(VALUE($D46),0)=0),
        AND(MAX(0, IF(MIN($E$1, DATE(Initialisatie!$C$5,12,31)) &lt; MAX($E$2, DATE(Initialisatie!$C$5,1,1)), 0, MONTH(MIN($E$1, DATE(Initialisatie!$C$5,12,31))) - MONTH(MAX($E$2, DATE(Initialisatie!$C$5,1,1))) + 1)) &lt;= 0, IFERROR(VALUE($E46),0)=0)
    ),
    0,
    SUM(
        IFERROR(VALUE($C46),0) * MAX(0, IF(MIN($C$1, DATE(Initialisatie!$C$5,12,31)) &lt; MAX($C$2, DATE(Initialisatie!$C$5,1,1)), 0, MONTH(MIN($C$1, DATE(Initialisatie!$C$5,12,31))) - MONTH(MAX($C$2, DATE(Initialisatie!$C$5,1,1))) + 1)),
        IFERROR(VALUE($D46),0) * MAX(0, IF(MIN($D$1, DATE(Initialisatie!$C$5,12,31)) &lt; MAX($D$2, DATE(Initialisatie!$C$5,1,1)), 0, MONTH(MIN($D$1, DATE(Initialisatie!$C$5,12,31))) - MONTH(MAX($D$2, DATE(Initialisatie!$C$5,1,1))) + 1)),
        IFERROR(VALUE($E46),0) * MAX(0, IF(MIN($E$1, DATE(Initialisatie!$C$5,12,31)) &lt; MAX($E$2, DATE(Initialisatie!$C$5,1,1)), 0, MONTH(MIN($E$1, DATE(Initialisatie!$C$5,12,31))) - MONTH(MAX($E$2, DATE(Initialisatie!$C$5,1,1))) + 1))
    ) / 12
)</f>
        <v>2943.25</v>
      </c>
    </row>
    <row r="47" spans="1:8" x14ac:dyDescent="0.45">
      <c r="A47" s="997"/>
      <c r="B47" s="380">
        <v>9</v>
      </c>
      <c r="C47" t="s">
        <v>1736</v>
      </c>
      <c r="D47" t="s">
        <v>1737</v>
      </c>
      <c r="E47" t="s">
        <v>1738</v>
      </c>
      <c r="G47">
        <f>IF(
    OR(
        AND(MAX(0, MIN($C$1, DATE(Initialisatie!$C$5,12,31)) - MAX($C$2, DATE(Initialisatie!$C$5,1,1)) + 1) &gt; 0, IFERROR(VALUE($C47),0)=0),
        AND(MAX(0, MIN($D$1, DATE(Initialisatie!$C$5,12,31)) - MAX($D$2, DATE(Initialisatie!$C$5,1,1)) + 1) &gt; 0, IFERROR(VALUE($D47),0)=0),
        AND(MAX(0, MIN($E$1, DATE(Initialisatie!$C$5,12,31)) - MAX($E$2, DATE(Initialisatie!$C$5,1,1)) + 1) &gt; 0, IFERROR(VALUE($E47),0)=0)
    ),
    0,
    SUM(
        IFERROR(VALUE($C47),0) * MAX(0, MIN($C$1, DATE(Initialisatie!$C$5,12,31)) - MAX($C$2, DATE(Initialisatie!$C$5,1,1)) + 1),
        IFERROR(VALUE($D47),0) * MAX(0, MIN($D$1, DATE(Initialisatie!$C$5,12,31)) - MAX($D$2, DATE(Initialisatie!$C$5,1,1)) + 1),
        IFERROR(VALUE($E47),0) * MAX(0, MIN($E$1, DATE(Initialisatie!$C$5,12,31)) - MAX($E$2, DATE(Initialisatie!$C$5,1,1)) + 1)
    ) / (DATE(Initialisatie!$C$5,12,31) - DATE(Initialisatie!$C$5,1,1) + 1)
)</f>
        <v>3025.8794520547945</v>
      </c>
      <c r="H47">
        <f>IF(
    OR(
        AND(MAX(0, IF(MIN($C$1, DATE(Initialisatie!$C$5,12,31)) &lt; MAX($C$2, DATE(Initialisatie!$C$5,1,1)), 0, MONTH(MIN($C$1, DATE(Initialisatie!$C$5,12,31))) - MONTH(MAX($C$2, DATE(Initialisatie!$C$5,1,1))) + 1)) &lt;= 0, IFERROR(VALUE($C47),0)=0),
        AND(MAX(0, IF(MIN($D$1, DATE(Initialisatie!$C$5,12,31)) &lt; MAX($D$2, DATE(Initialisatie!$C$5,1,1)), 0, MONTH(MIN($D$1, DATE(Initialisatie!$C$5,12,31))) - MONTH(MAX($D$2, DATE(Initialisatie!$C$5,1,1))) + 1)) &lt;= 0, IFERROR(VALUE($D47),0)=0),
        AND(MAX(0, IF(MIN($E$1, DATE(Initialisatie!$C$5,12,31)) &lt; MAX($E$2, DATE(Initialisatie!$C$5,1,1)), 0, MONTH(MIN($E$1, DATE(Initialisatie!$C$5,12,31))) - MONTH(MAX($E$2, DATE(Initialisatie!$C$5,1,1))) + 1)) &lt;= 0, IFERROR(VALUE($E47),0)=0)
    ),
    0,
    SUM(
        IFERROR(VALUE($C47),0) * MAX(0, IF(MIN($C$1, DATE(Initialisatie!$C$5,12,31)) &lt; MAX($C$2, DATE(Initialisatie!$C$5,1,1)), 0, MONTH(MIN($C$1, DATE(Initialisatie!$C$5,12,31))) - MONTH(MAX($C$2, DATE(Initialisatie!$C$5,1,1))) + 1)),
        IFERROR(VALUE($D47),0) * MAX(0, IF(MIN($D$1, DATE(Initialisatie!$C$5,12,31)) &lt; MAX($D$2, DATE(Initialisatie!$C$5,1,1)), 0, MONTH(MIN($D$1, DATE(Initialisatie!$C$5,12,31))) - MONTH(MAX($D$2, DATE(Initialisatie!$C$5,1,1))) + 1)),
        IFERROR(VALUE($E47),0) * MAX(0, IF(MIN($E$1, DATE(Initialisatie!$C$5,12,31)) &lt; MAX($E$2, DATE(Initialisatie!$C$5,1,1)), 0, MONTH(MIN($E$1, DATE(Initialisatie!$C$5,12,31))) - MONTH(MAX($E$2, DATE(Initialisatie!$C$5,1,1))) + 1))
    ) / 12
)</f>
        <v>3025.75</v>
      </c>
    </row>
    <row r="48" spans="1:8" x14ac:dyDescent="0.45">
      <c r="A48" s="997"/>
      <c r="B48" s="380">
        <v>10</v>
      </c>
      <c r="C48" t="s">
        <v>1739</v>
      </c>
      <c r="D48" t="s">
        <v>1740</v>
      </c>
      <c r="E48" t="s">
        <v>1741</v>
      </c>
      <c r="G48">
        <f>IF(
    OR(
        AND(MAX(0, MIN($C$1, DATE(Initialisatie!$C$5,12,31)) - MAX($C$2, DATE(Initialisatie!$C$5,1,1)) + 1) &gt; 0, IFERROR(VALUE($C48),0)=0),
        AND(MAX(0, MIN($D$1, DATE(Initialisatie!$C$5,12,31)) - MAX($D$2, DATE(Initialisatie!$C$5,1,1)) + 1) &gt; 0, IFERROR(VALUE($D48),0)=0),
        AND(MAX(0, MIN($E$1, DATE(Initialisatie!$C$5,12,31)) - MAX($E$2, DATE(Initialisatie!$C$5,1,1)) + 1) &gt; 0, IFERROR(VALUE($E48),0)=0)
    ),
    0,
    SUM(
        IFERROR(VALUE($C48),0) * MAX(0, MIN($C$1, DATE(Initialisatie!$C$5,12,31)) - MAX($C$2, DATE(Initialisatie!$C$5,1,1)) + 1),
        IFERROR(VALUE($D48),0) * MAX(0, MIN($D$1, DATE(Initialisatie!$C$5,12,31)) - MAX($D$2, DATE(Initialisatie!$C$5,1,1)) + 1),
        IFERROR(VALUE($E48),0) * MAX(0, MIN($E$1, DATE(Initialisatie!$C$5,12,31)) - MAX($E$2, DATE(Initialisatie!$C$5,1,1)) + 1)
    ) / (DATE(Initialisatie!$C$5,12,31) - DATE(Initialisatie!$C$5,1,1) + 1)
)</f>
        <v>3123.3835616438355</v>
      </c>
      <c r="H48">
        <f>IF(
    OR(
        AND(MAX(0, IF(MIN($C$1, DATE(Initialisatie!$C$5,12,31)) &lt; MAX($C$2, DATE(Initialisatie!$C$5,1,1)), 0, MONTH(MIN($C$1, DATE(Initialisatie!$C$5,12,31))) - MONTH(MAX($C$2, DATE(Initialisatie!$C$5,1,1))) + 1)) &lt;= 0, IFERROR(VALUE($C48),0)=0),
        AND(MAX(0, IF(MIN($D$1, DATE(Initialisatie!$C$5,12,31)) &lt; MAX($D$2, DATE(Initialisatie!$C$5,1,1)), 0, MONTH(MIN($D$1, DATE(Initialisatie!$C$5,12,31))) - MONTH(MAX($D$2, DATE(Initialisatie!$C$5,1,1))) + 1)) &lt;= 0, IFERROR(VALUE($D48),0)=0),
        AND(MAX(0, IF(MIN($E$1, DATE(Initialisatie!$C$5,12,31)) &lt; MAX($E$2, DATE(Initialisatie!$C$5,1,1)), 0, MONTH(MIN($E$1, DATE(Initialisatie!$C$5,12,31))) - MONTH(MAX($E$2, DATE(Initialisatie!$C$5,1,1))) + 1)) &lt;= 0, IFERROR(VALUE($E48),0)=0)
    ),
    0,
    SUM(
        IFERROR(VALUE($C48),0) * MAX(0, IF(MIN($C$1, DATE(Initialisatie!$C$5,12,31)) &lt; MAX($C$2, DATE(Initialisatie!$C$5,1,1)), 0, MONTH(MIN($C$1, DATE(Initialisatie!$C$5,12,31))) - MONTH(MAX($C$2, DATE(Initialisatie!$C$5,1,1))) + 1)),
        IFERROR(VALUE($D48),0) * MAX(0, IF(MIN($D$1, DATE(Initialisatie!$C$5,12,31)) &lt; MAX($D$2, DATE(Initialisatie!$C$5,1,1)), 0, MONTH(MIN($D$1, DATE(Initialisatie!$C$5,12,31))) - MONTH(MAX($D$2, DATE(Initialisatie!$C$5,1,1))) + 1)),
        IFERROR(VALUE($E48),0) * MAX(0, IF(MIN($E$1, DATE(Initialisatie!$C$5,12,31)) &lt; MAX($E$2, DATE(Initialisatie!$C$5,1,1)), 0, MONTH(MIN($E$1, DATE(Initialisatie!$C$5,12,31))) - MONTH(MAX($E$2, DATE(Initialisatie!$C$5,1,1))) + 1))
    ) / 12
)</f>
        <v>3123.25</v>
      </c>
    </row>
    <row r="49" spans="1:8" x14ac:dyDescent="0.45">
      <c r="A49" s="997"/>
      <c r="B49" s="380">
        <v>11</v>
      </c>
      <c r="C49" t="s">
        <v>1742</v>
      </c>
      <c r="D49" t="s">
        <v>1743</v>
      </c>
      <c r="E49" t="s">
        <v>1744</v>
      </c>
      <c r="G49">
        <f>IF(
    OR(
        AND(MAX(0, MIN($C$1, DATE(Initialisatie!$C$5,12,31)) - MAX($C$2, DATE(Initialisatie!$C$5,1,1)) + 1) &gt; 0, IFERROR(VALUE($C49),0)=0),
        AND(MAX(0, MIN($D$1, DATE(Initialisatie!$C$5,12,31)) - MAX($D$2, DATE(Initialisatie!$C$5,1,1)) + 1) &gt; 0, IFERROR(VALUE($D49),0)=0),
        AND(MAX(0, MIN($E$1, DATE(Initialisatie!$C$5,12,31)) - MAX($E$2, DATE(Initialisatie!$C$5,1,1)) + 1) &gt; 0, IFERROR(VALUE($E49),0)=0)
    ),
    0,
    SUM(
        IFERROR(VALUE($C49),0) * MAX(0, MIN($C$1, DATE(Initialisatie!$C$5,12,31)) - MAX($C$2, DATE(Initialisatie!$C$5,1,1)) + 1),
        IFERROR(VALUE($D49),0) * MAX(0, MIN($D$1, DATE(Initialisatie!$C$5,12,31)) - MAX($D$2, DATE(Initialisatie!$C$5,1,1)) + 1),
        IFERROR(VALUE($E49),0) * MAX(0, MIN($E$1, DATE(Initialisatie!$C$5,12,31)) - MAX($E$2, DATE(Initialisatie!$C$5,1,1)) + 1)
    ) / (DATE(Initialisatie!$C$5,12,31) - DATE(Initialisatie!$C$5,1,1) + 1)
)</f>
        <v>3210.8876712328765</v>
      </c>
      <c r="H49">
        <f>IF(
    OR(
        AND(MAX(0, IF(MIN($C$1, DATE(Initialisatie!$C$5,12,31)) &lt; MAX($C$2, DATE(Initialisatie!$C$5,1,1)), 0, MONTH(MIN($C$1, DATE(Initialisatie!$C$5,12,31))) - MONTH(MAX($C$2, DATE(Initialisatie!$C$5,1,1))) + 1)) &lt;= 0, IFERROR(VALUE($C49),0)=0),
        AND(MAX(0, IF(MIN($D$1, DATE(Initialisatie!$C$5,12,31)) &lt; MAX($D$2, DATE(Initialisatie!$C$5,1,1)), 0, MONTH(MIN($D$1, DATE(Initialisatie!$C$5,12,31))) - MONTH(MAX($D$2, DATE(Initialisatie!$C$5,1,1))) + 1)) &lt;= 0, IFERROR(VALUE($D49),0)=0),
        AND(MAX(0, IF(MIN($E$1, DATE(Initialisatie!$C$5,12,31)) &lt; MAX($E$2, DATE(Initialisatie!$C$5,1,1)), 0, MONTH(MIN($E$1, DATE(Initialisatie!$C$5,12,31))) - MONTH(MAX($E$2, DATE(Initialisatie!$C$5,1,1))) + 1)) &lt;= 0, IFERROR(VALUE($E49),0)=0)
    ),
    0,
    SUM(
        IFERROR(VALUE($C49),0) * MAX(0, IF(MIN($C$1, DATE(Initialisatie!$C$5,12,31)) &lt; MAX($C$2, DATE(Initialisatie!$C$5,1,1)), 0, MONTH(MIN($C$1, DATE(Initialisatie!$C$5,12,31))) - MONTH(MAX($C$2, DATE(Initialisatie!$C$5,1,1))) + 1)),
        IFERROR(VALUE($D49),0) * MAX(0, IF(MIN($D$1, DATE(Initialisatie!$C$5,12,31)) &lt; MAX($D$2, DATE(Initialisatie!$C$5,1,1)), 0, MONTH(MIN($D$1, DATE(Initialisatie!$C$5,12,31))) - MONTH(MAX($D$2, DATE(Initialisatie!$C$5,1,1))) + 1)),
        IFERROR(VALUE($E49),0) * MAX(0, IF(MIN($E$1, DATE(Initialisatie!$C$5,12,31)) &lt; MAX($E$2, DATE(Initialisatie!$C$5,1,1)), 0, MONTH(MIN($E$1, DATE(Initialisatie!$C$5,12,31))) - MONTH(MAX($E$2, DATE(Initialisatie!$C$5,1,1))) + 1))
    ) / 12
)</f>
        <v>3210.75</v>
      </c>
    </row>
    <row r="50" spans="1:8" x14ac:dyDescent="0.45">
      <c r="A50" s="997"/>
      <c r="B50" s="380">
        <v>12</v>
      </c>
      <c r="C50" t="s">
        <v>1745</v>
      </c>
      <c r="D50" t="s">
        <v>1746</v>
      </c>
      <c r="E50" t="s">
        <v>1747</v>
      </c>
      <c r="G50">
        <f>IF(
    OR(
        AND(MAX(0, MIN($C$1, DATE(Initialisatie!$C$5,12,31)) - MAX($C$2, DATE(Initialisatie!$C$5,1,1)) + 1) &gt; 0, IFERROR(VALUE($C50),0)=0),
        AND(MAX(0, MIN($D$1, DATE(Initialisatie!$C$5,12,31)) - MAX($D$2, DATE(Initialisatie!$C$5,1,1)) + 1) &gt; 0, IFERROR(VALUE($D50),0)=0),
        AND(MAX(0, MIN($E$1, DATE(Initialisatie!$C$5,12,31)) - MAX($E$2, DATE(Initialisatie!$C$5,1,1)) + 1) &gt; 0, IFERROR(VALUE($E50),0)=0)
    ),
    0,
    SUM(
        IFERROR(VALUE($C50),0) * MAX(0, MIN($C$1, DATE(Initialisatie!$C$5,12,31)) - MAX($C$2, DATE(Initialisatie!$C$5,1,1)) + 1),
        IFERROR(VALUE($D50),0) * MAX(0, MIN($D$1, DATE(Initialisatie!$C$5,12,31)) - MAX($D$2, DATE(Initialisatie!$C$5,1,1)) + 1),
        IFERROR(VALUE($E50),0) * MAX(0, MIN($E$1, DATE(Initialisatie!$C$5,12,31)) - MAX($E$2, DATE(Initialisatie!$C$5,1,1)) + 1)
    ) / (DATE(Initialisatie!$C$5,12,31) - DATE(Initialisatie!$C$5,1,1) + 1)
)</f>
        <v>3307.391780821918</v>
      </c>
      <c r="H50">
        <f>IF(
    OR(
        AND(MAX(0, IF(MIN($C$1, DATE(Initialisatie!$C$5,12,31)) &lt; MAX($C$2, DATE(Initialisatie!$C$5,1,1)), 0, MONTH(MIN($C$1, DATE(Initialisatie!$C$5,12,31))) - MONTH(MAX($C$2, DATE(Initialisatie!$C$5,1,1))) + 1)) &lt;= 0, IFERROR(VALUE($C50),0)=0),
        AND(MAX(0, IF(MIN($D$1, DATE(Initialisatie!$C$5,12,31)) &lt; MAX($D$2, DATE(Initialisatie!$C$5,1,1)), 0, MONTH(MIN($D$1, DATE(Initialisatie!$C$5,12,31))) - MONTH(MAX($D$2, DATE(Initialisatie!$C$5,1,1))) + 1)) &lt;= 0, IFERROR(VALUE($D50),0)=0),
        AND(MAX(0, IF(MIN($E$1, DATE(Initialisatie!$C$5,12,31)) &lt; MAX($E$2, DATE(Initialisatie!$C$5,1,1)), 0, MONTH(MIN($E$1, DATE(Initialisatie!$C$5,12,31))) - MONTH(MAX($E$2, DATE(Initialisatie!$C$5,1,1))) + 1)) &lt;= 0, IFERROR(VALUE($E50),0)=0)
    ),
    0,
    SUM(
        IFERROR(VALUE($C50),0) * MAX(0, IF(MIN($C$1, DATE(Initialisatie!$C$5,12,31)) &lt; MAX($C$2, DATE(Initialisatie!$C$5,1,1)), 0, MONTH(MIN($C$1, DATE(Initialisatie!$C$5,12,31))) - MONTH(MAX($C$2, DATE(Initialisatie!$C$5,1,1))) + 1)),
        IFERROR(VALUE($D50),0) * MAX(0, IF(MIN($D$1, DATE(Initialisatie!$C$5,12,31)) &lt; MAX($D$2, DATE(Initialisatie!$C$5,1,1)), 0, MONTH(MIN($D$1, DATE(Initialisatie!$C$5,12,31))) - MONTH(MAX($D$2, DATE(Initialisatie!$C$5,1,1))) + 1)),
        IFERROR(VALUE($E50),0) * MAX(0, IF(MIN($E$1, DATE(Initialisatie!$C$5,12,31)) &lt; MAX($E$2, DATE(Initialisatie!$C$5,1,1)), 0, MONTH(MIN($E$1, DATE(Initialisatie!$C$5,12,31))) - MONTH(MAX($E$2, DATE(Initialisatie!$C$5,1,1))) + 1))
    ) / 12
)</f>
        <v>3307.25</v>
      </c>
    </row>
    <row r="51" spans="1:8" x14ac:dyDescent="0.45">
      <c r="A51" s="997"/>
      <c r="B51" s="380">
        <v>13</v>
      </c>
      <c r="C51" t="s">
        <v>1748</v>
      </c>
      <c r="D51" t="s">
        <v>1749</v>
      </c>
      <c r="E51" t="s">
        <v>1750</v>
      </c>
      <c r="G51">
        <f>IF(
    OR(
        AND(MAX(0, MIN($C$1, DATE(Initialisatie!$C$5,12,31)) - MAX($C$2, DATE(Initialisatie!$C$5,1,1)) + 1) &gt; 0, IFERROR(VALUE($C51),0)=0),
        AND(MAX(0, MIN($D$1, DATE(Initialisatie!$C$5,12,31)) - MAX($D$2, DATE(Initialisatie!$C$5,1,1)) + 1) &gt; 0, IFERROR(VALUE($D51),0)=0),
        AND(MAX(0, MIN($E$1, DATE(Initialisatie!$C$5,12,31)) - MAX($E$2, DATE(Initialisatie!$C$5,1,1)) + 1) &gt; 0, IFERROR(VALUE($E51),0)=0)
    ),
    0,
    SUM(
        IFERROR(VALUE($C51),0) * MAX(0, MIN($C$1, DATE(Initialisatie!$C$5,12,31)) - MAX($C$2, DATE(Initialisatie!$C$5,1,1)) + 1),
        IFERROR(VALUE($D51),0) * MAX(0, MIN($D$1, DATE(Initialisatie!$C$5,12,31)) - MAX($D$2, DATE(Initialisatie!$C$5,1,1)) + 1),
        IFERROR(VALUE($E51),0) * MAX(0, MIN($E$1, DATE(Initialisatie!$C$5,12,31)) - MAX($E$2, DATE(Initialisatie!$C$5,1,1)) + 1)
    ) / (DATE(Initialisatie!$C$5,12,31) - DATE(Initialisatie!$C$5,1,1) + 1)
)</f>
        <v>3390.8958904109591</v>
      </c>
      <c r="H51">
        <f>IF(
    OR(
        AND(MAX(0, IF(MIN($C$1, DATE(Initialisatie!$C$5,12,31)) &lt; MAX($C$2, DATE(Initialisatie!$C$5,1,1)), 0, MONTH(MIN($C$1, DATE(Initialisatie!$C$5,12,31))) - MONTH(MAX($C$2, DATE(Initialisatie!$C$5,1,1))) + 1)) &lt;= 0, IFERROR(VALUE($C51),0)=0),
        AND(MAX(0, IF(MIN($D$1, DATE(Initialisatie!$C$5,12,31)) &lt; MAX($D$2, DATE(Initialisatie!$C$5,1,1)), 0, MONTH(MIN($D$1, DATE(Initialisatie!$C$5,12,31))) - MONTH(MAX($D$2, DATE(Initialisatie!$C$5,1,1))) + 1)) &lt;= 0, IFERROR(VALUE($D51),0)=0),
        AND(MAX(0, IF(MIN($E$1, DATE(Initialisatie!$C$5,12,31)) &lt; MAX($E$2, DATE(Initialisatie!$C$5,1,1)), 0, MONTH(MIN($E$1, DATE(Initialisatie!$C$5,12,31))) - MONTH(MAX($E$2, DATE(Initialisatie!$C$5,1,1))) + 1)) &lt;= 0, IFERROR(VALUE($E51),0)=0)
    ),
    0,
    SUM(
        IFERROR(VALUE($C51),0) * MAX(0, IF(MIN($C$1, DATE(Initialisatie!$C$5,12,31)) &lt; MAX($C$2, DATE(Initialisatie!$C$5,1,1)), 0, MONTH(MIN($C$1, DATE(Initialisatie!$C$5,12,31))) - MONTH(MAX($C$2, DATE(Initialisatie!$C$5,1,1))) + 1)),
        IFERROR(VALUE($D51),0) * MAX(0, IF(MIN($D$1, DATE(Initialisatie!$C$5,12,31)) &lt; MAX($D$2, DATE(Initialisatie!$C$5,1,1)), 0, MONTH(MIN($D$1, DATE(Initialisatie!$C$5,12,31))) - MONTH(MAX($D$2, DATE(Initialisatie!$C$5,1,1))) + 1)),
        IFERROR(VALUE($E51),0) * MAX(0, IF(MIN($E$1, DATE(Initialisatie!$C$5,12,31)) &lt; MAX($E$2, DATE(Initialisatie!$C$5,1,1)), 0, MONTH(MIN($E$1, DATE(Initialisatie!$C$5,12,31))) - MONTH(MAX($E$2, DATE(Initialisatie!$C$5,1,1))) + 1))
    ) / 12
)</f>
        <v>3390.75</v>
      </c>
    </row>
    <row r="52" spans="1:8" x14ac:dyDescent="0.45">
      <c r="A52" s="997"/>
      <c r="B52" s="380">
        <v>14</v>
      </c>
      <c r="C52" t="s">
        <v>891</v>
      </c>
      <c r="D52" t="s">
        <v>891</v>
      </c>
      <c r="E52" t="s">
        <v>891</v>
      </c>
      <c r="G52">
        <f>IF(
    OR(
        AND(MAX(0, MIN($C$1, DATE(Initialisatie!$C$5,12,31)) - MAX($C$2, DATE(Initialisatie!$C$5,1,1)) + 1) &gt; 0, IFERROR(VALUE($C52),0)=0),
        AND(MAX(0, MIN($D$1, DATE(Initialisatie!$C$5,12,31)) - MAX($D$2, DATE(Initialisatie!$C$5,1,1)) + 1) &gt; 0, IFERROR(VALUE($D52),0)=0),
        AND(MAX(0, MIN($E$1, DATE(Initialisatie!$C$5,12,31)) - MAX($E$2, DATE(Initialisatie!$C$5,1,1)) + 1) &gt; 0, IFERROR(VALUE($E52),0)=0)
    ),
    0,
    SUM(
        IFERROR(VALUE($C52),0) * MAX(0, MIN($C$1, DATE(Initialisatie!$C$5,12,31)) - MAX($C$2, DATE(Initialisatie!$C$5,1,1)) + 1),
        IFERROR(VALUE($D52),0) * MAX(0, MIN($D$1, DATE(Initialisatie!$C$5,12,31)) - MAX($D$2, DATE(Initialisatie!$C$5,1,1)) + 1),
        IFERROR(VALUE($E52),0) * MAX(0, MIN($E$1, DATE(Initialisatie!$C$5,12,31)) - MAX($E$2, DATE(Initialisatie!$C$5,1,1)) + 1)
    ) / (DATE(Initialisatie!$C$5,12,31) - DATE(Initialisatie!$C$5,1,1) + 1)
)</f>
        <v>0</v>
      </c>
      <c r="H52">
        <f>IF(
    OR(
        AND(MAX(0, IF(MIN($C$1, DATE(Initialisatie!$C$5,12,31)) &lt; MAX($C$2, DATE(Initialisatie!$C$5,1,1)), 0, MONTH(MIN($C$1, DATE(Initialisatie!$C$5,12,31))) - MONTH(MAX($C$2, DATE(Initialisatie!$C$5,1,1))) + 1)) &lt;= 0, IFERROR(VALUE($C52),0)=0),
        AND(MAX(0, IF(MIN($D$1, DATE(Initialisatie!$C$5,12,31)) &lt; MAX($D$2, DATE(Initialisatie!$C$5,1,1)), 0, MONTH(MIN($D$1, DATE(Initialisatie!$C$5,12,31))) - MONTH(MAX($D$2, DATE(Initialisatie!$C$5,1,1))) + 1)) &lt;= 0, IFERROR(VALUE($D52),0)=0),
        AND(MAX(0, IF(MIN($E$1, DATE(Initialisatie!$C$5,12,31)) &lt; MAX($E$2, DATE(Initialisatie!$C$5,1,1)), 0, MONTH(MIN($E$1, DATE(Initialisatie!$C$5,12,31))) - MONTH(MAX($E$2, DATE(Initialisatie!$C$5,1,1))) + 1)) &lt;= 0, IFERROR(VALUE($E52),0)=0)
    ),
    0,
    SUM(
        IFERROR(VALUE($C52),0) * MAX(0, IF(MIN($C$1, DATE(Initialisatie!$C$5,12,31)) &lt; MAX($C$2, DATE(Initialisatie!$C$5,1,1)), 0, MONTH(MIN($C$1, DATE(Initialisatie!$C$5,12,31))) - MONTH(MAX($C$2, DATE(Initialisatie!$C$5,1,1))) + 1)),
        IFERROR(VALUE($D52),0) * MAX(0, IF(MIN($D$1, DATE(Initialisatie!$C$5,12,31)) &lt; MAX($D$2, DATE(Initialisatie!$C$5,1,1)), 0, MONTH(MIN($D$1, DATE(Initialisatie!$C$5,12,31))) - MONTH(MAX($D$2, DATE(Initialisatie!$C$5,1,1))) + 1)),
        IFERROR(VALUE($E52),0) * MAX(0, IF(MIN($E$1, DATE(Initialisatie!$C$5,12,31)) &lt; MAX($E$2, DATE(Initialisatie!$C$5,1,1)), 0, MONTH(MIN($E$1, DATE(Initialisatie!$C$5,12,31))) - MONTH(MAX($E$2, DATE(Initialisatie!$C$5,1,1))) + 1))
    ) / 12
)</f>
        <v>0</v>
      </c>
    </row>
    <row r="53" spans="1:8" x14ac:dyDescent="0.45">
      <c r="A53" s="997"/>
      <c r="B53" s="380">
        <v>15</v>
      </c>
      <c r="C53" t="s">
        <v>891</v>
      </c>
      <c r="D53" t="s">
        <v>891</v>
      </c>
      <c r="E53" t="s">
        <v>891</v>
      </c>
      <c r="G53">
        <f>IF(
    OR(
        AND(MAX(0, MIN($C$1, DATE(Initialisatie!$C$5,12,31)) - MAX($C$2, DATE(Initialisatie!$C$5,1,1)) + 1) &gt; 0, IFERROR(VALUE($C53),0)=0),
        AND(MAX(0, MIN($D$1, DATE(Initialisatie!$C$5,12,31)) - MAX($D$2, DATE(Initialisatie!$C$5,1,1)) + 1) &gt; 0, IFERROR(VALUE($D53),0)=0),
        AND(MAX(0, MIN($E$1, DATE(Initialisatie!$C$5,12,31)) - MAX($E$2, DATE(Initialisatie!$C$5,1,1)) + 1) &gt; 0, IFERROR(VALUE($E53),0)=0)
    ),
    0,
    SUM(
        IFERROR(VALUE($C53),0) * MAX(0, MIN($C$1, DATE(Initialisatie!$C$5,12,31)) - MAX($C$2, DATE(Initialisatie!$C$5,1,1)) + 1),
        IFERROR(VALUE($D53),0) * MAX(0, MIN($D$1, DATE(Initialisatie!$C$5,12,31)) - MAX($D$2, DATE(Initialisatie!$C$5,1,1)) + 1),
        IFERROR(VALUE($E53),0) * MAX(0, MIN($E$1, DATE(Initialisatie!$C$5,12,31)) - MAX($E$2, DATE(Initialisatie!$C$5,1,1)) + 1)
    ) / (DATE(Initialisatie!$C$5,12,31) - DATE(Initialisatie!$C$5,1,1) + 1)
)</f>
        <v>0</v>
      </c>
      <c r="H53">
        <f>IF(
    OR(
        AND(MAX(0, IF(MIN($C$1, DATE(Initialisatie!$C$5,12,31)) &lt; MAX($C$2, DATE(Initialisatie!$C$5,1,1)), 0, MONTH(MIN($C$1, DATE(Initialisatie!$C$5,12,31))) - MONTH(MAX($C$2, DATE(Initialisatie!$C$5,1,1))) + 1)) &lt;= 0, IFERROR(VALUE($C53),0)=0),
        AND(MAX(0, IF(MIN($D$1, DATE(Initialisatie!$C$5,12,31)) &lt; MAX($D$2, DATE(Initialisatie!$C$5,1,1)), 0, MONTH(MIN($D$1, DATE(Initialisatie!$C$5,12,31))) - MONTH(MAX($D$2, DATE(Initialisatie!$C$5,1,1))) + 1)) &lt;= 0, IFERROR(VALUE($D53),0)=0),
        AND(MAX(0, IF(MIN($E$1, DATE(Initialisatie!$C$5,12,31)) &lt; MAX($E$2, DATE(Initialisatie!$C$5,1,1)), 0, MONTH(MIN($E$1, DATE(Initialisatie!$C$5,12,31))) - MONTH(MAX($E$2, DATE(Initialisatie!$C$5,1,1))) + 1)) &lt;= 0, IFERROR(VALUE($E53),0)=0)
    ),
    0,
    SUM(
        IFERROR(VALUE($C53),0) * MAX(0, IF(MIN($C$1, DATE(Initialisatie!$C$5,12,31)) &lt; MAX($C$2, DATE(Initialisatie!$C$5,1,1)), 0, MONTH(MIN($C$1, DATE(Initialisatie!$C$5,12,31))) - MONTH(MAX($C$2, DATE(Initialisatie!$C$5,1,1))) + 1)),
        IFERROR(VALUE($D53),0) * MAX(0, IF(MIN($D$1, DATE(Initialisatie!$C$5,12,31)) &lt; MAX($D$2, DATE(Initialisatie!$C$5,1,1)), 0, MONTH(MIN($D$1, DATE(Initialisatie!$C$5,12,31))) - MONTH(MAX($D$2, DATE(Initialisatie!$C$5,1,1))) + 1)),
        IFERROR(VALUE($E53),0) * MAX(0, IF(MIN($E$1, DATE(Initialisatie!$C$5,12,31)) &lt; MAX($E$2, DATE(Initialisatie!$C$5,1,1)), 0, MONTH(MIN($E$1, DATE(Initialisatie!$C$5,12,31))) - MONTH(MAX($E$2, DATE(Initialisatie!$C$5,1,1))) + 1))
    ) / 12
)</f>
        <v>0</v>
      </c>
    </row>
    <row r="54" spans="1:8" x14ac:dyDescent="0.45">
      <c r="A54" s="998"/>
      <c r="B54" s="380" t="s">
        <v>517</v>
      </c>
      <c r="C54" t="s">
        <v>1751</v>
      </c>
      <c r="D54" t="s">
        <v>1752</v>
      </c>
      <c r="E54" t="s">
        <v>1753</v>
      </c>
      <c r="G54">
        <f>IF(
    OR(
        AND(MAX(0, MIN($C$1, DATE(Initialisatie!$C$5,12,31)) - MAX($C$2, DATE(Initialisatie!$C$5,1,1)) + 1) &gt; 0, IFERROR(VALUE($C54),0)=0),
        AND(MAX(0, MIN($D$1, DATE(Initialisatie!$C$5,12,31)) - MAX($D$2, DATE(Initialisatie!$C$5,1,1)) + 1) &gt; 0, IFERROR(VALUE($D54),0)=0),
        AND(MAX(0, MIN($E$1, DATE(Initialisatie!$C$5,12,31)) - MAX($E$2, DATE(Initialisatie!$C$5,1,1)) + 1) &gt; 0, IFERROR(VALUE($E54),0)=0)
    ),
    0,
    SUM(
        IFERROR(VALUE($C54),0) * MAX(0, MIN($C$1, DATE(Initialisatie!$C$5,12,31)) - MAX($C$2, DATE(Initialisatie!$C$5,1,1)) + 1),
        IFERROR(VALUE($D54),0) * MAX(0, MIN($D$1, DATE(Initialisatie!$C$5,12,31)) - MAX($D$2, DATE(Initialisatie!$C$5,1,1)) + 1),
        IFERROR(VALUE($E54),0) * MAX(0, MIN($E$1, DATE(Initialisatie!$C$5,12,31)) - MAX($E$2, DATE(Initialisatie!$C$5,1,1)) + 1)
    ) / (DATE(Initialisatie!$C$5,12,31) - DATE(Initialisatie!$C$5,1,1) + 1)
)</f>
        <v>2357.3506849315067</v>
      </c>
      <c r="H54">
        <f>IF(
    OR(
        AND(MAX(0, IF(MIN($C$1, DATE(Initialisatie!$C$5,12,31)) &lt; MAX($C$2, DATE(Initialisatie!$C$5,1,1)), 0, MONTH(MIN($C$1, DATE(Initialisatie!$C$5,12,31))) - MONTH(MAX($C$2, DATE(Initialisatie!$C$5,1,1))) + 1)) &lt;= 0, IFERROR(VALUE($C54),0)=0),
        AND(MAX(0, IF(MIN($D$1, DATE(Initialisatie!$C$5,12,31)) &lt; MAX($D$2, DATE(Initialisatie!$C$5,1,1)), 0, MONTH(MIN($D$1, DATE(Initialisatie!$C$5,12,31))) - MONTH(MAX($D$2, DATE(Initialisatie!$C$5,1,1))) + 1)) &lt;= 0, IFERROR(VALUE($D54),0)=0),
        AND(MAX(0, IF(MIN($E$1, DATE(Initialisatie!$C$5,12,31)) &lt; MAX($E$2, DATE(Initialisatie!$C$5,1,1)), 0, MONTH(MIN($E$1, DATE(Initialisatie!$C$5,12,31))) - MONTH(MAX($E$2, DATE(Initialisatie!$C$5,1,1))) + 1)) &lt;= 0, IFERROR(VALUE($E54),0)=0)
    ),
    0,
    SUM(
        IFERROR(VALUE($C54),0) * MAX(0, IF(MIN($C$1, DATE(Initialisatie!$C$5,12,31)) &lt; MAX($C$2, DATE(Initialisatie!$C$5,1,1)), 0, MONTH(MIN($C$1, DATE(Initialisatie!$C$5,12,31))) - MONTH(MAX($C$2, DATE(Initialisatie!$C$5,1,1))) + 1)),
        IFERROR(VALUE($D54),0) * MAX(0, IF(MIN($D$1, DATE(Initialisatie!$C$5,12,31)) &lt; MAX($D$2, DATE(Initialisatie!$C$5,1,1)), 0, MONTH(MIN($D$1, DATE(Initialisatie!$C$5,12,31))) - MONTH(MAX($D$2, DATE(Initialisatie!$C$5,1,1))) + 1)),
        IFERROR(VALUE($E54),0) * MAX(0, IF(MIN($E$1, DATE(Initialisatie!$C$5,12,31)) &lt; MAX($E$2, DATE(Initialisatie!$C$5,1,1)), 0, MONTH(MIN($E$1, DATE(Initialisatie!$C$5,12,31))) - MONTH(MAX($E$2, DATE(Initialisatie!$C$5,1,1))) + 1))
    ) / 12
)</f>
        <v>2357.25</v>
      </c>
    </row>
    <row r="55" spans="1:8" x14ac:dyDescent="0.45">
      <c r="A55" s="996">
        <v>4</v>
      </c>
      <c r="B55" s="380">
        <v>0</v>
      </c>
      <c r="C55" t="s">
        <v>1718</v>
      </c>
      <c r="D55" t="s">
        <v>1719</v>
      </c>
      <c r="E55" t="s">
        <v>1720</v>
      </c>
      <c r="G55">
        <f>IF(
    OR(
        AND(MAX(0, MIN($C$1, DATE(Initialisatie!$C$5,12,31)) - MAX($C$2, DATE(Initialisatie!$C$5,1,1)) + 1) &gt; 0, IFERROR(VALUE($C55),0)=0),
        AND(MAX(0, MIN($D$1, DATE(Initialisatie!$C$5,12,31)) - MAX($D$2, DATE(Initialisatie!$C$5,1,1)) + 1) &gt; 0, IFERROR(VALUE($D55),0)=0),
        AND(MAX(0, MIN($E$1, DATE(Initialisatie!$C$5,12,31)) - MAX($E$2, DATE(Initialisatie!$C$5,1,1)) + 1) &gt; 0, IFERROR(VALUE($E55),0)=0)
    ),
    0,
    SUM(
        IFERROR(VALUE($C55),0) * MAX(0, MIN($C$1, DATE(Initialisatie!$C$5,12,31)) - MAX($C$2, DATE(Initialisatie!$C$5,1,1)) + 1),
        IFERROR(VALUE($D55),0) * MAX(0, MIN($D$1, DATE(Initialisatie!$C$5,12,31)) - MAX($D$2, DATE(Initialisatie!$C$5,1,1)) + 1),
        IFERROR(VALUE($E55),0) * MAX(0, MIN($E$1, DATE(Initialisatie!$C$5,12,31)) - MAX($E$2, DATE(Initialisatie!$C$5,1,1)) + 1)
    ) / (DATE(Initialisatie!$C$5,12,31) - DATE(Initialisatie!$C$5,1,1) + 1)
)</f>
        <v>2585.6109589041098</v>
      </c>
      <c r="H55">
        <f>IF(
    OR(
        AND(MAX(0, IF(MIN($C$1, DATE(Initialisatie!$C$5,12,31)) &lt; MAX($C$2, DATE(Initialisatie!$C$5,1,1)), 0, MONTH(MIN($C$1, DATE(Initialisatie!$C$5,12,31))) - MONTH(MAX($C$2, DATE(Initialisatie!$C$5,1,1))) + 1)) &lt;= 0, IFERROR(VALUE($C55),0)=0),
        AND(MAX(0, IF(MIN($D$1, DATE(Initialisatie!$C$5,12,31)) &lt; MAX($D$2, DATE(Initialisatie!$C$5,1,1)), 0, MONTH(MIN($D$1, DATE(Initialisatie!$C$5,12,31))) - MONTH(MAX($D$2, DATE(Initialisatie!$C$5,1,1))) + 1)) &lt;= 0, IFERROR(VALUE($D55),0)=0),
        AND(MAX(0, IF(MIN($E$1, DATE(Initialisatie!$C$5,12,31)) &lt; MAX($E$2, DATE(Initialisatie!$C$5,1,1)), 0, MONTH(MIN($E$1, DATE(Initialisatie!$C$5,12,31))) - MONTH(MAX($E$2, DATE(Initialisatie!$C$5,1,1))) + 1)) &lt;= 0, IFERROR(VALUE($E55),0)=0)
    ),
    0,
    SUM(
        IFERROR(VALUE($C55),0) * MAX(0, IF(MIN($C$1, DATE(Initialisatie!$C$5,12,31)) &lt; MAX($C$2, DATE(Initialisatie!$C$5,1,1)), 0, MONTH(MIN($C$1, DATE(Initialisatie!$C$5,12,31))) - MONTH(MAX($C$2, DATE(Initialisatie!$C$5,1,1))) + 1)),
        IFERROR(VALUE($D55),0) * MAX(0, IF(MIN($D$1, DATE(Initialisatie!$C$5,12,31)) &lt; MAX($D$2, DATE(Initialisatie!$C$5,1,1)), 0, MONTH(MIN($D$1, DATE(Initialisatie!$C$5,12,31))) - MONTH(MAX($D$2, DATE(Initialisatie!$C$5,1,1))) + 1)),
        IFERROR(VALUE($E55),0) * MAX(0, IF(MIN($E$1, DATE(Initialisatie!$C$5,12,31)) &lt; MAX($E$2, DATE(Initialisatie!$C$5,1,1)), 0, MONTH(MIN($E$1, DATE(Initialisatie!$C$5,12,31))) - MONTH(MAX($E$2, DATE(Initialisatie!$C$5,1,1))) + 1))
    ) / 12
)</f>
        <v>2585.5</v>
      </c>
    </row>
    <row r="56" spans="1:8" x14ac:dyDescent="0.45">
      <c r="A56" s="997"/>
      <c r="B56" s="380">
        <v>1</v>
      </c>
      <c r="C56" t="s">
        <v>1721</v>
      </c>
      <c r="D56" t="s">
        <v>1722</v>
      </c>
      <c r="E56" t="s">
        <v>1723</v>
      </c>
      <c r="G56">
        <f>IF(
    OR(
        AND(MAX(0, MIN($C$1, DATE(Initialisatie!$C$5,12,31)) - MAX($C$2, DATE(Initialisatie!$C$5,1,1)) + 1) &gt; 0, IFERROR(VALUE($C56),0)=0),
        AND(MAX(0, MIN($D$1, DATE(Initialisatie!$C$5,12,31)) - MAX($D$2, DATE(Initialisatie!$C$5,1,1)) + 1) &gt; 0, IFERROR(VALUE($D56),0)=0),
        AND(MAX(0, MIN($E$1, DATE(Initialisatie!$C$5,12,31)) - MAX($E$2, DATE(Initialisatie!$C$5,1,1)) + 1) &gt; 0, IFERROR(VALUE($E56),0)=0)
    ),
    0,
    SUM(
        IFERROR(VALUE($C56),0) * MAX(0, MIN($C$1, DATE(Initialisatie!$C$5,12,31)) - MAX($C$2, DATE(Initialisatie!$C$5,1,1)) + 1),
        IFERROR(VALUE($D56),0) * MAX(0, MIN($D$1, DATE(Initialisatie!$C$5,12,31)) - MAX($D$2, DATE(Initialisatie!$C$5,1,1)) + 1),
        IFERROR(VALUE($E56),0) * MAX(0, MIN($E$1, DATE(Initialisatie!$C$5,12,31)) - MAX($E$2, DATE(Initialisatie!$C$5,1,1)) + 1)
    ) / (DATE(Initialisatie!$C$5,12,31) - DATE(Initialisatie!$C$5,1,1) + 1)
)</f>
        <v>2648.8630136986303</v>
      </c>
      <c r="H56">
        <f>IF(
    OR(
        AND(MAX(0, IF(MIN($C$1, DATE(Initialisatie!$C$5,12,31)) &lt; MAX($C$2, DATE(Initialisatie!$C$5,1,1)), 0, MONTH(MIN($C$1, DATE(Initialisatie!$C$5,12,31))) - MONTH(MAX($C$2, DATE(Initialisatie!$C$5,1,1))) + 1)) &lt;= 0, IFERROR(VALUE($C56),0)=0),
        AND(MAX(0, IF(MIN($D$1, DATE(Initialisatie!$C$5,12,31)) &lt; MAX($D$2, DATE(Initialisatie!$C$5,1,1)), 0, MONTH(MIN($D$1, DATE(Initialisatie!$C$5,12,31))) - MONTH(MAX($D$2, DATE(Initialisatie!$C$5,1,1))) + 1)) &lt;= 0, IFERROR(VALUE($D56),0)=0),
        AND(MAX(0, IF(MIN($E$1, DATE(Initialisatie!$C$5,12,31)) &lt; MAX($E$2, DATE(Initialisatie!$C$5,1,1)), 0, MONTH(MIN($E$1, DATE(Initialisatie!$C$5,12,31))) - MONTH(MAX($E$2, DATE(Initialisatie!$C$5,1,1))) + 1)) &lt;= 0, IFERROR(VALUE($E56),0)=0)
    ),
    0,
    SUM(
        IFERROR(VALUE($C56),0) * MAX(0, IF(MIN($C$1, DATE(Initialisatie!$C$5,12,31)) &lt; MAX($C$2, DATE(Initialisatie!$C$5,1,1)), 0, MONTH(MIN($C$1, DATE(Initialisatie!$C$5,12,31))) - MONTH(MAX($C$2, DATE(Initialisatie!$C$5,1,1))) + 1)),
        IFERROR(VALUE($D56),0) * MAX(0, IF(MIN($D$1, DATE(Initialisatie!$C$5,12,31)) &lt; MAX($D$2, DATE(Initialisatie!$C$5,1,1)), 0, MONTH(MIN($D$1, DATE(Initialisatie!$C$5,12,31))) - MONTH(MAX($D$2, DATE(Initialisatie!$C$5,1,1))) + 1)),
        IFERROR(VALUE($E56),0) * MAX(0, IF(MIN($E$1, DATE(Initialisatie!$C$5,12,31)) &lt; MAX($E$2, DATE(Initialisatie!$C$5,1,1)), 0, MONTH(MIN($E$1, DATE(Initialisatie!$C$5,12,31))) - MONTH(MAX($E$2, DATE(Initialisatie!$C$5,1,1))) + 1))
    ) / 12
)</f>
        <v>2648.75</v>
      </c>
    </row>
    <row r="57" spans="1:8" x14ac:dyDescent="0.45">
      <c r="A57" s="997"/>
      <c r="B57" s="380">
        <v>2</v>
      </c>
      <c r="C57" t="s">
        <v>1724</v>
      </c>
      <c r="D57" t="s">
        <v>1725</v>
      </c>
      <c r="E57" t="s">
        <v>1726</v>
      </c>
      <c r="G57">
        <f>IF(
    OR(
        AND(MAX(0, MIN($C$1, DATE(Initialisatie!$C$5,12,31)) - MAX($C$2, DATE(Initialisatie!$C$5,1,1)) + 1) &gt; 0, IFERROR(VALUE($C57),0)=0),
        AND(MAX(0, MIN($D$1, DATE(Initialisatie!$C$5,12,31)) - MAX($D$2, DATE(Initialisatie!$C$5,1,1)) + 1) &gt; 0, IFERROR(VALUE($D57),0)=0),
        AND(MAX(0, MIN($E$1, DATE(Initialisatie!$C$5,12,31)) - MAX($E$2, DATE(Initialisatie!$C$5,1,1)) + 1) &gt; 0, IFERROR(VALUE($E57),0)=0)
    ),
    0,
    SUM(
        IFERROR(VALUE($C57),0) * MAX(0, MIN($C$1, DATE(Initialisatie!$C$5,12,31)) - MAX($C$2, DATE(Initialisatie!$C$5,1,1)) + 1),
        IFERROR(VALUE($D57),0) * MAX(0, MIN($D$1, DATE(Initialisatie!$C$5,12,31)) - MAX($D$2, DATE(Initialisatie!$C$5,1,1)) + 1),
        IFERROR(VALUE($E57),0) * MAX(0, MIN($E$1, DATE(Initialisatie!$C$5,12,31)) - MAX($E$2, DATE(Initialisatie!$C$5,1,1)) + 1)
    ) / (DATE(Initialisatie!$C$5,12,31) - DATE(Initialisatie!$C$5,1,1) + 1)
)</f>
        <v>2715.3671232876713</v>
      </c>
      <c r="H57">
        <f>IF(
    OR(
        AND(MAX(0, IF(MIN($C$1, DATE(Initialisatie!$C$5,12,31)) &lt; MAX($C$2, DATE(Initialisatie!$C$5,1,1)), 0, MONTH(MIN($C$1, DATE(Initialisatie!$C$5,12,31))) - MONTH(MAX($C$2, DATE(Initialisatie!$C$5,1,1))) + 1)) &lt;= 0, IFERROR(VALUE($C57),0)=0),
        AND(MAX(0, IF(MIN($D$1, DATE(Initialisatie!$C$5,12,31)) &lt; MAX($D$2, DATE(Initialisatie!$C$5,1,1)), 0, MONTH(MIN($D$1, DATE(Initialisatie!$C$5,12,31))) - MONTH(MAX($D$2, DATE(Initialisatie!$C$5,1,1))) + 1)) &lt;= 0, IFERROR(VALUE($D57),0)=0),
        AND(MAX(0, IF(MIN($E$1, DATE(Initialisatie!$C$5,12,31)) &lt; MAX($E$2, DATE(Initialisatie!$C$5,1,1)), 0, MONTH(MIN($E$1, DATE(Initialisatie!$C$5,12,31))) - MONTH(MAX($E$2, DATE(Initialisatie!$C$5,1,1))) + 1)) &lt;= 0, IFERROR(VALUE($E57),0)=0)
    ),
    0,
    SUM(
        IFERROR(VALUE($C57),0) * MAX(0, IF(MIN($C$1, DATE(Initialisatie!$C$5,12,31)) &lt; MAX($C$2, DATE(Initialisatie!$C$5,1,1)), 0, MONTH(MIN($C$1, DATE(Initialisatie!$C$5,12,31))) - MONTH(MAX($C$2, DATE(Initialisatie!$C$5,1,1))) + 1)),
        IFERROR(VALUE($D57),0) * MAX(0, IF(MIN($D$1, DATE(Initialisatie!$C$5,12,31)) &lt; MAX($D$2, DATE(Initialisatie!$C$5,1,1)), 0, MONTH(MIN($D$1, DATE(Initialisatie!$C$5,12,31))) - MONTH(MAX($D$2, DATE(Initialisatie!$C$5,1,1))) + 1)),
        IFERROR(VALUE($E57),0) * MAX(0, IF(MIN($E$1, DATE(Initialisatie!$C$5,12,31)) &lt; MAX($E$2, DATE(Initialisatie!$C$5,1,1)), 0, MONTH(MIN($E$1, DATE(Initialisatie!$C$5,12,31))) - MONTH(MAX($E$2, DATE(Initialisatie!$C$5,1,1))) + 1))
    ) / 12
)</f>
        <v>2715.25</v>
      </c>
    </row>
    <row r="58" spans="1:8" x14ac:dyDescent="0.45">
      <c r="A58" s="997"/>
      <c r="B58" s="380">
        <v>3</v>
      </c>
      <c r="C58" t="s">
        <v>1727</v>
      </c>
      <c r="D58" t="s">
        <v>1728</v>
      </c>
      <c r="E58" t="s">
        <v>1729</v>
      </c>
      <c r="G58">
        <f>IF(
    OR(
        AND(MAX(0, MIN($C$1, DATE(Initialisatie!$C$5,12,31)) - MAX($C$2, DATE(Initialisatie!$C$5,1,1)) + 1) &gt; 0, IFERROR(VALUE($C58),0)=0),
        AND(MAX(0, MIN($D$1, DATE(Initialisatie!$C$5,12,31)) - MAX($D$2, DATE(Initialisatie!$C$5,1,1)) + 1) &gt; 0, IFERROR(VALUE($D58),0)=0),
        AND(MAX(0, MIN($E$1, DATE(Initialisatie!$C$5,12,31)) - MAX($E$2, DATE(Initialisatie!$C$5,1,1)) + 1) &gt; 0, IFERROR(VALUE($E58),0)=0)
    ),
    0,
    SUM(
        IFERROR(VALUE($C58),0) * MAX(0, MIN($C$1, DATE(Initialisatie!$C$5,12,31)) - MAX($C$2, DATE(Initialisatie!$C$5,1,1)) + 1),
        IFERROR(VALUE($D58),0) * MAX(0, MIN($D$1, DATE(Initialisatie!$C$5,12,31)) - MAX($D$2, DATE(Initialisatie!$C$5,1,1)) + 1),
        IFERROR(VALUE($E58),0) * MAX(0, MIN($E$1, DATE(Initialisatie!$C$5,12,31)) - MAX($E$2, DATE(Initialisatie!$C$5,1,1)) + 1)
    ) / (DATE(Initialisatie!$C$5,12,31) - DATE(Initialisatie!$C$5,1,1) + 1)
)</f>
        <v>2777.6191780821919</v>
      </c>
      <c r="H58">
        <f>IF(
    OR(
        AND(MAX(0, IF(MIN($C$1, DATE(Initialisatie!$C$5,12,31)) &lt; MAX($C$2, DATE(Initialisatie!$C$5,1,1)), 0, MONTH(MIN($C$1, DATE(Initialisatie!$C$5,12,31))) - MONTH(MAX($C$2, DATE(Initialisatie!$C$5,1,1))) + 1)) &lt;= 0, IFERROR(VALUE($C58),0)=0),
        AND(MAX(0, IF(MIN($D$1, DATE(Initialisatie!$C$5,12,31)) &lt; MAX($D$2, DATE(Initialisatie!$C$5,1,1)), 0, MONTH(MIN($D$1, DATE(Initialisatie!$C$5,12,31))) - MONTH(MAX($D$2, DATE(Initialisatie!$C$5,1,1))) + 1)) &lt;= 0, IFERROR(VALUE($D58),0)=0),
        AND(MAX(0, IF(MIN($E$1, DATE(Initialisatie!$C$5,12,31)) &lt; MAX($E$2, DATE(Initialisatie!$C$5,1,1)), 0, MONTH(MIN($E$1, DATE(Initialisatie!$C$5,12,31))) - MONTH(MAX($E$2, DATE(Initialisatie!$C$5,1,1))) + 1)) &lt;= 0, IFERROR(VALUE($E58),0)=0)
    ),
    0,
    SUM(
        IFERROR(VALUE($C58),0) * MAX(0, IF(MIN($C$1, DATE(Initialisatie!$C$5,12,31)) &lt; MAX($C$2, DATE(Initialisatie!$C$5,1,1)), 0, MONTH(MIN($C$1, DATE(Initialisatie!$C$5,12,31))) - MONTH(MAX($C$2, DATE(Initialisatie!$C$5,1,1))) + 1)),
        IFERROR(VALUE($D58),0) * MAX(0, IF(MIN($D$1, DATE(Initialisatie!$C$5,12,31)) &lt; MAX($D$2, DATE(Initialisatie!$C$5,1,1)), 0, MONTH(MIN($D$1, DATE(Initialisatie!$C$5,12,31))) - MONTH(MAX($D$2, DATE(Initialisatie!$C$5,1,1))) + 1)),
        IFERROR(VALUE($E58),0) * MAX(0, IF(MIN($E$1, DATE(Initialisatie!$C$5,12,31)) &lt; MAX($E$2, DATE(Initialisatie!$C$5,1,1)), 0, MONTH(MIN($E$1, DATE(Initialisatie!$C$5,12,31))) - MONTH(MAX($E$2, DATE(Initialisatie!$C$5,1,1))) + 1))
    ) / 12
)</f>
        <v>2777.5</v>
      </c>
    </row>
    <row r="59" spans="1:8" x14ac:dyDescent="0.45">
      <c r="A59" s="997"/>
      <c r="B59" s="380">
        <v>4</v>
      </c>
      <c r="C59" t="s">
        <v>1730</v>
      </c>
      <c r="D59" t="s">
        <v>1731</v>
      </c>
      <c r="E59" t="s">
        <v>1732</v>
      </c>
      <c r="G59">
        <f>IF(
    OR(
        AND(MAX(0, MIN($C$1, DATE(Initialisatie!$C$5,12,31)) - MAX($C$2, DATE(Initialisatie!$C$5,1,1)) + 1) &gt; 0, IFERROR(VALUE($C59),0)=0),
        AND(MAX(0, MIN($D$1, DATE(Initialisatie!$C$5,12,31)) - MAX($D$2, DATE(Initialisatie!$C$5,1,1)) + 1) &gt; 0, IFERROR(VALUE($D59),0)=0),
        AND(MAX(0, MIN($E$1, DATE(Initialisatie!$C$5,12,31)) - MAX($E$2, DATE(Initialisatie!$C$5,1,1)) + 1) &gt; 0, IFERROR(VALUE($E59),0)=0)
    ),
    0,
    SUM(
        IFERROR(VALUE($C59),0) * MAX(0, MIN($C$1, DATE(Initialisatie!$C$5,12,31)) - MAX($C$2, DATE(Initialisatie!$C$5,1,1)) + 1),
        IFERROR(VALUE($D59),0) * MAX(0, MIN($D$1, DATE(Initialisatie!$C$5,12,31)) - MAX($D$2, DATE(Initialisatie!$C$5,1,1)) + 1),
        IFERROR(VALUE($E59),0) * MAX(0, MIN($E$1, DATE(Initialisatie!$C$5,12,31)) - MAX($E$2, DATE(Initialisatie!$C$5,1,1)) + 1)
    ) / (DATE(Initialisatie!$C$5,12,31) - DATE(Initialisatie!$C$5,1,1) + 1)
)</f>
        <v>2847.8712328767124</v>
      </c>
      <c r="H59">
        <f>IF(
    OR(
        AND(MAX(0, IF(MIN($C$1, DATE(Initialisatie!$C$5,12,31)) &lt; MAX($C$2, DATE(Initialisatie!$C$5,1,1)), 0, MONTH(MIN($C$1, DATE(Initialisatie!$C$5,12,31))) - MONTH(MAX($C$2, DATE(Initialisatie!$C$5,1,1))) + 1)) &lt;= 0, IFERROR(VALUE($C59),0)=0),
        AND(MAX(0, IF(MIN($D$1, DATE(Initialisatie!$C$5,12,31)) &lt; MAX($D$2, DATE(Initialisatie!$C$5,1,1)), 0, MONTH(MIN($D$1, DATE(Initialisatie!$C$5,12,31))) - MONTH(MAX($D$2, DATE(Initialisatie!$C$5,1,1))) + 1)) &lt;= 0, IFERROR(VALUE($D59),0)=0),
        AND(MAX(0, IF(MIN($E$1, DATE(Initialisatie!$C$5,12,31)) &lt; MAX($E$2, DATE(Initialisatie!$C$5,1,1)), 0, MONTH(MIN($E$1, DATE(Initialisatie!$C$5,12,31))) - MONTH(MAX($E$2, DATE(Initialisatie!$C$5,1,1))) + 1)) &lt;= 0, IFERROR(VALUE($E59),0)=0)
    ),
    0,
    SUM(
        IFERROR(VALUE($C59),0) * MAX(0, IF(MIN($C$1, DATE(Initialisatie!$C$5,12,31)) &lt; MAX($C$2, DATE(Initialisatie!$C$5,1,1)), 0, MONTH(MIN($C$1, DATE(Initialisatie!$C$5,12,31))) - MONTH(MAX($C$2, DATE(Initialisatie!$C$5,1,1))) + 1)),
        IFERROR(VALUE($D59),0) * MAX(0, IF(MIN($D$1, DATE(Initialisatie!$C$5,12,31)) &lt; MAX($D$2, DATE(Initialisatie!$C$5,1,1)), 0, MONTH(MIN($D$1, DATE(Initialisatie!$C$5,12,31))) - MONTH(MAX($D$2, DATE(Initialisatie!$C$5,1,1))) + 1)),
        IFERROR(VALUE($E59),0) * MAX(0, IF(MIN($E$1, DATE(Initialisatie!$C$5,12,31)) &lt; MAX($E$2, DATE(Initialisatie!$C$5,1,1)), 0, MONTH(MIN($E$1, DATE(Initialisatie!$C$5,12,31))) - MONTH(MAX($E$2, DATE(Initialisatie!$C$5,1,1))) + 1))
    ) / 12
)</f>
        <v>2847.75</v>
      </c>
    </row>
    <row r="60" spans="1:8" x14ac:dyDescent="0.45">
      <c r="A60" s="997"/>
      <c r="B60" s="380">
        <v>5</v>
      </c>
      <c r="C60" t="s">
        <v>1733</v>
      </c>
      <c r="D60" t="s">
        <v>1734</v>
      </c>
      <c r="E60" t="s">
        <v>1735</v>
      </c>
      <c r="G60">
        <f>IF(
    OR(
        AND(MAX(0, MIN($C$1, DATE(Initialisatie!$C$5,12,31)) - MAX($C$2, DATE(Initialisatie!$C$5,1,1)) + 1) &gt; 0, IFERROR(VALUE($C60),0)=0),
        AND(MAX(0, MIN($D$1, DATE(Initialisatie!$C$5,12,31)) - MAX($D$2, DATE(Initialisatie!$C$5,1,1)) + 1) &gt; 0, IFERROR(VALUE($D60),0)=0),
        AND(MAX(0, MIN($E$1, DATE(Initialisatie!$C$5,12,31)) - MAX($E$2, DATE(Initialisatie!$C$5,1,1)) + 1) &gt; 0, IFERROR(VALUE($E60),0)=0)
    ),
    0,
    SUM(
        IFERROR(VALUE($C60),0) * MAX(0, MIN($C$1, DATE(Initialisatie!$C$5,12,31)) - MAX($C$2, DATE(Initialisatie!$C$5,1,1)) + 1),
        IFERROR(VALUE($D60),0) * MAX(0, MIN($D$1, DATE(Initialisatie!$C$5,12,31)) - MAX($D$2, DATE(Initialisatie!$C$5,1,1)) + 1),
        IFERROR(VALUE($E60),0) * MAX(0, MIN($E$1, DATE(Initialisatie!$C$5,12,31)) - MAX($E$2, DATE(Initialisatie!$C$5,1,1)) + 1)
    ) / (DATE(Initialisatie!$C$5,12,31) - DATE(Initialisatie!$C$5,1,1) + 1)
)</f>
        <v>2943.3753424657534</v>
      </c>
      <c r="H60">
        <f>IF(
    OR(
        AND(MAX(0, IF(MIN($C$1, DATE(Initialisatie!$C$5,12,31)) &lt; MAX($C$2, DATE(Initialisatie!$C$5,1,1)), 0, MONTH(MIN($C$1, DATE(Initialisatie!$C$5,12,31))) - MONTH(MAX($C$2, DATE(Initialisatie!$C$5,1,1))) + 1)) &lt;= 0, IFERROR(VALUE($C60),0)=0),
        AND(MAX(0, IF(MIN($D$1, DATE(Initialisatie!$C$5,12,31)) &lt; MAX($D$2, DATE(Initialisatie!$C$5,1,1)), 0, MONTH(MIN($D$1, DATE(Initialisatie!$C$5,12,31))) - MONTH(MAX($D$2, DATE(Initialisatie!$C$5,1,1))) + 1)) &lt;= 0, IFERROR(VALUE($D60),0)=0),
        AND(MAX(0, IF(MIN($E$1, DATE(Initialisatie!$C$5,12,31)) &lt; MAX($E$2, DATE(Initialisatie!$C$5,1,1)), 0, MONTH(MIN($E$1, DATE(Initialisatie!$C$5,12,31))) - MONTH(MAX($E$2, DATE(Initialisatie!$C$5,1,1))) + 1)) &lt;= 0, IFERROR(VALUE($E60),0)=0)
    ),
    0,
    SUM(
        IFERROR(VALUE($C60),0) * MAX(0, IF(MIN($C$1, DATE(Initialisatie!$C$5,12,31)) &lt; MAX($C$2, DATE(Initialisatie!$C$5,1,1)), 0, MONTH(MIN($C$1, DATE(Initialisatie!$C$5,12,31))) - MONTH(MAX($C$2, DATE(Initialisatie!$C$5,1,1))) + 1)),
        IFERROR(VALUE($D60),0) * MAX(0, IF(MIN($D$1, DATE(Initialisatie!$C$5,12,31)) &lt; MAX($D$2, DATE(Initialisatie!$C$5,1,1)), 0, MONTH(MIN($D$1, DATE(Initialisatie!$C$5,12,31))) - MONTH(MAX($D$2, DATE(Initialisatie!$C$5,1,1))) + 1)),
        IFERROR(VALUE($E60),0) * MAX(0, IF(MIN($E$1, DATE(Initialisatie!$C$5,12,31)) &lt; MAX($E$2, DATE(Initialisatie!$C$5,1,1)), 0, MONTH(MIN($E$1, DATE(Initialisatie!$C$5,12,31))) - MONTH(MAX($E$2, DATE(Initialisatie!$C$5,1,1))) + 1))
    ) / 12
)</f>
        <v>2943.25</v>
      </c>
    </row>
    <row r="61" spans="1:8" x14ac:dyDescent="0.45">
      <c r="A61" s="997"/>
      <c r="B61" s="380">
        <v>6</v>
      </c>
      <c r="C61" t="s">
        <v>1736</v>
      </c>
      <c r="D61" t="s">
        <v>1737</v>
      </c>
      <c r="E61" t="s">
        <v>1738</v>
      </c>
      <c r="G61">
        <f>IF(
    OR(
        AND(MAX(0, MIN($C$1, DATE(Initialisatie!$C$5,12,31)) - MAX($C$2, DATE(Initialisatie!$C$5,1,1)) + 1) &gt; 0, IFERROR(VALUE($C61),0)=0),
        AND(MAX(0, MIN($D$1, DATE(Initialisatie!$C$5,12,31)) - MAX($D$2, DATE(Initialisatie!$C$5,1,1)) + 1) &gt; 0, IFERROR(VALUE($D61),0)=0),
        AND(MAX(0, MIN($E$1, DATE(Initialisatie!$C$5,12,31)) - MAX($E$2, DATE(Initialisatie!$C$5,1,1)) + 1) &gt; 0, IFERROR(VALUE($E61),0)=0)
    ),
    0,
    SUM(
        IFERROR(VALUE($C61),0) * MAX(0, MIN($C$1, DATE(Initialisatie!$C$5,12,31)) - MAX($C$2, DATE(Initialisatie!$C$5,1,1)) + 1),
        IFERROR(VALUE($D61),0) * MAX(0, MIN($D$1, DATE(Initialisatie!$C$5,12,31)) - MAX($D$2, DATE(Initialisatie!$C$5,1,1)) + 1),
        IFERROR(VALUE($E61),0) * MAX(0, MIN($E$1, DATE(Initialisatie!$C$5,12,31)) - MAX($E$2, DATE(Initialisatie!$C$5,1,1)) + 1)
    ) / (DATE(Initialisatie!$C$5,12,31) - DATE(Initialisatie!$C$5,1,1) + 1)
)</f>
        <v>3025.8794520547945</v>
      </c>
      <c r="H61">
        <f>IF(
    OR(
        AND(MAX(0, IF(MIN($C$1, DATE(Initialisatie!$C$5,12,31)) &lt; MAX($C$2, DATE(Initialisatie!$C$5,1,1)), 0, MONTH(MIN($C$1, DATE(Initialisatie!$C$5,12,31))) - MONTH(MAX($C$2, DATE(Initialisatie!$C$5,1,1))) + 1)) &lt;= 0, IFERROR(VALUE($C61),0)=0),
        AND(MAX(0, IF(MIN($D$1, DATE(Initialisatie!$C$5,12,31)) &lt; MAX($D$2, DATE(Initialisatie!$C$5,1,1)), 0, MONTH(MIN($D$1, DATE(Initialisatie!$C$5,12,31))) - MONTH(MAX($D$2, DATE(Initialisatie!$C$5,1,1))) + 1)) &lt;= 0, IFERROR(VALUE($D61),0)=0),
        AND(MAX(0, IF(MIN($E$1, DATE(Initialisatie!$C$5,12,31)) &lt; MAX($E$2, DATE(Initialisatie!$C$5,1,1)), 0, MONTH(MIN($E$1, DATE(Initialisatie!$C$5,12,31))) - MONTH(MAX($E$2, DATE(Initialisatie!$C$5,1,1))) + 1)) &lt;= 0, IFERROR(VALUE($E61),0)=0)
    ),
    0,
    SUM(
        IFERROR(VALUE($C61),0) * MAX(0, IF(MIN($C$1, DATE(Initialisatie!$C$5,12,31)) &lt; MAX($C$2, DATE(Initialisatie!$C$5,1,1)), 0, MONTH(MIN($C$1, DATE(Initialisatie!$C$5,12,31))) - MONTH(MAX($C$2, DATE(Initialisatie!$C$5,1,1))) + 1)),
        IFERROR(VALUE($D61),0) * MAX(0, IF(MIN($D$1, DATE(Initialisatie!$C$5,12,31)) &lt; MAX($D$2, DATE(Initialisatie!$C$5,1,1)), 0, MONTH(MIN($D$1, DATE(Initialisatie!$C$5,12,31))) - MONTH(MAX($D$2, DATE(Initialisatie!$C$5,1,1))) + 1)),
        IFERROR(VALUE($E61),0) * MAX(0, IF(MIN($E$1, DATE(Initialisatie!$C$5,12,31)) &lt; MAX($E$2, DATE(Initialisatie!$C$5,1,1)), 0, MONTH(MIN($E$1, DATE(Initialisatie!$C$5,12,31))) - MONTH(MAX($E$2, DATE(Initialisatie!$C$5,1,1))) + 1))
    ) / 12
)</f>
        <v>3025.75</v>
      </c>
    </row>
    <row r="62" spans="1:8" x14ac:dyDescent="0.45">
      <c r="A62" s="997"/>
      <c r="B62" s="380">
        <v>7</v>
      </c>
      <c r="C62" t="s">
        <v>1739</v>
      </c>
      <c r="D62" t="s">
        <v>1740</v>
      </c>
      <c r="E62" t="s">
        <v>1741</v>
      </c>
      <c r="G62">
        <f>IF(
    OR(
        AND(MAX(0, MIN($C$1, DATE(Initialisatie!$C$5,12,31)) - MAX($C$2, DATE(Initialisatie!$C$5,1,1)) + 1) &gt; 0, IFERROR(VALUE($C62),0)=0),
        AND(MAX(0, MIN($D$1, DATE(Initialisatie!$C$5,12,31)) - MAX($D$2, DATE(Initialisatie!$C$5,1,1)) + 1) &gt; 0, IFERROR(VALUE($D62),0)=0),
        AND(MAX(0, MIN($E$1, DATE(Initialisatie!$C$5,12,31)) - MAX($E$2, DATE(Initialisatie!$C$5,1,1)) + 1) &gt; 0, IFERROR(VALUE($E62),0)=0)
    ),
    0,
    SUM(
        IFERROR(VALUE($C62),0) * MAX(0, MIN($C$1, DATE(Initialisatie!$C$5,12,31)) - MAX($C$2, DATE(Initialisatie!$C$5,1,1)) + 1),
        IFERROR(VALUE($D62),0) * MAX(0, MIN($D$1, DATE(Initialisatie!$C$5,12,31)) - MAX($D$2, DATE(Initialisatie!$C$5,1,1)) + 1),
        IFERROR(VALUE($E62),0) * MAX(0, MIN($E$1, DATE(Initialisatie!$C$5,12,31)) - MAX($E$2, DATE(Initialisatie!$C$5,1,1)) + 1)
    ) / (DATE(Initialisatie!$C$5,12,31) - DATE(Initialisatie!$C$5,1,1) + 1)
)</f>
        <v>3123.3835616438355</v>
      </c>
      <c r="H62">
        <f>IF(
    OR(
        AND(MAX(0, IF(MIN($C$1, DATE(Initialisatie!$C$5,12,31)) &lt; MAX($C$2, DATE(Initialisatie!$C$5,1,1)), 0, MONTH(MIN($C$1, DATE(Initialisatie!$C$5,12,31))) - MONTH(MAX($C$2, DATE(Initialisatie!$C$5,1,1))) + 1)) &lt;= 0, IFERROR(VALUE($C62),0)=0),
        AND(MAX(0, IF(MIN($D$1, DATE(Initialisatie!$C$5,12,31)) &lt; MAX($D$2, DATE(Initialisatie!$C$5,1,1)), 0, MONTH(MIN($D$1, DATE(Initialisatie!$C$5,12,31))) - MONTH(MAX($D$2, DATE(Initialisatie!$C$5,1,1))) + 1)) &lt;= 0, IFERROR(VALUE($D62),0)=0),
        AND(MAX(0, IF(MIN($E$1, DATE(Initialisatie!$C$5,12,31)) &lt; MAX($E$2, DATE(Initialisatie!$C$5,1,1)), 0, MONTH(MIN($E$1, DATE(Initialisatie!$C$5,12,31))) - MONTH(MAX($E$2, DATE(Initialisatie!$C$5,1,1))) + 1)) &lt;= 0, IFERROR(VALUE($E62),0)=0)
    ),
    0,
    SUM(
        IFERROR(VALUE($C62),0) * MAX(0, IF(MIN($C$1, DATE(Initialisatie!$C$5,12,31)) &lt; MAX($C$2, DATE(Initialisatie!$C$5,1,1)), 0, MONTH(MIN($C$1, DATE(Initialisatie!$C$5,12,31))) - MONTH(MAX($C$2, DATE(Initialisatie!$C$5,1,1))) + 1)),
        IFERROR(VALUE($D62),0) * MAX(0, IF(MIN($D$1, DATE(Initialisatie!$C$5,12,31)) &lt; MAX($D$2, DATE(Initialisatie!$C$5,1,1)), 0, MONTH(MIN($D$1, DATE(Initialisatie!$C$5,12,31))) - MONTH(MAX($D$2, DATE(Initialisatie!$C$5,1,1))) + 1)),
        IFERROR(VALUE($E62),0) * MAX(0, IF(MIN($E$1, DATE(Initialisatie!$C$5,12,31)) &lt; MAX($E$2, DATE(Initialisatie!$C$5,1,1)), 0, MONTH(MIN($E$1, DATE(Initialisatie!$C$5,12,31))) - MONTH(MAX($E$2, DATE(Initialisatie!$C$5,1,1))) + 1))
    ) / 12
)</f>
        <v>3123.25</v>
      </c>
    </row>
    <row r="63" spans="1:8" x14ac:dyDescent="0.45">
      <c r="A63" s="997"/>
      <c r="B63" s="380">
        <v>8</v>
      </c>
      <c r="C63" t="s">
        <v>1742</v>
      </c>
      <c r="D63" t="s">
        <v>1743</v>
      </c>
      <c r="E63" t="s">
        <v>1744</v>
      </c>
      <c r="G63">
        <f>IF(
    OR(
        AND(MAX(0, MIN($C$1, DATE(Initialisatie!$C$5,12,31)) - MAX($C$2, DATE(Initialisatie!$C$5,1,1)) + 1) &gt; 0, IFERROR(VALUE($C63),0)=0),
        AND(MAX(0, MIN($D$1, DATE(Initialisatie!$C$5,12,31)) - MAX($D$2, DATE(Initialisatie!$C$5,1,1)) + 1) &gt; 0, IFERROR(VALUE($D63),0)=0),
        AND(MAX(0, MIN($E$1, DATE(Initialisatie!$C$5,12,31)) - MAX($E$2, DATE(Initialisatie!$C$5,1,1)) + 1) &gt; 0, IFERROR(VALUE($E63),0)=0)
    ),
    0,
    SUM(
        IFERROR(VALUE($C63),0) * MAX(0, MIN($C$1, DATE(Initialisatie!$C$5,12,31)) - MAX($C$2, DATE(Initialisatie!$C$5,1,1)) + 1),
        IFERROR(VALUE($D63),0) * MAX(0, MIN($D$1, DATE(Initialisatie!$C$5,12,31)) - MAX($D$2, DATE(Initialisatie!$C$5,1,1)) + 1),
        IFERROR(VALUE($E63),0) * MAX(0, MIN($E$1, DATE(Initialisatie!$C$5,12,31)) - MAX($E$2, DATE(Initialisatie!$C$5,1,1)) + 1)
    ) / (DATE(Initialisatie!$C$5,12,31) - DATE(Initialisatie!$C$5,1,1) + 1)
)</f>
        <v>3210.8876712328765</v>
      </c>
      <c r="H63">
        <f>IF(
    OR(
        AND(MAX(0, IF(MIN($C$1, DATE(Initialisatie!$C$5,12,31)) &lt; MAX($C$2, DATE(Initialisatie!$C$5,1,1)), 0, MONTH(MIN($C$1, DATE(Initialisatie!$C$5,12,31))) - MONTH(MAX($C$2, DATE(Initialisatie!$C$5,1,1))) + 1)) &lt;= 0, IFERROR(VALUE($C63),0)=0),
        AND(MAX(0, IF(MIN($D$1, DATE(Initialisatie!$C$5,12,31)) &lt; MAX($D$2, DATE(Initialisatie!$C$5,1,1)), 0, MONTH(MIN($D$1, DATE(Initialisatie!$C$5,12,31))) - MONTH(MAX($D$2, DATE(Initialisatie!$C$5,1,1))) + 1)) &lt;= 0, IFERROR(VALUE($D63),0)=0),
        AND(MAX(0, IF(MIN($E$1, DATE(Initialisatie!$C$5,12,31)) &lt; MAX($E$2, DATE(Initialisatie!$C$5,1,1)), 0, MONTH(MIN($E$1, DATE(Initialisatie!$C$5,12,31))) - MONTH(MAX($E$2, DATE(Initialisatie!$C$5,1,1))) + 1)) &lt;= 0, IFERROR(VALUE($E63),0)=0)
    ),
    0,
    SUM(
        IFERROR(VALUE($C63),0) * MAX(0, IF(MIN($C$1, DATE(Initialisatie!$C$5,12,31)) &lt; MAX($C$2, DATE(Initialisatie!$C$5,1,1)), 0, MONTH(MIN($C$1, DATE(Initialisatie!$C$5,12,31))) - MONTH(MAX($C$2, DATE(Initialisatie!$C$5,1,1))) + 1)),
        IFERROR(VALUE($D63),0) * MAX(0, IF(MIN($D$1, DATE(Initialisatie!$C$5,12,31)) &lt; MAX($D$2, DATE(Initialisatie!$C$5,1,1)), 0, MONTH(MIN($D$1, DATE(Initialisatie!$C$5,12,31))) - MONTH(MAX($D$2, DATE(Initialisatie!$C$5,1,1))) + 1)),
        IFERROR(VALUE($E63),0) * MAX(0, IF(MIN($E$1, DATE(Initialisatie!$C$5,12,31)) &lt; MAX($E$2, DATE(Initialisatie!$C$5,1,1)), 0, MONTH(MIN($E$1, DATE(Initialisatie!$C$5,12,31))) - MONTH(MAX($E$2, DATE(Initialisatie!$C$5,1,1))) + 1))
    ) / 12
)</f>
        <v>3210.75</v>
      </c>
    </row>
    <row r="64" spans="1:8" x14ac:dyDescent="0.45">
      <c r="A64" s="997"/>
      <c r="B64" s="380">
        <v>9</v>
      </c>
      <c r="C64" t="s">
        <v>1745</v>
      </c>
      <c r="D64" t="s">
        <v>1746</v>
      </c>
      <c r="E64" t="s">
        <v>1747</v>
      </c>
      <c r="G64">
        <f>IF(
    OR(
        AND(MAX(0, MIN($C$1, DATE(Initialisatie!$C$5,12,31)) - MAX($C$2, DATE(Initialisatie!$C$5,1,1)) + 1) &gt; 0, IFERROR(VALUE($C64),0)=0),
        AND(MAX(0, MIN($D$1, DATE(Initialisatie!$C$5,12,31)) - MAX($D$2, DATE(Initialisatie!$C$5,1,1)) + 1) &gt; 0, IFERROR(VALUE($D64),0)=0),
        AND(MAX(0, MIN($E$1, DATE(Initialisatie!$C$5,12,31)) - MAX($E$2, DATE(Initialisatie!$C$5,1,1)) + 1) &gt; 0, IFERROR(VALUE($E64),0)=0)
    ),
    0,
    SUM(
        IFERROR(VALUE($C64),0) * MAX(0, MIN($C$1, DATE(Initialisatie!$C$5,12,31)) - MAX($C$2, DATE(Initialisatie!$C$5,1,1)) + 1),
        IFERROR(VALUE($D64),0) * MAX(0, MIN($D$1, DATE(Initialisatie!$C$5,12,31)) - MAX($D$2, DATE(Initialisatie!$C$5,1,1)) + 1),
        IFERROR(VALUE($E64),0) * MAX(0, MIN($E$1, DATE(Initialisatie!$C$5,12,31)) - MAX($E$2, DATE(Initialisatie!$C$5,1,1)) + 1)
    ) / (DATE(Initialisatie!$C$5,12,31) - DATE(Initialisatie!$C$5,1,1) + 1)
)</f>
        <v>3307.391780821918</v>
      </c>
      <c r="H64">
        <f>IF(
    OR(
        AND(MAX(0, IF(MIN($C$1, DATE(Initialisatie!$C$5,12,31)) &lt; MAX($C$2, DATE(Initialisatie!$C$5,1,1)), 0, MONTH(MIN($C$1, DATE(Initialisatie!$C$5,12,31))) - MONTH(MAX($C$2, DATE(Initialisatie!$C$5,1,1))) + 1)) &lt;= 0, IFERROR(VALUE($C64),0)=0),
        AND(MAX(0, IF(MIN($D$1, DATE(Initialisatie!$C$5,12,31)) &lt; MAX($D$2, DATE(Initialisatie!$C$5,1,1)), 0, MONTH(MIN($D$1, DATE(Initialisatie!$C$5,12,31))) - MONTH(MAX($D$2, DATE(Initialisatie!$C$5,1,1))) + 1)) &lt;= 0, IFERROR(VALUE($D64),0)=0),
        AND(MAX(0, IF(MIN($E$1, DATE(Initialisatie!$C$5,12,31)) &lt; MAX($E$2, DATE(Initialisatie!$C$5,1,1)), 0, MONTH(MIN($E$1, DATE(Initialisatie!$C$5,12,31))) - MONTH(MAX($E$2, DATE(Initialisatie!$C$5,1,1))) + 1)) &lt;= 0, IFERROR(VALUE($E64),0)=0)
    ),
    0,
    SUM(
        IFERROR(VALUE($C64),0) * MAX(0, IF(MIN($C$1, DATE(Initialisatie!$C$5,12,31)) &lt; MAX($C$2, DATE(Initialisatie!$C$5,1,1)), 0, MONTH(MIN($C$1, DATE(Initialisatie!$C$5,12,31))) - MONTH(MAX($C$2, DATE(Initialisatie!$C$5,1,1))) + 1)),
        IFERROR(VALUE($D64),0) * MAX(0, IF(MIN($D$1, DATE(Initialisatie!$C$5,12,31)) &lt; MAX($D$2, DATE(Initialisatie!$C$5,1,1)), 0, MONTH(MIN($D$1, DATE(Initialisatie!$C$5,12,31))) - MONTH(MAX($D$2, DATE(Initialisatie!$C$5,1,1))) + 1)),
        IFERROR(VALUE($E64),0) * MAX(0, IF(MIN($E$1, DATE(Initialisatie!$C$5,12,31)) &lt; MAX($E$2, DATE(Initialisatie!$C$5,1,1)), 0, MONTH(MIN($E$1, DATE(Initialisatie!$C$5,12,31))) - MONTH(MAX($E$2, DATE(Initialisatie!$C$5,1,1))) + 1))
    ) / 12
)</f>
        <v>3307.25</v>
      </c>
    </row>
    <row r="65" spans="1:8" x14ac:dyDescent="0.45">
      <c r="A65" s="997"/>
      <c r="B65" s="380">
        <v>10</v>
      </c>
      <c r="C65" t="s">
        <v>1748</v>
      </c>
      <c r="D65" t="s">
        <v>1749</v>
      </c>
      <c r="E65" t="s">
        <v>1750</v>
      </c>
      <c r="G65">
        <f>IF(
    OR(
        AND(MAX(0, MIN($C$1, DATE(Initialisatie!$C$5,12,31)) - MAX($C$2, DATE(Initialisatie!$C$5,1,1)) + 1) &gt; 0, IFERROR(VALUE($C65),0)=0),
        AND(MAX(0, MIN($D$1, DATE(Initialisatie!$C$5,12,31)) - MAX($D$2, DATE(Initialisatie!$C$5,1,1)) + 1) &gt; 0, IFERROR(VALUE($D65),0)=0),
        AND(MAX(0, MIN($E$1, DATE(Initialisatie!$C$5,12,31)) - MAX($E$2, DATE(Initialisatie!$C$5,1,1)) + 1) &gt; 0, IFERROR(VALUE($E65),0)=0)
    ),
    0,
    SUM(
        IFERROR(VALUE($C65),0) * MAX(0, MIN($C$1, DATE(Initialisatie!$C$5,12,31)) - MAX($C$2, DATE(Initialisatie!$C$5,1,1)) + 1),
        IFERROR(VALUE($D65),0) * MAX(0, MIN($D$1, DATE(Initialisatie!$C$5,12,31)) - MAX($D$2, DATE(Initialisatie!$C$5,1,1)) + 1),
        IFERROR(VALUE($E65),0) * MAX(0, MIN($E$1, DATE(Initialisatie!$C$5,12,31)) - MAX($E$2, DATE(Initialisatie!$C$5,1,1)) + 1)
    ) / (DATE(Initialisatie!$C$5,12,31) - DATE(Initialisatie!$C$5,1,1) + 1)
)</f>
        <v>3390.8958904109591</v>
      </c>
      <c r="H65">
        <f>IF(
    OR(
        AND(MAX(0, IF(MIN($C$1, DATE(Initialisatie!$C$5,12,31)) &lt; MAX($C$2, DATE(Initialisatie!$C$5,1,1)), 0, MONTH(MIN($C$1, DATE(Initialisatie!$C$5,12,31))) - MONTH(MAX($C$2, DATE(Initialisatie!$C$5,1,1))) + 1)) &lt;= 0, IFERROR(VALUE($C65),0)=0),
        AND(MAX(0, IF(MIN($D$1, DATE(Initialisatie!$C$5,12,31)) &lt; MAX($D$2, DATE(Initialisatie!$C$5,1,1)), 0, MONTH(MIN($D$1, DATE(Initialisatie!$C$5,12,31))) - MONTH(MAX($D$2, DATE(Initialisatie!$C$5,1,1))) + 1)) &lt;= 0, IFERROR(VALUE($D65),0)=0),
        AND(MAX(0, IF(MIN($E$1, DATE(Initialisatie!$C$5,12,31)) &lt; MAX($E$2, DATE(Initialisatie!$C$5,1,1)), 0, MONTH(MIN($E$1, DATE(Initialisatie!$C$5,12,31))) - MONTH(MAX($E$2, DATE(Initialisatie!$C$5,1,1))) + 1)) &lt;= 0, IFERROR(VALUE($E65),0)=0)
    ),
    0,
    SUM(
        IFERROR(VALUE($C65),0) * MAX(0, IF(MIN($C$1, DATE(Initialisatie!$C$5,12,31)) &lt; MAX($C$2, DATE(Initialisatie!$C$5,1,1)), 0, MONTH(MIN($C$1, DATE(Initialisatie!$C$5,12,31))) - MONTH(MAX($C$2, DATE(Initialisatie!$C$5,1,1))) + 1)),
        IFERROR(VALUE($D65),0) * MAX(0, IF(MIN($D$1, DATE(Initialisatie!$C$5,12,31)) &lt; MAX($D$2, DATE(Initialisatie!$C$5,1,1)), 0, MONTH(MIN($D$1, DATE(Initialisatie!$C$5,12,31))) - MONTH(MAX($D$2, DATE(Initialisatie!$C$5,1,1))) + 1)),
        IFERROR(VALUE($E65),0) * MAX(0, IF(MIN($E$1, DATE(Initialisatie!$C$5,12,31)) &lt; MAX($E$2, DATE(Initialisatie!$C$5,1,1)), 0, MONTH(MIN($E$1, DATE(Initialisatie!$C$5,12,31))) - MONTH(MAX($E$2, DATE(Initialisatie!$C$5,1,1))) + 1))
    ) / 12
)</f>
        <v>3390.75</v>
      </c>
    </row>
    <row r="66" spans="1:8" x14ac:dyDescent="0.45">
      <c r="A66" s="997"/>
      <c r="B66" s="380">
        <v>11</v>
      </c>
      <c r="C66" t="s">
        <v>1754</v>
      </c>
      <c r="D66" t="s">
        <v>1755</v>
      </c>
      <c r="E66" t="s">
        <v>1756</v>
      </c>
      <c r="G66">
        <f>IF(
    OR(
        AND(MAX(0, MIN($C$1, DATE(Initialisatie!$C$5,12,31)) - MAX($C$2, DATE(Initialisatie!$C$5,1,1)) + 1) &gt; 0, IFERROR(VALUE($C66),0)=0),
        AND(MAX(0, MIN($D$1, DATE(Initialisatie!$C$5,12,31)) - MAX($D$2, DATE(Initialisatie!$C$5,1,1)) + 1) &gt; 0, IFERROR(VALUE($D66),0)=0),
        AND(MAX(0, MIN($E$1, DATE(Initialisatie!$C$5,12,31)) - MAX($E$2, DATE(Initialisatie!$C$5,1,1)) + 1) &gt; 0, IFERROR(VALUE($E66),0)=0)
    ),
    0,
    SUM(
        IFERROR(VALUE($C66),0) * MAX(0, MIN($C$1, DATE(Initialisatie!$C$5,12,31)) - MAX($C$2, DATE(Initialisatie!$C$5,1,1)) + 1),
        IFERROR(VALUE($D66),0) * MAX(0, MIN($D$1, DATE(Initialisatie!$C$5,12,31)) - MAX($D$2, DATE(Initialisatie!$C$5,1,1)) + 1),
        IFERROR(VALUE($E66),0) * MAX(0, MIN($E$1, DATE(Initialisatie!$C$5,12,31)) - MAX($E$2, DATE(Initialisatie!$C$5,1,1)) + 1)
    ) / (DATE(Initialisatie!$C$5,12,31) - DATE(Initialisatie!$C$5,1,1) + 1)
)</f>
        <v>3479.4</v>
      </c>
      <c r="H66">
        <f>IF(
    OR(
        AND(MAX(0, IF(MIN($C$1, DATE(Initialisatie!$C$5,12,31)) &lt; MAX($C$2, DATE(Initialisatie!$C$5,1,1)), 0, MONTH(MIN($C$1, DATE(Initialisatie!$C$5,12,31))) - MONTH(MAX($C$2, DATE(Initialisatie!$C$5,1,1))) + 1)) &lt;= 0, IFERROR(VALUE($C66),0)=0),
        AND(MAX(0, IF(MIN($D$1, DATE(Initialisatie!$C$5,12,31)) &lt; MAX($D$2, DATE(Initialisatie!$C$5,1,1)), 0, MONTH(MIN($D$1, DATE(Initialisatie!$C$5,12,31))) - MONTH(MAX($D$2, DATE(Initialisatie!$C$5,1,1))) + 1)) &lt;= 0, IFERROR(VALUE($D66),0)=0),
        AND(MAX(0, IF(MIN($E$1, DATE(Initialisatie!$C$5,12,31)) &lt; MAX($E$2, DATE(Initialisatie!$C$5,1,1)), 0, MONTH(MIN($E$1, DATE(Initialisatie!$C$5,12,31))) - MONTH(MAX($E$2, DATE(Initialisatie!$C$5,1,1))) + 1)) &lt;= 0, IFERROR(VALUE($E66),0)=0)
    ),
    0,
    SUM(
        IFERROR(VALUE($C66),0) * MAX(0, IF(MIN($C$1, DATE(Initialisatie!$C$5,12,31)) &lt; MAX($C$2, DATE(Initialisatie!$C$5,1,1)), 0, MONTH(MIN($C$1, DATE(Initialisatie!$C$5,12,31))) - MONTH(MAX($C$2, DATE(Initialisatie!$C$5,1,1))) + 1)),
        IFERROR(VALUE($D66),0) * MAX(0, IF(MIN($D$1, DATE(Initialisatie!$C$5,12,31)) &lt; MAX($D$2, DATE(Initialisatie!$C$5,1,1)), 0, MONTH(MIN($D$1, DATE(Initialisatie!$C$5,12,31))) - MONTH(MAX($D$2, DATE(Initialisatie!$C$5,1,1))) + 1)),
        IFERROR(VALUE($E66),0) * MAX(0, IF(MIN($E$1, DATE(Initialisatie!$C$5,12,31)) &lt; MAX($E$2, DATE(Initialisatie!$C$5,1,1)), 0, MONTH(MIN($E$1, DATE(Initialisatie!$C$5,12,31))) - MONTH(MAX($E$2, DATE(Initialisatie!$C$5,1,1))) + 1))
    ) / 12
)</f>
        <v>3479.25</v>
      </c>
    </row>
    <row r="67" spans="1:8" x14ac:dyDescent="0.45">
      <c r="A67" s="997"/>
      <c r="B67" s="380">
        <v>12</v>
      </c>
      <c r="C67" t="s">
        <v>1757</v>
      </c>
      <c r="D67" t="s">
        <v>1758</v>
      </c>
      <c r="E67" t="s">
        <v>1759</v>
      </c>
      <c r="G67">
        <f>IF(
    OR(
        AND(MAX(0, MIN($C$1, DATE(Initialisatie!$C$5,12,31)) - MAX($C$2, DATE(Initialisatie!$C$5,1,1)) + 1) &gt; 0, IFERROR(VALUE($C67),0)=0),
        AND(MAX(0, MIN($D$1, DATE(Initialisatie!$C$5,12,31)) - MAX($D$2, DATE(Initialisatie!$C$5,1,1)) + 1) &gt; 0, IFERROR(VALUE($D67),0)=0),
        AND(MAX(0, MIN($E$1, DATE(Initialisatie!$C$5,12,31)) - MAX($E$2, DATE(Initialisatie!$C$5,1,1)) + 1) &gt; 0, IFERROR(VALUE($E67),0)=0)
    ),
    0,
    SUM(
        IFERROR(VALUE($C67),0) * MAX(0, MIN($C$1, DATE(Initialisatie!$C$5,12,31)) - MAX($C$2, DATE(Initialisatie!$C$5,1,1)) + 1),
        IFERROR(VALUE($D67),0) * MAX(0, MIN($D$1, DATE(Initialisatie!$C$5,12,31)) - MAX($D$2, DATE(Initialisatie!$C$5,1,1)) + 1),
        IFERROR(VALUE($E67),0) * MAX(0, MIN($E$1, DATE(Initialisatie!$C$5,12,31)) - MAX($E$2, DATE(Initialisatie!$C$5,1,1)) + 1)
    ) / (DATE(Initialisatie!$C$5,12,31) - DATE(Initialisatie!$C$5,1,1) + 1)
)</f>
        <v>3546.6520547945206</v>
      </c>
      <c r="H67">
        <f>IF(
    OR(
        AND(MAX(0, IF(MIN($C$1, DATE(Initialisatie!$C$5,12,31)) &lt; MAX($C$2, DATE(Initialisatie!$C$5,1,1)), 0, MONTH(MIN($C$1, DATE(Initialisatie!$C$5,12,31))) - MONTH(MAX($C$2, DATE(Initialisatie!$C$5,1,1))) + 1)) &lt;= 0, IFERROR(VALUE($C67),0)=0),
        AND(MAX(0, IF(MIN($D$1, DATE(Initialisatie!$C$5,12,31)) &lt; MAX($D$2, DATE(Initialisatie!$C$5,1,1)), 0, MONTH(MIN($D$1, DATE(Initialisatie!$C$5,12,31))) - MONTH(MAX($D$2, DATE(Initialisatie!$C$5,1,1))) + 1)) &lt;= 0, IFERROR(VALUE($D67),0)=0),
        AND(MAX(0, IF(MIN($E$1, DATE(Initialisatie!$C$5,12,31)) &lt; MAX($E$2, DATE(Initialisatie!$C$5,1,1)), 0, MONTH(MIN($E$1, DATE(Initialisatie!$C$5,12,31))) - MONTH(MAX($E$2, DATE(Initialisatie!$C$5,1,1))) + 1)) &lt;= 0, IFERROR(VALUE($E67),0)=0)
    ),
    0,
    SUM(
        IFERROR(VALUE($C67),0) * MAX(0, IF(MIN($C$1, DATE(Initialisatie!$C$5,12,31)) &lt; MAX($C$2, DATE(Initialisatie!$C$5,1,1)), 0, MONTH(MIN($C$1, DATE(Initialisatie!$C$5,12,31))) - MONTH(MAX($C$2, DATE(Initialisatie!$C$5,1,1))) + 1)),
        IFERROR(VALUE($D67),0) * MAX(0, IF(MIN($D$1, DATE(Initialisatie!$C$5,12,31)) &lt; MAX($D$2, DATE(Initialisatie!$C$5,1,1)), 0, MONTH(MIN($D$1, DATE(Initialisatie!$C$5,12,31))) - MONTH(MAX($D$2, DATE(Initialisatie!$C$5,1,1))) + 1)),
        IFERROR(VALUE($E67),0) * MAX(0, IF(MIN($E$1, DATE(Initialisatie!$C$5,12,31)) &lt; MAX($E$2, DATE(Initialisatie!$C$5,1,1)), 0, MONTH(MIN($E$1, DATE(Initialisatie!$C$5,12,31))) - MONTH(MAX($E$2, DATE(Initialisatie!$C$5,1,1))) + 1))
    ) / 12
)</f>
        <v>3546.5</v>
      </c>
    </row>
    <row r="68" spans="1:8" x14ac:dyDescent="0.45">
      <c r="A68" s="997"/>
      <c r="B68" s="380">
        <v>13</v>
      </c>
      <c r="C68" t="s">
        <v>1760</v>
      </c>
      <c r="D68" t="s">
        <v>1761</v>
      </c>
      <c r="E68" t="s">
        <v>1762</v>
      </c>
      <c r="G68">
        <f>IF(
    OR(
        AND(MAX(0, MIN($C$1, DATE(Initialisatie!$C$5,12,31)) - MAX($C$2, DATE(Initialisatie!$C$5,1,1)) + 1) &gt; 0, IFERROR(VALUE($C68),0)=0),
        AND(MAX(0, MIN($D$1, DATE(Initialisatie!$C$5,12,31)) - MAX($D$2, DATE(Initialisatie!$C$5,1,1)) + 1) &gt; 0, IFERROR(VALUE($D68),0)=0),
        AND(MAX(0, MIN($E$1, DATE(Initialisatie!$C$5,12,31)) - MAX($E$2, DATE(Initialisatie!$C$5,1,1)) + 1) &gt; 0, IFERROR(VALUE($E68),0)=0)
    ),
    0,
    SUM(
        IFERROR(VALUE($C68),0) * MAX(0, MIN($C$1, DATE(Initialisatie!$C$5,12,31)) - MAX($C$2, DATE(Initialisatie!$C$5,1,1)) + 1),
        IFERROR(VALUE($D68),0) * MAX(0, MIN($D$1, DATE(Initialisatie!$C$5,12,31)) - MAX($D$2, DATE(Initialisatie!$C$5,1,1)) + 1),
        IFERROR(VALUE($E68),0) * MAX(0, MIN($E$1, DATE(Initialisatie!$C$5,12,31)) - MAX($E$2, DATE(Initialisatie!$C$5,1,1)) + 1)
    ) / (DATE(Initialisatie!$C$5,12,31) - DATE(Initialisatie!$C$5,1,1) + 1)
)</f>
        <v>3626.1561643835616</v>
      </c>
      <c r="H68">
        <f>IF(
    OR(
        AND(MAX(0, IF(MIN($C$1, DATE(Initialisatie!$C$5,12,31)) &lt; MAX($C$2, DATE(Initialisatie!$C$5,1,1)), 0, MONTH(MIN($C$1, DATE(Initialisatie!$C$5,12,31))) - MONTH(MAX($C$2, DATE(Initialisatie!$C$5,1,1))) + 1)) &lt;= 0, IFERROR(VALUE($C68),0)=0),
        AND(MAX(0, IF(MIN($D$1, DATE(Initialisatie!$C$5,12,31)) &lt; MAX($D$2, DATE(Initialisatie!$C$5,1,1)), 0, MONTH(MIN($D$1, DATE(Initialisatie!$C$5,12,31))) - MONTH(MAX($D$2, DATE(Initialisatie!$C$5,1,1))) + 1)) &lt;= 0, IFERROR(VALUE($D68),0)=0),
        AND(MAX(0, IF(MIN($E$1, DATE(Initialisatie!$C$5,12,31)) &lt; MAX($E$2, DATE(Initialisatie!$C$5,1,1)), 0, MONTH(MIN($E$1, DATE(Initialisatie!$C$5,12,31))) - MONTH(MAX($E$2, DATE(Initialisatie!$C$5,1,1))) + 1)) &lt;= 0, IFERROR(VALUE($E68),0)=0)
    ),
    0,
    SUM(
        IFERROR(VALUE($C68),0) * MAX(0, IF(MIN($C$1, DATE(Initialisatie!$C$5,12,31)) &lt; MAX($C$2, DATE(Initialisatie!$C$5,1,1)), 0, MONTH(MIN($C$1, DATE(Initialisatie!$C$5,12,31))) - MONTH(MAX($C$2, DATE(Initialisatie!$C$5,1,1))) + 1)),
        IFERROR(VALUE($D68),0) * MAX(0, IF(MIN($D$1, DATE(Initialisatie!$C$5,12,31)) &lt; MAX($D$2, DATE(Initialisatie!$C$5,1,1)), 0, MONTH(MIN($D$1, DATE(Initialisatie!$C$5,12,31))) - MONTH(MAX($D$2, DATE(Initialisatie!$C$5,1,1))) + 1)),
        IFERROR(VALUE($E68),0) * MAX(0, IF(MIN($E$1, DATE(Initialisatie!$C$5,12,31)) &lt; MAX($E$2, DATE(Initialisatie!$C$5,1,1)), 0, MONTH(MIN($E$1, DATE(Initialisatie!$C$5,12,31))) - MONTH(MAX($E$2, DATE(Initialisatie!$C$5,1,1))) + 1))
    ) / 12
)</f>
        <v>3626</v>
      </c>
    </row>
    <row r="69" spans="1:8" x14ac:dyDescent="0.45">
      <c r="A69" s="997"/>
      <c r="B69" s="380">
        <v>14</v>
      </c>
      <c r="C69" t="s">
        <v>891</v>
      </c>
      <c r="D69" t="s">
        <v>891</v>
      </c>
      <c r="E69" t="s">
        <v>891</v>
      </c>
      <c r="G69">
        <f>IF(
    OR(
        AND(MAX(0, MIN($C$1, DATE(Initialisatie!$C$5,12,31)) - MAX($C$2, DATE(Initialisatie!$C$5,1,1)) + 1) &gt; 0, IFERROR(VALUE($C69),0)=0),
        AND(MAX(0, MIN($D$1, DATE(Initialisatie!$C$5,12,31)) - MAX($D$2, DATE(Initialisatie!$C$5,1,1)) + 1) &gt; 0, IFERROR(VALUE($D69),0)=0),
        AND(MAX(0, MIN($E$1, DATE(Initialisatie!$C$5,12,31)) - MAX($E$2, DATE(Initialisatie!$C$5,1,1)) + 1) &gt; 0, IFERROR(VALUE($E69),0)=0)
    ),
    0,
    SUM(
        IFERROR(VALUE($C69),0) * MAX(0, MIN($C$1, DATE(Initialisatie!$C$5,12,31)) - MAX($C$2, DATE(Initialisatie!$C$5,1,1)) + 1),
        IFERROR(VALUE($D69),0) * MAX(0, MIN($D$1, DATE(Initialisatie!$C$5,12,31)) - MAX($D$2, DATE(Initialisatie!$C$5,1,1)) + 1),
        IFERROR(VALUE($E69),0) * MAX(0, MIN($E$1, DATE(Initialisatie!$C$5,12,31)) - MAX($E$2, DATE(Initialisatie!$C$5,1,1)) + 1)
    ) / (DATE(Initialisatie!$C$5,12,31) - DATE(Initialisatie!$C$5,1,1) + 1)
)</f>
        <v>0</v>
      </c>
      <c r="H69">
        <f>IF(
    OR(
        AND(MAX(0, IF(MIN($C$1, DATE(Initialisatie!$C$5,12,31)) &lt; MAX($C$2, DATE(Initialisatie!$C$5,1,1)), 0, MONTH(MIN($C$1, DATE(Initialisatie!$C$5,12,31))) - MONTH(MAX($C$2, DATE(Initialisatie!$C$5,1,1))) + 1)) &lt;= 0, IFERROR(VALUE($C69),0)=0),
        AND(MAX(0, IF(MIN($D$1, DATE(Initialisatie!$C$5,12,31)) &lt; MAX($D$2, DATE(Initialisatie!$C$5,1,1)), 0, MONTH(MIN($D$1, DATE(Initialisatie!$C$5,12,31))) - MONTH(MAX($D$2, DATE(Initialisatie!$C$5,1,1))) + 1)) &lt;= 0, IFERROR(VALUE($D69),0)=0),
        AND(MAX(0, IF(MIN($E$1, DATE(Initialisatie!$C$5,12,31)) &lt; MAX($E$2, DATE(Initialisatie!$C$5,1,1)), 0, MONTH(MIN($E$1, DATE(Initialisatie!$C$5,12,31))) - MONTH(MAX($E$2, DATE(Initialisatie!$C$5,1,1))) + 1)) &lt;= 0, IFERROR(VALUE($E69),0)=0)
    ),
    0,
    SUM(
        IFERROR(VALUE($C69),0) * MAX(0, IF(MIN($C$1, DATE(Initialisatie!$C$5,12,31)) &lt; MAX($C$2, DATE(Initialisatie!$C$5,1,1)), 0, MONTH(MIN($C$1, DATE(Initialisatie!$C$5,12,31))) - MONTH(MAX($C$2, DATE(Initialisatie!$C$5,1,1))) + 1)),
        IFERROR(VALUE($D69),0) * MAX(0, IF(MIN($D$1, DATE(Initialisatie!$C$5,12,31)) &lt; MAX($D$2, DATE(Initialisatie!$C$5,1,1)), 0, MONTH(MIN($D$1, DATE(Initialisatie!$C$5,12,31))) - MONTH(MAX($D$2, DATE(Initialisatie!$C$5,1,1))) + 1)),
        IFERROR(VALUE($E69),0) * MAX(0, IF(MIN($E$1, DATE(Initialisatie!$C$5,12,31)) &lt; MAX($E$2, DATE(Initialisatie!$C$5,1,1)), 0, MONTH(MIN($E$1, DATE(Initialisatie!$C$5,12,31))) - MONTH(MAX($E$2, DATE(Initialisatie!$C$5,1,1))) + 1))
    ) / 12
)</f>
        <v>0</v>
      </c>
    </row>
    <row r="70" spans="1:8" x14ac:dyDescent="0.45">
      <c r="A70" s="997"/>
      <c r="B70" s="380">
        <v>15</v>
      </c>
      <c r="C70" t="s">
        <v>891</v>
      </c>
      <c r="D70" t="s">
        <v>891</v>
      </c>
      <c r="E70" t="s">
        <v>891</v>
      </c>
      <c r="G70">
        <f>IF(
    OR(
        AND(MAX(0, MIN($C$1, DATE(Initialisatie!$C$5,12,31)) - MAX($C$2, DATE(Initialisatie!$C$5,1,1)) + 1) &gt; 0, IFERROR(VALUE($C70),0)=0),
        AND(MAX(0, MIN($D$1, DATE(Initialisatie!$C$5,12,31)) - MAX($D$2, DATE(Initialisatie!$C$5,1,1)) + 1) &gt; 0, IFERROR(VALUE($D70),0)=0),
        AND(MAX(0, MIN($E$1, DATE(Initialisatie!$C$5,12,31)) - MAX($E$2, DATE(Initialisatie!$C$5,1,1)) + 1) &gt; 0, IFERROR(VALUE($E70),0)=0)
    ),
    0,
    SUM(
        IFERROR(VALUE($C70),0) * MAX(0, MIN($C$1, DATE(Initialisatie!$C$5,12,31)) - MAX($C$2, DATE(Initialisatie!$C$5,1,1)) + 1),
        IFERROR(VALUE($D70),0) * MAX(0, MIN($D$1, DATE(Initialisatie!$C$5,12,31)) - MAX($D$2, DATE(Initialisatie!$C$5,1,1)) + 1),
        IFERROR(VALUE($E70),0) * MAX(0, MIN($E$1, DATE(Initialisatie!$C$5,12,31)) - MAX($E$2, DATE(Initialisatie!$C$5,1,1)) + 1)
    ) / (DATE(Initialisatie!$C$5,12,31) - DATE(Initialisatie!$C$5,1,1) + 1)
)</f>
        <v>0</v>
      </c>
      <c r="H70">
        <f>IF(
    OR(
        AND(MAX(0, IF(MIN($C$1, DATE(Initialisatie!$C$5,12,31)) &lt; MAX($C$2, DATE(Initialisatie!$C$5,1,1)), 0, MONTH(MIN($C$1, DATE(Initialisatie!$C$5,12,31))) - MONTH(MAX($C$2, DATE(Initialisatie!$C$5,1,1))) + 1)) &lt;= 0, IFERROR(VALUE($C70),0)=0),
        AND(MAX(0, IF(MIN($D$1, DATE(Initialisatie!$C$5,12,31)) &lt; MAX($D$2, DATE(Initialisatie!$C$5,1,1)), 0, MONTH(MIN($D$1, DATE(Initialisatie!$C$5,12,31))) - MONTH(MAX($D$2, DATE(Initialisatie!$C$5,1,1))) + 1)) &lt;= 0, IFERROR(VALUE($D70),0)=0),
        AND(MAX(0, IF(MIN($E$1, DATE(Initialisatie!$C$5,12,31)) &lt; MAX($E$2, DATE(Initialisatie!$C$5,1,1)), 0, MONTH(MIN($E$1, DATE(Initialisatie!$C$5,12,31))) - MONTH(MAX($E$2, DATE(Initialisatie!$C$5,1,1))) + 1)) &lt;= 0, IFERROR(VALUE($E70),0)=0)
    ),
    0,
    SUM(
        IFERROR(VALUE($C70),0) * MAX(0, IF(MIN($C$1, DATE(Initialisatie!$C$5,12,31)) &lt; MAX($C$2, DATE(Initialisatie!$C$5,1,1)), 0, MONTH(MIN($C$1, DATE(Initialisatie!$C$5,12,31))) - MONTH(MAX($C$2, DATE(Initialisatie!$C$5,1,1))) + 1)),
        IFERROR(VALUE($D70),0) * MAX(0, IF(MIN($D$1, DATE(Initialisatie!$C$5,12,31)) &lt; MAX($D$2, DATE(Initialisatie!$C$5,1,1)), 0, MONTH(MIN($D$1, DATE(Initialisatie!$C$5,12,31))) - MONTH(MAX($D$2, DATE(Initialisatie!$C$5,1,1))) + 1)),
        IFERROR(VALUE($E70),0) * MAX(0, IF(MIN($E$1, DATE(Initialisatie!$C$5,12,31)) &lt; MAX($E$2, DATE(Initialisatie!$C$5,1,1)), 0, MONTH(MIN($E$1, DATE(Initialisatie!$C$5,12,31))) - MONTH(MAX($E$2, DATE(Initialisatie!$C$5,1,1))) + 1))
    ) / 12
)</f>
        <v>0</v>
      </c>
    </row>
    <row r="71" spans="1:8" x14ac:dyDescent="0.45">
      <c r="A71" s="998"/>
      <c r="B71" s="380" t="s">
        <v>517</v>
      </c>
      <c r="C71" t="s">
        <v>1763</v>
      </c>
      <c r="D71" t="s">
        <v>1764</v>
      </c>
      <c r="E71" t="s">
        <v>1765</v>
      </c>
      <c r="G71">
        <f>IF(
    OR(
        AND(MAX(0, MIN($C$1, DATE(Initialisatie!$C$5,12,31)) - MAX($C$2, DATE(Initialisatie!$C$5,1,1)) + 1) &gt; 0, IFERROR(VALUE($C71),0)=0),
        AND(MAX(0, MIN($D$1, DATE(Initialisatie!$C$5,12,31)) - MAX($D$2, DATE(Initialisatie!$C$5,1,1)) + 1) &gt; 0, IFERROR(VALUE($D71),0)=0),
        AND(MAX(0, MIN($E$1, DATE(Initialisatie!$C$5,12,31)) - MAX($E$2, DATE(Initialisatie!$C$5,1,1)) + 1) &gt; 0, IFERROR(VALUE($E71),0)=0)
    ),
    0,
    SUM(
        IFERROR(VALUE($C71),0) * MAX(0, MIN($C$1, DATE(Initialisatie!$C$5,12,31)) - MAX($C$2, DATE(Initialisatie!$C$5,1,1)) + 1),
        IFERROR(VALUE($D71),0) * MAX(0, MIN($D$1, DATE(Initialisatie!$C$5,12,31)) - MAX($D$2, DATE(Initialisatie!$C$5,1,1)) + 1),
        IFERROR(VALUE($E71),0) * MAX(0, MIN($E$1, DATE(Initialisatie!$C$5,12,31)) - MAX($E$2, DATE(Initialisatie!$C$5,1,1)) + 1)
    ) / (DATE(Initialisatie!$C$5,12,31) - DATE(Initialisatie!$C$5,1,1) + 1)
)</f>
        <v>2528.3589041095888</v>
      </c>
      <c r="H71">
        <f>IF(
    OR(
        AND(MAX(0, IF(MIN($C$1, DATE(Initialisatie!$C$5,12,31)) &lt; MAX($C$2, DATE(Initialisatie!$C$5,1,1)), 0, MONTH(MIN($C$1, DATE(Initialisatie!$C$5,12,31))) - MONTH(MAX($C$2, DATE(Initialisatie!$C$5,1,1))) + 1)) &lt;= 0, IFERROR(VALUE($C71),0)=0),
        AND(MAX(0, IF(MIN($D$1, DATE(Initialisatie!$C$5,12,31)) &lt; MAX($D$2, DATE(Initialisatie!$C$5,1,1)), 0, MONTH(MIN($D$1, DATE(Initialisatie!$C$5,12,31))) - MONTH(MAX($D$2, DATE(Initialisatie!$C$5,1,1))) + 1)) &lt;= 0, IFERROR(VALUE($D71),0)=0),
        AND(MAX(0, IF(MIN($E$1, DATE(Initialisatie!$C$5,12,31)) &lt; MAX($E$2, DATE(Initialisatie!$C$5,1,1)), 0, MONTH(MIN($E$1, DATE(Initialisatie!$C$5,12,31))) - MONTH(MAX($E$2, DATE(Initialisatie!$C$5,1,1))) + 1)) &lt;= 0, IFERROR(VALUE($E71),0)=0)
    ),
    0,
    SUM(
        IFERROR(VALUE($C71),0) * MAX(0, IF(MIN($C$1, DATE(Initialisatie!$C$5,12,31)) &lt; MAX($C$2, DATE(Initialisatie!$C$5,1,1)), 0, MONTH(MIN($C$1, DATE(Initialisatie!$C$5,12,31))) - MONTH(MAX($C$2, DATE(Initialisatie!$C$5,1,1))) + 1)),
        IFERROR(VALUE($D71),0) * MAX(0, IF(MIN($D$1, DATE(Initialisatie!$C$5,12,31)) &lt; MAX($D$2, DATE(Initialisatie!$C$5,1,1)), 0, MONTH(MIN($D$1, DATE(Initialisatie!$C$5,12,31))) - MONTH(MAX($D$2, DATE(Initialisatie!$C$5,1,1))) + 1)),
        IFERROR(VALUE($E71),0) * MAX(0, IF(MIN($E$1, DATE(Initialisatie!$C$5,12,31)) &lt; MAX($E$2, DATE(Initialisatie!$C$5,1,1)), 0, MONTH(MIN($E$1, DATE(Initialisatie!$C$5,12,31))) - MONTH(MAX($E$2, DATE(Initialisatie!$C$5,1,1))) + 1))
    ) / 12
)</f>
        <v>2528.25</v>
      </c>
    </row>
    <row r="72" spans="1:8" x14ac:dyDescent="0.45">
      <c r="A72" s="996">
        <v>5</v>
      </c>
      <c r="B72" s="380">
        <v>0</v>
      </c>
      <c r="C72" t="s">
        <v>1721</v>
      </c>
      <c r="D72" t="s">
        <v>1722</v>
      </c>
      <c r="E72" t="s">
        <v>1723</v>
      </c>
      <c r="G72">
        <f>IF(
    OR(
        AND(MAX(0, MIN($C$1, DATE(Initialisatie!$C$5,12,31)) - MAX($C$2, DATE(Initialisatie!$C$5,1,1)) + 1) &gt; 0, IFERROR(VALUE($C72),0)=0),
        AND(MAX(0, MIN($D$1, DATE(Initialisatie!$C$5,12,31)) - MAX($D$2, DATE(Initialisatie!$C$5,1,1)) + 1) &gt; 0, IFERROR(VALUE($D72),0)=0),
        AND(MAX(0, MIN($E$1, DATE(Initialisatie!$C$5,12,31)) - MAX($E$2, DATE(Initialisatie!$C$5,1,1)) + 1) &gt; 0, IFERROR(VALUE($E72),0)=0)
    ),
    0,
    SUM(
        IFERROR(VALUE($C72),0) * MAX(0, MIN($C$1, DATE(Initialisatie!$C$5,12,31)) - MAX($C$2, DATE(Initialisatie!$C$5,1,1)) + 1),
        IFERROR(VALUE($D72),0) * MAX(0, MIN($D$1, DATE(Initialisatie!$C$5,12,31)) - MAX($D$2, DATE(Initialisatie!$C$5,1,1)) + 1),
        IFERROR(VALUE($E72),0) * MAX(0, MIN($E$1, DATE(Initialisatie!$C$5,12,31)) - MAX($E$2, DATE(Initialisatie!$C$5,1,1)) + 1)
    ) / (DATE(Initialisatie!$C$5,12,31) - DATE(Initialisatie!$C$5,1,1) + 1)
)</f>
        <v>2648.8630136986303</v>
      </c>
      <c r="H72">
        <f>IF(
    OR(
        AND(MAX(0, IF(MIN($C$1, DATE(Initialisatie!$C$5,12,31)) &lt; MAX($C$2, DATE(Initialisatie!$C$5,1,1)), 0, MONTH(MIN($C$1, DATE(Initialisatie!$C$5,12,31))) - MONTH(MAX($C$2, DATE(Initialisatie!$C$5,1,1))) + 1)) &lt;= 0, IFERROR(VALUE($C72),0)=0),
        AND(MAX(0, IF(MIN($D$1, DATE(Initialisatie!$C$5,12,31)) &lt; MAX($D$2, DATE(Initialisatie!$C$5,1,1)), 0, MONTH(MIN($D$1, DATE(Initialisatie!$C$5,12,31))) - MONTH(MAX($D$2, DATE(Initialisatie!$C$5,1,1))) + 1)) &lt;= 0, IFERROR(VALUE($D72),0)=0),
        AND(MAX(0, IF(MIN($E$1, DATE(Initialisatie!$C$5,12,31)) &lt; MAX($E$2, DATE(Initialisatie!$C$5,1,1)), 0, MONTH(MIN($E$1, DATE(Initialisatie!$C$5,12,31))) - MONTH(MAX($E$2, DATE(Initialisatie!$C$5,1,1))) + 1)) &lt;= 0, IFERROR(VALUE($E72),0)=0)
    ),
    0,
    SUM(
        IFERROR(VALUE($C72),0) * MAX(0, IF(MIN($C$1, DATE(Initialisatie!$C$5,12,31)) &lt; MAX($C$2, DATE(Initialisatie!$C$5,1,1)), 0, MONTH(MIN($C$1, DATE(Initialisatie!$C$5,12,31))) - MONTH(MAX($C$2, DATE(Initialisatie!$C$5,1,1))) + 1)),
        IFERROR(VALUE($D72),0) * MAX(0, IF(MIN($D$1, DATE(Initialisatie!$C$5,12,31)) &lt; MAX($D$2, DATE(Initialisatie!$C$5,1,1)), 0, MONTH(MIN($D$1, DATE(Initialisatie!$C$5,12,31))) - MONTH(MAX($D$2, DATE(Initialisatie!$C$5,1,1))) + 1)),
        IFERROR(VALUE($E72),0) * MAX(0, IF(MIN($E$1, DATE(Initialisatie!$C$5,12,31)) &lt; MAX($E$2, DATE(Initialisatie!$C$5,1,1)), 0, MONTH(MIN($E$1, DATE(Initialisatie!$C$5,12,31))) - MONTH(MAX($E$2, DATE(Initialisatie!$C$5,1,1))) + 1))
    ) / 12
)</f>
        <v>2648.75</v>
      </c>
    </row>
    <row r="73" spans="1:8" x14ac:dyDescent="0.45">
      <c r="A73" s="997"/>
      <c r="B73" s="380">
        <v>1</v>
      </c>
      <c r="C73" t="s">
        <v>1724</v>
      </c>
      <c r="D73" t="s">
        <v>1725</v>
      </c>
      <c r="E73" t="s">
        <v>1726</v>
      </c>
      <c r="G73">
        <f>IF(
    OR(
        AND(MAX(0, MIN($C$1, DATE(Initialisatie!$C$5,12,31)) - MAX($C$2, DATE(Initialisatie!$C$5,1,1)) + 1) &gt; 0, IFERROR(VALUE($C73),0)=0),
        AND(MAX(0, MIN($D$1, DATE(Initialisatie!$C$5,12,31)) - MAX($D$2, DATE(Initialisatie!$C$5,1,1)) + 1) &gt; 0, IFERROR(VALUE($D73),0)=0),
        AND(MAX(0, MIN($E$1, DATE(Initialisatie!$C$5,12,31)) - MAX($E$2, DATE(Initialisatie!$C$5,1,1)) + 1) &gt; 0, IFERROR(VALUE($E73),0)=0)
    ),
    0,
    SUM(
        IFERROR(VALUE($C73),0) * MAX(0, MIN($C$1, DATE(Initialisatie!$C$5,12,31)) - MAX($C$2, DATE(Initialisatie!$C$5,1,1)) + 1),
        IFERROR(VALUE($D73),0) * MAX(0, MIN($D$1, DATE(Initialisatie!$C$5,12,31)) - MAX($D$2, DATE(Initialisatie!$C$5,1,1)) + 1),
        IFERROR(VALUE($E73),0) * MAX(0, MIN($E$1, DATE(Initialisatie!$C$5,12,31)) - MAX($E$2, DATE(Initialisatie!$C$5,1,1)) + 1)
    ) / (DATE(Initialisatie!$C$5,12,31) - DATE(Initialisatie!$C$5,1,1) + 1)
)</f>
        <v>2715.3671232876713</v>
      </c>
      <c r="H73">
        <f>IF(
    OR(
        AND(MAX(0, IF(MIN($C$1, DATE(Initialisatie!$C$5,12,31)) &lt; MAX($C$2, DATE(Initialisatie!$C$5,1,1)), 0, MONTH(MIN($C$1, DATE(Initialisatie!$C$5,12,31))) - MONTH(MAX($C$2, DATE(Initialisatie!$C$5,1,1))) + 1)) &lt;= 0, IFERROR(VALUE($C73),0)=0),
        AND(MAX(0, IF(MIN($D$1, DATE(Initialisatie!$C$5,12,31)) &lt; MAX($D$2, DATE(Initialisatie!$C$5,1,1)), 0, MONTH(MIN($D$1, DATE(Initialisatie!$C$5,12,31))) - MONTH(MAX($D$2, DATE(Initialisatie!$C$5,1,1))) + 1)) &lt;= 0, IFERROR(VALUE($D73),0)=0),
        AND(MAX(0, IF(MIN($E$1, DATE(Initialisatie!$C$5,12,31)) &lt; MAX($E$2, DATE(Initialisatie!$C$5,1,1)), 0, MONTH(MIN($E$1, DATE(Initialisatie!$C$5,12,31))) - MONTH(MAX($E$2, DATE(Initialisatie!$C$5,1,1))) + 1)) &lt;= 0, IFERROR(VALUE($E73),0)=0)
    ),
    0,
    SUM(
        IFERROR(VALUE($C73),0) * MAX(0, IF(MIN($C$1, DATE(Initialisatie!$C$5,12,31)) &lt; MAX($C$2, DATE(Initialisatie!$C$5,1,1)), 0, MONTH(MIN($C$1, DATE(Initialisatie!$C$5,12,31))) - MONTH(MAX($C$2, DATE(Initialisatie!$C$5,1,1))) + 1)),
        IFERROR(VALUE($D73),0) * MAX(0, IF(MIN($D$1, DATE(Initialisatie!$C$5,12,31)) &lt; MAX($D$2, DATE(Initialisatie!$C$5,1,1)), 0, MONTH(MIN($D$1, DATE(Initialisatie!$C$5,12,31))) - MONTH(MAX($D$2, DATE(Initialisatie!$C$5,1,1))) + 1)),
        IFERROR(VALUE($E73),0) * MAX(0, IF(MIN($E$1, DATE(Initialisatie!$C$5,12,31)) &lt; MAX($E$2, DATE(Initialisatie!$C$5,1,1)), 0, MONTH(MIN($E$1, DATE(Initialisatie!$C$5,12,31))) - MONTH(MAX($E$2, DATE(Initialisatie!$C$5,1,1))) + 1))
    ) / 12
)</f>
        <v>2715.25</v>
      </c>
    </row>
    <row r="74" spans="1:8" x14ac:dyDescent="0.45">
      <c r="A74" s="997"/>
      <c r="B74" s="380">
        <v>2</v>
      </c>
      <c r="C74" t="s">
        <v>1727</v>
      </c>
      <c r="D74" t="s">
        <v>1728</v>
      </c>
      <c r="E74" t="s">
        <v>1729</v>
      </c>
      <c r="G74">
        <f>IF(
    OR(
        AND(MAX(0, MIN($C$1, DATE(Initialisatie!$C$5,12,31)) - MAX($C$2, DATE(Initialisatie!$C$5,1,1)) + 1) &gt; 0, IFERROR(VALUE($C74),0)=0),
        AND(MAX(0, MIN($D$1, DATE(Initialisatie!$C$5,12,31)) - MAX($D$2, DATE(Initialisatie!$C$5,1,1)) + 1) &gt; 0, IFERROR(VALUE($D74),0)=0),
        AND(MAX(0, MIN($E$1, DATE(Initialisatie!$C$5,12,31)) - MAX($E$2, DATE(Initialisatie!$C$5,1,1)) + 1) &gt; 0, IFERROR(VALUE($E74),0)=0)
    ),
    0,
    SUM(
        IFERROR(VALUE($C74),0) * MAX(0, MIN($C$1, DATE(Initialisatie!$C$5,12,31)) - MAX($C$2, DATE(Initialisatie!$C$5,1,1)) + 1),
        IFERROR(VALUE($D74),0) * MAX(0, MIN($D$1, DATE(Initialisatie!$C$5,12,31)) - MAX($D$2, DATE(Initialisatie!$C$5,1,1)) + 1),
        IFERROR(VALUE($E74),0) * MAX(0, MIN($E$1, DATE(Initialisatie!$C$5,12,31)) - MAX($E$2, DATE(Initialisatie!$C$5,1,1)) + 1)
    ) / (DATE(Initialisatie!$C$5,12,31) - DATE(Initialisatie!$C$5,1,1) + 1)
)</f>
        <v>2777.6191780821919</v>
      </c>
      <c r="H74">
        <f>IF(
    OR(
        AND(MAX(0, IF(MIN($C$1, DATE(Initialisatie!$C$5,12,31)) &lt; MAX($C$2, DATE(Initialisatie!$C$5,1,1)), 0, MONTH(MIN($C$1, DATE(Initialisatie!$C$5,12,31))) - MONTH(MAX($C$2, DATE(Initialisatie!$C$5,1,1))) + 1)) &lt;= 0, IFERROR(VALUE($C74),0)=0),
        AND(MAX(0, IF(MIN($D$1, DATE(Initialisatie!$C$5,12,31)) &lt; MAX($D$2, DATE(Initialisatie!$C$5,1,1)), 0, MONTH(MIN($D$1, DATE(Initialisatie!$C$5,12,31))) - MONTH(MAX($D$2, DATE(Initialisatie!$C$5,1,1))) + 1)) &lt;= 0, IFERROR(VALUE($D74),0)=0),
        AND(MAX(0, IF(MIN($E$1, DATE(Initialisatie!$C$5,12,31)) &lt; MAX($E$2, DATE(Initialisatie!$C$5,1,1)), 0, MONTH(MIN($E$1, DATE(Initialisatie!$C$5,12,31))) - MONTH(MAX($E$2, DATE(Initialisatie!$C$5,1,1))) + 1)) &lt;= 0, IFERROR(VALUE($E74),0)=0)
    ),
    0,
    SUM(
        IFERROR(VALUE($C74),0) * MAX(0, IF(MIN($C$1, DATE(Initialisatie!$C$5,12,31)) &lt; MAX($C$2, DATE(Initialisatie!$C$5,1,1)), 0, MONTH(MIN($C$1, DATE(Initialisatie!$C$5,12,31))) - MONTH(MAX($C$2, DATE(Initialisatie!$C$5,1,1))) + 1)),
        IFERROR(VALUE($D74),0) * MAX(0, IF(MIN($D$1, DATE(Initialisatie!$C$5,12,31)) &lt; MAX($D$2, DATE(Initialisatie!$C$5,1,1)), 0, MONTH(MIN($D$1, DATE(Initialisatie!$C$5,12,31))) - MONTH(MAX($D$2, DATE(Initialisatie!$C$5,1,1))) + 1)),
        IFERROR(VALUE($E74),0) * MAX(0, IF(MIN($E$1, DATE(Initialisatie!$C$5,12,31)) &lt; MAX($E$2, DATE(Initialisatie!$C$5,1,1)), 0, MONTH(MIN($E$1, DATE(Initialisatie!$C$5,12,31))) - MONTH(MAX($E$2, DATE(Initialisatie!$C$5,1,1))) + 1))
    ) / 12
)</f>
        <v>2777.5</v>
      </c>
    </row>
    <row r="75" spans="1:8" x14ac:dyDescent="0.45">
      <c r="A75" s="997"/>
      <c r="B75" s="380">
        <v>3</v>
      </c>
      <c r="C75" t="s">
        <v>1730</v>
      </c>
      <c r="D75" t="s">
        <v>1731</v>
      </c>
      <c r="E75" t="s">
        <v>1732</v>
      </c>
      <c r="G75">
        <f>IF(
    OR(
        AND(MAX(0, MIN($C$1, DATE(Initialisatie!$C$5,12,31)) - MAX($C$2, DATE(Initialisatie!$C$5,1,1)) + 1) &gt; 0, IFERROR(VALUE($C75),0)=0),
        AND(MAX(0, MIN($D$1, DATE(Initialisatie!$C$5,12,31)) - MAX($D$2, DATE(Initialisatie!$C$5,1,1)) + 1) &gt; 0, IFERROR(VALUE($D75),0)=0),
        AND(MAX(0, MIN($E$1, DATE(Initialisatie!$C$5,12,31)) - MAX($E$2, DATE(Initialisatie!$C$5,1,1)) + 1) &gt; 0, IFERROR(VALUE($E75),0)=0)
    ),
    0,
    SUM(
        IFERROR(VALUE($C75),0) * MAX(0, MIN($C$1, DATE(Initialisatie!$C$5,12,31)) - MAX($C$2, DATE(Initialisatie!$C$5,1,1)) + 1),
        IFERROR(VALUE($D75),0) * MAX(0, MIN($D$1, DATE(Initialisatie!$C$5,12,31)) - MAX($D$2, DATE(Initialisatie!$C$5,1,1)) + 1),
        IFERROR(VALUE($E75),0) * MAX(0, MIN($E$1, DATE(Initialisatie!$C$5,12,31)) - MAX($E$2, DATE(Initialisatie!$C$5,1,1)) + 1)
    ) / (DATE(Initialisatie!$C$5,12,31) - DATE(Initialisatie!$C$5,1,1) + 1)
)</f>
        <v>2847.8712328767124</v>
      </c>
      <c r="H75">
        <f>IF(
    OR(
        AND(MAX(0, IF(MIN($C$1, DATE(Initialisatie!$C$5,12,31)) &lt; MAX($C$2, DATE(Initialisatie!$C$5,1,1)), 0, MONTH(MIN($C$1, DATE(Initialisatie!$C$5,12,31))) - MONTH(MAX($C$2, DATE(Initialisatie!$C$5,1,1))) + 1)) &lt;= 0, IFERROR(VALUE($C75),0)=0),
        AND(MAX(0, IF(MIN($D$1, DATE(Initialisatie!$C$5,12,31)) &lt; MAX($D$2, DATE(Initialisatie!$C$5,1,1)), 0, MONTH(MIN($D$1, DATE(Initialisatie!$C$5,12,31))) - MONTH(MAX($D$2, DATE(Initialisatie!$C$5,1,1))) + 1)) &lt;= 0, IFERROR(VALUE($D75),0)=0),
        AND(MAX(0, IF(MIN($E$1, DATE(Initialisatie!$C$5,12,31)) &lt; MAX($E$2, DATE(Initialisatie!$C$5,1,1)), 0, MONTH(MIN($E$1, DATE(Initialisatie!$C$5,12,31))) - MONTH(MAX($E$2, DATE(Initialisatie!$C$5,1,1))) + 1)) &lt;= 0, IFERROR(VALUE($E75),0)=0)
    ),
    0,
    SUM(
        IFERROR(VALUE($C75),0) * MAX(0, IF(MIN($C$1, DATE(Initialisatie!$C$5,12,31)) &lt; MAX($C$2, DATE(Initialisatie!$C$5,1,1)), 0, MONTH(MIN($C$1, DATE(Initialisatie!$C$5,12,31))) - MONTH(MAX($C$2, DATE(Initialisatie!$C$5,1,1))) + 1)),
        IFERROR(VALUE($D75),0) * MAX(0, IF(MIN($D$1, DATE(Initialisatie!$C$5,12,31)) &lt; MAX($D$2, DATE(Initialisatie!$C$5,1,1)), 0, MONTH(MIN($D$1, DATE(Initialisatie!$C$5,12,31))) - MONTH(MAX($D$2, DATE(Initialisatie!$C$5,1,1))) + 1)),
        IFERROR(VALUE($E75),0) * MAX(0, IF(MIN($E$1, DATE(Initialisatie!$C$5,12,31)) &lt; MAX($E$2, DATE(Initialisatie!$C$5,1,1)), 0, MONTH(MIN($E$1, DATE(Initialisatie!$C$5,12,31))) - MONTH(MAX($E$2, DATE(Initialisatie!$C$5,1,1))) + 1))
    ) / 12
)</f>
        <v>2847.75</v>
      </c>
    </row>
    <row r="76" spans="1:8" x14ac:dyDescent="0.45">
      <c r="A76" s="997"/>
      <c r="B76" s="380">
        <v>4</v>
      </c>
      <c r="C76" t="s">
        <v>1733</v>
      </c>
      <c r="D76" t="s">
        <v>1734</v>
      </c>
      <c r="E76" t="s">
        <v>1735</v>
      </c>
      <c r="G76">
        <f>IF(
    OR(
        AND(MAX(0, MIN($C$1, DATE(Initialisatie!$C$5,12,31)) - MAX($C$2, DATE(Initialisatie!$C$5,1,1)) + 1) &gt; 0, IFERROR(VALUE($C76),0)=0),
        AND(MAX(0, MIN($D$1, DATE(Initialisatie!$C$5,12,31)) - MAX($D$2, DATE(Initialisatie!$C$5,1,1)) + 1) &gt; 0, IFERROR(VALUE($D76),0)=0),
        AND(MAX(0, MIN($E$1, DATE(Initialisatie!$C$5,12,31)) - MAX($E$2, DATE(Initialisatie!$C$5,1,1)) + 1) &gt; 0, IFERROR(VALUE($E76),0)=0)
    ),
    0,
    SUM(
        IFERROR(VALUE($C76),0) * MAX(0, MIN($C$1, DATE(Initialisatie!$C$5,12,31)) - MAX($C$2, DATE(Initialisatie!$C$5,1,1)) + 1),
        IFERROR(VALUE($D76),0) * MAX(0, MIN($D$1, DATE(Initialisatie!$C$5,12,31)) - MAX($D$2, DATE(Initialisatie!$C$5,1,1)) + 1),
        IFERROR(VALUE($E76),0) * MAX(0, MIN($E$1, DATE(Initialisatie!$C$5,12,31)) - MAX($E$2, DATE(Initialisatie!$C$5,1,1)) + 1)
    ) / (DATE(Initialisatie!$C$5,12,31) - DATE(Initialisatie!$C$5,1,1) + 1)
)</f>
        <v>2943.3753424657534</v>
      </c>
      <c r="H76">
        <f>IF(
    OR(
        AND(MAX(0, IF(MIN($C$1, DATE(Initialisatie!$C$5,12,31)) &lt; MAX($C$2, DATE(Initialisatie!$C$5,1,1)), 0, MONTH(MIN($C$1, DATE(Initialisatie!$C$5,12,31))) - MONTH(MAX($C$2, DATE(Initialisatie!$C$5,1,1))) + 1)) &lt;= 0, IFERROR(VALUE($C76),0)=0),
        AND(MAX(0, IF(MIN($D$1, DATE(Initialisatie!$C$5,12,31)) &lt; MAX($D$2, DATE(Initialisatie!$C$5,1,1)), 0, MONTH(MIN($D$1, DATE(Initialisatie!$C$5,12,31))) - MONTH(MAX($D$2, DATE(Initialisatie!$C$5,1,1))) + 1)) &lt;= 0, IFERROR(VALUE($D76),0)=0),
        AND(MAX(0, IF(MIN($E$1, DATE(Initialisatie!$C$5,12,31)) &lt; MAX($E$2, DATE(Initialisatie!$C$5,1,1)), 0, MONTH(MIN($E$1, DATE(Initialisatie!$C$5,12,31))) - MONTH(MAX($E$2, DATE(Initialisatie!$C$5,1,1))) + 1)) &lt;= 0, IFERROR(VALUE($E76),0)=0)
    ),
    0,
    SUM(
        IFERROR(VALUE($C76),0) * MAX(0, IF(MIN($C$1, DATE(Initialisatie!$C$5,12,31)) &lt; MAX($C$2, DATE(Initialisatie!$C$5,1,1)), 0, MONTH(MIN($C$1, DATE(Initialisatie!$C$5,12,31))) - MONTH(MAX($C$2, DATE(Initialisatie!$C$5,1,1))) + 1)),
        IFERROR(VALUE($D76),0) * MAX(0, IF(MIN($D$1, DATE(Initialisatie!$C$5,12,31)) &lt; MAX($D$2, DATE(Initialisatie!$C$5,1,1)), 0, MONTH(MIN($D$1, DATE(Initialisatie!$C$5,12,31))) - MONTH(MAX($D$2, DATE(Initialisatie!$C$5,1,1))) + 1)),
        IFERROR(VALUE($E76),0) * MAX(0, IF(MIN($E$1, DATE(Initialisatie!$C$5,12,31)) &lt; MAX($E$2, DATE(Initialisatie!$C$5,1,1)), 0, MONTH(MIN($E$1, DATE(Initialisatie!$C$5,12,31))) - MONTH(MAX($E$2, DATE(Initialisatie!$C$5,1,1))) + 1))
    ) / 12
)</f>
        <v>2943.25</v>
      </c>
    </row>
    <row r="77" spans="1:8" x14ac:dyDescent="0.45">
      <c r="A77" s="997"/>
      <c r="B77" s="380">
        <v>5</v>
      </c>
      <c r="C77" t="s">
        <v>1736</v>
      </c>
      <c r="D77" t="s">
        <v>1737</v>
      </c>
      <c r="E77" t="s">
        <v>1738</v>
      </c>
      <c r="G77">
        <f>IF(
    OR(
        AND(MAX(0, MIN($C$1, DATE(Initialisatie!$C$5,12,31)) - MAX($C$2, DATE(Initialisatie!$C$5,1,1)) + 1) &gt; 0, IFERROR(VALUE($C77),0)=0),
        AND(MAX(0, MIN($D$1, DATE(Initialisatie!$C$5,12,31)) - MAX($D$2, DATE(Initialisatie!$C$5,1,1)) + 1) &gt; 0, IFERROR(VALUE($D77),0)=0),
        AND(MAX(0, MIN($E$1, DATE(Initialisatie!$C$5,12,31)) - MAX($E$2, DATE(Initialisatie!$C$5,1,1)) + 1) &gt; 0, IFERROR(VALUE($E77),0)=0)
    ),
    0,
    SUM(
        IFERROR(VALUE($C77),0) * MAX(0, MIN($C$1, DATE(Initialisatie!$C$5,12,31)) - MAX($C$2, DATE(Initialisatie!$C$5,1,1)) + 1),
        IFERROR(VALUE($D77),0) * MAX(0, MIN($D$1, DATE(Initialisatie!$C$5,12,31)) - MAX($D$2, DATE(Initialisatie!$C$5,1,1)) + 1),
        IFERROR(VALUE($E77),0) * MAX(0, MIN($E$1, DATE(Initialisatie!$C$5,12,31)) - MAX($E$2, DATE(Initialisatie!$C$5,1,1)) + 1)
    ) / (DATE(Initialisatie!$C$5,12,31) - DATE(Initialisatie!$C$5,1,1) + 1)
)</f>
        <v>3025.8794520547945</v>
      </c>
      <c r="H77">
        <f>IF(
    OR(
        AND(MAX(0, IF(MIN($C$1, DATE(Initialisatie!$C$5,12,31)) &lt; MAX($C$2, DATE(Initialisatie!$C$5,1,1)), 0, MONTH(MIN($C$1, DATE(Initialisatie!$C$5,12,31))) - MONTH(MAX($C$2, DATE(Initialisatie!$C$5,1,1))) + 1)) &lt;= 0, IFERROR(VALUE($C77),0)=0),
        AND(MAX(0, IF(MIN($D$1, DATE(Initialisatie!$C$5,12,31)) &lt; MAX($D$2, DATE(Initialisatie!$C$5,1,1)), 0, MONTH(MIN($D$1, DATE(Initialisatie!$C$5,12,31))) - MONTH(MAX($D$2, DATE(Initialisatie!$C$5,1,1))) + 1)) &lt;= 0, IFERROR(VALUE($D77),0)=0),
        AND(MAX(0, IF(MIN($E$1, DATE(Initialisatie!$C$5,12,31)) &lt; MAX($E$2, DATE(Initialisatie!$C$5,1,1)), 0, MONTH(MIN($E$1, DATE(Initialisatie!$C$5,12,31))) - MONTH(MAX($E$2, DATE(Initialisatie!$C$5,1,1))) + 1)) &lt;= 0, IFERROR(VALUE($E77),0)=0)
    ),
    0,
    SUM(
        IFERROR(VALUE($C77),0) * MAX(0, IF(MIN($C$1, DATE(Initialisatie!$C$5,12,31)) &lt; MAX($C$2, DATE(Initialisatie!$C$5,1,1)), 0, MONTH(MIN($C$1, DATE(Initialisatie!$C$5,12,31))) - MONTH(MAX($C$2, DATE(Initialisatie!$C$5,1,1))) + 1)),
        IFERROR(VALUE($D77),0) * MAX(0, IF(MIN($D$1, DATE(Initialisatie!$C$5,12,31)) &lt; MAX($D$2, DATE(Initialisatie!$C$5,1,1)), 0, MONTH(MIN($D$1, DATE(Initialisatie!$C$5,12,31))) - MONTH(MAX($D$2, DATE(Initialisatie!$C$5,1,1))) + 1)),
        IFERROR(VALUE($E77),0) * MAX(0, IF(MIN($E$1, DATE(Initialisatie!$C$5,12,31)) &lt; MAX($E$2, DATE(Initialisatie!$C$5,1,1)), 0, MONTH(MIN($E$1, DATE(Initialisatie!$C$5,12,31))) - MONTH(MAX($E$2, DATE(Initialisatie!$C$5,1,1))) + 1))
    ) / 12
)</f>
        <v>3025.75</v>
      </c>
    </row>
    <row r="78" spans="1:8" x14ac:dyDescent="0.45">
      <c r="A78" s="997"/>
      <c r="B78" s="380">
        <v>6</v>
      </c>
      <c r="C78" t="s">
        <v>1739</v>
      </c>
      <c r="D78" t="s">
        <v>1740</v>
      </c>
      <c r="E78" t="s">
        <v>1741</v>
      </c>
      <c r="G78">
        <f>IF(
    OR(
        AND(MAX(0, MIN($C$1, DATE(Initialisatie!$C$5,12,31)) - MAX($C$2, DATE(Initialisatie!$C$5,1,1)) + 1) &gt; 0, IFERROR(VALUE($C78),0)=0),
        AND(MAX(0, MIN($D$1, DATE(Initialisatie!$C$5,12,31)) - MAX($D$2, DATE(Initialisatie!$C$5,1,1)) + 1) &gt; 0, IFERROR(VALUE($D78),0)=0),
        AND(MAX(0, MIN($E$1, DATE(Initialisatie!$C$5,12,31)) - MAX($E$2, DATE(Initialisatie!$C$5,1,1)) + 1) &gt; 0, IFERROR(VALUE($E78),0)=0)
    ),
    0,
    SUM(
        IFERROR(VALUE($C78),0) * MAX(0, MIN($C$1, DATE(Initialisatie!$C$5,12,31)) - MAX($C$2, DATE(Initialisatie!$C$5,1,1)) + 1),
        IFERROR(VALUE($D78),0) * MAX(0, MIN($D$1, DATE(Initialisatie!$C$5,12,31)) - MAX($D$2, DATE(Initialisatie!$C$5,1,1)) + 1),
        IFERROR(VALUE($E78),0) * MAX(0, MIN($E$1, DATE(Initialisatie!$C$5,12,31)) - MAX($E$2, DATE(Initialisatie!$C$5,1,1)) + 1)
    ) / (DATE(Initialisatie!$C$5,12,31) - DATE(Initialisatie!$C$5,1,1) + 1)
)</f>
        <v>3123.3835616438355</v>
      </c>
      <c r="H78">
        <f>IF(
    OR(
        AND(MAX(0, IF(MIN($C$1, DATE(Initialisatie!$C$5,12,31)) &lt; MAX($C$2, DATE(Initialisatie!$C$5,1,1)), 0, MONTH(MIN($C$1, DATE(Initialisatie!$C$5,12,31))) - MONTH(MAX($C$2, DATE(Initialisatie!$C$5,1,1))) + 1)) &lt;= 0, IFERROR(VALUE($C78),0)=0),
        AND(MAX(0, IF(MIN($D$1, DATE(Initialisatie!$C$5,12,31)) &lt; MAX($D$2, DATE(Initialisatie!$C$5,1,1)), 0, MONTH(MIN($D$1, DATE(Initialisatie!$C$5,12,31))) - MONTH(MAX($D$2, DATE(Initialisatie!$C$5,1,1))) + 1)) &lt;= 0, IFERROR(VALUE($D78),0)=0),
        AND(MAX(0, IF(MIN($E$1, DATE(Initialisatie!$C$5,12,31)) &lt; MAX($E$2, DATE(Initialisatie!$C$5,1,1)), 0, MONTH(MIN($E$1, DATE(Initialisatie!$C$5,12,31))) - MONTH(MAX($E$2, DATE(Initialisatie!$C$5,1,1))) + 1)) &lt;= 0, IFERROR(VALUE($E78),0)=0)
    ),
    0,
    SUM(
        IFERROR(VALUE($C78),0) * MAX(0, IF(MIN($C$1, DATE(Initialisatie!$C$5,12,31)) &lt; MAX($C$2, DATE(Initialisatie!$C$5,1,1)), 0, MONTH(MIN($C$1, DATE(Initialisatie!$C$5,12,31))) - MONTH(MAX($C$2, DATE(Initialisatie!$C$5,1,1))) + 1)),
        IFERROR(VALUE($D78),0) * MAX(0, IF(MIN($D$1, DATE(Initialisatie!$C$5,12,31)) &lt; MAX($D$2, DATE(Initialisatie!$C$5,1,1)), 0, MONTH(MIN($D$1, DATE(Initialisatie!$C$5,12,31))) - MONTH(MAX($D$2, DATE(Initialisatie!$C$5,1,1))) + 1)),
        IFERROR(VALUE($E78),0) * MAX(0, IF(MIN($E$1, DATE(Initialisatie!$C$5,12,31)) &lt; MAX($E$2, DATE(Initialisatie!$C$5,1,1)), 0, MONTH(MIN($E$1, DATE(Initialisatie!$C$5,12,31))) - MONTH(MAX($E$2, DATE(Initialisatie!$C$5,1,1))) + 1))
    ) / 12
)</f>
        <v>3123.25</v>
      </c>
    </row>
    <row r="79" spans="1:8" x14ac:dyDescent="0.45">
      <c r="A79" s="997"/>
      <c r="B79" s="380">
        <v>7</v>
      </c>
      <c r="C79" t="s">
        <v>1742</v>
      </c>
      <c r="D79" t="s">
        <v>1743</v>
      </c>
      <c r="E79" t="s">
        <v>1744</v>
      </c>
      <c r="G79">
        <f>IF(
    OR(
        AND(MAX(0, MIN($C$1, DATE(Initialisatie!$C$5,12,31)) - MAX($C$2, DATE(Initialisatie!$C$5,1,1)) + 1) &gt; 0, IFERROR(VALUE($C79),0)=0),
        AND(MAX(0, MIN($D$1, DATE(Initialisatie!$C$5,12,31)) - MAX($D$2, DATE(Initialisatie!$C$5,1,1)) + 1) &gt; 0, IFERROR(VALUE($D79),0)=0),
        AND(MAX(0, MIN($E$1, DATE(Initialisatie!$C$5,12,31)) - MAX($E$2, DATE(Initialisatie!$C$5,1,1)) + 1) &gt; 0, IFERROR(VALUE($E79),0)=0)
    ),
    0,
    SUM(
        IFERROR(VALUE($C79),0) * MAX(0, MIN($C$1, DATE(Initialisatie!$C$5,12,31)) - MAX($C$2, DATE(Initialisatie!$C$5,1,1)) + 1),
        IFERROR(VALUE($D79),0) * MAX(0, MIN($D$1, DATE(Initialisatie!$C$5,12,31)) - MAX($D$2, DATE(Initialisatie!$C$5,1,1)) + 1),
        IFERROR(VALUE($E79),0) * MAX(0, MIN($E$1, DATE(Initialisatie!$C$5,12,31)) - MAX($E$2, DATE(Initialisatie!$C$5,1,1)) + 1)
    ) / (DATE(Initialisatie!$C$5,12,31) - DATE(Initialisatie!$C$5,1,1) + 1)
)</f>
        <v>3210.8876712328765</v>
      </c>
      <c r="H79">
        <f>IF(
    OR(
        AND(MAX(0, IF(MIN($C$1, DATE(Initialisatie!$C$5,12,31)) &lt; MAX($C$2, DATE(Initialisatie!$C$5,1,1)), 0, MONTH(MIN($C$1, DATE(Initialisatie!$C$5,12,31))) - MONTH(MAX($C$2, DATE(Initialisatie!$C$5,1,1))) + 1)) &lt;= 0, IFERROR(VALUE($C79),0)=0),
        AND(MAX(0, IF(MIN($D$1, DATE(Initialisatie!$C$5,12,31)) &lt; MAX($D$2, DATE(Initialisatie!$C$5,1,1)), 0, MONTH(MIN($D$1, DATE(Initialisatie!$C$5,12,31))) - MONTH(MAX($D$2, DATE(Initialisatie!$C$5,1,1))) + 1)) &lt;= 0, IFERROR(VALUE($D79),0)=0),
        AND(MAX(0, IF(MIN($E$1, DATE(Initialisatie!$C$5,12,31)) &lt; MAX($E$2, DATE(Initialisatie!$C$5,1,1)), 0, MONTH(MIN($E$1, DATE(Initialisatie!$C$5,12,31))) - MONTH(MAX($E$2, DATE(Initialisatie!$C$5,1,1))) + 1)) &lt;= 0, IFERROR(VALUE($E79),0)=0)
    ),
    0,
    SUM(
        IFERROR(VALUE($C79),0) * MAX(0, IF(MIN($C$1, DATE(Initialisatie!$C$5,12,31)) &lt; MAX($C$2, DATE(Initialisatie!$C$5,1,1)), 0, MONTH(MIN($C$1, DATE(Initialisatie!$C$5,12,31))) - MONTH(MAX($C$2, DATE(Initialisatie!$C$5,1,1))) + 1)),
        IFERROR(VALUE($D79),0) * MAX(0, IF(MIN($D$1, DATE(Initialisatie!$C$5,12,31)) &lt; MAX($D$2, DATE(Initialisatie!$C$5,1,1)), 0, MONTH(MIN($D$1, DATE(Initialisatie!$C$5,12,31))) - MONTH(MAX($D$2, DATE(Initialisatie!$C$5,1,1))) + 1)),
        IFERROR(VALUE($E79),0) * MAX(0, IF(MIN($E$1, DATE(Initialisatie!$C$5,12,31)) &lt; MAX($E$2, DATE(Initialisatie!$C$5,1,1)), 0, MONTH(MIN($E$1, DATE(Initialisatie!$C$5,12,31))) - MONTH(MAX($E$2, DATE(Initialisatie!$C$5,1,1))) + 1))
    ) / 12
)</f>
        <v>3210.75</v>
      </c>
    </row>
    <row r="80" spans="1:8" x14ac:dyDescent="0.45">
      <c r="A80" s="997"/>
      <c r="B80" s="380">
        <v>8</v>
      </c>
      <c r="C80" t="s">
        <v>1745</v>
      </c>
      <c r="D80" t="s">
        <v>1746</v>
      </c>
      <c r="E80" t="s">
        <v>1747</v>
      </c>
      <c r="G80">
        <f>IF(
    OR(
        AND(MAX(0, MIN($C$1, DATE(Initialisatie!$C$5,12,31)) - MAX($C$2, DATE(Initialisatie!$C$5,1,1)) + 1) &gt; 0, IFERROR(VALUE($C80),0)=0),
        AND(MAX(0, MIN($D$1, DATE(Initialisatie!$C$5,12,31)) - MAX($D$2, DATE(Initialisatie!$C$5,1,1)) + 1) &gt; 0, IFERROR(VALUE($D80),0)=0),
        AND(MAX(0, MIN($E$1, DATE(Initialisatie!$C$5,12,31)) - MAX($E$2, DATE(Initialisatie!$C$5,1,1)) + 1) &gt; 0, IFERROR(VALUE($E80),0)=0)
    ),
    0,
    SUM(
        IFERROR(VALUE($C80),0) * MAX(0, MIN($C$1, DATE(Initialisatie!$C$5,12,31)) - MAX($C$2, DATE(Initialisatie!$C$5,1,1)) + 1),
        IFERROR(VALUE($D80),0) * MAX(0, MIN($D$1, DATE(Initialisatie!$C$5,12,31)) - MAX($D$2, DATE(Initialisatie!$C$5,1,1)) + 1),
        IFERROR(VALUE($E80),0) * MAX(0, MIN($E$1, DATE(Initialisatie!$C$5,12,31)) - MAX($E$2, DATE(Initialisatie!$C$5,1,1)) + 1)
    ) / (DATE(Initialisatie!$C$5,12,31) - DATE(Initialisatie!$C$5,1,1) + 1)
)</f>
        <v>3307.391780821918</v>
      </c>
      <c r="H80">
        <f>IF(
    OR(
        AND(MAX(0, IF(MIN($C$1, DATE(Initialisatie!$C$5,12,31)) &lt; MAX($C$2, DATE(Initialisatie!$C$5,1,1)), 0, MONTH(MIN($C$1, DATE(Initialisatie!$C$5,12,31))) - MONTH(MAX($C$2, DATE(Initialisatie!$C$5,1,1))) + 1)) &lt;= 0, IFERROR(VALUE($C80),0)=0),
        AND(MAX(0, IF(MIN($D$1, DATE(Initialisatie!$C$5,12,31)) &lt; MAX($D$2, DATE(Initialisatie!$C$5,1,1)), 0, MONTH(MIN($D$1, DATE(Initialisatie!$C$5,12,31))) - MONTH(MAX($D$2, DATE(Initialisatie!$C$5,1,1))) + 1)) &lt;= 0, IFERROR(VALUE($D80),0)=0),
        AND(MAX(0, IF(MIN($E$1, DATE(Initialisatie!$C$5,12,31)) &lt; MAX($E$2, DATE(Initialisatie!$C$5,1,1)), 0, MONTH(MIN($E$1, DATE(Initialisatie!$C$5,12,31))) - MONTH(MAX($E$2, DATE(Initialisatie!$C$5,1,1))) + 1)) &lt;= 0, IFERROR(VALUE($E80),0)=0)
    ),
    0,
    SUM(
        IFERROR(VALUE($C80),0) * MAX(0, IF(MIN($C$1, DATE(Initialisatie!$C$5,12,31)) &lt; MAX($C$2, DATE(Initialisatie!$C$5,1,1)), 0, MONTH(MIN($C$1, DATE(Initialisatie!$C$5,12,31))) - MONTH(MAX($C$2, DATE(Initialisatie!$C$5,1,1))) + 1)),
        IFERROR(VALUE($D80),0) * MAX(0, IF(MIN($D$1, DATE(Initialisatie!$C$5,12,31)) &lt; MAX($D$2, DATE(Initialisatie!$C$5,1,1)), 0, MONTH(MIN($D$1, DATE(Initialisatie!$C$5,12,31))) - MONTH(MAX($D$2, DATE(Initialisatie!$C$5,1,1))) + 1)),
        IFERROR(VALUE($E80),0) * MAX(0, IF(MIN($E$1, DATE(Initialisatie!$C$5,12,31)) &lt; MAX($E$2, DATE(Initialisatie!$C$5,1,1)), 0, MONTH(MIN($E$1, DATE(Initialisatie!$C$5,12,31))) - MONTH(MAX($E$2, DATE(Initialisatie!$C$5,1,1))) + 1))
    ) / 12
)</f>
        <v>3307.25</v>
      </c>
    </row>
    <row r="81" spans="1:8" x14ac:dyDescent="0.45">
      <c r="A81" s="997"/>
      <c r="B81" s="380">
        <v>9</v>
      </c>
      <c r="C81" t="s">
        <v>1748</v>
      </c>
      <c r="D81" t="s">
        <v>1749</v>
      </c>
      <c r="E81" t="s">
        <v>1750</v>
      </c>
      <c r="G81">
        <f>IF(
    OR(
        AND(MAX(0, MIN($C$1, DATE(Initialisatie!$C$5,12,31)) - MAX($C$2, DATE(Initialisatie!$C$5,1,1)) + 1) &gt; 0, IFERROR(VALUE($C81),0)=0),
        AND(MAX(0, MIN($D$1, DATE(Initialisatie!$C$5,12,31)) - MAX($D$2, DATE(Initialisatie!$C$5,1,1)) + 1) &gt; 0, IFERROR(VALUE($D81),0)=0),
        AND(MAX(0, MIN($E$1, DATE(Initialisatie!$C$5,12,31)) - MAX($E$2, DATE(Initialisatie!$C$5,1,1)) + 1) &gt; 0, IFERROR(VALUE($E81),0)=0)
    ),
    0,
    SUM(
        IFERROR(VALUE($C81),0) * MAX(0, MIN($C$1, DATE(Initialisatie!$C$5,12,31)) - MAX($C$2, DATE(Initialisatie!$C$5,1,1)) + 1),
        IFERROR(VALUE($D81),0) * MAX(0, MIN($D$1, DATE(Initialisatie!$C$5,12,31)) - MAX($D$2, DATE(Initialisatie!$C$5,1,1)) + 1),
        IFERROR(VALUE($E81),0) * MAX(0, MIN($E$1, DATE(Initialisatie!$C$5,12,31)) - MAX($E$2, DATE(Initialisatie!$C$5,1,1)) + 1)
    ) / (DATE(Initialisatie!$C$5,12,31) - DATE(Initialisatie!$C$5,1,1) + 1)
)</f>
        <v>3390.8958904109591</v>
      </c>
      <c r="H81">
        <f>IF(
    OR(
        AND(MAX(0, IF(MIN($C$1, DATE(Initialisatie!$C$5,12,31)) &lt; MAX($C$2, DATE(Initialisatie!$C$5,1,1)), 0, MONTH(MIN($C$1, DATE(Initialisatie!$C$5,12,31))) - MONTH(MAX($C$2, DATE(Initialisatie!$C$5,1,1))) + 1)) &lt;= 0, IFERROR(VALUE($C81),0)=0),
        AND(MAX(0, IF(MIN($D$1, DATE(Initialisatie!$C$5,12,31)) &lt; MAX($D$2, DATE(Initialisatie!$C$5,1,1)), 0, MONTH(MIN($D$1, DATE(Initialisatie!$C$5,12,31))) - MONTH(MAX($D$2, DATE(Initialisatie!$C$5,1,1))) + 1)) &lt;= 0, IFERROR(VALUE($D81),0)=0),
        AND(MAX(0, IF(MIN($E$1, DATE(Initialisatie!$C$5,12,31)) &lt; MAX($E$2, DATE(Initialisatie!$C$5,1,1)), 0, MONTH(MIN($E$1, DATE(Initialisatie!$C$5,12,31))) - MONTH(MAX($E$2, DATE(Initialisatie!$C$5,1,1))) + 1)) &lt;= 0, IFERROR(VALUE($E81),0)=0)
    ),
    0,
    SUM(
        IFERROR(VALUE($C81),0) * MAX(0, IF(MIN($C$1, DATE(Initialisatie!$C$5,12,31)) &lt; MAX($C$2, DATE(Initialisatie!$C$5,1,1)), 0, MONTH(MIN($C$1, DATE(Initialisatie!$C$5,12,31))) - MONTH(MAX($C$2, DATE(Initialisatie!$C$5,1,1))) + 1)),
        IFERROR(VALUE($D81),0) * MAX(0, IF(MIN($D$1, DATE(Initialisatie!$C$5,12,31)) &lt; MAX($D$2, DATE(Initialisatie!$C$5,1,1)), 0, MONTH(MIN($D$1, DATE(Initialisatie!$C$5,12,31))) - MONTH(MAX($D$2, DATE(Initialisatie!$C$5,1,1))) + 1)),
        IFERROR(VALUE($E81),0) * MAX(0, IF(MIN($E$1, DATE(Initialisatie!$C$5,12,31)) &lt; MAX($E$2, DATE(Initialisatie!$C$5,1,1)), 0, MONTH(MIN($E$1, DATE(Initialisatie!$C$5,12,31))) - MONTH(MAX($E$2, DATE(Initialisatie!$C$5,1,1))) + 1))
    ) / 12
)</f>
        <v>3390.75</v>
      </c>
    </row>
    <row r="82" spans="1:8" x14ac:dyDescent="0.45">
      <c r="A82" s="997"/>
      <c r="B82" s="380">
        <v>10</v>
      </c>
      <c r="C82" t="s">
        <v>1754</v>
      </c>
      <c r="D82" t="s">
        <v>1755</v>
      </c>
      <c r="E82" t="s">
        <v>1756</v>
      </c>
      <c r="G82">
        <f>IF(
    OR(
        AND(MAX(0, MIN($C$1, DATE(Initialisatie!$C$5,12,31)) - MAX($C$2, DATE(Initialisatie!$C$5,1,1)) + 1) &gt; 0, IFERROR(VALUE($C82),0)=0),
        AND(MAX(0, MIN($D$1, DATE(Initialisatie!$C$5,12,31)) - MAX($D$2, DATE(Initialisatie!$C$5,1,1)) + 1) &gt; 0, IFERROR(VALUE($D82),0)=0),
        AND(MAX(0, MIN($E$1, DATE(Initialisatie!$C$5,12,31)) - MAX($E$2, DATE(Initialisatie!$C$5,1,1)) + 1) &gt; 0, IFERROR(VALUE($E82),0)=0)
    ),
    0,
    SUM(
        IFERROR(VALUE($C82),0) * MAX(0, MIN($C$1, DATE(Initialisatie!$C$5,12,31)) - MAX($C$2, DATE(Initialisatie!$C$5,1,1)) + 1),
        IFERROR(VALUE($D82),0) * MAX(0, MIN($D$1, DATE(Initialisatie!$C$5,12,31)) - MAX($D$2, DATE(Initialisatie!$C$5,1,1)) + 1),
        IFERROR(VALUE($E82),0) * MAX(0, MIN($E$1, DATE(Initialisatie!$C$5,12,31)) - MAX($E$2, DATE(Initialisatie!$C$5,1,1)) + 1)
    ) / (DATE(Initialisatie!$C$5,12,31) - DATE(Initialisatie!$C$5,1,1) + 1)
)</f>
        <v>3479.4</v>
      </c>
      <c r="H82">
        <f>IF(
    OR(
        AND(MAX(0, IF(MIN($C$1, DATE(Initialisatie!$C$5,12,31)) &lt; MAX($C$2, DATE(Initialisatie!$C$5,1,1)), 0, MONTH(MIN($C$1, DATE(Initialisatie!$C$5,12,31))) - MONTH(MAX($C$2, DATE(Initialisatie!$C$5,1,1))) + 1)) &lt;= 0, IFERROR(VALUE($C82),0)=0),
        AND(MAX(0, IF(MIN($D$1, DATE(Initialisatie!$C$5,12,31)) &lt; MAX($D$2, DATE(Initialisatie!$C$5,1,1)), 0, MONTH(MIN($D$1, DATE(Initialisatie!$C$5,12,31))) - MONTH(MAX($D$2, DATE(Initialisatie!$C$5,1,1))) + 1)) &lt;= 0, IFERROR(VALUE($D82),0)=0),
        AND(MAX(0, IF(MIN($E$1, DATE(Initialisatie!$C$5,12,31)) &lt; MAX($E$2, DATE(Initialisatie!$C$5,1,1)), 0, MONTH(MIN($E$1, DATE(Initialisatie!$C$5,12,31))) - MONTH(MAX($E$2, DATE(Initialisatie!$C$5,1,1))) + 1)) &lt;= 0, IFERROR(VALUE($E82),0)=0)
    ),
    0,
    SUM(
        IFERROR(VALUE($C82),0) * MAX(0, IF(MIN($C$1, DATE(Initialisatie!$C$5,12,31)) &lt; MAX($C$2, DATE(Initialisatie!$C$5,1,1)), 0, MONTH(MIN($C$1, DATE(Initialisatie!$C$5,12,31))) - MONTH(MAX($C$2, DATE(Initialisatie!$C$5,1,1))) + 1)),
        IFERROR(VALUE($D82),0) * MAX(0, IF(MIN($D$1, DATE(Initialisatie!$C$5,12,31)) &lt; MAX($D$2, DATE(Initialisatie!$C$5,1,1)), 0, MONTH(MIN($D$1, DATE(Initialisatie!$C$5,12,31))) - MONTH(MAX($D$2, DATE(Initialisatie!$C$5,1,1))) + 1)),
        IFERROR(VALUE($E82),0) * MAX(0, IF(MIN($E$1, DATE(Initialisatie!$C$5,12,31)) &lt; MAX($E$2, DATE(Initialisatie!$C$5,1,1)), 0, MONTH(MIN($E$1, DATE(Initialisatie!$C$5,12,31))) - MONTH(MAX($E$2, DATE(Initialisatie!$C$5,1,1))) + 1))
    ) / 12
)</f>
        <v>3479.25</v>
      </c>
    </row>
    <row r="83" spans="1:8" x14ac:dyDescent="0.45">
      <c r="A83" s="997"/>
      <c r="B83" s="380">
        <v>11</v>
      </c>
      <c r="C83" t="s">
        <v>1757</v>
      </c>
      <c r="D83" t="s">
        <v>1758</v>
      </c>
      <c r="E83" t="s">
        <v>1759</v>
      </c>
      <c r="G83">
        <f>IF(
    OR(
        AND(MAX(0, MIN($C$1, DATE(Initialisatie!$C$5,12,31)) - MAX($C$2, DATE(Initialisatie!$C$5,1,1)) + 1) &gt; 0, IFERROR(VALUE($C83),0)=0),
        AND(MAX(0, MIN($D$1, DATE(Initialisatie!$C$5,12,31)) - MAX($D$2, DATE(Initialisatie!$C$5,1,1)) + 1) &gt; 0, IFERROR(VALUE($D83),0)=0),
        AND(MAX(0, MIN($E$1, DATE(Initialisatie!$C$5,12,31)) - MAX($E$2, DATE(Initialisatie!$C$5,1,1)) + 1) &gt; 0, IFERROR(VALUE($E83),0)=0)
    ),
    0,
    SUM(
        IFERROR(VALUE($C83),0) * MAX(0, MIN($C$1, DATE(Initialisatie!$C$5,12,31)) - MAX($C$2, DATE(Initialisatie!$C$5,1,1)) + 1),
        IFERROR(VALUE($D83),0) * MAX(0, MIN($D$1, DATE(Initialisatie!$C$5,12,31)) - MAX($D$2, DATE(Initialisatie!$C$5,1,1)) + 1),
        IFERROR(VALUE($E83),0) * MAX(0, MIN($E$1, DATE(Initialisatie!$C$5,12,31)) - MAX($E$2, DATE(Initialisatie!$C$5,1,1)) + 1)
    ) / (DATE(Initialisatie!$C$5,12,31) - DATE(Initialisatie!$C$5,1,1) + 1)
)</f>
        <v>3546.6520547945206</v>
      </c>
      <c r="H83">
        <f>IF(
    OR(
        AND(MAX(0, IF(MIN($C$1, DATE(Initialisatie!$C$5,12,31)) &lt; MAX($C$2, DATE(Initialisatie!$C$5,1,1)), 0, MONTH(MIN($C$1, DATE(Initialisatie!$C$5,12,31))) - MONTH(MAX($C$2, DATE(Initialisatie!$C$5,1,1))) + 1)) &lt;= 0, IFERROR(VALUE($C83),0)=0),
        AND(MAX(0, IF(MIN($D$1, DATE(Initialisatie!$C$5,12,31)) &lt; MAX($D$2, DATE(Initialisatie!$C$5,1,1)), 0, MONTH(MIN($D$1, DATE(Initialisatie!$C$5,12,31))) - MONTH(MAX($D$2, DATE(Initialisatie!$C$5,1,1))) + 1)) &lt;= 0, IFERROR(VALUE($D83),0)=0),
        AND(MAX(0, IF(MIN($E$1, DATE(Initialisatie!$C$5,12,31)) &lt; MAX($E$2, DATE(Initialisatie!$C$5,1,1)), 0, MONTH(MIN($E$1, DATE(Initialisatie!$C$5,12,31))) - MONTH(MAX($E$2, DATE(Initialisatie!$C$5,1,1))) + 1)) &lt;= 0, IFERROR(VALUE($E83),0)=0)
    ),
    0,
    SUM(
        IFERROR(VALUE($C83),0) * MAX(0, IF(MIN($C$1, DATE(Initialisatie!$C$5,12,31)) &lt; MAX($C$2, DATE(Initialisatie!$C$5,1,1)), 0, MONTH(MIN($C$1, DATE(Initialisatie!$C$5,12,31))) - MONTH(MAX($C$2, DATE(Initialisatie!$C$5,1,1))) + 1)),
        IFERROR(VALUE($D83),0) * MAX(0, IF(MIN($D$1, DATE(Initialisatie!$C$5,12,31)) &lt; MAX($D$2, DATE(Initialisatie!$C$5,1,1)), 0, MONTH(MIN($D$1, DATE(Initialisatie!$C$5,12,31))) - MONTH(MAX($D$2, DATE(Initialisatie!$C$5,1,1))) + 1)),
        IFERROR(VALUE($E83),0) * MAX(0, IF(MIN($E$1, DATE(Initialisatie!$C$5,12,31)) &lt; MAX($E$2, DATE(Initialisatie!$C$5,1,1)), 0, MONTH(MIN($E$1, DATE(Initialisatie!$C$5,12,31))) - MONTH(MAX($E$2, DATE(Initialisatie!$C$5,1,1))) + 1))
    ) / 12
)</f>
        <v>3546.5</v>
      </c>
    </row>
    <row r="84" spans="1:8" x14ac:dyDescent="0.45">
      <c r="A84" s="997"/>
      <c r="B84" s="380">
        <v>12</v>
      </c>
      <c r="C84" t="s">
        <v>1760</v>
      </c>
      <c r="D84" t="s">
        <v>1761</v>
      </c>
      <c r="E84" t="s">
        <v>1762</v>
      </c>
      <c r="G84">
        <f>IF(
    OR(
        AND(MAX(0, MIN($C$1, DATE(Initialisatie!$C$5,12,31)) - MAX($C$2, DATE(Initialisatie!$C$5,1,1)) + 1) &gt; 0, IFERROR(VALUE($C84),0)=0),
        AND(MAX(0, MIN($D$1, DATE(Initialisatie!$C$5,12,31)) - MAX($D$2, DATE(Initialisatie!$C$5,1,1)) + 1) &gt; 0, IFERROR(VALUE($D84),0)=0),
        AND(MAX(0, MIN($E$1, DATE(Initialisatie!$C$5,12,31)) - MAX($E$2, DATE(Initialisatie!$C$5,1,1)) + 1) &gt; 0, IFERROR(VALUE($E84),0)=0)
    ),
    0,
    SUM(
        IFERROR(VALUE($C84),0) * MAX(0, MIN($C$1, DATE(Initialisatie!$C$5,12,31)) - MAX($C$2, DATE(Initialisatie!$C$5,1,1)) + 1),
        IFERROR(VALUE($D84),0) * MAX(0, MIN($D$1, DATE(Initialisatie!$C$5,12,31)) - MAX($D$2, DATE(Initialisatie!$C$5,1,1)) + 1),
        IFERROR(VALUE($E84),0) * MAX(0, MIN($E$1, DATE(Initialisatie!$C$5,12,31)) - MAX($E$2, DATE(Initialisatie!$C$5,1,1)) + 1)
    ) / (DATE(Initialisatie!$C$5,12,31) - DATE(Initialisatie!$C$5,1,1) + 1)
)</f>
        <v>3626.1561643835616</v>
      </c>
      <c r="H84">
        <f>IF(
    OR(
        AND(MAX(0, IF(MIN($C$1, DATE(Initialisatie!$C$5,12,31)) &lt; MAX($C$2, DATE(Initialisatie!$C$5,1,1)), 0, MONTH(MIN($C$1, DATE(Initialisatie!$C$5,12,31))) - MONTH(MAX($C$2, DATE(Initialisatie!$C$5,1,1))) + 1)) &lt;= 0, IFERROR(VALUE($C84),0)=0),
        AND(MAX(0, IF(MIN($D$1, DATE(Initialisatie!$C$5,12,31)) &lt; MAX($D$2, DATE(Initialisatie!$C$5,1,1)), 0, MONTH(MIN($D$1, DATE(Initialisatie!$C$5,12,31))) - MONTH(MAX($D$2, DATE(Initialisatie!$C$5,1,1))) + 1)) &lt;= 0, IFERROR(VALUE($D84),0)=0),
        AND(MAX(0, IF(MIN($E$1, DATE(Initialisatie!$C$5,12,31)) &lt; MAX($E$2, DATE(Initialisatie!$C$5,1,1)), 0, MONTH(MIN($E$1, DATE(Initialisatie!$C$5,12,31))) - MONTH(MAX($E$2, DATE(Initialisatie!$C$5,1,1))) + 1)) &lt;= 0, IFERROR(VALUE($E84),0)=0)
    ),
    0,
    SUM(
        IFERROR(VALUE($C84),0) * MAX(0, IF(MIN($C$1, DATE(Initialisatie!$C$5,12,31)) &lt; MAX($C$2, DATE(Initialisatie!$C$5,1,1)), 0, MONTH(MIN($C$1, DATE(Initialisatie!$C$5,12,31))) - MONTH(MAX($C$2, DATE(Initialisatie!$C$5,1,1))) + 1)),
        IFERROR(VALUE($D84),0) * MAX(0, IF(MIN($D$1, DATE(Initialisatie!$C$5,12,31)) &lt; MAX($D$2, DATE(Initialisatie!$C$5,1,1)), 0, MONTH(MIN($D$1, DATE(Initialisatie!$C$5,12,31))) - MONTH(MAX($D$2, DATE(Initialisatie!$C$5,1,1))) + 1)),
        IFERROR(VALUE($E84),0) * MAX(0, IF(MIN($E$1, DATE(Initialisatie!$C$5,12,31)) &lt; MAX($E$2, DATE(Initialisatie!$C$5,1,1)), 0, MONTH(MIN($E$1, DATE(Initialisatie!$C$5,12,31))) - MONTH(MAX($E$2, DATE(Initialisatie!$C$5,1,1))) + 1))
    ) / 12
)</f>
        <v>3626</v>
      </c>
    </row>
    <row r="85" spans="1:8" x14ac:dyDescent="0.45">
      <c r="A85" s="997"/>
      <c r="B85" s="380">
        <v>13</v>
      </c>
      <c r="C85" t="s">
        <v>1766</v>
      </c>
      <c r="D85" t="s">
        <v>1767</v>
      </c>
      <c r="E85" t="s">
        <v>1768</v>
      </c>
      <c r="G85">
        <f>IF(
    OR(
        AND(MAX(0, MIN($C$1, DATE(Initialisatie!$C$5,12,31)) - MAX($C$2, DATE(Initialisatie!$C$5,1,1)) + 1) &gt; 0, IFERROR(VALUE($C85),0)=0),
        AND(MAX(0, MIN($D$1, DATE(Initialisatie!$C$5,12,31)) - MAX($D$2, DATE(Initialisatie!$C$5,1,1)) + 1) &gt; 0, IFERROR(VALUE($D85),0)=0),
        AND(MAX(0, MIN($E$1, DATE(Initialisatie!$C$5,12,31)) - MAX($E$2, DATE(Initialisatie!$C$5,1,1)) + 1) &gt; 0, IFERROR(VALUE($E85),0)=0)
    ),
    0,
    SUM(
        IFERROR(VALUE($C85),0) * MAX(0, MIN($C$1, DATE(Initialisatie!$C$5,12,31)) - MAX($C$2, DATE(Initialisatie!$C$5,1,1)) + 1),
        IFERROR(VALUE($D85),0) * MAX(0, MIN($D$1, DATE(Initialisatie!$C$5,12,31)) - MAX($D$2, DATE(Initialisatie!$C$5,1,1)) + 1),
        IFERROR(VALUE($E85),0) * MAX(0, MIN($E$1, DATE(Initialisatie!$C$5,12,31)) - MAX($E$2, DATE(Initialisatie!$C$5,1,1)) + 1)
    ) / (DATE(Initialisatie!$C$5,12,31) - DATE(Initialisatie!$C$5,1,1) + 1)
)</f>
        <v>3695.4082191780822</v>
      </c>
      <c r="H85">
        <f>IF(
    OR(
        AND(MAX(0, IF(MIN($C$1, DATE(Initialisatie!$C$5,12,31)) &lt; MAX($C$2, DATE(Initialisatie!$C$5,1,1)), 0, MONTH(MIN($C$1, DATE(Initialisatie!$C$5,12,31))) - MONTH(MAX($C$2, DATE(Initialisatie!$C$5,1,1))) + 1)) &lt;= 0, IFERROR(VALUE($C85),0)=0),
        AND(MAX(0, IF(MIN($D$1, DATE(Initialisatie!$C$5,12,31)) &lt; MAX($D$2, DATE(Initialisatie!$C$5,1,1)), 0, MONTH(MIN($D$1, DATE(Initialisatie!$C$5,12,31))) - MONTH(MAX($D$2, DATE(Initialisatie!$C$5,1,1))) + 1)) &lt;= 0, IFERROR(VALUE($D85),0)=0),
        AND(MAX(0, IF(MIN($E$1, DATE(Initialisatie!$C$5,12,31)) &lt; MAX($E$2, DATE(Initialisatie!$C$5,1,1)), 0, MONTH(MIN($E$1, DATE(Initialisatie!$C$5,12,31))) - MONTH(MAX($E$2, DATE(Initialisatie!$C$5,1,1))) + 1)) &lt;= 0, IFERROR(VALUE($E85),0)=0)
    ),
    0,
    SUM(
        IFERROR(VALUE($C85),0) * MAX(0, IF(MIN($C$1, DATE(Initialisatie!$C$5,12,31)) &lt; MAX($C$2, DATE(Initialisatie!$C$5,1,1)), 0, MONTH(MIN($C$1, DATE(Initialisatie!$C$5,12,31))) - MONTH(MAX($C$2, DATE(Initialisatie!$C$5,1,1))) + 1)),
        IFERROR(VALUE($D85),0) * MAX(0, IF(MIN($D$1, DATE(Initialisatie!$C$5,12,31)) &lt; MAX($D$2, DATE(Initialisatie!$C$5,1,1)), 0, MONTH(MIN($D$1, DATE(Initialisatie!$C$5,12,31))) - MONTH(MAX($D$2, DATE(Initialisatie!$C$5,1,1))) + 1)),
        IFERROR(VALUE($E85),0) * MAX(0, IF(MIN($E$1, DATE(Initialisatie!$C$5,12,31)) &lt; MAX($E$2, DATE(Initialisatie!$C$5,1,1)), 0, MONTH(MIN($E$1, DATE(Initialisatie!$C$5,12,31))) - MONTH(MAX($E$2, DATE(Initialisatie!$C$5,1,1))) + 1))
    ) / 12
)</f>
        <v>3695.25</v>
      </c>
    </row>
    <row r="86" spans="1:8" x14ac:dyDescent="0.45">
      <c r="A86" s="997"/>
      <c r="B86" s="380">
        <v>14</v>
      </c>
      <c r="C86" t="s">
        <v>1769</v>
      </c>
      <c r="D86" t="s">
        <v>1770</v>
      </c>
      <c r="E86" t="s">
        <v>1288</v>
      </c>
      <c r="G86">
        <f>IF(
    OR(
        AND(MAX(0, MIN($C$1, DATE(Initialisatie!$C$5,12,31)) - MAX($C$2, DATE(Initialisatie!$C$5,1,1)) + 1) &gt; 0, IFERROR(VALUE($C86),0)=0),
        AND(MAX(0, MIN($D$1, DATE(Initialisatie!$C$5,12,31)) - MAX($D$2, DATE(Initialisatie!$C$5,1,1)) + 1) &gt; 0, IFERROR(VALUE($D86),0)=0),
        AND(MAX(0, MIN($E$1, DATE(Initialisatie!$C$5,12,31)) - MAX($E$2, DATE(Initialisatie!$C$5,1,1)) + 1) &gt; 0, IFERROR(VALUE($E86),0)=0)
    ),
    0,
    SUM(
        IFERROR(VALUE($C86),0) * MAX(0, MIN($C$1, DATE(Initialisatie!$C$5,12,31)) - MAX($C$2, DATE(Initialisatie!$C$5,1,1)) + 1),
        IFERROR(VALUE($D86),0) * MAX(0, MIN($D$1, DATE(Initialisatie!$C$5,12,31)) - MAX($D$2, DATE(Initialisatie!$C$5,1,1)) + 1),
        IFERROR(VALUE($E86),0) * MAX(0, MIN($E$1, DATE(Initialisatie!$C$5,12,31)) - MAX($E$2, DATE(Initialisatie!$C$5,1,1)) + 1)
    ) / (DATE(Initialisatie!$C$5,12,31) - DATE(Initialisatie!$C$5,1,1) + 1)
)</f>
        <v>3835.1643835616437</v>
      </c>
      <c r="H86">
        <f>IF(
    OR(
        AND(MAX(0, IF(MIN($C$1, DATE(Initialisatie!$C$5,12,31)) &lt; MAX($C$2, DATE(Initialisatie!$C$5,1,1)), 0, MONTH(MIN($C$1, DATE(Initialisatie!$C$5,12,31))) - MONTH(MAX($C$2, DATE(Initialisatie!$C$5,1,1))) + 1)) &lt;= 0, IFERROR(VALUE($C86),0)=0),
        AND(MAX(0, IF(MIN($D$1, DATE(Initialisatie!$C$5,12,31)) &lt; MAX($D$2, DATE(Initialisatie!$C$5,1,1)), 0, MONTH(MIN($D$1, DATE(Initialisatie!$C$5,12,31))) - MONTH(MAX($D$2, DATE(Initialisatie!$C$5,1,1))) + 1)) &lt;= 0, IFERROR(VALUE($D86),0)=0),
        AND(MAX(0, IF(MIN($E$1, DATE(Initialisatie!$C$5,12,31)) &lt; MAX($E$2, DATE(Initialisatie!$C$5,1,1)), 0, MONTH(MIN($E$1, DATE(Initialisatie!$C$5,12,31))) - MONTH(MAX($E$2, DATE(Initialisatie!$C$5,1,1))) + 1)) &lt;= 0, IFERROR(VALUE($E86),0)=0)
    ),
    0,
    SUM(
        IFERROR(VALUE($C86),0) * MAX(0, IF(MIN($C$1, DATE(Initialisatie!$C$5,12,31)) &lt; MAX($C$2, DATE(Initialisatie!$C$5,1,1)), 0, MONTH(MIN($C$1, DATE(Initialisatie!$C$5,12,31))) - MONTH(MAX($C$2, DATE(Initialisatie!$C$5,1,1))) + 1)),
        IFERROR(VALUE($D86),0) * MAX(0, IF(MIN($D$1, DATE(Initialisatie!$C$5,12,31)) &lt; MAX($D$2, DATE(Initialisatie!$C$5,1,1)), 0, MONTH(MIN($D$1, DATE(Initialisatie!$C$5,12,31))) - MONTH(MAX($D$2, DATE(Initialisatie!$C$5,1,1))) + 1)),
        IFERROR(VALUE($E86),0) * MAX(0, IF(MIN($E$1, DATE(Initialisatie!$C$5,12,31)) &lt; MAX($E$2, DATE(Initialisatie!$C$5,1,1)), 0, MONTH(MIN($E$1, DATE(Initialisatie!$C$5,12,31))) - MONTH(MAX($E$2, DATE(Initialisatie!$C$5,1,1))) + 1))
    ) / 12
)</f>
        <v>3835</v>
      </c>
    </row>
    <row r="87" spans="1:8" x14ac:dyDescent="0.45">
      <c r="A87" s="997"/>
      <c r="B87" s="380">
        <v>15</v>
      </c>
      <c r="C87" t="s">
        <v>1771</v>
      </c>
      <c r="D87" t="s">
        <v>1772</v>
      </c>
      <c r="E87" t="s">
        <v>1773</v>
      </c>
      <c r="G87">
        <f>IF(
    OR(
        AND(MAX(0, MIN($C$1, DATE(Initialisatie!$C$5,12,31)) - MAX($C$2, DATE(Initialisatie!$C$5,1,1)) + 1) &gt; 0, IFERROR(VALUE($C87),0)=0),
        AND(MAX(0, MIN($D$1, DATE(Initialisatie!$C$5,12,31)) - MAX($D$2, DATE(Initialisatie!$C$5,1,1)) + 1) &gt; 0, IFERROR(VALUE($D87),0)=0),
        AND(MAX(0, MIN($E$1, DATE(Initialisatie!$C$5,12,31)) - MAX($E$2, DATE(Initialisatie!$C$5,1,1)) + 1) &gt; 0, IFERROR(VALUE($E87),0)=0)
    ),
    0,
    SUM(
        IFERROR(VALUE($C87),0) * MAX(0, MIN($C$1, DATE(Initialisatie!$C$5,12,31)) - MAX($C$2, DATE(Initialisatie!$C$5,1,1)) + 1),
        IFERROR(VALUE($D87),0) * MAX(0, MIN($D$1, DATE(Initialisatie!$C$5,12,31)) - MAX($D$2, DATE(Initialisatie!$C$5,1,1)) + 1),
        IFERROR(VALUE($E87),0) * MAX(0, MIN($E$1, DATE(Initialisatie!$C$5,12,31)) - MAX($E$2, DATE(Initialisatie!$C$5,1,1)) + 1)
    ) / (DATE(Initialisatie!$C$5,12,31) - DATE(Initialisatie!$C$5,1,1) + 1)
)</f>
        <v>3926.6684931506848</v>
      </c>
      <c r="H87">
        <f>IF(
    OR(
        AND(MAX(0, IF(MIN($C$1, DATE(Initialisatie!$C$5,12,31)) &lt; MAX($C$2, DATE(Initialisatie!$C$5,1,1)), 0, MONTH(MIN($C$1, DATE(Initialisatie!$C$5,12,31))) - MONTH(MAX($C$2, DATE(Initialisatie!$C$5,1,1))) + 1)) &lt;= 0, IFERROR(VALUE($C87),0)=0),
        AND(MAX(0, IF(MIN($D$1, DATE(Initialisatie!$C$5,12,31)) &lt; MAX($D$2, DATE(Initialisatie!$C$5,1,1)), 0, MONTH(MIN($D$1, DATE(Initialisatie!$C$5,12,31))) - MONTH(MAX($D$2, DATE(Initialisatie!$C$5,1,1))) + 1)) &lt;= 0, IFERROR(VALUE($D87),0)=0),
        AND(MAX(0, IF(MIN($E$1, DATE(Initialisatie!$C$5,12,31)) &lt; MAX($E$2, DATE(Initialisatie!$C$5,1,1)), 0, MONTH(MIN($E$1, DATE(Initialisatie!$C$5,12,31))) - MONTH(MAX($E$2, DATE(Initialisatie!$C$5,1,1))) + 1)) &lt;= 0, IFERROR(VALUE($E87),0)=0)
    ),
    0,
    SUM(
        IFERROR(VALUE($C87),0) * MAX(0, IF(MIN($C$1, DATE(Initialisatie!$C$5,12,31)) &lt; MAX($C$2, DATE(Initialisatie!$C$5,1,1)), 0, MONTH(MIN($C$1, DATE(Initialisatie!$C$5,12,31))) - MONTH(MAX($C$2, DATE(Initialisatie!$C$5,1,1))) + 1)),
        IFERROR(VALUE($D87),0) * MAX(0, IF(MIN($D$1, DATE(Initialisatie!$C$5,12,31)) &lt; MAX($D$2, DATE(Initialisatie!$C$5,1,1)), 0, MONTH(MIN($D$1, DATE(Initialisatie!$C$5,12,31))) - MONTH(MAX($D$2, DATE(Initialisatie!$C$5,1,1))) + 1)),
        IFERROR(VALUE($E87),0) * MAX(0, IF(MIN($E$1, DATE(Initialisatie!$C$5,12,31)) &lt; MAX($E$2, DATE(Initialisatie!$C$5,1,1)), 0, MONTH(MIN($E$1, DATE(Initialisatie!$C$5,12,31))) - MONTH(MAX($E$2, DATE(Initialisatie!$C$5,1,1))) + 1))
    ) / 12
)</f>
        <v>3926.5</v>
      </c>
    </row>
    <row r="88" spans="1:8" x14ac:dyDescent="0.45">
      <c r="A88" s="998"/>
      <c r="B88" s="380" t="s">
        <v>517</v>
      </c>
      <c r="C88" t="s">
        <v>1774</v>
      </c>
      <c r="D88" t="s">
        <v>1775</v>
      </c>
      <c r="E88" t="s">
        <v>1722</v>
      </c>
      <c r="G88">
        <f>IF(
    OR(
        AND(MAX(0, MIN($C$1, DATE(Initialisatie!$C$5,12,31)) - MAX($C$2, DATE(Initialisatie!$C$5,1,1)) + 1) &gt; 0, IFERROR(VALUE($C88),0)=0),
        AND(MAX(0, MIN($D$1, DATE(Initialisatie!$C$5,12,31)) - MAX($D$2, DATE(Initialisatie!$C$5,1,1)) + 1) &gt; 0, IFERROR(VALUE($D88),0)=0),
        AND(MAX(0, MIN($E$1, DATE(Initialisatie!$C$5,12,31)) - MAX($E$2, DATE(Initialisatie!$C$5,1,1)) + 1) &gt; 0, IFERROR(VALUE($E88),0)=0)
    ),
    0,
    SUM(
        IFERROR(VALUE($C88),0) * MAX(0, MIN($C$1, DATE(Initialisatie!$C$5,12,31)) - MAX($C$2, DATE(Initialisatie!$C$5,1,1)) + 1),
        IFERROR(VALUE($D88),0) * MAX(0, MIN($D$1, DATE(Initialisatie!$C$5,12,31)) - MAX($D$2, DATE(Initialisatie!$C$5,1,1)) + 1),
        IFERROR(VALUE($E88),0) * MAX(0, MIN($E$1, DATE(Initialisatie!$C$5,12,31)) - MAX($E$2, DATE(Initialisatie!$C$5,1,1)) + 1)
    ) / (DATE(Initialisatie!$C$5,12,31) - DATE(Initialisatie!$C$5,1,1) + 1)
)</f>
        <v>2594.6109589041098</v>
      </c>
      <c r="H88">
        <f>IF(
    OR(
        AND(MAX(0, IF(MIN($C$1, DATE(Initialisatie!$C$5,12,31)) &lt; MAX($C$2, DATE(Initialisatie!$C$5,1,1)), 0, MONTH(MIN($C$1, DATE(Initialisatie!$C$5,12,31))) - MONTH(MAX($C$2, DATE(Initialisatie!$C$5,1,1))) + 1)) &lt;= 0, IFERROR(VALUE($C88),0)=0),
        AND(MAX(0, IF(MIN($D$1, DATE(Initialisatie!$C$5,12,31)) &lt; MAX($D$2, DATE(Initialisatie!$C$5,1,1)), 0, MONTH(MIN($D$1, DATE(Initialisatie!$C$5,12,31))) - MONTH(MAX($D$2, DATE(Initialisatie!$C$5,1,1))) + 1)) &lt;= 0, IFERROR(VALUE($D88),0)=0),
        AND(MAX(0, IF(MIN($E$1, DATE(Initialisatie!$C$5,12,31)) &lt; MAX($E$2, DATE(Initialisatie!$C$5,1,1)), 0, MONTH(MIN($E$1, DATE(Initialisatie!$C$5,12,31))) - MONTH(MAX($E$2, DATE(Initialisatie!$C$5,1,1))) + 1)) &lt;= 0, IFERROR(VALUE($E88),0)=0)
    ),
    0,
    SUM(
        IFERROR(VALUE($C88),0) * MAX(0, IF(MIN($C$1, DATE(Initialisatie!$C$5,12,31)) &lt; MAX($C$2, DATE(Initialisatie!$C$5,1,1)), 0, MONTH(MIN($C$1, DATE(Initialisatie!$C$5,12,31))) - MONTH(MAX($C$2, DATE(Initialisatie!$C$5,1,1))) + 1)),
        IFERROR(VALUE($D88),0) * MAX(0, IF(MIN($D$1, DATE(Initialisatie!$C$5,12,31)) &lt; MAX($D$2, DATE(Initialisatie!$C$5,1,1)), 0, MONTH(MIN($D$1, DATE(Initialisatie!$C$5,12,31))) - MONTH(MAX($D$2, DATE(Initialisatie!$C$5,1,1))) + 1)),
        IFERROR(VALUE($E88),0) * MAX(0, IF(MIN($E$1, DATE(Initialisatie!$C$5,12,31)) &lt; MAX($E$2, DATE(Initialisatie!$C$5,1,1)), 0, MONTH(MIN($E$1, DATE(Initialisatie!$C$5,12,31))) - MONTH(MAX($E$2, DATE(Initialisatie!$C$5,1,1))) + 1))
    ) / 12
)</f>
        <v>2594.5</v>
      </c>
    </row>
    <row r="89" spans="1:8" x14ac:dyDescent="0.45">
      <c r="A89" s="996">
        <v>6</v>
      </c>
      <c r="B89" s="380">
        <v>0</v>
      </c>
      <c r="C89" t="s">
        <v>1733</v>
      </c>
      <c r="D89" t="s">
        <v>1734</v>
      </c>
      <c r="E89" t="s">
        <v>1735</v>
      </c>
      <c r="G89">
        <f>IF(
    OR(
        AND(MAX(0, MIN($C$1, DATE(Initialisatie!$C$5,12,31)) - MAX($C$2, DATE(Initialisatie!$C$5,1,1)) + 1) &gt; 0, IFERROR(VALUE($C89),0)=0),
        AND(MAX(0, MIN($D$1, DATE(Initialisatie!$C$5,12,31)) - MAX($D$2, DATE(Initialisatie!$C$5,1,1)) + 1) &gt; 0, IFERROR(VALUE($D89),0)=0),
        AND(MAX(0, MIN($E$1, DATE(Initialisatie!$C$5,12,31)) - MAX($E$2, DATE(Initialisatie!$C$5,1,1)) + 1) &gt; 0, IFERROR(VALUE($E89),0)=0)
    ),
    0,
    SUM(
        IFERROR(VALUE($C89),0) * MAX(0, MIN($C$1, DATE(Initialisatie!$C$5,12,31)) - MAX($C$2, DATE(Initialisatie!$C$5,1,1)) + 1),
        IFERROR(VALUE($D89),0) * MAX(0, MIN($D$1, DATE(Initialisatie!$C$5,12,31)) - MAX($D$2, DATE(Initialisatie!$C$5,1,1)) + 1),
        IFERROR(VALUE($E89),0) * MAX(0, MIN($E$1, DATE(Initialisatie!$C$5,12,31)) - MAX($E$2, DATE(Initialisatie!$C$5,1,1)) + 1)
    ) / (DATE(Initialisatie!$C$5,12,31) - DATE(Initialisatie!$C$5,1,1) + 1)
)</f>
        <v>2943.3753424657534</v>
      </c>
      <c r="H89">
        <f>IF(
    OR(
        AND(MAX(0, IF(MIN($C$1, DATE(Initialisatie!$C$5,12,31)) &lt; MAX($C$2, DATE(Initialisatie!$C$5,1,1)), 0, MONTH(MIN($C$1, DATE(Initialisatie!$C$5,12,31))) - MONTH(MAX($C$2, DATE(Initialisatie!$C$5,1,1))) + 1)) &lt;= 0, IFERROR(VALUE($C89),0)=0),
        AND(MAX(0, IF(MIN($D$1, DATE(Initialisatie!$C$5,12,31)) &lt; MAX($D$2, DATE(Initialisatie!$C$5,1,1)), 0, MONTH(MIN($D$1, DATE(Initialisatie!$C$5,12,31))) - MONTH(MAX($D$2, DATE(Initialisatie!$C$5,1,1))) + 1)) &lt;= 0, IFERROR(VALUE($D89),0)=0),
        AND(MAX(0, IF(MIN($E$1, DATE(Initialisatie!$C$5,12,31)) &lt; MAX($E$2, DATE(Initialisatie!$C$5,1,1)), 0, MONTH(MIN($E$1, DATE(Initialisatie!$C$5,12,31))) - MONTH(MAX($E$2, DATE(Initialisatie!$C$5,1,1))) + 1)) &lt;= 0, IFERROR(VALUE($E89),0)=0)
    ),
    0,
    SUM(
        IFERROR(VALUE($C89),0) * MAX(0, IF(MIN($C$1, DATE(Initialisatie!$C$5,12,31)) &lt; MAX($C$2, DATE(Initialisatie!$C$5,1,1)), 0, MONTH(MIN($C$1, DATE(Initialisatie!$C$5,12,31))) - MONTH(MAX($C$2, DATE(Initialisatie!$C$5,1,1))) + 1)),
        IFERROR(VALUE($D89),0) * MAX(0, IF(MIN($D$1, DATE(Initialisatie!$C$5,12,31)) &lt; MAX($D$2, DATE(Initialisatie!$C$5,1,1)), 0, MONTH(MIN($D$1, DATE(Initialisatie!$C$5,12,31))) - MONTH(MAX($D$2, DATE(Initialisatie!$C$5,1,1))) + 1)),
        IFERROR(VALUE($E89),0) * MAX(0, IF(MIN($E$1, DATE(Initialisatie!$C$5,12,31)) &lt; MAX($E$2, DATE(Initialisatie!$C$5,1,1)), 0, MONTH(MIN($E$1, DATE(Initialisatie!$C$5,12,31))) - MONTH(MAX($E$2, DATE(Initialisatie!$C$5,1,1))) + 1))
    ) / 12
)</f>
        <v>2943.25</v>
      </c>
    </row>
    <row r="90" spans="1:8" x14ac:dyDescent="0.45">
      <c r="A90" s="997"/>
      <c r="B90" s="380">
        <v>1</v>
      </c>
      <c r="C90" t="s">
        <v>1736</v>
      </c>
      <c r="D90" t="s">
        <v>1737</v>
      </c>
      <c r="E90" t="s">
        <v>1738</v>
      </c>
      <c r="G90">
        <f>IF(
    OR(
        AND(MAX(0, MIN($C$1, DATE(Initialisatie!$C$5,12,31)) - MAX($C$2, DATE(Initialisatie!$C$5,1,1)) + 1) &gt; 0, IFERROR(VALUE($C90),0)=0),
        AND(MAX(0, MIN($D$1, DATE(Initialisatie!$C$5,12,31)) - MAX($D$2, DATE(Initialisatie!$C$5,1,1)) + 1) &gt; 0, IFERROR(VALUE($D90),0)=0),
        AND(MAX(0, MIN($E$1, DATE(Initialisatie!$C$5,12,31)) - MAX($E$2, DATE(Initialisatie!$C$5,1,1)) + 1) &gt; 0, IFERROR(VALUE($E90),0)=0)
    ),
    0,
    SUM(
        IFERROR(VALUE($C90),0) * MAX(0, MIN($C$1, DATE(Initialisatie!$C$5,12,31)) - MAX($C$2, DATE(Initialisatie!$C$5,1,1)) + 1),
        IFERROR(VALUE($D90),0) * MAX(0, MIN($D$1, DATE(Initialisatie!$C$5,12,31)) - MAX($D$2, DATE(Initialisatie!$C$5,1,1)) + 1),
        IFERROR(VALUE($E90),0) * MAX(0, MIN($E$1, DATE(Initialisatie!$C$5,12,31)) - MAX($E$2, DATE(Initialisatie!$C$5,1,1)) + 1)
    ) / (DATE(Initialisatie!$C$5,12,31) - DATE(Initialisatie!$C$5,1,1) + 1)
)</f>
        <v>3025.8794520547945</v>
      </c>
      <c r="H90">
        <f>IF(
    OR(
        AND(MAX(0, IF(MIN($C$1, DATE(Initialisatie!$C$5,12,31)) &lt; MAX($C$2, DATE(Initialisatie!$C$5,1,1)), 0, MONTH(MIN($C$1, DATE(Initialisatie!$C$5,12,31))) - MONTH(MAX($C$2, DATE(Initialisatie!$C$5,1,1))) + 1)) &lt;= 0, IFERROR(VALUE($C90),0)=0),
        AND(MAX(0, IF(MIN($D$1, DATE(Initialisatie!$C$5,12,31)) &lt; MAX($D$2, DATE(Initialisatie!$C$5,1,1)), 0, MONTH(MIN($D$1, DATE(Initialisatie!$C$5,12,31))) - MONTH(MAX($D$2, DATE(Initialisatie!$C$5,1,1))) + 1)) &lt;= 0, IFERROR(VALUE($D90),0)=0),
        AND(MAX(0, IF(MIN($E$1, DATE(Initialisatie!$C$5,12,31)) &lt; MAX($E$2, DATE(Initialisatie!$C$5,1,1)), 0, MONTH(MIN($E$1, DATE(Initialisatie!$C$5,12,31))) - MONTH(MAX($E$2, DATE(Initialisatie!$C$5,1,1))) + 1)) &lt;= 0, IFERROR(VALUE($E90),0)=0)
    ),
    0,
    SUM(
        IFERROR(VALUE($C90),0) * MAX(0, IF(MIN($C$1, DATE(Initialisatie!$C$5,12,31)) &lt; MAX($C$2, DATE(Initialisatie!$C$5,1,1)), 0, MONTH(MIN($C$1, DATE(Initialisatie!$C$5,12,31))) - MONTH(MAX($C$2, DATE(Initialisatie!$C$5,1,1))) + 1)),
        IFERROR(VALUE($D90),0) * MAX(0, IF(MIN($D$1, DATE(Initialisatie!$C$5,12,31)) &lt; MAX($D$2, DATE(Initialisatie!$C$5,1,1)), 0, MONTH(MIN($D$1, DATE(Initialisatie!$C$5,12,31))) - MONTH(MAX($D$2, DATE(Initialisatie!$C$5,1,1))) + 1)),
        IFERROR(VALUE($E90),0) * MAX(0, IF(MIN($E$1, DATE(Initialisatie!$C$5,12,31)) &lt; MAX($E$2, DATE(Initialisatie!$C$5,1,1)), 0, MONTH(MIN($E$1, DATE(Initialisatie!$C$5,12,31))) - MONTH(MAX($E$2, DATE(Initialisatie!$C$5,1,1))) + 1))
    ) / 12
)</f>
        <v>3025.75</v>
      </c>
    </row>
    <row r="91" spans="1:8" x14ac:dyDescent="0.45">
      <c r="A91" s="997"/>
      <c r="B91" s="380">
        <v>2</v>
      </c>
      <c r="C91" t="s">
        <v>1739</v>
      </c>
      <c r="D91" t="s">
        <v>1740</v>
      </c>
      <c r="E91" t="s">
        <v>1741</v>
      </c>
      <c r="G91">
        <f>IF(
    OR(
        AND(MAX(0, MIN($C$1, DATE(Initialisatie!$C$5,12,31)) - MAX($C$2, DATE(Initialisatie!$C$5,1,1)) + 1) &gt; 0, IFERROR(VALUE($C91),0)=0),
        AND(MAX(0, MIN($D$1, DATE(Initialisatie!$C$5,12,31)) - MAX($D$2, DATE(Initialisatie!$C$5,1,1)) + 1) &gt; 0, IFERROR(VALUE($D91),0)=0),
        AND(MAX(0, MIN($E$1, DATE(Initialisatie!$C$5,12,31)) - MAX($E$2, DATE(Initialisatie!$C$5,1,1)) + 1) &gt; 0, IFERROR(VALUE($E91),0)=0)
    ),
    0,
    SUM(
        IFERROR(VALUE($C91),0) * MAX(0, MIN($C$1, DATE(Initialisatie!$C$5,12,31)) - MAX($C$2, DATE(Initialisatie!$C$5,1,1)) + 1),
        IFERROR(VALUE($D91),0) * MAX(0, MIN($D$1, DATE(Initialisatie!$C$5,12,31)) - MAX($D$2, DATE(Initialisatie!$C$5,1,1)) + 1),
        IFERROR(VALUE($E91),0) * MAX(0, MIN($E$1, DATE(Initialisatie!$C$5,12,31)) - MAX($E$2, DATE(Initialisatie!$C$5,1,1)) + 1)
    ) / (DATE(Initialisatie!$C$5,12,31) - DATE(Initialisatie!$C$5,1,1) + 1)
)</f>
        <v>3123.3835616438355</v>
      </c>
      <c r="H91">
        <f>IF(
    OR(
        AND(MAX(0, IF(MIN($C$1, DATE(Initialisatie!$C$5,12,31)) &lt; MAX($C$2, DATE(Initialisatie!$C$5,1,1)), 0, MONTH(MIN($C$1, DATE(Initialisatie!$C$5,12,31))) - MONTH(MAX($C$2, DATE(Initialisatie!$C$5,1,1))) + 1)) &lt;= 0, IFERROR(VALUE($C91),0)=0),
        AND(MAX(0, IF(MIN($D$1, DATE(Initialisatie!$C$5,12,31)) &lt; MAX($D$2, DATE(Initialisatie!$C$5,1,1)), 0, MONTH(MIN($D$1, DATE(Initialisatie!$C$5,12,31))) - MONTH(MAX($D$2, DATE(Initialisatie!$C$5,1,1))) + 1)) &lt;= 0, IFERROR(VALUE($D91),0)=0),
        AND(MAX(0, IF(MIN($E$1, DATE(Initialisatie!$C$5,12,31)) &lt; MAX($E$2, DATE(Initialisatie!$C$5,1,1)), 0, MONTH(MIN($E$1, DATE(Initialisatie!$C$5,12,31))) - MONTH(MAX($E$2, DATE(Initialisatie!$C$5,1,1))) + 1)) &lt;= 0, IFERROR(VALUE($E91),0)=0)
    ),
    0,
    SUM(
        IFERROR(VALUE($C91),0) * MAX(0, IF(MIN($C$1, DATE(Initialisatie!$C$5,12,31)) &lt; MAX($C$2, DATE(Initialisatie!$C$5,1,1)), 0, MONTH(MIN($C$1, DATE(Initialisatie!$C$5,12,31))) - MONTH(MAX($C$2, DATE(Initialisatie!$C$5,1,1))) + 1)),
        IFERROR(VALUE($D91),0) * MAX(0, IF(MIN($D$1, DATE(Initialisatie!$C$5,12,31)) &lt; MAX($D$2, DATE(Initialisatie!$C$5,1,1)), 0, MONTH(MIN($D$1, DATE(Initialisatie!$C$5,12,31))) - MONTH(MAX($D$2, DATE(Initialisatie!$C$5,1,1))) + 1)),
        IFERROR(VALUE($E91),0) * MAX(0, IF(MIN($E$1, DATE(Initialisatie!$C$5,12,31)) &lt; MAX($E$2, DATE(Initialisatie!$C$5,1,1)), 0, MONTH(MIN($E$1, DATE(Initialisatie!$C$5,12,31))) - MONTH(MAX($E$2, DATE(Initialisatie!$C$5,1,1))) + 1))
    ) / 12
)</f>
        <v>3123.25</v>
      </c>
    </row>
    <row r="92" spans="1:8" x14ac:dyDescent="0.45">
      <c r="A92" s="997"/>
      <c r="B92" s="380">
        <v>3</v>
      </c>
      <c r="C92" t="s">
        <v>1742</v>
      </c>
      <c r="D92" t="s">
        <v>1743</v>
      </c>
      <c r="E92" t="s">
        <v>1744</v>
      </c>
      <c r="G92">
        <f>IF(
    OR(
        AND(MAX(0, MIN($C$1, DATE(Initialisatie!$C$5,12,31)) - MAX($C$2, DATE(Initialisatie!$C$5,1,1)) + 1) &gt; 0, IFERROR(VALUE($C92),0)=0),
        AND(MAX(0, MIN($D$1, DATE(Initialisatie!$C$5,12,31)) - MAX($D$2, DATE(Initialisatie!$C$5,1,1)) + 1) &gt; 0, IFERROR(VALUE($D92),0)=0),
        AND(MAX(0, MIN($E$1, DATE(Initialisatie!$C$5,12,31)) - MAX($E$2, DATE(Initialisatie!$C$5,1,1)) + 1) &gt; 0, IFERROR(VALUE($E92),0)=0)
    ),
    0,
    SUM(
        IFERROR(VALUE($C92),0) * MAX(0, MIN($C$1, DATE(Initialisatie!$C$5,12,31)) - MAX($C$2, DATE(Initialisatie!$C$5,1,1)) + 1),
        IFERROR(VALUE($D92),0) * MAX(0, MIN($D$1, DATE(Initialisatie!$C$5,12,31)) - MAX($D$2, DATE(Initialisatie!$C$5,1,1)) + 1),
        IFERROR(VALUE($E92),0) * MAX(0, MIN($E$1, DATE(Initialisatie!$C$5,12,31)) - MAX($E$2, DATE(Initialisatie!$C$5,1,1)) + 1)
    ) / (DATE(Initialisatie!$C$5,12,31) - DATE(Initialisatie!$C$5,1,1) + 1)
)</f>
        <v>3210.8876712328765</v>
      </c>
      <c r="H92">
        <f>IF(
    OR(
        AND(MAX(0, IF(MIN($C$1, DATE(Initialisatie!$C$5,12,31)) &lt; MAX($C$2, DATE(Initialisatie!$C$5,1,1)), 0, MONTH(MIN($C$1, DATE(Initialisatie!$C$5,12,31))) - MONTH(MAX($C$2, DATE(Initialisatie!$C$5,1,1))) + 1)) &lt;= 0, IFERROR(VALUE($C92),0)=0),
        AND(MAX(0, IF(MIN($D$1, DATE(Initialisatie!$C$5,12,31)) &lt; MAX($D$2, DATE(Initialisatie!$C$5,1,1)), 0, MONTH(MIN($D$1, DATE(Initialisatie!$C$5,12,31))) - MONTH(MAX($D$2, DATE(Initialisatie!$C$5,1,1))) + 1)) &lt;= 0, IFERROR(VALUE($D92),0)=0),
        AND(MAX(0, IF(MIN($E$1, DATE(Initialisatie!$C$5,12,31)) &lt; MAX($E$2, DATE(Initialisatie!$C$5,1,1)), 0, MONTH(MIN($E$1, DATE(Initialisatie!$C$5,12,31))) - MONTH(MAX($E$2, DATE(Initialisatie!$C$5,1,1))) + 1)) &lt;= 0, IFERROR(VALUE($E92),0)=0)
    ),
    0,
    SUM(
        IFERROR(VALUE($C92),0) * MAX(0, IF(MIN($C$1, DATE(Initialisatie!$C$5,12,31)) &lt; MAX($C$2, DATE(Initialisatie!$C$5,1,1)), 0, MONTH(MIN($C$1, DATE(Initialisatie!$C$5,12,31))) - MONTH(MAX($C$2, DATE(Initialisatie!$C$5,1,1))) + 1)),
        IFERROR(VALUE($D92),0) * MAX(0, IF(MIN($D$1, DATE(Initialisatie!$C$5,12,31)) &lt; MAX($D$2, DATE(Initialisatie!$C$5,1,1)), 0, MONTH(MIN($D$1, DATE(Initialisatie!$C$5,12,31))) - MONTH(MAX($D$2, DATE(Initialisatie!$C$5,1,1))) + 1)),
        IFERROR(VALUE($E92),0) * MAX(0, IF(MIN($E$1, DATE(Initialisatie!$C$5,12,31)) &lt; MAX($E$2, DATE(Initialisatie!$C$5,1,1)), 0, MONTH(MIN($E$1, DATE(Initialisatie!$C$5,12,31))) - MONTH(MAX($E$2, DATE(Initialisatie!$C$5,1,1))) + 1))
    ) / 12
)</f>
        <v>3210.75</v>
      </c>
    </row>
    <row r="93" spans="1:8" x14ac:dyDescent="0.45">
      <c r="A93" s="997"/>
      <c r="B93" s="380">
        <v>4</v>
      </c>
      <c r="C93" t="s">
        <v>1745</v>
      </c>
      <c r="D93" t="s">
        <v>1746</v>
      </c>
      <c r="E93" t="s">
        <v>1747</v>
      </c>
      <c r="G93">
        <f>IF(
    OR(
        AND(MAX(0, MIN($C$1, DATE(Initialisatie!$C$5,12,31)) - MAX($C$2, DATE(Initialisatie!$C$5,1,1)) + 1) &gt; 0, IFERROR(VALUE($C93),0)=0),
        AND(MAX(0, MIN($D$1, DATE(Initialisatie!$C$5,12,31)) - MAX($D$2, DATE(Initialisatie!$C$5,1,1)) + 1) &gt; 0, IFERROR(VALUE($D93),0)=0),
        AND(MAX(0, MIN($E$1, DATE(Initialisatie!$C$5,12,31)) - MAX($E$2, DATE(Initialisatie!$C$5,1,1)) + 1) &gt; 0, IFERROR(VALUE($E93),0)=0)
    ),
    0,
    SUM(
        IFERROR(VALUE($C93),0) * MAX(0, MIN($C$1, DATE(Initialisatie!$C$5,12,31)) - MAX($C$2, DATE(Initialisatie!$C$5,1,1)) + 1),
        IFERROR(VALUE($D93),0) * MAX(0, MIN($D$1, DATE(Initialisatie!$C$5,12,31)) - MAX($D$2, DATE(Initialisatie!$C$5,1,1)) + 1),
        IFERROR(VALUE($E93),0) * MAX(0, MIN($E$1, DATE(Initialisatie!$C$5,12,31)) - MAX($E$2, DATE(Initialisatie!$C$5,1,1)) + 1)
    ) / (DATE(Initialisatie!$C$5,12,31) - DATE(Initialisatie!$C$5,1,1) + 1)
)</f>
        <v>3307.391780821918</v>
      </c>
      <c r="H93">
        <f>IF(
    OR(
        AND(MAX(0, IF(MIN($C$1, DATE(Initialisatie!$C$5,12,31)) &lt; MAX($C$2, DATE(Initialisatie!$C$5,1,1)), 0, MONTH(MIN($C$1, DATE(Initialisatie!$C$5,12,31))) - MONTH(MAX($C$2, DATE(Initialisatie!$C$5,1,1))) + 1)) &lt;= 0, IFERROR(VALUE($C93),0)=0),
        AND(MAX(0, IF(MIN($D$1, DATE(Initialisatie!$C$5,12,31)) &lt; MAX($D$2, DATE(Initialisatie!$C$5,1,1)), 0, MONTH(MIN($D$1, DATE(Initialisatie!$C$5,12,31))) - MONTH(MAX($D$2, DATE(Initialisatie!$C$5,1,1))) + 1)) &lt;= 0, IFERROR(VALUE($D93),0)=0),
        AND(MAX(0, IF(MIN($E$1, DATE(Initialisatie!$C$5,12,31)) &lt; MAX($E$2, DATE(Initialisatie!$C$5,1,1)), 0, MONTH(MIN($E$1, DATE(Initialisatie!$C$5,12,31))) - MONTH(MAX($E$2, DATE(Initialisatie!$C$5,1,1))) + 1)) &lt;= 0, IFERROR(VALUE($E93),0)=0)
    ),
    0,
    SUM(
        IFERROR(VALUE($C93),0) * MAX(0, IF(MIN($C$1, DATE(Initialisatie!$C$5,12,31)) &lt; MAX($C$2, DATE(Initialisatie!$C$5,1,1)), 0, MONTH(MIN($C$1, DATE(Initialisatie!$C$5,12,31))) - MONTH(MAX($C$2, DATE(Initialisatie!$C$5,1,1))) + 1)),
        IFERROR(VALUE($D93),0) * MAX(0, IF(MIN($D$1, DATE(Initialisatie!$C$5,12,31)) &lt; MAX($D$2, DATE(Initialisatie!$C$5,1,1)), 0, MONTH(MIN($D$1, DATE(Initialisatie!$C$5,12,31))) - MONTH(MAX($D$2, DATE(Initialisatie!$C$5,1,1))) + 1)),
        IFERROR(VALUE($E93),0) * MAX(0, IF(MIN($E$1, DATE(Initialisatie!$C$5,12,31)) &lt; MAX($E$2, DATE(Initialisatie!$C$5,1,1)), 0, MONTH(MIN($E$1, DATE(Initialisatie!$C$5,12,31))) - MONTH(MAX($E$2, DATE(Initialisatie!$C$5,1,1))) + 1))
    ) / 12
)</f>
        <v>3307.25</v>
      </c>
    </row>
    <row r="94" spans="1:8" x14ac:dyDescent="0.45">
      <c r="A94" s="997"/>
      <c r="B94" s="380">
        <v>5</v>
      </c>
      <c r="C94" t="s">
        <v>1748</v>
      </c>
      <c r="D94" t="s">
        <v>1749</v>
      </c>
      <c r="E94" t="s">
        <v>1750</v>
      </c>
      <c r="G94">
        <f>IF(
    OR(
        AND(MAX(0, MIN($C$1, DATE(Initialisatie!$C$5,12,31)) - MAX($C$2, DATE(Initialisatie!$C$5,1,1)) + 1) &gt; 0, IFERROR(VALUE($C94),0)=0),
        AND(MAX(0, MIN($D$1, DATE(Initialisatie!$C$5,12,31)) - MAX($D$2, DATE(Initialisatie!$C$5,1,1)) + 1) &gt; 0, IFERROR(VALUE($D94),0)=0),
        AND(MAX(0, MIN($E$1, DATE(Initialisatie!$C$5,12,31)) - MAX($E$2, DATE(Initialisatie!$C$5,1,1)) + 1) &gt; 0, IFERROR(VALUE($E94),0)=0)
    ),
    0,
    SUM(
        IFERROR(VALUE($C94),0) * MAX(0, MIN($C$1, DATE(Initialisatie!$C$5,12,31)) - MAX($C$2, DATE(Initialisatie!$C$5,1,1)) + 1),
        IFERROR(VALUE($D94),0) * MAX(0, MIN($D$1, DATE(Initialisatie!$C$5,12,31)) - MAX($D$2, DATE(Initialisatie!$C$5,1,1)) + 1),
        IFERROR(VALUE($E94),0) * MAX(0, MIN($E$1, DATE(Initialisatie!$C$5,12,31)) - MAX($E$2, DATE(Initialisatie!$C$5,1,1)) + 1)
    ) / (DATE(Initialisatie!$C$5,12,31) - DATE(Initialisatie!$C$5,1,1) + 1)
)</f>
        <v>3390.8958904109591</v>
      </c>
      <c r="H94">
        <f>IF(
    OR(
        AND(MAX(0, IF(MIN($C$1, DATE(Initialisatie!$C$5,12,31)) &lt; MAX($C$2, DATE(Initialisatie!$C$5,1,1)), 0, MONTH(MIN($C$1, DATE(Initialisatie!$C$5,12,31))) - MONTH(MAX($C$2, DATE(Initialisatie!$C$5,1,1))) + 1)) &lt;= 0, IFERROR(VALUE($C94),0)=0),
        AND(MAX(0, IF(MIN($D$1, DATE(Initialisatie!$C$5,12,31)) &lt; MAX($D$2, DATE(Initialisatie!$C$5,1,1)), 0, MONTH(MIN($D$1, DATE(Initialisatie!$C$5,12,31))) - MONTH(MAX($D$2, DATE(Initialisatie!$C$5,1,1))) + 1)) &lt;= 0, IFERROR(VALUE($D94),0)=0),
        AND(MAX(0, IF(MIN($E$1, DATE(Initialisatie!$C$5,12,31)) &lt; MAX($E$2, DATE(Initialisatie!$C$5,1,1)), 0, MONTH(MIN($E$1, DATE(Initialisatie!$C$5,12,31))) - MONTH(MAX($E$2, DATE(Initialisatie!$C$5,1,1))) + 1)) &lt;= 0, IFERROR(VALUE($E94),0)=0)
    ),
    0,
    SUM(
        IFERROR(VALUE($C94),0) * MAX(0, IF(MIN($C$1, DATE(Initialisatie!$C$5,12,31)) &lt; MAX($C$2, DATE(Initialisatie!$C$5,1,1)), 0, MONTH(MIN($C$1, DATE(Initialisatie!$C$5,12,31))) - MONTH(MAX($C$2, DATE(Initialisatie!$C$5,1,1))) + 1)),
        IFERROR(VALUE($D94),0) * MAX(0, IF(MIN($D$1, DATE(Initialisatie!$C$5,12,31)) &lt; MAX($D$2, DATE(Initialisatie!$C$5,1,1)), 0, MONTH(MIN($D$1, DATE(Initialisatie!$C$5,12,31))) - MONTH(MAX($D$2, DATE(Initialisatie!$C$5,1,1))) + 1)),
        IFERROR(VALUE($E94),0) * MAX(0, IF(MIN($E$1, DATE(Initialisatie!$C$5,12,31)) &lt; MAX($E$2, DATE(Initialisatie!$C$5,1,1)), 0, MONTH(MIN($E$1, DATE(Initialisatie!$C$5,12,31))) - MONTH(MAX($E$2, DATE(Initialisatie!$C$5,1,1))) + 1))
    ) / 12
)</f>
        <v>3390.75</v>
      </c>
    </row>
    <row r="95" spans="1:8" x14ac:dyDescent="0.45">
      <c r="A95" s="997"/>
      <c r="B95" s="380">
        <v>6</v>
      </c>
      <c r="C95" t="s">
        <v>1754</v>
      </c>
      <c r="D95" t="s">
        <v>1755</v>
      </c>
      <c r="E95" t="s">
        <v>1756</v>
      </c>
      <c r="G95">
        <f>IF(
    OR(
        AND(MAX(0, MIN($C$1, DATE(Initialisatie!$C$5,12,31)) - MAX($C$2, DATE(Initialisatie!$C$5,1,1)) + 1) &gt; 0, IFERROR(VALUE($C95),0)=0),
        AND(MAX(0, MIN($D$1, DATE(Initialisatie!$C$5,12,31)) - MAX($D$2, DATE(Initialisatie!$C$5,1,1)) + 1) &gt; 0, IFERROR(VALUE($D95),0)=0),
        AND(MAX(0, MIN($E$1, DATE(Initialisatie!$C$5,12,31)) - MAX($E$2, DATE(Initialisatie!$C$5,1,1)) + 1) &gt; 0, IFERROR(VALUE($E95),0)=0)
    ),
    0,
    SUM(
        IFERROR(VALUE($C95),0) * MAX(0, MIN($C$1, DATE(Initialisatie!$C$5,12,31)) - MAX($C$2, DATE(Initialisatie!$C$5,1,1)) + 1),
        IFERROR(VALUE($D95),0) * MAX(0, MIN($D$1, DATE(Initialisatie!$C$5,12,31)) - MAX($D$2, DATE(Initialisatie!$C$5,1,1)) + 1),
        IFERROR(VALUE($E95),0) * MAX(0, MIN($E$1, DATE(Initialisatie!$C$5,12,31)) - MAX($E$2, DATE(Initialisatie!$C$5,1,1)) + 1)
    ) / (DATE(Initialisatie!$C$5,12,31) - DATE(Initialisatie!$C$5,1,1) + 1)
)</f>
        <v>3479.4</v>
      </c>
      <c r="H95">
        <f>IF(
    OR(
        AND(MAX(0, IF(MIN($C$1, DATE(Initialisatie!$C$5,12,31)) &lt; MAX($C$2, DATE(Initialisatie!$C$5,1,1)), 0, MONTH(MIN($C$1, DATE(Initialisatie!$C$5,12,31))) - MONTH(MAX($C$2, DATE(Initialisatie!$C$5,1,1))) + 1)) &lt;= 0, IFERROR(VALUE($C95),0)=0),
        AND(MAX(0, IF(MIN($D$1, DATE(Initialisatie!$C$5,12,31)) &lt; MAX($D$2, DATE(Initialisatie!$C$5,1,1)), 0, MONTH(MIN($D$1, DATE(Initialisatie!$C$5,12,31))) - MONTH(MAX($D$2, DATE(Initialisatie!$C$5,1,1))) + 1)) &lt;= 0, IFERROR(VALUE($D95),0)=0),
        AND(MAX(0, IF(MIN($E$1, DATE(Initialisatie!$C$5,12,31)) &lt; MAX($E$2, DATE(Initialisatie!$C$5,1,1)), 0, MONTH(MIN($E$1, DATE(Initialisatie!$C$5,12,31))) - MONTH(MAX($E$2, DATE(Initialisatie!$C$5,1,1))) + 1)) &lt;= 0, IFERROR(VALUE($E95),0)=0)
    ),
    0,
    SUM(
        IFERROR(VALUE($C95),0) * MAX(0, IF(MIN($C$1, DATE(Initialisatie!$C$5,12,31)) &lt; MAX($C$2, DATE(Initialisatie!$C$5,1,1)), 0, MONTH(MIN($C$1, DATE(Initialisatie!$C$5,12,31))) - MONTH(MAX($C$2, DATE(Initialisatie!$C$5,1,1))) + 1)),
        IFERROR(VALUE($D95),0) * MAX(0, IF(MIN($D$1, DATE(Initialisatie!$C$5,12,31)) &lt; MAX($D$2, DATE(Initialisatie!$C$5,1,1)), 0, MONTH(MIN($D$1, DATE(Initialisatie!$C$5,12,31))) - MONTH(MAX($D$2, DATE(Initialisatie!$C$5,1,1))) + 1)),
        IFERROR(VALUE($E95),0) * MAX(0, IF(MIN($E$1, DATE(Initialisatie!$C$5,12,31)) &lt; MAX($E$2, DATE(Initialisatie!$C$5,1,1)), 0, MONTH(MIN($E$1, DATE(Initialisatie!$C$5,12,31))) - MONTH(MAX($E$2, DATE(Initialisatie!$C$5,1,1))) + 1))
    ) / 12
)</f>
        <v>3479.25</v>
      </c>
    </row>
    <row r="96" spans="1:8" x14ac:dyDescent="0.45">
      <c r="A96" s="997"/>
      <c r="B96" s="380">
        <v>7</v>
      </c>
      <c r="C96" t="s">
        <v>1757</v>
      </c>
      <c r="D96" t="s">
        <v>1758</v>
      </c>
      <c r="E96" t="s">
        <v>1759</v>
      </c>
      <c r="G96">
        <f>IF(
    OR(
        AND(MAX(0, MIN($C$1, DATE(Initialisatie!$C$5,12,31)) - MAX($C$2, DATE(Initialisatie!$C$5,1,1)) + 1) &gt; 0, IFERROR(VALUE($C96),0)=0),
        AND(MAX(0, MIN($D$1, DATE(Initialisatie!$C$5,12,31)) - MAX($D$2, DATE(Initialisatie!$C$5,1,1)) + 1) &gt; 0, IFERROR(VALUE($D96),0)=0),
        AND(MAX(0, MIN($E$1, DATE(Initialisatie!$C$5,12,31)) - MAX($E$2, DATE(Initialisatie!$C$5,1,1)) + 1) &gt; 0, IFERROR(VALUE($E96),0)=0)
    ),
    0,
    SUM(
        IFERROR(VALUE($C96),0) * MAX(0, MIN($C$1, DATE(Initialisatie!$C$5,12,31)) - MAX($C$2, DATE(Initialisatie!$C$5,1,1)) + 1),
        IFERROR(VALUE($D96),0) * MAX(0, MIN($D$1, DATE(Initialisatie!$C$5,12,31)) - MAX($D$2, DATE(Initialisatie!$C$5,1,1)) + 1),
        IFERROR(VALUE($E96),0) * MAX(0, MIN($E$1, DATE(Initialisatie!$C$5,12,31)) - MAX($E$2, DATE(Initialisatie!$C$5,1,1)) + 1)
    ) / (DATE(Initialisatie!$C$5,12,31) - DATE(Initialisatie!$C$5,1,1) + 1)
)</f>
        <v>3546.6520547945206</v>
      </c>
      <c r="H96">
        <f>IF(
    OR(
        AND(MAX(0, IF(MIN($C$1, DATE(Initialisatie!$C$5,12,31)) &lt; MAX($C$2, DATE(Initialisatie!$C$5,1,1)), 0, MONTH(MIN($C$1, DATE(Initialisatie!$C$5,12,31))) - MONTH(MAX($C$2, DATE(Initialisatie!$C$5,1,1))) + 1)) &lt;= 0, IFERROR(VALUE($C96),0)=0),
        AND(MAX(0, IF(MIN($D$1, DATE(Initialisatie!$C$5,12,31)) &lt; MAX($D$2, DATE(Initialisatie!$C$5,1,1)), 0, MONTH(MIN($D$1, DATE(Initialisatie!$C$5,12,31))) - MONTH(MAX($D$2, DATE(Initialisatie!$C$5,1,1))) + 1)) &lt;= 0, IFERROR(VALUE($D96),0)=0),
        AND(MAX(0, IF(MIN($E$1, DATE(Initialisatie!$C$5,12,31)) &lt; MAX($E$2, DATE(Initialisatie!$C$5,1,1)), 0, MONTH(MIN($E$1, DATE(Initialisatie!$C$5,12,31))) - MONTH(MAX($E$2, DATE(Initialisatie!$C$5,1,1))) + 1)) &lt;= 0, IFERROR(VALUE($E96),0)=0)
    ),
    0,
    SUM(
        IFERROR(VALUE($C96),0) * MAX(0, IF(MIN($C$1, DATE(Initialisatie!$C$5,12,31)) &lt; MAX($C$2, DATE(Initialisatie!$C$5,1,1)), 0, MONTH(MIN($C$1, DATE(Initialisatie!$C$5,12,31))) - MONTH(MAX($C$2, DATE(Initialisatie!$C$5,1,1))) + 1)),
        IFERROR(VALUE($D96),0) * MAX(0, IF(MIN($D$1, DATE(Initialisatie!$C$5,12,31)) &lt; MAX($D$2, DATE(Initialisatie!$C$5,1,1)), 0, MONTH(MIN($D$1, DATE(Initialisatie!$C$5,12,31))) - MONTH(MAX($D$2, DATE(Initialisatie!$C$5,1,1))) + 1)),
        IFERROR(VALUE($E96),0) * MAX(0, IF(MIN($E$1, DATE(Initialisatie!$C$5,12,31)) &lt; MAX($E$2, DATE(Initialisatie!$C$5,1,1)), 0, MONTH(MIN($E$1, DATE(Initialisatie!$C$5,12,31))) - MONTH(MAX($E$2, DATE(Initialisatie!$C$5,1,1))) + 1))
    ) / 12
)</f>
        <v>3546.5</v>
      </c>
    </row>
    <row r="97" spans="1:8" x14ac:dyDescent="0.45">
      <c r="A97" s="997"/>
      <c r="B97" s="380">
        <v>8</v>
      </c>
      <c r="C97" t="s">
        <v>1760</v>
      </c>
      <c r="D97" t="s">
        <v>1761</v>
      </c>
      <c r="E97" t="s">
        <v>1762</v>
      </c>
      <c r="G97">
        <f>IF(
    OR(
        AND(MAX(0, MIN($C$1, DATE(Initialisatie!$C$5,12,31)) - MAX($C$2, DATE(Initialisatie!$C$5,1,1)) + 1) &gt; 0, IFERROR(VALUE($C97),0)=0),
        AND(MAX(0, MIN($D$1, DATE(Initialisatie!$C$5,12,31)) - MAX($D$2, DATE(Initialisatie!$C$5,1,1)) + 1) &gt; 0, IFERROR(VALUE($D97),0)=0),
        AND(MAX(0, MIN($E$1, DATE(Initialisatie!$C$5,12,31)) - MAX($E$2, DATE(Initialisatie!$C$5,1,1)) + 1) &gt; 0, IFERROR(VALUE($E97),0)=0)
    ),
    0,
    SUM(
        IFERROR(VALUE($C97),0) * MAX(0, MIN($C$1, DATE(Initialisatie!$C$5,12,31)) - MAX($C$2, DATE(Initialisatie!$C$5,1,1)) + 1),
        IFERROR(VALUE($D97),0) * MAX(0, MIN($D$1, DATE(Initialisatie!$C$5,12,31)) - MAX($D$2, DATE(Initialisatie!$C$5,1,1)) + 1),
        IFERROR(VALUE($E97),0) * MAX(0, MIN($E$1, DATE(Initialisatie!$C$5,12,31)) - MAX($E$2, DATE(Initialisatie!$C$5,1,1)) + 1)
    ) / (DATE(Initialisatie!$C$5,12,31) - DATE(Initialisatie!$C$5,1,1) + 1)
)</f>
        <v>3626.1561643835616</v>
      </c>
      <c r="H97">
        <f>IF(
    OR(
        AND(MAX(0, IF(MIN($C$1, DATE(Initialisatie!$C$5,12,31)) &lt; MAX($C$2, DATE(Initialisatie!$C$5,1,1)), 0, MONTH(MIN($C$1, DATE(Initialisatie!$C$5,12,31))) - MONTH(MAX($C$2, DATE(Initialisatie!$C$5,1,1))) + 1)) &lt;= 0, IFERROR(VALUE($C97),0)=0),
        AND(MAX(0, IF(MIN($D$1, DATE(Initialisatie!$C$5,12,31)) &lt; MAX($D$2, DATE(Initialisatie!$C$5,1,1)), 0, MONTH(MIN($D$1, DATE(Initialisatie!$C$5,12,31))) - MONTH(MAX($D$2, DATE(Initialisatie!$C$5,1,1))) + 1)) &lt;= 0, IFERROR(VALUE($D97),0)=0),
        AND(MAX(0, IF(MIN($E$1, DATE(Initialisatie!$C$5,12,31)) &lt; MAX($E$2, DATE(Initialisatie!$C$5,1,1)), 0, MONTH(MIN($E$1, DATE(Initialisatie!$C$5,12,31))) - MONTH(MAX($E$2, DATE(Initialisatie!$C$5,1,1))) + 1)) &lt;= 0, IFERROR(VALUE($E97),0)=0)
    ),
    0,
    SUM(
        IFERROR(VALUE($C97),0) * MAX(0, IF(MIN($C$1, DATE(Initialisatie!$C$5,12,31)) &lt; MAX($C$2, DATE(Initialisatie!$C$5,1,1)), 0, MONTH(MIN($C$1, DATE(Initialisatie!$C$5,12,31))) - MONTH(MAX($C$2, DATE(Initialisatie!$C$5,1,1))) + 1)),
        IFERROR(VALUE($D97),0) * MAX(0, IF(MIN($D$1, DATE(Initialisatie!$C$5,12,31)) &lt; MAX($D$2, DATE(Initialisatie!$C$5,1,1)), 0, MONTH(MIN($D$1, DATE(Initialisatie!$C$5,12,31))) - MONTH(MAX($D$2, DATE(Initialisatie!$C$5,1,1))) + 1)),
        IFERROR(VALUE($E97),0) * MAX(0, IF(MIN($E$1, DATE(Initialisatie!$C$5,12,31)) &lt; MAX($E$2, DATE(Initialisatie!$C$5,1,1)), 0, MONTH(MIN($E$1, DATE(Initialisatie!$C$5,12,31))) - MONTH(MAX($E$2, DATE(Initialisatie!$C$5,1,1))) + 1))
    ) / 12
)</f>
        <v>3626</v>
      </c>
    </row>
    <row r="98" spans="1:8" x14ac:dyDescent="0.45">
      <c r="A98" s="997"/>
      <c r="B98" s="380">
        <v>9</v>
      </c>
      <c r="C98" t="s">
        <v>1766</v>
      </c>
      <c r="D98" t="s">
        <v>1767</v>
      </c>
      <c r="E98" t="s">
        <v>1768</v>
      </c>
      <c r="G98">
        <f>IF(
    OR(
        AND(MAX(0, MIN($C$1, DATE(Initialisatie!$C$5,12,31)) - MAX($C$2, DATE(Initialisatie!$C$5,1,1)) + 1) &gt; 0, IFERROR(VALUE($C98),0)=0),
        AND(MAX(0, MIN($D$1, DATE(Initialisatie!$C$5,12,31)) - MAX($D$2, DATE(Initialisatie!$C$5,1,1)) + 1) &gt; 0, IFERROR(VALUE($D98),0)=0),
        AND(MAX(0, MIN($E$1, DATE(Initialisatie!$C$5,12,31)) - MAX($E$2, DATE(Initialisatie!$C$5,1,1)) + 1) &gt; 0, IFERROR(VALUE($E98),0)=0)
    ),
    0,
    SUM(
        IFERROR(VALUE($C98),0) * MAX(0, MIN($C$1, DATE(Initialisatie!$C$5,12,31)) - MAX($C$2, DATE(Initialisatie!$C$5,1,1)) + 1),
        IFERROR(VALUE($D98),0) * MAX(0, MIN($D$1, DATE(Initialisatie!$C$5,12,31)) - MAX($D$2, DATE(Initialisatie!$C$5,1,1)) + 1),
        IFERROR(VALUE($E98),0) * MAX(0, MIN($E$1, DATE(Initialisatie!$C$5,12,31)) - MAX($E$2, DATE(Initialisatie!$C$5,1,1)) + 1)
    ) / (DATE(Initialisatie!$C$5,12,31) - DATE(Initialisatie!$C$5,1,1) + 1)
)</f>
        <v>3695.4082191780822</v>
      </c>
      <c r="H98">
        <f>IF(
    OR(
        AND(MAX(0, IF(MIN($C$1, DATE(Initialisatie!$C$5,12,31)) &lt; MAX($C$2, DATE(Initialisatie!$C$5,1,1)), 0, MONTH(MIN($C$1, DATE(Initialisatie!$C$5,12,31))) - MONTH(MAX($C$2, DATE(Initialisatie!$C$5,1,1))) + 1)) &lt;= 0, IFERROR(VALUE($C98),0)=0),
        AND(MAX(0, IF(MIN($D$1, DATE(Initialisatie!$C$5,12,31)) &lt; MAX($D$2, DATE(Initialisatie!$C$5,1,1)), 0, MONTH(MIN($D$1, DATE(Initialisatie!$C$5,12,31))) - MONTH(MAX($D$2, DATE(Initialisatie!$C$5,1,1))) + 1)) &lt;= 0, IFERROR(VALUE($D98),0)=0),
        AND(MAX(0, IF(MIN($E$1, DATE(Initialisatie!$C$5,12,31)) &lt; MAX($E$2, DATE(Initialisatie!$C$5,1,1)), 0, MONTH(MIN($E$1, DATE(Initialisatie!$C$5,12,31))) - MONTH(MAX($E$2, DATE(Initialisatie!$C$5,1,1))) + 1)) &lt;= 0, IFERROR(VALUE($E98),0)=0)
    ),
    0,
    SUM(
        IFERROR(VALUE($C98),0) * MAX(0, IF(MIN($C$1, DATE(Initialisatie!$C$5,12,31)) &lt; MAX($C$2, DATE(Initialisatie!$C$5,1,1)), 0, MONTH(MIN($C$1, DATE(Initialisatie!$C$5,12,31))) - MONTH(MAX($C$2, DATE(Initialisatie!$C$5,1,1))) + 1)),
        IFERROR(VALUE($D98),0) * MAX(0, IF(MIN($D$1, DATE(Initialisatie!$C$5,12,31)) &lt; MAX($D$2, DATE(Initialisatie!$C$5,1,1)), 0, MONTH(MIN($D$1, DATE(Initialisatie!$C$5,12,31))) - MONTH(MAX($D$2, DATE(Initialisatie!$C$5,1,1))) + 1)),
        IFERROR(VALUE($E98),0) * MAX(0, IF(MIN($E$1, DATE(Initialisatie!$C$5,12,31)) &lt; MAX($E$2, DATE(Initialisatie!$C$5,1,1)), 0, MONTH(MIN($E$1, DATE(Initialisatie!$C$5,12,31))) - MONTH(MAX($E$2, DATE(Initialisatie!$C$5,1,1))) + 1))
    ) / 12
)</f>
        <v>3695.25</v>
      </c>
    </row>
    <row r="99" spans="1:8" x14ac:dyDescent="0.45">
      <c r="A99" s="997"/>
      <c r="B99" s="380">
        <v>10</v>
      </c>
      <c r="C99" t="s">
        <v>1769</v>
      </c>
      <c r="D99" t="s">
        <v>1770</v>
      </c>
      <c r="E99" t="s">
        <v>1288</v>
      </c>
      <c r="G99">
        <f>IF(
    OR(
        AND(MAX(0, MIN($C$1, DATE(Initialisatie!$C$5,12,31)) - MAX($C$2, DATE(Initialisatie!$C$5,1,1)) + 1) &gt; 0, IFERROR(VALUE($C99),0)=0),
        AND(MAX(0, MIN($D$1, DATE(Initialisatie!$C$5,12,31)) - MAX($D$2, DATE(Initialisatie!$C$5,1,1)) + 1) &gt; 0, IFERROR(VALUE($D99),0)=0),
        AND(MAX(0, MIN($E$1, DATE(Initialisatie!$C$5,12,31)) - MAX($E$2, DATE(Initialisatie!$C$5,1,1)) + 1) &gt; 0, IFERROR(VALUE($E99),0)=0)
    ),
    0,
    SUM(
        IFERROR(VALUE($C99),0) * MAX(0, MIN($C$1, DATE(Initialisatie!$C$5,12,31)) - MAX($C$2, DATE(Initialisatie!$C$5,1,1)) + 1),
        IFERROR(VALUE($D99),0) * MAX(0, MIN($D$1, DATE(Initialisatie!$C$5,12,31)) - MAX($D$2, DATE(Initialisatie!$C$5,1,1)) + 1),
        IFERROR(VALUE($E99),0) * MAX(0, MIN($E$1, DATE(Initialisatie!$C$5,12,31)) - MAX($E$2, DATE(Initialisatie!$C$5,1,1)) + 1)
    ) / (DATE(Initialisatie!$C$5,12,31) - DATE(Initialisatie!$C$5,1,1) + 1)
)</f>
        <v>3835.1643835616437</v>
      </c>
      <c r="H99">
        <f>IF(
    OR(
        AND(MAX(0, IF(MIN($C$1, DATE(Initialisatie!$C$5,12,31)) &lt; MAX($C$2, DATE(Initialisatie!$C$5,1,1)), 0, MONTH(MIN($C$1, DATE(Initialisatie!$C$5,12,31))) - MONTH(MAX($C$2, DATE(Initialisatie!$C$5,1,1))) + 1)) &lt;= 0, IFERROR(VALUE($C99),0)=0),
        AND(MAX(0, IF(MIN($D$1, DATE(Initialisatie!$C$5,12,31)) &lt; MAX($D$2, DATE(Initialisatie!$C$5,1,1)), 0, MONTH(MIN($D$1, DATE(Initialisatie!$C$5,12,31))) - MONTH(MAX($D$2, DATE(Initialisatie!$C$5,1,1))) + 1)) &lt;= 0, IFERROR(VALUE($D99),0)=0),
        AND(MAX(0, IF(MIN($E$1, DATE(Initialisatie!$C$5,12,31)) &lt; MAX($E$2, DATE(Initialisatie!$C$5,1,1)), 0, MONTH(MIN($E$1, DATE(Initialisatie!$C$5,12,31))) - MONTH(MAX($E$2, DATE(Initialisatie!$C$5,1,1))) + 1)) &lt;= 0, IFERROR(VALUE($E99),0)=0)
    ),
    0,
    SUM(
        IFERROR(VALUE($C99),0) * MAX(0, IF(MIN($C$1, DATE(Initialisatie!$C$5,12,31)) &lt; MAX($C$2, DATE(Initialisatie!$C$5,1,1)), 0, MONTH(MIN($C$1, DATE(Initialisatie!$C$5,12,31))) - MONTH(MAX($C$2, DATE(Initialisatie!$C$5,1,1))) + 1)),
        IFERROR(VALUE($D99),0) * MAX(0, IF(MIN($D$1, DATE(Initialisatie!$C$5,12,31)) &lt; MAX($D$2, DATE(Initialisatie!$C$5,1,1)), 0, MONTH(MIN($D$1, DATE(Initialisatie!$C$5,12,31))) - MONTH(MAX($D$2, DATE(Initialisatie!$C$5,1,1))) + 1)),
        IFERROR(VALUE($E99),0) * MAX(0, IF(MIN($E$1, DATE(Initialisatie!$C$5,12,31)) &lt; MAX($E$2, DATE(Initialisatie!$C$5,1,1)), 0, MONTH(MIN($E$1, DATE(Initialisatie!$C$5,12,31))) - MONTH(MAX($E$2, DATE(Initialisatie!$C$5,1,1))) + 1))
    ) / 12
)</f>
        <v>3835</v>
      </c>
    </row>
    <row r="100" spans="1:8" x14ac:dyDescent="0.45">
      <c r="A100" s="997"/>
      <c r="B100" s="380">
        <v>11</v>
      </c>
      <c r="C100" t="s">
        <v>1771</v>
      </c>
      <c r="D100" t="s">
        <v>1772</v>
      </c>
      <c r="E100" t="s">
        <v>1773</v>
      </c>
      <c r="G100">
        <f>IF(
    OR(
        AND(MAX(0, MIN($C$1, DATE(Initialisatie!$C$5,12,31)) - MAX($C$2, DATE(Initialisatie!$C$5,1,1)) + 1) &gt; 0, IFERROR(VALUE($C100),0)=0),
        AND(MAX(0, MIN($D$1, DATE(Initialisatie!$C$5,12,31)) - MAX($D$2, DATE(Initialisatie!$C$5,1,1)) + 1) &gt; 0, IFERROR(VALUE($D100),0)=0),
        AND(MAX(0, MIN($E$1, DATE(Initialisatie!$C$5,12,31)) - MAX($E$2, DATE(Initialisatie!$C$5,1,1)) + 1) &gt; 0, IFERROR(VALUE($E100),0)=0)
    ),
    0,
    SUM(
        IFERROR(VALUE($C100),0) * MAX(0, MIN($C$1, DATE(Initialisatie!$C$5,12,31)) - MAX($C$2, DATE(Initialisatie!$C$5,1,1)) + 1),
        IFERROR(VALUE($D100),0) * MAX(0, MIN($D$1, DATE(Initialisatie!$C$5,12,31)) - MAX($D$2, DATE(Initialisatie!$C$5,1,1)) + 1),
        IFERROR(VALUE($E100),0) * MAX(0, MIN($E$1, DATE(Initialisatie!$C$5,12,31)) - MAX($E$2, DATE(Initialisatie!$C$5,1,1)) + 1)
    ) / (DATE(Initialisatie!$C$5,12,31) - DATE(Initialisatie!$C$5,1,1) + 1)
)</f>
        <v>3926.6684931506848</v>
      </c>
      <c r="H100">
        <f>IF(
    OR(
        AND(MAX(0, IF(MIN($C$1, DATE(Initialisatie!$C$5,12,31)) &lt; MAX($C$2, DATE(Initialisatie!$C$5,1,1)), 0, MONTH(MIN($C$1, DATE(Initialisatie!$C$5,12,31))) - MONTH(MAX($C$2, DATE(Initialisatie!$C$5,1,1))) + 1)) &lt;= 0, IFERROR(VALUE($C100),0)=0),
        AND(MAX(0, IF(MIN($D$1, DATE(Initialisatie!$C$5,12,31)) &lt; MAX($D$2, DATE(Initialisatie!$C$5,1,1)), 0, MONTH(MIN($D$1, DATE(Initialisatie!$C$5,12,31))) - MONTH(MAX($D$2, DATE(Initialisatie!$C$5,1,1))) + 1)) &lt;= 0, IFERROR(VALUE($D100),0)=0),
        AND(MAX(0, IF(MIN($E$1, DATE(Initialisatie!$C$5,12,31)) &lt; MAX($E$2, DATE(Initialisatie!$C$5,1,1)), 0, MONTH(MIN($E$1, DATE(Initialisatie!$C$5,12,31))) - MONTH(MAX($E$2, DATE(Initialisatie!$C$5,1,1))) + 1)) &lt;= 0, IFERROR(VALUE($E100),0)=0)
    ),
    0,
    SUM(
        IFERROR(VALUE($C100),0) * MAX(0, IF(MIN($C$1, DATE(Initialisatie!$C$5,12,31)) &lt; MAX($C$2, DATE(Initialisatie!$C$5,1,1)), 0, MONTH(MIN($C$1, DATE(Initialisatie!$C$5,12,31))) - MONTH(MAX($C$2, DATE(Initialisatie!$C$5,1,1))) + 1)),
        IFERROR(VALUE($D100),0) * MAX(0, IF(MIN($D$1, DATE(Initialisatie!$C$5,12,31)) &lt; MAX($D$2, DATE(Initialisatie!$C$5,1,1)), 0, MONTH(MIN($D$1, DATE(Initialisatie!$C$5,12,31))) - MONTH(MAX($D$2, DATE(Initialisatie!$C$5,1,1))) + 1)),
        IFERROR(VALUE($E100),0) * MAX(0, IF(MIN($E$1, DATE(Initialisatie!$C$5,12,31)) &lt; MAX($E$2, DATE(Initialisatie!$C$5,1,1)), 0, MONTH(MIN($E$1, DATE(Initialisatie!$C$5,12,31))) - MONTH(MAX($E$2, DATE(Initialisatie!$C$5,1,1))) + 1))
    ) / 12
)</f>
        <v>3926.5</v>
      </c>
    </row>
    <row r="101" spans="1:8" x14ac:dyDescent="0.45">
      <c r="A101" s="997"/>
      <c r="B101" s="380">
        <v>12</v>
      </c>
      <c r="C101" t="s">
        <v>1776</v>
      </c>
      <c r="D101" t="s">
        <v>1777</v>
      </c>
      <c r="E101" t="s">
        <v>1778</v>
      </c>
      <c r="G101">
        <f>IF(
    OR(
        AND(MAX(0, MIN($C$1, DATE(Initialisatie!$C$5,12,31)) - MAX($C$2, DATE(Initialisatie!$C$5,1,1)) + 1) &gt; 0, IFERROR(VALUE($C101),0)=0),
        AND(MAX(0, MIN($D$1, DATE(Initialisatie!$C$5,12,31)) - MAX($D$2, DATE(Initialisatie!$C$5,1,1)) + 1) &gt; 0, IFERROR(VALUE($D101),0)=0),
        AND(MAX(0, MIN($E$1, DATE(Initialisatie!$C$5,12,31)) - MAX($E$2, DATE(Initialisatie!$C$5,1,1)) + 1) &gt; 0, IFERROR(VALUE($E101),0)=0)
    ),
    0,
    SUM(
        IFERROR(VALUE($C101),0) * MAX(0, MIN($C$1, DATE(Initialisatie!$C$5,12,31)) - MAX($C$2, DATE(Initialisatie!$C$5,1,1)) + 1),
        IFERROR(VALUE($D101),0) * MAX(0, MIN($D$1, DATE(Initialisatie!$C$5,12,31)) - MAX($D$2, DATE(Initialisatie!$C$5,1,1)) + 1),
        IFERROR(VALUE($E101),0) * MAX(0, MIN($E$1, DATE(Initialisatie!$C$5,12,31)) - MAX($E$2, DATE(Initialisatie!$C$5,1,1)) + 1)
    ) / (DATE(Initialisatie!$C$5,12,31) - DATE(Initialisatie!$C$5,1,1) + 1)
)</f>
        <v>4025.1726027397262</v>
      </c>
      <c r="H101">
        <f>IF(
    OR(
        AND(MAX(0, IF(MIN($C$1, DATE(Initialisatie!$C$5,12,31)) &lt; MAX($C$2, DATE(Initialisatie!$C$5,1,1)), 0, MONTH(MIN($C$1, DATE(Initialisatie!$C$5,12,31))) - MONTH(MAX($C$2, DATE(Initialisatie!$C$5,1,1))) + 1)) &lt;= 0, IFERROR(VALUE($C101),0)=0),
        AND(MAX(0, IF(MIN($D$1, DATE(Initialisatie!$C$5,12,31)) &lt; MAX($D$2, DATE(Initialisatie!$C$5,1,1)), 0, MONTH(MIN($D$1, DATE(Initialisatie!$C$5,12,31))) - MONTH(MAX($D$2, DATE(Initialisatie!$C$5,1,1))) + 1)) &lt;= 0, IFERROR(VALUE($D101),0)=0),
        AND(MAX(0, IF(MIN($E$1, DATE(Initialisatie!$C$5,12,31)) &lt; MAX($E$2, DATE(Initialisatie!$C$5,1,1)), 0, MONTH(MIN($E$1, DATE(Initialisatie!$C$5,12,31))) - MONTH(MAX($E$2, DATE(Initialisatie!$C$5,1,1))) + 1)) &lt;= 0, IFERROR(VALUE($E101),0)=0)
    ),
    0,
    SUM(
        IFERROR(VALUE($C101),0) * MAX(0, IF(MIN($C$1, DATE(Initialisatie!$C$5,12,31)) &lt; MAX($C$2, DATE(Initialisatie!$C$5,1,1)), 0, MONTH(MIN($C$1, DATE(Initialisatie!$C$5,12,31))) - MONTH(MAX($C$2, DATE(Initialisatie!$C$5,1,1))) + 1)),
        IFERROR(VALUE($D101),0) * MAX(0, IF(MIN($D$1, DATE(Initialisatie!$C$5,12,31)) &lt; MAX($D$2, DATE(Initialisatie!$C$5,1,1)), 0, MONTH(MIN($D$1, DATE(Initialisatie!$C$5,12,31))) - MONTH(MAX($D$2, DATE(Initialisatie!$C$5,1,1))) + 1)),
        IFERROR(VALUE($E101),0) * MAX(0, IF(MIN($E$1, DATE(Initialisatie!$C$5,12,31)) &lt; MAX($E$2, DATE(Initialisatie!$C$5,1,1)), 0, MONTH(MIN($E$1, DATE(Initialisatie!$C$5,12,31))) - MONTH(MAX($E$2, DATE(Initialisatie!$C$5,1,1))) + 1))
    ) / 12
)</f>
        <v>4025</v>
      </c>
    </row>
    <row r="102" spans="1:8" x14ac:dyDescent="0.45">
      <c r="A102" s="997"/>
      <c r="B102" s="380">
        <v>13</v>
      </c>
      <c r="C102" t="s">
        <v>1779</v>
      </c>
      <c r="D102" t="s">
        <v>1780</v>
      </c>
      <c r="E102" t="s">
        <v>1781</v>
      </c>
      <c r="G102">
        <f>IF(
    OR(
        AND(MAX(0, MIN($C$1, DATE(Initialisatie!$C$5,12,31)) - MAX($C$2, DATE(Initialisatie!$C$5,1,1)) + 1) &gt; 0, IFERROR(VALUE($C102),0)=0),
        AND(MAX(0, MIN($D$1, DATE(Initialisatie!$C$5,12,31)) - MAX($D$2, DATE(Initialisatie!$C$5,1,1)) + 1) &gt; 0, IFERROR(VALUE($D102),0)=0),
        AND(MAX(0, MIN($E$1, DATE(Initialisatie!$C$5,12,31)) - MAX($E$2, DATE(Initialisatie!$C$5,1,1)) + 1) &gt; 0, IFERROR(VALUE($E102),0)=0)
    ),
    0,
    SUM(
        IFERROR(VALUE($C102),0) * MAX(0, MIN($C$1, DATE(Initialisatie!$C$5,12,31)) - MAX($C$2, DATE(Initialisatie!$C$5,1,1)) + 1),
        IFERROR(VALUE($D102),0) * MAX(0, MIN($D$1, DATE(Initialisatie!$C$5,12,31)) - MAX($D$2, DATE(Initialisatie!$C$5,1,1)) + 1),
        IFERROR(VALUE($E102),0) * MAX(0, MIN($E$1, DATE(Initialisatie!$C$5,12,31)) - MAX($E$2, DATE(Initialisatie!$C$5,1,1)) + 1)
    ) / (DATE(Initialisatie!$C$5,12,31) - DATE(Initialisatie!$C$5,1,1) + 1)
)</f>
        <v>4128.6767123287673</v>
      </c>
      <c r="H102">
        <f>IF(
    OR(
        AND(MAX(0, IF(MIN($C$1, DATE(Initialisatie!$C$5,12,31)) &lt; MAX($C$2, DATE(Initialisatie!$C$5,1,1)), 0, MONTH(MIN($C$1, DATE(Initialisatie!$C$5,12,31))) - MONTH(MAX($C$2, DATE(Initialisatie!$C$5,1,1))) + 1)) &lt;= 0, IFERROR(VALUE($C102),0)=0),
        AND(MAX(0, IF(MIN($D$1, DATE(Initialisatie!$C$5,12,31)) &lt; MAX($D$2, DATE(Initialisatie!$C$5,1,1)), 0, MONTH(MIN($D$1, DATE(Initialisatie!$C$5,12,31))) - MONTH(MAX($D$2, DATE(Initialisatie!$C$5,1,1))) + 1)) &lt;= 0, IFERROR(VALUE($D102),0)=0),
        AND(MAX(0, IF(MIN($E$1, DATE(Initialisatie!$C$5,12,31)) &lt; MAX($E$2, DATE(Initialisatie!$C$5,1,1)), 0, MONTH(MIN($E$1, DATE(Initialisatie!$C$5,12,31))) - MONTH(MAX($E$2, DATE(Initialisatie!$C$5,1,1))) + 1)) &lt;= 0, IFERROR(VALUE($E102),0)=0)
    ),
    0,
    SUM(
        IFERROR(VALUE($C102),0) * MAX(0, IF(MIN($C$1, DATE(Initialisatie!$C$5,12,31)) &lt; MAX($C$2, DATE(Initialisatie!$C$5,1,1)), 0, MONTH(MIN($C$1, DATE(Initialisatie!$C$5,12,31))) - MONTH(MAX($C$2, DATE(Initialisatie!$C$5,1,1))) + 1)),
        IFERROR(VALUE($D102),0) * MAX(0, IF(MIN($D$1, DATE(Initialisatie!$C$5,12,31)) &lt; MAX($D$2, DATE(Initialisatie!$C$5,1,1)), 0, MONTH(MIN($D$1, DATE(Initialisatie!$C$5,12,31))) - MONTH(MAX($D$2, DATE(Initialisatie!$C$5,1,1))) + 1)),
        IFERROR(VALUE($E102),0) * MAX(0, IF(MIN($E$1, DATE(Initialisatie!$C$5,12,31)) &lt; MAX($E$2, DATE(Initialisatie!$C$5,1,1)), 0, MONTH(MIN($E$1, DATE(Initialisatie!$C$5,12,31))) - MONTH(MAX($E$2, DATE(Initialisatie!$C$5,1,1))) + 1))
    ) / 12
)</f>
        <v>4128.5</v>
      </c>
    </row>
    <row r="103" spans="1:8" x14ac:dyDescent="0.45">
      <c r="A103" s="997"/>
      <c r="B103" s="380">
        <v>14</v>
      </c>
      <c r="C103" t="s">
        <v>1782</v>
      </c>
      <c r="D103" t="s">
        <v>1781</v>
      </c>
      <c r="E103" t="s">
        <v>1783</v>
      </c>
      <c r="G103">
        <f>IF(
    OR(
        AND(MAX(0, MIN($C$1, DATE(Initialisatie!$C$5,12,31)) - MAX($C$2, DATE(Initialisatie!$C$5,1,1)) + 1) &gt; 0, IFERROR(VALUE($C103),0)=0),
        AND(MAX(0, MIN($D$1, DATE(Initialisatie!$C$5,12,31)) - MAX($D$2, DATE(Initialisatie!$C$5,1,1)) + 1) &gt; 0, IFERROR(VALUE($D103),0)=0),
        AND(MAX(0, MIN($E$1, DATE(Initialisatie!$C$5,12,31)) - MAX($E$2, DATE(Initialisatie!$C$5,1,1)) + 1) &gt; 0, IFERROR(VALUE($E103),0)=0)
    ),
    0,
    SUM(
        IFERROR(VALUE($C103),0) * MAX(0, MIN($C$1, DATE(Initialisatie!$C$5,12,31)) - MAX($C$2, DATE(Initialisatie!$C$5,1,1)) + 1),
        IFERROR(VALUE($D103),0) * MAX(0, MIN($D$1, DATE(Initialisatie!$C$5,12,31)) - MAX($D$2, DATE(Initialisatie!$C$5,1,1)) + 1),
        IFERROR(VALUE($E103),0) * MAX(0, MIN($E$1, DATE(Initialisatie!$C$5,12,31)) - MAX($E$2, DATE(Initialisatie!$C$5,1,1)) + 1)
    ) / (DATE(Initialisatie!$C$5,12,31) - DATE(Initialisatie!$C$5,1,1) + 1)
)</f>
        <v>4215.1808219178083</v>
      </c>
      <c r="H103">
        <f>IF(
    OR(
        AND(MAX(0, IF(MIN($C$1, DATE(Initialisatie!$C$5,12,31)) &lt; MAX($C$2, DATE(Initialisatie!$C$5,1,1)), 0, MONTH(MIN($C$1, DATE(Initialisatie!$C$5,12,31))) - MONTH(MAX($C$2, DATE(Initialisatie!$C$5,1,1))) + 1)) &lt;= 0, IFERROR(VALUE($C103),0)=0),
        AND(MAX(0, IF(MIN($D$1, DATE(Initialisatie!$C$5,12,31)) &lt; MAX($D$2, DATE(Initialisatie!$C$5,1,1)), 0, MONTH(MIN($D$1, DATE(Initialisatie!$C$5,12,31))) - MONTH(MAX($D$2, DATE(Initialisatie!$C$5,1,1))) + 1)) &lt;= 0, IFERROR(VALUE($D103),0)=0),
        AND(MAX(0, IF(MIN($E$1, DATE(Initialisatie!$C$5,12,31)) &lt; MAX($E$2, DATE(Initialisatie!$C$5,1,1)), 0, MONTH(MIN($E$1, DATE(Initialisatie!$C$5,12,31))) - MONTH(MAX($E$2, DATE(Initialisatie!$C$5,1,1))) + 1)) &lt;= 0, IFERROR(VALUE($E103),0)=0)
    ),
    0,
    SUM(
        IFERROR(VALUE($C103),0) * MAX(0, IF(MIN($C$1, DATE(Initialisatie!$C$5,12,31)) &lt; MAX($C$2, DATE(Initialisatie!$C$5,1,1)), 0, MONTH(MIN($C$1, DATE(Initialisatie!$C$5,12,31))) - MONTH(MAX($C$2, DATE(Initialisatie!$C$5,1,1))) + 1)),
        IFERROR(VALUE($D103),0) * MAX(0, IF(MIN($D$1, DATE(Initialisatie!$C$5,12,31)) &lt; MAX($D$2, DATE(Initialisatie!$C$5,1,1)), 0, MONTH(MIN($D$1, DATE(Initialisatie!$C$5,12,31))) - MONTH(MAX($D$2, DATE(Initialisatie!$C$5,1,1))) + 1)),
        IFERROR(VALUE($E103),0) * MAX(0, IF(MIN($E$1, DATE(Initialisatie!$C$5,12,31)) &lt; MAX($E$2, DATE(Initialisatie!$C$5,1,1)), 0, MONTH(MIN($E$1, DATE(Initialisatie!$C$5,12,31))) - MONTH(MAX($E$2, DATE(Initialisatie!$C$5,1,1))) + 1))
    ) / 12
)</f>
        <v>4215</v>
      </c>
    </row>
    <row r="104" spans="1:8" x14ac:dyDescent="0.45">
      <c r="A104" s="997"/>
      <c r="B104" s="380">
        <v>15</v>
      </c>
      <c r="C104" t="s">
        <v>1784</v>
      </c>
      <c r="D104" t="s">
        <v>1785</v>
      </c>
      <c r="E104" t="s">
        <v>1786</v>
      </c>
      <c r="G104">
        <f>IF(
    OR(
        AND(MAX(0, MIN($C$1, DATE(Initialisatie!$C$5,12,31)) - MAX($C$2, DATE(Initialisatie!$C$5,1,1)) + 1) &gt; 0, IFERROR(VALUE($C104),0)=0),
        AND(MAX(0, MIN($D$1, DATE(Initialisatie!$C$5,12,31)) - MAX($D$2, DATE(Initialisatie!$C$5,1,1)) + 1) &gt; 0, IFERROR(VALUE($D104),0)=0),
        AND(MAX(0, MIN($E$1, DATE(Initialisatie!$C$5,12,31)) - MAX($E$2, DATE(Initialisatie!$C$5,1,1)) + 1) &gt; 0, IFERROR(VALUE($E104),0)=0)
    ),
    0,
    SUM(
        IFERROR(VALUE($C104),0) * MAX(0, MIN($C$1, DATE(Initialisatie!$C$5,12,31)) - MAX($C$2, DATE(Initialisatie!$C$5,1,1)) + 1),
        IFERROR(VALUE($D104),0) * MAX(0, MIN($D$1, DATE(Initialisatie!$C$5,12,31)) - MAX($D$2, DATE(Initialisatie!$C$5,1,1)) + 1),
        IFERROR(VALUE($E104),0) * MAX(0, MIN($E$1, DATE(Initialisatie!$C$5,12,31)) - MAX($E$2, DATE(Initialisatie!$C$5,1,1)) + 1)
    ) / (DATE(Initialisatie!$C$5,12,31) - DATE(Initialisatie!$C$5,1,1) + 1)
)</f>
        <v>4307.6849315068494</v>
      </c>
      <c r="H104">
        <f>IF(
    OR(
        AND(MAX(0, IF(MIN($C$1, DATE(Initialisatie!$C$5,12,31)) &lt; MAX($C$2, DATE(Initialisatie!$C$5,1,1)), 0, MONTH(MIN($C$1, DATE(Initialisatie!$C$5,12,31))) - MONTH(MAX($C$2, DATE(Initialisatie!$C$5,1,1))) + 1)) &lt;= 0, IFERROR(VALUE($C104),0)=0),
        AND(MAX(0, IF(MIN($D$1, DATE(Initialisatie!$C$5,12,31)) &lt; MAX($D$2, DATE(Initialisatie!$C$5,1,1)), 0, MONTH(MIN($D$1, DATE(Initialisatie!$C$5,12,31))) - MONTH(MAX($D$2, DATE(Initialisatie!$C$5,1,1))) + 1)) &lt;= 0, IFERROR(VALUE($D104),0)=0),
        AND(MAX(0, IF(MIN($E$1, DATE(Initialisatie!$C$5,12,31)) &lt; MAX($E$2, DATE(Initialisatie!$C$5,1,1)), 0, MONTH(MIN($E$1, DATE(Initialisatie!$C$5,12,31))) - MONTH(MAX($E$2, DATE(Initialisatie!$C$5,1,1))) + 1)) &lt;= 0, IFERROR(VALUE($E104),0)=0)
    ),
    0,
    SUM(
        IFERROR(VALUE($C104),0) * MAX(0, IF(MIN($C$1, DATE(Initialisatie!$C$5,12,31)) &lt; MAX($C$2, DATE(Initialisatie!$C$5,1,1)), 0, MONTH(MIN($C$1, DATE(Initialisatie!$C$5,12,31))) - MONTH(MAX($C$2, DATE(Initialisatie!$C$5,1,1))) + 1)),
        IFERROR(VALUE($D104),0) * MAX(0, IF(MIN($D$1, DATE(Initialisatie!$C$5,12,31)) &lt; MAX($D$2, DATE(Initialisatie!$C$5,1,1)), 0, MONTH(MIN($D$1, DATE(Initialisatie!$C$5,12,31))) - MONTH(MAX($D$2, DATE(Initialisatie!$C$5,1,1))) + 1)),
        IFERROR(VALUE($E104),0) * MAX(0, IF(MIN($E$1, DATE(Initialisatie!$C$5,12,31)) &lt; MAX($E$2, DATE(Initialisatie!$C$5,1,1)), 0, MONTH(MIN($E$1, DATE(Initialisatie!$C$5,12,31))) - MONTH(MAX($E$2, DATE(Initialisatie!$C$5,1,1))) + 1))
    ) / 12
)</f>
        <v>4307.5</v>
      </c>
    </row>
    <row r="105" spans="1:8" x14ac:dyDescent="0.45">
      <c r="A105" s="998"/>
      <c r="B105" s="380" t="s">
        <v>517</v>
      </c>
      <c r="C105" t="s">
        <v>1787</v>
      </c>
      <c r="D105" t="s">
        <v>1788</v>
      </c>
      <c r="E105" t="s">
        <v>1789</v>
      </c>
      <c r="G105">
        <f>IF(
    OR(
        AND(MAX(0, MIN($C$1, DATE(Initialisatie!$C$5,12,31)) - MAX($C$2, DATE(Initialisatie!$C$5,1,1)) + 1) &gt; 0, IFERROR(VALUE($C105),0)=0),
        AND(MAX(0, MIN($D$1, DATE(Initialisatie!$C$5,12,31)) - MAX($D$2, DATE(Initialisatie!$C$5,1,1)) + 1) &gt; 0, IFERROR(VALUE($D105),0)=0),
        AND(MAX(0, MIN($E$1, DATE(Initialisatie!$C$5,12,31)) - MAX($E$2, DATE(Initialisatie!$C$5,1,1)) + 1) &gt; 0, IFERROR(VALUE($E105),0)=0)
    ),
    0,
    SUM(
        IFERROR(VALUE($C105),0) * MAX(0, MIN($C$1, DATE(Initialisatie!$C$5,12,31)) - MAX($C$2, DATE(Initialisatie!$C$5,1,1)) + 1),
        IFERROR(VALUE($D105),0) * MAX(0, MIN($D$1, DATE(Initialisatie!$C$5,12,31)) - MAX($D$2, DATE(Initialisatie!$C$5,1,1)) + 1),
        IFERROR(VALUE($E105),0) * MAX(0, MIN($E$1, DATE(Initialisatie!$C$5,12,31)) - MAX($E$2, DATE(Initialisatie!$C$5,1,1)) + 1)
    ) / (DATE(Initialisatie!$C$5,12,31) - DATE(Initialisatie!$C$5,1,1) + 1)
)</f>
        <v>2885.1232876712329</v>
      </c>
      <c r="H105">
        <f>IF(
    OR(
        AND(MAX(0, IF(MIN($C$1, DATE(Initialisatie!$C$5,12,31)) &lt; MAX($C$2, DATE(Initialisatie!$C$5,1,1)), 0, MONTH(MIN($C$1, DATE(Initialisatie!$C$5,12,31))) - MONTH(MAX($C$2, DATE(Initialisatie!$C$5,1,1))) + 1)) &lt;= 0, IFERROR(VALUE($C105),0)=0),
        AND(MAX(0, IF(MIN($D$1, DATE(Initialisatie!$C$5,12,31)) &lt; MAX($D$2, DATE(Initialisatie!$C$5,1,1)), 0, MONTH(MIN($D$1, DATE(Initialisatie!$C$5,12,31))) - MONTH(MAX($D$2, DATE(Initialisatie!$C$5,1,1))) + 1)) &lt;= 0, IFERROR(VALUE($D105),0)=0),
        AND(MAX(0, IF(MIN($E$1, DATE(Initialisatie!$C$5,12,31)) &lt; MAX($E$2, DATE(Initialisatie!$C$5,1,1)), 0, MONTH(MIN($E$1, DATE(Initialisatie!$C$5,12,31))) - MONTH(MAX($E$2, DATE(Initialisatie!$C$5,1,1))) + 1)) &lt;= 0, IFERROR(VALUE($E105),0)=0)
    ),
    0,
    SUM(
        IFERROR(VALUE($C105),0) * MAX(0, IF(MIN($C$1, DATE(Initialisatie!$C$5,12,31)) &lt; MAX($C$2, DATE(Initialisatie!$C$5,1,1)), 0, MONTH(MIN($C$1, DATE(Initialisatie!$C$5,12,31))) - MONTH(MAX($C$2, DATE(Initialisatie!$C$5,1,1))) + 1)),
        IFERROR(VALUE($D105),0) * MAX(0, IF(MIN($D$1, DATE(Initialisatie!$C$5,12,31)) &lt; MAX($D$2, DATE(Initialisatie!$C$5,1,1)), 0, MONTH(MIN($D$1, DATE(Initialisatie!$C$5,12,31))) - MONTH(MAX($D$2, DATE(Initialisatie!$C$5,1,1))) + 1)),
        IFERROR(VALUE($E105),0) * MAX(0, IF(MIN($E$1, DATE(Initialisatie!$C$5,12,31)) &lt; MAX($E$2, DATE(Initialisatie!$C$5,1,1)), 0, MONTH(MIN($E$1, DATE(Initialisatie!$C$5,12,31))) - MONTH(MAX($E$2, DATE(Initialisatie!$C$5,1,1))) + 1))
    ) / 12
)</f>
        <v>2885</v>
      </c>
    </row>
    <row r="106" spans="1:8" x14ac:dyDescent="0.45">
      <c r="A106" s="996">
        <v>7</v>
      </c>
      <c r="B106" s="380">
        <v>0</v>
      </c>
      <c r="C106" t="s">
        <v>1742</v>
      </c>
      <c r="D106" t="s">
        <v>1743</v>
      </c>
      <c r="E106" t="s">
        <v>1744</v>
      </c>
      <c r="G106">
        <f>IF(
    OR(
        AND(MAX(0, MIN($C$1, DATE(Initialisatie!$C$5,12,31)) - MAX($C$2, DATE(Initialisatie!$C$5,1,1)) + 1) &gt; 0, IFERROR(VALUE($C106),0)=0),
        AND(MAX(0, MIN($D$1, DATE(Initialisatie!$C$5,12,31)) - MAX($D$2, DATE(Initialisatie!$C$5,1,1)) + 1) &gt; 0, IFERROR(VALUE($D106),0)=0),
        AND(MAX(0, MIN($E$1, DATE(Initialisatie!$C$5,12,31)) - MAX($E$2, DATE(Initialisatie!$C$5,1,1)) + 1) &gt; 0, IFERROR(VALUE($E106),0)=0)
    ),
    0,
    SUM(
        IFERROR(VALUE($C106),0) * MAX(0, MIN($C$1, DATE(Initialisatie!$C$5,12,31)) - MAX($C$2, DATE(Initialisatie!$C$5,1,1)) + 1),
        IFERROR(VALUE($D106),0) * MAX(0, MIN($D$1, DATE(Initialisatie!$C$5,12,31)) - MAX($D$2, DATE(Initialisatie!$C$5,1,1)) + 1),
        IFERROR(VALUE($E106),0) * MAX(0, MIN($E$1, DATE(Initialisatie!$C$5,12,31)) - MAX($E$2, DATE(Initialisatie!$C$5,1,1)) + 1)
    ) / (DATE(Initialisatie!$C$5,12,31) - DATE(Initialisatie!$C$5,1,1) + 1)
)</f>
        <v>3210.8876712328765</v>
      </c>
      <c r="H106">
        <f>IF(
    OR(
        AND(MAX(0, IF(MIN($C$1, DATE(Initialisatie!$C$5,12,31)) &lt; MAX($C$2, DATE(Initialisatie!$C$5,1,1)), 0, MONTH(MIN($C$1, DATE(Initialisatie!$C$5,12,31))) - MONTH(MAX($C$2, DATE(Initialisatie!$C$5,1,1))) + 1)) &lt;= 0, IFERROR(VALUE($C106),0)=0),
        AND(MAX(0, IF(MIN($D$1, DATE(Initialisatie!$C$5,12,31)) &lt; MAX($D$2, DATE(Initialisatie!$C$5,1,1)), 0, MONTH(MIN($D$1, DATE(Initialisatie!$C$5,12,31))) - MONTH(MAX($D$2, DATE(Initialisatie!$C$5,1,1))) + 1)) &lt;= 0, IFERROR(VALUE($D106),0)=0),
        AND(MAX(0, IF(MIN($E$1, DATE(Initialisatie!$C$5,12,31)) &lt; MAX($E$2, DATE(Initialisatie!$C$5,1,1)), 0, MONTH(MIN($E$1, DATE(Initialisatie!$C$5,12,31))) - MONTH(MAX($E$2, DATE(Initialisatie!$C$5,1,1))) + 1)) &lt;= 0, IFERROR(VALUE($E106),0)=0)
    ),
    0,
    SUM(
        IFERROR(VALUE($C106),0) * MAX(0, IF(MIN($C$1, DATE(Initialisatie!$C$5,12,31)) &lt; MAX($C$2, DATE(Initialisatie!$C$5,1,1)), 0, MONTH(MIN($C$1, DATE(Initialisatie!$C$5,12,31))) - MONTH(MAX($C$2, DATE(Initialisatie!$C$5,1,1))) + 1)),
        IFERROR(VALUE($D106),0) * MAX(0, IF(MIN($D$1, DATE(Initialisatie!$C$5,12,31)) &lt; MAX($D$2, DATE(Initialisatie!$C$5,1,1)), 0, MONTH(MIN($D$1, DATE(Initialisatie!$C$5,12,31))) - MONTH(MAX($D$2, DATE(Initialisatie!$C$5,1,1))) + 1)),
        IFERROR(VALUE($E106),0) * MAX(0, IF(MIN($E$1, DATE(Initialisatie!$C$5,12,31)) &lt; MAX($E$2, DATE(Initialisatie!$C$5,1,1)), 0, MONTH(MIN($E$1, DATE(Initialisatie!$C$5,12,31))) - MONTH(MAX($E$2, DATE(Initialisatie!$C$5,1,1))) + 1))
    ) / 12
)</f>
        <v>3210.75</v>
      </c>
    </row>
    <row r="107" spans="1:8" x14ac:dyDescent="0.45">
      <c r="A107" s="997"/>
      <c r="B107" s="380">
        <v>1</v>
      </c>
      <c r="C107" t="s">
        <v>1745</v>
      </c>
      <c r="D107" t="s">
        <v>1746</v>
      </c>
      <c r="E107" t="s">
        <v>1747</v>
      </c>
      <c r="G107">
        <f>IF(
    OR(
        AND(MAX(0, MIN($C$1, DATE(Initialisatie!$C$5,12,31)) - MAX($C$2, DATE(Initialisatie!$C$5,1,1)) + 1) &gt; 0, IFERROR(VALUE($C107),0)=0),
        AND(MAX(0, MIN($D$1, DATE(Initialisatie!$C$5,12,31)) - MAX($D$2, DATE(Initialisatie!$C$5,1,1)) + 1) &gt; 0, IFERROR(VALUE($D107),0)=0),
        AND(MAX(0, MIN($E$1, DATE(Initialisatie!$C$5,12,31)) - MAX($E$2, DATE(Initialisatie!$C$5,1,1)) + 1) &gt; 0, IFERROR(VALUE($E107),0)=0)
    ),
    0,
    SUM(
        IFERROR(VALUE($C107),0) * MAX(0, MIN($C$1, DATE(Initialisatie!$C$5,12,31)) - MAX($C$2, DATE(Initialisatie!$C$5,1,1)) + 1),
        IFERROR(VALUE($D107),0) * MAX(0, MIN($D$1, DATE(Initialisatie!$C$5,12,31)) - MAX($D$2, DATE(Initialisatie!$C$5,1,1)) + 1),
        IFERROR(VALUE($E107),0) * MAX(0, MIN($E$1, DATE(Initialisatie!$C$5,12,31)) - MAX($E$2, DATE(Initialisatie!$C$5,1,1)) + 1)
    ) / (DATE(Initialisatie!$C$5,12,31) - DATE(Initialisatie!$C$5,1,1) + 1)
)</f>
        <v>3307.391780821918</v>
      </c>
      <c r="H107">
        <f>IF(
    OR(
        AND(MAX(0, IF(MIN($C$1, DATE(Initialisatie!$C$5,12,31)) &lt; MAX($C$2, DATE(Initialisatie!$C$5,1,1)), 0, MONTH(MIN($C$1, DATE(Initialisatie!$C$5,12,31))) - MONTH(MAX($C$2, DATE(Initialisatie!$C$5,1,1))) + 1)) &lt;= 0, IFERROR(VALUE($C107),0)=0),
        AND(MAX(0, IF(MIN($D$1, DATE(Initialisatie!$C$5,12,31)) &lt; MAX($D$2, DATE(Initialisatie!$C$5,1,1)), 0, MONTH(MIN($D$1, DATE(Initialisatie!$C$5,12,31))) - MONTH(MAX($D$2, DATE(Initialisatie!$C$5,1,1))) + 1)) &lt;= 0, IFERROR(VALUE($D107),0)=0),
        AND(MAX(0, IF(MIN($E$1, DATE(Initialisatie!$C$5,12,31)) &lt; MAX($E$2, DATE(Initialisatie!$C$5,1,1)), 0, MONTH(MIN($E$1, DATE(Initialisatie!$C$5,12,31))) - MONTH(MAX($E$2, DATE(Initialisatie!$C$5,1,1))) + 1)) &lt;= 0, IFERROR(VALUE($E107),0)=0)
    ),
    0,
    SUM(
        IFERROR(VALUE($C107),0) * MAX(0, IF(MIN($C$1, DATE(Initialisatie!$C$5,12,31)) &lt; MAX($C$2, DATE(Initialisatie!$C$5,1,1)), 0, MONTH(MIN($C$1, DATE(Initialisatie!$C$5,12,31))) - MONTH(MAX($C$2, DATE(Initialisatie!$C$5,1,1))) + 1)),
        IFERROR(VALUE($D107),0) * MAX(0, IF(MIN($D$1, DATE(Initialisatie!$C$5,12,31)) &lt; MAX($D$2, DATE(Initialisatie!$C$5,1,1)), 0, MONTH(MIN($D$1, DATE(Initialisatie!$C$5,12,31))) - MONTH(MAX($D$2, DATE(Initialisatie!$C$5,1,1))) + 1)),
        IFERROR(VALUE($E107),0) * MAX(0, IF(MIN($E$1, DATE(Initialisatie!$C$5,12,31)) &lt; MAX($E$2, DATE(Initialisatie!$C$5,1,1)), 0, MONTH(MIN($E$1, DATE(Initialisatie!$C$5,12,31))) - MONTH(MAX($E$2, DATE(Initialisatie!$C$5,1,1))) + 1))
    ) / 12
)</f>
        <v>3307.25</v>
      </c>
    </row>
    <row r="108" spans="1:8" x14ac:dyDescent="0.45">
      <c r="A108" s="997"/>
      <c r="B108" s="380">
        <v>2</v>
      </c>
      <c r="C108" t="s">
        <v>1748</v>
      </c>
      <c r="D108" t="s">
        <v>1749</v>
      </c>
      <c r="E108" t="s">
        <v>1750</v>
      </c>
      <c r="G108">
        <f>IF(
    OR(
        AND(MAX(0, MIN($C$1, DATE(Initialisatie!$C$5,12,31)) - MAX($C$2, DATE(Initialisatie!$C$5,1,1)) + 1) &gt; 0, IFERROR(VALUE($C108),0)=0),
        AND(MAX(0, MIN($D$1, DATE(Initialisatie!$C$5,12,31)) - MAX($D$2, DATE(Initialisatie!$C$5,1,1)) + 1) &gt; 0, IFERROR(VALUE($D108),0)=0),
        AND(MAX(0, MIN($E$1, DATE(Initialisatie!$C$5,12,31)) - MAX($E$2, DATE(Initialisatie!$C$5,1,1)) + 1) &gt; 0, IFERROR(VALUE($E108),0)=0)
    ),
    0,
    SUM(
        IFERROR(VALUE($C108),0) * MAX(0, MIN($C$1, DATE(Initialisatie!$C$5,12,31)) - MAX($C$2, DATE(Initialisatie!$C$5,1,1)) + 1),
        IFERROR(VALUE($D108),0) * MAX(0, MIN($D$1, DATE(Initialisatie!$C$5,12,31)) - MAX($D$2, DATE(Initialisatie!$C$5,1,1)) + 1),
        IFERROR(VALUE($E108),0) * MAX(0, MIN($E$1, DATE(Initialisatie!$C$5,12,31)) - MAX($E$2, DATE(Initialisatie!$C$5,1,1)) + 1)
    ) / (DATE(Initialisatie!$C$5,12,31) - DATE(Initialisatie!$C$5,1,1) + 1)
)</f>
        <v>3390.8958904109591</v>
      </c>
      <c r="H108">
        <f>IF(
    OR(
        AND(MAX(0, IF(MIN($C$1, DATE(Initialisatie!$C$5,12,31)) &lt; MAX($C$2, DATE(Initialisatie!$C$5,1,1)), 0, MONTH(MIN($C$1, DATE(Initialisatie!$C$5,12,31))) - MONTH(MAX($C$2, DATE(Initialisatie!$C$5,1,1))) + 1)) &lt;= 0, IFERROR(VALUE($C108),0)=0),
        AND(MAX(0, IF(MIN($D$1, DATE(Initialisatie!$C$5,12,31)) &lt; MAX($D$2, DATE(Initialisatie!$C$5,1,1)), 0, MONTH(MIN($D$1, DATE(Initialisatie!$C$5,12,31))) - MONTH(MAX($D$2, DATE(Initialisatie!$C$5,1,1))) + 1)) &lt;= 0, IFERROR(VALUE($D108),0)=0),
        AND(MAX(0, IF(MIN($E$1, DATE(Initialisatie!$C$5,12,31)) &lt; MAX($E$2, DATE(Initialisatie!$C$5,1,1)), 0, MONTH(MIN($E$1, DATE(Initialisatie!$C$5,12,31))) - MONTH(MAX($E$2, DATE(Initialisatie!$C$5,1,1))) + 1)) &lt;= 0, IFERROR(VALUE($E108),0)=0)
    ),
    0,
    SUM(
        IFERROR(VALUE($C108),0) * MAX(0, IF(MIN($C$1, DATE(Initialisatie!$C$5,12,31)) &lt; MAX($C$2, DATE(Initialisatie!$C$5,1,1)), 0, MONTH(MIN($C$1, DATE(Initialisatie!$C$5,12,31))) - MONTH(MAX($C$2, DATE(Initialisatie!$C$5,1,1))) + 1)),
        IFERROR(VALUE($D108),0) * MAX(0, IF(MIN($D$1, DATE(Initialisatie!$C$5,12,31)) &lt; MAX($D$2, DATE(Initialisatie!$C$5,1,1)), 0, MONTH(MIN($D$1, DATE(Initialisatie!$C$5,12,31))) - MONTH(MAX($D$2, DATE(Initialisatie!$C$5,1,1))) + 1)),
        IFERROR(VALUE($E108),0) * MAX(0, IF(MIN($E$1, DATE(Initialisatie!$C$5,12,31)) &lt; MAX($E$2, DATE(Initialisatie!$C$5,1,1)), 0, MONTH(MIN($E$1, DATE(Initialisatie!$C$5,12,31))) - MONTH(MAX($E$2, DATE(Initialisatie!$C$5,1,1))) + 1))
    ) / 12
)</f>
        <v>3390.75</v>
      </c>
    </row>
    <row r="109" spans="1:8" x14ac:dyDescent="0.45">
      <c r="A109" s="997"/>
      <c r="B109" s="380">
        <v>3</v>
      </c>
      <c r="C109" t="s">
        <v>1754</v>
      </c>
      <c r="D109" t="s">
        <v>1755</v>
      </c>
      <c r="E109" t="s">
        <v>1756</v>
      </c>
      <c r="G109">
        <f>IF(
    OR(
        AND(MAX(0, MIN($C$1, DATE(Initialisatie!$C$5,12,31)) - MAX($C$2, DATE(Initialisatie!$C$5,1,1)) + 1) &gt; 0, IFERROR(VALUE($C109),0)=0),
        AND(MAX(0, MIN($D$1, DATE(Initialisatie!$C$5,12,31)) - MAX($D$2, DATE(Initialisatie!$C$5,1,1)) + 1) &gt; 0, IFERROR(VALUE($D109),0)=0),
        AND(MAX(0, MIN($E$1, DATE(Initialisatie!$C$5,12,31)) - MAX($E$2, DATE(Initialisatie!$C$5,1,1)) + 1) &gt; 0, IFERROR(VALUE($E109),0)=0)
    ),
    0,
    SUM(
        IFERROR(VALUE($C109),0) * MAX(0, MIN($C$1, DATE(Initialisatie!$C$5,12,31)) - MAX($C$2, DATE(Initialisatie!$C$5,1,1)) + 1),
        IFERROR(VALUE($D109),0) * MAX(0, MIN($D$1, DATE(Initialisatie!$C$5,12,31)) - MAX($D$2, DATE(Initialisatie!$C$5,1,1)) + 1),
        IFERROR(VALUE($E109),0) * MAX(0, MIN($E$1, DATE(Initialisatie!$C$5,12,31)) - MAX($E$2, DATE(Initialisatie!$C$5,1,1)) + 1)
    ) / (DATE(Initialisatie!$C$5,12,31) - DATE(Initialisatie!$C$5,1,1) + 1)
)</f>
        <v>3479.4</v>
      </c>
      <c r="H109">
        <f>IF(
    OR(
        AND(MAX(0, IF(MIN($C$1, DATE(Initialisatie!$C$5,12,31)) &lt; MAX($C$2, DATE(Initialisatie!$C$5,1,1)), 0, MONTH(MIN($C$1, DATE(Initialisatie!$C$5,12,31))) - MONTH(MAX($C$2, DATE(Initialisatie!$C$5,1,1))) + 1)) &lt;= 0, IFERROR(VALUE($C109),0)=0),
        AND(MAX(0, IF(MIN($D$1, DATE(Initialisatie!$C$5,12,31)) &lt; MAX($D$2, DATE(Initialisatie!$C$5,1,1)), 0, MONTH(MIN($D$1, DATE(Initialisatie!$C$5,12,31))) - MONTH(MAX($D$2, DATE(Initialisatie!$C$5,1,1))) + 1)) &lt;= 0, IFERROR(VALUE($D109),0)=0),
        AND(MAX(0, IF(MIN($E$1, DATE(Initialisatie!$C$5,12,31)) &lt; MAX($E$2, DATE(Initialisatie!$C$5,1,1)), 0, MONTH(MIN($E$1, DATE(Initialisatie!$C$5,12,31))) - MONTH(MAX($E$2, DATE(Initialisatie!$C$5,1,1))) + 1)) &lt;= 0, IFERROR(VALUE($E109),0)=0)
    ),
    0,
    SUM(
        IFERROR(VALUE($C109),0) * MAX(0, IF(MIN($C$1, DATE(Initialisatie!$C$5,12,31)) &lt; MAX($C$2, DATE(Initialisatie!$C$5,1,1)), 0, MONTH(MIN($C$1, DATE(Initialisatie!$C$5,12,31))) - MONTH(MAX($C$2, DATE(Initialisatie!$C$5,1,1))) + 1)),
        IFERROR(VALUE($D109),0) * MAX(0, IF(MIN($D$1, DATE(Initialisatie!$C$5,12,31)) &lt; MAX($D$2, DATE(Initialisatie!$C$5,1,1)), 0, MONTH(MIN($D$1, DATE(Initialisatie!$C$5,12,31))) - MONTH(MAX($D$2, DATE(Initialisatie!$C$5,1,1))) + 1)),
        IFERROR(VALUE($E109),0) * MAX(0, IF(MIN($E$1, DATE(Initialisatie!$C$5,12,31)) &lt; MAX($E$2, DATE(Initialisatie!$C$5,1,1)), 0, MONTH(MIN($E$1, DATE(Initialisatie!$C$5,12,31))) - MONTH(MAX($E$2, DATE(Initialisatie!$C$5,1,1))) + 1))
    ) / 12
)</f>
        <v>3479.25</v>
      </c>
    </row>
    <row r="110" spans="1:8" x14ac:dyDescent="0.45">
      <c r="A110" s="997"/>
      <c r="B110" s="380">
        <v>4</v>
      </c>
      <c r="C110" t="s">
        <v>1757</v>
      </c>
      <c r="D110" t="s">
        <v>1758</v>
      </c>
      <c r="E110" t="s">
        <v>1759</v>
      </c>
      <c r="G110">
        <f>IF(
    OR(
        AND(MAX(0, MIN($C$1, DATE(Initialisatie!$C$5,12,31)) - MAX($C$2, DATE(Initialisatie!$C$5,1,1)) + 1) &gt; 0, IFERROR(VALUE($C110),0)=0),
        AND(MAX(0, MIN($D$1, DATE(Initialisatie!$C$5,12,31)) - MAX($D$2, DATE(Initialisatie!$C$5,1,1)) + 1) &gt; 0, IFERROR(VALUE($D110),0)=0),
        AND(MAX(0, MIN($E$1, DATE(Initialisatie!$C$5,12,31)) - MAX($E$2, DATE(Initialisatie!$C$5,1,1)) + 1) &gt; 0, IFERROR(VALUE($E110),0)=0)
    ),
    0,
    SUM(
        IFERROR(VALUE($C110),0) * MAX(0, MIN($C$1, DATE(Initialisatie!$C$5,12,31)) - MAX($C$2, DATE(Initialisatie!$C$5,1,1)) + 1),
        IFERROR(VALUE($D110),0) * MAX(0, MIN($D$1, DATE(Initialisatie!$C$5,12,31)) - MAX($D$2, DATE(Initialisatie!$C$5,1,1)) + 1),
        IFERROR(VALUE($E110),0) * MAX(0, MIN($E$1, DATE(Initialisatie!$C$5,12,31)) - MAX($E$2, DATE(Initialisatie!$C$5,1,1)) + 1)
    ) / (DATE(Initialisatie!$C$5,12,31) - DATE(Initialisatie!$C$5,1,1) + 1)
)</f>
        <v>3546.6520547945206</v>
      </c>
      <c r="H110">
        <f>IF(
    OR(
        AND(MAX(0, IF(MIN($C$1, DATE(Initialisatie!$C$5,12,31)) &lt; MAX($C$2, DATE(Initialisatie!$C$5,1,1)), 0, MONTH(MIN($C$1, DATE(Initialisatie!$C$5,12,31))) - MONTH(MAX($C$2, DATE(Initialisatie!$C$5,1,1))) + 1)) &lt;= 0, IFERROR(VALUE($C110),0)=0),
        AND(MAX(0, IF(MIN($D$1, DATE(Initialisatie!$C$5,12,31)) &lt; MAX($D$2, DATE(Initialisatie!$C$5,1,1)), 0, MONTH(MIN($D$1, DATE(Initialisatie!$C$5,12,31))) - MONTH(MAX($D$2, DATE(Initialisatie!$C$5,1,1))) + 1)) &lt;= 0, IFERROR(VALUE($D110),0)=0),
        AND(MAX(0, IF(MIN($E$1, DATE(Initialisatie!$C$5,12,31)) &lt; MAX($E$2, DATE(Initialisatie!$C$5,1,1)), 0, MONTH(MIN($E$1, DATE(Initialisatie!$C$5,12,31))) - MONTH(MAX($E$2, DATE(Initialisatie!$C$5,1,1))) + 1)) &lt;= 0, IFERROR(VALUE($E110),0)=0)
    ),
    0,
    SUM(
        IFERROR(VALUE($C110),0) * MAX(0, IF(MIN($C$1, DATE(Initialisatie!$C$5,12,31)) &lt; MAX($C$2, DATE(Initialisatie!$C$5,1,1)), 0, MONTH(MIN($C$1, DATE(Initialisatie!$C$5,12,31))) - MONTH(MAX($C$2, DATE(Initialisatie!$C$5,1,1))) + 1)),
        IFERROR(VALUE($D110),0) * MAX(0, IF(MIN($D$1, DATE(Initialisatie!$C$5,12,31)) &lt; MAX($D$2, DATE(Initialisatie!$C$5,1,1)), 0, MONTH(MIN($D$1, DATE(Initialisatie!$C$5,12,31))) - MONTH(MAX($D$2, DATE(Initialisatie!$C$5,1,1))) + 1)),
        IFERROR(VALUE($E110),0) * MAX(0, IF(MIN($E$1, DATE(Initialisatie!$C$5,12,31)) &lt; MAX($E$2, DATE(Initialisatie!$C$5,1,1)), 0, MONTH(MIN($E$1, DATE(Initialisatie!$C$5,12,31))) - MONTH(MAX($E$2, DATE(Initialisatie!$C$5,1,1))) + 1))
    ) / 12
)</f>
        <v>3546.5</v>
      </c>
    </row>
    <row r="111" spans="1:8" x14ac:dyDescent="0.45">
      <c r="A111" s="997"/>
      <c r="B111" s="380">
        <v>5</v>
      </c>
      <c r="C111" t="s">
        <v>1760</v>
      </c>
      <c r="D111" t="s">
        <v>1761</v>
      </c>
      <c r="E111" t="s">
        <v>1762</v>
      </c>
      <c r="G111">
        <f>IF(
    OR(
        AND(MAX(0, MIN($C$1, DATE(Initialisatie!$C$5,12,31)) - MAX($C$2, DATE(Initialisatie!$C$5,1,1)) + 1) &gt; 0, IFERROR(VALUE($C111),0)=0),
        AND(MAX(0, MIN($D$1, DATE(Initialisatie!$C$5,12,31)) - MAX($D$2, DATE(Initialisatie!$C$5,1,1)) + 1) &gt; 0, IFERROR(VALUE($D111),0)=0),
        AND(MAX(0, MIN($E$1, DATE(Initialisatie!$C$5,12,31)) - MAX($E$2, DATE(Initialisatie!$C$5,1,1)) + 1) &gt; 0, IFERROR(VALUE($E111),0)=0)
    ),
    0,
    SUM(
        IFERROR(VALUE($C111),0) * MAX(0, MIN($C$1, DATE(Initialisatie!$C$5,12,31)) - MAX($C$2, DATE(Initialisatie!$C$5,1,1)) + 1),
        IFERROR(VALUE($D111),0) * MAX(0, MIN($D$1, DATE(Initialisatie!$C$5,12,31)) - MAX($D$2, DATE(Initialisatie!$C$5,1,1)) + 1),
        IFERROR(VALUE($E111),0) * MAX(0, MIN($E$1, DATE(Initialisatie!$C$5,12,31)) - MAX($E$2, DATE(Initialisatie!$C$5,1,1)) + 1)
    ) / (DATE(Initialisatie!$C$5,12,31) - DATE(Initialisatie!$C$5,1,1) + 1)
)</f>
        <v>3626.1561643835616</v>
      </c>
      <c r="H111">
        <f>IF(
    OR(
        AND(MAX(0, IF(MIN($C$1, DATE(Initialisatie!$C$5,12,31)) &lt; MAX($C$2, DATE(Initialisatie!$C$5,1,1)), 0, MONTH(MIN($C$1, DATE(Initialisatie!$C$5,12,31))) - MONTH(MAX($C$2, DATE(Initialisatie!$C$5,1,1))) + 1)) &lt;= 0, IFERROR(VALUE($C111),0)=0),
        AND(MAX(0, IF(MIN($D$1, DATE(Initialisatie!$C$5,12,31)) &lt; MAX($D$2, DATE(Initialisatie!$C$5,1,1)), 0, MONTH(MIN($D$1, DATE(Initialisatie!$C$5,12,31))) - MONTH(MAX($D$2, DATE(Initialisatie!$C$5,1,1))) + 1)) &lt;= 0, IFERROR(VALUE($D111),0)=0),
        AND(MAX(0, IF(MIN($E$1, DATE(Initialisatie!$C$5,12,31)) &lt; MAX($E$2, DATE(Initialisatie!$C$5,1,1)), 0, MONTH(MIN($E$1, DATE(Initialisatie!$C$5,12,31))) - MONTH(MAX($E$2, DATE(Initialisatie!$C$5,1,1))) + 1)) &lt;= 0, IFERROR(VALUE($E111),0)=0)
    ),
    0,
    SUM(
        IFERROR(VALUE($C111),0) * MAX(0, IF(MIN($C$1, DATE(Initialisatie!$C$5,12,31)) &lt; MAX($C$2, DATE(Initialisatie!$C$5,1,1)), 0, MONTH(MIN($C$1, DATE(Initialisatie!$C$5,12,31))) - MONTH(MAX($C$2, DATE(Initialisatie!$C$5,1,1))) + 1)),
        IFERROR(VALUE($D111),0) * MAX(0, IF(MIN($D$1, DATE(Initialisatie!$C$5,12,31)) &lt; MAX($D$2, DATE(Initialisatie!$C$5,1,1)), 0, MONTH(MIN($D$1, DATE(Initialisatie!$C$5,12,31))) - MONTH(MAX($D$2, DATE(Initialisatie!$C$5,1,1))) + 1)),
        IFERROR(VALUE($E111),0) * MAX(0, IF(MIN($E$1, DATE(Initialisatie!$C$5,12,31)) &lt; MAX($E$2, DATE(Initialisatie!$C$5,1,1)), 0, MONTH(MIN($E$1, DATE(Initialisatie!$C$5,12,31))) - MONTH(MAX($E$2, DATE(Initialisatie!$C$5,1,1))) + 1))
    ) / 12
)</f>
        <v>3626</v>
      </c>
    </row>
    <row r="112" spans="1:8" x14ac:dyDescent="0.45">
      <c r="A112" s="997"/>
      <c r="B112" s="380">
        <v>6</v>
      </c>
      <c r="C112" t="s">
        <v>1766</v>
      </c>
      <c r="D112" t="s">
        <v>1767</v>
      </c>
      <c r="E112" t="s">
        <v>1768</v>
      </c>
      <c r="G112">
        <f>IF(
    OR(
        AND(MAX(0, MIN($C$1, DATE(Initialisatie!$C$5,12,31)) - MAX($C$2, DATE(Initialisatie!$C$5,1,1)) + 1) &gt; 0, IFERROR(VALUE($C112),0)=0),
        AND(MAX(0, MIN($D$1, DATE(Initialisatie!$C$5,12,31)) - MAX($D$2, DATE(Initialisatie!$C$5,1,1)) + 1) &gt; 0, IFERROR(VALUE($D112),0)=0),
        AND(MAX(0, MIN($E$1, DATE(Initialisatie!$C$5,12,31)) - MAX($E$2, DATE(Initialisatie!$C$5,1,1)) + 1) &gt; 0, IFERROR(VALUE($E112),0)=0)
    ),
    0,
    SUM(
        IFERROR(VALUE($C112),0) * MAX(0, MIN($C$1, DATE(Initialisatie!$C$5,12,31)) - MAX($C$2, DATE(Initialisatie!$C$5,1,1)) + 1),
        IFERROR(VALUE($D112),0) * MAX(0, MIN($D$1, DATE(Initialisatie!$C$5,12,31)) - MAX($D$2, DATE(Initialisatie!$C$5,1,1)) + 1),
        IFERROR(VALUE($E112),0) * MAX(0, MIN($E$1, DATE(Initialisatie!$C$5,12,31)) - MAX($E$2, DATE(Initialisatie!$C$5,1,1)) + 1)
    ) / (DATE(Initialisatie!$C$5,12,31) - DATE(Initialisatie!$C$5,1,1) + 1)
)</f>
        <v>3695.4082191780822</v>
      </c>
      <c r="H112">
        <f>IF(
    OR(
        AND(MAX(0, IF(MIN($C$1, DATE(Initialisatie!$C$5,12,31)) &lt; MAX($C$2, DATE(Initialisatie!$C$5,1,1)), 0, MONTH(MIN($C$1, DATE(Initialisatie!$C$5,12,31))) - MONTH(MAX($C$2, DATE(Initialisatie!$C$5,1,1))) + 1)) &lt;= 0, IFERROR(VALUE($C112),0)=0),
        AND(MAX(0, IF(MIN($D$1, DATE(Initialisatie!$C$5,12,31)) &lt; MAX($D$2, DATE(Initialisatie!$C$5,1,1)), 0, MONTH(MIN($D$1, DATE(Initialisatie!$C$5,12,31))) - MONTH(MAX($D$2, DATE(Initialisatie!$C$5,1,1))) + 1)) &lt;= 0, IFERROR(VALUE($D112),0)=0),
        AND(MAX(0, IF(MIN($E$1, DATE(Initialisatie!$C$5,12,31)) &lt; MAX($E$2, DATE(Initialisatie!$C$5,1,1)), 0, MONTH(MIN($E$1, DATE(Initialisatie!$C$5,12,31))) - MONTH(MAX($E$2, DATE(Initialisatie!$C$5,1,1))) + 1)) &lt;= 0, IFERROR(VALUE($E112),0)=0)
    ),
    0,
    SUM(
        IFERROR(VALUE($C112),0) * MAX(0, IF(MIN($C$1, DATE(Initialisatie!$C$5,12,31)) &lt; MAX($C$2, DATE(Initialisatie!$C$5,1,1)), 0, MONTH(MIN($C$1, DATE(Initialisatie!$C$5,12,31))) - MONTH(MAX($C$2, DATE(Initialisatie!$C$5,1,1))) + 1)),
        IFERROR(VALUE($D112),0) * MAX(0, IF(MIN($D$1, DATE(Initialisatie!$C$5,12,31)) &lt; MAX($D$2, DATE(Initialisatie!$C$5,1,1)), 0, MONTH(MIN($D$1, DATE(Initialisatie!$C$5,12,31))) - MONTH(MAX($D$2, DATE(Initialisatie!$C$5,1,1))) + 1)),
        IFERROR(VALUE($E112),0) * MAX(0, IF(MIN($E$1, DATE(Initialisatie!$C$5,12,31)) &lt; MAX($E$2, DATE(Initialisatie!$C$5,1,1)), 0, MONTH(MIN($E$1, DATE(Initialisatie!$C$5,12,31))) - MONTH(MAX($E$2, DATE(Initialisatie!$C$5,1,1))) + 1))
    ) / 12
)</f>
        <v>3695.25</v>
      </c>
    </row>
    <row r="113" spans="1:8" x14ac:dyDescent="0.45">
      <c r="A113" s="997"/>
      <c r="B113" s="380">
        <v>7</v>
      </c>
      <c r="C113" t="s">
        <v>1769</v>
      </c>
      <c r="D113" t="s">
        <v>1770</v>
      </c>
      <c r="E113" t="s">
        <v>1288</v>
      </c>
      <c r="G113">
        <f>IF(
    OR(
        AND(MAX(0, MIN($C$1, DATE(Initialisatie!$C$5,12,31)) - MAX($C$2, DATE(Initialisatie!$C$5,1,1)) + 1) &gt; 0, IFERROR(VALUE($C113),0)=0),
        AND(MAX(0, MIN($D$1, DATE(Initialisatie!$C$5,12,31)) - MAX($D$2, DATE(Initialisatie!$C$5,1,1)) + 1) &gt; 0, IFERROR(VALUE($D113),0)=0),
        AND(MAX(0, MIN($E$1, DATE(Initialisatie!$C$5,12,31)) - MAX($E$2, DATE(Initialisatie!$C$5,1,1)) + 1) &gt; 0, IFERROR(VALUE($E113),0)=0)
    ),
    0,
    SUM(
        IFERROR(VALUE($C113),0) * MAX(0, MIN($C$1, DATE(Initialisatie!$C$5,12,31)) - MAX($C$2, DATE(Initialisatie!$C$5,1,1)) + 1),
        IFERROR(VALUE($D113),0) * MAX(0, MIN($D$1, DATE(Initialisatie!$C$5,12,31)) - MAX($D$2, DATE(Initialisatie!$C$5,1,1)) + 1),
        IFERROR(VALUE($E113),0) * MAX(0, MIN($E$1, DATE(Initialisatie!$C$5,12,31)) - MAX($E$2, DATE(Initialisatie!$C$5,1,1)) + 1)
    ) / (DATE(Initialisatie!$C$5,12,31) - DATE(Initialisatie!$C$5,1,1) + 1)
)</f>
        <v>3835.1643835616437</v>
      </c>
      <c r="H113">
        <f>IF(
    OR(
        AND(MAX(0, IF(MIN($C$1, DATE(Initialisatie!$C$5,12,31)) &lt; MAX($C$2, DATE(Initialisatie!$C$5,1,1)), 0, MONTH(MIN($C$1, DATE(Initialisatie!$C$5,12,31))) - MONTH(MAX($C$2, DATE(Initialisatie!$C$5,1,1))) + 1)) &lt;= 0, IFERROR(VALUE($C113),0)=0),
        AND(MAX(0, IF(MIN($D$1, DATE(Initialisatie!$C$5,12,31)) &lt; MAX($D$2, DATE(Initialisatie!$C$5,1,1)), 0, MONTH(MIN($D$1, DATE(Initialisatie!$C$5,12,31))) - MONTH(MAX($D$2, DATE(Initialisatie!$C$5,1,1))) + 1)) &lt;= 0, IFERROR(VALUE($D113),0)=0),
        AND(MAX(0, IF(MIN($E$1, DATE(Initialisatie!$C$5,12,31)) &lt; MAX($E$2, DATE(Initialisatie!$C$5,1,1)), 0, MONTH(MIN($E$1, DATE(Initialisatie!$C$5,12,31))) - MONTH(MAX($E$2, DATE(Initialisatie!$C$5,1,1))) + 1)) &lt;= 0, IFERROR(VALUE($E113),0)=0)
    ),
    0,
    SUM(
        IFERROR(VALUE($C113),0) * MAX(0, IF(MIN($C$1, DATE(Initialisatie!$C$5,12,31)) &lt; MAX($C$2, DATE(Initialisatie!$C$5,1,1)), 0, MONTH(MIN($C$1, DATE(Initialisatie!$C$5,12,31))) - MONTH(MAX($C$2, DATE(Initialisatie!$C$5,1,1))) + 1)),
        IFERROR(VALUE($D113),0) * MAX(0, IF(MIN($D$1, DATE(Initialisatie!$C$5,12,31)) &lt; MAX($D$2, DATE(Initialisatie!$C$5,1,1)), 0, MONTH(MIN($D$1, DATE(Initialisatie!$C$5,12,31))) - MONTH(MAX($D$2, DATE(Initialisatie!$C$5,1,1))) + 1)),
        IFERROR(VALUE($E113),0) * MAX(0, IF(MIN($E$1, DATE(Initialisatie!$C$5,12,31)) &lt; MAX($E$2, DATE(Initialisatie!$C$5,1,1)), 0, MONTH(MIN($E$1, DATE(Initialisatie!$C$5,12,31))) - MONTH(MAX($E$2, DATE(Initialisatie!$C$5,1,1))) + 1))
    ) / 12
)</f>
        <v>3835</v>
      </c>
    </row>
    <row r="114" spans="1:8" x14ac:dyDescent="0.45">
      <c r="A114" s="997"/>
      <c r="B114" s="380">
        <v>8</v>
      </c>
      <c r="C114" t="s">
        <v>1771</v>
      </c>
      <c r="D114" t="s">
        <v>1772</v>
      </c>
      <c r="E114" t="s">
        <v>1773</v>
      </c>
      <c r="G114">
        <f>IF(
    OR(
        AND(MAX(0, MIN($C$1, DATE(Initialisatie!$C$5,12,31)) - MAX($C$2, DATE(Initialisatie!$C$5,1,1)) + 1) &gt; 0, IFERROR(VALUE($C114),0)=0),
        AND(MAX(0, MIN($D$1, DATE(Initialisatie!$C$5,12,31)) - MAX($D$2, DATE(Initialisatie!$C$5,1,1)) + 1) &gt; 0, IFERROR(VALUE($D114),0)=0),
        AND(MAX(0, MIN($E$1, DATE(Initialisatie!$C$5,12,31)) - MAX($E$2, DATE(Initialisatie!$C$5,1,1)) + 1) &gt; 0, IFERROR(VALUE($E114),0)=0)
    ),
    0,
    SUM(
        IFERROR(VALUE($C114),0) * MAX(0, MIN($C$1, DATE(Initialisatie!$C$5,12,31)) - MAX($C$2, DATE(Initialisatie!$C$5,1,1)) + 1),
        IFERROR(VALUE($D114),0) * MAX(0, MIN($D$1, DATE(Initialisatie!$C$5,12,31)) - MAX($D$2, DATE(Initialisatie!$C$5,1,1)) + 1),
        IFERROR(VALUE($E114),0) * MAX(0, MIN($E$1, DATE(Initialisatie!$C$5,12,31)) - MAX($E$2, DATE(Initialisatie!$C$5,1,1)) + 1)
    ) / (DATE(Initialisatie!$C$5,12,31) - DATE(Initialisatie!$C$5,1,1) + 1)
)</f>
        <v>3926.6684931506848</v>
      </c>
      <c r="H114">
        <f>IF(
    OR(
        AND(MAX(0, IF(MIN($C$1, DATE(Initialisatie!$C$5,12,31)) &lt; MAX($C$2, DATE(Initialisatie!$C$5,1,1)), 0, MONTH(MIN($C$1, DATE(Initialisatie!$C$5,12,31))) - MONTH(MAX($C$2, DATE(Initialisatie!$C$5,1,1))) + 1)) &lt;= 0, IFERROR(VALUE($C114),0)=0),
        AND(MAX(0, IF(MIN($D$1, DATE(Initialisatie!$C$5,12,31)) &lt; MAX($D$2, DATE(Initialisatie!$C$5,1,1)), 0, MONTH(MIN($D$1, DATE(Initialisatie!$C$5,12,31))) - MONTH(MAX($D$2, DATE(Initialisatie!$C$5,1,1))) + 1)) &lt;= 0, IFERROR(VALUE($D114),0)=0),
        AND(MAX(0, IF(MIN($E$1, DATE(Initialisatie!$C$5,12,31)) &lt; MAX($E$2, DATE(Initialisatie!$C$5,1,1)), 0, MONTH(MIN($E$1, DATE(Initialisatie!$C$5,12,31))) - MONTH(MAX($E$2, DATE(Initialisatie!$C$5,1,1))) + 1)) &lt;= 0, IFERROR(VALUE($E114),0)=0)
    ),
    0,
    SUM(
        IFERROR(VALUE($C114),0) * MAX(0, IF(MIN($C$1, DATE(Initialisatie!$C$5,12,31)) &lt; MAX($C$2, DATE(Initialisatie!$C$5,1,1)), 0, MONTH(MIN($C$1, DATE(Initialisatie!$C$5,12,31))) - MONTH(MAX($C$2, DATE(Initialisatie!$C$5,1,1))) + 1)),
        IFERROR(VALUE($D114),0) * MAX(0, IF(MIN($D$1, DATE(Initialisatie!$C$5,12,31)) &lt; MAX($D$2, DATE(Initialisatie!$C$5,1,1)), 0, MONTH(MIN($D$1, DATE(Initialisatie!$C$5,12,31))) - MONTH(MAX($D$2, DATE(Initialisatie!$C$5,1,1))) + 1)),
        IFERROR(VALUE($E114),0) * MAX(0, IF(MIN($E$1, DATE(Initialisatie!$C$5,12,31)) &lt; MAX($E$2, DATE(Initialisatie!$C$5,1,1)), 0, MONTH(MIN($E$1, DATE(Initialisatie!$C$5,12,31))) - MONTH(MAX($E$2, DATE(Initialisatie!$C$5,1,1))) + 1))
    ) / 12
)</f>
        <v>3926.5</v>
      </c>
    </row>
    <row r="115" spans="1:8" x14ac:dyDescent="0.45">
      <c r="A115" s="997"/>
      <c r="B115" s="380">
        <v>9</v>
      </c>
      <c r="C115" t="s">
        <v>1776</v>
      </c>
      <c r="D115" t="s">
        <v>1777</v>
      </c>
      <c r="E115" t="s">
        <v>1778</v>
      </c>
      <c r="G115">
        <f>IF(
    OR(
        AND(MAX(0, MIN($C$1, DATE(Initialisatie!$C$5,12,31)) - MAX($C$2, DATE(Initialisatie!$C$5,1,1)) + 1) &gt; 0, IFERROR(VALUE($C115),0)=0),
        AND(MAX(0, MIN($D$1, DATE(Initialisatie!$C$5,12,31)) - MAX($D$2, DATE(Initialisatie!$C$5,1,1)) + 1) &gt; 0, IFERROR(VALUE($D115),0)=0),
        AND(MAX(0, MIN($E$1, DATE(Initialisatie!$C$5,12,31)) - MAX($E$2, DATE(Initialisatie!$C$5,1,1)) + 1) &gt; 0, IFERROR(VALUE($E115),0)=0)
    ),
    0,
    SUM(
        IFERROR(VALUE($C115),0) * MAX(0, MIN($C$1, DATE(Initialisatie!$C$5,12,31)) - MAX($C$2, DATE(Initialisatie!$C$5,1,1)) + 1),
        IFERROR(VALUE($D115),0) * MAX(0, MIN($D$1, DATE(Initialisatie!$C$5,12,31)) - MAX($D$2, DATE(Initialisatie!$C$5,1,1)) + 1),
        IFERROR(VALUE($E115),0) * MAX(0, MIN($E$1, DATE(Initialisatie!$C$5,12,31)) - MAX($E$2, DATE(Initialisatie!$C$5,1,1)) + 1)
    ) / (DATE(Initialisatie!$C$5,12,31) - DATE(Initialisatie!$C$5,1,1) + 1)
)</f>
        <v>4025.1726027397262</v>
      </c>
      <c r="H115">
        <f>IF(
    OR(
        AND(MAX(0, IF(MIN($C$1, DATE(Initialisatie!$C$5,12,31)) &lt; MAX($C$2, DATE(Initialisatie!$C$5,1,1)), 0, MONTH(MIN($C$1, DATE(Initialisatie!$C$5,12,31))) - MONTH(MAX($C$2, DATE(Initialisatie!$C$5,1,1))) + 1)) &lt;= 0, IFERROR(VALUE($C115),0)=0),
        AND(MAX(0, IF(MIN($D$1, DATE(Initialisatie!$C$5,12,31)) &lt; MAX($D$2, DATE(Initialisatie!$C$5,1,1)), 0, MONTH(MIN($D$1, DATE(Initialisatie!$C$5,12,31))) - MONTH(MAX($D$2, DATE(Initialisatie!$C$5,1,1))) + 1)) &lt;= 0, IFERROR(VALUE($D115),0)=0),
        AND(MAX(0, IF(MIN($E$1, DATE(Initialisatie!$C$5,12,31)) &lt; MAX($E$2, DATE(Initialisatie!$C$5,1,1)), 0, MONTH(MIN($E$1, DATE(Initialisatie!$C$5,12,31))) - MONTH(MAX($E$2, DATE(Initialisatie!$C$5,1,1))) + 1)) &lt;= 0, IFERROR(VALUE($E115),0)=0)
    ),
    0,
    SUM(
        IFERROR(VALUE($C115),0) * MAX(0, IF(MIN($C$1, DATE(Initialisatie!$C$5,12,31)) &lt; MAX($C$2, DATE(Initialisatie!$C$5,1,1)), 0, MONTH(MIN($C$1, DATE(Initialisatie!$C$5,12,31))) - MONTH(MAX($C$2, DATE(Initialisatie!$C$5,1,1))) + 1)),
        IFERROR(VALUE($D115),0) * MAX(0, IF(MIN($D$1, DATE(Initialisatie!$C$5,12,31)) &lt; MAX($D$2, DATE(Initialisatie!$C$5,1,1)), 0, MONTH(MIN($D$1, DATE(Initialisatie!$C$5,12,31))) - MONTH(MAX($D$2, DATE(Initialisatie!$C$5,1,1))) + 1)),
        IFERROR(VALUE($E115),0) * MAX(0, IF(MIN($E$1, DATE(Initialisatie!$C$5,12,31)) &lt; MAX($E$2, DATE(Initialisatie!$C$5,1,1)), 0, MONTH(MIN($E$1, DATE(Initialisatie!$C$5,12,31))) - MONTH(MAX($E$2, DATE(Initialisatie!$C$5,1,1))) + 1))
    ) / 12
)</f>
        <v>4025</v>
      </c>
    </row>
    <row r="116" spans="1:8" x14ac:dyDescent="0.45">
      <c r="A116" s="997"/>
      <c r="B116" s="380">
        <v>10</v>
      </c>
      <c r="C116" t="s">
        <v>1779</v>
      </c>
      <c r="D116" t="s">
        <v>1780</v>
      </c>
      <c r="E116" t="s">
        <v>1781</v>
      </c>
      <c r="G116">
        <f>IF(
    OR(
        AND(MAX(0, MIN($C$1, DATE(Initialisatie!$C$5,12,31)) - MAX($C$2, DATE(Initialisatie!$C$5,1,1)) + 1) &gt; 0, IFERROR(VALUE($C116),0)=0),
        AND(MAX(0, MIN($D$1, DATE(Initialisatie!$C$5,12,31)) - MAX($D$2, DATE(Initialisatie!$C$5,1,1)) + 1) &gt; 0, IFERROR(VALUE($D116),0)=0),
        AND(MAX(0, MIN($E$1, DATE(Initialisatie!$C$5,12,31)) - MAX($E$2, DATE(Initialisatie!$C$5,1,1)) + 1) &gt; 0, IFERROR(VALUE($E116),0)=0)
    ),
    0,
    SUM(
        IFERROR(VALUE($C116),0) * MAX(0, MIN($C$1, DATE(Initialisatie!$C$5,12,31)) - MAX($C$2, DATE(Initialisatie!$C$5,1,1)) + 1),
        IFERROR(VALUE($D116),0) * MAX(0, MIN($D$1, DATE(Initialisatie!$C$5,12,31)) - MAX($D$2, DATE(Initialisatie!$C$5,1,1)) + 1),
        IFERROR(VALUE($E116),0) * MAX(0, MIN($E$1, DATE(Initialisatie!$C$5,12,31)) - MAX($E$2, DATE(Initialisatie!$C$5,1,1)) + 1)
    ) / (DATE(Initialisatie!$C$5,12,31) - DATE(Initialisatie!$C$5,1,1) + 1)
)</f>
        <v>4128.6767123287673</v>
      </c>
      <c r="H116">
        <f>IF(
    OR(
        AND(MAX(0, IF(MIN($C$1, DATE(Initialisatie!$C$5,12,31)) &lt; MAX($C$2, DATE(Initialisatie!$C$5,1,1)), 0, MONTH(MIN($C$1, DATE(Initialisatie!$C$5,12,31))) - MONTH(MAX($C$2, DATE(Initialisatie!$C$5,1,1))) + 1)) &lt;= 0, IFERROR(VALUE($C116),0)=0),
        AND(MAX(0, IF(MIN($D$1, DATE(Initialisatie!$C$5,12,31)) &lt; MAX($D$2, DATE(Initialisatie!$C$5,1,1)), 0, MONTH(MIN($D$1, DATE(Initialisatie!$C$5,12,31))) - MONTH(MAX($D$2, DATE(Initialisatie!$C$5,1,1))) + 1)) &lt;= 0, IFERROR(VALUE($D116),0)=0),
        AND(MAX(0, IF(MIN($E$1, DATE(Initialisatie!$C$5,12,31)) &lt; MAX($E$2, DATE(Initialisatie!$C$5,1,1)), 0, MONTH(MIN($E$1, DATE(Initialisatie!$C$5,12,31))) - MONTH(MAX($E$2, DATE(Initialisatie!$C$5,1,1))) + 1)) &lt;= 0, IFERROR(VALUE($E116),0)=0)
    ),
    0,
    SUM(
        IFERROR(VALUE($C116),0) * MAX(0, IF(MIN($C$1, DATE(Initialisatie!$C$5,12,31)) &lt; MAX($C$2, DATE(Initialisatie!$C$5,1,1)), 0, MONTH(MIN($C$1, DATE(Initialisatie!$C$5,12,31))) - MONTH(MAX($C$2, DATE(Initialisatie!$C$5,1,1))) + 1)),
        IFERROR(VALUE($D116),0) * MAX(0, IF(MIN($D$1, DATE(Initialisatie!$C$5,12,31)) &lt; MAX($D$2, DATE(Initialisatie!$C$5,1,1)), 0, MONTH(MIN($D$1, DATE(Initialisatie!$C$5,12,31))) - MONTH(MAX($D$2, DATE(Initialisatie!$C$5,1,1))) + 1)),
        IFERROR(VALUE($E116),0) * MAX(0, IF(MIN($E$1, DATE(Initialisatie!$C$5,12,31)) &lt; MAX($E$2, DATE(Initialisatie!$C$5,1,1)), 0, MONTH(MIN($E$1, DATE(Initialisatie!$C$5,12,31))) - MONTH(MAX($E$2, DATE(Initialisatie!$C$5,1,1))) + 1))
    ) / 12
)</f>
        <v>4128.5</v>
      </c>
    </row>
    <row r="117" spans="1:8" x14ac:dyDescent="0.45">
      <c r="A117" s="997"/>
      <c r="B117" s="380">
        <v>11</v>
      </c>
      <c r="C117" t="s">
        <v>1782</v>
      </c>
      <c r="D117" t="s">
        <v>1781</v>
      </c>
      <c r="E117" t="s">
        <v>1783</v>
      </c>
      <c r="G117">
        <f>IF(
    OR(
        AND(MAX(0, MIN($C$1, DATE(Initialisatie!$C$5,12,31)) - MAX($C$2, DATE(Initialisatie!$C$5,1,1)) + 1) &gt; 0, IFERROR(VALUE($C117),0)=0),
        AND(MAX(0, MIN($D$1, DATE(Initialisatie!$C$5,12,31)) - MAX($D$2, DATE(Initialisatie!$C$5,1,1)) + 1) &gt; 0, IFERROR(VALUE($D117),0)=0),
        AND(MAX(0, MIN($E$1, DATE(Initialisatie!$C$5,12,31)) - MAX($E$2, DATE(Initialisatie!$C$5,1,1)) + 1) &gt; 0, IFERROR(VALUE($E117),0)=0)
    ),
    0,
    SUM(
        IFERROR(VALUE($C117),0) * MAX(0, MIN($C$1, DATE(Initialisatie!$C$5,12,31)) - MAX($C$2, DATE(Initialisatie!$C$5,1,1)) + 1),
        IFERROR(VALUE($D117),0) * MAX(0, MIN($D$1, DATE(Initialisatie!$C$5,12,31)) - MAX($D$2, DATE(Initialisatie!$C$5,1,1)) + 1),
        IFERROR(VALUE($E117),0) * MAX(0, MIN($E$1, DATE(Initialisatie!$C$5,12,31)) - MAX($E$2, DATE(Initialisatie!$C$5,1,1)) + 1)
    ) / (DATE(Initialisatie!$C$5,12,31) - DATE(Initialisatie!$C$5,1,1) + 1)
)</f>
        <v>4215.1808219178083</v>
      </c>
      <c r="H117">
        <f>IF(
    OR(
        AND(MAX(0, IF(MIN($C$1, DATE(Initialisatie!$C$5,12,31)) &lt; MAX($C$2, DATE(Initialisatie!$C$5,1,1)), 0, MONTH(MIN($C$1, DATE(Initialisatie!$C$5,12,31))) - MONTH(MAX($C$2, DATE(Initialisatie!$C$5,1,1))) + 1)) &lt;= 0, IFERROR(VALUE($C117),0)=0),
        AND(MAX(0, IF(MIN($D$1, DATE(Initialisatie!$C$5,12,31)) &lt; MAX($D$2, DATE(Initialisatie!$C$5,1,1)), 0, MONTH(MIN($D$1, DATE(Initialisatie!$C$5,12,31))) - MONTH(MAX($D$2, DATE(Initialisatie!$C$5,1,1))) + 1)) &lt;= 0, IFERROR(VALUE($D117),0)=0),
        AND(MAX(0, IF(MIN($E$1, DATE(Initialisatie!$C$5,12,31)) &lt; MAX($E$2, DATE(Initialisatie!$C$5,1,1)), 0, MONTH(MIN($E$1, DATE(Initialisatie!$C$5,12,31))) - MONTH(MAX($E$2, DATE(Initialisatie!$C$5,1,1))) + 1)) &lt;= 0, IFERROR(VALUE($E117),0)=0)
    ),
    0,
    SUM(
        IFERROR(VALUE($C117),0) * MAX(0, IF(MIN($C$1, DATE(Initialisatie!$C$5,12,31)) &lt; MAX($C$2, DATE(Initialisatie!$C$5,1,1)), 0, MONTH(MIN($C$1, DATE(Initialisatie!$C$5,12,31))) - MONTH(MAX($C$2, DATE(Initialisatie!$C$5,1,1))) + 1)),
        IFERROR(VALUE($D117),0) * MAX(0, IF(MIN($D$1, DATE(Initialisatie!$C$5,12,31)) &lt; MAX($D$2, DATE(Initialisatie!$C$5,1,1)), 0, MONTH(MIN($D$1, DATE(Initialisatie!$C$5,12,31))) - MONTH(MAX($D$2, DATE(Initialisatie!$C$5,1,1))) + 1)),
        IFERROR(VALUE($E117),0) * MAX(0, IF(MIN($E$1, DATE(Initialisatie!$C$5,12,31)) &lt; MAX($E$2, DATE(Initialisatie!$C$5,1,1)), 0, MONTH(MIN($E$1, DATE(Initialisatie!$C$5,12,31))) - MONTH(MAX($E$2, DATE(Initialisatie!$C$5,1,1))) + 1))
    ) / 12
)</f>
        <v>4215</v>
      </c>
    </row>
    <row r="118" spans="1:8" x14ac:dyDescent="0.45">
      <c r="A118" s="997"/>
      <c r="B118" s="380">
        <v>12</v>
      </c>
      <c r="C118" t="s">
        <v>1784</v>
      </c>
      <c r="D118" t="s">
        <v>1785</v>
      </c>
      <c r="E118" t="s">
        <v>1786</v>
      </c>
      <c r="G118">
        <f>IF(
    OR(
        AND(MAX(0, MIN($C$1, DATE(Initialisatie!$C$5,12,31)) - MAX($C$2, DATE(Initialisatie!$C$5,1,1)) + 1) &gt; 0, IFERROR(VALUE($C118),0)=0),
        AND(MAX(0, MIN($D$1, DATE(Initialisatie!$C$5,12,31)) - MAX($D$2, DATE(Initialisatie!$C$5,1,1)) + 1) &gt; 0, IFERROR(VALUE($D118),0)=0),
        AND(MAX(0, MIN($E$1, DATE(Initialisatie!$C$5,12,31)) - MAX($E$2, DATE(Initialisatie!$C$5,1,1)) + 1) &gt; 0, IFERROR(VALUE($E118),0)=0)
    ),
    0,
    SUM(
        IFERROR(VALUE($C118),0) * MAX(0, MIN($C$1, DATE(Initialisatie!$C$5,12,31)) - MAX($C$2, DATE(Initialisatie!$C$5,1,1)) + 1),
        IFERROR(VALUE($D118),0) * MAX(0, MIN($D$1, DATE(Initialisatie!$C$5,12,31)) - MAX($D$2, DATE(Initialisatie!$C$5,1,1)) + 1),
        IFERROR(VALUE($E118),0) * MAX(0, MIN($E$1, DATE(Initialisatie!$C$5,12,31)) - MAX($E$2, DATE(Initialisatie!$C$5,1,1)) + 1)
    ) / (DATE(Initialisatie!$C$5,12,31) - DATE(Initialisatie!$C$5,1,1) + 1)
)</f>
        <v>4307.6849315068494</v>
      </c>
      <c r="H118">
        <f>IF(
    OR(
        AND(MAX(0, IF(MIN($C$1, DATE(Initialisatie!$C$5,12,31)) &lt; MAX($C$2, DATE(Initialisatie!$C$5,1,1)), 0, MONTH(MIN($C$1, DATE(Initialisatie!$C$5,12,31))) - MONTH(MAX($C$2, DATE(Initialisatie!$C$5,1,1))) + 1)) &lt;= 0, IFERROR(VALUE($C118),0)=0),
        AND(MAX(0, IF(MIN($D$1, DATE(Initialisatie!$C$5,12,31)) &lt; MAX($D$2, DATE(Initialisatie!$C$5,1,1)), 0, MONTH(MIN($D$1, DATE(Initialisatie!$C$5,12,31))) - MONTH(MAX($D$2, DATE(Initialisatie!$C$5,1,1))) + 1)) &lt;= 0, IFERROR(VALUE($D118),0)=0),
        AND(MAX(0, IF(MIN($E$1, DATE(Initialisatie!$C$5,12,31)) &lt; MAX($E$2, DATE(Initialisatie!$C$5,1,1)), 0, MONTH(MIN($E$1, DATE(Initialisatie!$C$5,12,31))) - MONTH(MAX($E$2, DATE(Initialisatie!$C$5,1,1))) + 1)) &lt;= 0, IFERROR(VALUE($E118),0)=0)
    ),
    0,
    SUM(
        IFERROR(VALUE($C118),0) * MAX(0, IF(MIN($C$1, DATE(Initialisatie!$C$5,12,31)) &lt; MAX($C$2, DATE(Initialisatie!$C$5,1,1)), 0, MONTH(MIN($C$1, DATE(Initialisatie!$C$5,12,31))) - MONTH(MAX($C$2, DATE(Initialisatie!$C$5,1,1))) + 1)),
        IFERROR(VALUE($D118),0) * MAX(0, IF(MIN($D$1, DATE(Initialisatie!$C$5,12,31)) &lt; MAX($D$2, DATE(Initialisatie!$C$5,1,1)), 0, MONTH(MIN($D$1, DATE(Initialisatie!$C$5,12,31))) - MONTH(MAX($D$2, DATE(Initialisatie!$C$5,1,1))) + 1)),
        IFERROR(VALUE($E118),0) * MAX(0, IF(MIN($E$1, DATE(Initialisatie!$C$5,12,31)) &lt; MAX($E$2, DATE(Initialisatie!$C$5,1,1)), 0, MONTH(MIN($E$1, DATE(Initialisatie!$C$5,12,31))) - MONTH(MAX($E$2, DATE(Initialisatie!$C$5,1,1))) + 1))
    ) / 12
)</f>
        <v>4307.5</v>
      </c>
    </row>
    <row r="119" spans="1:8" x14ac:dyDescent="0.45">
      <c r="A119" s="997"/>
      <c r="B119" s="380">
        <v>13</v>
      </c>
      <c r="C119" t="s">
        <v>1790</v>
      </c>
      <c r="D119" t="s">
        <v>1791</v>
      </c>
      <c r="E119" t="s">
        <v>1792</v>
      </c>
      <c r="G119">
        <f>IF(
    OR(
        AND(MAX(0, MIN($C$1, DATE(Initialisatie!$C$5,12,31)) - MAX($C$2, DATE(Initialisatie!$C$5,1,1)) + 1) &gt; 0, IFERROR(VALUE($C119),0)=0),
        AND(MAX(0, MIN($D$1, DATE(Initialisatie!$C$5,12,31)) - MAX($D$2, DATE(Initialisatie!$C$5,1,1)) + 1) &gt; 0, IFERROR(VALUE($D119),0)=0),
        AND(MAX(0, MIN($E$1, DATE(Initialisatie!$C$5,12,31)) - MAX($E$2, DATE(Initialisatie!$C$5,1,1)) + 1) &gt; 0, IFERROR(VALUE($E119),0)=0)
    ),
    0,
    SUM(
        IFERROR(VALUE($C119),0) * MAX(0, MIN($C$1, DATE(Initialisatie!$C$5,12,31)) - MAX($C$2, DATE(Initialisatie!$C$5,1,1)) + 1),
        IFERROR(VALUE($D119),0) * MAX(0, MIN($D$1, DATE(Initialisatie!$C$5,12,31)) - MAX($D$2, DATE(Initialisatie!$C$5,1,1)) + 1),
        IFERROR(VALUE($E119),0) * MAX(0, MIN($E$1, DATE(Initialisatie!$C$5,12,31)) - MAX($E$2, DATE(Initialisatie!$C$5,1,1)) + 1)
    ) / (DATE(Initialisatie!$C$5,12,31) - DATE(Initialisatie!$C$5,1,1) + 1)
)</f>
        <v>4399.1890410958904</v>
      </c>
      <c r="H119">
        <f>IF(
    OR(
        AND(MAX(0, IF(MIN($C$1, DATE(Initialisatie!$C$5,12,31)) &lt; MAX($C$2, DATE(Initialisatie!$C$5,1,1)), 0, MONTH(MIN($C$1, DATE(Initialisatie!$C$5,12,31))) - MONTH(MAX($C$2, DATE(Initialisatie!$C$5,1,1))) + 1)) &lt;= 0, IFERROR(VALUE($C119),0)=0),
        AND(MAX(0, IF(MIN($D$1, DATE(Initialisatie!$C$5,12,31)) &lt; MAX($D$2, DATE(Initialisatie!$C$5,1,1)), 0, MONTH(MIN($D$1, DATE(Initialisatie!$C$5,12,31))) - MONTH(MAX($D$2, DATE(Initialisatie!$C$5,1,1))) + 1)) &lt;= 0, IFERROR(VALUE($D119),0)=0),
        AND(MAX(0, IF(MIN($E$1, DATE(Initialisatie!$C$5,12,31)) &lt; MAX($E$2, DATE(Initialisatie!$C$5,1,1)), 0, MONTH(MIN($E$1, DATE(Initialisatie!$C$5,12,31))) - MONTH(MAX($E$2, DATE(Initialisatie!$C$5,1,1))) + 1)) &lt;= 0, IFERROR(VALUE($E119),0)=0)
    ),
    0,
    SUM(
        IFERROR(VALUE($C119),0) * MAX(0, IF(MIN($C$1, DATE(Initialisatie!$C$5,12,31)) &lt; MAX($C$2, DATE(Initialisatie!$C$5,1,1)), 0, MONTH(MIN($C$1, DATE(Initialisatie!$C$5,12,31))) - MONTH(MAX($C$2, DATE(Initialisatie!$C$5,1,1))) + 1)),
        IFERROR(VALUE($D119),0) * MAX(0, IF(MIN($D$1, DATE(Initialisatie!$C$5,12,31)) &lt; MAX($D$2, DATE(Initialisatie!$C$5,1,1)), 0, MONTH(MIN($D$1, DATE(Initialisatie!$C$5,12,31))) - MONTH(MAX($D$2, DATE(Initialisatie!$C$5,1,1))) + 1)),
        IFERROR(VALUE($E119),0) * MAX(0, IF(MIN($E$1, DATE(Initialisatie!$C$5,12,31)) &lt; MAX($E$2, DATE(Initialisatie!$C$5,1,1)), 0, MONTH(MIN($E$1, DATE(Initialisatie!$C$5,12,31))) - MONTH(MAX($E$2, DATE(Initialisatie!$C$5,1,1))) + 1))
    ) / 12
)</f>
        <v>4399</v>
      </c>
    </row>
    <row r="120" spans="1:8" x14ac:dyDescent="0.45">
      <c r="A120" s="997"/>
      <c r="B120" s="380">
        <v>14</v>
      </c>
      <c r="C120" t="s">
        <v>1793</v>
      </c>
      <c r="D120" t="s">
        <v>1794</v>
      </c>
      <c r="E120" t="s">
        <v>1482</v>
      </c>
      <c r="G120">
        <f>IF(
    OR(
        AND(MAX(0, MIN($C$1, DATE(Initialisatie!$C$5,12,31)) - MAX($C$2, DATE(Initialisatie!$C$5,1,1)) + 1) &gt; 0, IFERROR(VALUE($C120),0)=0),
        AND(MAX(0, MIN($D$1, DATE(Initialisatie!$C$5,12,31)) - MAX($D$2, DATE(Initialisatie!$C$5,1,1)) + 1) &gt; 0, IFERROR(VALUE($D120),0)=0),
        AND(MAX(0, MIN($E$1, DATE(Initialisatie!$C$5,12,31)) - MAX($E$2, DATE(Initialisatie!$C$5,1,1)) + 1) &gt; 0, IFERROR(VALUE($E120),0)=0)
    ),
    0,
    SUM(
        IFERROR(VALUE($C120),0) * MAX(0, MIN($C$1, DATE(Initialisatie!$C$5,12,31)) - MAX($C$2, DATE(Initialisatie!$C$5,1,1)) + 1),
        IFERROR(VALUE($D120),0) * MAX(0, MIN($D$1, DATE(Initialisatie!$C$5,12,31)) - MAX($D$2, DATE(Initialisatie!$C$5,1,1)) + 1),
        IFERROR(VALUE($E120),0) * MAX(0, MIN($E$1, DATE(Initialisatie!$C$5,12,31)) - MAX($E$2, DATE(Initialisatie!$C$5,1,1)) + 1)
    ) / (DATE(Initialisatie!$C$5,12,31) - DATE(Initialisatie!$C$5,1,1) + 1)
)</f>
        <v>4547.9452054794519</v>
      </c>
      <c r="H120">
        <f>IF(
    OR(
        AND(MAX(0, IF(MIN($C$1, DATE(Initialisatie!$C$5,12,31)) &lt; MAX($C$2, DATE(Initialisatie!$C$5,1,1)), 0, MONTH(MIN($C$1, DATE(Initialisatie!$C$5,12,31))) - MONTH(MAX($C$2, DATE(Initialisatie!$C$5,1,1))) + 1)) &lt;= 0, IFERROR(VALUE($C120),0)=0),
        AND(MAX(0, IF(MIN($D$1, DATE(Initialisatie!$C$5,12,31)) &lt; MAX($D$2, DATE(Initialisatie!$C$5,1,1)), 0, MONTH(MIN($D$1, DATE(Initialisatie!$C$5,12,31))) - MONTH(MAX($D$2, DATE(Initialisatie!$C$5,1,1))) + 1)) &lt;= 0, IFERROR(VALUE($D120),0)=0),
        AND(MAX(0, IF(MIN($E$1, DATE(Initialisatie!$C$5,12,31)) &lt; MAX($E$2, DATE(Initialisatie!$C$5,1,1)), 0, MONTH(MIN($E$1, DATE(Initialisatie!$C$5,12,31))) - MONTH(MAX($E$2, DATE(Initialisatie!$C$5,1,1))) + 1)) &lt;= 0, IFERROR(VALUE($E120),0)=0)
    ),
    0,
    SUM(
        IFERROR(VALUE($C120),0) * MAX(0, IF(MIN($C$1, DATE(Initialisatie!$C$5,12,31)) &lt; MAX($C$2, DATE(Initialisatie!$C$5,1,1)), 0, MONTH(MIN($C$1, DATE(Initialisatie!$C$5,12,31))) - MONTH(MAX($C$2, DATE(Initialisatie!$C$5,1,1))) + 1)),
        IFERROR(VALUE($D120),0) * MAX(0, IF(MIN($D$1, DATE(Initialisatie!$C$5,12,31)) &lt; MAX($D$2, DATE(Initialisatie!$C$5,1,1)), 0, MONTH(MIN($D$1, DATE(Initialisatie!$C$5,12,31))) - MONTH(MAX($D$2, DATE(Initialisatie!$C$5,1,1))) + 1)),
        IFERROR(VALUE($E120),0) * MAX(0, IF(MIN($E$1, DATE(Initialisatie!$C$5,12,31)) &lt; MAX($E$2, DATE(Initialisatie!$C$5,1,1)), 0, MONTH(MIN($E$1, DATE(Initialisatie!$C$5,12,31))) - MONTH(MAX($E$2, DATE(Initialisatie!$C$5,1,1))) + 1))
    ) / 12
)</f>
        <v>4547.75</v>
      </c>
    </row>
    <row r="121" spans="1:8" x14ac:dyDescent="0.45">
      <c r="A121" s="997"/>
      <c r="B121" s="380">
        <v>15</v>
      </c>
      <c r="C121" t="s">
        <v>1795</v>
      </c>
      <c r="D121" t="s">
        <v>1796</v>
      </c>
      <c r="E121" t="s">
        <v>1797</v>
      </c>
      <c r="G121">
        <f>IF(
    OR(
        AND(MAX(0, MIN($C$1, DATE(Initialisatie!$C$5,12,31)) - MAX($C$2, DATE(Initialisatie!$C$5,1,1)) + 1) &gt; 0, IFERROR(VALUE($C121),0)=0),
        AND(MAX(0, MIN($D$1, DATE(Initialisatie!$C$5,12,31)) - MAX($D$2, DATE(Initialisatie!$C$5,1,1)) + 1) &gt; 0, IFERROR(VALUE($D121),0)=0),
        AND(MAX(0, MIN($E$1, DATE(Initialisatie!$C$5,12,31)) - MAX($E$2, DATE(Initialisatie!$C$5,1,1)) + 1) &gt; 0, IFERROR(VALUE($E121),0)=0)
    ),
    0,
    SUM(
        IFERROR(VALUE($C121),0) * MAX(0, MIN($C$1, DATE(Initialisatie!$C$5,12,31)) - MAX($C$2, DATE(Initialisatie!$C$5,1,1)) + 1),
        IFERROR(VALUE($D121),0) * MAX(0, MIN($D$1, DATE(Initialisatie!$C$5,12,31)) - MAX($D$2, DATE(Initialisatie!$C$5,1,1)) + 1),
        IFERROR(VALUE($E121),0) * MAX(0, MIN($E$1, DATE(Initialisatie!$C$5,12,31)) - MAX($E$2, DATE(Initialisatie!$C$5,1,1)) + 1)
    ) / (DATE(Initialisatie!$C$5,12,31) - DATE(Initialisatie!$C$5,1,1) + 1)
)</f>
        <v>4705.7013698630135</v>
      </c>
      <c r="H121">
        <f>IF(
    OR(
        AND(MAX(0, IF(MIN($C$1, DATE(Initialisatie!$C$5,12,31)) &lt; MAX($C$2, DATE(Initialisatie!$C$5,1,1)), 0, MONTH(MIN($C$1, DATE(Initialisatie!$C$5,12,31))) - MONTH(MAX($C$2, DATE(Initialisatie!$C$5,1,1))) + 1)) &lt;= 0, IFERROR(VALUE($C121),0)=0),
        AND(MAX(0, IF(MIN($D$1, DATE(Initialisatie!$C$5,12,31)) &lt; MAX($D$2, DATE(Initialisatie!$C$5,1,1)), 0, MONTH(MIN($D$1, DATE(Initialisatie!$C$5,12,31))) - MONTH(MAX($D$2, DATE(Initialisatie!$C$5,1,1))) + 1)) &lt;= 0, IFERROR(VALUE($D121),0)=0),
        AND(MAX(0, IF(MIN($E$1, DATE(Initialisatie!$C$5,12,31)) &lt; MAX($E$2, DATE(Initialisatie!$C$5,1,1)), 0, MONTH(MIN($E$1, DATE(Initialisatie!$C$5,12,31))) - MONTH(MAX($E$2, DATE(Initialisatie!$C$5,1,1))) + 1)) &lt;= 0, IFERROR(VALUE($E121),0)=0)
    ),
    0,
    SUM(
        IFERROR(VALUE($C121),0) * MAX(0, IF(MIN($C$1, DATE(Initialisatie!$C$5,12,31)) &lt; MAX($C$2, DATE(Initialisatie!$C$5,1,1)), 0, MONTH(MIN($C$1, DATE(Initialisatie!$C$5,12,31))) - MONTH(MAX($C$2, DATE(Initialisatie!$C$5,1,1))) + 1)),
        IFERROR(VALUE($D121),0) * MAX(0, IF(MIN($D$1, DATE(Initialisatie!$C$5,12,31)) &lt; MAX($D$2, DATE(Initialisatie!$C$5,1,1)), 0, MONTH(MIN($D$1, DATE(Initialisatie!$C$5,12,31))) - MONTH(MAX($D$2, DATE(Initialisatie!$C$5,1,1))) + 1)),
        IFERROR(VALUE($E121),0) * MAX(0, IF(MIN($E$1, DATE(Initialisatie!$C$5,12,31)) &lt; MAX($E$2, DATE(Initialisatie!$C$5,1,1)), 0, MONTH(MIN($E$1, DATE(Initialisatie!$C$5,12,31))) - MONTH(MAX($E$2, DATE(Initialisatie!$C$5,1,1))) + 1))
    ) / 12
)</f>
        <v>4705.5</v>
      </c>
    </row>
    <row r="122" spans="1:8" x14ac:dyDescent="0.45">
      <c r="A122" s="998"/>
      <c r="B122" s="380" t="s">
        <v>517</v>
      </c>
      <c r="C122" t="s">
        <v>1798</v>
      </c>
      <c r="D122" t="s">
        <v>1799</v>
      </c>
      <c r="E122" t="s">
        <v>1800</v>
      </c>
      <c r="G122">
        <f>IF(
    OR(
        AND(MAX(0, MIN($C$1, DATE(Initialisatie!$C$5,12,31)) - MAX($C$2, DATE(Initialisatie!$C$5,1,1)) + 1) &gt; 0, IFERROR(VALUE($C122),0)=0),
        AND(MAX(0, MIN($D$1, DATE(Initialisatie!$C$5,12,31)) - MAX($D$2, DATE(Initialisatie!$C$5,1,1)) + 1) &gt; 0, IFERROR(VALUE($D122),0)=0),
        AND(MAX(0, MIN($E$1, DATE(Initialisatie!$C$5,12,31)) - MAX($E$2, DATE(Initialisatie!$C$5,1,1)) + 1) &gt; 0, IFERROR(VALUE($E122),0)=0)
    ),
    0,
    SUM(
        IFERROR(VALUE($C122),0) * MAX(0, MIN($C$1, DATE(Initialisatie!$C$5,12,31)) - MAX($C$2, DATE(Initialisatie!$C$5,1,1)) + 1),
        IFERROR(VALUE($D122),0) * MAX(0, MIN($D$1, DATE(Initialisatie!$C$5,12,31)) - MAX($D$2, DATE(Initialisatie!$C$5,1,1)) + 1),
        IFERROR(VALUE($E122),0) * MAX(0, MIN($E$1, DATE(Initialisatie!$C$5,12,31)) - MAX($E$2, DATE(Initialisatie!$C$5,1,1)) + 1)
    ) / (DATE(Initialisatie!$C$5,12,31) - DATE(Initialisatie!$C$5,1,1) + 1)
)</f>
        <v>3148.635616438356</v>
      </c>
      <c r="H122">
        <f>IF(
    OR(
        AND(MAX(0, IF(MIN($C$1, DATE(Initialisatie!$C$5,12,31)) &lt; MAX($C$2, DATE(Initialisatie!$C$5,1,1)), 0, MONTH(MIN($C$1, DATE(Initialisatie!$C$5,12,31))) - MONTH(MAX($C$2, DATE(Initialisatie!$C$5,1,1))) + 1)) &lt;= 0, IFERROR(VALUE($C122),0)=0),
        AND(MAX(0, IF(MIN($D$1, DATE(Initialisatie!$C$5,12,31)) &lt; MAX($D$2, DATE(Initialisatie!$C$5,1,1)), 0, MONTH(MIN($D$1, DATE(Initialisatie!$C$5,12,31))) - MONTH(MAX($D$2, DATE(Initialisatie!$C$5,1,1))) + 1)) &lt;= 0, IFERROR(VALUE($D122),0)=0),
        AND(MAX(0, IF(MIN($E$1, DATE(Initialisatie!$C$5,12,31)) &lt; MAX($E$2, DATE(Initialisatie!$C$5,1,1)), 0, MONTH(MIN($E$1, DATE(Initialisatie!$C$5,12,31))) - MONTH(MAX($E$2, DATE(Initialisatie!$C$5,1,1))) + 1)) &lt;= 0, IFERROR(VALUE($E122),0)=0)
    ),
    0,
    SUM(
        IFERROR(VALUE($C122),0) * MAX(0, IF(MIN($C$1, DATE(Initialisatie!$C$5,12,31)) &lt; MAX($C$2, DATE(Initialisatie!$C$5,1,1)), 0, MONTH(MIN($C$1, DATE(Initialisatie!$C$5,12,31))) - MONTH(MAX($C$2, DATE(Initialisatie!$C$5,1,1))) + 1)),
        IFERROR(VALUE($D122),0) * MAX(0, IF(MIN($D$1, DATE(Initialisatie!$C$5,12,31)) &lt; MAX($D$2, DATE(Initialisatie!$C$5,1,1)), 0, MONTH(MIN($D$1, DATE(Initialisatie!$C$5,12,31))) - MONTH(MAX($D$2, DATE(Initialisatie!$C$5,1,1))) + 1)),
        IFERROR(VALUE($E122),0) * MAX(0, IF(MIN($E$1, DATE(Initialisatie!$C$5,12,31)) &lt; MAX($E$2, DATE(Initialisatie!$C$5,1,1)), 0, MONTH(MIN($E$1, DATE(Initialisatie!$C$5,12,31))) - MONTH(MAX($E$2, DATE(Initialisatie!$C$5,1,1))) + 1))
    ) / 12
)</f>
        <v>3148.5</v>
      </c>
    </row>
    <row r="123" spans="1:8" x14ac:dyDescent="0.45">
      <c r="A123" s="996">
        <v>8</v>
      </c>
      <c r="B123" s="380">
        <v>0</v>
      </c>
      <c r="C123" t="s">
        <v>1754</v>
      </c>
      <c r="D123" t="s">
        <v>1755</v>
      </c>
      <c r="E123" t="s">
        <v>1756</v>
      </c>
      <c r="G123">
        <f>IF(
    OR(
        AND(MAX(0, MIN($C$1, DATE(Initialisatie!$C$5,12,31)) - MAX($C$2, DATE(Initialisatie!$C$5,1,1)) + 1) &gt; 0, IFERROR(VALUE($C123),0)=0),
        AND(MAX(0, MIN($D$1, DATE(Initialisatie!$C$5,12,31)) - MAX($D$2, DATE(Initialisatie!$C$5,1,1)) + 1) &gt; 0, IFERROR(VALUE($D123),0)=0),
        AND(MAX(0, MIN($E$1, DATE(Initialisatie!$C$5,12,31)) - MAX($E$2, DATE(Initialisatie!$C$5,1,1)) + 1) &gt; 0, IFERROR(VALUE($E123),0)=0)
    ),
    0,
    SUM(
        IFERROR(VALUE($C123),0) * MAX(0, MIN($C$1, DATE(Initialisatie!$C$5,12,31)) - MAX($C$2, DATE(Initialisatie!$C$5,1,1)) + 1),
        IFERROR(VALUE($D123),0) * MAX(0, MIN($D$1, DATE(Initialisatie!$C$5,12,31)) - MAX($D$2, DATE(Initialisatie!$C$5,1,1)) + 1),
        IFERROR(VALUE($E123),0) * MAX(0, MIN($E$1, DATE(Initialisatie!$C$5,12,31)) - MAX($E$2, DATE(Initialisatie!$C$5,1,1)) + 1)
    ) / (DATE(Initialisatie!$C$5,12,31) - DATE(Initialisatie!$C$5,1,1) + 1)
)</f>
        <v>3479.4</v>
      </c>
      <c r="H123">
        <f>IF(
    OR(
        AND(MAX(0, IF(MIN($C$1, DATE(Initialisatie!$C$5,12,31)) &lt; MAX($C$2, DATE(Initialisatie!$C$5,1,1)), 0, MONTH(MIN($C$1, DATE(Initialisatie!$C$5,12,31))) - MONTH(MAX($C$2, DATE(Initialisatie!$C$5,1,1))) + 1)) &lt;= 0, IFERROR(VALUE($C123),0)=0),
        AND(MAX(0, IF(MIN($D$1, DATE(Initialisatie!$C$5,12,31)) &lt; MAX($D$2, DATE(Initialisatie!$C$5,1,1)), 0, MONTH(MIN($D$1, DATE(Initialisatie!$C$5,12,31))) - MONTH(MAX($D$2, DATE(Initialisatie!$C$5,1,1))) + 1)) &lt;= 0, IFERROR(VALUE($D123),0)=0),
        AND(MAX(0, IF(MIN($E$1, DATE(Initialisatie!$C$5,12,31)) &lt; MAX($E$2, DATE(Initialisatie!$C$5,1,1)), 0, MONTH(MIN($E$1, DATE(Initialisatie!$C$5,12,31))) - MONTH(MAX($E$2, DATE(Initialisatie!$C$5,1,1))) + 1)) &lt;= 0, IFERROR(VALUE($E123),0)=0)
    ),
    0,
    SUM(
        IFERROR(VALUE($C123),0) * MAX(0, IF(MIN($C$1, DATE(Initialisatie!$C$5,12,31)) &lt; MAX($C$2, DATE(Initialisatie!$C$5,1,1)), 0, MONTH(MIN($C$1, DATE(Initialisatie!$C$5,12,31))) - MONTH(MAX($C$2, DATE(Initialisatie!$C$5,1,1))) + 1)),
        IFERROR(VALUE($D123),0) * MAX(0, IF(MIN($D$1, DATE(Initialisatie!$C$5,12,31)) &lt; MAX($D$2, DATE(Initialisatie!$C$5,1,1)), 0, MONTH(MIN($D$1, DATE(Initialisatie!$C$5,12,31))) - MONTH(MAX($D$2, DATE(Initialisatie!$C$5,1,1))) + 1)),
        IFERROR(VALUE($E123),0) * MAX(0, IF(MIN($E$1, DATE(Initialisatie!$C$5,12,31)) &lt; MAX($E$2, DATE(Initialisatie!$C$5,1,1)), 0, MONTH(MIN($E$1, DATE(Initialisatie!$C$5,12,31))) - MONTH(MAX($E$2, DATE(Initialisatie!$C$5,1,1))) + 1))
    ) / 12
)</f>
        <v>3479.25</v>
      </c>
    </row>
    <row r="124" spans="1:8" x14ac:dyDescent="0.45">
      <c r="A124" s="997"/>
      <c r="B124" s="380">
        <v>1</v>
      </c>
      <c r="C124" t="s">
        <v>1757</v>
      </c>
      <c r="D124" t="s">
        <v>1758</v>
      </c>
      <c r="E124" t="s">
        <v>1759</v>
      </c>
      <c r="G124">
        <f>IF(
    OR(
        AND(MAX(0, MIN($C$1, DATE(Initialisatie!$C$5,12,31)) - MAX($C$2, DATE(Initialisatie!$C$5,1,1)) + 1) &gt; 0, IFERROR(VALUE($C124),0)=0),
        AND(MAX(0, MIN($D$1, DATE(Initialisatie!$C$5,12,31)) - MAX($D$2, DATE(Initialisatie!$C$5,1,1)) + 1) &gt; 0, IFERROR(VALUE($D124),0)=0),
        AND(MAX(0, MIN($E$1, DATE(Initialisatie!$C$5,12,31)) - MAX($E$2, DATE(Initialisatie!$C$5,1,1)) + 1) &gt; 0, IFERROR(VALUE($E124),0)=0)
    ),
    0,
    SUM(
        IFERROR(VALUE($C124),0) * MAX(0, MIN($C$1, DATE(Initialisatie!$C$5,12,31)) - MAX($C$2, DATE(Initialisatie!$C$5,1,1)) + 1),
        IFERROR(VALUE($D124),0) * MAX(0, MIN($D$1, DATE(Initialisatie!$C$5,12,31)) - MAX($D$2, DATE(Initialisatie!$C$5,1,1)) + 1),
        IFERROR(VALUE($E124),0) * MAX(0, MIN($E$1, DATE(Initialisatie!$C$5,12,31)) - MAX($E$2, DATE(Initialisatie!$C$5,1,1)) + 1)
    ) / (DATE(Initialisatie!$C$5,12,31) - DATE(Initialisatie!$C$5,1,1) + 1)
)</f>
        <v>3546.6520547945206</v>
      </c>
      <c r="H124">
        <f>IF(
    OR(
        AND(MAX(0, IF(MIN($C$1, DATE(Initialisatie!$C$5,12,31)) &lt; MAX($C$2, DATE(Initialisatie!$C$5,1,1)), 0, MONTH(MIN($C$1, DATE(Initialisatie!$C$5,12,31))) - MONTH(MAX($C$2, DATE(Initialisatie!$C$5,1,1))) + 1)) &lt;= 0, IFERROR(VALUE($C124),0)=0),
        AND(MAX(0, IF(MIN($D$1, DATE(Initialisatie!$C$5,12,31)) &lt; MAX($D$2, DATE(Initialisatie!$C$5,1,1)), 0, MONTH(MIN($D$1, DATE(Initialisatie!$C$5,12,31))) - MONTH(MAX($D$2, DATE(Initialisatie!$C$5,1,1))) + 1)) &lt;= 0, IFERROR(VALUE($D124),0)=0),
        AND(MAX(0, IF(MIN($E$1, DATE(Initialisatie!$C$5,12,31)) &lt; MAX($E$2, DATE(Initialisatie!$C$5,1,1)), 0, MONTH(MIN($E$1, DATE(Initialisatie!$C$5,12,31))) - MONTH(MAX($E$2, DATE(Initialisatie!$C$5,1,1))) + 1)) &lt;= 0, IFERROR(VALUE($E124),0)=0)
    ),
    0,
    SUM(
        IFERROR(VALUE($C124),0) * MAX(0, IF(MIN($C$1, DATE(Initialisatie!$C$5,12,31)) &lt; MAX($C$2, DATE(Initialisatie!$C$5,1,1)), 0, MONTH(MIN($C$1, DATE(Initialisatie!$C$5,12,31))) - MONTH(MAX($C$2, DATE(Initialisatie!$C$5,1,1))) + 1)),
        IFERROR(VALUE($D124),0) * MAX(0, IF(MIN($D$1, DATE(Initialisatie!$C$5,12,31)) &lt; MAX($D$2, DATE(Initialisatie!$C$5,1,1)), 0, MONTH(MIN($D$1, DATE(Initialisatie!$C$5,12,31))) - MONTH(MAX($D$2, DATE(Initialisatie!$C$5,1,1))) + 1)),
        IFERROR(VALUE($E124),0) * MAX(0, IF(MIN($E$1, DATE(Initialisatie!$C$5,12,31)) &lt; MAX($E$2, DATE(Initialisatie!$C$5,1,1)), 0, MONTH(MIN($E$1, DATE(Initialisatie!$C$5,12,31))) - MONTH(MAX($E$2, DATE(Initialisatie!$C$5,1,1))) + 1))
    ) / 12
)</f>
        <v>3546.5</v>
      </c>
    </row>
    <row r="125" spans="1:8" x14ac:dyDescent="0.45">
      <c r="A125" s="997"/>
      <c r="B125" s="380">
        <v>2</v>
      </c>
      <c r="C125" t="s">
        <v>1760</v>
      </c>
      <c r="D125" t="s">
        <v>1761</v>
      </c>
      <c r="E125" t="s">
        <v>1762</v>
      </c>
      <c r="G125">
        <f>IF(
    OR(
        AND(MAX(0, MIN($C$1, DATE(Initialisatie!$C$5,12,31)) - MAX($C$2, DATE(Initialisatie!$C$5,1,1)) + 1) &gt; 0, IFERROR(VALUE($C125),0)=0),
        AND(MAX(0, MIN($D$1, DATE(Initialisatie!$C$5,12,31)) - MAX($D$2, DATE(Initialisatie!$C$5,1,1)) + 1) &gt; 0, IFERROR(VALUE($D125),0)=0),
        AND(MAX(0, MIN($E$1, DATE(Initialisatie!$C$5,12,31)) - MAX($E$2, DATE(Initialisatie!$C$5,1,1)) + 1) &gt; 0, IFERROR(VALUE($E125),0)=0)
    ),
    0,
    SUM(
        IFERROR(VALUE($C125),0) * MAX(0, MIN($C$1, DATE(Initialisatie!$C$5,12,31)) - MAX($C$2, DATE(Initialisatie!$C$5,1,1)) + 1),
        IFERROR(VALUE($D125),0) * MAX(0, MIN($D$1, DATE(Initialisatie!$C$5,12,31)) - MAX($D$2, DATE(Initialisatie!$C$5,1,1)) + 1),
        IFERROR(VALUE($E125),0) * MAX(0, MIN($E$1, DATE(Initialisatie!$C$5,12,31)) - MAX($E$2, DATE(Initialisatie!$C$5,1,1)) + 1)
    ) / (DATE(Initialisatie!$C$5,12,31) - DATE(Initialisatie!$C$5,1,1) + 1)
)</f>
        <v>3626.1561643835616</v>
      </c>
      <c r="H125">
        <f>IF(
    OR(
        AND(MAX(0, IF(MIN($C$1, DATE(Initialisatie!$C$5,12,31)) &lt; MAX($C$2, DATE(Initialisatie!$C$5,1,1)), 0, MONTH(MIN($C$1, DATE(Initialisatie!$C$5,12,31))) - MONTH(MAX($C$2, DATE(Initialisatie!$C$5,1,1))) + 1)) &lt;= 0, IFERROR(VALUE($C125),0)=0),
        AND(MAX(0, IF(MIN($D$1, DATE(Initialisatie!$C$5,12,31)) &lt; MAX($D$2, DATE(Initialisatie!$C$5,1,1)), 0, MONTH(MIN($D$1, DATE(Initialisatie!$C$5,12,31))) - MONTH(MAX($D$2, DATE(Initialisatie!$C$5,1,1))) + 1)) &lt;= 0, IFERROR(VALUE($D125),0)=0),
        AND(MAX(0, IF(MIN($E$1, DATE(Initialisatie!$C$5,12,31)) &lt; MAX($E$2, DATE(Initialisatie!$C$5,1,1)), 0, MONTH(MIN($E$1, DATE(Initialisatie!$C$5,12,31))) - MONTH(MAX($E$2, DATE(Initialisatie!$C$5,1,1))) + 1)) &lt;= 0, IFERROR(VALUE($E125),0)=0)
    ),
    0,
    SUM(
        IFERROR(VALUE($C125),0) * MAX(0, IF(MIN($C$1, DATE(Initialisatie!$C$5,12,31)) &lt; MAX($C$2, DATE(Initialisatie!$C$5,1,1)), 0, MONTH(MIN($C$1, DATE(Initialisatie!$C$5,12,31))) - MONTH(MAX($C$2, DATE(Initialisatie!$C$5,1,1))) + 1)),
        IFERROR(VALUE($D125),0) * MAX(0, IF(MIN($D$1, DATE(Initialisatie!$C$5,12,31)) &lt; MAX($D$2, DATE(Initialisatie!$C$5,1,1)), 0, MONTH(MIN($D$1, DATE(Initialisatie!$C$5,12,31))) - MONTH(MAX($D$2, DATE(Initialisatie!$C$5,1,1))) + 1)),
        IFERROR(VALUE($E125),0) * MAX(0, IF(MIN($E$1, DATE(Initialisatie!$C$5,12,31)) &lt; MAX($E$2, DATE(Initialisatie!$C$5,1,1)), 0, MONTH(MIN($E$1, DATE(Initialisatie!$C$5,12,31))) - MONTH(MAX($E$2, DATE(Initialisatie!$C$5,1,1))) + 1))
    ) / 12
)</f>
        <v>3626</v>
      </c>
    </row>
    <row r="126" spans="1:8" x14ac:dyDescent="0.45">
      <c r="A126" s="997"/>
      <c r="B126" s="380">
        <v>3</v>
      </c>
      <c r="C126" t="s">
        <v>1766</v>
      </c>
      <c r="D126" t="s">
        <v>1767</v>
      </c>
      <c r="E126" t="s">
        <v>1768</v>
      </c>
      <c r="G126">
        <f>IF(
    OR(
        AND(MAX(0, MIN($C$1, DATE(Initialisatie!$C$5,12,31)) - MAX($C$2, DATE(Initialisatie!$C$5,1,1)) + 1) &gt; 0, IFERROR(VALUE($C126),0)=0),
        AND(MAX(0, MIN($D$1, DATE(Initialisatie!$C$5,12,31)) - MAX($D$2, DATE(Initialisatie!$C$5,1,1)) + 1) &gt; 0, IFERROR(VALUE($D126),0)=0),
        AND(MAX(0, MIN($E$1, DATE(Initialisatie!$C$5,12,31)) - MAX($E$2, DATE(Initialisatie!$C$5,1,1)) + 1) &gt; 0, IFERROR(VALUE($E126),0)=0)
    ),
    0,
    SUM(
        IFERROR(VALUE($C126),0) * MAX(0, MIN($C$1, DATE(Initialisatie!$C$5,12,31)) - MAX($C$2, DATE(Initialisatie!$C$5,1,1)) + 1),
        IFERROR(VALUE($D126),0) * MAX(0, MIN($D$1, DATE(Initialisatie!$C$5,12,31)) - MAX($D$2, DATE(Initialisatie!$C$5,1,1)) + 1),
        IFERROR(VALUE($E126),0) * MAX(0, MIN($E$1, DATE(Initialisatie!$C$5,12,31)) - MAX($E$2, DATE(Initialisatie!$C$5,1,1)) + 1)
    ) / (DATE(Initialisatie!$C$5,12,31) - DATE(Initialisatie!$C$5,1,1) + 1)
)</f>
        <v>3695.4082191780822</v>
      </c>
      <c r="H126">
        <f>IF(
    OR(
        AND(MAX(0, IF(MIN($C$1, DATE(Initialisatie!$C$5,12,31)) &lt; MAX($C$2, DATE(Initialisatie!$C$5,1,1)), 0, MONTH(MIN($C$1, DATE(Initialisatie!$C$5,12,31))) - MONTH(MAX($C$2, DATE(Initialisatie!$C$5,1,1))) + 1)) &lt;= 0, IFERROR(VALUE($C126),0)=0),
        AND(MAX(0, IF(MIN($D$1, DATE(Initialisatie!$C$5,12,31)) &lt; MAX($D$2, DATE(Initialisatie!$C$5,1,1)), 0, MONTH(MIN($D$1, DATE(Initialisatie!$C$5,12,31))) - MONTH(MAX($D$2, DATE(Initialisatie!$C$5,1,1))) + 1)) &lt;= 0, IFERROR(VALUE($D126),0)=0),
        AND(MAX(0, IF(MIN($E$1, DATE(Initialisatie!$C$5,12,31)) &lt; MAX($E$2, DATE(Initialisatie!$C$5,1,1)), 0, MONTH(MIN($E$1, DATE(Initialisatie!$C$5,12,31))) - MONTH(MAX($E$2, DATE(Initialisatie!$C$5,1,1))) + 1)) &lt;= 0, IFERROR(VALUE($E126),0)=0)
    ),
    0,
    SUM(
        IFERROR(VALUE($C126),0) * MAX(0, IF(MIN($C$1, DATE(Initialisatie!$C$5,12,31)) &lt; MAX($C$2, DATE(Initialisatie!$C$5,1,1)), 0, MONTH(MIN($C$1, DATE(Initialisatie!$C$5,12,31))) - MONTH(MAX($C$2, DATE(Initialisatie!$C$5,1,1))) + 1)),
        IFERROR(VALUE($D126),0) * MAX(0, IF(MIN($D$1, DATE(Initialisatie!$C$5,12,31)) &lt; MAX($D$2, DATE(Initialisatie!$C$5,1,1)), 0, MONTH(MIN($D$1, DATE(Initialisatie!$C$5,12,31))) - MONTH(MAX($D$2, DATE(Initialisatie!$C$5,1,1))) + 1)),
        IFERROR(VALUE($E126),0) * MAX(0, IF(MIN($E$1, DATE(Initialisatie!$C$5,12,31)) &lt; MAX($E$2, DATE(Initialisatie!$C$5,1,1)), 0, MONTH(MIN($E$1, DATE(Initialisatie!$C$5,12,31))) - MONTH(MAX($E$2, DATE(Initialisatie!$C$5,1,1))) + 1))
    ) / 12
)</f>
        <v>3695.25</v>
      </c>
    </row>
    <row r="127" spans="1:8" x14ac:dyDescent="0.45">
      <c r="A127" s="997"/>
      <c r="B127" s="380">
        <v>4</v>
      </c>
      <c r="C127" t="s">
        <v>1769</v>
      </c>
      <c r="D127" t="s">
        <v>1770</v>
      </c>
      <c r="E127" t="s">
        <v>1288</v>
      </c>
      <c r="G127">
        <f>IF(
    OR(
        AND(MAX(0, MIN($C$1, DATE(Initialisatie!$C$5,12,31)) - MAX($C$2, DATE(Initialisatie!$C$5,1,1)) + 1) &gt; 0, IFERROR(VALUE($C127),0)=0),
        AND(MAX(0, MIN($D$1, DATE(Initialisatie!$C$5,12,31)) - MAX($D$2, DATE(Initialisatie!$C$5,1,1)) + 1) &gt; 0, IFERROR(VALUE($D127),0)=0),
        AND(MAX(0, MIN($E$1, DATE(Initialisatie!$C$5,12,31)) - MAX($E$2, DATE(Initialisatie!$C$5,1,1)) + 1) &gt; 0, IFERROR(VALUE($E127),0)=0)
    ),
    0,
    SUM(
        IFERROR(VALUE($C127),0) * MAX(0, MIN($C$1, DATE(Initialisatie!$C$5,12,31)) - MAX($C$2, DATE(Initialisatie!$C$5,1,1)) + 1),
        IFERROR(VALUE($D127),0) * MAX(0, MIN($D$1, DATE(Initialisatie!$C$5,12,31)) - MAX($D$2, DATE(Initialisatie!$C$5,1,1)) + 1),
        IFERROR(VALUE($E127),0) * MAX(0, MIN($E$1, DATE(Initialisatie!$C$5,12,31)) - MAX($E$2, DATE(Initialisatie!$C$5,1,1)) + 1)
    ) / (DATE(Initialisatie!$C$5,12,31) - DATE(Initialisatie!$C$5,1,1) + 1)
)</f>
        <v>3835.1643835616437</v>
      </c>
      <c r="H127">
        <f>IF(
    OR(
        AND(MAX(0, IF(MIN($C$1, DATE(Initialisatie!$C$5,12,31)) &lt; MAX($C$2, DATE(Initialisatie!$C$5,1,1)), 0, MONTH(MIN($C$1, DATE(Initialisatie!$C$5,12,31))) - MONTH(MAX($C$2, DATE(Initialisatie!$C$5,1,1))) + 1)) &lt;= 0, IFERROR(VALUE($C127),0)=0),
        AND(MAX(0, IF(MIN($D$1, DATE(Initialisatie!$C$5,12,31)) &lt; MAX($D$2, DATE(Initialisatie!$C$5,1,1)), 0, MONTH(MIN($D$1, DATE(Initialisatie!$C$5,12,31))) - MONTH(MAX($D$2, DATE(Initialisatie!$C$5,1,1))) + 1)) &lt;= 0, IFERROR(VALUE($D127),0)=0),
        AND(MAX(0, IF(MIN($E$1, DATE(Initialisatie!$C$5,12,31)) &lt; MAX($E$2, DATE(Initialisatie!$C$5,1,1)), 0, MONTH(MIN($E$1, DATE(Initialisatie!$C$5,12,31))) - MONTH(MAX($E$2, DATE(Initialisatie!$C$5,1,1))) + 1)) &lt;= 0, IFERROR(VALUE($E127),0)=0)
    ),
    0,
    SUM(
        IFERROR(VALUE($C127),0) * MAX(0, IF(MIN($C$1, DATE(Initialisatie!$C$5,12,31)) &lt; MAX($C$2, DATE(Initialisatie!$C$5,1,1)), 0, MONTH(MIN($C$1, DATE(Initialisatie!$C$5,12,31))) - MONTH(MAX($C$2, DATE(Initialisatie!$C$5,1,1))) + 1)),
        IFERROR(VALUE($D127),0) * MAX(0, IF(MIN($D$1, DATE(Initialisatie!$C$5,12,31)) &lt; MAX($D$2, DATE(Initialisatie!$C$5,1,1)), 0, MONTH(MIN($D$1, DATE(Initialisatie!$C$5,12,31))) - MONTH(MAX($D$2, DATE(Initialisatie!$C$5,1,1))) + 1)),
        IFERROR(VALUE($E127),0) * MAX(0, IF(MIN($E$1, DATE(Initialisatie!$C$5,12,31)) &lt; MAX($E$2, DATE(Initialisatie!$C$5,1,1)), 0, MONTH(MIN($E$1, DATE(Initialisatie!$C$5,12,31))) - MONTH(MAX($E$2, DATE(Initialisatie!$C$5,1,1))) + 1))
    ) / 12
)</f>
        <v>3835</v>
      </c>
    </row>
    <row r="128" spans="1:8" x14ac:dyDescent="0.45">
      <c r="A128" s="997"/>
      <c r="B128" s="380">
        <v>5</v>
      </c>
      <c r="C128" t="s">
        <v>1771</v>
      </c>
      <c r="D128" t="s">
        <v>1772</v>
      </c>
      <c r="E128" t="s">
        <v>1773</v>
      </c>
      <c r="G128">
        <f>IF(
    OR(
        AND(MAX(0, MIN($C$1, DATE(Initialisatie!$C$5,12,31)) - MAX($C$2, DATE(Initialisatie!$C$5,1,1)) + 1) &gt; 0, IFERROR(VALUE($C128),0)=0),
        AND(MAX(0, MIN($D$1, DATE(Initialisatie!$C$5,12,31)) - MAX($D$2, DATE(Initialisatie!$C$5,1,1)) + 1) &gt; 0, IFERROR(VALUE($D128),0)=0),
        AND(MAX(0, MIN($E$1, DATE(Initialisatie!$C$5,12,31)) - MAX($E$2, DATE(Initialisatie!$C$5,1,1)) + 1) &gt; 0, IFERROR(VALUE($E128),0)=0)
    ),
    0,
    SUM(
        IFERROR(VALUE($C128),0) * MAX(0, MIN($C$1, DATE(Initialisatie!$C$5,12,31)) - MAX($C$2, DATE(Initialisatie!$C$5,1,1)) + 1),
        IFERROR(VALUE($D128),0) * MAX(0, MIN($D$1, DATE(Initialisatie!$C$5,12,31)) - MAX($D$2, DATE(Initialisatie!$C$5,1,1)) + 1),
        IFERROR(VALUE($E128),0) * MAX(0, MIN($E$1, DATE(Initialisatie!$C$5,12,31)) - MAX($E$2, DATE(Initialisatie!$C$5,1,1)) + 1)
    ) / (DATE(Initialisatie!$C$5,12,31) - DATE(Initialisatie!$C$5,1,1) + 1)
)</f>
        <v>3926.6684931506848</v>
      </c>
      <c r="H128">
        <f>IF(
    OR(
        AND(MAX(0, IF(MIN($C$1, DATE(Initialisatie!$C$5,12,31)) &lt; MAX($C$2, DATE(Initialisatie!$C$5,1,1)), 0, MONTH(MIN($C$1, DATE(Initialisatie!$C$5,12,31))) - MONTH(MAX($C$2, DATE(Initialisatie!$C$5,1,1))) + 1)) &lt;= 0, IFERROR(VALUE($C128),0)=0),
        AND(MAX(0, IF(MIN($D$1, DATE(Initialisatie!$C$5,12,31)) &lt; MAX($D$2, DATE(Initialisatie!$C$5,1,1)), 0, MONTH(MIN($D$1, DATE(Initialisatie!$C$5,12,31))) - MONTH(MAX($D$2, DATE(Initialisatie!$C$5,1,1))) + 1)) &lt;= 0, IFERROR(VALUE($D128),0)=0),
        AND(MAX(0, IF(MIN($E$1, DATE(Initialisatie!$C$5,12,31)) &lt; MAX($E$2, DATE(Initialisatie!$C$5,1,1)), 0, MONTH(MIN($E$1, DATE(Initialisatie!$C$5,12,31))) - MONTH(MAX($E$2, DATE(Initialisatie!$C$5,1,1))) + 1)) &lt;= 0, IFERROR(VALUE($E128),0)=0)
    ),
    0,
    SUM(
        IFERROR(VALUE($C128),0) * MAX(0, IF(MIN($C$1, DATE(Initialisatie!$C$5,12,31)) &lt; MAX($C$2, DATE(Initialisatie!$C$5,1,1)), 0, MONTH(MIN($C$1, DATE(Initialisatie!$C$5,12,31))) - MONTH(MAX($C$2, DATE(Initialisatie!$C$5,1,1))) + 1)),
        IFERROR(VALUE($D128),0) * MAX(0, IF(MIN($D$1, DATE(Initialisatie!$C$5,12,31)) &lt; MAX($D$2, DATE(Initialisatie!$C$5,1,1)), 0, MONTH(MIN($D$1, DATE(Initialisatie!$C$5,12,31))) - MONTH(MAX($D$2, DATE(Initialisatie!$C$5,1,1))) + 1)),
        IFERROR(VALUE($E128),0) * MAX(0, IF(MIN($E$1, DATE(Initialisatie!$C$5,12,31)) &lt; MAX($E$2, DATE(Initialisatie!$C$5,1,1)), 0, MONTH(MIN($E$1, DATE(Initialisatie!$C$5,12,31))) - MONTH(MAX($E$2, DATE(Initialisatie!$C$5,1,1))) + 1))
    ) / 12
)</f>
        <v>3926.5</v>
      </c>
    </row>
    <row r="129" spans="1:8" x14ac:dyDescent="0.45">
      <c r="A129" s="997"/>
      <c r="B129" s="380">
        <v>6</v>
      </c>
      <c r="C129" t="s">
        <v>1776</v>
      </c>
      <c r="D129" t="s">
        <v>1777</v>
      </c>
      <c r="E129" t="s">
        <v>1778</v>
      </c>
      <c r="G129">
        <f>IF(
    OR(
        AND(MAX(0, MIN($C$1, DATE(Initialisatie!$C$5,12,31)) - MAX($C$2, DATE(Initialisatie!$C$5,1,1)) + 1) &gt; 0, IFERROR(VALUE($C129),0)=0),
        AND(MAX(0, MIN($D$1, DATE(Initialisatie!$C$5,12,31)) - MAX($D$2, DATE(Initialisatie!$C$5,1,1)) + 1) &gt; 0, IFERROR(VALUE($D129),0)=0),
        AND(MAX(0, MIN($E$1, DATE(Initialisatie!$C$5,12,31)) - MAX($E$2, DATE(Initialisatie!$C$5,1,1)) + 1) &gt; 0, IFERROR(VALUE($E129),0)=0)
    ),
    0,
    SUM(
        IFERROR(VALUE($C129),0) * MAX(0, MIN($C$1, DATE(Initialisatie!$C$5,12,31)) - MAX($C$2, DATE(Initialisatie!$C$5,1,1)) + 1),
        IFERROR(VALUE($D129),0) * MAX(0, MIN($D$1, DATE(Initialisatie!$C$5,12,31)) - MAX($D$2, DATE(Initialisatie!$C$5,1,1)) + 1),
        IFERROR(VALUE($E129),0) * MAX(0, MIN($E$1, DATE(Initialisatie!$C$5,12,31)) - MAX($E$2, DATE(Initialisatie!$C$5,1,1)) + 1)
    ) / (DATE(Initialisatie!$C$5,12,31) - DATE(Initialisatie!$C$5,1,1) + 1)
)</f>
        <v>4025.1726027397262</v>
      </c>
      <c r="H129">
        <f>IF(
    OR(
        AND(MAX(0, IF(MIN($C$1, DATE(Initialisatie!$C$5,12,31)) &lt; MAX($C$2, DATE(Initialisatie!$C$5,1,1)), 0, MONTH(MIN($C$1, DATE(Initialisatie!$C$5,12,31))) - MONTH(MAX($C$2, DATE(Initialisatie!$C$5,1,1))) + 1)) &lt;= 0, IFERROR(VALUE($C129),0)=0),
        AND(MAX(0, IF(MIN($D$1, DATE(Initialisatie!$C$5,12,31)) &lt; MAX($D$2, DATE(Initialisatie!$C$5,1,1)), 0, MONTH(MIN($D$1, DATE(Initialisatie!$C$5,12,31))) - MONTH(MAX($D$2, DATE(Initialisatie!$C$5,1,1))) + 1)) &lt;= 0, IFERROR(VALUE($D129),0)=0),
        AND(MAX(0, IF(MIN($E$1, DATE(Initialisatie!$C$5,12,31)) &lt; MAX($E$2, DATE(Initialisatie!$C$5,1,1)), 0, MONTH(MIN($E$1, DATE(Initialisatie!$C$5,12,31))) - MONTH(MAX($E$2, DATE(Initialisatie!$C$5,1,1))) + 1)) &lt;= 0, IFERROR(VALUE($E129),0)=0)
    ),
    0,
    SUM(
        IFERROR(VALUE($C129),0) * MAX(0, IF(MIN($C$1, DATE(Initialisatie!$C$5,12,31)) &lt; MAX($C$2, DATE(Initialisatie!$C$5,1,1)), 0, MONTH(MIN($C$1, DATE(Initialisatie!$C$5,12,31))) - MONTH(MAX($C$2, DATE(Initialisatie!$C$5,1,1))) + 1)),
        IFERROR(VALUE($D129),0) * MAX(0, IF(MIN($D$1, DATE(Initialisatie!$C$5,12,31)) &lt; MAX($D$2, DATE(Initialisatie!$C$5,1,1)), 0, MONTH(MIN($D$1, DATE(Initialisatie!$C$5,12,31))) - MONTH(MAX($D$2, DATE(Initialisatie!$C$5,1,1))) + 1)),
        IFERROR(VALUE($E129),0) * MAX(0, IF(MIN($E$1, DATE(Initialisatie!$C$5,12,31)) &lt; MAX($E$2, DATE(Initialisatie!$C$5,1,1)), 0, MONTH(MIN($E$1, DATE(Initialisatie!$C$5,12,31))) - MONTH(MAX($E$2, DATE(Initialisatie!$C$5,1,1))) + 1))
    ) / 12
)</f>
        <v>4025</v>
      </c>
    </row>
    <row r="130" spans="1:8" x14ac:dyDescent="0.45">
      <c r="A130" s="997"/>
      <c r="B130" s="380">
        <v>7</v>
      </c>
      <c r="C130" t="s">
        <v>1779</v>
      </c>
      <c r="D130" t="s">
        <v>1780</v>
      </c>
      <c r="E130" t="s">
        <v>1781</v>
      </c>
      <c r="G130">
        <f>IF(
    OR(
        AND(MAX(0, MIN($C$1, DATE(Initialisatie!$C$5,12,31)) - MAX($C$2, DATE(Initialisatie!$C$5,1,1)) + 1) &gt; 0, IFERROR(VALUE($C130),0)=0),
        AND(MAX(0, MIN($D$1, DATE(Initialisatie!$C$5,12,31)) - MAX($D$2, DATE(Initialisatie!$C$5,1,1)) + 1) &gt; 0, IFERROR(VALUE($D130),0)=0),
        AND(MAX(0, MIN($E$1, DATE(Initialisatie!$C$5,12,31)) - MAX($E$2, DATE(Initialisatie!$C$5,1,1)) + 1) &gt; 0, IFERROR(VALUE($E130),0)=0)
    ),
    0,
    SUM(
        IFERROR(VALUE($C130),0) * MAX(0, MIN($C$1, DATE(Initialisatie!$C$5,12,31)) - MAX($C$2, DATE(Initialisatie!$C$5,1,1)) + 1),
        IFERROR(VALUE($D130),0) * MAX(0, MIN($D$1, DATE(Initialisatie!$C$5,12,31)) - MAX($D$2, DATE(Initialisatie!$C$5,1,1)) + 1),
        IFERROR(VALUE($E130),0) * MAX(0, MIN($E$1, DATE(Initialisatie!$C$5,12,31)) - MAX($E$2, DATE(Initialisatie!$C$5,1,1)) + 1)
    ) / (DATE(Initialisatie!$C$5,12,31) - DATE(Initialisatie!$C$5,1,1) + 1)
)</f>
        <v>4128.6767123287673</v>
      </c>
      <c r="H130">
        <f>IF(
    OR(
        AND(MAX(0, IF(MIN($C$1, DATE(Initialisatie!$C$5,12,31)) &lt; MAX($C$2, DATE(Initialisatie!$C$5,1,1)), 0, MONTH(MIN($C$1, DATE(Initialisatie!$C$5,12,31))) - MONTH(MAX($C$2, DATE(Initialisatie!$C$5,1,1))) + 1)) &lt;= 0, IFERROR(VALUE($C130),0)=0),
        AND(MAX(0, IF(MIN($D$1, DATE(Initialisatie!$C$5,12,31)) &lt; MAX($D$2, DATE(Initialisatie!$C$5,1,1)), 0, MONTH(MIN($D$1, DATE(Initialisatie!$C$5,12,31))) - MONTH(MAX($D$2, DATE(Initialisatie!$C$5,1,1))) + 1)) &lt;= 0, IFERROR(VALUE($D130),0)=0),
        AND(MAX(0, IF(MIN($E$1, DATE(Initialisatie!$C$5,12,31)) &lt; MAX($E$2, DATE(Initialisatie!$C$5,1,1)), 0, MONTH(MIN($E$1, DATE(Initialisatie!$C$5,12,31))) - MONTH(MAX($E$2, DATE(Initialisatie!$C$5,1,1))) + 1)) &lt;= 0, IFERROR(VALUE($E130),0)=0)
    ),
    0,
    SUM(
        IFERROR(VALUE($C130),0) * MAX(0, IF(MIN($C$1, DATE(Initialisatie!$C$5,12,31)) &lt; MAX($C$2, DATE(Initialisatie!$C$5,1,1)), 0, MONTH(MIN($C$1, DATE(Initialisatie!$C$5,12,31))) - MONTH(MAX($C$2, DATE(Initialisatie!$C$5,1,1))) + 1)),
        IFERROR(VALUE($D130),0) * MAX(0, IF(MIN($D$1, DATE(Initialisatie!$C$5,12,31)) &lt; MAX($D$2, DATE(Initialisatie!$C$5,1,1)), 0, MONTH(MIN($D$1, DATE(Initialisatie!$C$5,12,31))) - MONTH(MAX($D$2, DATE(Initialisatie!$C$5,1,1))) + 1)),
        IFERROR(VALUE($E130),0) * MAX(0, IF(MIN($E$1, DATE(Initialisatie!$C$5,12,31)) &lt; MAX($E$2, DATE(Initialisatie!$C$5,1,1)), 0, MONTH(MIN($E$1, DATE(Initialisatie!$C$5,12,31))) - MONTH(MAX($E$2, DATE(Initialisatie!$C$5,1,1))) + 1))
    ) / 12
)</f>
        <v>4128.5</v>
      </c>
    </row>
    <row r="131" spans="1:8" x14ac:dyDescent="0.45">
      <c r="A131" s="997"/>
      <c r="B131" s="380">
        <v>8</v>
      </c>
      <c r="C131" t="s">
        <v>1782</v>
      </c>
      <c r="D131" t="s">
        <v>1781</v>
      </c>
      <c r="E131" t="s">
        <v>1783</v>
      </c>
      <c r="G131">
        <f>IF(
    OR(
        AND(MAX(0, MIN($C$1, DATE(Initialisatie!$C$5,12,31)) - MAX($C$2, DATE(Initialisatie!$C$5,1,1)) + 1) &gt; 0, IFERROR(VALUE($C131),0)=0),
        AND(MAX(0, MIN($D$1, DATE(Initialisatie!$C$5,12,31)) - MAX($D$2, DATE(Initialisatie!$C$5,1,1)) + 1) &gt; 0, IFERROR(VALUE($D131),0)=0),
        AND(MAX(0, MIN($E$1, DATE(Initialisatie!$C$5,12,31)) - MAX($E$2, DATE(Initialisatie!$C$5,1,1)) + 1) &gt; 0, IFERROR(VALUE($E131),0)=0)
    ),
    0,
    SUM(
        IFERROR(VALUE($C131),0) * MAX(0, MIN($C$1, DATE(Initialisatie!$C$5,12,31)) - MAX($C$2, DATE(Initialisatie!$C$5,1,1)) + 1),
        IFERROR(VALUE($D131),0) * MAX(0, MIN($D$1, DATE(Initialisatie!$C$5,12,31)) - MAX($D$2, DATE(Initialisatie!$C$5,1,1)) + 1),
        IFERROR(VALUE($E131),0) * MAX(0, MIN($E$1, DATE(Initialisatie!$C$5,12,31)) - MAX($E$2, DATE(Initialisatie!$C$5,1,1)) + 1)
    ) / (DATE(Initialisatie!$C$5,12,31) - DATE(Initialisatie!$C$5,1,1) + 1)
)</f>
        <v>4215.1808219178083</v>
      </c>
      <c r="H131">
        <f>IF(
    OR(
        AND(MAX(0, IF(MIN($C$1, DATE(Initialisatie!$C$5,12,31)) &lt; MAX($C$2, DATE(Initialisatie!$C$5,1,1)), 0, MONTH(MIN($C$1, DATE(Initialisatie!$C$5,12,31))) - MONTH(MAX($C$2, DATE(Initialisatie!$C$5,1,1))) + 1)) &lt;= 0, IFERROR(VALUE($C131),0)=0),
        AND(MAX(0, IF(MIN($D$1, DATE(Initialisatie!$C$5,12,31)) &lt; MAX($D$2, DATE(Initialisatie!$C$5,1,1)), 0, MONTH(MIN($D$1, DATE(Initialisatie!$C$5,12,31))) - MONTH(MAX($D$2, DATE(Initialisatie!$C$5,1,1))) + 1)) &lt;= 0, IFERROR(VALUE($D131),0)=0),
        AND(MAX(0, IF(MIN($E$1, DATE(Initialisatie!$C$5,12,31)) &lt; MAX($E$2, DATE(Initialisatie!$C$5,1,1)), 0, MONTH(MIN($E$1, DATE(Initialisatie!$C$5,12,31))) - MONTH(MAX($E$2, DATE(Initialisatie!$C$5,1,1))) + 1)) &lt;= 0, IFERROR(VALUE($E131),0)=0)
    ),
    0,
    SUM(
        IFERROR(VALUE($C131),0) * MAX(0, IF(MIN($C$1, DATE(Initialisatie!$C$5,12,31)) &lt; MAX($C$2, DATE(Initialisatie!$C$5,1,1)), 0, MONTH(MIN($C$1, DATE(Initialisatie!$C$5,12,31))) - MONTH(MAX($C$2, DATE(Initialisatie!$C$5,1,1))) + 1)),
        IFERROR(VALUE($D131),0) * MAX(0, IF(MIN($D$1, DATE(Initialisatie!$C$5,12,31)) &lt; MAX($D$2, DATE(Initialisatie!$C$5,1,1)), 0, MONTH(MIN($D$1, DATE(Initialisatie!$C$5,12,31))) - MONTH(MAX($D$2, DATE(Initialisatie!$C$5,1,1))) + 1)),
        IFERROR(VALUE($E131),0) * MAX(0, IF(MIN($E$1, DATE(Initialisatie!$C$5,12,31)) &lt; MAX($E$2, DATE(Initialisatie!$C$5,1,1)), 0, MONTH(MIN($E$1, DATE(Initialisatie!$C$5,12,31))) - MONTH(MAX($E$2, DATE(Initialisatie!$C$5,1,1))) + 1))
    ) / 12
)</f>
        <v>4215</v>
      </c>
    </row>
    <row r="132" spans="1:8" x14ac:dyDescent="0.45">
      <c r="A132" s="997"/>
      <c r="B132" s="380">
        <v>9</v>
      </c>
      <c r="C132" t="s">
        <v>1784</v>
      </c>
      <c r="D132" t="s">
        <v>1785</v>
      </c>
      <c r="E132" t="s">
        <v>1786</v>
      </c>
      <c r="G132">
        <f>IF(
    OR(
        AND(MAX(0, MIN($C$1, DATE(Initialisatie!$C$5,12,31)) - MAX($C$2, DATE(Initialisatie!$C$5,1,1)) + 1) &gt; 0, IFERROR(VALUE($C132),0)=0),
        AND(MAX(0, MIN($D$1, DATE(Initialisatie!$C$5,12,31)) - MAX($D$2, DATE(Initialisatie!$C$5,1,1)) + 1) &gt; 0, IFERROR(VALUE($D132),0)=0),
        AND(MAX(0, MIN($E$1, DATE(Initialisatie!$C$5,12,31)) - MAX($E$2, DATE(Initialisatie!$C$5,1,1)) + 1) &gt; 0, IFERROR(VALUE($E132),0)=0)
    ),
    0,
    SUM(
        IFERROR(VALUE($C132),0) * MAX(0, MIN($C$1, DATE(Initialisatie!$C$5,12,31)) - MAX($C$2, DATE(Initialisatie!$C$5,1,1)) + 1),
        IFERROR(VALUE($D132),0) * MAX(0, MIN($D$1, DATE(Initialisatie!$C$5,12,31)) - MAX($D$2, DATE(Initialisatie!$C$5,1,1)) + 1),
        IFERROR(VALUE($E132),0) * MAX(0, MIN($E$1, DATE(Initialisatie!$C$5,12,31)) - MAX($E$2, DATE(Initialisatie!$C$5,1,1)) + 1)
    ) / (DATE(Initialisatie!$C$5,12,31) - DATE(Initialisatie!$C$5,1,1) + 1)
)</f>
        <v>4307.6849315068494</v>
      </c>
      <c r="H132">
        <f>IF(
    OR(
        AND(MAX(0, IF(MIN($C$1, DATE(Initialisatie!$C$5,12,31)) &lt; MAX($C$2, DATE(Initialisatie!$C$5,1,1)), 0, MONTH(MIN($C$1, DATE(Initialisatie!$C$5,12,31))) - MONTH(MAX($C$2, DATE(Initialisatie!$C$5,1,1))) + 1)) &lt;= 0, IFERROR(VALUE($C132),0)=0),
        AND(MAX(0, IF(MIN($D$1, DATE(Initialisatie!$C$5,12,31)) &lt; MAX($D$2, DATE(Initialisatie!$C$5,1,1)), 0, MONTH(MIN($D$1, DATE(Initialisatie!$C$5,12,31))) - MONTH(MAX($D$2, DATE(Initialisatie!$C$5,1,1))) + 1)) &lt;= 0, IFERROR(VALUE($D132),0)=0),
        AND(MAX(0, IF(MIN($E$1, DATE(Initialisatie!$C$5,12,31)) &lt; MAX($E$2, DATE(Initialisatie!$C$5,1,1)), 0, MONTH(MIN($E$1, DATE(Initialisatie!$C$5,12,31))) - MONTH(MAX($E$2, DATE(Initialisatie!$C$5,1,1))) + 1)) &lt;= 0, IFERROR(VALUE($E132),0)=0)
    ),
    0,
    SUM(
        IFERROR(VALUE($C132),0) * MAX(0, IF(MIN($C$1, DATE(Initialisatie!$C$5,12,31)) &lt; MAX($C$2, DATE(Initialisatie!$C$5,1,1)), 0, MONTH(MIN($C$1, DATE(Initialisatie!$C$5,12,31))) - MONTH(MAX($C$2, DATE(Initialisatie!$C$5,1,1))) + 1)),
        IFERROR(VALUE($D132),0) * MAX(0, IF(MIN($D$1, DATE(Initialisatie!$C$5,12,31)) &lt; MAX($D$2, DATE(Initialisatie!$C$5,1,1)), 0, MONTH(MIN($D$1, DATE(Initialisatie!$C$5,12,31))) - MONTH(MAX($D$2, DATE(Initialisatie!$C$5,1,1))) + 1)),
        IFERROR(VALUE($E132),0) * MAX(0, IF(MIN($E$1, DATE(Initialisatie!$C$5,12,31)) &lt; MAX($E$2, DATE(Initialisatie!$C$5,1,1)), 0, MONTH(MIN($E$1, DATE(Initialisatie!$C$5,12,31))) - MONTH(MAX($E$2, DATE(Initialisatie!$C$5,1,1))) + 1))
    ) / 12
)</f>
        <v>4307.5</v>
      </c>
    </row>
    <row r="133" spans="1:8" x14ac:dyDescent="0.45">
      <c r="A133" s="997"/>
      <c r="B133" s="380">
        <v>10</v>
      </c>
      <c r="C133" t="s">
        <v>1790</v>
      </c>
      <c r="D133" t="s">
        <v>1791</v>
      </c>
      <c r="E133" t="s">
        <v>1792</v>
      </c>
      <c r="G133">
        <f>IF(
    OR(
        AND(MAX(0, MIN($C$1, DATE(Initialisatie!$C$5,12,31)) - MAX($C$2, DATE(Initialisatie!$C$5,1,1)) + 1) &gt; 0, IFERROR(VALUE($C133),0)=0),
        AND(MAX(0, MIN($D$1, DATE(Initialisatie!$C$5,12,31)) - MAX($D$2, DATE(Initialisatie!$C$5,1,1)) + 1) &gt; 0, IFERROR(VALUE($D133),0)=0),
        AND(MAX(0, MIN($E$1, DATE(Initialisatie!$C$5,12,31)) - MAX($E$2, DATE(Initialisatie!$C$5,1,1)) + 1) &gt; 0, IFERROR(VALUE($E133),0)=0)
    ),
    0,
    SUM(
        IFERROR(VALUE($C133),0) * MAX(0, MIN($C$1, DATE(Initialisatie!$C$5,12,31)) - MAX($C$2, DATE(Initialisatie!$C$5,1,1)) + 1),
        IFERROR(VALUE($D133),0) * MAX(0, MIN($D$1, DATE(Initialisatie!$C$5,12,31)) - MAX($D$2, DATE(Initialisatie!$C$5,1,1)) + 1),
        IFERROR(VALUE($E133),0) * MAX(0, MIN($E$1, DATE(Initialisatie!$C$5,12,31)) - MAX($E$2, DATE(Initialisatie!$C$5,1,1)) + 1)
    ) / (DATE(Initialisatie!$C$5,12,31) - DATE(Initialisatie!$C$5,1,1) + 1)
)</f>
        <v>4399.1890410958904</v>
      </c>
      <c r="H133">
        <f>IF(
    OR(
        AND(MAX(0, IF(MIN($C$1, DATE(Initialisatie!$C$5,12,31)) &lt; MAX($C$2, DATE(Initialisatie!$C$5,1,1)), 0, MONTH(MIN($C$1, DATE(Initialisatie!$C$5,12,31))) - MONTH(MAX($C$2, DATE(Initialisatie!$C$5,1,1))) + 1)) &lt;= 0, IFERROR(VALUE($C133),0)=0),
        AND(MAX(0, IF(MIN($D$1, DATE(Initialisatie!$C$5,12,31)) &lt; MAX($D$2, DATE(Initialisatie!$C$5,1,1)), 0, MONTH(MIN($D$1, DATE(Initialisatie!$C$5,12,31))) - MONTH(MAX($D$2, DATE(Initialisatie!$C$5,1,1))) + 1)) &lt;= 0, IFERROR(VALUE($D133),0)=0),
        AND(MAX(0, IF(MIN($E$1, DATE(Initialisatie!$C$5,12,31)) &lt; MAX($E$2, DATE(Initialisatie!$C$5,1,1)), 0, MONTH(MIN($E$1, DATE(Initialisatie!$C$5,12,31))) - MONTH(MAX($E$2, DATE(Initialisatie!$C$5,1,1))) + 1)) &lt;= 0, IFERROR(VALUE($E133),0)=0)
    ),
    0,
    SUM(
        IFERROR(VALUE($C133),0) * MAX(0, IF(MIN($C$1, DATE(Initialisatie!$C$5,12,31)) &lt; MAX($C$2, DATE(Initialisatie!$C$5,1,1)), 0, MONTH(MIN($C$1, DATE(Initialisatie!$C$5,12,31))) - MONTH(MAX($C$2, DATE(Initialisatie!$C$5,1,1))) + 1)),
        IFERROR(VALUE($D133),0) * MAX(0, IF(MIN($D$1, DATE(Initialisatie!$C$5,12,31)) &lt; MAX($D$2, DATE(Initialisatie!$C$5,1,1)), 0, MONTH(MIN($D$1, DATE(Initialisatie!$C$5,12,31))) - MONTH(MAX($D$2, DATE(Initialisatie!$C$5,1,1))) + 1)),
        IFERROR(VALUE($E133),0) * MAX(0, IF(MIN($E$1, DATE(Initialisatie!$C$5,12,31)) &lt; MAX($E$2, DATE(Initialisatie!$C$5,1,1)), 0, MONTH(MIN($E$1, DATE(Initialisatie!$C$5,12,31))) - MONTH(MAX($E$2, DATE(Initialisatie!$C$5,1,1))) + 1))
    ) / 12
)</f>
        <v>4399</v>
      </c>
    </row>
    <row r="134" spans="1:8" x14ac:dyDescent="0.45">
      <c r="A134" s="997"/>
      <c r="B134" s="380">
        <v>11</v>
      </c>
      <c r="C134" t="s">
        <v>1793</v>
      </c>
      <c r="D134" t="s">
        <v>1794</v>
      </c>
      <c r="E134" t="s">
        <v>1482</v>
      </c>
      <c r="G134">
        <f>IF(
    OR(
        AND(MAX(0, MIN($C$1, DATE(Initialisatie!$C$5,12,31)) - MAX($C$2, DATE(Initialisatie!$C$5,1,1)) + 1) &gt; 0, IFERROR(VALUE($C134),0)=0),
        AND(MAX(0, MIN($D$1, DATE(Initialisatie!$C$5,12,31)) - MAX($D$2, DATE(Initialisatie!$C$5,1,1)) + 1) &gt; 0, IFERROR(VALUE($D134),0)=0),
        AND(MAX(0, MIN($E$1, DATE(Initialisatie!$C$5,12,31)) - MAX($E$2, DATE(Initialisatie!$C$5,1,1)) + 1) &gt; 0, IFERROR(VALUE($E134),0)=0)
    ),
    0,
    SUM(
        IFERROR(VALUE($C134),0) * MAX(0, MIN($C$1, DATE(Initialisatie!$C$5,12,31)) - MAX($C$2, DATE(Initialisatie!$C$5,1,1)) + 1),
        IFERROR(VALUE($D134),0) * MAX(0, MIN($D$1, DATE(Initialisatie!$C$5,12,31)) - MAX($D$2, DATE(Initialisatie!$C$5,1,1)) + 1),
        IFERROR(VALUE($E134),0) * MAX(0, MIN($E$1, DATE(Initialisatie!$C$5,12,31)) - MAX($E$2, DATE(Initialisatie!$C$5,1,1)) + 1)
    ) / (DATE(Initialisatie!$C$5,12,31) - DATE(Initialisatie!$C$5,1,1) + 1)
)</f>
        <v>4547.9452054794519</v>
      </c>
      <c r="H134">
        <f>IF(
    OR(
        AND(MAX(0, IF(MIN($C$1, DATE(Initialisatie!$C$5,12,31)) &lt; MAX($C$2, DATE(Initialisatie!$C$5,1,1)), 0, MONTH(MIN($C$1, DATE(Initialisatie!$C$5,12,31))) - MONTH(MAX($C$2, DATE(Initialisatie!$C$5,1,1))) + 1)) &lt;= 0, IFERROR(VALUE($C134),0)=0),
        AND(MAX(0, IF(MIN($D$1, DATE(Initialisatie!$C$5,12,31)) &lt; MAX($D$2, DATE(Initialisatie!$C$5,1,1)), 0, MONTH(MIN($D$1, DATE(Initialisatie!$C$5,12,31))) - MONTH(MAX($D$2, DATE(Initialisatie!$C$5,1,1))) + 1)) &lt;= 0, IFERROR(VALUE($D134),0)=0),
        AND(MAX(0, IF(MIN($E$1, DATE(Initialisatie!$C$5,12,31)) &lt; MAX($E$2, DATE(Initialisatie!$C$5,1,1)), 0, MONTH(MIN($E$1, DATE(Initialisatie!$C$5,12,31))) - MONTH(MAX($E$2, DATE(Initialisatie!$C$5,1,1))) + 1)) &lt;= 0, IFERROR(VALUE($E134),0)=0)
    ),
    0,
    SUM(
        IFERROR(VALUE($C134),0) * MAX(0, IF(MIN($C$1, DATE(Initialisatie!$C$5,12,31)) &lt; MAX($C$2, DATE(Initialisatie!$C$5,1,1)), 0, MONTH(MIN($C$1, DATE(Initialisatie!$C$5,12,31))) - MONTH(MAX($C$2, DATE(Initialisatie!$C$5,1,1))) + 1)),
        IFERROR(VALUE($D134),0) * MAX(0, IF(MIN($D$1, DATE(Initialisatie!$C$5,12,31)) &lt; MAX($D$2, DATE(Initialisatie!$C$5,1,1)), 0, MONTH(MIN($D$1, DATE(Initialisatie!$C$5,12,31))) - MONTH(MAX($D$2, DATE(Initialisatie!$C$5,1,1))) + 1)),
        IFERROR(VALUE($E134),0) * MAX(0, IF(MIN($E$1, DATE(Initialisatie!$C$5,12,31)) &lt; MAX($E$2, DATE(Initialisatie!$C$5,1,1)), 0, MONTH(MIN($E$1, DATE(Initialisatie!$C$5,12,31))) - MONTH(MAX($E$2, DATE(Initialisatie!$C$5,1,1))) + 1))
    ) / 12
)</f>
        <v>4547.75</v>
      </c>
    </row>
    <row r="135" spans="1:8" x14ac:dyDescent="0.45">
      <c r="A135" s="997"/>
      <c r="B135" s="380">
        <v>12</v>
      </c>
      <c r="C135" t="s">
        <v>1795</v>
      </c>
      <c r="D135" t="s">
        <v>1796</v>
      </c>
      <c r="E135" t="s">
        <v>1797</v>
      </c>
      <c r="G135">
        <f>IF(
    OR(
        AND(MAX(0, MIN($C$1, DATE(Initialisatie!$C$5,12,31)) - MAX($C$2, DATE(Initialisatie!$C$5,1,1)) + 1) &gt; 0, IFERROR(VALUE($C135),0)=0),
        AND(MAX(0, MIN($D$1, DATE(Initialisatie!$C$5,12,31)) - MAX($D$2, DATE(Initialisatie!$C$5,1,1)) + 1) &gt; 0, IFERROR(VALUE($D135),0)=0),
        AND(MAX(0, MIN($E$1, DATE(Initialisatie!$C$5,12,31)) - MAX($E$2, DATE(Initialisatie!$C$5,1,1)) + 1) &gt; 0, IFERROR(VALUE($E135),0)=0)
    ),
    0,
    SUM(
        IFERROR(VALUE($C135),0) * MAX(0, MIN($C$1, DATE(Initialisatie!$C$5,12,31)) - MAX($C$2, DATE(Initialisatie!$C$5,1,1)) + 1),
        IFERROR(VALUE($D135),0) * MAX(0, MIN($D$1, DATE(Initialisatie!$C$5,12,31)) - MAX($D$2, DATE(Initialisatie!$C$5,1,1)) + 1),
        IFERROR(VALUE($E135),0) * MAX(0, MIN($E$1, DATE(Initialisatie!$C$5,12,31)) - MAX($E$2, DATE(Initialisatie!$C$5,1,1)) + 1)
    ) / (DATE(Initialisatie!$C$5,12,31) - DATE(Initialisatie!$C$5,1,1) + 1)
)</f>
        <v>4705.7013698630135</v>
      </c>
      <c r="H135">
        <f>IF(
    OR(
        AND(MAX(0, IF(MIN($C$1, DATE(Initialisatie!$C$5,12,31)) &lt; MAX($C$2, DATE(Initialisatie!$C$5,1,1)), 0, MONTH(MIN($C$1, DATE(Initialisatie!$C$5,12,31))) - MONTH(MAX($C$2, DATE(Initialisatie!$C$5,1,1))) + 1)) &lt;= 0, IFERROR(VALUE($C135),0)=0),
        AND(MAX(0, IF(MIN($D$1, DATE(Initialisatie!$C$5,12,31)) &lt; MAX($D$2, DATE(Initialisatie!$C$5,1,1)), 0, MONTH(MIN($D$1, DATE(Initialisatie!$C$5,12,31))) - MONTH(MAX($D$2, DATE(Initialisatie!$C$5,1,1))) + 1)) &lt;= 0, IFERROR(VALUE($D135),0)=0),
        AND(MAX(0, IF(MIN($E$1, DATE(Initialisatie!$C$5,12,31)) &lt; MAX($E$2, DATE(Initialisatie!$C$5,1,1)), 0, MONTH(MIN($E$1, DATE(Initialisatie!$C$5,12,31))) - MONTH(MAX($E$2, DATE(Initialisatie!$C$5,1,1))) + 1)) &lt;= 0, IFERROR(VALUE($E135),0)=0)
    ),
    0,
    SUM(
        IFERROR(VALUE($C135),0) * MAX(0, IF(MIN($C$1, DATE(Initialisatie!$C$5,12,31)) &lt; MAX($C$2, DATE(Initialisatie!$C$5,1,1)), 0, MONTH(MIN($C$1, DATE(Initialisatie!$C$5,12,31))) - MONTH(MAX($C$2, DATE(Initialisatie!$C$5,1,1))) + 1)),
        IFERROR(VALUE($D135),0) * MAX(0, IF(MIN($D$1, DATE(Initialisatie!$C$5,12,31)) &lt; MAX($D$2, DATE(Initialisatie!$C$5,1,1)), 0, MONTH(MIN($D$1, DATE(Initialisatie!$C$5,12,31))) - MONTH(MAX($D$2, DATE(Initialisatie!$C$5,1,1))) + 1)),
        IFERROR(VALUE($E135),0) * MAX(0, IF(MIN($E$1, DATE(Initialisatie!$C$5,12,31)) &lt; MAX($E$2, DATE(Initialisatie!$C$5,1,1)), 0, MONTH(MIN($E$1, DATE(Initialisatie!$C$5,12,31))) - MONTH(MAX($E$2, DATE(Initialisatie!$C$5,1,1))) + 1))
    ) / 12
)</f>
        <v>4705.5</v>
      </c>
    </row>
    <row r="136" spans="1:8" x14ac:dyDescent="0.45">
      <c r="A136" s="997"/>
      <c r="B136" s="380">
        <v>13</v>
      </c>
      <c r="C136" t="s">
        <v>1801</v>
      </c>
      <c r="D136" t="s">
        <v>1802</v>
      </c>
      <c r="E136" t="s">
        <v>1803</v>
      </c>
      <c r="G136">
        <f>IF(
    OR(
        AND(MAX(0, MIN($C$1, DATE(Initialisatie!$C$5,12,31)) - MAX($C$2, DATE(Initialisatie!$C$5,1,1)) + 1) &gt; 0, IFERROR(VALUE($C136),0)=0),
        AND(MAX(0, MIN($D$1, DATE(Initialisatie!$C$5,12,31)) - MAX($D$2, DATE(Initialisatie!$C$5,1,1)) + 1) &gt; 0, IFERROR(VALUE($D136),0)=0),
        AND(MAX(0, MIN($E$1, DATE(Initialisatie!$C$5,12,31)) - MAX($E$2, DATE(Initialisatie!$C$5,1,1)) + 1) &gt; 0, IFERROR(VALUE($E136),0)=0)
    ),
    0,
    SUM(
        IFERROR(VALUE($C136),0) * MAX(0, MIN($C$1, DATE(Initialisatie!$C$5,12,31)) - MAX($C$2, DATE(Initialisatie!$C$5,1,1)) + 1),
        IFERROR(VALUE($D136),0) * MAX(0, MIN($D$1, DATE(Initialisatie!$C$5,12,31)) - MAX($D$2, DATE(Initialisatie!$C$5,1,1)) + 1),
        IFERROR(VALUE($E136),0) * MAX(0, MIN($E$1, DATE(Initialisatie!$C$5,12,31)) - MAX($E$2, DATE(Initialisatie!$C$5,1,1)) + 1)
    ) / (DATE(Initialisatie!$C$5,12,31) - DATE(Initialisatie!$C$5,1,1) + 1)
)</f>
        <v>4865.7095890410956</v>
      </c>
      <c r="H136">
        <f>IF(
    OR(
        AND(MAX(0, IF(MIN($C$1, DATE(Initialisatie!$C$5,12,31)) &lt; MAX($C$2, DATE(Initialisatie!$C$5,1,1)), 0, MONTH(MIN($C$1, DATE(Initialisatie!$C$5,12,31))) - MONTH(MAX($C$2, DATE(Initialisatie!$C$5,1,1))) + 1)) &lt;= 0, IFERROR(VALUE($C136),0)=0),
        AND(MAX(0, IF(MIN($D$1, DATE(Initialisatie!$C$5,12,31)) &lt; MAX($D$2, DATE(Initialisatie!$C$5,1,1)), 0, MONTH(MIN($D$1, DATE(Initialisatie!$C$5,12,31))) - MONTH(MAX($D$2, DATE(Initialisatie!$C$5,1,1))) + 1)) &lt;= 0, IFERROR(VALUE($D136),0)=0),
        AND(MAX(0, IF(MIN($E$1, DATE(Initialisatie!$C$5,12,31)) &lt; MAX($E$2, DATE(Initialisatie!$C$5,1,1)), 0, MONTH(MIN($E$1, DATE(Initialisatie!$C$5,12,31))) - MONTH(MAX($E$2, DATE(Initialisatie!$C$5,1,1))) + 1)) &lt;= 0, IFERROR(VALUE($E136),0)=0)
    ),
    0,
    SUM(
        IFERROR(VALUE($C136),0) * MAX(0, IF(MIN($C$1, DATE(Initialisatie!$C$5,12,31)) &lt; MAX($C$2, DATE(Initialisatie!$C$5,1,1)), 0, MONTH(MIN($C$1, DATE(Initialisatie!$C$5,12,31))) - MONTH(MAX($C$2, DATE(Initialisatie!$C$5,1,1))) + 1)),
        IFERROR(VALUE($D136),0) * MAX(0, IF(MIN($D$1, DATE(Initialisatie!$C$5,12,31)) &lt; MAX($D$2, DATE(Initialisatie!$C$5,1,1)), 0, MONTH(MIN($D$1, DATE(Initialisatie!$C$5,12,31))) - MONTH(MAX($D$2, DATE(Initialisatie!$C$5,1,1))) + 1)),
        IFERROR(VALUE($E136),0) * MAX(0, IF(MIN($E$1, DATE(Initialisatie!$C$5,12,31)) &lt; MAX($E$2, DATE(Initialisatie!$C$5,1,1)), 0, MONTH(MIN($E$1, DATE(Initialisatie!$C$5,12,31))) - MONTH(MAX($E$2, DATE(Initialisatie!$C$5,1,1))) + 1))
    ) / 12
)</f>
        <v>4865.5</v>
      </c>
    </row>
    <row r="137" spans="1:8" x14ac:dyDescent="0.45">
      <c r="A137" s="997"/>
      <c r="B137" s="380">
        <v>14</v>
      </c>
      <c r="C137" t="s">
        <v>1804</v>
      </c>
      <c r="D137" t="s">
        <v>1805</v>
      </c>
      <c r="E137" t="s">
        <v>1806</v>
      </c>
      <c r="G137">
        <f>IF(
    OR(
        AND(MAX(0, MIN($C$1, DATE(Initialisatie!$C$5,12,31)) - MAX($C$2, DATE(Initialisatie!$C$5,1,1)) + 1) &gt; 0, IFERROR(VALUE($C137),0)=0),
        AND(MAX(0, MIN($D$1, DATE(Initialisatie!$C$5,12,31)) - MAX($D$2, DATE(Initialisatie!$C$5,1,1)) + 1) &gt; 0, IFERROR(VALUE($D137),0)=0),
        AND(MAX(0, MIN($E$1, DATE(Initialisatie!$C$5,12,31)) - MAX($E$2, DATE(Initialisatie!$C$5,1,1)) + 1) &gt; 0, IFERROR(VALUE($E137),0)=0)
    ),
    0,
    SUM(
        IFERROR(VALUE($C137),0) * MAX(0, MIN($C$1, DATE(Initialisatie!$C$5,12,31)) - MAX($C$2, DATE(Initialisatie!$C$5,1,1)) + 1),
        IFERROR(VALUE($D137),0) * MAX(0, MIN($D$1, DATE(Initialisatie!$C$5,12,31)) - MAX($D$2, DATE(Initialisatie!$C$5,1,1)) + 1),
        IFERROR(VALUE($E137),0) * MAX(0, MIN($E$1, DATE(Initialisatie!$C$5,12,31)) - MAX($E$2, DATE(Initialisatie!$C$5,1,1)) + 1)
    ) / (DATE(Initialisatie!$C$5,12,31) - DATE(Initialisatie!$C$5,1,1) + 1)
)</f>
        <v>5024.4657534246571</v>
      </c>
      <c r="H137">
        <f>IF(
    OR(
        AND(MAX(0, IF(MIN($C$1, DATE(Initialisatie!$C$5,12,31)) &lt; MAX($C$2, DATE(Initialisatie!$C$5,1,1)), 0, MONTH(MIN($C$1, DATE(Initialisatie!$C$5,12,31))) - MONTH(MAX($C$2, DATE(Initialisatie!$C$5,1,1))) + 1)) &lt;= 0, IFERROR(VALUE($C137),0)=0),
        AND(MAX(0, IF(MIN($D$1, DATE(Initialisatie!$C$5,12,31)) &lt; MAX($D$2, DATE(Initialisatie!$C$5,1,1)), 0, MONTH(MIN($D$1, DATE(Initialisatie!$C$5,12,31))) - MONTH(MAX($D$2, DATE(Initialisatie!$C$5,1,1))) + 1)) &lt;= 0, IFERROR(VALUE($D137),0)=0),
        AND(MAX(0, IF(MIN($E$1, DATE(Initialisatie!$C$5,12,31)) &lt; MAX($E$2, DATE(Initialisatie!$C$5,1,1)), 0, MONTH(MIN($E$1, DATE(Initialisatie!$C$5,12,31))) - MONTH(MAX($E$2, DATE(Initialisatie!$C$5,1,1))) + 1)) &lt;= 0, IFERROR(VALUE($E137),0)=0)
    ),
    0,
    SUM(
        IFERROR(VALUE($C137),0) * MAX(0, IF(MIN($C$1, DATE(Initialisatie!$C$5,12,31)) &lt; MAX($C$2, DATE(Initialisatie!$C$5,1,1)), 0, MONTH(MIN($C$1, DATE(Initialisatie!$C$5,12,31))) - MONTH(MAX($C$2, DATE(Initialisatie!$C$5,1,1))) + 1)),
        IFERROR(VALUE($D137),0) * MAX(0, IF(MIN($D$1, DATE(Initialisatie!$C$5,12,31)) &lt; MAX($D$2, DATE(Initialisatie!$C$5,1,1)), 0, MONTH(MIN($D$1, DATE(Initialisatie!$C$5,12,31))) - MONTH(MAX($D$2, DATE(Initialisatie!$C$5,1,1))) + 1)),
        IFERROR(VALUE($E137),0) * MAX(0, IF(MIN($E$1, DATE(Initialisatie!$C$5,12,31)) &lt; MAX($E$2, DATE(Initialisatie!$C$5,1,1)), 0, MONTH(MIN($E$1, DATE(Initialisatie!$C$5,12,31))) - MONTH(MAX($E$2, DATE(Initialisatie!$C$5,1,1))) + 1))
    ) / 12
)</f>
        <v>5024.25</v>
      </c>
    </row>
    <row r="138" spans="1:8" x14ac:dyDescent="0.45">
      <c r="A138" s="997"/>
      <c r="B138" s="380">
        <v>15</v>
      </c>
      <c r="C138" t="s">
        <v>1807</v>
      </c>
      <c r="D138" t="s">
        <v>1808</v>
      </c>
      <c r="E138" t="s">
        <v>1809</v>
      </c>
      <c r="G138">
        <f>IF(
    OR(
        AND(MAX(0, MIN($C$1, DATE(Initialisatie!$C$5,12,31)) - MAX($C$2, DATE(Initialisatie!$C$5,1,1)) + 1) &gt; 0, IFERROR(VALUE($C138),0)=0),
        AND(MAX(0, MIN($D$1, DATE(Initialisatie!$C$5,12,31)) - MAX($D$2, DATE(Initialisatie!$C$5,1,1)) + 1) &gt; 0, IFERROR(VALUE($D138),0)=0),
        AND(MAX(0, MIN($E$1, DATE(Initialisatie!$C$5,12,31)) - MAX($E$2, DATE(Initialisatie!$C$5,1,1)) + 1) &gt; 0, IFERROR(VALUE($E138),0)=0)
    ),
    0,
    SUM(
        IFERROR(VALUE($C138),0) * MAX(0, MIN($C$1, DATE(Initialisatie!$C$5,12,31)) - MAX($C$2, DATE(Initialisatie!$C$5,1,1)) + 1),
        IFERROR(VALUE($D138),0) * MAX(0, MIN($D$1, DATE(Initialisatie!$C$5,12,31)) - MAX($D$2, DATE(Initialisatie!$C$5,1,1)) + 1),
        IFERROR(VALUE($E138),0) * MAX(0, MIN($E$1, DATE(Initialisatie!$C$5,12,31)) - MAX($E$2, DATE(Initialisatie!$C$5,1,1)) + 1)
    ) / (DATE(Initialisatie!$C$5,12,31) - DATE(Initialisatie!$C$5,1,1) + 1)
)</f>
        <v>5184.2219178082196</v>
      </c>
      <c r="H138">
        <f>IF(
    OR(
        AND(MAX(0, IF(MIN($C$1, DATE(Initialisatie!$C$5,12,31)) &lt; MAX($C$2, DATE(Initialisatie!$C$5,1,1)), 0, MONTH(MIN($C$1, DATE(Initialisatie!$C$5,12,31))) - MONTH(MAX($C$2, DATE(Initialisatie!$C$5,1,1))) + 1)) &lt;= 0, IFERROR(VALUE($C138),0)=0),
        AND(MAX(0, IF(MIN($D$1, DATE(Initialisatie!$C$5,12,31)) &lt; MAX($D$2, DATE(Initialisatie!$C$5,1,1)), 0, MONTH(MIN($D$1, DATE(Initialisatie!$C$5,12,31))) - MONTH(MAX($D$2, DATE(Initialisatie!$C$5,1,1))) + 1)) &lt;= 0, IFERROR(VALUE($D138),0)=0),
        AND(MAX(0, IF(MIN($E$1, DATE(Initialisatie!$C$5,12,31)) &lt; MAX($E$2, DATE(Initialisatie!$C$5,1,1)), 0, MONTH(MIN($E$1, DATE(Initialisatie!$C$5,12,31))) - MONTH(MAX($E$2, DATE(Initialisatie!$C$5,1,1))) + 1)) &lt;= 0, IFERROR(VALUE($E138),0)=0)
    ),
    0,
    SUM(
        IFERROR(VALUE($C138),0) * MAX(0, IF(MIN($C$1, DATE(Initialisatie!$C$5,12,31)) &lt; MAX($C$2, DATE(Initialisatie!$C$5,1,1)), 0, MONTH(MIN($C$1, DATE(Initialisatie!$C$5,12,31))) - MONTH(MAX($C$2, DATE(Initialisatie!$C$5,1,1))) + 1)),
        IFERROR(VALUE($D138),0) * MAX(0, IF(MIN($D$1, DATE(Initialisatie!$C$5,12,31)) &lt; MAX($D$2, DATE(Initialisatie!$C$5,1,1)), 0, MONTH(MIN($D$1, DATE(Initialisatie!$C$5,12,31))) - MONTH(MAX($D$2, DATE(Initialisatie!$C$5,1,1))) + 1)),
        IFERROR(VALUE($E138),0) * MAX(0, IF(MIN($E$1, DATE(Initialisatie!$C$5,12,31)) &lt; MAX($E$2, DATE(Initialisatie!$C$5,1,1)), 0, MONTH(MIN($E$1, DATE(Initialisatie!$C$5,12,31))) - MONTH(MAX($E$2, DATE(Initialisatie!$C$5,1,1))) + 1))
    ) / 12
)</f>
        <v>5184</v>
      </c>
    </row>
    <row r="139" spans="1:8" x14ac:dyDescent="0.45">
      <c r="A139" s="998"/>
      <c r="B139" s="380" t="s">
        <v>517</v>
      </c>
      <c r="C139" t="s">
        <v>1810</v>
      </c>
      <c r="D139" t="s">
        <v>1811</v>
      </c>
      <c r="E139" t="s">
        <v>1812</v>
      </c>
      <c r="G139">
        <f>IF(
    OR(
        AND(MAX(0, MIN($C$1, DATE(Initialisatie!$C$5,12,31)) - MAX($C$2, DATE(Initialisatie!$C$5,1,1)) + 1) &gt; 0, IFERROR(VALUE($C139),0)=0),
        AND(MAX(0, MIN($D$1, DATE(Initialisatie!$C$5,12,31)) - MAX($D$2, DATE(Initialisatie!$C$5,1,1)) + 1) &gt; 0, IFERROR(VALUE($D139),0)=0),
        AND(MAX(0, MIN($E$1, DATE(Initialisatie!$C$5,12,31)) - MAX($E$2, DATE(Initialisatie!$C$5,1,1)) + 1) &gt; 0, IFERROR(VALUE($E139),0)=0)
    ),
    0,
    SUM(
        IFERROR(VALUE($C139),0) * MAX(0, MIN($C$1, DATE(Initialisatie!$C$5,12,31)) - MAX($C$2, DATE(Initialisatie!$C$5,1,1)) + 1),
        IFERROR(VALUE($D139),0) * MAX(0, MIN($D$1, DATE(Initialisatie!$C$5,12,31)) - MAX($D$2, DATE(Initialisatie!$C$5,1,1)) + 1),
        IFERROR(VALUE($E139),0) * MAX(0, MIN($E$1, DATE(Initialisatie!$C$5,12,31)) - MAX($E$2, DATE(Initialisatie!$C$5,1,1)) + 1)
    ) / (DATE(Initialisatie!$C$5,12,31) - DATE(Initialisatie!$C$5,1,1) + 1)
)</f>
        <v>3414.8958904109591</v>
      </c>
      <c r="H139">
        <f>IF(
    OR(
        AND(MAX(0, IF(MIN($C$1, DATE(Initialisatie!$C$5,12,31)) &lt; MAX($C$2, DATE(Initialisatie!$C$5,1,1)), 0, MONTH(MIN($C$1, DATE(Initialisatie!$C$5,12,31))) - MONTH(MAX($C$2, DATE(Initialisatie!$C$5,1,1))) + 1)) &lt;= 0, IFERROR(VALUE($C139),0)=0),
        AND(MAX(0, IF(MIN($D$1, DATE(Initialisatie!$C$5,12,31)) &lt; MAX($D$2, DATE(Initialisatie!$C$5,1,1)), 0, MONTH(MIN($D$1, DATE(Initialisatie!$C$5,12,31))) - MONTH(MAX($D$2, DATE(Initialisatie!$C$5,1,1))) + 1)) &lt;= 0, IFERROR(VALUE($D139),0)=0),
        AND(MAX(0, IF(MIN($E$1, DATE(Initialisatie!$C$5,12,31)) &lt; MAX($E$2, DATE(Initialisatie!$C$5,1,1)), 0, MONTH(MIN($E$1, DATE(Initialisatie!$C$5,12,31))) - MONTH(MAX($E$2, DATE(Initialisatie!$C$5,1,1))) + 1)) &lt;= 0, IFERROR(VALUE($E139),0)=0)
    ),
    0,
    SUM(
        IFERROR(VALUE($C139),0) * MAX(0, IF(MIN($C$1, DATE(Initialisatie!$C$5,12,31)) &lt; MAX($C$2, DATE(Initialisatie!$C$5,1,1)), 0, MONTH(MIN($C$1, DATE(Initialisatie!$C$5,12,31))) - MONTH(MAX($C$2, DATE(Initialisatie!$C$5,1,1))) + 1)),
        IFERROR(VALUE($D139),0) * MAX(0, IF(MIN($D$1, DATE(Initialisatie!$C$5,12,31)) &lt; MAX($D$2, DATE(Initialisatie!$C$5,1,1)), 0, MONTH(MIN($D$1, DATE(Initialisatie!$C$5,12,31))) - MONTH(MAX($D$2, DATE(Initialisatie!$C$5,1,1))) + 1)),
        IFERROR(VALUE($E139),0) * MAX(0, IF(MIN($E$1, DATE(Initialisatie!$C$5,12,31)) &lt; MAX($E$2, DATE(Initialisatie!$C$5,1,1)), 0, MONTH(MIN($E$1, DATE(Initialisatie!$C$5,12,31))) - MONTH(MAX($E$2, DATE(Initialisatie!$C$5,1,1))) + 1))
    ) / 12
)</f>
        <v>3414.75</v>
      </c>
    </row>
    <row r="140" spans="1:8" x14ac:dyDescent="0.45">
      <c r="A140" s="996">
        <v>9</v>
      </c>
      <c r="B140" s="380">
        <v>0</v>
      </c>
      <c r="C140" t="s">
        <v>1766</v>
      </c>
      <c r="D140" t="s">
        <v>1767</v>
      </c>
      <c r="E140" t="s">
        <v>1768</v>
      </c>
      <c r="G140">
        <f>IF(
    OR(
        AND(MAX(0, MIN($C$1, DATE(Initialisatie!$C$5,12,31)) - MAX($C$2, DATE(Initialisatie!$C$5,1,1)) + 1) &gt; 0, IFERROR(VALUE($C140),0)=0),
        AND(MAX(0, MIN($D$1, DATE(Initialisatie!$C$5,12,31)) - MAX($D$2, DATE(Initialisatie!$C$5,1,1)) + 1) &gt; 0, IFERROR(VALUE($D140),0)=0),
        AND(MAX(0, MIN($E$1, DATE(Initialisatie!$C$5,12,31)) - MAX($E$2, DATE(Initialisatie!$C$5,1,1)) + 1) &gt; 0, IFERROR(VALUE($E140),0)=0)
    ),
    0,
    SUM(
        IFERROR(VALUE($C140),0) * MAX(0, MIN($C$1, DATE(Initialisatie!$C$5,12,31)) - MAX($C$2, DATE(Initialisatie!$C$5,1,1)) + 1),
        IFERROR(VALUE($D140),0) * MAX(0, MIN($D$1, DATE(Initialisatie!$C$5,12,31)) - MAX($D$2, DATE(Initialisatie!$C$5,1,1)) + 1),
        IFERROR(VALUE($E140),0) * MAX(0, MIN($E$1, DATE(Initialisatie!$C$5,12,31)) - MAX($E$2, DATE(Initialisatie!$C$5,1,1)) + 1)
    ) / (DATE(Initialisatie!$C$5,12,31) - DATE(Initialisatie!$C$5,1,1) + 1)
)</f>
        <v>3695.4082191780822</v>
      </c>
      <c r="H140">
        <f>IF(
    OR(
        AND(MAX(0, IF(MIN($C$1, DATE(Initialisatie!$C$5,12,31)) &lt; MAX($C$2, DATE(Initialisatie!$C$5,1,1)), 0, MONTH(MIN($C$1, DATE(Initialisatie!$C$5,12,31))) - MONTH(MAX($C$2, DATE(Initialisatie!$C$5,1,1))) + 1)) &lt;= 0, IFERROR(VALUE($C140),0)=0),
        AND(MAX(0, IF(MIN($D$1, DATE(Initialisatie!$C$5,12,31)) &lt; MAX($D$2, DATE(Initialisatie!$C$5,1,1)), 0, MONTH(MIN($D$1, DATE(Initialisatie!$C$5,12,31))) - MONTH(MAX($D$2, DATE(Initialisatie!$C$5,1,1))) + 1)) &lt;= 0, IFERROR(VALUE($D140),0)=0),
        AND(MAX(0, IF(MIN($E$1, DATE(Initialisatie!$C$5,12,31)) &lt; MAX($E$2, DATE(Initialisatie!$C$5,1,1)), 0, MONTH(MIN($E$1, DATE(Initialisatie!$C$5,12,31))) - MONTH(MAX($E$2, DATE(Initialisatie!$C$5,1,1))) + 1)) &lt;= 0, IFERROR(VALUE($E140),0)=0)
    ),
    0,
    SUM(
        IFERROR(VALUE($C140),0) * MAX(0, IF(MIN($C$1, DATE(Initialisatie!$C$5,12,31)) &lt; MAX($C$2, DATE(Initialisatie!$C$5,1,1)), 0, MONTH(MIN($C$1, DATE(Initialisatie!$C$5,12,31))) - MONTH(MAX($C$2, DATE(Initialisatie!$C$5,1,1))) + 1)),
        IFERROR(VALUE($D140),0) * MAX(0, IF(MIN($D$1, DATE(Initialisatie!$C$5,12,31)) &lt; MAX($D$2, DATE(Initialisatie!$C$5,1,1)), 0, MONTH(MIN($D$1, DATE(Initialisatie!$C$5,12,31))) - MONTH(MAX($D$2, DATE(Initialisatie!$C$5,1,1))) + 1)),
        IFERROR(VALUE($E140),0) * MAX(0, IF(MIN($E$1, DATE(Initialisatie!$C$5,12,31)) &lt; MAX($E$2, DATE(Initialisatie!$C$5,1,1)), 0, MONTH(MIN($E$1, DATE(Initialisatie!$C$5,12,31))) - MONTH(MAX($E$2, DATE(Initialisatie!$C$5,1,1))) + 1))
    ) / 12
)</f>
        <v>3695.25</v>
      </c>
    </row>
    <row r="141" spans="1:8" x14ac:dyDescent="0.45">
      <c r="A141" s="997"/>
      <c r="B141" s="380">
        <v>1</v>
      </c>
      <c r="C141" t="s">
        <v>1769</v>
      </c>
      <c r="D141" t="s">
        <v>1770</v>
      </c>
      <c r="E141" t="s">
        <v>1288</v>
      </c>
      <c r="G141">
        <f>IF(
    OR(
        AND(MAX(0, MIN($C$1, DATE(Initialisatie!$C$5,12,31)) - MAX($C$2, DATE(Initialisatie!$C$5,1,1)) + 1) &gt; 0, IFERROR(VALUE($C141),0)=0),
        AND(MAX(0, MIN($D$1, DATE(Initialisatie!$C$5,12,31)) - MAX($D$2, DATE(Initialisatie!$C$5,1,1)) + 1) &gt; 0, IFERROR(VALUE($D141),0)=0),
        AND(MAX(0, MIN($E$1, DATE(Initialisatie!$C$5,12,31)) - MAX($E$2, DATE(Initialisatie!$C$5,1,1)) + 1) &gt; 0, IFERROR(VALUE($E141),0)=0)
    ),
    0,
    SUM(
        IFERROR(VALUE($C141),0) * MAX(0, MIN($C$1, DATE(Initialisatie!$C$5,12,31)) - MAX($C$2, DATE(Initialisatie!$C$5,1,1)) + 1),
        IFERROR(VALUE($D141),0) * MAX(0, MIN($D$1, DATE(Initialisatie!$C$5,12,31)) - MAX($D$2, DATE(Initialisatie!$C$5,1,1)) + 1),
        IFERROR(VALUE($E141),0) * MAX(0, MIN($E$1, DATE(Initialisatie!$C$5,12,31)) - MAX($E$2, DATE(Initialisatie!$C$5,1,1)) + 1)
    ) / (DATE(Initialisatie!$C$5,12,31) - DATE(Initialisatie!$C$5,1,1) + 1)
)</f>
        <v>3835.1643835616437</v>
      </c>
      <c r="H141">
        <f>IF(
    OR(
        AND(MAX(0, IF(MIN($C$1, DATE(Initialisatie!$C$5,12,31)) &lt; MAX($C$2, DATE(Initialisatie!$C$5,1,1)), 0, MONTH(MIN($C$1, DATE(Initialisatie!$C$5,12,31))) - MONTH(MAX($C$2, DATE(Initialisatie!$C$5,1,1))) + 1)) &lt;= 0, IFERROR(VALUE($C141),0)=0),
        AND(MAX(0, IF(MIN($D$1, DATE(Initialisatie!$C$5,12,31)) &lt; MAX($D$2, DATE(Initialisatie!$C$5,1,1)), 0, MONTH(MIN($D$1, DATE(Initialisatie!$C$5,12,31))) - MONTH(MAX($D$2, DATE(Initialisatie!$C$5,1,1))) + 1)) &lt;= 0, IFERROR(VALUE($D141),0)=0),
        AND(MAX(0, IF(MIN($E$1, DATE(Initialisatie!$C$5,12,31)) &lt; MAX($E$2, DATE(Initialisatie!$C$5,1,1)), 0, MONTH(MIN($E$1, DATE(Initialisatie!$C$5,12,31))) - MONTH(MAX($E$2, DATE(Initialisatie!$C$5,1,1))) + 1)) &lt;= 0, IFERROR(VALUE($E141),0)=0)
    ),
    0,
    SUM(
        IFERROR(VALUE($C141),0) * MAX(0, IF(MIN($C$1, DATE(Initialisatie!$C$5,12,31)) &lt; MAX($C$2, DATE(Initialisatie!$C$5,1,1)), 0, MONTH(MIN($C$1, DATE(Initialisatie!$C$5,12,31))) - MONTH(MAX($C$2, DATE(Initialisatie!$C$5,1,1))) + 1)),
        IFERROR(VALUE($D141),0) * MAX(0, IF(MIN($D$1, DATE(Initialisatie!$C$5,12,31)) &lt; MAX($D$2, DATE(Initialisatie!$C$5,1,1)), 0, MONTH(MIN($D$1, DATE(Initialisatie!$C$5,12,31))) - MONTH(MAX($D$2, DATE(Initialisatie!$C$5,1,1))) + 1)),
        IFERROR(VALUE($E141),0) * MAX(0, IF(MIN($E$1, DATE(Initialisatie!$C$5,12,31)) &lt; MAX($E$2, DATE(Initialisatie!$C$5,1,1)), 0, MONTH(MIN($E$1, DATE(Initialisatie!$C$5,12,31))) - MONTH(MAX($E$2, DATE(Initialisatie!$C$5,1,1))) + 1))
    ) / 12
)</f>
        <v>3835</v>
      </c>
    </row>
    <row r="142" spans="1:8" x14ac:dyDescent="0.45">
      <c r="A142" s="997"/>
      <c r="B142" s="380">
        <v>2</v>
      </c>
      <c r="C142" t="s">
        <v>1771</v>
      </c>
      <c r="D142" t="s">
        <v>1772</v>
      </c>
      <c r="E142" t="s">
        <v>1773</v>
      </c>
      <c r="G142">
        <f>IF(
    OR(
        AND(MAX(0, MIN($C$1, DATE(Initialisatie!$C$5,12,31)) - MAX($C$2, DATE(Initialisatie!$C$5,1,1)) + 1) &gt; 0, IFERROR(VALUE($C142),0)=0),
        AND(MAX(0, MIN($D$1, DATE(Initialisatie!$C$5,12,31)) - MAX($D$2, DATE(Initialisatie!$C$5,1,1)) + 1) &gt; 0, IFERROR(VALUE($D142),0)=0),
        AND(MAX(0, MIN($E$1, DATE(Initialisatie!$C$5,12,31)) - MAX($E$2, DATE(Initialisatie!$C$5,1,1)) + 1) &gt; 0, IFERROR(VALUE($E142),0)=0)
    ),
    0,
    SUM(
        IFERROR(VALUE($C142),0) * MAX(0, MIN($C$1, DATE(Initialisatie!$C$5,12,31)) - MAX($C$2, DATE(Initialisatie!$C$5,1,1)) + 1),
        IFERROR(VALUE($D142),0) * MAX(0, MIN($D$1, DATE(Initialisatie!$C$5,12,31)) - MAX($D$2, DATE(Initialisatie!$C$5,1,1)) + 1),
        IFERROR(VALUE($E142),0) * MAX(0, MIN($E$1, DATE(Initialisatie!$C$5,12,31)) - MAX($E$2, DATE(Initialisatie!$C$5,1,1)) + 1)
    ) / (DATE(Initialisatie!$C$5,12,31) - DATE(Initialisatie!$C$5,1,1) + 1)
)</f>
        <v>3926.6684931506848</v>
      </c>
      <c r="H142">
        <f>IF(
    OR(
        AND(MAX(0, IF(MIN($C$1, DATE(Initialisatie!$C$5,12,31)) &lt; MAX($C$2, DATE(Initialisatie!$C$5,1,1)), 0, MONTH(MIN($C$1, DATE(Initialisatie!$C$5,12,31))) - MONTH(MAX($C$2, DATE(Initialisatie!$C$5,1,1))) + 1)) &lt;= 0, IFERROR(VALUE($C142),0)=0),
        AND(MAX(0, IF(MIN($D$1, DATE(Initialisatie!$C$5,12,31)) &lt; MAX($D$2, DATE(Initialisatie!$C$5,1,1)), 0, MONTH(MIN($D$1, DATE(Initialisatie!$C$5,12,31))) - MONTH(MAX($D$2, DATE(Initialisatie!$C$5,1,1))) + 1)) &lt;= 0, IFERROR(VALUE($D142),0)=0),
        AND(MAX(0, IF(MIN($E$1, DATE(Initialisatie!$C$5,12,31)) &lt; MAX($E$2, DATE(Initialisatie!$C$5,1,1)), 0, MONTH(MIN($E$1, DATE(Initialisatie!$C$5,12,31))) - MONTH(MAX($E$2, DATE(Initialisatie!$C$5,1,1))) + 1)) &lt;= 0, IFERROR(VALUE($E142),0)=0)
    ),
    0,
    SUM(
        IFERROR(VALUE($C142),0) * MAX(0, IF(MIN($C$1, DATE(Initialisatie!$C$5,12,31)) &lt; MAX($C$2, DATE(Initialisatie!$C$5,1,1)), 0, MONTH(MIN($C$1, DATE(Initialisatie!$C$5,12,31))) - MONTH(MAX($C$2, DATE(Initialisatie!$C$5,1,1))) + 1)),
        IFERROR(VALUE($D142),0) * MAX(0, IF(MIN($D$1, DATE(Initialisatie!$C$5,12,31)) &lt; MAX($D$2, DATE(Initialisatie!$C$5,1,1)), 0, MONTH(MIN($D$1, DATE(Initialisatie!$C$5,12,31))) - MONTH(MAX($D$2, DATE(Initialisatie!$C$5,1,1))) + 1)),
        IFERROR(VALUE($E142),0) * MAX(0, IF(MIN($E$1, DATE(Initialisatie!$C$5,12,31)) &lt; MAX($E$2, DATE(Initialisatie!$C$5,1,1)), 0, MONTH(MIN($E$1, DATE(Initialisatie!$C$5,12,31))) - MONTH(MAX($E$2, DATE(Initialisatie!$C$5,1,1))) + 1))
    ) / 12
)</f>
        <v>3926.5</v>
      </c>
    </row>
    <row r="143" spans="1:8" x14ac:dyDescent="0.45">
      <c r="A143" s="997"/>
      <c r="B143" s="380">
        <v>3</v>
      </c>
      <c r="C143" t="s">
        <v>1776</v>
      </c>
      <c r="D143" t="s">
        <v>1777</v>
      </c>
      <c r="E143" t="s">
        <v>1778</v>
      </c>
      <c r="G143">
        <f>IF(
    OR(
        AND(MAX(0, MIN($C$1, DATE(Initialisatie!$C$5,12,31)) - MAX($C$2, DATE(Initialisatie!$C$5,1,1)) + 1) &gt; 0, IFERROR(VALUE($C143),0)=0),
        AND(MAX(0, MIN($D$1, DATE(Initialisatie!$C$5,12,31)) - MAX($D$2, DATE(Initialisatie!$C$5,1,1)) + 1) &gt; 0, IFERROR(VALUE($D143),0)=0),
        AND(MAX(0, MIN($E$1, DATE(Initialisatie!$C$5,12,31)) - MAX($E$2, DATE(Initialisatie!$C$5,1,1)) + 1) &gt; 0, IFERROR(VALUE($E143),0)=0)
    ),
    0,
    SUM(
        IFERROR(VALUE($C143),0) * MAX(0, MIN($C$1, DATE(Initialisatie!$C$5,12,31)) - MAX($C$2, DATE(Initialisatie!$C$5,1,1)) + 1),
        IFERROR(VALUE($D143),0) * MAX(0, MIN($D$1, DATE(Initialisatie!$C$5,12,31)) - MAX($D$2, DATE(Initialisatie!$C$5,1,1)) + 1),
        IFERROR(VALUE($E143),0) * MAX(0, MIN($E$1, DATE(Initialisatie!$C$5,12,31)) - MAX($E$2, DATE(Initialisatie!$C$5,1,1)) + 1)
    ) / (DATE(Initialisatie!$C$5,12,31) - DATE(Initialisatie!$C$5,1,1) + 1)
)</f>
        <v>4025.1726027397262</v>
      </c>
      <c r="H143">
        <f>IF(
    OR(
        AND(MAX(0, IF(MIN($C$1, DATE(Initialisatie!$C$5,12,31)) &lt; MAX($C$2, DATE(Initialisatie!$C$5,1,1)), 0, MONTH(MIN($C$1, DATE(Initialisatie!$C$5,12,31))) - MONTH(MAX($C$2, DATE(Initialisatie!$C$5,1,1))) + 1)) &lt;= 0, IFERROR(VALUE($C143),0)=0),
        AND(MAX(0, IF(MIN($D$1, DATE(Initialisatie!$C$5,12,31)) &lt; MAX($D$2, DATE(Initialisatie!$C$5,1,1)), 0, MONTH(MIN($D$1, DATE(Initialisatie!$C$5,12,31))) - MONTH(MAX($D$2, DATE(Initialisatie!$C$5,1,1))) + 1)) &lt;= 0, IFERROR(VALUE($D143),0)=0),
        AND(MAX(0, IF(MIN($E$1, DATE(Initialisatie!$C$5,12,31)) &lt; MAX($E$2, DATE(Initialisatie!$C$5,1,1)), 0, MONTH(MIN($E$1, DATE(Initialisatie!$C$5,12,31))) - MONTH(MAX($E$2, DATE(Initialisatie!$C$5,1,1))) + 1)) &lt;= 0, IFERROR(VALUE($E143),0)=0)
    ),
    0,
    SUM(
        IFERROR(VALUE($C143),0) * MAX(0, IF(MIN($C$1, DATE(Initialisatie!$C$5,12,31)) &lt; MAX($C$2, DATE(Initialisatie!$C$5,1,1)), 0, MONTH(MIN($C$1, DATE(Initialisatie!$C$5,12,31))) - MONTH(MAX($C$2, DATE(Initialisatie!$C$5,1,1))) + 1)),
        IFERROR(VALUE($D143),0) * MAX(0, IF(MIN($D$1, DATE(Initialisatie!$C$5,12,31)) &lt; MAX($D$2, DATE(Initialisatie!$C$5,1,1)), 0, MONTH(MIN($D$1, DATE(Initialisatie!$C$5,12,31))) - MONTH(MAX($D$2, DATE(Initialisatie!$C$5,1,1))) + 1)),
        IFERROR(VALUE($E143),0) * MAX(0, IF(MIN($E$1, DATE(Initialisatie!$C$5,12,31)) &lt; MAX($E$2, DATE(Initialisatie!$C$5,1,1)), 0, MONTH(MIN($E$1, DATE(Initialisatie!$C$5,12,31))) - MONTH(MAX($E$2, DATE(Initialisatie!$C$5,1,1))) + 1))
    ) / 12
)</f>
        <v>4025</v>
      </c>
    </row>
    <row r="144" spans="1:8" x14ac:dyDescent="0.45">
      <c r="A144" s="997"/>
      <c r="B144" s="380">
        <v>4</v>
      </c>
      <c r="C144" t="s">
        <v>1779</v>
      </c>
      <c r="D144" t="s">
        <v>1780</v>
      </c>
      <c r="E144" t="s">
        <v>1781</v>
      </c>
      <c r="G144">
        <f>IF(
    OR(
        AND(MAX(0, MIN($C$1, DATE(Initialisatie!$C$5,12,31)) - MAX($C$2, DATE(Initialisatie!$C$5,1,1)) + 1) &gt; 0, IFERROR(VALUE($C144),0)=0),
        AND(MAX(0, MIN($D$1, DATE(Initialisatie!$C$5,12,31)) - MAX($D$2, DATE(Initialisatie!$C$5,1,1)) + 1) &gt; 0, IFERROR(VALUE($D144),0)=0),
        AND(MAX(0, MIN($E$1, DATE(Initialisatie!$C$5,12,31)) - MAX($E$2, DATE(Initialisatie!$C$5,1,1)) + 1) &gt; 0, IFERROR(VALUE($E144),0)=0)
    ),
    0,
    SUM(
        IFERROR(VALUE($C144),0) * MAX(0, MIN($C$1, DATE(Initialisatie!$C$5,12,31)) - MAX($C$2, DATE(Initialisatie!$C$5,1,1)) + 1),
        IFERROR(VALUE($D144),0) * MAX(0, MIN($D$1, DATE(Initialisatie!$C$5,12,31)) - MAX($D$2, DATE(Initialisatie!$C$5,1,1)) + 1),
        IFERROR(VALUE($E144),0) * MAX(0, MIN($E$1, DATE(Initialisatie!$C$5,12,31)) - MAX($E$2, DATE(Initialisatie!$C$5,1,1)) + 1)
    ) / (DATE(Initialisatie!$C$5,12,31) - DATE(Initialisatie!$C$5,1,1) + 1)
)</f>
        <v>4128.6767123287673</v>
      </c>
      <c r="H144">
        <f>IF(
    OR(
        AND(MAX(0, IF(MIN($C$1, DATE(Initialisatie!$C$5,12,31)) &lt; MAX($C$2, DATE(Initialisatie!$C$5,1,1)), 0, MONTH(MIN($C$1, DATE(Initialisatie!$C$5,12,31))) - MONTH(MAX($C$2, DATE(Initialisatie!$C$5,1,1))) + 1)) &lt;= 0, IFERROR(VALUE($C144),0)=0),
        AND(MAX(0, IF(MIN($D$1, DATE(Initialisatie!$C$5,12,31)) &lt; MAX($D$2, DATE(Initialisatie!$C$5,1,1)), 0, MONTH(MIN($D$1, DATE(Initialisatie!$C$5,12,31))) - MONTH(MAX($D$2, DATE(Initialisatie!$C$5,1,1))) + 1)) &lt;= 0, IFERROR(VALUE($D144),0)=0),
        AND(MAX(0, IF(MIN($E$1, DATE(Initialisatie!$C$5,12,31)) &lt; MAX($E$2, DATE(Initialisatie!$C$5,1,1)), 0, MONTH(MIN($E$1, DATE(Initialisatie!$C$5,12,31))) - MONTH(MAX($E$2, DATE(Initialisatie!$C$5,1,1))) + 1)) &lt;= 0, IFERROR(VALUE($E144),0)=0)
    ),
    0,
    SUM(
        IFERROR(VALUE($C144),0) * MAX(0, IF(MIN($C$1, DATE(Initialisatie!$C$5,12,31)) &lt; MAX($C$2, DATE(Initialisatie!$C$5,1,1)), 0, MONTH(MIN($C$1, DATE(Initialisatie!$C$5,12,31))) - MONTH(MAX($C$2, DATE(Initialisatie!$C$5,1,1))) + 1)),
        IFERROR(VALUE($D144),0) * MAX(0, IF(MIN($D$1, DATE(Initialisatie!$C$5,12,31)) &lt; MAX($D$2, DATE(Initialisatie!$C$5,1,1)), 0, MONTH(MIN($D$1, DATE(Initialisatie!$C$5,12,31))) - MONTH(MAX($D$2, DATE(Initialisatie!$C$5,1,1))) + 1)),
        IFERROR(VALUE($E144),0) * MAX(0, IF(MIN($E$1, DATE(Initialisatie!$C$5,12,31)) &lt; MAX($E$2, DATE(Initialisatie!$C$5,1,1)), 0, MONTH(MIN($E$1, DATE(Initialisatie!$C$5,12,31))) - MONTH(MAX($E$2, DATE(Initialisatie!$C$5,1,1))) + 1))
    ) / 12
)</f>
        <v>4128.5</v>
      </c>
    </row>
    <row r="145" spans="1:8" x14ac:dyDescent="0.45">
      <c r="A145" s="997"/>
      <c r="B145" s="380">
        <v>5</v>
      </c>
      <c r="C145" t="s">
        <v>1782</v>
      </c>
      <c r="D145" t="s">
        <v>1781</v>
      </c>
      <c r="E145" t="s">
        <v>1783</v>
      </c>
      <c r="G145">
        <f>IF(
    OR(
        AND(MAX(0, MIN($C$1, DATE(Initialisatie!$C$5,12,31)) - MAX($C$2, DATE(Initialisatie!$C$5,1,1)) + 1) &gt; 0, IFERROR(VALUE($C145),0)=0),
        AND(MAX(0, MIN($D$1, DATE(Initialisatie!$C$5,12,31)) - MAX($D$2, DATE(Initialisatie!$C$5,1,1)) + 1) &gt; 0, IFERROR(VALUE($D145),0)=0),
        AND(MAX(0, MIN($E$1, DATE(Initialisatie!$C$5,12,31)) - MAX($E$2, DATE(Initialisatie!$C$5,1,1)) + 1) &gt; 0, IFERROR(VALUE($E145),0)=0)
    ),
    0,
    SUM(
        IFERROR(VALUE($C145),0) * MAX(0, MIN($C$1, DATE(Initialisatie!$C$5,12,31)) - MAX($C$2, DATE(Initialisatie!$C$5,1,1)) + 1),
        IFERROR(VALUE($D145),0) * MAX(0, MIN($D$1, DATE(Initialisatie!$C$5,12,31)) - MAX($D$2, DATE(Initialisatie!$C$5,1,1)) + 1),
        IFERROR(VALUE($E145),0) * MAX(0, MIN($E$1, DATE(Initialisatie!$C$5,12,31)) - MAX($E$2, DATE(Initialisatie!$C$5,1,1)) + 1)
    ) / (DATE(Initialisatie!$C$5,12,31) - DATE(Initialisatie!$C$5,1,1) + 1)
)</f>
        <v>4215.1808219178083</v>
      </c>
      <c r="H145">
        <f>IF(
    OR(
        AND(MAX(0, IF(MIN($C$1, DATE(Initialisatie!$C$5,12,31)) &lt; MAX($C$2, DATE(Initialisatie!$C$5,1,1)), 0, MONTH(MIN($C$1, DATE(Initialisatie!$C$5,12,31))) - MONTH(MAX($C$2, DATE(Initialisatie!$C$5,1,1))) + 1)) &lt;= 0, IFERROR(VALUE($C145),0)=0),
        AND(MAX(0, IF(MIN($D$1, DATE(Initialisatie!$C$5,12,31)) &lt; MAX($D$2, DATE(Initialisatie!$C$5,1,1)), 0, MONTH(MIN($D$1, DATE(Initialisatie!$C$5,12,31))) - MONTH(MAX($D$2, DATE(Initialisatie!$C$5,1,1))) + 1)) &lt;= 0, IFERROR(VALUE($D145),0)=0),
        AND(MAX(0, IF(MIN($E$1, DATE(Initialisatie!$C$5,12,31)) &lt; MAX($E$2, DATE(Initialisatie!$C$5,1,1)), 0, MONTH(MIN($E$1, DATE(Initialisatie!$C$5,12,31))) - MONTH(MAX($E$2, DATE(Initialisatie!$C$5,1,1))) + 1)) &lt;= 0, IFERROR(VALUE($E145),0)=0)
    ),
    0,
    SUM(
        IFERROR(VALUE($C145),0) * MAX(0, IF(MIN($C$1, DATE(Initialisatie!$C$5,12,31)) &lt; MAX($C$2, DATE(Initialisatie!$C$5,1,1)), 0, MONTH(MIN($C$1, DATE(Initialisatie!$C$5,12,31))) - MONTH(MAX($C$2, DATE(Initialisatie!$C$5,1,1))) + 1)),
        IFERROR(VALUE($D145),0) * MAX(0, IF(MIN($D$1, DATE(Initialisatie!$C$5,12,31)) &lt; MAX($D$2, DATE(Initialisatie!$C$5,1,1)), 0, MONTH(MIN($D$1, DATE(Initialisatie!$C$5,12,31))) - MONTH(MAX($D$2, DATE(Initialisatie!$C$5,1,1))) + 1)),
        IFERROR(VALUE($E145),0) * MAX(0, IF(MIN($E$1, DATE(Initialisatie!$C$5,12,31)) &lt; MAX($E$2, DATE(Initialisatie!$C$5,1,1)), 0, MONTH(MIN($E$1, DATE(Initialisatie!$C$5,12,31))) - MONTH(MAX($E$2, DATE(Initialisatie!$C$5,1,1))) + 1))
    ) / 12
)</f>
        <v>4215</v>
      </c>
    </row>
    <row r="146" spans="1:8" x14ac:dyDescent="0.45">
      <c r="A146" s="997"/>
      <c r="B146" s="380">
        <v>6</v>
      </c>
      <c r="C146" t="s">
        <v>1784</v>
      </c>
      <c r="D146" t="s">
        <v>1785</v>
      </c>
      <c r="E146" t="s">
        <v>1786</v>
      </c>
      <c r="G146">
        <f>IF(
    OR(
        AND(MAX(0, MIN($C$1, DATE(Initialisatie!$C$5,12,31)) - MAX($C$2, DATE(Initialisatie!$C$5,1,1)) + 1) &gt; 0, IFERROR(VALUE($C146),0)=0),
        AND(MAX(0, MIN($D$1, DATE(Initialisatie!$C$5,12,31)) - MAX($D$2, DATE(Initialisatie!$C$5,1,1)) + 1) &gt; 0, IFERROR(VALUE($D146),0)=0),
        AND(MAX(0, MIN($E$1, DATE(Initialisatie!$C$5,12,31)) - MAX($E$2, DATE(Initialisatie!$C$5,1,1)) + 1) &gt; 0, IFERROR(VALUE($E146),0)=0)
    ),
    0,
    SUM(
        IFERROR(VALUE($C146),0) * MAX(0, MIN($C$1, DATE(Initialisatie!$C$5,12,31)) - MAX($C$2, DATE(Initialisatie!$C$5,1,1)) + 1),
        IFERROR(VALUE($D146),0) * MAX(0, MIN($D$1, DATE(Initialisatie!$C$5,12,31)) - MAX($D$2, DATE(Initialisatie!$C$5,1,1)) + 1),
        IFERROR(VALUE($E146),0) * MAX(0, MIN($E$1, DATE(Initialisatie!$C$5,12,31)) - MAX($E$2, DATE(Initialisatie!$C$5,1,1)) + 1)
    ) / (DATE(Initialisatie!$C$5,12,31) - DATE(Initialisatie!$C$5,1,1) + 1)
)</f>
        <v>4307.6849315068494</v>
      </c>
      <c r="H146">
        <f>IF(
    OR(
        AND(MAX(0, IF(MIN($C$1, DATE(Initialisatie!$C$5,12,31)) &lt; MAX($C$2, DATE(Initialisatie!$C$5,1,1)), 0, MONTH(MIN($C$1, DATE(Initialisatie!$C$5,12,31))) - MONTH(MAX($C$2, DATE(Initialisatie!$C$5,1,1))) + 1)) &lt;= 0, IFERROR(VALUE($C146),0)=0),
        AND(MAX(0, IF(MIN($D$1, DATE(Initialisatie!$C$5,12,31)) &lt; MAX($D$2, DATE(Initialisatie!$C$5,1,1)), 0, MONTH(MIN($D$1, DATE(Initialisatie!$C$5,12,31))) - MONTH(MAX($D$2, DATE(Initialisatie!$C$5,1,1))) + 1)) &lt;= 0, IFERROR(VALUE($D146),0)=0),
        AND(MAX(0, IF(MIN($E$1, DATE(Initialisatie!$C$5,12,31)) &lt; MAX($E$2, DATE(Initialisatie!$C$5,1,1)), 0, MONTH(MIN($E$1, DATE(Initialisatie!$C$5,12,31))) - MONTH(MAX($E$2, DATE(Initialisatie!$C$5,1,1))) + 1)) &lt;= 0, IFERROR(VALUE($E146),0)=0)
    ),
    0,
    SUM(
        IFERROR(VALUE($C146),0) * MAX(0, IF(MIN($C$1, DATE(Initialisatie!$C$5,12,31)) &lt; MAX($C$2, DATE(Initialisatie!$C$5,1,1)), 0, MONTH(MIN($C$1, DATE(Initialisatie!$C$5,12,31))) - MONTH(MAX($C$2, DATE(Initialisatie!$C$5,1,1))) + 1)),
        IFERROR(VALUE($D146),0) * MAX(0, IF(MIN($D$1, DATE(Initialisatie!$C$5,12,31)) &lt; MAX($D$2, DATE(Initialisatie!$C$5,1,1)), 0, MONTH(MIN($D$1, DATE(Initialisatie!$C$5,12,31))) - MONTH(MAX($D$2, DATE(Initialisatie!$C$5,1,1))) + 1)),
        IFERROR(VALUE($E146),0) * MAX(0, IF(MIN($E$1, DATE(Initialisatie!$C$5,12,31)) &lt; MAX($E$2, DATE(Initialisatie!$C$5,1,1)), 0, MONTH(MIN($E$1, DATE(Initialisatie!$C$5,12,31))) - MONTH(MAX($E$2, DATE(Initialisatie!$C$5,1,1))) + 1))
    ) / 12
)</f>
        <v>4307.5</v>
      </c>
    </row>
    <row r="147" spans="1:8" x14ac:dyDescent="0.45">
      <c r="A147" s="997"/>
      <c r="B147" s="380">
        <v>7</v>
      </c>
      <c r="C147" t="s">
        <v>1790</v>
      </c>
      <c r="D147" t="s">
        <v>1791</v>
      </c>
      <c r="E147" t="s">
        <v>1792</v>
      </c>
      <c r="G147">
        <f>IF(
    OR(
        AND(MAX(0, MIN($C$1, DATE(Initialisatie!$C$5,12,31)) - MAX($C$2, DATE(Initialisatie!$C$5,1,1)) + 1) &gt; 0, IFERROR(VALUE($C147),0)=0),
        AND(MAX(0, MIN($D$1, DATE(Initialisatie!$C$5,12,31)) - MAX($D$2, DATE(Initialisatie!$C$5,1,1)) + 1) &gt; 0, IFERROR(VALUE($D147),0)=0),
        AND(MAX(0, MIN($E$1, DATE(Initialisatie!$C$5,12,31)) - MAX($E$2, DATE(Initialisatie!$C$5,1,1)) + 1) &gt; 0, IFERROR(VALUE($E147),0)=0)
    ),
    0,
    SUM(
        IFERROR(VALUE($C147),0) * MAX(0, MIN($C$1, DATE(Initialisatie!$C$5,12,31)) - MAX($C$2, DATE(Initialisatie!$C$5,1,1)) + 1),
        IFERROR(VALUE($D147),0) * MAX(0, MIN($D$1, DATE(Initialisatie!$C$5,12,31)) - MAX($D$2, DATE(Initialisatie!$C$5,1,1)) + 1),
        IFERROR(VALUE($E147),0) * MAX(0, MIN($E$1, DATE(Initialisatie!$C$5,12,31)) - MAX($E$2, DATE(Initialisatie!$C$5,1,1)) + 1)
    ) / (DATE(Initialisatie!$C$5,12,31) - DATE(Initialisatie!$C$5,1,1) + 1)
)</f>
        <v>4399.1890410958904</v>
      </c>
      <c r="H147">
        <f>IF(
    OR(
        AND(MAX(0, IF(MIN($C$1, DATE(Initialisatie!$C$5,12,31)) &lt; MAX($C$2, DATE(Initialisatie!$C$5,1,1)), 0, MONTH(MIN($C$1, DATE(Initialisatie!$C$5,12,31))) - MONTH(MAX($C$2, DATE(Initialisatie!$C$5,1,1))) + 1)) &lt;= 0, IFERROR(VALUE($C147),0)=0),
        AND(MAX(0, IF(MIN($D$1, DATE(Initialisatie!$C$5,12,31)) &lt; MAX($D$2, DATE(Initialisatie!$C$5,1,1)), 0, MONTH(MIN($D$1, DATE(Initialisatie!$C$5,12,31))) - MONTH(MAX($D$2, DATE(Initialisatie!$C$5,1,1))) + 1)) &lt;= 0, IFERROR(VALUE($D147),0)=0),
        AND(MAX(0, IF(MIN($E$1, DATE(Initialisatie!$C$5,12,31)) &lt; MAX($E$2, DATE(Initialisatie!$C$5,1,1)), 0, MONTH(MIN($E$1, DATE(Initialisatie!$C$5,12,31))) - MONTH(MAX($E$2, DATE(Initialisatie!$C$5,1,1))) + 1)) &lt;= 0, IFERROR(VALUE($E147),0)=0)
    ),
    0,
    SUM(
        IFERROR(VALUE($C147),0) * MAX(0, IF(MIN($C$1, DATE(Initialisatie!$C$5,12,31)) &lt; MAX($C$2, DATE(Initialisatie!$C$5,1,1)), 0, MONTH(MIN($C$1, DATE(Initialisatie!$C$5,12,31))) - MONTH(MAX($C$2, DATE(Initialisatie!$C$5,1,1))) + 1)),
        IFERROR(VALUE($D147),0) * MAX(0, IF(MIN($D$1, DATE(Initialisatie!$C$5,12,31)) &lt; MAX($D$2, DATE(Initialisatie!$C$5,1,1)), 0, MONTH(MIN($D$1, DATE(Initialisatie!$C$5,12,31))) - MONTH(MAX($D$2, DATE(Initialisatie!$C$5,1,1))) + 1)),
        IFERROR(VALUE($E147),0) * MAX(0, IF(MIN($E$1, DATE(Initialisatie!$C$5,12,31)) &lt; MAX($E$2, DATE(Initialisatie!$C$5,1,1)), 0, MONTH(MIN($E$1, DATE(Initialisatie!$C$5,12,31))) - MONTH(MAX($E$2, DATE(Initialisatie!$C$5,1,1))) + 1))
    ) / 12
)</f>
        <v>4399</v>
      </c>
    </row>
    <row r="148" spans="1:8" x14ac:dyDescent="0.45">
      <c r="A148" s="997"/>
      <c r="B148" s="380">
        <v>8</v>
      </c>
      <c r="C148" t="s">
        <v>1793</v>
      </c>
      <c r="D148" t="s">
        <v>1794</v>
      </c>
      <c r="E148" t="s">
        <v>1482</v>
      </c>
      <c r="G148">
        <f>IF(
    OR(
        AND(MAX(0, MIN($C$1, DATE(Initialisatie!$C$5,12,31)) - MAX($C$2, DATE(Initialisatie!$C$5,1,1)) + 1) &gt; 0, IFERROR(VALUE($C148),0)=0),
        AND(MAX(0, MIN($D$1, DATE(Initialisatie!$C$5,12,31)) - MAX($D$2, DATE(Initialisatie!$C$5,1,1)) + 1) &gt; 0, IFERROR(VALUE($D148),0)=0),
        AND(MAX(0, MIN($E$1, DATE(Initialisatie!$C$5,12,31)) - MAX($E$2, DATE(Initialisatie!$C$5,1,1)) + 1) &gt; 0, IFERROR(VALUE($E148),0)=0)
    ),
    0,
    SUM(
        IFERROR(VALUE($C148),0) * MAX(0, MIN($C$1, DATE(Initialisatie!$C$5,12,31)) - MAX($C$2, DATE(Initialisatie!$C$5,1,1)) + 1),
        IFERROR(VALUE($D148),0) * MAX(0, MIN($D$1, DATE(Initialisatie!$C$5,12,31)) - MAX($D$2, DATE(Initialisatie!$C$5,1,1)) + 1),
        IFERROR(VALUE($E148),0) * MAX(0, MIN($E$1, DATE(Initialisatie!$C$5,12,31)) - MAX($E$2, DATE(Initialisatie!$C$5,1,1)) + 1)
    ) / (DATE(Initialisatie!$C$5,12,31) - DATE(Initialisatie!$C$5,1,1) + 1)
)</f>
        <v>4547.9452054794519</v>
      </c>
      <c r="H148">
        <f>IF(
    OR(
        AND(MAX(0, IF(MIN($C$1, DATE(Initialisatie!$C$5,12,31)) &lt; MAX($C$2, DATE(Initialisatie!$C$5,1,1)), 0, MONTH(MIN($C$1, DATE(Initialisatie!$C$5,12,31))) - MONTH(MAX($C$2, DATE(Initialisatie!$C$5,1,1))) + 1)) &lt;= 0, IFERROR(VALUE($C148),0)=0),
        AND(MAX(0, IF(MIN($D$1, DATE(Initialisatie!$C$5,12,31)) &lt; MAX($D$2, DATE(Initialisatie!$C$5,1,1)), 0, MONTH(MIN($D$1, DATE(Initialisatie!$C$5,12,31))) - MONTH(MAX($D$2, DATE(Initialisatie!$C$5,1,1))) + 1)) &lt;= 0, IFERROR(VALUE($D148),0)=0),
        AND(MAX(0, IF(MIN($E$1, DATE(Initialisatie!$C$5,12,31)) &lt; MAX($E$2, DATE(Initialisatie!$C$5,1,1)), 0, MONTH(MIN($E$1, DATE(Initialisatie!$C$5,12,31))) - MONTH(MAX($E$2, DATE(Initialisatie!$C$5,1,1))) + 1)) &lt;= 0, IFERROR(VALUE($E148),0)=0)
    ),
    0,
    SUM(
        IFERROR(VALUE($C148),0) * MAX(0, IF(MIN($C$1, DATE(Initialisatie!$C$5,12,31)) &lt; MAX($C$2, DATE(Initialisatie!$C$5,1,1)), 0, MONTH(MIN($C$1, DATE(Initialisatie!$C$5,12,31))) - MONTH(MAX($C$2, DATE(Initialisatie!$C$5,1,1))) + 1)),
        IFERROR(VALUE($D148),0) * MAX(0, IF(MIN($D$1, DATE(Initialisatie!$C$5,12,31)) &lt; MAX($D$2, DATE(Initialisatie!$C$5,1,1)), 0, MONTH(MIN($D$1, DATE(Initialisatie!$C$5,12,31))) - MONTH(MAX($D$2, DATE(Initialisatie!$C$5,1,1))) + 1)),
        IFERROR(VALUE($E148),0) * MAX(0, IF(MIN($E$1, DATE(Initialisatie!$C$5,12,31)) &lt; MAX($E$2, DATE(Initialisatie!$C$5,1,1)), 0, MONTH(MIN($E$1, DATE(Initialisatie!$C$5,12,31))) - MONTH(MAX($E$2, DATE(Initialisatie!$C$5,1,1))) + 1))
    ) / 12
)</f>
        <v>4547.75</v>
      </c>
    </row>
    <row r="149" spans="1:8" x14ac:dyDescent="0.45">
      <c r="A149" s="997"/>
      <c r="B149" s="380">
        <v>9</v>
      </c>
      <c r="C149" t="s">
        <v>1795</v>
      </c>
      <c r="D149" t="s">
        <v>1796</v>
      </c>
      <c r="E149" t="s">
        <v>1797</v>
      </c>
      <c r="G149">
        <f>IF(
    OR(
        AND(MAX(0, MIN($C$1, DATE(Initialisatie!$C$5,12,31)) - MAX($C$2, DATE(Initialisatie!$C$5,1,1)) + 1) &gt; 0, IFERROR(VALUE($C149),0)=0),
        AND(MAX(0, MIN($D$1, DATE(Initialisatie!$C$5,12,31)) - MAX($D$2, DATE(Initialisatie!$C$5,1,1)) + 1) &gt; 0, IFERROR(VALUE($D149),0)=0),
        AND(MAX(0, MIN($E$1, DATE(Initialisatie!$C$5,12,31)) - MAX($E$2, DATE(Initialisatie!$C$5,1,1)) + 1) &gt; 0, IFERROR(VALUE($E149),0)=0)
    ),
    0,
    SUM(
        IFERROR(VALUE($C149),0) * MAX(0, MIN($C$1, DATE(Initialisatie!$C$5,12,31)) - MAX($C$2, DATE(Initialisatie!$C$5,1,1)) + 1),
        IFERROR(VALUE($D149),0) * MAX(0, MIN($D$1, DATE(Initialisatie!$C$5,12,31)) - MAX($D$2, DATE(Initialisatie!$C$5,1,1)) + 1),
        IFERROR(VALUE($E149),0) * MAX(0, MIN($E$1, DATE(Initialisatie!$C$5,12,31)) - MAX($E$2, DATE(Initialisatie!$C$5,1,1)) + 1)
    ) / (DATE(Initialisatie!$C$5,12,31) - DATE(Initialisatie!$C$5,1,1) + 1)
)</f>
        <v>4705.7013698630135</v>
      </c>
      <c r="H149">
        <f>IF(
    OR(
        AND(MAX(0, IF(MIN($C$1, DATE(Initialisatie!$C$5,12,31)) &lt; MAX($C$2, DATE(Initialisatie!$C$5,1,1)), 0, MONTH(MIN($C$1, DATE(Initialisatie!$C$5,12,31))) - MONTH(MAX($C$2, DATE(Initialisatie!$C$5,1,1))) + 1)) &lt;= 0, IFERROR(VALUE($C149),0)=0),
        AND(MAX(0, IF(MIN($D$1, DATE(Initialisatie!$C$5,12,31)) &lt; MAX($D$2, DATE(Initialisatie!$C$5,1,1)), 0, MONTH(MIN($D$1, DATE(Initialisatie!$C$5,12,31))) - MONTH(MAX($D$2, DATE(Initialisatie!$C$5,1,1))) + 1)) &lt;= 0, IFERROR(VALUE($D149),0)=0),
        AND(MAX(0, IF(MIN($E$1, DATE(Initialisatie!$C$5,12,31)) &lt; MAX($E$2, DATE(Initialisatie!$C$5,1,1)), 0, MONTH(MIN($E$1, DATE(Initialisatie!$C$5,12,31))) - MONTH(MAX($E$2, DATE(Initialisatie!$C$5,1,1))) + 1)) &lt;= 0, IFERROR(VALUE($E149),0)=0)
    ),
    0,
    SUM(
        IFERROR(VALUE($C149),0) * MAX(0, IF(MIN($C$1, DATE(Initialisatie!$C$5,12,31)) &lt; MAX($C$2, DATE(Initialisatie!$C$5,1,1)), 0, MONTH(MIN($C$1, DATE(Initialisatie!$C$5,12,31))) - MONTH(MAX($C$2, DATE(Initialisatie!$C$5,1,1))) + 1)),
        IFERROR(VALUE($D149),0) * MAX(0, IF(MIN($D$1, DATE(Initialisatie!$C$5,12,31)) &lt; MAX($D$2, DATE(Initialisatie!$C$5,1,1)), 0, MONTH(MIN($D$1, DATE(Initialisatie!$C$5,12,31))) - MONTH(MAX($D$2, DATE(Initialisatie!$C$5,1,1))) + 1)),
        IFERROR(VALUE($E149),0) * MAX(0, IF(MIN($E$1, DATE(Initialisatie!$C$5,12,31)) &lt; MAX($E$2, DATE(Initialisatie!$C$5,1,1)), 0, MONTH(MIN($E$1, DATE(Initialisatie!$C$5,12,31))) - MONTH(MAX($E$2, DATE(Initialisatie!$C$5,1,1))) + 1))
    ) / 12
)</f>
        <v>4705.5</v>
      </c>
    </row>
    <row r="150" spans="1:8" x14ac:dyDescent="0.45">
      <c r="A150" s="997"/>
      <c r="B150" s="380">
        <v>10</v>
      </c>
      <c r="C150" t="s">
        <v>1801</v>
      </c>
      <c r="D150" t="s">
        <v>1802</v>
      </c>
      <c r="E150" t="s">
        <v>1803</v>
      </c>
      <c r="G150">
        <f>IF(
    OR(
        AND(MAX(0, MIN($C$1, DATE(Initialisatie!$C$5,12,31)) - MAX($C$2, DATE(Initialisatie!$C$5,1,1)) + 1) &gt; 0, IFERROR(VALUE($C150),0)=0),
        AND(MAX(0, MIN($D$1, DATE(Initialisatie!$C$5,12,31)) - MAX($D$2, DATE(Initialisatie!$C$5,1,1)) + 1) &gt; 0, IFERROR(VALUE($D150),0)=0),
        AND(MAX(0, MIN($E$1, DATE(Initialisatie!$C$5,12,31)) - MAX($E$2, DATE(Initialisatie!$C$5,1,1)) + 1) &gt; 0, IFERROR(VALUE($E150),0)=0)
    ),
    0,
    SUM(
        IFERROR(VALUE($C150),0) * MAX(0, MIN($C$1, DATE(Initialisatie!$C$5,12,31)) - MAX($C$2, DATE(Initialisatie!$C$5,1,1)) + 1),
        IFERROR(VALUE($D150),0) * MAX(0, MIN($D$1, DATE(Initialisatie!$C$5,12,31)) - MAX($D$2, DATE(Initialisatie!$C$5,1,1)) + 1),
        IFERROR(VALUE($E150),0) * MAX(0, MIN($E$1, DATE(Initialisatie!$C$5,12,31)) - MAX($E$2, DATE(Initialisatie!$C$5,1,1)) + 1)
    ) / (DATE(Initialisatie!$C$5,12,31) - DATE(Initialisatie!$C$5,1,1) + 1)
)</f>
        <v>4865.7095890410956</v>
      </c>
      <c r="H150">
        <f>IF(
    OR(
        AND(MAX(0, IF(MIN($C$1, DATE(Initialisatie!$C$5,12,31)) &lt; MAX($C$2, DATE(Initialisatie!$C$5,1,1)), 0, MONTH(MIN($C$1, DATE(Initialisatie!$C$5,12,31))) - MONTH(MAX($C$2, DATE(Initialisatie!$C$5,1,1))) + 1)) &lt;= 0, IFERROR(VALUE($C150),0)=0),
        AND(MAX(0, IF(MIN($D$1, DATE(Initialisatie!$C$5,12,31)) &lt; MAX($D$2, DATE(Initialisatie!$C$5,1,1)), 0, MONTH(MIN($D$1, DATE(Initialisatie!$C$5,12,31))) - MONTH(MAX($D$2, DATE(Initialisatie!$C$5,1,1))) + 1)) &lt;= 0, IFERROR(VALUE($D150),0)=0),
        AND(MAX(0, IF(MIN($E$1, DATE(Initialisatie!$C$5,12,31)) &lt; MAX($E$2, DATE(Initialisatie!$C$5,1,1)), 0, MONTH(MIN($E$1, DATE(Initialisatie!$C$5,12,31))) - MONTH(MAX($E$2, DATE(Initialisatie!$C$5,1,1))) + 1)) &lt;= 0, IFERROR(VALUE($E150),0)=0)
    ),
    0,
    SUM(
        IFERROR(VALUE($C150),0) * MAX(0, IF(MIN($C$1, DATE(Initialisatie!$C$5,12,31)) &lt; MAX($C$2, DATE(Initialisatie!$C$5,1,1)), 0, MONTH(MIN($C$1, DATE(Initialisatie!$C$5,12,31))) - MONTH(MAX($C$2, DATE(Initialisatie!$C$5,1,1))) + 1)),
        IFERROR(VALUE($D150),0) * MAX(0, IF(MIN($D$1, DATE(Initialisatie!$C$5,12,31)) &lt; MAX($D$2, DATE(Initialisatie!$C$5,1,1)), 0, MONTH(MIN($D$1, DATE(Initialisatie!$C$5,12,31))) - MONTH(MAX($D$2, DATE(Initialisatie!$C$5,1,1))) + 1)),
        IFERROR(VALUE($E150),0) * MAX(0, IF(MIN($E$1, DATE(Initialisatie!$C$5,12,31)) &lt; MAX($E$2, DATE(Initialisatie!$C$5,1,1)), 0, MONTH(MIN($E$1, DATE(Initialisatie!$C$5,12,31))) - MONTH(MAX($E$2, DATE(Initialisatie!$C$5,1,1))) + 1))
    ) / 12
)</f>
        <v>4865.5</v>
      </c>
    </row>
    <row r="151" spans="1:8" x14ac:dyDescent="0.45">
      <c r="A151" s="997"/>
      <c r="B151" s="380">
        <v>11</v>
      </c>
      <c r="C151" t="s">
        <v>1804</v>
      </c>
      <c r="D151" t="s">
        <v>1805</v>
      </c>
      <c r="E151" t="s">
        <v>1806</v>
      </c>
      <c r="G151">
        <f>IF(
    OR(
        AND(MAX(0, MIN($C$1, DATE(Initialisatie!$C$5,12,31)) - MAX($C$2, DATE(Initialisatie!$C$5,1,1)) + 1) &gt; 0, IFERROR(VALUE($C151),0)=0),
        AND(MAX(0, MIN($D$1, DATE(Initialisatie!$C$5,12,31)) - MAX($D$2, DATE(Initialisatie!$C$5,1,1)) + 1) &gt; 0, IFERROR(VALUE($D151),0)=0),
        AND(MAX(0, MIN($E$1, DATE(Initialisatie!$C$5,12,31)) - MAX($E$2, DATE(Initialisatie!$C$5,1,1)) + 1) &gt; 0, IFERROR(VALUE($E151),0)=0)
    ),
    0,
    SUM(
        IFERROR(VALUE($C151),0) * MAX(0, MIN($C$1, DATE(Initialisatie!$C$5,12,31)) - MAX($C$2, DATE(Initialisatie!$C$5,1,1)) + 1),
        IFERROR(VALUE($D151),0) * MAX(0, MIN($D$1, DATE(Initialisatie!$C$5,12,31)) - MAX($D$2, DATE(Initialisatie!$C$5,1,1)) + 1),
        IFERROR(VALUE($E151),0) * MAX(0, MIN($E$1, DATE(Initialisatie!$C$5,12,31)) - MAX($E$2, DATE(Initialisatie!$C$5,1,1)) + 1)
    ) / (DATE(Initialisatie!$C$5,12,31) - DATE(Initialisatie!$C$5,1,1) + 1)
)</f>
        <v>5024.4657534246571</v>
      </c>
      <c r="H151">
        <f>IF(
    OR(
        AND(MAX(0, IF(MIN($C$1, DATE(Initialisatie!$C$5,12,31)) &lt; MAX($C$2, DATE(Initialisatie!$C$5,1,1)), 0, MONTH(MIN($C$1, DATE(Initialisatie!$C$5,12,31))) - MONTH(MAX($C$2, DATE(Initialisatie!$C$5,1,1))) + 1)) &lt;= 0, IFERROR(VALUE($C151),0)=0),
        AND(MAX(0, IF(MIN($D$1, DATE(Initialisatie!$C$5,12,31)) &lt; MAX($D$2, DATE(Initialisatie!$C$5,1,1)), 0, MONTH(MIN($D$1, DATE(Initialisatie!$C$5,12,31))) - MONTH(MAX($D$2, DATE(Initialisatie!$C$5,1,1))) + 1)) &lt;= 0, IFERROR(VALUE($D151),0)=0),
        AND(MAX(0, IF(MIN($E$1, DATE(Initialisatie!$C$5,12,31)) &lt; MAX($E$2, DATE(Initialisatie!$C$5,1,1)), 0, MONTH(MIN($E$1, DATE(Initialisatie!$C$5,12,31))) - MONTH(MAX($E$2, DATE(Initialisatie!$C$5,1,1))) + 1)) &lt;= 0, IFERROR(VALUE($E151),0)=0)
    ),
    0,
    SUM(
        IFERROR(VALUE($C151),0) * MAX(0, IF(MIN($C$1, DATE(Initialisatie!$C$5,12,31)) &lt; MAX($C$2, DATE(Initialisatie!$C$5,1,1)), 0, MONTH(MIN($C$1, DATE(Initialisatie!$C$5,12,31))) - MONTH(MAX($C$2, DATE(Initialisatie!$C$5,1,1))) + 1)),
        IFERROR(VALUE($D151),0) * MAX(0, IF(MIN($D$1, DATE(Initialisatie!$C$5,12,31)) &lt; MAX($D$2, DATE(Initialisatie!$C$5,1,1)), 0, MONTH(MIN($D$1, DATE(Initialisatie!$C$5,12,31))) - MONTH(MAX($D$2, DATE(Initialisatie!$C$5,1,1))) + 1)),
        IFERROR(VALUE($E151),0) * MAX(0, IF(MIN($E$1, DATE(Initialisatie!$C$5,12,31)) &lt; MAX($E$2, DATE(Initialisatie!$C$5,1,1)), 0, MONTH(MIN($E$1, DATE(Initialisatie!$C$5,12,31))) - MONTH(MAX($E$2, DATE(Initialisatie!$C$5,1,1))) + 1))
    ) / 12
)</f>
        <v>5024.25</v>
      </c>
    </row>
    <row r="152" spans="1:8" x14ac:dyDescent="0.45">
      <c r="A152" s="997"/>
      <c r="B152" s="380">
        <v>12</v>
      </c>
      <c r="C152" t="s">
        <v>1807</v>
      </c>
      <c r="D152" t="s">
        <v>1808</v>
      </c>
      <c r="E152" t="s">
        <v>1809</v>
      </c>
      <c r="G152">
        <f>IF(
    OR(
        AND(MAX(0, MIN($C$1, DATE(Initialisatie!$C$5,12,31)) - MAX($C$2, DATE(Initialisatie!$C$5,1,1)) + 1) &gt; 0, IFERROR(VALUE($C152),0)=0),
        AND(MAX(0, MIN($D$1, DATE(Initialisatie!$C$5,12,31)) - MAX($D$2, DATE(Initialisatie!$C$5,1,1)) + 1) &gt; 0, IFERROR(VALUE($D152),0)=0),
        AND(MAX(0, MIN($E$1, DATE(Initialisatie!$C$5,12,31)) - MAX($E$2, DATE(Initialisatie!$C$5,1,1)) + 1) &gt; 0, IFERROR(VALUE($E152),0)=0)
    ),
    0,
    SUM(
        IFERROR(VALUE($C152),0) * MAX(0, MIN($C$1, DATE(Initialisatie!$C$5,12,31)) - MAX($C$2, DATE(Initialisatie!$C$5,1,1)) + 1),
        IFERROR(VALUE($D152),0) * MAX(0, MIN($D$1, DATE(Initialisatie!$C$5,12,31)) - MAX($D$2, DATE(Initialisatie!$C$5,1,1)) + 1),
        IFERROR(VALUE($E152),0) * MAX(0, MIN($E$1, DATE(Initialisatie!$C$5,12,31)) - MAX($E$2, DATE(Initialisatie!$C$5,1,1)) + 1)
    ) / (DATE(Initialisatie!$C$5,12,31) - DATE(Initialisatie!$C$5,1,1) + 1)
)</f>
        <v>5184.2219178082196</v>
      </c>
      <c r="H152">
        <f>IF(
    OR(
        AND(MAX(0, IF(MIN($C$1, DATE(Initialisatie!$C$5,12,31)) &lt; MAX($C$2, DATE(Initialisatie!$C$5,1,1)), 0, MONTH(MIN($C$1, DATE(Initialisatie!$C$5,12,31))) - MONTH(MAX($C$2, DATE(Initialisatie!$C$5,1,1))) + 1)) &lt;= 0, IFERROR(VALUE($C152),0)=0),
        AND(MAX(0, IF(MIN($D$1, DATE(Initialisatie!$C$5,12,31)) &lt; MAX($D$2, DATE(Initialisatie!$C$5,1,1)), 0, MONTH(MIN($D$1, DATE(Initialisatie!$C$5,12,31))) - MONTH(MAX($D$2, DATE(Initialisatie!$C$5,1,1))) + 1)) &lt;= 0, IFERROR(VALUE($D152),0)=0),
        AND(MAX(0, IF(MIN($E$1, DATE(Initialisatie!$C$5,12,31)) &lt; MAX($E$2, DATE(Initialisatie!$C$5,1,1)), 0, MONTH(MIN($E$1, DATE(Initialisatie!$C$5,12,31))) - MONTH(MAX($E$2, DATE(Initialisatie!$C$5,1,1))) + 1)) &lt;= 0, IFERROR(VALUE($E152),0)=0)
    ),
    0,
    SUM(
        IFERROR(VALUE($C152),0) * MAX(0, IF(MIN($C$1, DATE(Initialisatie!$C$5,12,31)) &lt; MAX($C$2, DATE(Initialisatie!$C$5,1,1)), 0, MONTH(MIN($C$1, DATE(Initialisatie!$C$5,12,31))) - MONTH(MAX($C$2, DATE(Initialisatie!$C$5,1,1))) + 1)),
        IFERROR(VALUE($D152),0) * MAX(0, IF(MIN($D$1, DATE(Initialisatie!$C$5,12,31)) &lt; MAX($D$2, DATE(Initialisatie!$C$5,1,1)), 0, MONTH(MIN($D$1, DATE(Initialisatie!$C$5,12,31))) - MONTH(MAX($D$2, DATE(Initialisatie!$C$5,1,1))) + 1)),
        IFERROR(VALUE($E152),0) * MAX(0, IF(MIN($E$1, DATE(Initialisatie!$C$5,12,31)) &lt; MAX($E$2, DATE(Initialisatie!$C$5,1,1)), 0, MONTH(MIN($E$1, DATE(Initialisatie!$C$5,12,31))) - MONTH(MAX($E$2, DATE(Initialisatie!$C$5,1,1))) + 1))
    ) / 12
)</f>
        <v>5184</v>
      </c>
    </row>
    <row r="153" spans="1:8" x14ac:dyDescent="0.45">
      <c r="A153" s="997"/>
      <c r="B153" s="380">
        <v>13</v>
      </c>
      <c r="C153" t="s">
        <v>1813</v>
      </c>
      <c r="D153" t="s">
        <v>1814</v>
      </c>
      <c r="E153" t="s">
        <v>1815</v>
      </c>
      <c r="G153">
        <f>IF(
    OR(
        AND(MAX(0, MIN($C$1, DATE(Initialisatie!$C$5,12,31)) - MAX($C$2, DATE(Initialisatie!$C$5,1,1)) + 1) &gt; 0, IFERROR(VALUE($C153),0)=0),
        AND(MAX(0, MIN($D$1, DATE(Initialisatie!$C$5,12,31)) - MAX($D$2, DATE(Initialisatie!$C$5,1,1)) + 1) &gt; 0, IFERROR(VALUE($D153),0)=0),
        AND(MAX(0, MIN($E$1, DATE(Initialisatie!$C$5,12,31)) - MAX($E$2, DATE(Initialisatie!$C$5,1,1)) + 1) &gt; 0, IFERROR(VALUE($E153),0)=0)
    ),
    0,
    SUM(
        IFERROR(VALUE($C153),0) * MAX(0, MIN($C$1, DATE(Initialisatie!$C$5,12,31)) - MAX($C$2, DATE(Initialisatie!$C$5,1,1)) + 1),
        IFERROR(VALUE($D153),0) * MAX(0, MIN($D$1, DATE(Initialisatie!$C$5,12,31)) - MAX($D$2, DATE(Initialisatie!$C$5,1,1)) + 1),
        IFERROR(VALUE($E153),0) * MAX(0, MIN($E$1, DATE(Initialisatie!$C$5,12,31)) - MAX($E$2, DATE(Initialisatie!$C$5,1,1)) + 1)
    ) / (DATE(Initialisatie!$C$5,12,31) - DATE(Initialisatie!$C$5,1,1) + 1)
)</f>
        <v>5352.2301369863017</v>
      </c>
      <c r="H153">
        <f>IF(
    OR(
        AND(MAX(0, IF(MIN($C$1, DATE(Initialisatie!$C$5,12,31)) &lt; MAX($C$2, DATE(Initialisatie!$C$5,1,1)), 0, MONTH(MIN($C$1, DATE(Initialisatie!$C$5,12,31))) - MONTH(MAX($C$2, DATE(Initialisatie!$C$5,1,1))) + 1)) &lt;= 0, IFERROR(VALUE($C153),0)=0),
        AND(MAX(0, IF(MIN($D$1, DATE(Initialisatie!$C$5,12,31)) &lt; MAX($D$2, DATE(Initialisatie!$C$5,1,1)), 0, MONTH(MIN($D$1, DATE(Initialisatie!$C$5,12,31))) - MONTH(MAX($D$2, DATE(Initialisatie!$C$5,1,1))) + 1)) &lt;= 0, IFERROR(VALUE($D153),0)=0),
        AND(MAX(0, IF(MIN($E$1, DATE(Initialisatie!$C$5,12,31)) &lt; MAX($E$2, DATE(Initialisatie!$C$5,1,1)), 0, MONTH(MIN($E$1, DATE(Initialisatie!$C$5,12,31))) - MONTH(MAX($E$2, DATE(Initialisatie!$C$5,1,1))) + 1)) &lt;= 0, IFERROR(VALUE($E153),0)=0)
    ),
    0,
    SUM(
        IFERROR(VALUE($C153),0) * MAX(0, IF(MIN($C$1, DATE(Initialisatie!$C$5,12,31)) &lt; MAX($C$2, DATE(Initialisatie!$C$5,1,1)), 0, MONTH(MIN($C$1, DATE(Initialisatie!$C$5,12,31))) - MONTH(MAX($C$2, DATE(Initialisatie!$C$5,1,1))) + 1)),
        IFERROR(VALUE($D153),0) * MAX(0, IF(MIN($D$1, DATE(Initialisatie!$C$5,12,31)) &lt; MAX($D$2, DATE(Initialisatie!$C$5,1,1)), 0, MONTH(MIN($D$1, DATE(Initialisatie!$C$5,12,31))) - MONTH(MAX($D$2, DATE(Initialisatie!$C$5,1,1))) + 1)),
        IFERROR(VALUE($E153),0) * MAX(0, IF(MIN($E$1, DATE(Initialisatie!$C$5,12,31)) &lt; MAX($E$2, DATE(Initialisatie!$C$5,1,1)), 0, MONTH(MIN($E$1, DATE(Initialisatie!$C$5,12,31))) - MONTH(MAX($E$2, DATE(Initialisatie!$C$5,1,1))) + 1))
    ) / 12
)</f>
        <v>5352</v>
      </c>
    </row>
    <row r="154" spans="1:8" x14ac:dyDescent="0.45">
      <c r="A154" s="997"/>
      <c r="B154" s="380">
        <v>14</v>
      </c>
      <c r="C154" t="s">
        <v>1816</v>
      </c>
      <c r="D154" t="s">
        <v>1817</v>
      </c>
      <c r="E154" t="s">
        <v>1818</v>
      </c>
      <c r="G154">
        <f>IF(
    OR(
        AND(MAX(0, MIN($C$1, DATE(Initialisatie!$C$5,12,31)) - MAX($C$2, DATE(Initialisatie!$C$5,1,1)) + 1) &gt; 0, IFERROR(VALUE($C154),0)=0),
        AND(MAX(0, MIN($D$1, DATE(Initialisatie!$C$5,12,31)) - MAX($D$2, DATE(Initialisatie!$C$5,1,1)) + 1) &gt; 0, IFERROR(VALUE($D154),0)=0),
        AND(MAX(0, MIN($E$1, DATE(Initialisatie!$C$5,12,31)) - MAX($E$2, DATE(Initialisatie!$C$5,1,1)) + 1) &gt; 0, IFERROR(VALUE($E154),0)=0)
    ),
    0,
    SUM(
        IFERROR(VALUE($C154),0) * MAX(0, MIN($C$1, DATE(Initialisatie!$C$5,12,31)) - MAX($C$2, DATE(Initialisatie!$C$5,1,1)) + 1),
        IFERROR(VALUE($D154),0) * MAX(0, MIN($D$1, DATE(Initialisatie!$C$5,12,31)) - MAX($D$2, DATE(Initialisatie!$C$5,1,1)) + 1),
        IFERROR(VALUE($E154),0) * MAX(0, MIN($E$1, DATE(Initialisatie!$C$5,12,31)) - MAX($E$2, DATE(Initialisatie!$C$5,1,1)) + 1)
    ) / (DATE(Initialisatie!$C$5,12,31) - DATE(Initialisatie!$C$5,1,1) + 1)
)</f>
        <v>5538.2383561643837</v>
      </c>
      <c r="H154">
        <f>IF(
    OR(
        AND(MAX(0, IF(MIN($C$1, DATE(Initialisatie!$C$5,12,31)) &lt; MAX($C$2, DATE(Initialisatie!$C$5,1,1)), 0, MONTH(MIN($C$1, DATE(Initialisatie!$C$5,12,31))) - MONTH(MAX($C$2, DATE(Initialisatie!$C$5,1,1))) + 1)) &lt;= 0, IFERROR(VALUE($C154),0)=0),
        AND(MAX(0, IF(MIN($D$1, DATE(Initialisatie!$C$5,12,31)) &lt; MAX($D$2, DATE(Initialisatie!$C$5,1,1)), 0, MONTH(MIN($D$1, DATE(Initialisatie!$C$5,12,31))) - MONTH(MAX($D$2, DATE(Initialisatie!$C$5,1,1))) + 1)) &lt;= 0, IFERROR(VALUE($D154),0)=0),
        AND(MAX(0, IF(MIN($E$1, DATE(Initialisatie!$C$5,12,31)) &lt; MAX($E$2, DATE(Initialisatie!$C$5,1,1)), 0, MONTH(MIN($E$1, DATE(Initialisatie!$C$5,12,31))) - MONTH(MAX($E$2, DATE(Initialisatie!$C$5,1,1))) + 1)) &lt;= 0, IFERROR(VALUE($E154),0)=0)
    ),
    0,
    SUM(
        IFERROR(VALUE($C154),0) * MAX(0, IF(MIN($C$1, DATE(Initialisatie!$C$5,12,31)) &lt; MAX($C$2, DATE(Initialisatie!$C$5,1,1)), 0, MONTH(MIN($C$1, DATE(Initialisatie!$C$5,12,31))) - MONTH(MAX($C$2, DATE(Initialisatie!$C$5,1,1))) + 1)),
        IFERROR(VALUE($D154),0) * MAX(0, IF(MIN($D$1, DATE(Initialisatie!$C$5,12,31)) &lt; MAX($D$2, DATE(Initialisatie!$C$5,1,1)), 0, MONTH(MIN($D$1, DATE(Initialisatie!$C$5,12,31))) - MONTH(MAX($D$2, DATE(Initialisatie!$C$5,1,1))) + 1)),
        IFERROR(VALUE($E154),0) * MAX(0, IF(MIN($E$1, DATE(Initialisatie!$C$5,12,31)) &lt; MAX($E$2, DATE(Initialisatie!$C$5,1,1)), 0, MONTH(MIN($E$1, DATE(Initialisatie!$C$5,12,31))) - MONTH(MAX($E$2, DATE(Initialisatie!$C$5,1,1))) + 1))
    ) / 12
)</f>
        <v>5538</v>
      </c>
    </row>
    <row r="155" spans="1:8" x14ac:dyDescent="0.45">
      <c r="A155" s="997"/>
      <c r="B155" s="380">
        <v>15</v>
      </c>
      <c r="C155" t="s">
        <v>1819</v>
      </c>
      <c r="D155" t="s">
        <v>1820</v>
      </c>
      <c r="E155" t="s">
        <v>1821</v>
      </c>
      <c r="G155">
        <f>IF(
    OR(
        AND(MAX(0, MIN($C$1, DATE(Initialisatie!$C$5,12,31)) - MAX($C$2, DATE(Initialisatie!$C$5,1,1)) + 1) &gt; 0, IFERROR(VALUE($C155),0)=0),
        AND(MAX(0, MIN($D$1, DATE(Initialisatie!$C$5,12,31)) - MAX($D$2, DATE(Initialisatie!$C$5,1,1)) + 1) &gt; 0, IFERROR(VALUE($D155),0)=0),
        AND(MAX(0, MIN($E$1, DATE(Initialisatie!$C$5,12,31)) - MAX($E$2, DATE(Initialisatie!$C$5,1,1)) + 1) &gt; 0, IFERROR(VALUE($E155),0)=0)
    ),
    0,
    SUM(
        IFERROR(VALUE($C155),0) * MAX(0, MIN($C$1, DATE(Initialisatie!$C$5,12,31)) - MAX($C$2, DATE(Initialisatie!$C$5,1,1)) + 1),
        IFERROR(VALUE($D155),0) * MAX(0, MIN($D$1, DATE(Initialisatie!$C$5,12,31)) - MAX($D$2, DATE(Initialisatie!$C$5,1,1)) + 1),
        IFERROR(VALUE($E155),0) * MAX(0, MIN($E$1, DATE(Initialisatie!$C$5,12,31)) - MAX($E$2, DATE(Initialisatie!$C$5,1,1)) + 1)
    ) / (DATE(Initialisatie!$C$5,12,31) - DATE(Initialisatie!$C$5,1,1) + 1)
)</f>
        <v>5735.2465753424658</v>
      </c>
      <c r="H155">
        <f>IF(
    OR(
        AND(MAX(0, IF(MIN($C$1, DATE(Initialisatie!$C$5,12,31)) &lt; MAX($C$2, DATE(Initialisatie!$C$5,1,1)), 0, MONTH(MIN($C$1, DATE(Initialisatie!$C$5,12,31))) - MONTH(MAX($C$2, DATE(Initialisatie!$C$5,1,1))) + 1)) &lt;= 0, IFERROR(VALUE($C155),0)=0),
        AND(MAX(0, IF(MIN($D$1, DATE(Initialisatie!$C$5,12,31)) &lt; MAX($D$2, DATE(Initialisatie!$C$5,1,1)), 0, MONTH(MIN($D$1, DATE(Initialisatie!$C$5,12,31))) - MONTH(MAX($D$2, DATE(Initialisatie!$C$5,1,1))) + 1)) &lt;= 0, IFERROR(VALUE($D155),0)=0),
        AND(MAX(0, IF(MIN($E$1, DATE(Initialisatie!$C$5,12,31)) &lt; MAX($E$2, DATE(Initialisatie!$C$5,1,1)), 0, MONTH(MIN($E$1, DATE(Initialisatie!$C$5,12,31))) - MONTH(MAX($E$2, DATE(Initialisatie!$C$5,1,1))) + 1)) &lt;= 0, IFERROR(VALUE($E155),0)=0)
    ),
    0,
    SUM(
        IFERROR(VALUE($C155),0) * MAX(0, IF(MIN($C$1, DATE(Initialisatie!$C$5,12,31)) &lt; MAX($C$2, DATE(Initialisatie!$C$5,1,1)), 0, MONTH(MIN($C$1, DATE(Initialisatie!$C$5,12,31))) - MONTH(MAX($C$2, DATE(Initialisatie!$C$5,1,1))) + 1)),
        IFERROR(VALUE($D155),0) * MAX(0, IF(MIN($D$1, DATE(Initialisatie!$C$5,12,31)) &lt; MAX($D$2, DATE(Initialisatie!$C$5,1,1)), 0, MONTH(MIN($D$1, DATE(Initialisatie!$C$5,12,31))) - MONTH(MAX($D$2, DATE(Initialisatie!$C$5,1,1))) + 1)),
        IFERROR(VALUE($E155),0) * MAX(0, IF(MIN($E$1, DATE(Initialisatie!$C$5,12,31)) &lt; MAX($E$2, DATE(Initialisatie!$C$5,1,1)), 0, MONTH(MIN($E$1, DATE(Initialisatie!$C$5,12,31))) - MONTH(MAX($E$2, DATE(Initialisatie!$C$5,1,1))) + 1))
    ) / 12
)</f>
        <v>5735</v>
      </c>
    </row>
    <row r="156" spans="1:8" x14ac:dyDescent="0.45">
      <c r="A156" s="998"/>
      <c r="B156" s="380" t="s">
        <v>517</v>
      </c>
      <c r="C156" t="s">
        <v>1822</v>
      </c>
      <c r="D156" t="s">
        <v>1823</v>
      </c>
      <c r="E156" t="s">
        <v>1824</v>
      </c>
      <c r="G156">
        <f>IF(
    OR(
        AND(MAX(0, MIN($C$1, DATE(Initialisatie!$C$5,12,31)) - MAX($C$2, DATE(Initialisatie!$C$5,1,1)) + 1) &gt; 0, IFERROR(VALUE($C156),0)=0),
        AND(MAX(0, MIN($D$1, DATE(Initialisatie!$C$5,12,31)) - MAX($D$2, DATE(Initialisatie!$C$5,1,1)) + 1) &gt; 0, IFERROR(VALUE($D156),0)=0),
        AND(MAX(0, MIN($E$1, DATE(Initialisatie!$C$5,12,31)) - MAX($E$2, DATE(Initialisatie!$C$5,1,1)) + 1) &gt; 0, IFERROR(VALUE($E156),0)=0)
    ),
    0,
    SUM(
        IFERROR(VALUE($C156),0) * MAX(0, MIN($C$1, DATE(Initialisatie!$C$5,12,31)) - MAX($C$2, DATE(Initialisatie!$C$5,1,1)) + 1),
        IFERROR(VALUE($D156),0) * MAX(0, MIN($D$1, DATE(Initialisatie!$C$5,12,31)) - MAX($D$2, DATE(Initialisatie!$C$5,1,1)) + 1),
        IFERROR(VALUE($E156),0) * MAX(0, MIN($E$1, DATE(Initialisatie!$C$5,12,31)) - MAX($E$2, DATE(Initialisatie!$C$5,1,1)) + 1)
    ) / (DATE(Initialisatie!$C$5,12,31) - DATE(Initialisatie!$C$5,1,1) + 1)
)</f>
        <v>3630.1561643835616</v>
      </c>
      <c r="H156">
        <f>IF(
    OR(
        AND(MAX(0, IF(MIN($C$1, DATE(Initialisatie!$C$5,12,31)) &lt; MAX($C$2, DATE(Initialisatie!$C$5,1,1)), 0, MONTH(MIN($C$1, DATE(Initialisatie!$C$5,12,31))) - MONTH(MAX($C$2, DATE(Initialisatie!$C$5,1,1))) + 1)) &lt;= 0, IFERROR(VALUE($C156),0)=0),
        AND(MAX(0, IF(MIN($D$1, DATE(Initialisatie!$C$5,12,31)) &lt; MAX($D$2, DATE(Initialisatie!$C$5,1,1)), 0, MONTH(MIN($D$1, DATE(Initialisatie!$C$5,12,31))) - MONTH(MAX($D$2, DATE(Initialisatie!$C$5,1,1))) + 1)) &lt;= 0, IFERROR(VALUE($D156),0)=0),
        AND(MAX(0, IF(MIN($E$1, DATE(Initialisatie!$C$5,12,31)) &lt; MAX($E$2, DATE(Initialisatie!$C$5,1,1)), 0, MONTH(MIN($E$1, DATE(Initialisatie!$C$5,12,31))) - MONTH(MAX($E$2, DATE(Initialisatie!$C$5,1,1))) + 1)) &lt;= 0, IFERROR(VALUE($E156),0)=0)
    ),
    0,
    SUM(
        IFERROR(VALUE($C156),0) * MAX(0, IF(MIN($C$1, DATE(Initialisatie!$C$5,12,31)) &lt; MAX($C$2, DATE(Initialisatie!$C$5,1,1)), 0, MONTH(MIN($C$1, DATE(Initialisatie!$C$5,12,31))) - MONTH(MAX($C$2, DATE(Initialisatie!$C$5,1,1))) + 1)),
        IFERROR(VALUE($D156),0) * MAX(0, IF(MIN($D$1, DATE(Initialisatie!$C$5,12,31)) &lt; MAX($D$2, DATE(Initialisatie!$C$5,1,1)), 0, MONTH(MIN($D$1, DATE(Initialisatie!$C$5,12,31))) - MONTH(MAX($D$2, DATE(Initialisatie!$C$5,1,1))) + 1)),
        IFERROR(VALUE($E156),0) * MAX(0, IF(MIN($E$1, DATE(Initialisatie!$C$5,12,31)) &lt; MAX($E$2, DATE(Initialisatie!$C$5,1,1)), 0, MONTH(MIN($E$1, DATE(Initialisatie!$C$5,12,31))) - MONTH(MAX($E$2, DATE(Initialisatie!$C$5,1,1))) + 1))
    ) / 12
)</f>
        <v>3630</v>
      </c>
    </row>
    <row r="157" spans="1:8" x14ac:dyDescent="0.45">
      <c r="A157" s="996">
        <v>10</v>
      </c>
      <c r="B157" s="380">
        <v>0</v>
      </c>
      <c r="C157" t="s">
        <v>1776</v>
      </c>
      <c r="D157" t="s">
        <v>1777</v>
      </c>
      <c r="E157" t="s">
        <v>1778</v>
      </c>
      <c r="G157">
        <f>IF(
    OR(
        AND(MAX(0, MIN($C$1, DATE(Initialisatie!$C$5,12,31)) - MAX($C$2, DATE(Initialisatie!$C$5,1,1)) + 1) &gt; 0, IFERROR(VALUE($C157),0)=0),
        AND(MAX(0, MIN($D$1, DATE(Initialisatie!$C$5,12,31)) - MAX($D$2, DATE(Initialisatie!$C$5,1,1)) + 1) &gt; 0, IFERROR(VALUE($D157),0)=0),
        AND(MAX(0, MIN($E$1, DATE(Initialisatie!$C$5,12,31)) - MAX($E$2, DATE(Initialisatie!$C$5,1,1)) + 1) &gt; 0, IFERROR(VALUE($E157),0)=0)
    ),
    0,
    SUM(
        IFERROR(VALUE($C157),0) * MAX(0, MIN($C$1, DATE(Initialisatie!$C$5,12,31)) - MAX($C$2, DATE(Initialisatie!$C$5,1,1)) + 1),
        IFERROR(VALUE($D157),0) * MAX(0, MIN($D$1, DATE(Initialisatie!$C$5,12,31)) - MAX($D$2, DATE(Initialisatie!$C$5,1,1)) + 1),
        IFERROR(VALUE($E157),0) * MAX(0, MIN($E$1, DATE(Initialisatie!$C$5,12,31)) - MAX($E$2, DATE(Initialisatie!$C$5,1,1)) + 1)
    ) / (DATE(Initialisatie!$C$5,12,31) - DATE(Initialisatie!$C$5,1,1) + 1)
)</f>
        <v>4025.1726027397262</v>
      </c>
      <c r="H157">
        <f>IF(
    OR(
        AND(MAX(0, IF(MIN($C$1, DATE(Initialisatie!$C$5,12,31)) &lt; MAX($C$2, DATE(Initialisatie!$C$5,1,1)), 0, MONTH(MIN($C$1, DATE(Initialisatie!$C$5,12,31))) - MONTH(MAX($C$2, DATE(Initialisatie!$C$5,1,1))) + 1)) &lt;= 0, IFERROR(VALUE($C157),0)=0),
        AND(MAX(0, IF(MIN($D$1, DATE(Initialisatie!$C$5,12,31)) &lt; MAX($D$2, DATE(Initialisatie!$C$5,1,1)), 0, MONTH(MIN($D$1, DATE(Initialisatie!$C$5,12,31))) - MONTH(MAX($D$2, DATE(Initialisatie!$C$5,1,1))) + 1)) &lt;= 0, IFERROR(VALUE($D157),0)=0),
        AND(MAX(0, IF(MIN($E$1, DATE(Initialisatie!$C$5,12,31)) &lt; MAX($E$2, DATE(Initialisatie!$C$5,1,1)), 0, MONTH(MIN($E$1, DATE(Initialisatie!$C$5,12,31))) - MONTH(MAX($E$2, DATE(Initialisatie!$C$5,1,1))) + 1)) &lt;= 0, IFERROR(VALUE($E157),0)=0)
    ),
    0,
    SUM(
        IFERROR(VALUE($C157),0) * MAX(0, IF(MIN($C$1, DATE(Initialisatie!$C$5,12,31)) &lt; MAX($C$2, DATE(Initialisatie!$C$5,1,1)), 0, MONTH(MIN($C$1, DATE(Initialisatie!$C$5,12,31))) - MONTH(MAX($C$2, DATE(Initialisatie!$C$5,1,1))) + 1)),
        IFERROR(VALUE($D157),0) * MAX(0, IF(MIN($D$1, DATE(Initialisatie!$C$5,12,31)) &lt; MAX($D$2, DATE(Initialisatie!$C$5,1,1)), 0, MONTH(MIN($D$1, DATE(Initialisatie!$C$5,12,31))) - MONTH(MAX($D$2, DATE(Initialisatie!$C$5,1,1))) + 1)),
        IFERROR(VALUE($E157),0) * MAX(0, IF(MIN($E$1, DATE(Initialisatie!$C$5,12,31)) &lt; MAX($E$2, DATE(Initialisatie!$C$5,1,1)), 0, MONTH(MIN($E$1, DATE(Initialisatie!$C$5,12,31))) - MONTH(MAX($E$2, DATE(Initialisatie!$C$5,1,1))) + 1))
    ) / 12
)</f>
        <v>4025</v>
      </c>
    </row>
    <row r="158" spans="1:8" x14ac:dyDescent="0.45">
      <c r="A158" s="997"/>
      <c r="B158" s="380">
        <v>1</v>
      </c>
      <c r="C158" t="s">
        <v>1779</v>
      </c>
      <c r="D158" t="s">
        <v>1780</v>
      </c>
      <c r="E158" t="s">
        <v>1781</v>
      </c>
      <c r="G158">
        <f>IF(
    OR(
        AND(MAX(0, MIN($C$1, DATE(Initialisatie!$C$5,12,31)) - MAX($C$2, DATE(Initialisatie!$C$5,1,1)) + 1) &gt; 0, IFERROR(VALUE($C158),0)=0),
        AND(MAX(0, MIN($D$1, DATE(Initialisatie!$C$5,12,31)) - MAX($D$2, DATE(Initialisatie!$C$5,1,1)) + 1) &gt; 0, IFERROR(VALUE($D158),0)=0),
        AND(MAX(0, MIN($E$1, DATE(Initialisatie!$C$5,12,31)) - MAX($E$2, DATE(Initialisatie!$C$5,1,1)) + 1) &gt; 0, IFERROR(VALUE($E158),0)=0)
    ),
    0,
    SUM(
        IFERROR(VALUE($C158),0) * MAX(0, MIN($C$1, DATE(Initialisatie!$C$5,12,31)) - MAX($C$2, DATE(Initialisatie!$C$5,1,1)) + 1),
        IFERROR(VALUE($D158),0) * MAX(0, MIN($D$1, DATE(Initialisatie!$C$5,12,31)) - MAX($D$2, DATE(Initialisatie!$C$5,1,1)) + 1),
        IFERROR(VALUE($E158),0) * MAX(0, MIN($E$1, DATE(Initialisatie!$C$5,12,31)) - MAX($E$2, DATE(Initialisatie!$C$5,1,1)) + 1)
    ) / (DATE(Initialisatie!$C$5,12,31) - DATE(Initialisatie!$C$5,1,1) + 1)
)</f>
        <v>4128.6767123287673</v>
      </c>
      <c r="H158">
        <f>IF(
    OR(
        AND(MAX(0, IF(MIN($C$1, DATE(Initialisatie!$C$5,12,31)) &lt; MAX($C$2, DATE(Initialisatie!$C$5,1,1)), 0, MONTH(MIN($C$1, DATE(Initialisatie!$C$5,12,31))) - MONTH(MAX($C$2, DATE(Initialisatie!$C$5,1,1))) + 1)) &lt;= 0, IFERROR(VALUE($C158),0)=0),
        AND(MAX(0, IF(MIN($D$1, DATE(Initialisatie!$C$5,12,31)) &lt; MAX($D$2, DATE(Initialisatie!$C$5,1,1)), 0, MONTH(MIN($D$1, DATE(Initialisatie!$C$5,12,31))) - MONTH(MAX($D$2, DATE(Initialisatie!$C$5,1,1))) + 1)) &lt;= 0, IFERROR(VALUE($D158),0)=0),
        AND(MAX(0, IF(MIN($E$1, DATE(Initialisatie!$C$5,12,31)) &lt; MAX($E$2, DATE(Initialisatie!$C$5,1,1)), 0, MONTH(MIN($E$1, DATE(Initialisatie!$C$5,12,31))) - MONTH(MAX($E$2, DATE(Initialisatie!$C$5,1,1))) + 1)) &lt;= 0, IFERROR(VALUE($E158),0)=0)
    ),
    0,
    SUM(
        IFERROR(VALUE($C158),0) * MAX(0, IF(MIN($C$1, DATE(Initialisatie!$C$5,12,31)) &lt; MAX($C$2, DATE(Initialisatie!$C$5,1,1)), 0, MONTH(MIN($C$1, DATE(Initialisatie!$C$5,12,31))) - MONTH(MAX($C$2, DATE(Initialisatie!$C$5,1,1))) + 1)),
        IFERROR(VALUE($D158),0) * MAX(0, IF(MIN($D$1, DATE(Initialisatie!$C$5,12,31)) &lt; MAX($D$2, DATE(Initialisatie!$C$5,1,1)), 0, MONTH(MIN($D$1, DATE(Initialisatie!$C$5,12,31))) - MONTH(MAX($D$2, DATE(Initialisatie!$C$5,1,1))) + 1)),
        IFERROR(VALUE($E158),0) * MAX(0, IF(MIN($E$1, DATE(Initialisatie!$C$5,12,31)) &lt; MAX($E$2, DATE(Initialisatie!$C$5,1,1)), 0, MONTH(MIN($E$1, DATE(Initialisatie!$C$5,12,31))) - MONTH(MAX($E$2, DATE(Initialisatie!$C$5,1,1))) + 1))
    ) / 12
)</f>
        <v>4128.5</v>
      </c>
    </row>
    <row r="159" spans="1:8" x14ac:dyDescent="0.45">
      <c r="A159" s="997"/>
      <c r="B159" s="380">
        <v>2</v>
      </c>
      <c r="C159" t="s">
        <v>1782</v>
      </c>
      <c r="D159" t="s">
        <v>1781</v>
      </c>
      <c r="E159" t="s">
        <v>1783</v>
      </c>
      <c r="G159">
        <f>IF(
    OR(
        AND(MAX(0, MIN($C$1, DATE(Initialisatie!$C$5,12,31)) - MAX($C$2, DATE(Initialisatie!$C$5,1,1)) + 1) &gt; 0, IFERROR(VALUE($C159),0)=0),
        AND(MAX(0, MIN($D$1, DATE(Initialisatie!$C$5,12,31)) - MAX($D$2, DATE(Initialisatie!$C$5,1,1)) + 1) &gt; 0, IFERROR(VALUE($D159),0)=0),
        AND(MAX(0, MIN($E$1, DATE(Initialisatie!$C$5,12,31)) - MAX($E$2, DATE(Initialisatie!$C$5,1,1)) + 1) &gt; 0, IFERROR(VALUE($E159),0)=0)
    ),
    0,
    SUM(
        IFERROR(VALUE($C159),0) * MAX(0, MIN($C$1, DATE(Initialisatie!$C$5,12,31)) - MAX($C$2, DATE(Initialisatie!$C$5,1,1)) + 1),
        IFERROR(VALUE($D159),0) * MAX(0, MIN($D$1, DATE(Initialisatie!$C$5,12,31)) - MAX($D$2, DATE(Initialisatie!$C$5,1,1)) + 1),
        IFERROR(VALUE($E159),0) * MAX(0, MIN($E$1, DATE(Initialisatie!$C$5,12,31)) - MAX($E$2, DATE(Initialisatie!$C$5,1,1)) + 1)
    ) / (DATE(Initialisatie!$C$5,12,31) - DATE(Initialisatie!$C$5,1,1) + 1)
)</f>
        <v>4215.1808219178083</v>
      </c>
      <c r="H159">
        <f>IF(
    OR(
        AND(MAX(0, IF(MIN($C$1, DATE(Initialisatie!$C$5,12,31)) &lt; MAX($C$2, DATE(Initialisatie!$C$5,1,1)), 0, MONTH(MIN($C$1, DATE(Initialisatie!$C$5,12,31))) - MONTH(MAX($C$2, DATE(Initialisatie!$C$5,1,1))) + 1)) &lt;= 0, IFERROR(VALUE($C159),0)=0),
        AND(MAX(0, IF(MIN($D$1, DATE(Initialisatie!$C$5,12,31)) &lt; MAX($D$2, DATE(Initialisatie!$C$5,1,1)), 0, MONTH(MIN($D$1, DATE(Initialisatie!$C$5,12,31))) - MONTH(MAX($D$2, DATE(Initialisatie!$C$5,1,1))) + 1)) &lt;= 0, IFERROR(VALUE($D159),0)=0),
        AND(MAX(0, IF(MIN($E$1, DATE(Initialisatie!$C$5,12,31)) &lt; MAX($E$2, DATE(Initialisatie!$C$5,1,1)), 0, MONTH(MIN($E$1, DATE(Initialisatie!$C$5,12,31))) - MONTH(MAX($E$2, DATE(Initialisatie!$C$5,1,1))) + 1)) &lt;= 0, IFERROR(VALUE($E159),0)=0)
    ),
    0,
    SUM(
        IFERROR(VALUE($C159),0) * MAX(0, IF(MIN($C$1, DATE(Initialisatie!$C$5,12,31)) &lt; MAX($C$2, DATE(Initialisatie!$C$5,1,1)), 0, MONTH(MIN($C$1, DATE(Initialisatie!$C$5,12,31))) - MONTH(MAX($C$2, DATE(Initialisatie!$C$5,1,1))) + 1)),
        IFERROR(VALUE($D159),0) * MAX(0, IF(MIN($D$1, DATE(Initialisatie!$C$5,12,31)) &lt; MAX($D$2, DATE(Initialisatie!$C$5,1,1)), 0, MONTH(MIN($D$1, DATE(Initialisatie!$C$5,12,31))) - MONTH(MAX($D$2, DATE(Initialisatie!$C$5,1,1))) + 1)),
        IFERROR(VALUE($E159),0) * MAX(0, IF(MIN($E$1, DATE(Initialisatie!$C$5,12,31)) &lt; MAX($E$2, DATE(Initialisatie!$C$5,1,1)), 0, MONTH(MIN($E$1, DATE(Initialisatie!$C$5,12,31))) - MONTH(MAX($E$2, DATE(Initialisatie!$C$5,1,1))) + 1))
    ) / 12
)</f>
        <v>4215</v>
      </c>
    </row>
    <row r="160" spans="1:8" x14ac:dyDescent="0.45">
      <c r="A160" s="997"/>
      <c r="B160" s="380">
        <v>3</v>
      </c>
      <c r="C160" t="s">
        <v>1784</v>
      </c>
      <c r="D160" t="s">
        <v>1785</v>
      </c>
      <c r="E160" t="s">
        <v>1786</v>
      </c>
      <c r="G160">
        <f>IF(
    OR(
        AND(MAX(0, MIN($C$1, DATE(Initialisatie!$C$5,12,31)) - MAX($C$2, DATE(Initialisatie!$C$5,1,1)) + 1) &gt; 0, IFERROR(VALUE($C160),0)=0),
        AND(MAX(0, MIN($D$1, DATE(Initialisatie!$C$5,12,31)) - MAX($D$2, DATE(Initialisatie!$C$5,1,1)) + 1) &gt; 0, IFERROR(VALUE($D160),0)=0),
        AND(MAX(0, MIN($E$1, DATE(Initialisatie!$C$5,12,31)) - MAX($E$2, DATE(Initialisatie!$C$5,1,1)) + 1) &gt; 0, IFERROR(VALUE($E160),0)=0)
    ),
    0,
    SUM(
        IFERROR(VALUE($C160),0) * MAX(0, MIN($C$1, DATE(Initialisatie!$C$5,12,31)) - MAX($C$2, DATE(Initialisatie!$C$5,1,1)) + 1),
        IFERROR(VALUE($D160),0) * MAX(0, MIN($D$1, DATE(Initialisatie!$C$5,12,31)) - MAX($D$2, DATE(Initialisatie!$C$5,1,1)) + 1),
        IFERROR(VALUE($E160),0) * MAX(0, MIN($E$1, DATE(Initialisatie!$C$5,12,31)) - MAX($E$2, DATE(Initialisatie!$C$5,1,1)) + 1)
    ) / (DATE(Initialisatie!$C$5,12,31) - DATE(Initialisatie!$C$5,1,1) + 1)
)</f>
        <v>4307.6849315068494</v>
      </c>
      <c r="H160">
        <f>IF(
    OR(
        AND(MAX(0, IF(MIN($C$1, DATE(Initialisatie!$C$5,12,31)) &lt; MAX($C$2, DATE(Initialisatie!$C$5,1,1)), 0, MONTH(MIN($C$1, DATE(Initialisatie!$C$5,12,31))) - MONTH(MAX($C$2, DATE(Initialisatie!$C$5,1,1))) + 1)) &lt;= 0, IFERROR(VALUE($C160),0)=0),
        AND(MAX(0, IF(MIN($D$1, DATE(Initialisatie!$C$5,12,31)) &lt; MAX($D$2, DATE(Initialisatie!$C$5,1,1)), 0, MONTH(MIN($D$1, DATE(Initialisatie!$C$5,12,31))) - MONTH(MAX($D$2, DATE(Initialisatie!$C$5,1,1))) + 1)) &lt;= 0, IFERROR(VALUE($D160),0)=0),
        AND(MAX(0, IF(MIN($E$1, DATE(Initialisatie!$C$5,12,31)) &lt; MAX($E$2, DATE(Initialisatie!$C$5,1,1)), 0, MONTH(MIN($E$1, DATE(Initialisatie!$C$5,12,31))) - MONTH(MAX($E$2, DATE(Initialisatie!$C$5,1,1))) + 1)) &lt;= 0, IFERROR(VALUE($E160),0)=0)
    ),
    0,
    SUM(
        IFERROR(VALUE($C160),0) * MAX(0, IF(MIN($C$1, DATE(Initialisatie!$C$5,12,31)) &lt; MAX($C$2, DATE(Initialisatie!$C$5,1,1)), 0, MONTH(MIN($C$1, DATE(Initialisatie!$C$5,12,31))) - MONTH(MAX($C$2, DATE(Initialisatie!$C$5,1,1))) + 1)),
        IFERROR(VALUE($D160),0) * MAX(0, IF(MIN($D$1, DATE(Initialisatie!$C$5,12,31)) &lt; MAX($D$2, DATE(Initialisatie!$C$5,1,1)), 0, MONTH(MIN($D$1, DATE(Initialisatie!$C$5,12,31))) - MONTH(MAX($D$2, DATE(Initialisatie!$C$5,1,1))) + 1)),
        IFERROR(VALUE($E160),0) * MAX(0, IF(MIN($E$1, DATE(Initialisatie!$C$5,12,31)) &lt; MAX($E$2, DATE(Initialisatie!$C$5,1,1)), 0, MONTH(MIN($E$1, DATE(Initialisatie!$C$5,12,31))) - MONTH(MAX($E$2, DATE(Initialisatie!$C$5,1,1))) + 1))
    ) / 12
)</f>
        <v>4307.5</v>
      </c>
    </row>
    <row r="161" spans="1:8" x14ac:dyDescent="0.45">
      <c r="A161" s="997"/>
      <c r="B161" s="380">
        <v>4</v>
      </c>
      <c r="C161" t="s">
        <v>1790</v>
      </c>
      <c r="D161" t="s">
        <v>1791</v>
      </c>
      <c r="E161" t="s">
        <v>1792</v>
      </c>
      <c r="G161">
        <f>IF(
    OR(
        AND(MAX(0, MIN($C$1, DATE(Initialisatie!$C$5,12,31)) - MAX($C$2, DATE(Initialisatie!$C$5,1,1)) + 1) &gt; 0, IFERROR(VALUE($C161),0)=0),
        AND(MAX(0, MIN($D$1, DATE(Initialisatie!$C$5,12,31)) - MAX($D$2, DATE(Initialisatie!$C$5,1,1)) + 1) &gt; 0, IFERROR(VALUE($D161),0)=0),
        AND(MAX(0, MIN($E$1, DATE(Initialisatie!$C$5,12,31)) - MAX($E$2, DATE(Initialisatie!$C$5,1,1)) + 1) &gt; 0, IFERROR(VALUE($E161),0)=0)
    ),
    0,
    SUM(
        IFERROR(VALUE($C161),0) * MAX(0, MIN($C$1, DATE(Initialisatie!$C$5,12,31)) - MAX($C$2, DATE(Initialisatie!$C$5,1,1)) + 1),
        IFERROR(VALUE($D161),0) * MAX(0, MIN($D$1, DATE(Initialisatie!$C$5,12,31)) - MAX($D$2, DATE(Initialisatie!$C$5,1,1)) + 1),
        IFERROR(VALUE($E161),0) * MAX(0, MIN($E$1, DATE(Initialisatie!$C$5,12,31)) - MAX($E$2, DATE(Initialisatie!$C$5,1,1)) + 1)
    ) / (DATE(Initialisatie!$C$5,12,31) - DATE(Initialisatie!$C$5,1,1) + 1)
)</f>
        <v>4399.1890410958904</v>
      </c>
      <c r="H161">
        <f>IF(
    OR(
        AND(MAX(0, IF(MIN($C$1, DATE(Initialisatie!$C$5,12,31)) &lt; MAX($C$2, DATE(Initialisatie!$C$5,1,1)), 0, MONTH(MIN($C$1, DATE(Initialisatie!$C$5,12,31))) - MONTH(MAX($C$2, DATE(Initialisatie!$C$5,1,1))) + 1)) &lt;= 0, IFERROR(VALUE($C161),0)=0),
        AND(MAX(0, IF(MIN($D$1, DATE(Initialisatie!$C$5,12,31)) &lt; MAX($D$2, DATE(Initialisatie!$C$5,1,1)), 0, MONTH(MIN($D$1, DATE(Initialisatie!$C$5,12,31))) - MONTH(MAX($D$2, DATE(Initialisatie!$C$5,1,1))) + 1)) &lt;= 0, IFERROR(VALUE($D161),0)=0),
        AND(MAX(0, IF(MIN($E$1, DATE(Initialisatie!$C$5,12,31)) &lt; MAX($E$2, DATE(Initialisatie!$C$5,1,1)), 0, MONTH(MIN($E$1, DATE(Initialisatie!$C$5,12,31))) - MONTH(MAX($E$2, DATE(Initialisatie!$C$5,1,1))) + 1)) &lt;= 0, IFERROR(VALUE($E161),0)=0)
    ),
    0,
    SUM(
        IFERROR(VALUE($C161),0) * MAX(0, IF(MIN($C$1, DATE(Initialisatie!$C$5,12,31)) &lt; MAX($C$2, DATE(Initialisatie!$C$5,1,1)), 0, MONTH(MIN($C$1, DATE(Initialisatie!$C$5,12,31))) - MONTH(MAX($C$2, DATE(Initialisatie!$C$5,1,1))) + 1)),
        IFERROR(VALUE($D161),0) * MAX(0, IF(MIN($D$1, DATE(Initialisatie!$C$5,12,31)) &lt; MAX($D$2, DATE(Initialisatie!$C$5,1,1)), 0, MONTH(MIN($D$1, DATE(Initialisatie!$C$5,12,31))) - MONTH(MAX($D$2, DATE(Initialisatie!$C$5,1,1))) + 1)),
        IFERROR(VALUE($E161),0) * MAX(0, IF(MIN($E$1, DATE(Initialisatie!$C$5,12,31)) &lt; MAX($E$2, DATE(Initialisatie!$C$5,1,1)), 0, MONTH(MIN($E$1, DATE(Initialisatie!$C$5,12,31))) - MONTH(MAX($E$2, DATE(Initialisatie!$C$5,1,1))) + 1))
    ) / 12
)</f>
        <v>4399</v>
      </c>
    </row>
    <row r="162" spans="1:8" x14ac:dyDescent="0.45">
      <c r="A162" s="997"/>
      <c r="B162" s="380">
        <v>5</v>
      </c>
      <c r="C162" t="s">
        <v>1793</v>
      </c>
      <c r="D162" t="s">
        <v>1794</v>
      </c>
      <c r="E162" t="s">
        <v>1482</v>
      </c>
      <c r="G162">
        <f>IF(
    OR(
        AND(MAX(0, MIN($C$1, DATE(Initialisatie!$C$5,12,31)) - MAX($C$2, DATE(Initialisatie!$C$5,1,1)) + 1) &gt; 0, IFERROR(VALUE($C162),0)=0),
        AND(MAX(0, MIN($D$1, DATE(Initialisatie!$C$5,12,31)) - MAX($D$2, DATE(Initialisatie!$C$5,1,1)) + 1) &gt; 0, IFERROR(VALUE($D162),0)=0),
        AND(MAX(0, MIN($E$1, DATE(Initialisatie!$C$5,12,31)) - MAX($E$2, DATE(Initialisatie!$C$5,1,1)) + 1) &gt; 0, IFERROR(VALUE($E162),0)=0)
    ),
    0,
    SUM(
        IFERROR(VALUE($C162),0) * MAX(0, MIN($C$1, DATE(Initialisatie!$C$5,12,31)) - MAX($C$2, DATE(Initialisatie!$C$5,1,1)) + 1),
        IFERROR(VALUE($D162),0) * MAX(0, MIN($D$1, DATE(Initialisatie!$C$5,12,31)) - MAX($D$2, DATE(Initialisatie!$C$5,1,1)) + 1),
        IFERROR(VALUE($E162),0) * MAX(0, MIN($E$1, DATE(Initialisatie!$C$5,12,31)) - MAX($E$2, DATE(Initialisatie!$C$5,1,1)) + 1)
    ) / (DATE(Initialisatie!$C$5,12,31) - DATE(Initialisatie!$C$5,1,1) + 1)
)</f>
        <v>4547.9452054794519</v>
      </c>
      <c r="H162">
        <f>IF(
    OR(
        AND(MAX(0, IF(MIN($C$1, DATE(Initialisatie!$C$5,12,31)) &lt; MAX($C$2, DATE(Initialisatie!$C$5,1,1)), 0, MONTH(MIN($C$1, DATE(Initialisatie!$C$5,12,31))) - MONTH(MAX($C$2, DATE(Initialisatie!$C$5,1,1))) + 1)) &lt;= 0, IFERROR(VALUE($C162),0)=0),
        AND(MAX(0, IF(MIN($D$1, DATE(Initialisatie!$C$5,12,31)) &lt; MAX($D$2, DATE(Initialisatie!$C$5,1,1)), 0, MONTH(MIN($D$1, DATE(Initialisatie!$C$5,12,31))) - MONTH(MAX($D$2, DATE(Initialisatie!$C$5,1,1))) + 1)) &lt;= 0, IFERROR(VALUE($D162),0)=0),
        AND(MAX(0, IF(MIN($E$1, DATE(Initialisatie!$C$5,12,31)) &lt; MAX($E$2, DATE(Initialisatie!$C$5,1,1)), 0, MONTH(MIN($E$1, DATE(Initialisatie!$C$5,12,31))) - MONTH(MAX($E$2, DATE(Initialisatie!$C$5,1,1))) + 1)) &lt;= 0, IFERROR(VALUE($E162),0)=0)
    ),
    0,
    SUM(
        IFERROR(VALUE($C162),0) * MAX(0, IF(MIN($C$1, DATE(Initialisatie!$C$5,12,31)) &lt; MAX($C$2, DATE(Initialisatie!$C$5,1,1)), 0, MONTH(MIN($C$1, DATE(Initialisatie!$C$5,12,31))) - MONTH(MAX($C$2, DATE(Initialisatie!$C$5,1,1))) + 1)),
        IFERROR(VALUE($D162),0) * MAX(0, IF(MIN($D$1, DATE(Initialisatie!$C$5,12,31)) &lt; MAX($D$2, DATE(Initialisatie!$C$5,1,1)), 0, MONTH(MIN($D$1, DATE(Initialisatie!$C$5,12,31))) - MONTH(MAX($D$2, DATE(Initialisatie!$C$5,1,1))) + 1)),
        IFERROR(VALUE($E162),0) * MAX(0, IF(MIN($E$1, DATE(Initialisatie!$C$5,12,31)) &lt; MAX($E$2, DATE(Initialisatie!$C$5,1,1)), 0, MONTH(MIN($E$1, DATE(Initialisatie!$C$5,12,31))) - MONTH(MAX($E$2, DATE(Initialisatie!$C$5,1,1))) + 1))
    ) / 12
)</f>
        <v>4547.75</v>
      </c>
    </row>
    <row r="163" spans="1:8" x14ac:dyDescent="0.45">
      <c r="A163" s="997"/>
      <c r="B163" s="380">
        <v>6</v>
      </c>
      <c r="C163" t="s">
        <v>1795</v>
      </c>
      <c r="D163" t="s">
        <v>1796</v>
      </c>
      <c r="E163" t="s">
        <v>1797</v>
      </c>
      <c r="G163">
        <f>IF(
    OR(
        AND(MAX(0, MIN($C$1, DATE(Initialisatie!$C$5,12,31)) - MAX($C$2, DATE(Initialisatie!$C$5,1,1)) + 1) &gt; 0, IFERROR(VALUE($C163),0)=0),
        AND(MAX(0, MIN($D$1, DATE(Initialisatie!$C$5,12,31)) - MAX($D$2, DATE(Initialisatie!$C$5,1,1)) + 1) &gt; 0, IFERROR(VALUE($D163),0)=0),
        AND(MAX(0, MIN($E$1, DATE(Initialisatie!$C$5,12,31)) - MAX($E$2, DATE(Initialisatie!$C$5,1,1)) + 1) &gt; 0, IFERROR(VALUE($E163),0)=0)
    ),
    0,
    SUM(
        IFERROR(VALUE($C163),0) * MAX(0, MIN($C$1, DATE(Initialisatie!$C$5,12,31)) - MAX($C$2, DATE(Initialisatie!$C$5,1,1)) + 1),
        IFERROR(VALUE($D163),0) * MAX(0, MIN($D$1, DATE(Initialisatie!$C$5,12,31)) - MAX($D$2, DATE(Initialisatie!$C$5,1,1)) + 1),
        IFERROR(VALUE($E163),0) * MAX(0, MIN($E$1, DATE(Initialisatie!$C$5,12,31)) - MAX($E$2, DATE(Initialisatie!$C$5,1,1)) + 1)
    ) / (DATE(Initialisatie!$C$5,12,31) - DATE(Initialisatie!$C$5,1,1) + 1)
)</f>
        <v>4705.7013698630135</v>
      </c>
      <c r="H163">
        <f>IF(
    OR(
        AND(MAX(0, IF(MIN($C$1, DATE(Initialisatie!$C$5,12,31)) &lt; MAX($C$2, DATE(Initialisatie!$C$5,1,1)), 0, MONTH(MIN($C$1, DATE(Initialisatie!$C$5,12,31))) - MONTH(MAX($C$2, DATE(Initialisatie!$C$5,1,1))) + 1)) &lt;= 0, IFERROR(VALUE($C163),0)=0),
        AND(MAX(0, IF(MIN($D$1, DATE(Initialisatie!$C$5,12,31)) &lt; MAX($D$2, DATE(Initialisatie!$C$5,1,1)), 0, MONTH(MIN($D$1, DATE(Initialisatie!$C$5,12,31))) - MONTH(MAX($D$2, DATE(Initialisatie!$C$5,1,1))) + 1)) &lt;= 0, IFERROR(VALUE($D163),0)=0),
        AND(MAX(0, IF(MIN($E$1, DATE(Initialisatie!$C$5,12,31)) &lt; MAX($E$2, DATE(Initialisatie!$C$5,1,1)), 0, MONTH(MIN($E$1, DATE(Initialisatie!$C$5,12,31))) - MONTH(MAX($E$2, DATE(Initialisatie!$C$5,1,1))) + 1)) &lt;= 0, IFERROR(VALUE($E163),0)=0)
    ),
    0,
    SUM(
        IFERROR(VALUE($C163),0) * MAX(0, IF(MIN($C$1, DATE(Initialisatie!$C$5,12,31)) &lt; MAX($C$2, DATE(Initialisatie!$C$5,1,1)), 0, MONTH(MIN($C$1, DATE(Initialisatie!$C$5,12,31))) - MONTH(MAX($C$2, DATE(Initialisatie!$C$5,1,1))) + 1)),
        IFERROR(VALUE($D163),0) * MAX(0, IF(MIN($D$1, DATE(Initialisatie!$C$5,12,31)) &lt; MAX($D$2, DATE(Initialisatie!$C$5,1,1)), 0, MONTH(MIN($D$1, DATE(Initialisatie!$C$5,12,31))) - MONTH(MAX($D$2, DATE(Initialisatie!$C$5,1,1))) + 1)),
        IFERROR(VALUE($E163),0) * MAX(0, IF(MIN($E$1, DATE(Initialisatie!$C$5,12,31)) &lt; MAX($E$2, DATE(Initialisatie!$C$5,1,1)), 0, MONTH(MIN($E$1, DATE(Initialisatie!$C$5,12,31))) - MONTH(MAX($E$2, DATE(Initialisatie!$C$5,1,1))) + 1))
    ) / 12
)</f>
        <v>4705.5</v>
      </c>
    </row>
    <row r="164" spans="1:8" x14ac:dyDescent="0.45">
      <c r="A164" s="997"/>
      <c r="B164" s="380">
        <v>7</v>
      </c>
      <c r="C164" t="s">
        <v>1801</v>
      </c>
      <c r="D164" t="s">
        <v>1802</v>
      </c>
      <c r="E164" t="s">
        <v>1803</v>
      </c>
      <c r="G164">
        <f>IF(
    OR(
        AND(MAX(0, MIN($C$1, DATE(Initialisatie!$C$5,12,31)) - MAX($C$2, DATE(Initialisatie!$C$5,1,1)) + 1) &gt; 0, IFERROR(VALUE($C164),0)=0),
        AND(MAX(0, MIN($D$1, DATE(Initialisatie!$C$5,12,31)) - MAX($D$2, DATE(Initialisatie!$C$5,1,1)) + 1) &gt; 0, IFERROR(VALUE($D164),0)=0),
        AND(MAX(0, MIN($E$1, DATE(Initialisatie!$C$5,12,31)) - MAX($E$2, DATE(Initialisatie!$C$5,1,1)) + 1) &gt; 0, IFERROR(VALUE($E164),0)=0)
    ),
    0,
    SUM(
        IFERROR(VALUE($C164),0) * MAX(0, MIN($C$1, DATE(Initialisatie!$C$5,12,31)) - MAX($C$2, DATE(Initialisatie!$C$5,1,1)) + 1),
        IFERROR(VALUE($D164),0) * MAX(0, MIN($D$1, DATE(Initialisatie!$C$5,12,31)) - MAX($D$2, DATE(Initialisatie!$C$5,1,1)) + 1),
        IFERROR(VALUE($E164),0) * MAX(0, MIN($E$1, DATE(Initialisatie!$C$5,12,31)) - MAX($E$2, DATE(Initialisatie!$C$5,1,1)) + 1)
    ) / (DATE(Initialisatie!$C$5,12,31) - DATE(Initialisatie!$C$5,1,1) + 1)
)</f>
        <v>4865.7095890410956</v>
      </c>
      <c r="H164">
        <f>IF(
    OR(
        AND(MAX(0, IF(MIN($C$1, DATE(Initialisatie!$C$5,12,31)) &lt; MAX($C$2, DATE(Initialisatie!$C$5,1,1)), 0, MONTH(MIN($C$1, DATE(Initialisatie!$C$5,12,31))) - MONTH(MAX($C$2, DATE(Initialisatie!$C$5,1,1))) + 1)) &lt;= 0, IFERROR(VALUE($C164),0)=0),
        AND(MAX(0, IF(MIN($D$1, DATE(Initialisatie!$C$5,12,31)) &lt; MAX($D$2, DATE(Initialisatie!$C$5,1,1)), 0, MONTH(MIN($D$1, DATE(Initialisatie!$C$5,12,31))) - MONTH(MAX($D$2, DATE(Initialisatie!$C$5,1,1))) + 1)) &lt;= 0, IFERROR(VALUE($D164),0)=0),
        AND(MAX(0, IF(MIN($E$1, DATE(Initialisatie!$C$5,12,31)) &lt; MAX($E$2, DATE(Initialisatie!$C$5,1,1)), 0, MONTH(MIN($E$1, DATE(Initialisatie!$C$5,12,31))) - MONTH(MAX($E$2, DATE(Initialisatie!$C$5,1,1))) + 1)) &lt;= 0, IFERROR(VALUE($E164),0)=0)
    ),
    0,
    SUM(
        IFERROR(VALUE($C164),0) * MAX(0, IF(MIN($C$1, DATE(Initialisatie!$C$5,12,31)) &lt; MAX($C$2, DATE(Initialisatie!$C$5,1,1)), 0, MONTH(MIN($C$1, DATE(Initialisatie!$C$5,12,31))) - MONTH(MAX($C$2, DATE(Initialisatie!$C$5,1,1))) + 1)),
        IFERROR(VALUE($D164),0) * MAX(0, IF(MIN($D$1, DATE(Initialisatie!$C$5,12,31)) &lt; MAX($D$2, DATE(Initialisatie!$C$5,1,1)), 0, MONTH(MIN($D$1, DATE(Initialisatie!$C$5,12,31))) - MONTH(MAX($D$2, DATE(Initialisatie!$C$5,1,1))) + 1)),
        IFERROR(VALUE($E164),0) * MAX(0, IF(MIN($E$1, DATE(Initialisatie!$C$5,12,31)) &lt; MAX($E$2, DATE(Initialisatie!$C$5,1,1)), 0, MONTH(MIN($E$1, DATE(Initialisatie!$C$5,12,31))) - MONTH(MAX($E$2, DATE(Initialisatie!$C$5,1,1))) + 1))
    ) / 12
)</f>
        <v>4865.5</v>
      </c>
    </row>
    <row r="165" spans="1:8" x14ac:dyDescent="0.45">
      <c r="A165" s="997"/>
      <c r="B165" s="380">
        <v>8</v>
      </c>
      <c r="C165" t="s">
        <v>1804</v>
      </c>
      <c r="D165" t="s">
        <v>1805</v>
      </c>
      <c r="E165" t="s">
        <v>1806</v>
      </c>
      <c r="G165">
        <f>IF(
    OR(
        AND(MAX(0, MIN($C$1, DATE(Initialisatie!$C$5,12,31)) - MAX($C$2, DATE(Initialisatie!$C$5,1,1)) + 1) &gt; 0, IFERROR(VALUE($C165),0)=0),
        AND(MAX(0, MIN($D$1, DATE(Initialisatie!$C$5,12,31)) - MAX($D$2, DATE(Initialisatie!$C$5,1,1)) + 1) &gt; 0, IFERROR(VALUE($D165),0)=0),
        AND(MAX(0, MIN($E$1, DATE(Initialisatie!$C$5,12,31)) - MAX($E$2, DATE(Initialisatie!$C$5,1,1)) + 1) &gt; 0, IFERROR(VALUE($E165),0)=0)
    ),
    0,
    SUM(
        IFERROR(VALUE($C165),0) * MAX(0, MIN($C$1, DATE(Initialisatie!$C$5,12,31)) - MAX($C$2, DATE(Initialisatie!$C$5,1,1)) + 1),
        IFERROR(VALUE($D165),0) * MAX(0, MIN($D$1, DATE(Initialisatie!$C$5,12,31)) - MAX($D$2, DATE(Initialisatie!$C$5,1,1)) + 1),
        IFERROR(VALUE($E165),0) * MAX(0, MIN($E$1, DATE(Initialisatie!$C$5,12,31)) - MAX($E$2, DATE(Initialisatie!$C$5,1,1)) + 1)
    ) / (DATE(Initialisatie!$C$5,12,31) - DATE(Initialisatie!$C$5,1,1) + 1)
)</f>
        <v>5024.4657534246571</v>
      </c>
      <c r="H165">
        <f>IF(
    OR(
        AND(MAX(0, IF(MIN($C$1, DATE(Initialisatie!$C$5,12,31)) &lt; MAX($C$2, DATE(Initialisatie!$C$5,1,1)), 0, MONTH(MIN($C$1, DATE(Initialisatie!$C$5,12,31))) - MONTH(MAX($C$2, DATE(Initialisatie!$C$5,1,1))) + 1)) &lt;= 0, IFERROR(VALUE($C165),0)=0),
        AND(MAX(0, IF(MIN($D$1, DATE(Initialisatie!$C$5,12,31)) &lt; MAX($D$2, DATE(Initialisatie!$C$5,1,1)), 0, MONTH(MIN($D$1, DATE(Initialisatie!$C$5,12,31))) - MONTH(MAX($D$2, DATE(Initialisatie!$C$5,1,1))) + 1)) &lt;= 0, IFERROR(VALUE($D165),0)=0),
        AND(MAX(0, IF(MIN($E$1, DATE(Initialisatie!$C$5,12,31)) &lt; MAX($E$2, DATE(Initialisatie!$C$5,1,1)), 0, MONTH(MIN($E$1, DATE(Initialisatie!$C$5,12,31))) - MONTH(MAX($E$2, DATE(Initialisatie!$C$5,1,1))) + 1)) &lt;= 0, IFERROR(VALUE($E165),0)=0)
    ),
    0,
    SUM(
        IFERROR(VALUE($C165),0) * MAX(0, IF(MIN($C$1, DATE(Initialisatie!$C$5,12,31)) &lt; MAX($C$2, DATE(Initialisatie!$C$5,1,1)), 0, MONTH(MIN($C$1, DATE(Initialisatie!$C$5,12,31))) - MONTH(MAX($C$2, DATE(Initialisatie!$C$5,1,1))) + 1)),
        IFERROR(VALUE($D165),0) * MAX(0, IF(MIN($D$1, DATE(Initialisatie!$C$5,12,31)) &lt; MAX($D$2, DATE(Initialisatie!$C$5,1,1)), 0, MONTH(MIN($D$1, DATE(Initialisatie!$C$5,12,31))) - MONTH(MAX($D$2, DATE(Initialisatie!$C$5,1,1))) + 1)),
        IFERROR(VALUE($E165),0) * MAX(0, IF(MIN($E$1, DATE(Initialisatie!$C$5,12,31)) &lt; MAX($E$2, DATE(Initialisatie!$C$5,1,1)), 0, MONTH(MIN($E$1, DATE(Initialisatie!$C$5,12,31))) - MONTH(MAX($E$2, DATE(Initialisatie!$C$5,1,1))) + 1))
    ) / 12
)</f>
        <v>5024.25</v>
      </c>
    </row>
    <row r="166" spans="1:8" x14ac:dyDescent="0.45">
      <c r="A166" s="997"/>
      <c r="B166" s="380">
        <v>9</v>
      </c>
      <c r="C166" t="s">
        <v>1807</v>
      </c>
      <c r="D166" t="s">
        <v>1808</v>
      </c>
      <c r="E166" t="s">
        <v>1809</v>
      </c>
      <c r="G166">
        <f>IF(
    OR(
        AND(MAX(0, MIN($C$1, DATE(Initialisatie!$C$5,12,31)) - MAX($C$2, DATE(Initialisatie!$C$5,1,1)) + 1) &gt; 0, IFERROR(VALUE($C166),0)=0),
        AND(MAX(0, MIN($D$1, DATE(Initialisatie!$C$5,12,31)) - MAX($D$2, DATE(Initialisatie!$C$5,1,1)) + 1) &gt; 0, IFERROR(VALUE($D166),0)=0),
        AND(MAX(0, MIN($E$1, DATE(Initialisatie!$C$5,12,31)) - MAX($E$2, DATE(Initialisatie!$C$5,1,1)) + 1) &gt; 0, IFERROR(VALUE($E166),0)=0)
    ),
    0,
    SUM(
        IFERROR(VALUE($C166),0) * MAX(0, MIN($C$1, DATE(Initialisatie!$C$5,12,31)) - MAX($C$2, DATE(Initialisatie!$C$5,1,1)) + 1),
        IFERROR(VALUE($D166),0) * MAX(0, MIN($D$1, DATE(Initialisatie!$C$5,12,31)) - MAX($D$2, DATE(Initialisatie!$C$5,1,1)) + 1),
        IFERROR(VALUE($E166),0) * MAX(0, MIN($E$1, DATE(Initialisatie!$C$5,12,31)) - MAX($E$2, DATE(Initialisatie!$C$5,1,1)) + 1)
    ) / (DATE(Initialisatie!$C$5,12,31) - DATE(Initialisatie!$C$5,1,1) + 1)
)</f>
        <v>5184.2219178082196</v>
      </c>
      <c r="H166">
        <f>IF(
    OR(
        AND(MAX(0, IF(MIN($C$1, DATE(Initialisatie!$C$5,12,31)) &lt; MAX($C$2, DATE(Initialisatie!$C$5,1,1)), 0, MONTH(MIN($C$1, DATE(Initialisatie!$C$5,12,31))) - MONTH(MAX($C$2, DATE(Initialisatie!$C$5,1,1))) + 1)) &lt;= 0, IFERROR(VALUE($C166),0)=0),
        AND(MAX(0, IF(MIN($D$1, DATE(Initialisatie!$C$5,12,31)) &lt; MAX($D$2, DATE(Initialisatie!$C$5,1,1)), 0, MONTH(MIN($D$1, DATE(Initialisatie!$C$5,12,31))) - MONTH(MAX($D$2, DATE(Initialisatie!$C$5,1,1))) + 1)) &lt;= 0, IFERROR(VALUE($D166),0)=0),
        AND(MAX(0, IF(MIN($E$1, DATE(Initialisatie!$C$5,12,31)) &lt; MAX($E$2, DATE(Initialisatie!$C$5,1,1)), 0, MONTH(MIN($E$1, DATE(Initialisatie!$C$5,12,31))) - MONTH(MAX($E$2, DATE(Initialisatie!$C$5,1,1))) + 1)) &lt;= 0, IFERROR(VALUE($E166),0)=0)
    ),
    0,
    SUM(
        IFERROR(VALUE($C166),0) * MAX(0, IF(MIN($C$1, DATE(Initialisatie!$C$5,12,31)) &lt; MAX($C$2, DATE(Initialisatie!$C$5,1,1)), 0, MONTH(MIN($C$1, DATE(Initialisatie!$C$5,12,31))) - MONTH(MAX($C$2, DATE(Initialisatie!$C$5,1,1))) + 1)),
        IFERROR(VALUE($D166),0) * MAX(0, IF(MIN($D$1, DATE(Initialisatie!$C$5,12,31)) &lt; MAX($D$2, DATE(Initialisatie!$C$5,1,1)), 0, MONTH(MIN($D$1, DATE(Initialisatie!$C$5,12,31))) - MONTH(MAX($D$2, DATE(Initialisatie!$C$5,1,1))) + 1)),
        IFERROR(VALUE($E166),0) * MAX(0, IF(MIN($E$1, DATE(Initialisatie!$C$5,12,31)) &lt; MAX($E$2, DATE(Initialisatie!$C$5,1,1)), 0, MONTH(MIN($E$1, DATE(Initialisatie!$C$5,12,31))) - MONTH(MAX($E$2, DATE(Initialisatie!$C$5,1,1))) + 1))
    ) / 12
)</f>
        <v>5184</v>
      </c>
    </row>
    <row r="167" spans="1:8" x14ac:dyDescent="0.45">
      <c r="A167" s="997"/>
      <c r="B167" s="380">
        <v>10</v>
      </c>
      <c r="C167" t="s">
        <v>1813</v>
      </c>
      <c r="D167" t="s">
        <v>1814</v>
      </c>
      <c r="E167" t="s">
        <v>1815</v>
      </c>
      <c r="G167">
        <f>IF(
    OR(
        AND(MAX(0, MIN($C$1, DATE(Initialisatie!$C$5,12,31)) - MAX($C$2, DATE(Initialisatie!$C$5,1,1)) + 1) &gt; 0, IFERROR(VALUE($C167),0)=0),
        AND(MAX(0, MIN($D$1, DATE(Initialisatie!$C$5,12,31)) - MAX($D$2, DATE(Initialisatie!$C$5,1,1)) + 1) &gt; 0, IFERROR(VALUE($D167),0)=0),
        AND(MAX(0, MIN($E$1, DATE(Initialisatie!$C$5,12,31)) - MAX($E$2, DATE(Initialisatie!$C$5,1,1)) + 1) &gt; 0, IFERROR(VALUE($E167),0)=0)
    ),
    0,
    SUM(
        IFERROR(VALUE($C167),0) * MAX(0, MIN($C$1, DATE(Initialisatie!$C$5,12,31)) - MAX($C$2, DATE(Initialisatie!$C$5,1,1)) + 1),
        IFERROR(VALUE($D167),0) * MAX(0, MIN($D$1, DATE(Initialisatie!$C$5,12,31)) - MAX($D$2, DATE(Initialisatie!$C$5,1,1)) + 1),
        IFERROR(VALUE($E167),0) * MAX(0, MIN($E$1, DATE(Initialisatie!$C$5,12,31)) - MAX($E$2, DATE(Initialisatie!$C$5,1,1)) + 1)
    ) / (DATE(Initialisatie!$C$5,12,31) - DATE(Initialisatie!$C$5,1,1) + 1)
)</f>
        <v>5352.2301369863017</v>
      </c>
      <c r="H167">
        <f>IF(
    OR(
        AND(MAX(0, IF(MIN($C$1, DATE(Initialisatie!$C$5,12,31)) &lt; MAX($C$2, DATE(Initialisatie!$C$5,1,1)), 0, MONTH(MIN($C$1, DATE(Initialisatie!$C$5,12,31))) - MONTH(MAX($C$2, DATE(Initialisatie!$C$5,1,1))) + 1)) &lt;= 0, IFERROR(VALUE($C167),0)=0),
        AND(MAX(0, IF(MIN($D$1, DATE(Initialisatie!$C$5,12,31)) &lt; MAX($D$2, DATE(Initialisatie!$C$5,1,1)), 0, MONTH(MIN($D$1, DATE(Initialisatie!$C$5,12,31))) - MONTH(MAX($D$2, DATE(Initialisatie!$C$5,1,1))) + 1)) &lt;= 0, IFERROR(VALUE($D167),0)=0),
        AND(MAX(0, IF(MIN($E$1, DATE(Initialisatie!$C$5,12,31)) &lt; MAX($E$2, DATE(Initialisatie!$C$5,1,1)), 0, MONTH(MIN($E$1, DATE(Initialisatie!$C$5,12,31))) - MONTH(MAX($E$2, DATE(Initialisatie!$C$5,1,1))) + 1)) &lt;= 0, IFERROR(VALUE($E167),0)=0)
    ),
    0,
    SUM(
        IFERROR(VALUE($C167),0) * MAX(0, IF(MIN($C$1, DATE(Initialisatie!$C$5,12,31)) &lt; MAX($C$2, DATE(Initialisatie!$C$5,1,1)), 0, MONTH(MIN($C$1, DATE(Initialisatie!$C$5,12,31))) - MONTH(MAX($C$2, DATE(Initialisatie!$C$5,1,1))) + 1)),
        IFERROR(VALUE($D167),0) * MAX(0, IF(MIN($D$1, DATE(Initialisatie!$C$5,12,31)) &lt; MAX($D$2, DATE(Initialisatie!$C$5,1,1)), 0, MONTH(MIN($D$1, DATE(Initialisatie!$C$5,12,31))) - MONTH(MAX($D$2, DATE(Initialisatie!$C$5,1,1))) + 1)),
        IFERROR(VALUE($E167),0) * MAX(0, IF(MIN($E$1, DATE(Initialisatie!$C$5,12,31)) &lt; MAX($E$2, DATE(Initialisatie!$C$5,1,1)), 0, MONTH(MIN($E$1, DATE(Initialisatie!$C$5,12,31))) - MONTH(MAX($E$2, DATE(Initialisatie!$C$5,1,1))) + 1))
    ) / 12
)</f>
        <v>5352</v>
      </c>
    </row>
    <row r="168" spans="1:8" x14ac:dyDescent="0.45">
      <c r="A168" s="997"/>
      <c r="B168" s="380">
        <v>11</v>
      </c>
      <c r="C168" t="s">
        <v>1816</v>
      </c>
      <c r="D168" t="s">
        <v>1817</v>
      </c>
      <c r="E168" t="s">
        <v>1818</v>
      </c>
      <c r="G168">
        <f>IF(
    OR(
        AND(MAX(0, MIN($C$1, DATE(Initialisatie!$C$5,12,31)) - MAX($C$2, DATE(Initialisatie!$C$5,1,1)) + 1) &gt; 0, IFERROR(VALUE($C168),0)=0),
        AND(MAX(0, MIN($D$1, DATE(Initialisatie!$C$5,12,31)) - MAX($D$2, DATE(Initialisatie!$C$5,1,1)) + 1) &gt; 0, IFERROR(VALUE($D168),0)=0),
        AND(MAX(0, MIN($E$1, DATE(Initialisatie!$C$5,12,31)) - MAX($E$2, DATE(Initialisatie!$C$5,1,1)) + 1) &gt; 0, IFERROR(VALUE($E168),0)=0)
    ),
    0,
    SUM(
        IFERROR(VALUE($C168),0) * MAX(0, MIN($C$1, DATE(Initialisatie!$C$5,12,31)) - MAX($C$2, DATE(Initialisatie!$C$5,1,1)) + 1),
        IFERROR(VALUE($D168),0) * MAX(0, MIN($D$1, DATE(Initialisatie!$C$5,12,31)) - MAX($D$2, DATE(Initialisatie!$C$5,1,1)) + 1),
        IFERROR(VALUE($E168),0) * MAX(0, MIN($E$1, DATE(Initialisatie!$C$5,12,31)) - MAX($E$2, DATE(Initialisatie!$C$5,1,1)) + 1)
    ) / (DATE(Initialisatie!$C$5,12,31) - DATE(Initialisatie!$C$5,1,1) + 1)
)</f>
        <v>5538.2383561643837</v>
      </c>
      <c r="H168">
        <f>IF(
    OR(
        AND(MAX(0, IF(MIN($C$1, DATE(Initialisatie!$C$5,12,31)) &lt; MAX($C$2, DATE(Initialisatie!$C$5,1,1)), 0, MONTH(MIN($C$1, DATE(Initialisatie!$C$5,12,31))) - MONTH(MAX($C$2, DATE(Initialisatie!$C$5,1,1))) + 1)) &lt;= 0, IFERROR(VALUE($C168),0)=0),
        AND(MAX(0, IF(MIN($D$1, DATE(Initialisatie!$C$5,12,31)) &lt; MAX($D$2, DATE(Initialisatie!$C$5,1,1)), 0, MONTH(MIN($D$1, DATE(Initialisatie!$C$5,12,31))) - MONTH(MAX($D$2, DATE(Initialisatie!$C$5,1,1))) + 1)) &lt;= 0, IFERROR(VALUE($D168),0)=0),
        AND(MAX(0, IF(MIN($E$1, DATE(Initialisatie!$C$5,12,31)) &lt; MAX($E$2, DATE(Initialisatie!$C$5,1,1)), 0, MONTH(MIN($E$1, DATE(Initialisatie!$C$5,12,31))) - MONTH(MAX($E$2, DATE(Initialisatie!$C$5,1,1))) + 1)) &lt;= 0, IFERROR(VALUE($E168),0)=0)
    ),
    0,
    SUM(
        IFERROR(VALUE($C168),0) * MAX(0, IF(MIN($C$1, DATE(Initialisatie!$C$5,12,31)) &lt; MAX($C$2, DATE(Initialisatie!$C$5,1,1)), 0, MONTH(MIN($C$1, DATE(Initialisatie!$C$5,12,31))) - MONTH(MAX($C$2, DATE(Initialisatie!$C$5,1,1))) + 1)),
        IFERROR(VALUE($D168),0) * MAX(0, IF(MIN($D$1, DATE(Initialisatie!$C$5,12,31)) &lt; MAX($D$2, DATE(Initialisatie!$C$5,1,1)), 0, MONTH(MIN($D$1, DATE(Initialisatie!$C$5,12,31))) - MONTH(MAX($D$2, DATE(Initialisatie!$C$5,1,1))) + 1)),
        IFERROR(VALUE($E168),0) * MAX(0, IF(MIN($E$1, DATE(Initialisatie!$C$5,12,31)) &lt; MAX($E$2, DATE(Initialisatie!$C$5,1,1)), 0, MONTH(MIN($E$1, DATE(Initialisatie!$C$5,12,31))) - MONTH(MAX($E$2, DATE(Initialisatie!$C$5,1,1))) + 1))
    ) / 12
)</f>
        <v>5538</v>
      </c>
    </row>
    <row r="169" spans="1:8" x14ac:dyDescent="0.45">
      <c r="A169" s="997"/>
      <c r="B169" s="380">
        <v>12</v>
      </c>
      <c r="C169" t="s">
        <v>1819</v>
      </c>
      <c r="D169" t="s">
        <v>1820</v>
      </c>
      <c r="E169" t="s">
        <v>1821</v>
      </c>
      <c r="G169">
        <f>IF(
    OR(
        AND(MAX(0, MIN($C$1, DATE(Initialisatie!$C$5,12,31)) - MAX($C$2, DATE(Initialisatie!$C$5,1,1)) + 1) &gt; 0, IFERROR(VALUE($C169),0)=0),
        AND(MAX(0, MIN($D$1, DATE(Initialisatie!$C$5,12,31)) - MAX($D$2, DATE(Initialisatie!$C$5,1,1)) + 1) &gt; 0, IFERROR(VALUE($D169),0)=0),
        AND(MAX(0, MIN($E$1, DATE(Initialisatie!$C$5,12,31)) - MAX($E$2, DATE(Initialisatie!$C$5,1,1)) + 1) &gt; 0, IFERROR(VALUE($E169),0)=0)
    ),
    0,
    SUM(
        IFERROR(VALUE($C169),0) * MAX(0, MIN($C$1, DATE(Initialisatie!$C$5,12,31)) - MAX($C$2, DATE(Initialisatie!$C$5,1,1)) + 1),
        IFERROR(VALUE($D169),0) * MAX(0, MIN($D$1, DATE(Initialisatie!$C$5,12,31)) - MAX($D$2, DATE(Initialisatie!$C$5,1,1)) + 1),
        IFERROR(VALUE($E169),0) * MAX(0, MIN($E$1, DATE(Initialisatie!$C$5,12,31)) - MAX($E$2, DATE(Initialisatie!$C$5,1,1)) + 1)
    ) / (DATE(Initialisatie!$C$5,12,31) - DATE(Initialisatie!$C$5,1,1) + 1)
)</f>
        <v>5735.2465753424658</v>
      </c>
      <c r="H169">
        <f>IF(
    OR(
        AND(MAX(0, IF(MIN($C$1, DATE(Initialisatie!$C$5,12,31)) &lt; MAX($C$2, DATE(Initialisatie!$C$5,1,1)), 0, MONTH(MIN($C$1, DATE(Initialisatie!$C$5,12,31))) - MONTH(MAX($C$2, DATE(Initialisatie!$C$5,1,1))) + 1)) &lt;= 0, IFERROR(VALUE($C169),0)=0),
        AND(MAX(0, IF(MIN($D$1, DATE(Initialisatie!$C$5,12,31)) &lt; MAX($D$2, DATE(Initialisatie!$C$5,1,1)), 0, MONTH(MIN($D$1, DATE(Initialisatie!$C$5,12,31))) - MONTH(MAX($D$2, DATE(Initialisatie!$C$5,1,1))) + 1)) &lt;= 0, IFERROR(VALUE($D169),0)=0),
        AND(MAX(0, IF(MIN($E$1, DATE(Initialisatie!$C$5,12,31)) &lt; MAX($E$2, DATE(Initialisatie!$C$5,1,1)), 0, MONTH(MIN($E$1, DATE(Initialisatie!$C$5,12,31))) - MONTH(MAX($E$2, DATE(Initialisatie!$C$5,1,1))) + 1)) &lt;= 0, IFERROR(VALUE($E169),0)=0)
    ),
    0,
    SUM(
        IFERROR(VALUE($C169),0) * MAX(0, IF(MIN($C$1, DATE(Initialisatie!$C$5,12,31)) &lt; MAX($C$2, DATE(Initialisatie!$C$5,1,1)), 0, MONTH(MIN($C$1, DATE(Initialisatie!$C$5,12,31))) - MONTH(MAX($C$2, DATE(Initialisatie!$C$5,1,1))) + 1)),
        IFERROR(VALUE($D169),0) * MAX(0, IF(MIN($D$1, DATE(Initialisatie!$C$5,12,31)) &lt; MAX($D$2, DATE(Initialisatie!$C$5,1,1)), 0, MONTH(MIN($D$1, DATE(Initialisatie!$C$5,12,31))) - MONTH(MAX($D$2, DATE(Initialisatie!$C$5,1,1))) + 1)),
        IFERROR(VALUE($E169),0) * MAX(0, IF(MIN($E$1, DATE(Initialisatie!$C$5,12,31)) &lt; MAX($E$2, DATE(Initialisatie!$C$5,1,1)), 0, MONTH(MIN($E$1, DATE(Initialisatie!$C$5,12,31))) - MONTH(MAX($E$2, DATE(Initialisatie!$C$5,1,1))) + 1))
    ) / 12
)</f>
        <v>5735</v>
      </c>
    </row>
    <row r="170" spans="1:8" x14ac:dyDescent="0.45">
      <c r="A170" s="997"/>
      <c r="B170" s="380">
        <v>13</v>
      </c>
      <c r="C170" t="s">
        <v>1825</v>
      </c>
      <c r="D170" t="s">
        <v>1826</v>
      </c>
      <c r="E170" t="s">
        <v>1827</v>
      </c>
      <c r="G170">
        <f>IF(
    OR(
        AND(MAX(0, MIN($C$1, DATE(Initialisatie!$C$5,12,31)) - MAX($C$2, DATE(Initialisatie!$C$5,1,1)) + 1) &gt; 0, IFERROR(VALUE($C170),0)=0),
        AND(MAX(0, MIN($D$1, DATE(Initialisatie!$C$5,12,31)) - MAX($D$2, DATE(Initialisatie!$C$5,1,1)) + 1) &gt; 0, IFERROR(VALUE($D170),0)=0),
        AND(MAX(0, MIN($E$1, DATE(Initialisatie!$C$5,12,31)) - MAX($E$2, DATE(Initialisatie!$C$5,1,1)) + 1) &gt; 0, IFERROR(VALUE($E170),0)=0)
    ),
    0,
    SUM(
        IFERROR(VALUE($C170),0) * MAX(0, MIN($C$1, DATE(Initialisatie!$C$5,12,31)) - MAX($C$2, DATE(Initialisatie!$C$5,1,1)) + 1),
        IFERROR(VALUE($D170),0) * MAX(0, MIN($D$1, DATE(Initialisatie!$C$5,12,31)) - MAX($D$2, DATE(Initialisatie!$C$5,1,1)) + 1),
        IFERROR(VALUE($E170),0) * MAX(0, MIN($E$1, DATE(Initialisatie!$C$5,12,31)) - MAX($E$2, DATE(Initialisatie!$C$5,1,1)) + 1)
    ) / (DATE(Initialisatie!$C$5,12,31) - DATE(Initialisatie!$C$5,1,1) + 1)
)</f>
        <v>5933.2547945205479</v>
      </c>
      <c r="H170">
        <f>IF(
    OR(
        AND(MAX(0, IF(MIN($C$1, DATE(Initialisatie!$C$5,12,31)) &lt; MAX($C$2, DATE(Initialisatie!$C$5,1,1)), 0, MONTH(MIN($C$1, DATE(Initialisatie!$C$5,12,31))) - MONTH(MAX($C$2, DATE(Initialisatie!$C$5,1,1))) + 1)) &lt;= 0, IFERROR(VALUE($C170),0)=0),
        AND(MAX(0, IF(MIN($D$1, DATE(Initialisatie!$C$5,12,31)) &lt; MAX($D$2, DATE(Initialisatie!$C$5,1,1)), 0, MONTH(MIN($D$1, DATE(Initialisatie!$C$5,12,31))) - MONTH(MAX($D$2, DATE(Initialisatie!$C$5,1,1))) + 1)) &lt;= 0, IFERROR(VALUE($D170),0)=0),
        AND(MAX(0, IF(MIN($E$1, DATE(Initialisatie!$C$5,12,31)) &lt; MAX($E$2, DATE(Initialisatie!$C$5,1,1)), 0, MONTH(MIN($E$1, DATE(Initialisatie!$C$5,12,31))) - MONTH(MAX($E$2, DATE(Initialisatie!$C$5,1,1))) + 1)) &lt;= 0, IFERROR(VALUE($E170),0)=0)
    ),
    0,
    SUM(
        IFERROR(VALUE($C170),0) * MAX(0, IF(MIN($C$1, DATE(Initialisatie!$C$5,12,31)) &lt; MAX($C$2, DATE(Initialisatie!$C$5,1,1)), 0, MONTH(MIN($C$1, DATE(Initialisatie!$C$5,12,31))) - MONTH(MAX($C$2, DATE(Initialisatie!$C$5,1,1))) + 1)),
        IFERROR(VALUE($D170),0) * MAX(0, IF(MIN($D$1, DATE(Initialisatie!$C$5,12,31)) &lt; MAX($D$2, DATE(Initialisatie!$C$5,1,1)), 0, MONTH(MIN($D$1, DATE(Initialisatie!$C$5,12,31))) - MONTH(MAX($D$2, DATE(Initialisatie!$C$5,1,1))) + 1)),
        IFERROR(VALUE($E170),0) * MAX(0, IF(MIN($E$1, DATE(Initialisatie!$C$5,12,31)) &lt; MAX($E$2, DATE(Initialisatie!$C$5,1,1)), 0, MONTH(MIN($E$1, DATE(Initialisatie!$C$5,12,31))) - MONTH(MAX($E$2, DATE(Initialisatie!$C$5,1,1))) + 1))
    ) / 12
)</f>
        <v>5933</v>
      </c>
    </row>
    <row r="171" spans="1:8" x14ac:dyDescent="0.45">
      <c r="A171" s="997"/>
      <c r="B171" s="380">
        <v>14</v>
      </c>
      <c r="C171" t="s">
        <v>1828</v>
      </c>
      <c r="D171" t="s">
        <v>1829</v>
      </c>
      <c r="E171" t="s">
        <v>1830</v>
      </c>
      <c r="G171">
        <f>IF(
    OR(
        AND(MAX(0, MIN($C$1, DATE(Initialisatie!$C$5,12,31)) - MAX($C$2, DATE(Initialisatie!$C$5,1,1)) + 1) &gt; 0, IFERROR(VALUE($C171),0)=0),
        AND(MAX(0, MIN($D$1, DATE(Initialisatie!$C$5,12,31)) - MAX($D$2, DATE(Initialisatie!$C$5,1,1)) + 1) &gt; 0, IFERROR(VALUE($D171),0)=0),
        AND(MAX(0, MIN($E$1, DATE(Initialisatie!$C$5,12,31)) - MAX($E$2, DATE(Initialisatie!$C$5,1,1)) + 1) &gt; 0, IFERROR(VALUE($E171),0)=0)
    ),
    0,
    SUM(
        IFERROR(VALUE($C171),0) * MAX(0, MIN($C$1, DATE(Initialisatie!$C$5,12,31)) - MAX($C$2, DATE(Initialisatie!$C$5,1,1)) + 1),
        IFERROR(VALUE($D171),0) * MAX(0, MIN($D$1, DATE(Initialisatie!$C$5,12,31)) - MAX($D$2, DATE(Initialisatie!$C$5,1,1)) + 1),
        IFERROR(VALUE($E171),0) * MAX(0, MIN($E$1, DATE(Initialisatie!$C$5,12,31)) - MAX($E$2, DATE(Initialisatie!$C$5,1,1)) + 1)
    ) / (DATE(Initialisatie!$C$5,12,31) - DATE(Initialisatie!$C$5,1,1) + 1)
)</f>
        <v>6144.2630136986299</v>
      </c>
      <c r="H171">
        <f>IF(
    OR(
        AND(MAX(0, IF(MIN($C$1, DATE(Initialisatie!$C$5,12,31)) &lt; MAX($C$2, DATE(Initialisatie!$C$5,1,1)), 0, MONTH(MIN($C$1, DATE(Initialisatie!$C$5,12,31))) - MONTH(MAX($C$2, DATE(Initialisatie!$C$5,1,1))) + 1)) &lt;= 0, IFERROR(VALUE($C171),0)=0),
        AND(MAX(0, IF(MIN($D$1, DATE(Initialisatie!$C$5,12,31)) &lt; MAX($D$2, DATE(Initialisatie!$C$5,1,1)), 0, MONTH(MIN($D$1, DATE(Initialisatie!$C$5,12,31))) - MONTH(MAX($D$2, DATE(Initialisatie!$C$5,1,1))) + 1)) &lt;= 0, IFERROR(VALUE($D171),0)=0),
        AND(MAX(0, IF(MIN($E$1, DATE(Initialisatie!$C$5,12,31)) &lt; MAX($E$2, DATE(Initialisatie!$C$5,1,1)), 0, MONTH(MIN($E$1, DATE(Initialisatie!$C$5,12,31))) - MONTH(MAX($E$2, DATE(Initialisatie!$C$5,1,1))) + 1)) &lt;= 0, IFERROR(VALUE($E171),0)=0)
    ),
    0,
    SUM(
        IFERROR(VALUE($C171),0) * MAX(0, IF(MIN($C$1, DATE(Initialisatie!$C$5,12,31)) &lt; MAX($C$2, DATE(Initialisatie!$C$5,1,1)), 0, MONTH(MIN($C$1, DATE(Initialisatie!$C$5,12,31))) - MONTH(MAX($C$2, DATE(Initialisatie!$C$5,1,1))) + 1)),
        IFERROR(VALUE($D171),0) * MAX(0, IF(MIN($D$1, DATE(Initialisatie!$C$5,12,31)) &lt; MAX($D$2, DATE(Initialisatie!$C$5,1,1)), 0, MONTH(MIN($D$1, DATE(Initialisatie!$C$5,12,31))) - MONTH(MAX($D$2, DATE(Initialisatie!$C$5,1,1))) + 1)),
        IFERROR(VALUE($E171),0) * MAX(0, IF(MIN($E$1, DATE(Initialisatie!$C$5,12,31)) &lt; MAX($E$2, DATE(Initialisatie!$C$5,1,1)), 0, MONTH(MIN($E$1, DATE(Initialisatie!$C$5,12,31))) - MONTH(MAX($E$2, DATE(Initialisatie!$C$5,1,1))) + 1))
    ) / 12
)</f>
        <v>6144</v>
      </c>
    </row>
    <row r="172" spans="1:8" x14ac:dyDescent="0.45">
      <c r="A172" s="997"/>
      <c r="B172" s="380">
        <v>15</v>
      </c>
      <c r="C172" t="s">
        <v>1831</v>
      </c>
      <c r="D172" t="s">
        <v>1832</v>
      </c>
      <c r="E172" t="s">
        <v>1833</v>
      </c>
      <c r="G172">
        <f>IF(
    OR(
        AND(MAX(0, MIN($C$1, DATE(Initialisatie!$C$5,12,31)) - MAX($C$2, DATE(Initialisatie!$C$5,1,1)) + 1) &gt; 0, IFERROR(VALUE($C172),0)=0),
        AND(MAX(0, MIN($D$1, DATE(Initialisatie!$C$5,12,31)) - MAX($D$2, DATE(Initialisatie!$C$5,1,1)) + 1) &gt; 0, IFERROR(VALUE($D172),0)=0),
        AND(MAX(0, MIN($E$1, DATE(Initialisatie!$C$5,12,31)) - MAX($E$2, DATE(Initialisatie!$C$5,1,1)) + 1) &gt; 0, IFERROR(VALUE($E172),0)=0)
    ),
    0,
    SUM(
        IFERROR(VALUE($C172),0) * MAX(0, MIN($C$1, DATE(Initialisatie!$C$5,12,31)) - MAX($C$2, DATE(Initialisatie!$C$5,1,1)) + 1),
        IFERROR(VALUE($D172),0) * MAX(0, MIN($D$1, DATE(Initialisatie!$C$5,12,31)) - MAX($D$2, DATE(Initialisatie!$C$5,1,1)) + 1),
        IFERROR(VALUE($E172),0) * MAX(0, MIN($E$1, DATE(Initialisatie!$C$5,12,31)) - MAX($E$2, DATE(Initialisatie!$C$5,1,1)) + 1)
    ) / (DATE(Initialisatie!$C$5,12,31) - DATE(Initialisatie!$C$5,1,1) + 1)
)</f>
        <v>6354.5232876712325</v>
      </c>
      <c r="H172">
        <f>IF(
    OR(
        AND(MAX(0, IF(MIN($C$1, DATE(Initialisatie!$C$5,12,31)) &lt; MAX($C$2, DATE(Initialisatie!$C$5,1,1)), 0, MONTH(MIN($C$1, DATE(Initialisatie!$C$5,12,31))) - MONTH(MAX($C$2, DATE(Initialisatie!$C$5,1,1))) + 1)) &lt;= 0, IFERROR(VALUE($C172),0)=0),
        AND(MAX(0, IF(MIN($D$1, DATE(Initialisatie!$C$5,12,31)) &lt; MAX($D$2, DATE(Initialisatie!$C$5,1,1)), 0, MONTH(MIN($D$1, DATE(Initialisatie!$C$5,12,31))) - MONTH(MAX($D$2, DATE(Initialisatie!$C$5,1,1))) + 1)) &lt;= 0, IFERROR(VALUE($D172),0)=0),
        AND(MAX(0, IF(MIN($E$1, DATE(Initialisatie!$C$5,12,31)) &lt; MAX($E$2, DATE(Initialisatie!$C$5,1,1)), 0, MONTH(MIN($E$1, DATE(Initialisatie!$C$5,12,31))) - MONTH(MAX($E$2, DATE(Initialisatie!$C$5,1,1))) + 1)) &lt;= 0, IFERROR(VALUE($E172),0)=0)
    ),
    0,
    SUM(
        IFERROR(VALUE($C172),0) * MAX(0, IF(MIN($C$1, DATE(Initialisatie!$C$5,12,31)) &lt; MAX($C$2, DATE(Initialisatie!$C$5,1,1)), 0, MONTH(MIN($C$1, DATE(Initialisatie!$C$5,12,31))) - MONTH(MAX($C$2, DATE(Initialisatie!$C$5,1,1))) + 1)),
        IFERROR(VALUE($D172),0) * MAX(0, IF(MIN($D$1, DATE(Initialisatie!$C$5,12,31)) &lt; MAX($D$2, DATE(Initialisatie!$C$5,1,1)), 0, MONTH(MIN($D$1, DATE(Initialisatie!$C$5,12,31))) - MONTH(MAX($D$2, DATE(Initialisatie!$C$5,1,1))) + 1)),
        IFERROR(VALUE($E172),0) * MAX(0, IF(MIN($E$1, DATE(Initialisatie!$C$5,12,31)) &lt; MAX($E$2, DATE(Initialisatie!$C$5,1,1)), 0, MONTH(MIN($E$1, DATE(Initialisatie!$C$5,12,31))) - MONTH(MAX($E$2, DATE(Initialisatie!$C$5,1,1))) + 1))
    ) / 12
)</f>
        <v>6354.25</v>
      </c>
    </row>
    <row r="173" spans="1:8" x14ac:dyDescent="0.45">
      <c r="A173" s="998"/>
      <c r="B173" s="380" t="s">
        <v>517</v>
      </c>
      <c r="C173" t="s">
        <v>1834</v>
      </c>
      <c r="D173" t="s">
        <v>1514</v>
      </c>
      <c r="E173" t="s">
        <v>1835</v>
      </c>
      <c r="G173">
        <f>IF(
    OR(
        AND(MAX(0, MIN($C$1, DATE(Initialisatie!$C$5,12,31)) - MAX($C$2, DATE(Initialisatie!$C$5,1,1)) + 1) &gt; 0, IFERROR(VALUE($C173),0)=0),
        AND(MAX(0, MIN($D$1, DATE(Initialisatie!$C$5,12,31)) - MAX($D$2, DATE(Initialisatie!$C$5,1,1)) + 1) &gt; 0, IFERROR(VALUE($D173),0)=0),
        AND(MAX(0, MIN($E$1, DATE(Initialisatie!$C$5,12,31)) - MAX($E$2, DATE(Initialisatie!$C$5,1,1)) + 1) &gt; 0, IFERROR(VALUE($E173),0)=0)
    ),
    0,
    SUM(
        IFERROR(VALUE($C173),0) * MAX(0, MIN($C$1, DATE(Initialisatie!$C$5,12,31)) - MAX($C$2, DATE(Initialisatie!$C$5,1,1)) + 1),
        IFERROR(VALUE($D173),0) * MAX(0, MIN($D$1, DATE(Initialisatie!$C$5,12,31)) - MAX($D$2, DATE(Initialisatie!$C$5,1,1)) + 1),
        IFERROR(VALUE($E173),0) * MAX(0, MIN($E$1, DATE(Initialisatie!$C$5,12,31)) - MAX($E$2, DATE(Initialisatie!$C$5,1,1)) + 1)
    ) / (DATE(Initialisatie!$C$5,12,31) - DATE(Initialisatie!$C$5,1,1) + 1)
)</f>
        <v>3955.9205479452053</v>
      </c>
      <c r="H173">
        <f>IF(
    OR(
        AND(MAX(0, IF(MIN($C$1, DATE(Initialisatie!$C$5,12,31)) &lt; MAX($C$2, DATE(Initialisatie!$C$5,1,1)), 0, MONTH(MIN($C$1, DATE(Initialisatie!$C$5,12,31))) - MONTH(MAX($C$2, DATE(Initialisatie!$C$5,1,1))) + 1)) &lt;= 0, IFERROR(VALUE($C173),0)=0),
        AND(MAX(0, IF(MIN($D$1, DATE(Initialisatie!$C$5,12,31)) &lt; MAX($D$2, DATE(Initialisatie!$C$5,1,1)), 0, MONTH(MIN($D$1, DATE(Initialisatie!$C$5,12,31))) - MONTH(MAX($D$2, DATE(Initialisatie!$C$5,1,1))) + 1)) &lt;= 0, IFERROR(VALUE($D173),0)=0),
        AND(MAX(0, IF(MIN($E$1, DATE(Initialisatie!$C$5,12,31)) &lt; MAX($E$2, DATE(Initialisatie!$C$5,1,1)), 0, MONTH(MIN($E$1, DATE(Initialisatie!$C$5,12,31))) - MONTH(MAX($E$2, DATE(Initialisatie!$C$5,1,1))) + 1)) &lt;= 0, IFERROR(VALUE($E173),0)=0)
    ),
    0,
    SUM(
        IFERROR(VALUE($C173),0) * MAX(0, IF(MIN($C$1, DATE(Initialisatie!$C$5,12,31)) &lt; MAX($C$2, DATE(Initialisatie!$C$5,1,1)), 0, MONTH(MIN($C$1, DATE(Initialisatie!$C$5,12,31))) - MONTH(MAX($C$2, DATE(Initialisatie!$C$5,1,1))) + 1)),
        IFERROR(VALUE($D173),0) * MAX(0, IF(MIN($D$1, DATE(Initialisatie!$C$5,12,31)) &lt; MAX($D$2, DATE(Initialisatie!$C$5,1,1)), 0, MONTH(MIN($D$1, DATE(Initialisatie!$C$5,12,31))) - MONTH(MAX($D$2, DATE(Initialisatie!$C$5,1,1))) + 1)),
        IFERROR(VALUE($E173),0) * MAX(0, IF(MIN($E$1, DATE(Initialisatie!$C$5,12,31)) &lt; MAX($E$2, DATE(Initialisatie!$C$5,1,1)), 0, MONTH(MIN($E$1, DATE(Initialisatie!$C$5,12,31))) - MONTH(MAX($E$2, DATE(Initialisatie!$C$5,1,1))) + 1))
    ) / 12
)</f>
        <v>3955.75</v>
      </c>
    </row>
    <row r="174" spans="1:8" x14ac:dyDescent="0.45">
      <c r="A174" s="996">
        <v>11</v>
      </c>
      <c r="B174" s="380">
        <v>0</v>
      </c>
      <c r="C174" t="s">
        <v>1784</v>
      </c>
      <c r="D174" t="s">
        <v>1785</v>
      </c>
      <c r="E174" t="s">
        <v>1786</v>
      </c>
      <c r="G174">
        <f>IF(
    OR(
        AND(MAX(0, MIN($C$1, DATE(Initialisatie!$C$5,12,31)) - MAX($C$2, DATE(Initialisatie!$C$5,1,1)) + 1) &gt; 0, IFERROR(VALUE($C174),0)=0),
        AND(MAX(0, MIN($D$1, DATE(Initialisatie!$C$5,12,31)) - MAX($D$2, DATE(Initialisatie!$C$5,1,1)) + 1) &gt; 0, IFERROR(VALUE($D174),0)=0),
        AND(MAX(0, MIN($E$1, DATE(Initialisatie!$C$5,12,31)) - MAX($E$2, DATE(Initialisatie!$C$5,1,1)) + 1) &gt; 0, IFERROR(VALUE($E174),0)=0)
    ),
    0,
    SUM(
        IFERROR(VALUE($C174),0) * MAX(0, MIN($C$1, DATE(Initialisatie!$C$5,12,31)) - MAX($C$2, DATE(Initialisatie!$C$5,1,1)) + 1),
        IFERROR(VALUE($D174),0) * MAX(0, MIN($D$1, DATE(Initialisatie!$C$5,12,31)) - MAX($D$2, DATE(Initialisatie!$C$5,1,1)) + 1),
        IFERROR(VALUE($E174),0) * MAX(0, MIN($E$1, DATE(Initialisatie!$C$5,12,31)) - MAX($E$2, DATE(Initialisatie!$C$5,1,1)) + 1)
    ) / (DATE(Initialisatie!$C$5,12,31) - DATE(Initialisatie!$C$5,1,1) + 1)
)</f>
        <v>4307.6849315068494</v>
      </c>
      <c r="H174">
        <f>IF(
    OR(
        AND(MAX(0, IF(MIN($C$1, DATE(Initialisatie!$C$5,12,31)) &lt; MAX($C$2, DATE(Initialisatie!$C$5,1,1)), 0, MONTH(MIN($C$1, DATE(Initialisatie!$C$5,12,31))) - MONTH(MAX($C$2, DATE(Initialisatie!$C$5,1,1))) + 1)) &lt;= 0, IFERROR(VALUE($C174),0)=0),
        AND(MAX(0, IF(MIN($D$1, DATE(Initialisatie!$C$5,12,31)) &lt; MAX($D$2, DATE(Initialisatie!$C$5,1,1)), 0, MONTH(MIN($D$1, DATE(Initialisatie!$C$5,12,31))) - MONTH(MAX($D$2, DATE(Initialisatie!$C$5,1,1))) + 1)) &lt;= 0, IFERROR(VALUE($D174),0)=0),
        AND(MAX(0, IF(MIN($E$1, DATE(Initialisatie!$C$5,12,31)) &lt; MAX($E$2, DATE(Initialisatie!$C$5,1,1)), 0, MONTH(MIN($E$1, DATE(Initialisatie!$C$5,12,31))) - MONTH(MAX($E$2, DATE(Initialisatie!$C$5,1,1))) + 1)) &lt;= 0, IFERROR(VALUE($E174),0)=0)
    ),
    0,
    SUM(
        IFERROR(VALUE($C174),0) * MAX(0, IF(MIN($C$1, DATE(Initialisatie!$C$5,12,31)) &lt; MAX($C$2, DATE(Initialisatie!$C$5,1,1)), 0, MONTH(MIN($C$1, DATE(Initialisatie!$C$5,12,31))) - MONTH(MAX($C$2, DATE(Initialisatie!$C$5,1,1))) + 1)),
        IFERROR(VALUE($D174),0) * MAX(0, IF(MIN($D$1, DATE(Initialisatie!$C$5,12,31)) &lt; MAX($D$2, DATE(Initialisatie!$C$5,1,1)), 0, MONTH(MIN($D$1, DATE(Initialisatie!$C$5,12,31))) - MONTH(MAX($D$2, DATE(Initialisatie!$C$5,1,1))) + 1)),
        IFERROR(VALUE($E174),0) * MAX(0, IF(MIN($E$1, DATE(Initialisatie!$C$5,12,31)) &lt; MAX($E$2, DATE(Initialisatie!$C$5,1,1)), 0, MONTH(MIN($E$1, DATE(Initialisatie!$C$5,12,31))) - MONTH(MAX($E$2, DATE(Initialisatie!$C$5,1,1))) + 1))
    ) / 12
)</f>
        <v>4307.5</v>
      </c>
    </row>
    <row r="175" spans="1:8" x14ac:dyDescent="0.45">
      <c r="A175" s="997"/>
      <c r="B175" s="380">
        <v>1</v>
      </c>
      <c r="C175" t="s">
        <v>1790</v>
      </c>
      <c r="D175" t="s">
        <v>1791</v>
      </c>
      <c r="E175" t="s">
        <v>1792</v>
      </c>
      <c r="G175">
        <f>IF(
    OR(
        AND(MAX(0, MIN($C$1, DATE(Initialisatie!$C$5,12,31)) - MAX($C$2, DATE(Initialisatie!$C$5,1,1)) + 1) &gt; 0, IFERROR(VALUE($C175),0)=0),
        AND(MAX(0, MIN($D$1, DATE(Initialisatie!$C$5,12,31)) - MAX($D$2, DATE(Initialisatie!$C$5,1,1)) + 1) &gt; 0, IFERROR(VALUE($D175),0)=0),
        AND(MAX(0, MIN($E$1, DATE(Initialisatie!$C$5,12,31)) - MAX($E$2, DATE(Initialisatie!$C$5,1,1)) + 1) &gt; 0, IFERROR(VALUE($E175),0)=0)
    ),
    0,
    SUM(
        IFERROR(VALUE($C175),0) * MAX(0, MIN($C$1, DATE(Initialisatie!$C$5,12,31)) - MAX($C$2, DATE(Initialisatie!$C$5,1,1)) + 1),
        IFERROR(VALUE($D175),0) * MAX(0, MIN($D$1, DATE(Initialisatie!$C$5,12,31)) - MAX($D$2, DATE(Initialisatie!$C$5,1,1)) + 1),
        IFERROR(VALUE($E175),0) * MAX(0, MIN($E$1, DATE(Initialisatie!$C$5,12,31)) - MAX($E$2, DATE(Initialisatie!$C$5,1,1)) + 1)
    ) / (DATE(Initialisatie!$C$5,12,31) - DATE(Initialisatie!$C$5,1,1) + 1)
)</f>
        <v>4399.1890410958904</v>
      </c>
      <c r="H175">
        <f>IF(
    OR(
        AND(MAX(0, IF(MIN($C$1, DATE(Initialisatie!$C$5,12,31)) &lt; MAX($C$2, DATE(Initialisatie!$C$5,1,1)), 0, MONTH(MIN($C$1, DATE(Initialisatie!$C$5,12,31))) - MONTH(MAX($C$2, DATE(Initialisatie!$C$5,1,1))) + 1)) &lt;= 0, IFERROR(VALUE($C175),0)=0),
        AND(MAX(0, IF(MIN($D$1, DATE(Initialisatie!$C$5,12,31)) &lt; MAX($D$2, DATE(Initialisatie!$C$5,1,1)), 0, MONTH(MIN($D$1, DATE(Initialisatie!$C$5,12,31))) - MONTH(MAX($D$2, DATE(Initialisatie!$C$5,1,1))) + 1)) &lt;= 0, IFERROR(VALUE($D175),0)=0),
        AND(MAX(0, IF(MIN($E$1, DATE(Initialisatie!$C$5,12,31)) &lt; MAX($E$2, DATE(Initialisatie!$C$5,1,1)), 0, MONTH(MIN($E$1, DATE(Initialisatie!$C$5,12,31))) - MONTH(MAX($E$2, DATE(Initialisatie!$C$5,1,1))) + 1)) &lt;= 0, IFERROR(VALUE($E175),0)=0)
    ),
    0,
    SUM(
        IFERROR(VALUE($C175),0) * MAX(0, IF(MIN($C$1, DATE(Initialisatie!$C$5,12,31)) &lt; MAX($C$2, DATE(Initialisatie!$C$5,1,1)), 0, MONTH(MIN($C$1, DATE(Initialisatie!$C$5,12,31))) - MONTH(MAX($C$2, DATE(Initialisatie!$C$5,1,1))) + 1)),
        IFERROR(VALUE($D175),0) * MAX(0, IF(MIN($D$1, DATE(Initialisatie!$C$5,12,31)) &lt; MAX($D$2, DATE(Initialisatie!$C$5,1,1)), 0, MONTH(MIN($D$1, DATE(Initialisatie!$C$5,12,31))) - MONTH(MAX($D$2, DATE(Initialisatie!$C$5,1,1))) + 1)),
        IFERROR(VALUE($E175),0) * MAX(0, IF(MIN($E$1, DATE(Initialisatie!$C$5,12,31)) &lt; MAX($E$2, DATE(Initialisatie!$C$5,1,1)), 0, MONTH(MIN($E$1, DATE(Initialisatie!$C$5,12,31))) - MONTH(MAX($E$2, DATE(Initialisatie!$C$5,1,1))) + 1))
    ) / 12
)</f>
        <v>4399</v>
      </c>
    </row>
    <row r="176" spans="1:8" x14ac:dyDescent="0.45">
      <c r="A176" s="997"/>
      <c r="B176" s="380">
        <v>2</v>
      </c>
      <c r="C176" t="s">
        <v>1793</v>
      </c>
      <c r="D176" t="s">
        <v>1794</v>
      </c>
      <c r="E176" t="s">
        <v>1482</v>
      </c>
      <c r="G176">
        <f>IF(
    OR(
        AND(MAX(0, MIN($C$1, DATE(Initialisatie!$C$5,12,31)) - MAX($C$2, DATE(Initialisatie!$C$5,1,1)) + 1) &gt; 0, IFERROR(VALUE($C176),0)=0),
        AND(MAX(0, MIN($D$1, DATE(Initialisatie!$C$5,12,31)) - MAX($D$2, DATE(Initialisatie!$C$5,1,1)) + 1) &gt; 0, IFERROR(VALUE($D176),0)=0),
        AND(MAX(0, MIN($E$1, DATE(Initialisatie!$C$5,12,31)) - MAX($E$2, DATE(Initialisatie!$C$5,1,1)) + 1) &gt; 0, IFERROR(VALUE($E176),0)=0)
    ),
    0,
    SUM(
        IFERROR(VALUE($C176),0) * MAX(0, MIN($C$1, DATE(Initialisatie!$C$5,12,31)) - MAX($C$2, DATE(Initialisatie!$C$5,1,1)) + 1),
        IFERROR(VALUE($D176),0) * MAX(0, MIN($D$1, DATE(Initialisatie!$C$5,12,31)) - MAX($D$2, DATE(Initialisatie!$C$5,1,1)) + 1),
        IFERROR(VALUE($E176),0) * MAX(0, MIN($E$1, DATE(Initialisatie!$C$5,12,31)) - MAX($E$2, DATE(Initialisatie!$C$5,1,1)) + 1)
    ) / (DATE(Initialisatie!$C$5,12,31) - DATE(Initialisatie!$C$5,1,1) + 1)
)</f>
        <v>4547.9452054794519</v>
      </c>
      <c r="H176">
        <f>IF(
    OR(
        AND(MAX(0, IF(MIN($C$1, DATE(Initialisatie!$C$5,12,31)) &lt; MAX($C$2, DATE(Initialisatie!$C$5,1,1)), 0, MONTH(MIN($C$1, DATE(Initialisatie!$C$5,12,31))) - MONTH(MAX($C$2, DATE(Initialisatie!$C$5,1,1))) + 1)) &lt;= 0, IFERROR(VALUE($C176),0)=0),
        AND(MAX(0, IF(MIN($D$1, DATE(Initialisatie!$C$5,12,31)) &lt; MAX($D$2, DATE(Initialisatie!$C$5,1,1)), 0, MONTH(MIN($D$1, DATE(Initialisatie!$C$5,12,31))) - MONTH(MAX($D$2, DATE(Initialisatie!$C$5,1,1))) + 1)) &lt;= 0, IFERROR(VALUE($D176),0)=0),
        AND(MAX(0, IF(MIN($E$1, DATE(Initialisatie!$C$5,12,31)) &lt; MAX($E$2, DATE(Initialisatie!$C$5,1,1)), 0, MONTH(MIN($E$1, DATE(Initialisatie!$C$5,12,31))) - MONTH(MAX($E$2, DATE(Initialisatie!$C$5,1,1))) + 1)) &lt;= 0, IFERROR(VALUE($E176),0)=0)
    ),
    0,
    SUM(
        IFERROR(VALUE($C176),0) * MAX(0, IF(MIN($C$1, DATE(Initialisatie!$C$5,12,31)) &lt; MAX($C$2, DATE(Initialisatie!$C$5,1,1)), 0, MONTH(MIN($C$1, DATE(Initialisatie!$C$5,12,31))) - MONTH(MAX($C$2, DATE(Initialisatie!$C$5,1,1))) + 1)),
        IFERROR(VALUE($D176),0) * MAX(0, IF(MIN($D$1, DATE(Initialisatie!$C$5,12,31)) &lt; MAX($D$2, DATE(Initialisatie!$C$5,1,1)), 0, MONTH(MIN($D$1, DATE(Initialisatie!$C$5,12,31))) - MONTH(MAX($D$2, DATE(Initialisatie!$C$5,1,1))) + 1)),
        IFERROR(VALUE($E176),0) * MAX(0, IF(MIN($E$1, DATE(Initialisatie!$C$5,12,31)) &lt; MAX($E$2, DATE(Initialisatie!$C$5,1,1)), 0, MONTH(MIN($E$1, DATE(Initialisatie!$C$5,12,31))) - MONTH(MAX($E$2, DATE(Initialisatie!$C$5,1,1))) + 1))
    ) / 12
)</f>
        <v>4547.75</v>
      </c>
    </row>
    <row r="177" spans="1:8" x14ac:dyDescent="0.45">
      <c r="A177" s="997"/>
      <c r="B177" s="380">
        <v>3</v>
      </c>
      <c r="C177" t="s">
        <v>1795</v>
      </c>
      <c r="D177" t="s">
        <v>1796</v>
      </c>
      <c r="E177" t="s">
        <v>1797</v>
      </c>
      <c r="G177">
        <f>IF(
    OR(
        AND(MAX(0, MIN($C$1, DATE(Initialisatie!$C$5,12,31)) - MAX($C$2, DATE(Initialisatie!$C$5,1,1)) + 1) &gt; 0, IFERROR(VALUE($C177),0)=0),
        AND(MAX(0, MIN($D$1, DATE(Initialisatie!$C$5,12,31)) - MAX($D$2, DATE(Initialisatie!$C$5,1,1)) + 1) &gt; 0, IFERROR(VALUE($D177),0)=0),
        AND(MAX(0, MIN($E$1, DATE(Initialisatie!$C$5,12,31)) - MAX($E$2, DATE(Initialisatie!$C$5,1,1)) + 1) &gt; 0, IFERROR(VALUE($E177),0)=0)
    ),
    0,
    SUM(
        IFERROR(VALUE($C177),0) * MAX(0, MIN($C$1, DATE(Initialisatie!$C$5,12,31)) - MAX($C$2, DATE(Initialisatie!$C$5,1,1)) + 1),
        IFERROR(VALUE($D177),0) * MAX(0, MIN($D$1, DATE(Initialisatie!$C$5,12,31)) - MAX($D$2, DATE(Initialisatie!$C$5,1,1)) + 1),
        IFERROR(VALUE($E177),0) * MAX(0, MIN($E$1, DATE(Initialisatie!$C$5,12,31)) - MAX($E$2, DATE(Initialisatie!$C$5,1,1)) + 1)
    ) / (DATE(Initialisatie!$C$5,12,31) - DATE(Initialisatie!$C$5,1,1) + 1)
)</f>
        <v>4705.7013698630135</v>
      </c>
      <c r="H177">
        <f>IF(
    OR(
        AND(MAX(0, IF(MIN($C$1, DATE(Initialisatie!$C$5,12,31)) &lt; MAX($C$2, DATE(Initialisatie!$C$5,1,1)), 0, MONTH(MIN($C$1, DATE(Initialisatie!$C$5,12,31))) - MONTH(MAX($C$2, DATE(Initialisatie!$C$5,1,1))) + 1)) &lt;= 0, IFERROR(VALUE($C177),0)=0),
        AND(MAX(0, IF(MIN($D$1, DATE(Initialisatie!$C$5,12,31)) &lt; MAX($D$2, DATE(Initialisatie!$C$5,1,1)), 0, MONTH(MIN($D$1, DATE(Initialisatie!$C$5,12,31))) - MONTH(MAX($D$2, DATE(Initialisatie!$C$5,1,1))) + 1)) &lt;= 0, IFERROR(VALUE($D177),0)=0),
        AND(MAX(0, IF(MIN($E$1, DATE(Initialisatie!$C$5,12,31)) &lt; MAX($E$2, DATE(Initialisatie!$C$5,1,1)), 0, MONTH(MIN($E$1, DATE(Initialisatie!$C$5,12,31))) - MONTH(MAX($E$2, DATE(Initialisatie!$C$5,1,1))) + 1)) &lt;= 0, IFERROR(VALUE($E177),0)=0)
    ),
    0,
    SUM(
        IFERROR(VALUE($C177),0) * MAX(0, IF(MIN($C$1, DATE(Initialisatie!$C$5,12,31)) &lt; MAX($C$2, DATE(Initialisatie!$C$5,1,1)), 0, MONTH(MIN($C$1, DATE(Initialisatie!$C$5,12,31))) - MONTH(MAX($C$2, DATE(Initialisatie!$C$5,1,1))) + 1)),
        IFERROR(VALUE($D177),0) * MAX(0, IF(MIN($D$1, DATE(Initialisatie!$C$5,12,31)) &lt; MAX($D$2, DATE(Initialisatie!$C$5,1,1)), 0, MONTH(MIN($D$1, DATE(Initialisatie!$C$5,12,31))) - MONTH(MAX($D$2, DATE(Initialisatie!$C$5,1,1))) + 1)),
        IFERROR(VALUE($E177),0) * MAX(0, IF(MIN($E$1, DATE(Initialisatie!$C$5,12,31)) &lt; MAX($E$2, DATE(Initialisatie!$C$5,1,1)), 0, MONTH(MIN($E$1, DATE(Initialisatie!$C$5,12,31))) - MONTH(MAX($E$2, DATE(Initialisatie!$C$5,1,1))) + 1))
    ) / 12
)</f>
        <v>4705.5</v>
      </c>
    </row>
    <row r="178" spans="1:8" x14ac:dyDescent="0.45">
      <c r="A178" s="997"/>
      <c r="B178" s="380">
        <v>4</v>
      </c>
      <c r="C178" t="s">
        <v>1801</v>
      </c>
      <c r="D178" t="s">
        <v>1802</v>
      </c>
      <c r="E178" t="s">
        <v>1803</v>
      </c>
      <c r="G178">
        <f>IF(
    OR(
        AND(MAX(0, MIN($C$1, DATE(Initialisatie!$C$5,12,31)) - MAX($C$2, DATE(Initialisatie!$C$5,1,1)) + 1) &gt; 0, IFERROR(VALUE($C178),0)=0),
        AND(MAX(0, MIN($D$1, DATE(Initialisatie!$C$5,12,31)) - MAX($D$2, DATE(Initialisatie!$C$5,1,1)) + 1) &gt; 0, IFERROR(VALUE($D178),0)=0),
        AND(MAX(0, MIN($E$1, DATE(Initialisatie!$C$5,12,31)) - MAX($E$2, DATE(Initialisatie!$C$5,1,1)) + 1) &gt; 0, IFERROR(VALUE($E178),0)=0)
    ),
    0,
    SUM(
        IFERROR(VALUE($C178),0) * MAX(0, MIN($C$1, DATE(Initialisatie!$C$5,12,31)) - MAX($C$2, DATE(Initialisatie!$C$5,1,1)) + 1),
        IFERROR(VALUE($D178),0) * MAX(0, MIN($D$1, DATE(Initialisatie!$C$5,12,31)) - MAX($D$2, DATE(Initialisatie!$C$5,1,1)) + 1),
        IFERROR(VALUE($E178),0) * MAX(0, MIN($E$1, DATE(Initialisatie!$C$5,12,31)) - MAX($E$2, DATE(Initialisatie!$C$5,1,1)) + 1)
    ) / (DATE(Initialisatie!$C$5,12,31) - DATE(Initialisatie!$C$5,1,1) + 1)
)</f>
        <v>4865.7095890410956</v>
      </c>
      <c r="H178">
        <f>IF(
    OR(
        AND(MAX(0, IF(MIN($C$1, DATE(Initialisatie!$C$5,12,31)) &lt; MAX($C$2, DATE(Initialisatie!$C$5,1,1)), 0, MONTH(MIN($C$1, DATE(Initialisatie!$C$5,12,31))) - MONTH(MAX($C$2, DATE(Initialisatie!$C$5,1,1))) + 1)) &lt;= 0, IFERROR(VALUE($C178),0)=0),
        AND(MAX(0, IF(MIN($D$1, DATE(Initialisatie!$C$5,12,31)) &lt; MAX($D$2, DATE(Initialisatie!$C$5,1,1)), 0, MONTH(MIN($D$1, DATE(Initialisatie!$C$5,12,31))) - MONTH(MAX($D$2, DATE(Initialisatie!$C$5,1,1))) + 1)) &lt;= 0, IFERROR(VALUE($D178),0)=0),
        AND(MAX(0, IF(MIN($E$1, DATE(Initialisatie!$C$5,12,31)) &lt; MAX($E$2, DATE(Initialisatie!$C$5,1,1)), 0, MONTH(MIN($E$1, DATE(Initialisatie!$C$5,12,31))) - MONTH(MAX($E$2, DATE(Initialisatie!$C$5,1,1))) + 1)) &lt;= 0, IFERROR(VALUE($E178),0)=0)
    ),
    0,
    SUM(
        IFERROR(VALUE($C178),0) * MAX(0, IF(MIN($C$1, DATE(Initialisatie!$C$5,12,31)) &lt; MAX($C$2, DATE(Initialisatie!$C$5,1,1)), 0, MONTH(MIN($C$1, DATE(Initialisatie!$C$5,12,31))) - MONTH(MAX($C$2, DATE(Initialisatie!$C$5,1,1))) + 1)),
        IFERROR(VALUE($D178),0) * MAX(0, IF(MIN($D$1, DATE(Initialisatie!$C$5,12,31)) &lt; MAX($D$2, DATE(Initialisatie!$C$5,1,1)), 0, MONTH(MIN($D$1, DATE(Initialisatie!$C$5,12,31))) - MONTH(MAX($D$2, DATE(Initialisatie!$C$5,1,1))) + 1)),
        IFERROR(VALUE($E178),0) * MAX(0, IF(MIN($E$1, DATE(Initialisatie!$C$5,12,31)) &lt; MAX($E$2, DATE(Initialisatie!$C$5,1,1)), 0, MONTH(MIN($E$1, DATE(Initialisatie!$C$5,12,31))) - MONTH(MAX($E$2, DATE(Initialisatie!$C$5,1,1))) + 1))
    ) / 12
)</f>
        <v>4865.5</v>
      </c>
    </row>
    <row r="179" spans="1:8" x14ac:dyDescent="0.45">
      <c r="A179" s="997"/>
      <c r="B179" s="380">
        <v>5</v>
      </c>
      <c r="C179" t="s">
        <v>1804</v>
      </c>
      <c r="D179" t="s">
        <v>1805</v>
      </c>
      <c r="E179" t="s">
        <v>1806</v>
      </c>
      <c r="G179">
        <f>IF(
    OR(
        AND(MAX(0, MIN($C$1, DATE(Initialisatie!$C$5,12,31)) - MAX($C$2, DATE(Initialisatie!$C$5,1,1)) + 1) &gt; 0, IFERROR(VALUE($C179),0)=0),
        AND(MAX(0, MIN($D$1, DATE(Initialisatie!$C$5,12,31)) - MAX($D$2, DATE(Initialisatie!$C$5,1,1)) + 1) &gt; 0, IFERROR(VALUE($D179),0)=0),
        AND(MAX(0, MIN($E$1, DATE(Initialisatie!$C$5,12,31)) - MAX($E$2, DATE(Initialisatie!$C$5,1,1)) + 1) &gt; 0, IFERROR(VALUE($E179),0)=0)
    ),
    0,
    SUM(
        IFERROR(VALUE($C179),0) * MAX(0, MIN($C$1, DATE(Initialisatie!$C$5,12,31)) - MAX($C$2, DATE(Initialisatie!$C$5,1,1)) + 1),
        IFERROR(VALUE($D179),0) * MAX(0, MIN($D$1, DATE(Initialisatie!$C$5,12,31)) - MAX($D$2, DATE(Initialisatie!$C$5,1,1)) + 1),
        IFERROR(VALUE($E179),0) * MAX(0, MIN($E$1, DATE(Initialisatie!$C$5,12,31)) - MAX($E$2, DATE(Initialisatie!$C$5,1,1)) + 1)
    ) / (DATE(Initialisatie!$C$5,12,31) - DATE(Initialisatie!$C$5,1,1) + 1)
)</f>
        <v>5024.4657534246571</v>
      </c>
      <c r="H179">
        <f>IF(
    OR(
        AND(MAX(0, IF(MIN($C$1, DATE(Initialisatie!$C$5,12,31)) &lt; MAX($C$2, DATE(Initialisatie!$C$5,1,1)), 0, MONTH(MIN($C$1, DATE(Initialisatie!$C$5,12,31))) - MONTH(MAX($C$2, DATE(Initialisatie!$C$5,1,1))) + 1)) &lt;= 0, IFERROR(VALUE($C179),0)=0),
        AND(MAX(0, IF(MIN($D$1, DATE(Initialisatie!$C$5,12,31)) &lt; MAX($D$2, DATE(Initialisatie!$C$5,1,1)), 0, MONTH(MIN($D$1, DATE(Initialisatie!$C$5,12,31))) - MONTH(MAX($D$2, DATE(Initialisatie!$C$5,1,1))) + 1)) &lt;= 0, IFERROR(VALUE($D179),0)=0),
        AND(MAX(0, IF(MIN($E$1, DATE(Initialisatie!$C$5,12,31)) &lt; MAX($E$2, DATE(Initialisatie!$C$5,1,1)), 0, MONTH(MIN($E$1, DATE(Initialisatie!$C$5,12,31))) - MONTH(MAX($E$2, DATE(Initialisatie!$C$5,1,1))) + 1)) &lt;= 0, IFERROR(VALUE($E179),0)=0)
    ),
    0,
    SUM(
        IFERROR(VALUE($C179),0) * MAX(0, IF(MIN($C$1, DATE(Initialisatie!$C$5,12,31)) &lt; MAX($C$2, DATE(Initialisatie!$C$5,1,1)), 0, MONTH(MIN($C$1, DATE(Initialisatie!$C$5,12,31))) - MONTH(MAX($C$2, DATE(Initialisatie!$C$5,1,1))) + 1)),
        IFERROR(VALUE($D179),0) * MAX(0, IF(MIN($D$1, DATE(Initialisatie!$C$5,12,31)) &lt; MAX($D$2, DATE(Initialisatie!$C$5,1,1)), 0, MONTH(MIN($D$1, DATE(Initialisatie!$C$5,12,31))) - MONTH(MAX($D$2, DATE(Initialisatie!$C$5,1,1))) + 1)),
        IFERROR(VALUE($E179),0) * MAX(0, IF(MIN($E$1, DATE(Initialisatie!$C$5,12,31)) &lt; MAX($E$2, DATE(Initialisatie!$C$5,1,1)), 0, MONTH(MIN($E$1, DATE(Initialisatie!$C$5,12,31))) - MONTH(MAX($E$2, DATE(Initialisatie!$C$5,1,1))) + 1))
    ) / 12
)</f>
        <v>5024.25</v>
      </c>
    </row>
    <row r="180" spans="1:8" x14ac:dyDescent="0.45">
      <c r="A180" s="997"/>
      <c r="B180" s="380">
        <v>6</v>
      </c>
      <c r="C180" t="s">
        <v>1807</v>
      </c>
      <c r="D180" t="s">
        <v>1808</v>
      </c>
      <c r="E180" t="s">
        <v>1809</v>
      </c>
      <c r="G180">
        <f>IF(
    OR(
        AND(MAX(0, MIN($C$1, DATE(Initialisatie!$C$5,12,31)) - MAX($C$2, DATE(Initialisatie!$C$5,1,1)) + 1) &gt; 0, IFERROR(VALUE($C180),0)=0),
        AND(MAX(0, MIN($D$1, DATE(Initialisatie!$C$5,12,31)) - MAX($D$2, DATE(Initialisatie!$C$5,1,1)) + 1) &gt; 0, IFERROR(VALUE($D180),0)=0),
        AND(MAX(0, MIN($E$1, DATE(Initialisatie!$C$5,12,31)) - MAX($E$2, DATE(Initialisatie!$C$5,1,1)) + 1) &gt; 0, IFERROR(VALUE($E180),0)=0)
    ),
    0,
    SUM(
        IFERROR(VALUE($C180),0) * MAX(0, MIN($C$1, DATE(Initialisatie!$C$5,12,31)) - MAX($C$2, DATE(Initialisatie!$C$5,1,1)) + 1),
        IFERROR(VALUE($D180),0) * MAX(0, MIN($D$1, DATE(Initialisatie!$C$5,12,31)) - MAX($D$2, DATE(Initialisatie!$C$5,1,1)) + 1),
        IFERROR(VALUE($E180),0) * MAX(0, MIN($E$1, DATE(Initialisatie!$C$5,12,31)) - MAX($E$2, DATE(Initialisatie!$C$5,1,1)) + 1)
    ) / (DATE(Initialisatie!$C$5,12,31) - DATE(Initialisatie!$C$5,1,1) + 1)
)</f>
        <v>5184.2219178082196</v>
      </c>
      <c r="H180">
        <f>IF(
    OR(
        AND(MAX(0, IF(MIN($C$1, DATE(Initialisatie!$C$5,12,31)) &lt; MAX($C$2, DATE(Initialisatie!$C$5,1,1)), 0, MONTH(MIN($C$1, DATE(Initialisatie!$C$5,12,31))) - MONTH(MAX($C$2, DATE(Initialisatie!$C$5,1,1))) + 1)) &lt;= 0, IFERROR(VALUE($C180),0)=0),
        AND(MAX(0, IF(MIN($D$1, DATE(Initialisatie!$C$5,12,31)) &lt; MAX($D$2, DATE(Initialisatie!$C$5,1,1)), 0, MONTH(MIN($D$1, DATE(Initialisatie!$C$5,12,31))) - MONTH(MAX($D$2, DATE(Initialisatie!$C$5,1,1))) + 1)) &lt;= 0, IFERROR(VALUE($D180),0)=0),
        AND(MAX(0, IF(MIN($E$1, DATE(Initialisatie!$C$5,12,31)) &lt; MAX($E$2, DATE(Initialisatie!$C$5,1,1)), 0, MONTH(MIN($E$1, DATE(Initialisatie!$C$5,12,31))) - MONTH(MAX($E$2, DATE(Initialisatie!$C$5,1,1))) + 1)) &lt;= 0, IFERROR(VALUE($E180),0)=0)
    ),
    0,
    SUM(
        IFERROR(VALUE($C180),0) * MAX(0, IF(MIN($C$1, DATE(Initialisatie!$C$5,12,31)) &lt; MAX($C$2, DATE(Initialisatie!$C$5,1,1)), 0, MONTH(MIN($C$1, DATE(Initialisatie!$C$5,12,31))) - MONTH(MAX($C$2, DATE(Initialisatie!$C$5,1,1))) + 1)),
        IFERROR(VALUE($D180),0) * MAX(0, IF(MIN($D$1, DATE(Initialisatie!$C$5,12,31)) &lt; MAX($D$2, DATE(Initialisatie!$C$5,1,1)), 0, MONTH(MIN($D$1, DATE(Initialisatie!$C$5,12,31))) - MONTH(MAX($D$2, DATE(Initialisatie!$C$5,1,1))) + 1)),
        IFERROR(VALUE($E180),0) * MAX(0, IF(MIN($E$1, DATE(Initialisatie!$C$5,12,31)) &lt; MAX($E$2, DATE(Initialisatie!$C$5,1,1)), 0, MONTH(MIN($E$1, DATE(Initialisatie!$C$5,12,31))) - MONTH(MAX($E$2, DATE(Initialisatie!$C$5,1,1))) + 1))
    ) / 12
)</f>
        <v>5184</v>
      </c>
    </row>
    <row r="181" spans="1:8" x14ac:dyDescent="0.45">
      <c r="A181" s="997"/>
      <c r="B181" s="380">
        <v>7</v>
      </c>
      <c r="C181" t="s">
        <v>1813</v>
      </c>
      <c r="D181" t="s">
        <v>1814</v>
      </c>
      <c r="E181" t="s">
        <v>1815</v>
      </c>
      <c r="G181">
        <f>IF(
    OR(
        AND(MAX(0, MIN($C$1, DATE(Initialisatie!$C$5,12,31)) - MAX($C$2, DATE(Initialisatie!$C$5,1,1)) + 1) &gt; 0, IFERROR(VALUE($C181),0)=0),
        AND(MAX(0, MIN($D$1, DATE(Initialisatie!$C$5,12,31)) - MAX($D$2, DATE(Initialisatie!$C$5,1,1)) + 1) &gt; 0, IFERROR(VALUE($D181),0)=0),
        AND(MAX(0, MIN($E$1, DATE(Initialisatie!$C$5,12,31)) - MAX($E$2, DATE(Initialisatie!$C$5,1,1)) + 1) &gt; 0, IFERROR(VALUE($E181),0)=0)
    ),
    0,
    SUM(
        IFERROR(VALUE($C181),0) * MAX(0, MIN($C$1, DATE(Initialisatie!$C$5,12,31)) - MAX($C$2, DATE(Initialisatie!$C$5,1,1)) + 1),
        IFERROR(VALUE($D181),0) * MAX(0, MIN($D$1, DATE(Initialisatie!$C$5,12,31)) - MAX($D$2, DATE(Initialisatie!$C$5,1,1)) + 1),
        IFERROR(VALUE($E181),0) * MAX(0, MIN($E$1, DATE(Initialisatie!$C$5,12,31)) - MAX($E$2, DATE(Initialisatie!$C$5,1,1)) + 1)
    ) / (DATE(Initialisatie!$C$5,12,31) - DATE(Initialisatie!$C$5,1,1) + 1)
)</f>
        <v>5352.2301369863017</v>
      </c>
      <c r="H181">
        <f>IF(
    OR(
        AND(MAX(0, IF(MIN($C$1, DATE(Initialisatie!$C$5,12,31)) &lt; MAX($C$2, DATE(Initialisatie!$C$5,1,1)), 0, MONTH(MIN($C$1, DATE(Initialisatie!$C$5,12,31))) - MONTH(MAX($C$2, DATE(Initialisatie!$C$5,1,1))) + 1)) &lt;= 0, IFERROR(VALUE($C181),0)=0),
        AND(MAX(0, IF(MIN($D$1, DATE(Initialisatie!$C$5,12,31)) &lt; MAX($D$2, DATE(Initialisatie!$C$5,1,1)), 0, MONTH(MIN($D$1, DATE(Initialisatie!$C$5,12,31))) - MONTH(MAX($D$2, DATE(Initialisatie!$C$5,1,1))) + 1)) &lt;= 0, IFERROR(VALUE($D181),0)=0),
        AND(MAX(0, IF(MIN($E$1, DATE(Initialisatie!$C$5,12,31)) &lt; MAX($E$2, DATE(Initialisatie!$C$5,1,1)), 0, MONTH(MIN($E$1, DATE(Initialisatie!$C$5,12,31))) - MONTH(MAX($E$2, DATE(Initialisatie!$C$5,1,1))) + 1)) &lt;= 0, IFERROR(VALUE($E181),0)=0)
    ),
    0,
    SUM(
        IFERROR(VALUE($C181),0) * MAX(0, IF(MIN($C$1, DATE(Initialisatie!$C$5,12,31)) &lt; MAX($C$2, DATE(Initialisatie!$C$5,1,1)), 0, MONTH(MIN($C$1, DATE(Initialisatie!$C$5,12,31))) - MONTH(MAX($C$2, DATE(Initialisatie!$C$5,1,1))) + 1)),
        IFERROR(VALUE($D181),0) * MAX(0, IF(MIN($D$1, DATE(Initialisatie!$C$5,12,31)) &lt; MAX($D$2, DATE(Initialisatie!$C$5,1,1)), 0, MONTH(MIN($D$1, DATE(Initialisatie!$C$5,12,31))) - MONTH(MAX($D$2, DATE(Initialisatie!$C$5,1,1))) + 1)),
        IFERROR(VALUE($E181),0) * MAX(0, IF(MIN($E$1, DATE(Initialisatie!$C$5,12,31)) &lt; MAX($E$2, DATE(Initialisatie!$C$5,1,1)), 0, MONTH(MIN($E$1, DATE(Initialisatie!$C$5,12,31))) - MONTH(MAX($E$2, DATE(Initialisatie!$C$5,1,1))) + 1))
    ) / 12
)</f>
        <v>5352</v>
      </c>
    </row>
    <row r="182" spans="1:8" x14ac:dyDescent="0.45">
      <c r="A182" s="997"/>
      <c r="B182" s="380">
        <v>8</v>
      </c>
      <c r="C182" t="s">
        <v>1816</v>
      </c>
      <c r="D182" t="s">
        <v>1817</v>
      </c>
      <c r="E182" t="s">
        <v>1818</v>
      </c>
      <c r="G182">
        <f>IF(
    OR(
        AND(MAX(0, MIN($C$1, DATE(Initialisatie!$C$5,12,31)) - MAX($C$2, DATE(Initialisatie!$C$5,1,1)) + 1) &gt; 0, IFERROR(VALUE($C182),0)=0),
        AND(MAX(0, MIN($D$1, DATE(Initialisatie!$C$5,12,31)) - MAX($D$2, DATE(Initialisatie!$C$5,1,1)) + 1) &gt; 0, IFERROR(VALUE($D182),0)=0),
        AND(MAX(0, MIN($E$1, DATE(Initialisatie!$C$5,12,31)) - MAX($E$2, DATE(Initialisatie!$C$5,1,1)) + 1) &gt; 0, IFERROR(VALUE($E182),0)=0)
    ),
    0,
    SUM(
        IFERROR(VALUE($C182),0) * MAX(0, MIN($C$1, DATE(Initialisatie!$C$5,12,31)) - MAX($C$2, DATE(Initialisatie!$C$5,1,1)) + 1),
        IFERROR(VALUE($D182),0) * MAX(0, MIN($D$1, DATE(Initialisatie!$C$5,12,31)) - MAX($D$2, DATE(Initialisatie!$C$5,1,1)) + 1),
        IFERROR(VALUE($E182),0) * MAX(0, MIN($E$1, DATE(Initialisatie!$C$5,12,31)) - MAX($E$2, DATE(Initialisatie!$C$5,1,1)) + 1)
    ) / (DATE(Initialisatie!$C$5,12,31) - DATE(Initialisatie!$C$5,1,1) + 1)
)</f>
        <v>5538.2383561643837</v>
      </c>
      <c r="H182">
        <f>IF(
    OR(
        AND(MAX(0, IF(MIN($C$1, DATE(Initialisatie!$C$5,12,31)) &lt; MAX($C$2, DATE(Initialisatie!$C$5,1,1)), 0, MONTH(MIN($C$1, DATE(Initialisatie!$C$5,12,31))) - MONTH(MAX($C$2, DATE(Initialisatie!$C$5,1,1))) + 1)) &lt;= 0, IFERROR(VALUE($C182),0)=0),
        AND(MAX(0, IF(MIN($D$1, DATE(Initialisatie!$C$5,12,31)) &lt; MAX($D$2, DATE(Initialisatie!$C$5,1,1)), 0, MONTH(MIN($D$1, DATE(Initialisatie!$C$5,12,31))) - MONTH(MAX($D$2, DATE(Initialisatie!$C$5,1,1))) + 1)) &lt;= 0, IFERROR(VALUE($D182),0)=0),
        AND(MAX(0, IF(MIN($E$1, DATE(Initialisatie!$C$5,12,31)) &lt; MAX($E$2, DATE(Initialisatie!$C$5,1,1)), 0, MONTH(MIN($E$1, DATE(Initialisatie!$C$5,12,31))) - MONTH(MAX($E$2, DATE(Initialisatie!$C$5,1,1))) + 1)) &lt;= 0, IFERROR(VALUE($E182),0)=0)
    ),
    0,
    SUM(
        IFERROR(VALUE($C182),0) * MAX(0, IF(MIN($C$1, DATE(Initialisatie!$C$5,12,31)) &lt; MAX($C$2, DATE(Initialisatie!$C$5,1,1)), 0, MONTH(MIN($C$1, DATE(Initialisatie!$C$5,12,31))) - MONTH(MAX($C$2, DATE(Initialisatie!$C$5,1,1))) + 1)),
        IFERROR(VALUE($D182),0) * MAX(0, IF(MIN($D$1, DATE(Initialisatie!$C$5,12,31)) &lt; MAX($D$2, DATE(Initialisatie!$C$5,1,1)), 0, MONTH(MIN($D$1, DATE(Initialisatie!$C$5,12,31))) - MONTH(MAX($D$2, DATE(Initialisatie!$C$5,1,1))) + 1)),
        IFERROR(VALUE($E182),0) * MAX(0, IF(MIN($E$1, DATE(Initialisatie!$C$5,12,31)) &lt; MAX($E$2, DATE(Initialisatie!$C$5,1,1)), 0, MONTH(MIN($E$1, DATE(Initialisatie!$C$5,12,31))) - MONTH(MAX($E$2, DATE(Initialisatie!$C$5,1,1))) + 1))
    ) / 12
)</f>
        <v>5538</v>
      </c>
    </row>
    <row r="183" spans="1:8" x14ac:dyDescent="0.45">
      <c r="A183" s="997"/>
      <c r="B183" s="380">
        <v>9</v>
      </c>
      <c r="C183" t="s">
        <v>1819</v>
      </c>
      <c r="D183" t="s">
        <v>1820</v>
      </c>
      <c r="E183" t="s">
        <v>1821</v>
      </c>
      <c r="G183">
        <f>IF(
    OR(
        AND(MAX(0, MIN($C$1, DATE(Initialisatie!$C$5,12,31)) - MAX($C$2, DATE(Initialisatie!$C$5,1,1)) + 1) &gt; 0, IFERROR(VALUE($C183),0)=0),
        AND(MAX(0, MIN($D$1, DATE(Initialisatie!$C$5,12,31)) - MAX($D$2, DATE(Initialisatie!$C$5,1,1)) + 1) &gt; 0, IFERROR(VALUE($D183),0)=0),
        AND(MAX(0, MIN($E$1, DATE(Initialisatie!$C$5,12,31)) - MAX($E$2, DATE(Initialisatie!$C$5,1,1)) + 1) &gt; 0, IFERROR(VALUE($E183),0)=0)
    ),
    0,
    SUM(
        IFERROR(VALUE($C183),0) * MAX(0, MIN($C$1, DATE(Initialisatie!$C$5,12,31)) - MAX($C$2, DATE(Initialisatie!$C$5,1,1)) + 1),
        IFERROR(VALUE($D183),0) * MAX(0, MIN($D$1, DATE(Initialisatie!$C$5,12,31)) - MAX($D$2, DATE(Initialisatie!$C$5,1,1)) + 1),
        IFERROR(VALUE($E183),0) * MAX(0, MIN($E$1, DATE(Initialisatie!$C$5,12,31)) - MAX($E$2, DATE(Initialisatie!$C$5,1,1)) + 1)
    ) / (DATE(Initialisatie!$C$5,12,31) - DATE(Initialisatie!$C$5,1,1) + 1)
)</f>
        <v>5735.2465753424658</v>
      </c>
      <c r="H183">
        <f>IF(
    OR(
        AND(MAX(0, IF(MIN($C$1, DATE(Initialisatie!$C$5,12,31)) &lt; MAX($C$2, DATE(Initialisatie!$C$5,1,1)), 0, MONTH(MIN($C$1, DATE(Initialisatie!$C$5,12,31))) - MONTH(MAX($C$2, DATE(Initialisatie!$C$5,1,1))) + 1)) &lt;= 0, IFERROR(VALUE($C183),0)=0),
        AND(MAX(0, IF(MIN($D$1, DATE(Initialisatie!$C$5,12,31)) &lt; MAX($D$2, DATE(Initialisatie!$C$5,1,1)), 0, MONTH(MIN($D$1, DATE(Initialisatie!$C$5,12,31))) - MONTH(MAX($D$2, DATE(Initialisatie!$C$5,1,1))) + 1)) &lt;= 0, IFERROR(VALUE($D183),0)=0),
        AND(MAX(0, IF(MIN($E$1, DATE(Initialisatie!$C$5,12,31)) &lt; MAX($E$2, DATE(Initialisatie!$C$5,1,1)), 0, MONTH(MIN($E$1, DATE(Initialisatie!$C$5,12,31))) - MONTH(MAX($E$2, DATE(Initialisatie!$C$5,1,1))) + 1)) &lt;= 0, IFERROR(VALUE($E183),0)=0)
    ),
    0,
    SUM(
        IFERROR(VALUE($C183),0) * MAX(0, IF(MIN($C$1, DATE(Initialisatie!$C$5,12,31)) &lt; MAX($C$2, DATE(Initialisatie!$C$5,1,1)), 0, MONTH(MIN($C$1, DATE(Initialisatie!$C$5,12,31))) - MONTH(MAX($C$2, DATE(Initialisatie!$C$5,1,1))) + 1)),
        IFERROR(VALUE($D183),0) * MAX(0, IF(MIN($D$1, DATE(Initialisatie!$C$5,12,31)) &lt; MAX($D$2, DATE(Initialisatie!$C$5,1,1)), 0, MONTH(MIN($D$1, DATE(Initialisatie!$C$5,12,31))) - MONTH(MAX($D$2, DATE(Initialisatie!$C$5,1,1))) + 1)),
        IFERROR(VALUE($E183),0) * MAX(0, IF(MIN($E$1, DATE(Initialisatie!$C$5,12,31)) &lt; MAX($E$2, DATE(Initialisatie!$C$5,1,1)), 0, MONTH(MIN($E$1, DATE(Initialisatie!$C$5,12,31))) - MONTH(MAX($E$2, DATE(Initialisatie!$C$5,1,1))) + 1))
    ) / 12
)</f>
        <v>5735</v>
      </c>
    </row>
    <row r="184" spans="1:8" x14ac:dyDescent="0.45">
      <c r="A184" s="997"/>
      <c r="B184" s="380">
        <v>10</v>
      </c>
      <c r="C184" t="s">
        <v>1825</v>
      </c>
      <c r="D184" t="s">
        <v>1826</v>
      </c>
      <c r="E184" t="s">
        <v>1827</v>
      </c>
      <c r="G184">
        <f>IF(
    OR(
        AND(MAX(0, MIN($C$1, DATE(Initialisatie!$C$5,12,31)) - MAX($C$2, DATE(Initialisatie!$C$5,1,1)) + 1) &gt; 0, IFERROR(VALUE($C184),0)=0),
        AND(MAX(0, MIN($D$1, DATE(Initialisatie!$C$5,12,31)) - MAX($D$2, DATE(Initialisatie!$C$5,1,1)) + 1) &gt; 0, IFERROR(VALUE($D184),0)=0),
        AND(MAX(0, MIN($E$1, DATE(Initialisatie!$C$5,12,31)) - MAX($E$2, DATE(Initialisatie!$C$5,1,1)) + 1) &gt; 0, IFERROR(VALUE($E184),0)=0)
    ),
    0,
    SUM(
        IFERROR(VALUE($C184),0) * MAX(0, MIN($C$1, DATE(Initialisatie!$C$5,12,31)) - MAX($C$2, DATE(Initialisatie!$C$5,1,1)) + 1),
        IFERROR(VALUE($D184),0) * MAX(0, MIN($D$1, DATE(Initialisatie!$C$5,12,31)) - MAX($D$2, DATE(Initialisatie!$C$5,1,1)) + 1),
        IFERROR(VALUE($E184),0) * MAX(0, MIN($E$1, DATE(Initialisatie!$C$5,12,31)) - MAX($E$2, DATE(Initialisatie!$C$5,1,1)) + 1)
    ) / (DATE(Initialisatie!$C$5,12,31) - DATE(Initialisatie!$C$5,1,1) + 1)
)</f>
        <v>5933.2547945205479</v>
      </c>
      <c r="H184">
        <f>IF(
    OR(
        AND(MAX(0, IF(MIN($C$1, DATE(Initialisatie!$C$5,12,31)) &lt; MAX($C$2, DATE(Initialisatie!$C$5,1,1)), 0, MONTH(MIN($C$1, DATE(Initialisatie!$C$5,12,31))) - MONTH(MAX($C$2, DATE(Initialisatie!$C$5,1,1))) + 1)) &lt;= 0, IFERROR(VALUE($C184),0)=0),
        AND(MAX(0, IF(MIN($D$1, DATE(Initialisatie!$C$5,12,31)) &lt; MAX($D$2, DATE(Initialisatie!$C$5,1,1)), 0, MONTH(MIN($D$1, DATE(Initialisatie!$C$5,12,31))) - MONTH(MAX($D$2, DATE(Initialisatie!$C$5,1,1))) + 1)) &lt;= 0, IFERROR(VALUE($D184),0)=0),
        AND(MAX(0, IF(MIN($E$1, DATE(Initialisatie!$C$5,12,31)) &lt; MAX($E$2, DATE(Initialisatie!$C$5,1,1)), 0, MONTH(MIN($E$1, DATE(Initialisatie!$C$5,12,31))) - MONTH(MAX($E$2, DATE(Initialisatie!$C$5,1,1))) + 1)) &lt;= 0, IFERROR(VALUE($E184),0)=0)
    ),
    0,
    SUM(
        IFERROR(VALUE($C184),0) * MAX(0, IF(MIN($C$1, DATE(Initialisatie!$C$5,12,31)) &lt; MAX($C$2, DATE(Initialisatie!$C$5,1,1)), 0, MONTH(MIN($C$1, DATE(Initialisatie!$C$5,12,31))) - MONTH(MAX($C$2, DATE(Initialisatie!$C$5,1,1))) + 1)),
        IFERROR(VALUE($D184),0) * MAX(0, IF(MIN($D$1, DATE(Initialisatie!$C$5,12,31)) &lt; MAX($D$2, DATE(Initialisatie!$C$5,1,1)), 0, MONTH(MIN($D$1, DATE(Initialisatie!$C$5,12,31))) - MONTH(MAX($D$2, DATE(Initialisatie!$C$5,1,1))) + 1)),
        IFERROR(VALUE($E184),0) * MAX(0, IF(MIN($E$1, DATE(Initialisatie!$C$5,12,31)) &lt; MAX($E$2, DATE(Initialisatie!$C$5,1,1)), 0, MONTH(MIN($E$1, DATE(Initialisatie!$C$5,12,31))) - MONTH(MAX($E$2, DATE(Initialisatie!$C$5,1,1))) + 1))
    ) / 12
)</f>
        <v>5933</v>
      </c>
    </row>
    <row r="185" spans="1:8" x14ac:dyDescent="0.45">
      <c r="A185" s="997"/>
      <c r="B185" s="380">
        <v>11</v>
      </c>
      <c r="C185" t="s">
        <v>1828</v>
      </c>
      <c r="D185" t="s">
        <v>1829</v>
      </c>
      <c r="E185" t="s">
        <v>1830</v>
      </c>
      <c r="G185">
        <f>IF(
    OR(
        AND(MAX(0, MIN($C$1, DATE(Initialisatie!$C$5,12,31)) - MAX($C$2, DATE(Initialisatie!$C$5,1,1)) + 1) &gt; 0, IFERROR(VALUE($C185),0)=0),
        AND(MAX(0, MIN($D$1, DATE(Initialisatie!$C$5,12,31)) - MAX($D$2, DATE(Initialisatie!$C$5,1,1)) + 1) &gt; 0, IFERROR(VALUE($D185),0)=0),
        AND(MAX(0, MIN($E$1, DATE(Initialisatie!$C$5,12,31)) - MAX($E$2, DATE(Initialisatie!$C$5,1,1)) + 1) &gt; 0, IFERROR(VALUE($E185),0)=0)
    ),
    0,
    SUM(
        IFERROR(VALUE($C185),0) * MAX(0, MIN($C$1, DATE(Initialisatie!$C$5,12,31)) - MAX($C$2, DATE(Initialisatie!$C$5,1,1)) + 1),
        IFERROR(VALUE($D185),0) * MAX(0, MIN($D$1, DATE(Initialisatie!$C$5,12,31)) - MAX($D$2, DATE(Initialisatie!$C$5,1,1)) + 1),
        IFERROR(VALUE($E185),0) * MAX(0, MIN($E$1, DATE(Initialisatie!$C$5,12,31)) - MAX($E$2, DATE(Initialisatie!$C$5,1,1)) + 1)
    ) / (DATE(Initialisatie!$C$5,12,31) - DATE(Initialisatie!$C$5,1,1) + 1)
)</f>
        <v>6144.2630136986299</v>
      </c>
      <c r="H185">
        <f>IF(
    OR(
        AND(MAX(0, IF(MIN($C$1, DATE(Initialisatie!$C$5,12,31)) &lt; MAX($C$2, DATE(Initialisatie!$C$5,1,1)), 0, MONTH(MIN($C$1, DATE(Initialisatie!$C$5,12,31))) - MONTH(MAX($C$2, DATE(Initialisatie!$C$5,1,1))) + 1)) &lt;= 0, IFERROR(VALUE($C185),0)=0),
        AND(MAX(0, IF(MIN($D$1, DATE(Initialisatie!$C$5,12,31)) &lt; MAX($D$2, DATE(Initialisatie!$C$5,1,1)), 0, MONTH(MIN($D$1, DATE(Initialisatie!$C$5,12,31))) - MONTH(MAX($D$2, DATE(Initialisatie!$C$5,1,1))) + 1)) &lt;= 0, IFERROR(VALUE($D185),0)=0),
        AND(MAX(0, IF(MIN($E$1, DATE(Initialisatie!$C$5,12,31)) &lt; MAX($E$2, DATE(Initialisatie!$C$5,1,1)), 0, MONTH(MIN($E$1, DATE(Initialisatie!$C$5,12,31))) - MONTH(MAX($E$2, DATE(Initialisatie!$C$5,1,1))) + 1)) &lt;= 0, IFERROR(VALUE($E185),0)=0)
    ),
    0,
    SUM(
        IFERROR(VALUE($C185),0) * MAX(0, IF(MIN($C$1, DATE(Initialisatie!$C$5,12,31)) &lt; MAX($C$2, DATE(Initialisatie!$C$5,1,1)), 0, MONTH(MIN($C$1, DATE(Initialisatie!$C$5,12,31))) - MONTH(MAX($C$2, DATE(Initialisatie!$C$5,1,1))) + 1)),
        IFERROR(VALUE($D185),0) * MAX(0, IF(MIN($D$1, DATE(Initialisatie!$C$5,12,31)) &lt; MAX($D$2, DATE(Initialisatie!$C$5,1,1)), 0, MONTH(MIN($D$1, DATE(Initialisatie!$C$5,12,31))) - MONTH(MAX($D$2, DATE(Initialisatie!$C$5,1,1))) + 1)),
        IFERROR(VALUE($E185),0) * MAX(0, IF(MIN($E$1, DATE(Initialisatie!$C$5,12,31)) &lt; MAX($E$2, DATE(Initialisatie!$C$5,1,1)), 0, MONTH(MIN($E$1, DATE(Initialisatie!$C$5,12,31))) - MONTH(MAX($E$2, DATE(Initialisatie!$C$5,1,1))) + 1))
    ) / 12
)</f>
        <v>6144</v>
      </c>
    </row>
    <row r="186" spans="1:8" x14ac:dyDescent="0.45">
      <c r="A186" s="997"/>
      <c r="B186" s="380">
        <v>12</v>
      </c>
      <c r="C186" t="s">
        <v>1831</v>
      </c>
      <c r="D186" t="s">
        <v>1832</v>
      </c>
      <c r="E186" t="s">
        <v>1833</v>
      </c>
      <c r="G186">
        <f>IF(
    OR(
        AND(MAX(0, MIN($C$1, DATE(Initialisatie!$C$5,12,31)) - MAX($C$2, DATE(Initialisatie!$C$5,1,1)) + 1) &gt; 0, IFERROR(VALUE($C186),0)=0),
        AND(MAX(0, MIN($D$1, DATE(Initialisatie!$C$5,12,31)) - MAX($D$2, DATE(Initialisatie!$C$5,1,1)) + 1) &gt; 0, IFERROR(VALUE($D186),0)=0),
        AND(MAX(0, MIN($E$1, DATE(Initialisatie!$C$5,12,31)) - MAX($E$2, DATE(Initialisatie!$C$5,1,1)) + 1) &gt; 0, IFERROR(VALUE($E186),0)=0)
    ),
    0,
    SUM(
        IFERROR(VALUE($C186),0) * MAX(0, MIN($C$1, DATE(Initialisatie!$C$5,12,31)) - MAX($C$2, DATE(Initialisatie!$C$5,1,1)) + 1),
        IFERROR(VALUE($D186),0) * MAX(0, MIN($D$1, DATE(Initialisatie!$C$5,12,31)) - MAX($D$2, DATE(Initialisatie!$C$5,1,1)) + 1),
        IFERROR(VALUE($E186),0) * MAX(0, MIN($E$1, DATE(Initialisatie!$C$5,12,31)) - MAX($E$2, DATE(Initialisatie!$C$5,1,1)) + 1)
    ) / (DATE(Initialisatie!$C$5,12,31) - DATE(Initialisatie!$C$5,1,1) + 1)
)</f>
        <v>6354.5232876712325</v>
      </c>
      <c r="H186">
        <f>IF(
    OR(
        AND(MAX(0, IF(MIN($C$1, DATE(Initialisatie!$C$5,12,31)) &lt; MAX($C$2, DATE(Initialisatie!$C$5,1,1)), 0, MONTH(MIN($C$1, DATE(Initialisatie!$C$5,12,31))) - MONTH(MAX($C$2, DATE(Initialisatie!$C$5,1,1))) + 1)) &lt;= 0, IFERROR(VALUE($C186),0)=0),
        AND(MAX(0, IF(MIN($D$1, DATE(Initialisatie!$C$5,12,31)) &lt; MAX($D$2, DATE(Initialisatie!$C$5,1,1)), 0, MONTH(MIN($D$1, DATE(Initialisatie!$C$5,12,31))) - MONTH(MAX($D$2, DATE(Initialisatie!$C$5,1,1))) + 1)) &lt;= 0, IFERROR(VALUE($D186),0)=0),
        AND(MAX(0, IF(MIN($E$1, DATE(Initialisatie!$C$5,12,31)) &lt; MAX($E$2, DATE(Initialisatie!$C$5,1,1)), 0, MONTH(MIN($E$1, DATE(Initialisatie!$C$5,12,31))) - MONTH(MAX($E$2, DATE(Initialisatie!$C$5,1,1))) + 1)) &lt;= 0, IFERROR(VALUE($E186),0)=0)
    ),
    0,
    SUM(
        IFERROR(VALUE($C186),0) * MAX(0, IF(MIN($C$1, DATE(Initialisatie!$C$5,12,31)) &lt; MAX($C$2, DATE(Initialisatie!$C$5,1,1)), 0, MONTH(MIN($C$1, DATE(Initialisatie!$C$5,12,31))) - MONTH(MAX($C$2, DATE(Initialisatie!$C$5,1,1))) + 1)),
        IFERROR(VALUE($D186),0) * MAX(0, IF(MIN($D$1, DATE(Initialisatie!$C$5,12,31)) &lt; MAX($D$2, DATE(Initialisatie!$C$5,1,1)), 0, MONTH(MIN($D$1, DATE(Initialisatie!$C$5,12,31))) - MONTH(MAX($D$2, DATE(Initialisatie!$C$5,1,1))) + 1)),
        IFERROR(VALUE($E186),0) * MAX(0, IF(MIN($E$1, DATE(Initialisatie!$C$5,12,31)) &lt; MAX($E$2, DATE(Initialisatie!$C$5,1,1)), 0, MONTH(MIN($E$1, DATE(Initialisatie!$C$5,12,31))) - MONTH(MAX($E$2, DATE(Initialisatie!$C$5,1,1))) + 1))
    ) / 12
)</f>
        <v>6354.25</v>
      </c>
    </row>
    <row r="187" spans="1:8" x14ac:dyDescent="0.45">
      <c r="A187" s="997"/>
      <c r="B187" s="380">
        <v>13</v>
      </c>
      <c r="C187" t="s">
        <v>1836</v>
      </c>
      <c r="D187" t="s">
        <v>1837</v>
      </c>
      <c r="E187" t="s">
        <v>1838</v>
      </c>
      <c r="G187">
        <f>IF(
    OR(
        AND(MAX(0, MIN($C$1, DATE(Initialisatie!$C$5,12,31)) - MAX($C$2, DATE(Initialisatie!$C$5,1,1)) + 1) &gt; 0, IFERROR(VALUE($C187),0)=0),
        AND(MAX(0, MIN($D$1, DATE(Initialisatie!$C$5,12,31)) - MAX($D$2, DATE(Initialisatie!$C$5,1,1)) + 1) &gt; 0, IFERROR(VALUE($D187),0)=0),
        AND(MAX(0, MIN($E$1, DATE(Initialisatie!$C$5,12,31)) - MAX($E$2, DATE(Initialisatie!$C$5,1,1)) + 1) &gt; 0, IFERROR(VALUE($E187),0)=0)
    ),
    0,
    SUM(
        IFERROR(VALUE($C187),0) * MAX(0, MIN($C$1, DATE(Initialisatie!$C$5,12,31)) - MAX($C$2, DATE(Initialisatie!$C$5,1,1)) + 1),
        IFERROR(VALUE($D187),0) * MAX(0, MIN($D$1, DATE(Initialisatie!$C$5,12,31)) - MAX($D$2, DATE(Initialisatie!$C$5,1,1)) + 1),
        IFERROR(VALUE($E187),0) * MAX(0, MIN($E$1, DATE(Initialisatie!$C$5,12,31)) - MAX($E$2, DATE(Initialisatie!$C$5,1,1)) + 1)
    ) / (DATE(Initialisatie!$C$5,12,31) - DATE(Initialisatie!$C$5,1,1) + 1)
)</f>
        <v>6577.5315068493155</v>
      </c>
      <c r="H187">
        <f>IF(
    OR(
        AND(MAX(0, IF(MIN($C$1, DATE(Initialisatie!$C$5,12,31)) &lt; MAX($C$2, DATE(Initialisatie!$C$5,1,1)), 0, MONTH(MIN($C$1, DATE(Initialisatie!$C$5,12,31))) - MONTH(MAX($C$2, DATE(Initialisatie!$C$5,1,1))) + 1)) &lt;= 0, IFERROR(VALUE($C187),0)=0),
        AND(MAX(0, IF(MIN($D$1, DATE(Initialisatie!$C$5,12,31)) &lt; MAX($D$2, DATE(Initialisatie!$C$5,1,1)), 0, MONTH(MIN($D$1, DATE(Initialisatie!$C$5,12,31))) - MONTH(MAX($D$2, DATE(Initialisatie!$C$5,1,1))) + 1)) &lt;= 0, IFERROR(VALUE($D187),0)=0),
        AND(MAX(0, IF(MIN($E$1, DATE(Initialisatie!$C$5,12,31)) &lt; MAX($E$2, DATE(Initialisatie!$C$5,1,1)), 0, MONTH(MIN($E$1, DATE(Initialisatie!$C$5,12,31))) - MONTH(MAX($E$2, DATE(Initialisatie!$C$5,1,1))) + 1)) &lt;= 0, IFERROR(VALUE($E187),0)=0)
    ),
    0,
    SUM(
        IFERROR(VALUE($C187),0) * MAX(0, IF(MIN($C$1, DATE(Initialisatie!$C$5,12,31)) &lt; MAX($C$2, DATE(Initialisatie!$C$5,1,1)), 0, MONTH(MIN($C$1, DATE(Initialisatie!$C$5,12,31))) - MONTH(MAX($C$2, DATE(Initialisatie!$C$5,1,1))) + 1)),
        IFERROR(VALUE($D187),0) * MAX(0, IF(MIN($D$1, DATE(Initialisatie!$C$5,12,31)) &lt; MAX($D$2, DATE(Initialisatie!$C$5,1,1)), 0, MONTH(MIN($D$1, DATE(Initialisatie!$C$5,12,31))) - MONTH(MAX($D$2, DATE(Initialisatie!$C$5,1,1))) + 1)),
        IFERROR(VALUE($E187),0) * MAX(0, IF(MIN($E$1, DATE(Initialisatie!$C$5,12,31)) &lt; MAX($E$2, DATE(Initialisatie!$C$5,1,1)), 0, MONTH(MIN($E$1, DATE(Initialisatie!$C$5,12,31))) - MONTH(MAX($E$2, DATE(Initialisatie!$C$5,1,1))) + 1))
    ) / 12
)</f>
        <v>6577.25</v>
      </c>
    </row>
    <row r="188" spans="1:8" x14ac:dyDescent="0.45">
      <c r="A188" s="997"/>
      <c r="B188" s="380">
        <v>14</v>
      </c>
      <c r="C188" t="s">
        <v>1839</v>
      </c>
      <c r="D188" t="s">
        <v>1840</v>
      </c>
      <c r="E188" t="s">
        <v>1841</v>
      </c>
      <c r="G188">
        <f>IF(
    OR(
        AND(MAX(0, MIN($C$1, DATE(Initialisatie!$C$5,12,31)) - MAX($C$2, DATE(Initialisatie!$C$5,1,1)) + 1) &gt; 0, IFERROR(VALUE($C188),0)=0),
        AND(MAX(0, MIN($D$1, DATE(Initialisatie!$C$5,12,31)) - MAX($D$2, DATE(Initialisatie!$C$5,1,1)) + 1) &gt; 0, IFERROR(VALUE($D188),0)=0),
        AND(MAX(0, MIN($E$1, DATE(Initialisatie!$C$5,12,31)) - MAX($E$2, DATE(Initialisatie!$C$5,1,1)) + 1) &gt; 0, IFERROR(VALUE($E188),0)=0)
    ),
    0,
    SUM(
        IFERROR(VALUE($C188),0) * MAX(0, MIN($C$1, DATE(Initialisatie!$C$5,12,31)) - MAX($C$2, DATE(Initialisatie!$C$5,1,1)) + 1),
        IFERROR(VALUE($D188),0) * MAX(0, MIN($D$1, DATE(Initialisatie!$C$5,12,31)) - MAX($D$2, DATE(Initialisatie!$C$5,1,1)) + 1),
        IFERROR(VALUE($E188),0) * MAX(0, MIN($E$1, DATE(Initialisatie!$C$5,12,31)) - MAX($E$2, DATE(Initialisatie!$C$5,1,1)) + 1)
    ) / (DATE(Initialisatie!$C$5,12,31) - DATE(Initialisatie!$C$5,1,1) + 1)
)</f>
        <v>6813.7917808219181</v>
      </c>
      <c r="H188">
        <f>IF(
    OR(
        AND(MAX(0, IF(MIN($C$1, DATE(Initialisatie!$C$5,12,31)) &lt; MAX($C$2, DATE(Initialisatie!$C$5,1,1)), 0, MONTH(MIN($C$1, DATE(Initialisatie!$C$5,12,31))) - MONTH(MAX($C$2, DATE(Initialisatie!$C$5,1,1))) + 1)) &lt;= 0, IFERROR(VALUE($C188),0)=0),
        AND(MAX(0, IF(MIN($D$1, DATE(Initialisatie!$C$5,12,31)) &lt; MAX($D$2, DATE(Initialisatie!$C$5,1,1)), 0, MONTH(MIN($D$1, DATE(Initialisatie!$C$5,12,31))) - MONTH(MAX($D$2, DATE(Initialisatie!$C$5,1,1))) + 1)) &lt;= 0, IFERROR(VALUE($D188),0)=0),
        AND(MAX(0, IF(MIN($E$1, DATE(Initialisatie!$C$5,12,31)) &lt; MAX($E$2, DATE(Initialisatie!$C$5,1,1)), 0, MONTH(MIN($E$1, DATE(Initialisatie!$C$5,12,31))) - MONTH(MAX($E$2, DATE(Initialisatie!$C$5,1,1))) + 1)) &lt;= 0, IFERROR(VALUE($E188),0)=0)
    ),
    0,
    SUM(
        IFERROR(VALUE($C188),0) * MAX(0, IF(MIN($C$1, DATE(Initialisatie!$C$5,12,31)) &lt; MAX($C$2, DATE(Initialisatie!$C$5,1,1)), 0, MONTH(MIN($C$1, DATE(Initialisatie!$C$5,12,31))) - MONTH(MAX($C$2, DATE(Initialisatie!$C$5,1,1))) + 1)),
        IFERROR(VALUE($D188),0) * MAX(0, IF(MIN($D$1, DATE(Initialisatie!$C$5,12,31)) &lt; MAX($D$2, DATE(Initialisatie!$C$5,1,1)), 0, MONTH(MIN($D$1, DATE(Initialisatie!$C$5,12,31))) - MONTH(MAX($D$2, DATE(Initialisatie!$C$5,1,1))) + 1)),
        IFERROR(VALUE($E188),0) * MAX(0, IF(MIN($E$1, DATE(Initialisatie!$C$5,12,31)) &lt; MAX($E$2, DATE(Initialisatie!$C$5,1,1)), 0, MONTH(MIN($E$1, DATE(Initialisatie!$C$5,12,31))) - MONTH(MAX($E$2, DATE(Initialisatie!$C$5,1,1))) + 1))
    ) / 12
)</f>
        <v>6813.5</v>
      </c>
    </row>
    <row r="189" spans="1:8" x14ac:dyDescent="0.45">
      <c r="A189" s="997"/>
      <c r="B189" s="380">
        <v>15</v>
      </c>
      <c r="C189" t="s">
        <v>1842</v>
      </c>
      <c r="D189" t="s">
        <v>1843</v>
      </c>
      <c r="E189" t="s">
        <v>1670</v>
      </c>
      <c r="G189">
        <f>IF(
    OR(
        AND(MAX(0, MIN($C$1, DATE(Initialisatie!$C$5,12,31)) - MAX($C$2, DATE(Initialisatie!$C$5,1,1)) + 1) &gt; 0, IFERROR(VALUE($C189),0)=0),
        AND(MAX(0, MIN($D$1, DATE(Initialisatie!$C$5,12,31)) - MAX($D$2, DATE(Initialisatie!$C$5,1,1)) + 1) &gt; 0, IFERROR(VALUE($D189),0)=0),
        AND(MAX(0, MIN($E$1, DATE(Initialisatie!$C$5,12,31)) - MAX($E$2, DATE(Initialisatie!$C$5,1,1)) + 1) &gt; 0, IFERROR(VALUE($E189),0)=0)
    ),
    0,
    SUM(
        IFERROR(VALUE($C189),0) * MAX(0, MIN($C$1, DATE(Initialisatie!$C$5,12,31)) - MAX($C$2, DATE(Initialisatie!$C$5,1,1)) + 1),
        IFERROR(VALUE($D189),0) * MAX(0, MIN($D$1, DATE(Initialisatie!$C$5,12,31)) - MAX($D$2, DATE(Initialisatie!$C$5,1,1)) + 1),
        IFERROR(VALUE($E189),0) * MAX(0, MIN($E$1, DATE(Initialisatie!$C$5,12,31)) - MAX($E$2, DATE(Initialisatie!$C$5,1,1)) + 1)
    ) / (DATE(Initialisatie!$C$5,12,31) - DATE(Initialisatie!$C$5,1,1) + 1)
)</f>
        <v>7054.0520547945207</v>
      </c>
      <c r="H189">
        <f>IF(
    OR(
        AND(MAX(0, IF(MIN($C$1, DATE(Initialisatie!$C$5,12,31)) &lt; MAX($C$2, DATE(Initialisatie!$C$5,1,1)), 0, MONTH(MIN($C$1, DATE(Initialisatie!$C$5,12,31))) - MONTH(MAX($C$2, DATE(Initialisatie!$C$5,1,1))) + 1)) &lt;= 0, IFERROR(VALUE($C189),0)=0),
        AND(MAX(0, IF(MIN($D$1, DATE(Initialisatie!$C$5,12,31)) &lt; MAX($D$2, DATE(Initialisatie!$C$5,1,1)), 0, MONTH(MIN($D$1, DATE(Initialisatie!$C$5,12,31))) - MONTH(MAX($D$2, DATE(Initialisatie!$C$5,1,1))) + 1)) &lt;= 0, IFERROR(VALUE($D189),0)=0),
        AND(MAX(0, IF(MIN($E$1, DATE(Initialisatie!$C$5,12,31)) &lt; MAX($E$2, DATE(Initialisatie!$C$5,1,1)), 0, MONTH(MIN($E$1, DATE(Initialisatie!$C$5,12,31))) - MONTH(MAX($E$2, DATE(Initialisatie!$C$5,1,1))) + 1)) &lt;= 0, IFERROR(VALUE($E189),0)=0)
    ),
    0,
    SUM(
        IFERROR(VALUE($C189),0) * MAX(0, IF(MIN($C$1, DATE(Initialisatie!$C$5,12,31)) &lt; MAX($C$2, DATE(Initialisatie!$C$5,1,1)), 0, MONTH(MIN($C$1, DATE(Initialisatie!$C$5,12,31))) - MONTH(MAX($C$2, DATE(Initialisatie!$C$5,1,1))) + 1)),
        IFERROR(VALUE($D189),0) * MAX(0, IF(MIN($D$1, DATE(Initialisatie!$C$5,12,31)) &lt; MAX($D$2, DATE(Initialisatie!$C$5,1,1)), 0, MONTH(MIN($D$1, DATE(Initialisatie!$C$5,12,31))) - MONTH(MAX($D$2, DATE(Initialisatie!$C$5,1,1))) + 1)),
        IFERROR(VALUE($E189),0) * MAX(0, IF(MIN($E$1, DATE(Initialisatie!$C$5,12,31)) &lt; MAX($E$2, DATE(Initialisatie!$C$5,1,1)), 0, MONTH(MIN($E$1, DATE(Initialisatie!$C$5,12,31))) - MONTH(MAX($E$2, DATE(Initialisatie!$C$5,1,1))) + 1))
    ) / 12
)</f>
        <v>7053.75</v>
      </c>
    </row>
    <row r="190" spans="1:8" x14ac:dyDescent="0.45">
      <c r="A190" s="998"/>
      <c r="B190" s="380" t="s">
        <v>517</v>
      </c>
      <c r="C190" t="s">
        <v>1844</v>
      </c>
      <c r="D190" t="s">
        <v>1845</v>
      </c>
      <c r="E190" t="s">
        <v>1846</v>
      </c>
      <c r="G190">
        <f>IF(
    OR(
        AND(MAX(0, MIN($C$1, DATE(Initialisatie!$C$5,12,31)) - MAX($C$2, DATE(Initialisatie!$C$5,1,1)) + 1) &gt; 0, IFERROR(VALUE($C190),0)=0),
        AND(MAX(0, MIN($D$1, DATE(Initialisatie!$C$5,12,31)) - MAX($D$2, DATE(Initialisatie!$C$5,1,1)) + 1) &gt; 0, IFERROR(VALUE($D190),0)=0),
        AND(MAX(0, MIN($E$1, DATE(Initialisatie!$C$5,12,31)) - MAX($E$2, DATE(Initialisatie!$C$5,1,1)) + 1) &gt; 0, IFERROR(VALUE($E190),0)=0)
    ),
    0,
    SUM(
        IFERROR(VALUE($C190),0) * MAX(0, MIN($C$1, DATE(Initialisatie!$C$5,12,31)) - MAX($C$2, DATE(Initialisatie!$C$5,1,1)) + 1),
        IFERROR(VALUE($D190),0) * MAX(0, MIN($D$1, DATE(Initialisatie!$C$5,12,31)) - MAX($D$2, DATE(Initialisatie!$C$5,1,1)) + 1),
        IFERROR(VALUE($E190),0) * MAX(0, MIN($E$1, DATE(Initialisatie!$C$5,12,31)) - MAX($E$2, DATE(Initialisatie!$C$5,1,1)) + 1)
    ) / (DATE(Initialisatie!$C$5,12,31) - DATE(Initialisatie!$C$5,1,1) + 1)
)</f>
        <v>4237.4328767123288</v>
      </c>
      <c r="H190">
        <f>IF(
    OR(
        AND(MAX(0, IF(MIN($C$1, DATE(Initialisatie!$C$5,12,31)) &lt; MAX($C$2, DATE(Initialisatie!$C$5,1,1)), 0, MONTH(MIN($C$1, DATE(Initialisatie!$C$5,12,31))) - MONTH(MAX($C$2, DATE(Initialisatie!$C$5,1,1))) + 1)) &lt;= 0, IFERROR(VALUE($C190),0)=0),
        AND(MAX(0, IF(MIN($D$1, DATE(Initialisatie!$C$5,12,31)) &lt; MAX($D$2, DATE(Initialisatie!$C$5,1,1)), 0, MONTH(MIN($D$1, DATE(Initialisatie!$C$5,12,31))) - MONTH(MAX($D$2, DATE(Initialisatie!$C$5,1,1))) + 1)) &lt;= 0, IFERROR(VALUE($D190),0)=0),
        AND(MAX(0, IF(MIN($E$1, DATE(Initialisatie!$C$5,12,31)) &lt; MAX($E$2, DATE(Initialisatie!$C$5,1,1)), 0, MONTH(MIN($E$1, DATE(Initialisatie!$C$5,12,31))) - MONTH(MAX($E$2, DATE(Initialisatie!$C$5,1,1))) + 1)) &lt;= 0, IFERROR(VALUE($E190),0)=0)
    ),
    0,
    SUM(
        IFERROR(VALUE($C190),0) * MAX(0, IF(MIN($C$1, DATE(Initialisatie!$C$5,12,31)) &lt; MAX($C$2, DATE(Initialisatie!$C$5,1,1)), 0, MONTH(MIN($C$1, DATE(Initialisatie!$C$5,12,31))) - MONTH(MAX($C$2, DATE(Initialisatie!$C$5,1,1))) + 1)),
        IFERROR(VALUE($D190),0) * MAX(0, IF(MIN($D$1, DATE(Initialisatie!$C$5,12,31)) &lt; MAX($D$2, DATE(Initialisatie!$C$5,1,1)), 0, MONTH(MIN($D$1, DATE(Initialisatie!$C$5,12,31))) - MONTH(MAX($D$2, DATE(Initialisatie!$C$5,1,1))) + 1)),
        IFERROR(VALUE($E190),0) * MAX(0, IF(MIN($E$1, DATE(Initialisatie!$C$5,12,31)) &lt; MAX($E$2, DATE(Initialisatie!$C$5,1,1)), 0, MONTH(MIN($E$1, DATE(Initialisatie!$C$5,12,31))) - MONTH(MAX($E$2, DATE(Initialisatie!$C$5,1,1))) + 1))
    ) / 12
)</f>
        <v>4237.25</v>
      </c>
    </row>
    <row r="191" spans="1:8" x14ac:dyDescent="0.45">
      <c r="A191" s="996">
        <v>12</v>
      </c>
      <c r="B191" s="380">
        <v>0</v>
      </c>
      <c r="C191" t="s">
        <v>1795</v>
      </c>
      <c r="D191" t="s">
        <v>1796</v>
      </c>
      <c r="E191" t="s">
        <v>1797</v>
      </c>
      <c r="G191">
        <f>IF(
    OR(
        AND(MAX(0, MIN($C$1, DATE(Initialisatie!$C$5,12,31)) - MAX($C$2, DATE(Initialisatie!$C$5,1,1)) + 1) &gt; 0, IFERROR(VALUE($C191),0)=0),
        AND(MAX(0, MIN($D$1, DATE(Initialisatie!$C$5,12,31)) - MAX($D$2, DATE(Initialisatie!$C$5,1,1)) + 1) &gt; 0, IFERROR(VALUE($D191),0)=0),
        AND(MAX(0, MIN($E$1, DATE(Initialisatie!$C$5,12,31)) - MAX($E$2, DATE(Initialisatie!$C$5,1,1)) + 1) &gt; 0, IFERROR(VALUE($E191),0)=0)
    ),
    0,
    SUM(
        IFERROR(VALUE($C191),0) * MAX(0, MIN($C$1, DATE(Initialisatie!$C$5,12,31)) - MAX($C$2, DATE(Initialisatie!$C$5,1,1)) + 1),
        IFERROR(VALUE($D191),0) * MAX(0, MIN($D$1, DATE(Initialisatie!$C$5,12,31)) - MAX($D$2, DATE(Initialisatie!$C$5,1,1)) + 1),
        IFERROR(VALUE($E191),0) * MAX(0, MIN($E$1, DATE(Initialisatie!$C$5,12,31)) - MAX($E$2, DATE(Initialisatie!$C$5,1,1)) + 1)
    ) / (DATE(Initialisatie!$C$5,12,31) - DATE(Initialisatie!$C$5,1,1) + 1)
)</f>
        <v>4705.7013698630135</v>
      </c>
      <c r="H191">
        <f>IF(
    OR(
        AND(MAX(0, IF(MIN($C$1, DATE(Initialisatie!$C$5,12,31)) &lt; MAX($C$2, DATE(Initialisatie!$C$5,1,1)), 0, MONTH(MIN($C$1, DATE(Initialisatie!$C$5,12,31))) - MONTH(MAX($C$2, DATE(Initialisatie!$C$5,1,1))) + 1)) &lt;= 0, IFERROR(VALUE($C191),0)=0),
        AND(MAX(0, IF(MIN($D$1, DATE(Initialisatie!$C$5,12,31)) &lt; MAX($D$2, DATE(Initialisatie!$C$5,1,1)), 0, MONTH(MIN($D$1, DATE(Initialisatie!$C$5,12,31))) - MONTH(MAX($D$2, DATE(Initialisatie!$C$5,1,1))) + 1)) &lt;= 0, IFERROR(VALUE($D191),0)=0),
        AND(MAX(0, IF(MIN($E$1, DATE(Initialisatie!$C$5,12,31)) &lt; MAX($E$2, DATE(Initialisatie!$C$5,1,1)), 0, MONTH(MIN($E$1, DATE(Initialisatie!$C$5,12,31))) - MONTH(MAX($E$2, DATE(Initialisatie!$C$5,1,1))) + 1)) &lt;= 0, IFERROR(VALUE($E191),0)=0)
    ),
    0,
    SUM(
        IFERROR(VALUE($C191),0) * MAX(0, IF(MIN($C$1, DATE(Initialisatie!$C$5,12,31)) &lt; MAX($C$2, DATE(Initialisatie!$C$5,1,1)), 0, MONTH(MIN($C$1, DATE(Initialisatie!$C$5,12,31))) - MONTH(MAX($C$2, DATE(Initialisatie!$C$5,1,1))) + 1)),
        IFERROR(VALUE($D191),0) * MAX(0, IF(MIN($D$1, DATE(Initialisatie!$C$5,12,31)) &lt; MAX($D$2, DATE(Initialisatie!$C$5,1,1)), 0, MONTH(MIN($D$1, DATE(Initialisatie!$C$5,12,31))) - MONTH(MAX($D$2, DATE(Initialisatie!$C$5,1,1))) + 1)),
        IFERROR(VALUE($E191),0) * MAX(0, IF(MIN($E$1, DATE(Initialisatie!$C$5,12,31)) &lt; MAX($E$2, DATE(Initialisatie!$C$5,1,1)), 0, MONTH(MIN($E$1, DATE(Initialisatie!$C$5,12,31))) - MONTH(MAX($E$2, DATE(Initialisatie!$C$5,1,1))) + 1))
    ) / 12
)</f>
        <v>4705.5</v>
      </c>
    </row>
    <row r="192" spans="1:8" x14ac:dyDescent="0.45">
      <c r="A192" s="997"/>
      <c r="B192" s="380">
        <v>1</v>
      </c>
      <c r="C192" t="s">
        <v>1801</v>
      </c>
      <c r="D192" t="s">
        <v>1802</v>
      </c>
      <c r="E192" t="s">
        <v>1803</v>
      </c>
      <c r="G192">
        <f>IF(
    OR(
        AND(MAX(0, MIN($C$1, DATE(Initialisatie!$C$5,12,31)) - MAX($C$2, DATE(Initialisatie!$C$5,1,1)) + 1) &gt; 0, IFERROR(VALUE($C192),0)=0),
        AND(MAX(0, MIN($D$1, DATE(Initialisatie!$C$5,12,31)) - MAX($D$2, DATE(Initialisatie!$C$5,1,1)) + 1) &gt; 0, IFERROR(VALUE($D192),0)=0),
        AND(MAX(0, MIN($E$1, DATE(Initialisatie!$C$5,12,31)) - MAX($E$2, DATE(Initialisatie!$C$5,1,1)) + 1) &gt; 0, IFERROR(VALUE($E192),0)=0)
    ),
    0,
    SUM(
        IFERROR(VALUE($C192),0) * MAX(0, MIN($C$1, DATE(Initialisatie!$C$5,12,31)) - MAX($C$2, DATE(Initialisatie!$C$5,1,1)) + 1),
        IFERROR(VALUE($D192),0) * MAX(0, MIN($D$1, DATE(Initialisatie!$C$5,12,31)) - MAX($D$2, DATE(Initialisatie!$C$5,1,1)) + 1),
        IFERROR(VALUE($E192),0) * MAX(0, MIN($E$1, DATE(Initialisatie!$C$5,12,31)) - MAX($E$2, DATE(Initialisatie!$C$5,1,1)) + 1)
    ) / (DATE(Initialisatie!$C$5,12,31) - DATE(Initialisatie!$C$5,1,1) + 1)
)</f>
        <v>4865.7095890410956</v>
      </c>
      <c r="H192">
        <f>IF(
    OR(
        AND(MAX(0, IF(MIN($C$1, DATE(Initialisatie!$C$5,12,31)) &lt; MAX($C$2, DATE(Initialisatie!$C$5,1,1)), 0, MONTH(MIN($C$1, DATE(Initialisatie!$C$5,12,31))) - MONTH(MAX($C$2, DATE(Initialisatie!$C$5,1,1))) + 1)) &lt;= 0, IFERROR(VALUE($C192),0)=0),
        AND(MAX(0, IF(MIN($D$1, DATE(Initialisatie!$C$5,12,31)) &lt; MAX($D$2, DATE(Initialisatie!$C$5,1,1)), 0, MONTH(MIN($D$1, DATE(Initialisatie!$C$5,12,31))) - MONTH(MAX($D$2, DATE(Initialisatie!$C$5,1,1))) + 1)) &lt;= 0, IFERROR(VALUE($D192),0)=0),
        AND(MAX(0, IF(MIN($E$1, DATE(Initialisatie!$C$5,12,31)) &lt; MAX($E$2, DATE(Initialisatie!$C$5,1,1)), 0, MONTH(MIN($E$1, DATE(Initialisatie!$C$5,12,31))) - MONTH(MAX($E$2, DATE(Initialisatie!$C$5,1,1))) + 1)) &lt;= 0, IFERROR(VALUE($E192),0)=0)
    ),
    0,
    SUM(
        IFERROR(VALUE($C192),0) * MAX(0, IF(MIN($C$1, DATE(Initialisatie!$C$5,12,31)) &lt; MAX($C$2, DATE(Initialisatie!$C$5,1,1)), 0, MONTH(MIN($C$1, DATE(Initialisatie!$C$5,12,31))) - MONTH(MAX($C$2, DATE(Initialisatie!$C$5,1,1))) + 1)),
        IFERROR(VALUE($D192),0) * MAX(0, IF(MIN($D$1, DATE(Initialisatie!$C$5,12,31)) &lt; MAX($D$2, DATE(Initialisatie!$C$5,1,1)), 0, MONTH(MIN($D$1, DATE(Initialisatie!$C$5,12,31))) - MONTH(MAX($D$2, DATE(Initialisatie!$C$5,1,1))) + 1)),
        IFERROR(VALUE($E192),0) * MAX(0, IF(MIN($E$1, DATE(Initialisatie!$C$5,12,31)) &lt; MAX($E$2, DATE(Initialisatie!$C$5,1,1)), 0, MONTH(MIN($E$1, DATE(Initialisatie!$C$5,12,31))) - MONTH(MAX($E$2, DATE(Initialisatie!$C$5,1,1))) + 1))
    ) / 12
)</f>
        <v>4865.5</v>
      </c>
    </row>
    <row r="193" spans="1:8" x14ac:dyDescent="0.45">
      <c r="A193" s="997"/>
      <c r="B193" s="380">
        <v>2</v>
      </c>
      <c r="C193" t="s">
        <v>1804</v>
      </c>
      <c r="D193" t="s">
        <v>1805</v>
      </c>
      <c r="E193" t="s">
        <v>1806</v>
      </c>
      <c r="G193">
        <f>IF(
    OR(
        AND(MAX(0, MIN($C$1, DATE(Initialisatie!$C$5,12,31)) - MAX($C$2, DATE(Initialisatie!$C$5,1,1)) + 1) &gt; 0, IFERROR(VALUE($C193),0)=0),
        AND(MAX(0, MIN($D$1, DATE(Initialisatie!$C$5,12,31)) - MAX($D$2, DATE(Initialisatie!$C$5,1,1)) + 1) &gt; 0, IFERROR(VALUE($D193),0)=0),
        AND(MAX(0, MIN($E$1, DATE(Initialisatie!$C$5,12,31)) - MAX($E$2, DATE(Initialisatie!$C$5,1,1)) + 1) &gt; 0, IFERROR(VALUE($E193),0)=0)
    ),
    0,
    SUM(
        IFERROR(VALUE($C193),0) * MAX(0, MIN($C$1, DATE(Initialisatie!$C$5,12,31)) - MAX($C$2, DATE(Initialisatie!$C$5,1,1)) + 1),
        IFERROR(VALUE($D193),0) * MAX(0, MIN($D$1, DATE(Initialisatie!$C$5,12,31)) - MAX($D$2, DATE(Initialisatie!$C$5,1,1)) + 1),
        IFERROR(VALUE($E193),0) * MAX(0, MIN($E$1, DATE(Initialisatie!$C$5,12,31)) - MAX($E$2, DATE(Initialisatie!$C$5,1,1)) + 1)
    ) / (DATE(Initialisatie!$C$5,12,31) - DATE(Initialisatie!$C$5,1,1) + 1)
)</f>
        <v>5024.4657534246571</v>
      </c>
      <c r="H193">
        <f>IF(
    OR(
        AND(MAX(0, IF(MIN($C$1, DATE(Initialisatie!$C$5,12,31)) &lt; MAX($C$2, DATE(Initialisatie!$C$5,1,1)), 0, MONTH(MIN($C$1, DATE(Initialisatie!$C$5,12,31))) - MONTH(MAX($C$2, DATE(Initialisatie!$C$5,1,1))) + 1)) &lt;= 0, IFERROR(VALUE($C193),0)=0),
        AND(MAX(0, IF(MIN($D$1, DATE(Initialisatie!$C$5,12,31)) &lt; MAX($D$2, DATE(Initialisatie!$C$5,1,1)), 0, MONTH(MIN($D$1, DATE(Initialisatie!$C$5,12,31))) - MONTH(MAX($D$2, DATE(Initialisatie!$C$5,1,1))) + 1)) &lt;= 0, IFERROR(VALUE($D193),0)=0),
        AND(MAX(0, IF(MIN($E$1, DATE(Initialisatie!$C$5,12,31)) &lt; MAX($E$2, DATE(Initialisatie!$C$5,1,1)), 0, MONTH(MIN($E$1, DATE(Initialisatie!$C$5,12,31))) - MONTH(MAX($E$2, DATE(Initialisatie!$C$5,1,1))) + 1)) &lt;= 0, IFERROR(VALUE($E193),0)=0)
    ),
    0,
    SUM(
        IFERROR(VALUE($C193),0) * MAX(0, IF(MIN($C$1, DATE(Initialisatie!$C$5,12,31)) &lt; MAX($C$2, DATE(Initialisatie!$C$5,1,1)), 0, MONTH(MIN($C$1, DATE(Initialisatie!$C$5,12,31))) - MONTH(MAX($C$2, DATE(Initialisatie!$C$5,1,1))) + 1)),
        IFERROR(VALUE($D193),0) * MAX(0, IF(MIN($D$1, DATE(Initialisatie!$C$5,12,31)) &lt; MAX($D$2, DATE(Initialisatie!$C$5,1,1)), 0, MONTH(MIN($D$1, DATE(Initialisatie!$C$5,12,31))) - MONTH(MAX($D$2, DATE(Initialisatie!$C$5,1,1))) + 1)),
        IFERROR(VALUE($E193),0) * MAX(0, IF(MIN($E$1, DATE(Initialisatie!$C$5,12,31)) &lt; MAX($E$2, DATE(Initialisatie!$C$5,1,1)), 0, MONTH(MIN($E$1, DATE(Initialisatie!$C$5,12,31))) - MONTH(MAX($E$2, DATE(Initialisatie!$C$5,1,1))) + 1))
    ) / 12
)</f>
        <v>5024.25</v>
      </c>
    </row>
    <row r="194" spans="1:8" x14ac:dyDescent="0.45">
      <c r="A194" s="997"/>
      <c r="B194" s="380">
        <v>3</v>
      </c>
      <c r="C194" t="s">
        <v>1807</v>
      </c>
      <c r="D194" t="s">
        <v>1808</v>
      </c>
      <c r="E194" t="s">
        <v>1809</v>
      </c>
      <c r="G194">
        <f>IF(
    OR(
        AND(MAX(0, MIN($C$1, DATE(Initialisatie!$C$5,12,31)) - MAX($C$2, DATE(Initialisatie!$C$5,1,1)) + 1) &gt; 0, IFERROR(VALUE($C194),0)=0),
        AND(MAX(0, MIN($D$1, DATE(Initialisatie!$C$5,12,31)) - MAX($D$2, DATE(Initialisatie!$C$5,1,1)) + 1) &gt; 0, IFERROR(VALUE($D194),0)=0),
        AND(MAX(0, MIN($E$1, DATE(Initialisatie!$C$5,12,31)) - MAX($E$2, DATE(Initialisatie!$C$5,1,1)) + 1) &gt; 0, IFERROR(VALUE($E194),0)=0)
    ),
    0,
    SUM(
        IFERROR(VALUE($C194),0) * MAX(0, MIN($C$1, DATE(Initialisatie!$C$5,12,31)) - MAX($C$2, DATE(Initialisatie!$C$5,1,1)) + 1),
        IFERROR(VALUE($D194),0) * MAX(0, MIN($D$1, DATE(Initialisatie!$C$5,12,31)) - MAX($D$2, DATE(Initialisatie!$C$5,1,1)) + 1),
        IFERROR(VALUE($E194),0) * MAX(0, MIN($E$1, DATE(Initialisatie!$C$5,12,31)) - MAX($E$2, DATE(Initialisatie!$C$5,1,1)) + 1)
    ) / (DATE(Initialisatie!$C$5,12,31) - DATE(Initialisatie!$C$5,1,1) + 1)
)</f>
        <v>5184.2219178082196</v>
      </c>
      <c r="H194">
        <f>IF(
    OR(
        AND(MAX(0, IF(MIN($C$1, DATE(Initialisatie!$C$5,12,31)) &lt; MAX($C$2, DATE(Initialisatie!$C$5,1,1)), 0, MONTH(MIN($C$1, DATE(Initialisatie!$C$5,12,31))) - MONTH(MAX($C$2, DATE(Initialisatie!$C$5,1,1))) + 1)) &lt;= 0, IFERROR(VALUE($C194),0)=0),
        AND(MAX(0, IF(MIN($D$1, DATE(Initialisatie!$C$5,12,31)) &lt; MAX($D$2, DATE(Initialisatie!$C$5,1,1)), 0, MONTH(MIN($D$1, DATE(Initialisatie!$C$5,12,31))) - MONTH(MAX($D$2, DATE(Initialisatie!$C$5,1,1))) + 1)) &lt;= 0, IFERROR(VALUE($D194),0)=0),
        AND(MAX(0, IF(MIN($E$1, DATE(Initialisatie!$C$5,12,31)) &lt; MAX($E$2, DATE(Initialisatie!$C$5,1,1)), 0, MONTH(MIN($E$1, DATE(Initialisatie!$C$5,12,31))) - MONTH(MAX($E$2, DATE(Initialisatie!$C$5,1,1))) + 1)) &lt;= 0, IFERROR(VALUE($E194),0)=0)
    ),
    0,
    SUM(
        IFERROR(VALUE($C194),0) * MAX(0, IF(MIN($C$1, DATE(Initialisatie!$C$5,12,31)) &lt; MAX($C$2, DATE(Initialisatie!$C$5,1,1)), 0, MONTH(MIN($C$1, DATE(Initialisatie!$C$5,12,31))) - MONTH(MAX($C$2, DATE(Initialisatie!$C$5,1,1))) + 1)),
        IFERROR(VALUE($D194),0) * MAX(0, IF(MIN($D$1, DATE(Initialisatie!$C$5,12,31)) &lt; MAX($D$2, DATE(Initialisatie!$C$5,1,1)), 0, MONTH(MIN($D$1, DATE(Initialisatie!$C$5,12,31))) - MONTH(MAX($D$2, DATE(Initialisatie!$C$5,1,1))) + 1)),
        IFERROR(VALUE($E194),0) * MAX(0, IF(MIN($E$1, DATE(Initialisatie!$C$5,12,31)) &lt; MAX($E$2, DATE(Initialisatie!$C$5,1,1)), 0, MONTH(MIN($E$1, DATE(Initialisatie!$C$5,12,31))) - MONTH(MAX($E$2, DATE(Initialisatie!$C$5,1,1))) + 1))
    ) / 12
)</f>
        <v>5184</v>
      </c>
    </row>
    <row r="195" spans="1:8" x14ac:dyDescent="0.45">
      <c r="A195" s="997"/>
      <c r="B195" s="380">
        <v>4</v>
      </c>
      <c r="C195" t="s">
        <v>1813</v>
      </c>
      <c r="D195" t="s">
        <v>1814</v>
      </c>
      <c r="E195" t="s">
        <v>1815</v>
      </c>
      <c r="G195">
        <f>IF(
    OR(
        AND(MAX(0, MIN($C$1, DATE(Initialisatie!$C$5,12,31)) - MAX($C$2, DATE(Initialisatie!$C$5,1,1)) + 1) &gt; 0, IFERROR(VALUE($C195),0)=0),
        AND(MAX(0, MIN($D$1, DATE(Initialisatie!$C$5,12,31)) - MAX($D$2, DATE(Initialisatie!$C$5,1,1)) + 1) &gt; 0, IFERROR(VALUE($D195),0)=0),
        AND(MAX(0, MIN($E$1, DATE(Initialisatie!$C$5,12,31)) - MAX($E$2, DATE(Initialisatie!$C$5,1,1)) + 1) &gt; 0, IFERROR(VALUE($E195),0)=0)
    ),
    0,
    SUM(
        IFERROR(VALUE($C195),0) * MAX(0, MIN($C$1, DATE(Initialisatie!$C$5,12,31)) - MAX($C$2, DATE(Initialisatie!$C$5,1,1)) + 1),
        IFERROR(VALUE($D195),0) * MAX(0, MIN($D$1, DATE(Initialisatie!$C$5,12,31)) - MAX($D$2, DATE(Initialisatie!$C$5,1,1)) + 1),
        IFERROR(VALUE($E195),0) * MAX(0, MIN($E$1, DATE(Initialisatie!$C$5,12,31)) - MAX($E$2, DATE(Initialisatie!$C$5,1,1)) + 1)
    ) / (DATE(Initialisatie!$C$5,12,31) - DATE(Initialisatie!$C$5,1,1) + 1)
)</f>
        <v>5352.2301369863017</v>
      </c>
      <c r="H195">
        <f>IF(
    OR(
        AND(MAX(0, IF(MIN($C$1, DATE(Initialisatie!$C$5,12,31)) &lt; MAX($C$2, DATE(Initialisatie!$C$5,1,1)), 0, MONTH(MIN($C$1, DATE(Initialisatie!$C$5,12,31))) - MONTH(MAX($C$2, DATE(Initialisatie!$C$5,1,1))) + 1)) &lt;= 0, IFERROR(VALUE($C195),0)=0),
        AND(MAX(0, IF(MIN($D$1, DATE(Initialisatie!$C$5,12,31)) &lt; MAX($D$2, DATE(Initialisatie!$C$5,1,1)), 0, MONTH(MIN($D$1, DATE(Initialisatie!$C$5,12,31))) - MONTH(MAX($D$2, DATE(Initialisatie!$C$5,1,1))) + 1)) &lt;= 0, IFERROR(VALUE($D195),0)=0),
        AND(MAX(0, IF(MIN($E$1, DATE(Initialisatie!$C$5,12,31)) &lt; MAX($E$2, DATE(Initialisatie!$C$5,1,1)), 0, MONTH(MIN($E$1, DATE(Initialisatie!$C$5,12,31))) - MONTH(MAX($E$2, DATE(Initialisatie!$C$5,1,1))) + 1)) &lt;= 0, IFERROR(VALUE($E195),0)=0)
    ),
    0,
    SUM(
        IFERROR(VALUE($C195),0) * MAX(0, IF(MIN($C$1, DATE(Initialisatie!$C$5,12,31)) &lt; MAX($C$2, DATE(Initialisatie!$C$5,1,1)), 0, MONTH(MIN($C$1, DATE(Initialisatie!$C$5,12,31))) - MONTH(MAX($C$2, DATE(Initialisatie!$C$5,1,1))) + 1)),
        IFERROR(VALUE($D195),0) * MAX(0, IF(MIN($D$1, DATE(Initialisatie!$C$5,12,31)) &lt; MAX($D$2, DATE(Initialisatie!$C$5,1,1)), 0, MONTH(MIN($D$1, DATE(Initialisatie!$C$5,12,31))) - MONTH(MAX($D$2, DATE(Initialisatie!$C$5,1,1))) + 1)),
        IFERROR(VALUE($E195),0) * MAX(0, IF(MIN($E$1, DATE(Initialisatie!$C$5,12,31)) &lt; MAX($E$2, DATE(Initialisatie!$C$5,1,1)), 0, MONTH(MIN($E$1, DATE(Initialisatie!$C$5,12,31))) - MONTH(MAX($E$2, DATE(Initialisatie!$C$5,1,1))) + 1))
    ) / 12
)</f>
        <v>5352</v>
      </c>
    </row>
    <row r="196" spans="1:8" x14ac:dyDescent="0.45">
      <c r="A196" s="997"/>
      <c r="B196" s="380">
        <v>5</v>
      </c>
      <c r="C196" t="s">
        <v>1816</v>
      </c>
      <c r="D196" t="s">
        <v>1817</v>
      </c>
      <c r="E196" t="s">
        <v>1818</v>
      </c>
      <c r="G196">
        <f>IF(
    OR(
        AND(MAX(0, MIN($C$1, DATE(Initialisatie!$C$5,12,31)) - MAX($C$2, DATE(Initialisatie!$C$5,1,1)) + 1) &gt; 0, IFERROR(VALUE($C196),0)=0),
        AND(MAX(0, MIN($D$1, DATE(Initialisatie!$C$5,12,31)) - MAX($D$2, DATE(Initialisatie!$C$5,1,1)) + 1) &gt; 0, IFERROR(VALUE($D196),0)=0),
        AND(MAX(0, MIN($E$1, DATE(Initialisatie!$C$5,12,31)) - MAX($E$2, DATE(Initialisatie!$C$5,1,1)) + 1) &gt; 0, IFERROR(VALUE($E196),0)=0)
    ),
    0,
    SUM(
        IFERROR(VALUE($C196),0) * MAX(0, MIN($C$1, DATE(Initialisatie!$C$5,12,31)) - MAX($C$2, DATE(Initialisatie!$C$5,1,1)) + 1),
        IFERROR(VALUE($D196),0) * MAX(0, MIN($D$1, DATE(Initialisatie!$C$5,12,31)) - MAX($D$2, DATE(Initialisatie!$C$5,1,1)) + 1),
        IFERROR(VALUE($E196),0) * MAX(0, MIN($E$1, DATE(Initialisatie!$C$5,12,31)) - MAX($E$2, DATE(Initialisatie!$C$5,1,1)) + 1)
    ) / (DATE(Initialisatie!$C$5,12,31) - DATE(Initialisatie!$C$5,1,1) + 1)
)</f>
        <v>5538.2383561643837</v>
      </c>
      <c r="H196">
        <f>IF(
    OR(
        AND(MAX(0, IF(MIN($C$1, DATE(Initialisatie!$C$5,12,31)) &lt; MAX($C$2, DATE(Initialisatie!$C$5,1,1)), 0, MONTH(MIN($C$1, DATE(Initialisatie!$C$5,12,31))) - MONTH(MAX($C$2, DATE(Initialisatie!$C$5,1,1))) + 1)) &lt;= 0, IFERROR(VALUE($C196),0)=0),
        AND(MAX(0, IF(MIN($D$1, DATE(Initialisatie!$C$5,12,31)) &lt; MAX($D$2, DATE(Initialisatie!$C$5,1,1)), 0, MONTH(MIN($D$1, DATE(Initialisatie!$C$5,12,31))) - MONTH(MAX($D$2, DATE(Initialisatie!$C$5,1,1))) + 1)) &lt;= 0, IFERROR(VALUE($D196),0)=0),
        AND(MAX(0, IF(MIN($E$1, DATE(Initialisatie!$C$5,12,31)) &lt; MAX($E$2, DATE(Initialisatie!$C$5,1,1)), 0, MONTH(MIN($E$1, DATE(Initialisatie!$C$5,12,31))) - MONTH(MAX($E$2, DATE(Initialisatie!$C$5,1,1))) + 1)) &lt;= 0, IFERROR(VALUE($E196),0)=0)
    ),
    0,
    SUM(
        IFERROR(VALUE($C196),0) * MAX(0, IF(MIN($C$1, DATE(Initialisatie!$C$5,12,31)) &lt; MAX($C$2, DATE(Initialisatie!$C$5,1,1)), 0, MONTH(MIN($C$1, DATE(Initialisatie!$C$5,12,31))) - MONTH(MAX($C$2, DATE(Initialisatie!$C$5,1,1))) + 1)),
        IFERROR(VALUE($D196),0) * MAX(0, IF(MIN($D$1, DATE(Initialisatie!$C$5,12,31)) &lt; MAX($D$2, DATE(Initialisatie!$C$5,1,1)), 0, MONTH(MIN($D$1, DATE(Initialisatie!$C$5,12,31))) - MONTH(MAX($D$2, DATE(Initialisatie!$C$5,1,1))) + 1)),
        IFERROR(VALUE($E196),0) * MAX(0, IF(MIN($E$1, DATE(Initialisatie!$C$5,12,31)) &lt; MAX($E$2, DATE(Initialisatie!$C$5,1,1)), 0, MONTH(MIN($E$1, DATE(Initialisatie!$C$5,12,31))) - MONTH(MAX($E$2, DATE(Initialisatie!$C$5,1,1))) + 1))
    ) / 12
)</f>
        <v>5538</v>
      </c>
    </row>
    <row r="197" spans="1:8" x14ac:dyDescent="0.45">
      <c r="A197" s="997"/>
      <c r="B197" s="380">
        <v>6</v>
      </c>
      <c r="C197" t="s">
        <v>1819</v>
      </c>
      <c r="D197" t="s">
        <v>1820</v>
      </c>
      <c r="E197" t="s">
        <v>1821</v>
      </c>
      <c r="G197">
        <f>IF(
    OR(
        AND(MAX(0, MIN($C$1, DATE(Initialisatie!$C$5,12,31)) - MAX($C$2, DATE(Initialisatie!$C$5,1,1)) + 1) &gt; 0, IFERROR(VALUE($C197),0)=0),
        AND(MAX(0, MIN($D$1, DATE(Initialisatie!$C$5,12,31)) - MAX($D$2, DATE(Initialisatie!$C$5,1,1)) + 1) &gt; 0, IFERROR(VALUE($D197),0)=0),
        AND(MAX(0, MIN($E$1, DATE(Initialisatie!$C$5,12,31)) - MAX($E$2, DATE(Initialisatie!$C$5,1,1)) + 1) &gt; 0, IFERROR(VALUE($E197),0)=0)
    ),
    0,
    SUM(
        IFERROR(VALUE($C197),0) * MAX(0, MIN($C$1, DATE(Initialisatie!$C$5,12,31)) - MAX($C$2, DATE(Initialisatie!$C$5,1,1)) + 1),
        IFERROR(VALUE($D197),0) * MAX(0, MIN($D$1, DATE(Initialisatie!$C$5,12,31)) - MAX($D$2, DATE(Initialisatie!$C$5,1,1)) + 1),
        IFERROR(VALUE($E197),0) * MAX(0, MIN($E$1, DATE(Initialisatie!$C$5,12,31)) - MAX($E$2, DATE(Initialisatie!$C$5,1,1)) + 1)
    ) / (DATE(Initialisatie!$C$5,12,31) - DATE(Initialisatie!$C$5,1,1) + 1)
)</f>
        <v>5735.2465753424658</v>
      </c>
      <c r="H197">
        <f>IF(
    OR(
        AND(MAX(0, IF(MIN($C$1, DATE(Initialisatie!$C$5,12,31)) &lt; MAX($C$2, DATE(Initialisatie!$C$5,1,1)), 0, MONTH(MIN($C$1, DATE(Initialisatie!$C$5,12,31))) - MONTH(MAX($C$2, DATE(Initialisatie!$C$5,1,1))) + 1)) &lt;= 0, IFERROR(VALUE($C197),0)=0),
        AND(MAX(0, IF(MIN($D$1, DATE(Initialisatie!$C$5,12,31)) &lt; MAX($D$2, DATE(Initialisatie!$C$5,1,1)), 0, MONTH(MIN($D$1, DATE(Initialisatie!$C$5,12,31))) - MONTH(MAX($D$2, DATE(Initialisatie!$C$5,1,1))) + 1)) &lt;= 0, IFERROR(VALUE($D197),0)=0),
        AND(MAX(0, IF(MIN($E$1, DATE(Initialisatie!$C$5,12,31)) &lt; MAX($E$2, DATE(Initialisatie!$C$5,1,1)), 0, MONTH(MIN($E$1, DATE(Initialisatie!$C$5,12,31))) - MONTH(MAX($E$2, DATE(Initialisatie!$C$5,1,1))) + 1)) &lt;= 0, IFERROR(VALUE($E197),0)=0)
    ),
    0,
    SUM(
        IFERROR(VALUE($C197),0) * MAX(0, IF(MIN($C$1, DATE(Initialisatie!$C$5,12,31)) &lt; MAX($C$2, DATE(Initialisatie!$C$5,1,1)), 0, MONTH(MIN($C$1, DATE(Initialisatie!$C$5,12,31))) - MONTH(MAX($C$2, DATE(Initialisatie!$C$5,1,1))) + 1)),
        IFERROR(VALUE($D197),0) * MAX(0, IF(MIN($D$1, DATE(Initialisatie!$C$5,12,31)) &lt; MAX($D$2, DATE(Initialisatie!$C$5,1,1)), 0, MONTH(MIN($D$1, DATE(Initialisatie!$C$5,12,31))) - MONTH(MAX($D$2, DATE(Initialisatie!$C$5,1,1))) + 1)),
        IFERROR(VALUE($E197),0) * MAX(0, IF(MIN($E$1, DATE(Initialisatie!$C$5,12,31)) &lt; MAX($E$2, DATE(Initialisatie!$C$5,1,1)), 0, MONTH(MIN($E$1, DATE(Initialisatie!$C$5,12,31))) - MONTH(MAX($E$2, DATE(Initialisatie!$C$5,1,1))) + 1))
    ) / 12
)</f>
        <v>5735</v>
      </c>
    </row>
    <row r="198" spans="1:8" x14ac:dyDescent="0.45">
      <c r="A198" s="997"/>
      <c r="B198" s="380">
        <v>7</v>
      </c>
      <c r="C198" t="s">
        <v>1825</v>
      </c>
      <c r="D198" t="s">
        <v>1826</v>
      </c>
      <c r="E198" t="s">
        <v>1827</v>
      </c>
      <c r="G198">
        <f>IF(
    OR(
        AND(MAX(0, MIN($C$1, DATE(Initialisatie!$C$5,12,31)) - MAX($C$2, DATE(Initialisatie!$C$5,1,1)) + 1) &gt; 0, IFERROR(VALUE($C198),0)=0),
        AND(MAX(0, MIN($D$1, DATE(Initialisatie!$C$5,12,31)) - MAX($D$2, DATE(Initialisatie!$C$5,1,1)) + 1) &gt; 0, IFERROR(VALUE($D198),0)=0),
        AND(MAX(0, MIN($E$1, DATE(Initialisatie!$C$5,12,31)) - MAX($E$2, DATE(Initialisatie!$C$5,1,1)) + 1) &gt; 0, IFERROR(VALUE($E198),0)=0)
    ),
    0,
    SUM(
        IFERROR(VALUE($C198),0) * MAX(0, MIN($C$1, DATE(Initialisatie!$C$5,12,31)) - MAX($C$2, DATE(Initialisatie!$C$5,1,1)) + 1),
        IFERROR(VALUE($D198),0) * MAX(0, MIN($D$1, DATE(Initialisatie!$C$5,12,31)) - MAX($D$2, DATE(Initialisatie!$C$5,1,1)) + 1),
        IFERROR(VALUE($E198),0) * MAX(0, MIN($E$1, DATE(Initialisatie!$C$5,12,31)) - MAX($E$2, DATE(Initialisatie!$C$5,1,1)) + 1)
    ) / (DATE(Initialisatie!$C$5,12,31) - DATE(Initialisatie!$C$5,1,1) + 1)
)</f>
        <v>5933.2547945205479</v>
      </c>
      <c r="H198">
        <f>IF(
    OR(
        AND(MAX(0, IF(MIN($C$1, DATE(Initialisatie!$C$5,12,31)) &lt; MAX($C$2, DATE(Initialisatie!$C$5,1,1)), 0, MONTH(MIN($C$1, DATE(Initialisatie!$C$5,12,31))) - MONTH(MAX($C$2, DATE(Initialisatie!$C$5,1,1))) + 1)) &lt;= 0, IFERROR(VALUE($C198),0)=0),
        AND(MAX(0, IF(MIN($D$1, DATE(Initialisatie!$C$5,12,31)) &lt; MAX($D$2, DATE(Initialisatie!$C$5,1,1)), 0, MONTH(MIN($D$1, DATE(Initialisatie!$C$5,12,31))) - MONTH(MAX($D$2, DATE(Initialisatie!$C$5,1,1))) + 1)) &lt;= 0, IFERROR(VALUE($D198),0)=0),
        AND(MAX(0, IF(MIN($E$1, DATE(Initialisatie!$C$5,12,31)) &lt; MAX($E$2, DATE(Initialisatie!$C$5,1,1)), 0, MONTH(MIN($E$1, DATE(Initialisatie!$C$5,12,31))) - MONTH(MAX($E$2, DATE(Initialisatie!$C$5,1,1))) + 1)) &lt;= 0, IFERROR(VALUE($E198),0)=0)
    ),
    0,
    SUM(
        IFERROR(VALUE($C198),0) * MAX(0, IF(MIN($C$1, DATE(Initialisatie!$C$5,12,31)) &lt; MAX($C$2, DATE(Initialisatie!$C$5,1,1)), 0, MONTH(MIN($C$1, DATE(Initialisatie!$C$5,12,31))) - MONTH(MAX($C$2, DATE(Initialisatie!$C$5,1,1))) + 1)),
        IFERROR(VALUE($D198),0) * MAX(0, IF(MIN($D$1, DATE(Initialisatie!$C$5,12,31)) &lt; MAX($D$2, DATE(Initialisatie!$C$5,1,1)), 0, MONTH(MIN($D$1, DATE(Initialisatie!$C$5,12,31))) - MONTH(MAX($D$2, DATE(Initialisatie!$C$5,1,1))) + 1)),
        IFERROR(VALUE($E198),0) * MAX(0, IF(MIN($E$1, DATE(Initialisatie!$C$5,12,31)) &lt; MAX($E$2, DATE(Initialisatie!$C$5,1,1)), 0, MONTH(MIN($E$1, DATE(Initialisatie!$C$5,12,31))) - MONTH(MAX($E$2, DATE(Initialisatie!$C$5,1,1))) + 1))
    ) / 12
)</f>
        <v>5933</v>
      </c>
    </row>
    <row r="199" spans="1:8" x14ac:dyDescent="0.45">
      <c r="A199" s="997"/>
      <c r="B199" s="380">
        <v>8</v>
      </c>
      <c r="C199" t="s">
        <v>1828</v>
      </c>
      <c r="D199" t="s">
        <v>1829</v>
      </c>
      <c r="E199" t="s">
        <v>1830</v>
      </c>
      <c r="G199">
        <f>IF(
    OR(
        AND(MAX(0, MIN($C$1, DATE(Initialisatie!$C$5,12,31)) - MAX($C$2, DATE(Initialisatie!$C$5,1,1)) + 1) &gt; 0, IFERROR(VALUE($C199),0)=0),
        AND(MAX(0, MIN($D$1, DATE(Initialisatie!$C$5,12,31)) - MAX($D$2, DATE(Initialisatie!$C$5,1,1)) + 1) &gt; 0, IFERROR(VALUE($D199),0)=0),
        AND(MAX(0, MIN($E$1, DATE(Initialisatie!$C$5,12,31)) - MAX($E$2, DATE(Initialisatie!$C$5,1,1)) + 1) &gt; 0, IFERROR(VALUE($E199),0)=0)
    ),
    0,
    SUM(
        IFERROR(VALUE($C199),0) * MAX(0, MIN($C$1, DATE(Initialisatie!$C$5,12,31)) - MAX($C$2, DATE(Initialisatie!$C$5,1,1)) + 1),
        IFERROR(VALUE($D199),0) * MAX(0, MIN($D$1, DATE(Initialisatie!$C$5,12,31)) - MAX($D$2, DATE(Initialisatie!$C$5,1,1)) + 1),
        IFERROR(VALUE($E199),0) * MAX(0, MIN($E$1, DATE(Initialisatie!$C$5,12,31)) - MAX($E$2, DATE(Initialisatie!$C$5,1,1)) + 1)
    ) / (DATE(Initialisatie!$C$5,12,31) - DATE(Initialisatie!$C$5,1,1) + 1)
)</f>
        <v>6144.2630136986299</v>
      </c>
      <c r="H199">
        <f>IF(
    OR(
        AND(MAX(0, IF(MIN($C$1, DATE(Initialisatie!$C$5,12,31)) &lt; MAX($C$2, DATE(Initialisatie!$C$5,1,1)), 0, MONTH(MIN($C$1, DATE(Initialisatie!$C$5,12,31))) - MONTH(MAX($C$2, DATE(Initialisatie!$C$5,1,1))) + 1)) &lt;= 0, IFERROR(VALUE($C199),0)=0),
        AND(MAX(0, IF(MIN($D$1, DATE(Initialisatie!$C$5,12,31)) &lt; MAX($D$2, DATE(Initialisatie!$C$5,1,1)), 0, MONTH(MIN($D$1, DATE(Initialisatie!$C$5,12,31))) - MONTH(MAX($D$2, DATE(Initialisatie!$C$5,1,1))) + 1)) &lt;= 0, IFERROR(VALUE($D199),0)=0),
        AND(MAX(0, IF(MIN($E$1, DATE(Initialisatie!$C$5,12,31)) &lt; MAX($E$2, DATE(Initialisatie!$C$5,1,1)), 0, MONTH(MIN($E$1, DATE(Initialisatie!$C$5,12,31))) - MONTH(MAX($E$2, DATE(Initialisatie!$C$5,1,1))) + 1)) &lt;= 0, IFERROR(VALUE($E199),0)=0)
    ),
    0,
    SUM(
        IFERROR(VALUE($C199),0) * MAX(0, IF(MIN($C$1, DATE(Initialisatie!$C$5,12,31)) &lt; MAX($C$2, DATE(Initialisatie!$C$5,1,1)), 0, MONTH(MIN($C$1, DATE(Initialisatie!$C$5,12,31))) - MONTH(MAX($C$2, DATE(Initialisatie!$C$5,1,1))) + 1)),
        IFERROR(VALUE($D199),0) * MAX(0, IF(MIN($D$1, DATE(Initialisatie!$C$5,12,31)) &lt; MAX($D$2, DATE(Initialisatie!$C$5,1,1)), 0, MONTH(MIN($D$1, DATE(Initialisatie!$C$5,12,31))) - MONTH(MAX($D$2, DATE(Initialisatie!$C$5,1,1))) + 1)),
        IFERROR(VALUE($E199),0) * MAX(0, IF(MIN($E$1, DATE(Initialisatie!$C$5,12,31)) &lt; MAX($E$2, DATE(Initialisatie!$C$5,1,1)), 0, MONTH(MIN($E$1, DATE(Initialisatie!$C$5,12,31))) - MONTH(MAX($E$2, DATE(Initialisatie!$C$5,1,1))) + 1))
    ) / 12
)</f>
        <v>6144</v>
      </c>
    </row>
    <row r="200" spans="1:8" x14ac:dyDescent="0.45">
      <c r="A200" s="997"/>
      <c r="B200" s="380">
        <v>9</v>
      </c>
      <c r="C200" t="s">
        <v>1831</v>
      </c>
      <c r="D200" t="s">
        <v>1832</v>
      </c>
      <c r="E200" t="s">
        <v>1833</v>
      </c>
      <c r="G200">
        <f>IF(
    OR(
        AND(MAX(0, MIN($C$1, DATE(Initialisatie!$C$5,12,31)) - MAX($C$2, DATE(Initialisatie!$C$5,1,1)) + 1) &gt; 0, IFERROR(VALUE($C200),0)=0),
        AND(MAX(0, MIN($D$1, DATE(Initialisatie!$C$5,12,31)) - MAX($D$2, DATE(Initialisatie!$C$5,1,1)) + 1) &gt; 0, IFERROR(VALUE($D200),0)=0),
        AND(MAX(0, MIN($E$1, DATE(Initialisatie!$C$5,12,31)) - MAX($E$2, DATE(Initialisatie!$C$5,1,1)) + 1) &gt; 0, IFERROR(VALUE($E200),0)=0)
    ),
    0,
    SUM(
        IFERROR(VALUE($C200),0) * MAX(0, MIN($C$1, DATE(Initialisatie!$C$5,12,31)) - MAX($C$2, DATE(Initialisatie!$C$5,1,1)) + 1),
        IFERROR(VALUE($D200),0) * MAX(0, MIN($D$1, DATE(Initialisatie!$C$5,12,31)) - MAX($D$2, DATE(Initialisatie!$C$5,1,1)) + 1),
        IFERROR(VALUE($E200),0) * MAX(0, MIN($E$1, DATE(Initialisatie!$C$5,12,31)) - MAX($E$2, DATE(Initialisatie!$C$5,1,1)) + 1)
    ) / (DATE(Initialisatie!$C$5,12,31) - DATE(Initialisatie!$C$5,1,1) + 1)
)</f>
        <v>6354.5232876712325</v>
      </c>
      <c r="H200">
        <f>IF(
    OR(
        AND(MAX(0, IF(MIN($C$1, DATE(Initialisatie!$C$5,12,31)) &lt; MAX($C$2, DATE(Initialisatie!$C$5,1,1)), 0, MONTH(MIN($C$1, DATE(Initialisatie!$C$5,12,31))) - MONTH(MAX($C$2, DATE(Initialisatie!$C$5,1,1))) + 1)) &lt;= 0, IFERROR(VALUE($C200),0)=0),
        AND(MAX(0, IF(MIN($D$1, DATE(Initialisatie!$C$5,12,31)) &lt; MAX($D$2, DATE(Initialisatie!$C$5,1,1)), 0, MONTH(MIN($D$1, DATE(Initialisatie!$C$5,12,31))) - MONTH(MAX($D$2, DATE(Initialisatie!$C$5,1,1))) + 1)) &lt;= 0, IFERROR(VALUE($D200),0)=0),
        AND(MAX(0, IF(MIN($E$1, DATE(Initialisatie!$C$5,12,31)) &lt; MAX($E$2, DATE(Initialisatie!$C$5,1,1)), 0, MONTH(MIN($E$1, DATE(Initialisatie!$C$5,12,31))) - MONTH(MAX($E$2, DATE(Initialisatie!$C$5,1,1))) + 1)) &lt;= 0, IFERROR(VALUE($E200),0)=0)
    ),
    0,
    SUM(
        IFERROR(VALUE($C200),0) * MAX(0, IF(MIN($C$1, DATE(Initialisatie!$C$5,12,31)) &lt; MAX($C$2, DATE(Initialisatie!$C$5,1,1)), 0, MONTH(MIN($C$1, DATE(Initialisatie!$C$5,12,31))) - MONTH(MAX($C$2, DATE(Initialisatie!$C$5,1,1))) + 1)),
        IFERROR(VALUE($D200),0) * MAX(0, IF(MIN($D$1, DATE(Initialisatie!$C$5,12,31)) &lt; MAX($D$2, DATE(Initialisatie!$C$5,1,1)), 0, MONTH(MIN($D$1, DATE(Initialisatie!$C$5,12,31))) - MONTH(MAX($D$2, DATE(Initialisatie!$C$5,1,1))) + 1)),
        IFERROR(VALUE($E200),0) * MAX(0, IF(MIN($E$1, DATE(Initialisatie!$C$5,12,31)) &lt; MAX($E$2, DATE(Initialisatie!$C$5,1,1)), 0, MONTH(MIN($E$1, DATE(Initialisatie!$C$5,12,31))) - MONTH(MAX($E$2, DATE(Initialisatie!$C$5,1,1))) + 1))
    ) / 12
)</f>
        <v>6354.25</v>
      </c>
    </row>
    <row r="201" spans="1:8" x14ac:dyDescent="0.45">
      <c r="A201" s="997"/>
      <c r="B201" s="380">
        <v>10</v>
      </c>
      <c r="C201" t="s">
        <v>1836</v>
      </c>
      <c r="D201" t="s">
        <v>1837</v>
      </c>
      <c r="E201" t="s">
        <v>1838</v>
      </c>
      <c r="G201">
        <f>IF(
    OR(
        AND(MAX(0, MIN($C$1, DATE(Initialisatie!$C$5,12,31)) - MAX($C$2, DATE(Initialisatie!$C$5,1,1)) + 1) &gt; 0, IFERROR(VALUE($C201),0)=0),
        AND(MAX(0, MIN($D$1, DATE(Initialisatie!$C$5,12,31)) - MAX($D$2, DATE(Initialisatie!$C$5,1,1)) + 1) &gt; 0, IFERROR(VALUE($D201),0)=0),
        AND(MAX(0, MIN($E$1, DATE(Initialisatie!$C$5,12,31)) - MAX($E$2, DATE(Initialisatie!$C$5,1,1)) + 1) &gt; 0, IFERROR(VALUE($E201),0)=0)
    ),
    0,
    SUM(
        IFERROR(VALUE($C201),0) * MAX(0, MIN($C$1, DATE(Initialisatie!$C$5,12,31)) - MAX($C$2, DATE(Initialisatie!$C$5,1,1)) + 1),
        IFERROR(VALUE($D201),0) * MAX(0, MIN($D$1, DATE(Initialisatie!$C$5,12,31)) - MAX($D$2, DATE(Initialisatie!$C$5,1,1)) + 1),
        IFERROR(VALUE($E201),0) * MAX(0, MIN($E$1, DATE(Initialisatie!$C$5,12,31)) - MAX($E$2, DATE(Initialisatie!$C$5,1,1)) + 1)
    ) / (DATE(Initialisatie!$C$5,12,31) - DATE(Initialisatie!$C$5,1,1) + 1)
)</f>
        <v>6577.5315068493155</v>
      </c>
      <c r="H201">
        <f>IF(
    OR(
        AND(MAX(0, IF(MIN($C$1, DATE(Initialisatie!$C$5,12,31)) &lt; MAX($C$2, DATE(Initialisatie!$C$5,1,1)), 0, MONTH(MIN($C$1, DATE(Initialisatie!$C$5,12,31))) - MONTH(MAX($C$2, DATE(Initialisatie!$C$5,1,1))) + 1)) &lt;= 0, IFERROR(VALUE($C201),0)=0),
        AND(MAX(0, IF(MIN($D$1, DATE(Initialisatie!$C$5,12,31)) &lt; MAX($D$2, DATE(Initialisatie!$C$5,1,1)), 0, MONTH(MIN($D$1, DATE(Initialisatie!$C$5,12,31))) - MONTH(MAX($D$2, DATE(Initialisatie!$C$5,1,1))) + 1)) &lt;= 0, IFERROR(VALUE($D201),0)=0),
        AND(MAX(0, IF(MIN($E$1, DATE(Initialisatie!$C$5,12,31)) &lt; MAX($E$2, DATE(Initialisatie!$C$5,1,1)), 0, MONTH(MIN($E$1, DATE(Initialisatie!$C$5,12,31))) - MONTH(MAX($E$2, DATE(Initialisatie!$C$5,1,1))) + 1)) &lt;= 0, IFERROR(VALUE($E201),0)=0)
    ),
    0,
    SUM(
        IFERROR(VALUE($C201),0) * MAX(0, IF(MIN($C$1, DATE(Initialisatie!$C$5,12,31)) &lt; MAX($C$2, DATE(Initialisatie!$C$5,1,1)), 0, MONTH(MIN($C$1, DATE(Initialisatie!$C$5,12,31))) - MONTH(MAX($C$2, DATE(Initialisatie!$C$5,1,1))) + 1)),
        IFERROR(VALUE($D201),0) * MAX(0, IF(MIN($D$1, DATE(Initialisatie!$C$5,12,31)) &lt; MAX($D$2, DATE(Initialisatie!$C$5,1,1)), 0, MONTH(MIN($D$1, DATE(Initialisatie!$C$5,12,31))) - MONTH(MAX($D$2, DATE(Initialisatie!$C$5,1,1))) + 1)),
        IFERROR(VALUE($E201),0) * MAX(0, IF(MIN($E$1, DATE(Initialisatie!$C$5,12,31)) &lt; MAX($E$2, DATE(Initialisatie!$C$5,1,1)), 0, MONTH(MIN($E$1, DATE(Initialisatie!$C$5,12,31))) - MONTH(MAX($E$2, DATE(Initialisatie!$C$5,1,1))) + 1))
    ) / 12
)</f>
        <v>6577.25</v>
      </c>
    </row>
    <row r="202" spans="1:8" x14ac:dyDescent="0.45">
      <c r="A202" s="997"/>
      <c r="B202" s="380">
        <v>11</v>
      </c>
      <c r="C202" t="s">
        <v>1839</v>
      </c>
      <c r="D202" t="s">
        <v>1840</v>
      </c>
      <c r="E202" t="s">
        <v>1841</v>
      </c>
      <c r="G202">
        <f>IF(
    OR(
        AND(MAX(0, MIN($C$1, DATE(Initialisatie!$C$5,12,31)) - MAX($C$2, DATE(Initialisatie!$C$5,1,1)) + 1) &gt; 0, IFERROR(VALUE($C202),0)=0),
        AND(MAX(0, MIN($D$1, DATE(Initialisatie!$C$5,12,31)) - MAX($D$2, DATE(Initialisatie!$C$5,1,1)) + 1) &gt; 0, IFERROR(VALUE($D202),0)=0),
        AND(MAX(0, MIN($E$1, DATE(Initialisatie!$C$5,12,31)) - MAX($E$2, DATE(Initialisatie!$C$5,1,1)) + 1) &gt; 0, IFERROR(VALUE($E202),0)=0)
    ),
    0,
    SUM(
        IFERROR(VALUE($C202),0) * MAX(0, MIN($C$1, DATE(Initialisatie!$C$5,12,31)) - MAX($C$2, DATE(Initialisatie!$C$5,1,1)) + 1),
        IFERROR(VALUE($D202),0) * MAX(0, MIN($D$1, DATE(Initialisatie!$C$5,12,31)) - MAX($D$2, DATE(Initialisatie!$C$5,1,1)) + 1),
        IFERROR(VALUE($E202),0) * MAX(0, MIN($E$1, DATE(Initialisatie!$C$5,12,31)) - MAX($E$2, DATE(Initialisatie!$C$5,1,1)) + 1)
    ) / (DATE(Initialisatie!$C$5,12,31) - DATE(Initialisatie!$C$5,1,1) + 1)
)</f>
        <v>6813.7917808219181</v>
      </c>
      <c r="H202">
        <f>IF(
    OR(
        AND(MAX(0, IF(MIN($C$1, DATE(Initialisatie!$C$5,12,31)) &lt; MAX($C$2, DATE(Initialisatie!$C$5,1,1)), 0, MONTH(MIN($C$1, DATE(Initialisatie!$C$5,12,31))) - MONTH(MAX($C$2, DATE(Initialisatie!$C$5,1,1))) + 1)) &lt;= 0, IFERROR(VALUE($C202),0)=0),
        AND(MAX(0, IF(MIN($D$1, DATE(Initialisatie!$C$5,12,31)) &lt; MAX($D$2, DATE(Initialisatie!$C$5,1,1)), 0, MONTH(MIN($D$1, DATE(Initialisatie!$C$5,12,31))) - MONTH(MAX($D$2, DATE(Initialisatie!$C$5,1,1))) + 1)) &lt;= 0, IFERROR(VALUE($D202),0)=0),
        AND(MAX(0, IF(MIN($E$1, DATE(Initialisatie!$C$5,12,31)) &lt; MAX($E$2, DATE(Initialisatie!$C$5,1,1)), 0, MONTH(MIN($E$1, DATE(Initialisatie!$C$5,12,31))) - MONTH(MAX($E$2, DATE(Initialisatie!$C$5,1,1))) + 1)) &lt;= 0, IFERROR(VALUE($E202),0)=0)
    ),
    0,
    SUM(
        IFERROR(VALUE($C202),0) * MAX(0, IF(MIN($C$1, DATE(Initialisatie!$C$5,12,31)) &lt; MAX($C$2, DATE(Initialisatie!$C$5,1,1)), 0, MONTH(MIN($C$1, DATE(Initialisatie!$C$5,12,31))) - MONTH(MAX($C$2, DATE(Initialisatie!$C$5,1,1))) + 1)),
        IFERROR(VALUE($D202),0) * MAX(0, IF(MIN($D$1, DATE(Initialisatie!$C$5,12,31)) &lt; MAX($D$2, DATE(Initialisatie!$C$5,1,1)), 0, MONTH(MIN($D$1, DATE(Initialisatie!$C$5,12,31))) - MONTH(MAX($D$2, DATE(Initialisatie!$C$5,1,1))) + 1)),
        IFERROR(VALUE($E202),0) * MAX(0, IF(MIN($E$1, DATE(Initialisatie!$C$5,12,31)) &lt; MAX($E$2, DATE(Initialisatie!$C$5,1,1)), 0, MONTH(MIN($E$1, DATE(Initialisatie!$C$5,12,31))) - MONTH(MAX($E$2, DATE(Initialisatie!$C$5,1,1))) + 1))
    ) / 12
)</f>
        <v>6813.5</v>
      </c>
    </row>
    <row r="203" spans="1:8" x14ac:dyDescent="0.45">
      <c r="A203" s="997"/>
      <c r="B203" s="380">
        <v>12</v>
      </c>
      <c r="C203" t="s">
        <v>1842</v>
      </c>
      <c r="D203" t="s">
        <v>1843</v>
      </c>
      <c r="E203" t="s">
        <v>1670</v>
      </c>
      <c r="G203">
        <f>IF(
    OR(
        AND(MAX(0, MIN($C$1, DATE(Initialisatie!$C$5,12,31)) - MAX($C$2, DATE(Initialisatie!$C$5,1,1)) + 1) &gt; 0, IFERROR(VALUE($C203),0)=0),
        AND(MAX(0, MIN($D$1, DATE(Initialisatie!$C$5,12,31)) - MAX($D$2, DATE(Initialisatie!$C$5,1,1)) + 1) &gt; 0, IFERROR(VALUE($D203),0)=0),
        AND(MAX(0, MIN($E$1, DATE(Initialisatie!$C$5,12,31)) - MAX($E$2, DATE(Initialisatie!$C$5,1,1)) + 1) &gt; 0, IFERROR(VALUE($E203),0)=0)
    ),
    0,
    SUM(
        IFERROR(VALUE($C203),0) * MAX(0, MIN($C$1, DATE(Initialisatie!$C$5,12,31)) - MAX($C$2, DATE(Initialisatie!$C$5,1,1)) + 1),
        IFERROR(VALUE($D203),0) * MAX(0, MIN($D$1, DATE(Initialisatie!$C$5,12,31)) - MAX($D$2, DATE(Initialisatie!$C$5,1,1)) + 1),
        IFERROR(VALUE($E203),0) * MAX(0, MIN($E$1, DATE(Initialisatie!$C$5,12,31)) - MAX($E$2, DATE(Initialisatie!$C$5,1,1)) + 1)
    ) / (DATE(Initialisatie!$C$5,12,31) - DATE(Initialisatie!$C$5,1,1) + 1)
)</f>
        <v>7054.0520547945207</v>
      </c>
      <c r="H203">
        <f>IF(
    OR(
        AND(MAX(0, IF(MIN($C$1, DATE(Initialisatie!$C$5,12,31)) &lt; MAX($C$2, DATE(Initialisatie!$C$5,1,1)), 0, MONTH(MIN($C$1, DATE(Initialisatie!$C$5,12,31))) - MONTH(MAX($C$2, DATE(Initialisatie!$C$5,1,1))) + 1)) &lt;= 0, IFERROR(VALUE($C203),0)=0),
        AND(MAX(0, IF(MIN($D$1, DATE(Initialisatie!$C$5,12,31)) &lt; MAX($D$2, DATE(Initialisatie!$C$5,1,1)), 0, MONTH(MIN($D$1, DATE(Initialisatie!$C$5,12,31))) - MONTH(MAX($D$2, DATE(Initialisatie!$C$5,1,1))) + 1)) &lt;= 0, IFERROR(VALUE($D203),0)=0),
        AND(MAX(0, IF(MIN($E$1, DATE(Initialisatie!$C$5,12,31)) &lt; MAX($E$2, DATE(Initialisatie!$C$5,1,1)), 0, MONTH(MIN($E$1, DATE(Initialisatie!$C$5,12,31))) - MONTH(MAX($E$2, DATE(Initialisatie!$C$5,1,1))) + 1)) &lt;= 0, IFERROR(VALUE($E203),0)=0)
    ),
    0,
    SUM(
        IFERROR(VALUE($C203),0) * MAX(0, IF(MIN($C$1, DATE(Initialisatie!$C$5,12,31)) &lt; MAX($C$2, DATE(Initialisatie!$C$5,1,1)), 0, MONTH(MIN($C$1, DATE(Initialisatie!$C$5,12,31))) - MONTH(MAX($C$2, DATE(Initialisatie!$C$5,1,1))) + 1)),
        IFERROR(VALUE($D203),0) * MAX(0, IF(MIN($D$1, DATE(Initialisatie!$C$5,12,31)) &lt; MAX($D$2, DATE(Initialisatie!$C$5,1,1)), 0, MONTH(MIN($D$1, DATE(Initialisatie!$C$5,12,31))) - MONTH(MAX($D$2, DATE(Initialisatie!$C$5,1,1))) + 1)),
        IFERROR(VALUE($E203),0) * MAX(0, IF(MIN($E$1, DATE(Initialisatie!$C$5,12,31)) &lt; MAX($E$2, DATE(Initialisatie!$C$5,1,1)), 0, MONTH(MIN($E$1, DATE(Initialisatie!$C$5,12,31))) - MONTH(MAX($E$2, DATE(Initialisatie!$C$5,1,1))) + 1))
    ) / 12
)</f>
        <v>7053.75</v>
      </c>
    </row>
    <row r="204" spans="1:8" x14ac:dyDescent="0.45">
      <c r="A204" s="997"/>
      <c r="B204" s="380">
        <v>13</v>
      </c>
      <c r="C204" t="s">
        <v>1847</v>
      </c>
      <c r="D204" t="s">
        <v>1848</v>
      </c>
      <c r="E204" t="s">
        <v>1849</v>
      </c>
      <c r="G204">
        <f>IF(
    OR(
        AND(MAX(0, MIN($C$1, DATE(Initialisatie!$C$5,12,31)) - MAX($C$2, DATE(Initialisatie!$C$5,1,1)) + 1) &gt; 0, IFERROR(VALUE($C204),0)=0),
        AND(MAX(0, MIN($D$1, DATE(Initialisatie!$C$5,12,31)) - MAX($D$2, DATE(Initialisatie!$C$5,1,1)) + 1) &gt; 0, IFERROR(VALUE($D204),0)=0),
        AND(MAX(0, MIN($E$1, DATE(Initialisatie!$C$5,12,31)) - MAX($E$2, DATE(Initialisatie!$C$5,1,1)) + 1) &gt; 0, IFERROR(VALUE($E204),0)=0)
    ),
    0,
    SUM(
        IFERROR(VALUE($C204),0) * MAX(0, MIN($C$1, DATE(Initialisatie!$C$5,12,31)) - MAX($C$2, DATE(Initialisatie!$C$5,1,1)) + 1),
        IFERROR(VALUE($D204),0) * MAX(0, MIN($D$1, DATE(Initialisatie!$C$5,12,31)) - MAX($D$2, DATE(Initialisatie!$C$5,1,1)) + 1),
        IFERROR(VALUE($E204),0) * MAX(0, MIN($E$1, DATE(Initialisatie!$C$5,12,31)) - MAX($E$2, DATE(Initialisatie!$C$5,1,1)) + 1)
    ) / (DATE(Initialisatie!$C$5,12,31) - DATE(Initialisatie!$C$5,1,1) + 1)
)</f>
        <v>7304.5643835616438</v>
      </c>
      <c r="H204">
        <f>IF(
    OR(
        AND(MAX(0, IF(MIN($C$1, DATE(Initialisatie!$C$5,12,31)) &lt; MAX($C$2, DATE(Initialisatie!$C$5,1,1)), 0, MONTH(MIN($C$1, DATE(Initialisatie!$C$5,12,31))) - MONTH(MAX($C$2, DATE(Initialisatie!$C$5,1,1))) + 1)) &lt;= 0, IFERROR(VALUE($C204),0)=0),
        AND(MAX(0, IF(MIN($D$1, DATE(Initialisatie!$C$5,12,31)) &lt; MAX($D$2, DATE(Initialisatie!$C$5,1,1)), 0, MONTH(MIN($D$1, DATE(Initialisatie!$C$5,12,31))) - MONTH(MAX($D$2, DATE(Initialisatie!$C$5,1,1))) + 1)) &lt;= 0, IFERROR(VALUE($D204),0)=0),
        AND(MAX(0, IF(MIN($E$1, DATE(Initialisatie!$C$5,12,31)) &lt; MAX($E$2, DATE(Initialisatie!$C$5,1,1)), 0, MONTH(MIN($E$1, DATE(Initialisatie!$C$5,12,31))) - MONTH(MAX($E$2, DATE(Initialisatie!$C$5,1,1))) + 1)) &lt;= 0, IFERROR(VALUE($E204),0)=0)
    ),
    0,
    SUM(
        IFERROR(VALUE($C204),0) * MAX(0, IF(MIN($C$1, DATE(Initialisatie!$C$5,12,31)) &lt; MAX($C$2, DATE(Initialisatie!$C$5,1,1)), 0, MONTH(MIN($C$1, DATE(Initialisatie!$C$5,12,31))) - MONTH(MAX($C$2, DATE(Initialisatie!$C$5,1,1))) + 1)),
        IFERROR(VALUE($D204),0) * MAX(0, IF(MIN($D$1, DATE(Initialisatie!$C$5,12,31)) &lt; MAX($D$2, DATE(Initialisatie!$C$5,1,1)), 0, MONTH(MIN($D$1, DATE(Initialisatie!$C$5,12,31))) - MONTH(MAX($D$2, DATE(Initialisatie!$C$5,1,1))) + 1)),
        IFERROR(VALUE($E204),0) * MAX(0, IF(MIN($E$1, DATE(Initialisatie!$C$5,12,31)) &lt; MAX($E$2, DATE(Initialisatie!$C$5,1,1)), 0, MONTH(MIN($E$1, DATE(Initialisatie!$C$5,12,31))) - MONTH(MAX($E$2, DATE(Initialisatie!$C$5,1,1))) + 1))
    ) / 12
)</f>
        <v>7304.25</v>
      </c>
    </row>
    <row r="205" spans="1:8" x14ac:dyDescent="0.45">
      <c r="A205" s="997"/>
      <c r="B205" s="380">
        <v>14</v>
      </c>
      <c r="C205" t="s">
        <v>1850</v>
      </c>
      <c r="D205" t="s">
        <v>1851</v>
      </c>
      <c r="E205" t="s">
        <v>1852</v>
      </c>
      <c r="G205">
        <f>IF(
    OR(
        AND(MAX(0, MIN($C$1, DATE(Initialisatie!$C$5,12,31)) - MAX($C$2, DATE(Initialisatie!$C$5,1,1)) + 1) &gt; 0, IFERROR(VALUE($C205),0)=0),
        AND(MAX(0, MIN($D$1, DATE(Initialisatie!$C$5,12,31)) - MAX($D$2, DATE(Initialisatie!$C$5,1,1)) + 1) &gt; 0, IFERROR(VALUE($D205),0)=0),
        AND(MAX(0, MIN($E$1, DATE(Initialisatie!$C$5,12,31)) - MAX($E$2, DATE(Initialisatie!$C$5,1,1)) + 1) &gt; 0, IFERROR(VALUE($E205),0)=0)
    ),
    0,
    SUM(
        IFERROR(VALUE($C205),0) * MAX(0, MIN($C$1, DATE(Initialisatie!$C$5,12,31)) - MAX($C$2, DATE(Initialisatie!$C$5,1,1)) + 1),
        IFERROR(VALUE($D205),0) * MAX(0, MIN($D$1, DATE(Initialisatie!$C$5,12,31)) - MAX($D$2, DATE(Initialisatie!$C$5,1,1)) + 1),
        IFERROR(VALUE($E205),0) * MAX(0, MIN($E$1, DATE(Initialisatie!$C$5,12,31)) - MAX($E$2, DATE(Initialisatie!$C$5,1,1)) + 1)
    ) / (DATE(Initialisatie!$C$5,12,31) - DATE(Initialisatie!$C$5,1,1) + 1)
)</f>
        <v>7571.8246575342464</v>
      </c>
      <c r="H205">
        <f>IF(
    OR(
        AND(MAX(0, IF(MIN($C$1, DATE(Initialisatie!$C$5,12,31)) &lt; MAX($C$2, DATE(Initialisatie!$C$5,1,1)), 0, MONTH(MIN($C$1, DATE(Initialisatie!$C$5,12,31))) - MONTH(MAX($C$2, DATE(Initialisatie!$C$5,1,1))) + 1)) &lt;= 0, IFERROR(VALUE($C205),0)=0),
        AND(MAX(0, IF(MIN($D$1, DATE(Initialisatie!$C$5,12,31)) &lt; MAX($D$2, DATE(Initialisatie!$C$5,1,1)), 0, MONTH(MIN($D$1, DATE(Initialisatie!$C$5,12,31))) - MONTH(MAX($D$2, DATE(Initialisatie!$C$5,1,1))) + 1)) &lt;= 0, IFERROR(VALUE($D205),0)=0),
        AND(MAX(0, IF(MIN($E$1, DATE(Initialisatie!$C$5,12,31)) &lt; MAX($E$2, DATE(Initialisatie!$C$5,1,1)), 0, MONTH(MIN($E$1, DATE(Initialisatie!$C$5,12,31))) - MONTH(MAX($E$2, DATE(Initialisatie!$C$5,1,1))) + 1)) &lt;= 0, IFERROR(VALUE($E205),0)=0)
    ),
    0,
    SUM(
        IFERROR(VALUE($C205),0) * MAX(0, IF(MIN($C$1, DATE(Initialisatie!$C$5,12,31)) &lt; MAX($C$2, DATE(Initialisatie!$C$5,1,1)), 0, MONTH(MIN($C$1, DATE(Initialisatie!$C$5,12,31))) - MONTH(MAX($C$2, DATE(Initialisatie!$C$5,1,1))) + 1)),
        IFERROR(VALUE($D205),0) * MAX(0, IF(MIN($D$1, DATE(Initialisatie!$C$5,12,31)) &lt; MAX($D$2, DATE(Initialisatie!$C$5,1,1)), 0, MONTH(MIN($D$1, DATE(Initialisatie!$C$5,12,31))) - MONTH(MAX($D$2, DATE(Initialisatie!$C$5,1,1))) + 1)),
        IFERROR(VALUE($E205),0) * MAX(0, IF(MIN($E$1, DATE(Initialisatie!$C$5,12,31)) &lt; MAX($E$2, DATE(Initialisatie!$C$5,1,1)), 0, MONTH(MIN($E$1, DATE(Initialisatie!$C$5,12,31))) - MONTH(MAX($E$2, DATE(Initialisatie!$C$5,1,1))) + 1))
    ) / 12
)</f>
        <v>7571.5</v>
      </c>
    </row>
    <row r="206" spans="1:8" x14ac:dyDescent="0.45">
      <c r="A206" s="997"/>
      <c r="B206" s="380">
        <v>15</v>
      </c>
      <c r="C206" t="s">
        <v>1853</v>
      </c>
      <c r="D206" t="s">
        <v>1854</v>
      </c>
      <c r="E206" t="s">
        <v>1855</v>
      </c>
      <c r="G206">
        <f>IF(
    OR(
        AND(MAX(0, MIN($C$1, DATE(Initialisatie!$C$5,12,31)) - MAX($C$2, DATE(Initialisatie!$C$5,1,1)) + 1) &gt; 0, IFERROR(VALUE($C206),0)=0),
        AND(MAX(0, MIN($D$1, DATE(Initialisatie!$C$5,12,31)) - MAX($D$2, DATE(Initialisatie!$C$5,1,1)) + 1) &gt; 0, IFERROR(VALUE($D206),0)=0),
        AND(MAX(0, MIN($E$1, DATE(Initialisatie!$C$5,12,31)) - MAX($E$2, DATE(Initialisatie!$C$5,1,1)) + 1) &gt; 0, IFERROR(VALUE($E206),0)=0)
    ),
    0,
    SUM(
        IFERROR(VALUE($C206),0) * MAX(0, MIN($C$1, DATE(Initialisatie!$C$5,12,31)) - MAX($C$2, DATE(Initialisatie!$C$5,1,1)) + 1),
        IFERROR(VALUE($D206),0) * MAX(0, MIN($D$1, DATE(Initialisatie!$C$5,12,31)) - MAX($D$2, DATE(Initialisatie!$C$5,1,1)) + 1),
        IFERROR(VALUE($E206),0) * MAX(0, MIN($E$1, DATE(Initialisatie!$C$5,12,31)) - MAX($E$2, DATE(Initialisatie!$C$5,1,1)) + 1)
    ) / (DATE(Initialisatie!$C$5,12,31) - DATE(Initialisatie!$C$5,1,1) + 1)
)</f>
        <v>7849.3369863013695</v>
      </c>
      <c r="H206">
        <f>IF(
    OR(
        AND(MAX(0, IF(MIN($C$1, DATE(Initialisatie!$C$5,12,31)) &lt; MAX($C$2, DATE(Initialisatie!$C$5,1,1)), 0, MONTH(MIN($C$1, DATE(Initialisatie!$C$5,12,31))) - MONTH(MAX($C$2, DATE(Initialisatie!$C$5,1,1))) + 1)) &lt;= 0, IFERROR(VALUE($C206),0)=0),
        AND(MAX(0, IF(MIN($D$1, DATE(Initialisatie!$C$5,12,31)) &lt; MAX($D$2, DATE(Initialisatie!$C$5,1,1)), 0, MONTH(MIN($D$1, DATE(Initialisatie!$C$5,12,31))) - MONTH(MAX($D$2, DATE(Initialisatie!$C$5,1,1))) + 1)) &lt;= 0, IFERROR(VALUE($D206),0)=0),
        AND(MAX(0, IF(MIN($E$1, DATE(Initialisatie!$C$5,12,31)) &lt; MAX($E$2, DATE(Initialisatie!$C$5,1,1)), 0, MONTH(MIN($E$1, DATE(Initialisatie!$C$5,12,31))) - MONTH(MAX($E$2, DATE(Initialisatie!$C$5,1,1))) + 1)) &lt;= 0, IFERROR(VALUE($E206),0)=0)
    ),
    0,
    SUM(
        IFERROR(VALUE($C206),0) * MAX(0, IF(MIN($C$1, DATE(Initialisatie!$C$5,12,31)) &lt; MAX($C$2, DATE(Initialisatie!$C$5,1,1)), 0, MONTH(MIN($C$1, DATE(Initialisatie!$C$5,12,31))) - MONTH(MAX($C$2, DATE(Initialisatie!$C$5,1,1))) + 1)),
        IFERROR(VALUE($D206),0) * MAX(0, IF(MIN($D$1, DATE(Initialisatie!$C$5,12,31)) &lt; MAX($D$2, DATE(Initialisatie!$C$5,1,1)), 0, MONTH(MIN($D$1, DATE(Initialisatie!$C$5,12,31))) - MONTH(MAX($D$2, DATE(Initialisatie!$C$5,1,1))) + 1)),
        IFERROR(VALUE($E206),0) * MAX(0, IF(MIN($E$1, DATE(Initialisatie!$C$5,12,31)) &lt; MAX($E$2, DATE(Initialisatie!$C$5,1,1)), 0, MONTH(MIN($E$1, DATE(Initialisatie!$C$5,12,31))) - MONTH(MAX($E$2, DATE(Initialisatie!$C$5,1,1))) + 1))
    ) / 12
)</f>
        <v>7849</v>
      </c>
    </row>
    <row r="207" spans="1:8" x14ac:dyDescent="0.45">
      <c r="A207" s="998"/>
      <c r="B207" s="380" t="s">
        <v>517</v>
      </c>
      <c r="C207" t="s">
        <v>1856</v>
      </c>
      <c r="D207" t="s">
        <v>1857</v>
      </c>
      <c r="E207" t="s">
        <v>1858</v>
      </c>
      <c r="G207">
        <f>IF(
    OR(
        AND(MAX(0, MIN($C$1, DATE(Initialisatie!$C$5,12,31)) - MAX($C$2, DATE(Initialisatie!$C$5,1,1)) + 1) &gt; 0, IFERROR(VALUE($C207),0)=0),
        AND(MAX(0, MIN($D$1, DATE(Initialisatie!$C$5,12,31)) - MAX($D$2, DATE(Initialisatie!$C$5,1,1)) + 1) &gt; 0, IFERROR(VALUE($D207),0)=0),
        AND(MAX(0, MIN($E$1, DATE(Initialisatie!$C$5,12,31)) - MAX($E$2, DATE(Initialisatie!$C$5,1,1)) + 1) &gt; 0, IFERROR(VALUE($E207),0)=0)
    ),
    0,
    SUM(
        IFERROR(VALUE($C207),0) * MAX(0, MIN($C$1, DATE(Initialisatie!$C$5,12,31)) - MAX($C$2, DATE(Initialisatie!$C$5,1,1)) + 1),
        IFERROR(VALUE($D207),0) * MAX(0, MIN($D$1, DATE(Initialisatie!$C$5,12,31)) - MAX($D$2, DATE(Initialisatie!$C$5,1,1)) + 1),
        IFERROR(VALUE($E207),0) * MAX(0, MIN($E$1, DATE(Initialisatie!$C$5,12,31)) - MAX($E$2, DATE(Initialisatie!$C$5,1,1)) + 1)
    ) / (DATE(Initialisatie!$C$5,12,31) - DATE(Initialisatie!$C$5,1,1) + 1)
)</f>
        <v>4630.449315068493</v>
      </c>
      <c r="H207">
        <f>IF(
    OR(
        AND(MAX(0, IF(MIN($C$1, DATE(Initialisatie!$C$5,12,31)) &lt; MAX($C$2, DATE(Initialisatie!$C$5,1,1)), 0, MONTH(MIN($C$1, DATE(Initialisatie!$C$5,12,31))) - MONTH(MAX($C$2, DATE(Initialisatie!$C$5,1,1))) + 1)) &lt;= 0, IFERROR(VALUE($C207),0)=0),
        AND(MAX(0, IF(MIN($D$1, DATE(Initialisatie!$C$5,12,31)) &lt; MAX($D$2, DATE(Initialisatie!$C$5,1,1)), 0, MONTH(MIN($D$1, DATE(Initialisatie!$C$5,12,31))) - MONTH(MAX($D$2, DATE(Initialisatie!$C$5,1,1))) + 1)) &lt;= 0, IFERROR(VALUE($D207),0)=0),
        AND(MAX(0, IF(MIN($E$1, DATE(Initialisatie!$C$5,12,31)) &lt; MAX($E$2, DATE(Initialisatie!$C$5,1,1)), 0, MONTH(MIN($E$1, DATE(Initialisatie!$C$5,12,31))) - MONTH(MAX($E$2, DATE(Initialisatie!$C$5,1,1))) + 1)) &lt;= 0, IFERROR(VALUE($E207),0)=0)
    ),
    0,
    SUM(
        IFERROR(VALUE($C207),0) * MAX(0, IF(MIN($C$1, DATE(Initialisatie!$C$5,12,31)) &lt; MAX($C$2, DATE(Initialisatie!$C$5,1,1)), 0, MONTH(MIN($C$1, DATE(Initialisatie!$C$5,12,31))) - MONTH(MAX($C$2, DATE(Initialisatie!$C$5,1,1))) + 1)),
        IFERROR(VALUE($D207),0) * MAX(0, IF(MIN($D$1, DATE(Initialisatie!$C$5,12,31)) &lt; MAX($D$2, DATE(Initialisatie!$C$5,1,1)), 0, MONTH(MIN($D$1, DATE(Initialisatie!$C$5,12,31))) - MONTH(MAX($D$2, DATE(Initialisatie!$C$5,1,1))) + 1)),
        IFERROR(VALUE($E207),0) * MAX(0, IF(MIN($E$1, DATE(Initialisatie!$C$5,12,31)) &lt; MAX($E$2, DATE(Initialisatie!$C$5,1,1)), 0, MONTH(MIN($E$1, DATE(Initialisatie!$C$5,12,31))) - MONTH(MAX($E$2, DATE(Initialisatie!$C$5,1,1))) + 1))
    ) / 12
)</f>
        <v>4630.25</v>
      </c>
    </row>
    <row r="208" spans="1:8" x14ac:dyDescent="0.45">
      <c r="A208" s="996">
        <v>13</v>
      </c>
      <c r="B208" s="380">
        <v>0</v>
      </c>
      <c r="C208" t="s">
        <v>1807</v>
      </c>
      <c r="D208" t="s">
        <v>1808</v>
      </c>
      <c r="E208" t="s">
        <v>1809</v>
      </c>
      <c r="G208">
        <f>IF(
    OR(
        AND(MAX(0, MIN($C$1, DATE(Initialisatie!$C$5,12,31)) - MAX($C$2, DATE(Initialisatie!$C$5,1,1)) + 1) &gt; 0, IFERROR(VALUE($C208),0)=0),
        AND(MAX(0, MIN($D$1, DATE(Initialisatie!$C$5,12,31)) - MAX($D$2, DATE(Initialisatie!$C$5,1,1)) + 1) &gt; 0, IFERROR(VALUE($D208),0)=0),
        AND(MAX(0, MIN($E$1, DATE(Initialisatie!$C$5,12,31)) - MAX($E$2, DATE(Initialisatie!$C$5,1,1)) + 1) &gt; 0, IFERROR(VALUE($E208),0)=0)
    ),
    0,
    SUM(
        IFERROR(VALUE($C208),0) * MAX(0, MIN($C$1, DATE(Initialisatie!$C$5,12,31)) - MAX($C$2, DATE(Initialisatie!$C$5,1,1)) + 1),
        IFERROR(VALUE($D208),0) * MAX(0, MIN($D$1, DATE(Initialisatie!$C$5,12,31)) - MAX($D$2, DATE(Initialisatie!$C$5,1,1)) + 1),
        IFERROR(VALUE($E208),0) * MAX(0, MIN($E$1, DATE(Initialisatie!$C$5,12,31)) - MAX($E$2, DATE(Initialisatie!$C$5,1,1)) + 1)
    ) / (DATE(Initialisatie!$C$5,12,31) - DATE(Initialisatie!$C$5,1,1) + 1)
)</f>
        <v>5184.2219178082196</v>
      </c>
      <c r="H208">
        <f>IF(
    OR(
        AND(MAX(0, IF(MIN($C$1, DATE(Initialisatie!$C$5,12,31)) &lt; MAX($C$2, DATE(Initialisatie!$C$5,1,1)), 0, MONTH(MIN($C$1, DATE(Initialisatie!$C$5,12,31))) - MONTH(MAX($C$2, DATE(Initialisatie!$C$5,1,1))) + 1)) &lt;= 0, IFERROR(VALUE($C208),0)=0),
        AND(MAX(0, IF(MIN($D$1, DATE(Initialisatie!$C$5,12,31)) &lt; MAX($D$2, DATE(Initialisatie!$C$5,1,1)), 0, MONTH(MIN($D$1, DATE(Initialisatie!$C$5,12,31))) - MONTH(MAX($D$2, DATE(Initialisatie!$C$5,1,1))) + 1)) &lt;= 0, IFERROR(VALUE($D208),0)=0),
        AND(MAX(0, IF(MIN($E$1, DATE(Initialisatie!$C$5,12,31)) &lt; MAX($E$2, DATE(Initialisatie!$C$5,1,1)), 0, MONTH(MIN($E$1, DATE(Initialisatie!$C$5,12,31))) - MONTH(MAX($E$2, DATE(Initialisatie!$C$5,1,1))) + 1)) &lt;= 0, IFERROR(VALUE($E208),0)=0)
    ),
    0,
    SUM(
        IFERROR(VALUE($C208),0) * MAX(0, IF(MIN($C$1, DATE(Initialisatie!$C$5,12,31)) &lt; MAX($C$2, DATE(Initialisatie!$C$5,1,1)), 0, MONTH(MIN($C$1, DATE(Initialisatie!$C$5,12,31))) - MONTH(MAX($C$2, DATE(Initialisatie!$C$5,1,1))) + 1)),
        IFERROR(VALUE($D208),0) * MAX(0, IF(MIN($D$1, DATE(Initialisatie!$C$5,12,31)) &lt; MAX($D$2, DATE(Initialisatie!$C$5,1,1)), 0, MONTH(MIN($D$1, DATE(Initialisatie!$C$5,12,31))) - MONTH(MAX($D$2, DATE(Initialisatie!$C$5,1,1))) + 1)),
        IFERROR(VALUE($E208),0) * MAX(0, IF(MIN($E$1, DATE(Initialisatie!$C$5,12,31)) &lt; MAX($E$2, DATE(Initialisatie!$C$5,1,1)), 0, MONTH(MIN($E$1, DATE(Initialisatie!$C$5,12,31))) - MONTH(MAX($E$2, DATE(Initialisatie!$C$5,1,1))) + 1))
    ) / 12
)</f>
        <v>5184</v>
      </c>
    </row>
    <row r="209" spans="1:8" x14ac:dyDescent="0.45">
      <c r="A209" s="997"/>
      <c r="B209" s="380">
        <v>1</v>
      </c>
      <c r="C209" t="s">
        <v>1813</v>
      </c>
      <c r="D209" t="s">
        <v>1814</v>
      </c>
      <c r="E209" t="s">
        <v>1815</v>
      </c>
      <c r="G209">
        <f>IF(
    OR(
        AND(MAX(0, MIN($C$1, DATE(Initialisatie!$C$5,12,31)) - MAX($C$2, DATE(Initialisatie!$C$5,1,1)) + 1) &gt; 0, IFERROR(VALUE($C209),0)=0),
        AND(MAX(0, MIN($D$1, DATE(Initialisatie!$C$5,12,31)) - MAX($D$2, DATE(Initialisatie!$C$5,1,1)) + 1) &gt; 0, IFERROR(VALUE($D209),0)=0),
        AND(MAX(0, MIN($E$1, DATE(Initialisatie!$C$5,12,31)) - MAX($E$2, DATE(Initialisatie!$C$5,1,1)) + 1) &gt; 0, IFERROR(VALUE($E209),0)=0)
    ),
    0,
    SUM(
        IFERROR(VALUE($C209),0) * MAX(0, MIN($C$1, DATE(Initialisatie!$C$5,12,31)) - MAX($C$2, DATE(Initialisatie!$C$5,1,1)) + 1),
        IFERROR(VALUE($D209),0) * MAX(0, MIN($D$1, DATE(Initialisatie!$C$5,12,31)) - MAX($D$2, DATE(Initialisatie!$C$5,1,1)) + 1),
        IFERROR(VALUE($E209),0) * MAX(0, MIN($E$1, DATE(Initialisatie!$C$5,12,31)) - MAX($E$2, DATE(Initialisatie!$C$5,1,1)) + 1)
    ) / (DATE(Initialisatie!$C$5,12,31) - DATE(Initialisatie!$C$5,1,1) + 1)
)</f>
        <v>5352.2301369863017</v>
      </c>
      <c r="H209">
        <f>IF(
    OR(
        AND(MAX(0, IF(MIN($C$1, DATE(Initialisatie!$C$5,12,31)) &lt; MAX($C$2, DATE(Initialisatie!$C$5,1,1)), 0, MONTH(MIN($C$1, DATE(Initialisatie!$C$5,12,31))) - MONTH(MAX($C$2, DATE(Initialisatie!$C$5,1,1))) + 1)) &lt;= 0, IFERROR(VALUE($C209),0)=0),
        AND(MAX(0, IF(MIN($D$1, DATE(Initialisatie!$C$5,12,31)) &lt; MAX($D$2, DATE(Initialisatie!$C$5,1,1)), 0, MONTH(MIN($D$1, DATE(Initialisatie!$C$5,12,31))) - MONTH(MAX($D$2, DATE(Initialisatie!$C$5,1,1))) + 1)) &lt;= 0, IFERROR(VALUE($D209),0)=0),
        AND(MAX(0, IF(MIN($E$1, DATE(Initialisatie!$C$5,12,31)) &lt; MAX($E$2, DATE(Initialisatie!$C$5,1,1)), 0, MONTH(MIN($E$1, DATE(Initialisatie!$C$5,12,31))) - MONTH(MAX($E$2, DATE(Initialisatie!$C$5,1,1))) + 1)) &lt;= 0, IFERROR(VALUE($E209),0)=0)
    ),
    0,
    SUM(
        IFERROR(VALUE($C209),0) * MAX(0, IF(MIN($C$1, DATE(Initialisatie!$C$5,12,31)) &lt; MAX($C$2, DATE(Initialisatie!$C$5,1,1)), 0, MONTH(MIN($C$1, DATE(Initialisatie!$C$5,12,31))) - MONTH(MAX($C$2, DATE(Initialisatie!$C$5,1,1))) + 1)),
        IFERROR(VALUE($D209),0) * MAX(0, IF(MIN($D$1, DATE(Initialisatie!$C$5,12,31)) &lt; MAX($D$2, DATE(Initialisatie!$C$5,1,1)), 0, MONTH(MIN($D$1, DATE(Initialisatie!$C$5,12,31))) - MONTH(MAX($D$2, DATE(Initialisatie!$C$5,1,1))) + 1)),
        IFERROR(VALUE($E209),0) * MAX(0, IF(MIN($E$1, DATE(Initialisatie!$C$5,12,31)) &lt; MAX($E$2, DATE(Initialisatie!$C$5,1,1)), 0, MONTH(MIN($E$1, DATE(Initialisatie!$C$5,12,31))) - MONTH(MAX($E$2, DATE(Initialisatie!$C$5,1,1))) + 1))
    ) / 12
)</f>
        <v>5352</v>
      </c>
    </row>
    <row r="210" spans="1:8" x14ac:dyDescent="0.45">
      <c r="A210" s="997"/>
      <c r="B210" s="380">
        <v>2</v>
      </c>
      <c r="C210" t="s">
        <v>1816</v>
      </c>
      <c r="D210" t="s">
        <v>1817</v>
      </c>
      <c r="E210" t="s">
        <v>1818</v>
      </c>
      <c r="G210">
        <f>IF(
    OR(
        AND(MAX(0, MIN($C$1, DATE(Initialisatie!$C$5,12,31)) - MAX($C$2, DATE(Initialisatie!$C$5,1,1)) + 1) &gt; 0, IFERROR(VALUE($C210),0)=0),
        AND(MAX(0, MIN($D$1, DATE(Initialisatie!$C$5,12,31)) - MAX($D$2, DATE(Initialisatie!$C$5,1,1)) + 1) &gt; 0, IFERROR(VALUE($D210),0)=0),
        AND(MAX(0, MIN($E$1, DATE(Initialisatie!$C$5,12,31)) - MAX($E$2, DATE(Initialisatie!$C$5,1,1)) + 1) &gt; 0, IFERROR(VALUE($E210),0)=0)
    ),
    0,
    SUM(
        IFERROR(VALUE($C210),0) * MAX(0, MIN($C$1, DATE(Initialisatie!$C$5,12,31)) - MAX($C$2, DATE(Initialisatie!$C$5,1,1)) + 1),
        IFERROR(VALUE($D210),0) * MAX(0, MIN($D$1, DATE(Initialisatie!$C$5,12,31)) - MAX($D$2, DATE(Initialisatie!$C$5,1,1)) + 1),
        IFERROR(VALUE($E210),0) * MAX(0, MIN($E$1, DATE(Initialisatie!$C$5,12,31)) - MAX($E$2, DATE(Initialisatie!$C$5,1,1)) + 1)
    ) / (DATE(Initialisatie!$C$5,12,31) - DATE(Initialisatie!$C$5,1,1) + 1)
)</f>
        <v>5538.2383561643837</v>
      </c>
      <c r="H210">
        <f>IF(
    OR(
        AND(MAX(0, IF(MIN($C$1, DATE(Initialisatie!$C$5,12,31)) &lt; MAX($C$2, DATE(Initialisatie!$C$5,1,1)), 0, MONTH(MIN($C$1, DATE(Initialisatie!$C$5,12,31))) - MONTH(MAX($C$2, DATE(Initialisatie!$C$5,1,1))) + 1)) &lt;= 0, IFERROR(VALUE($C210),0)=0),
        AND(MAX(0, IF(MIN($D$1, DATE(Initialisatie!$C$5,12,31)) &lt; MAX($D$2, DATE(Initialisatie!$C$5,1,1)), 0, MONTH(MIN($D$1, DATE(Initialisatie!$C$5,12,31))) - MONTH(MAX($D$2, DATE(Initialisatie!$C$5,1,1))) + 1)) &lt;= 0, IFERROR(VALUE($D210),0)=0),
        AND(MAX(0, IF(MIN($E$1, DATE(Initialisatie!$C$5,12,31)) &lt; MAX($E$2, DATE(Initialisatie!$C$5,1,1)), 0, MONTH(MIN($E$1, DATE(Initialisatie!$C$5,12,31))) - MONTH(MAX($E$2, DATE(Initialisatie!$C$5,1,1))) + 1)) &lt;= 0, IFERROR(VALUE($E210),0)=0)
    ),
    0,
    SUM(
        IFERROR(VALUE($C210),0) * MAX(0, IF(MIN($C$1, DATE(Initialisatie!$C$5,12,31)) &lt; MAX($C$2, DATE(Initialisatie!$C$5,1,1)), 0, MONTH(MIN($C$1, DATE(Initialisatie!$C$5,12,31))) - MONTH(MAX($C$2, DATE(Initialisatie!$C$5,1,1))) + 1)),
        IFERROR(VALUE($D210),0) * MAX(0, IF(MIN($D$1, DATE(Initialisatie!$C$5,12,31)) &lt; MAX($D$2, DATE(Initialisatie!$C$5,1,1)), 0, MONTH(MIN($D$1, DATE(Initialisatie!$C$5,12,31))) - MONTH(MAX($D$2, DATE(Initialisatie!$C$5,1,1))) + 1)),
        IFERROR(VALUE($E210),0) * MAX(0, IF(MIN($E$1, DATE(Initialisatie!$C$5,12,31)) &lt; MAX($E$2, DATE(Initialisatie!$C$5,1,1)), 0, MONTH(MIN($E$1, DATE(Initialisatie!$C$5,12,31))) - MONTH(MAX($E$2, DATE(Initialisatie!$C$5,1,1))) + 1))
    ) / 12
)</f>
        <v>5538</v>
      </c>
    </row>
    <row r="211" spans="1:8" x14ac:dyDescent="0.45">
      <c r="A211" s="997"/>
      <c r="B211" s="380">
        <v>3</v>
      </c>
      <c r="C211" t="s">
        <v>1819</v>
      </c>
      <c r="D211" t="s">
        <v>1820</v>
      </c>
      <c r="E211" t="s">
        <v>1821</v>
      </c>
      <c r="G211">
        <f>IF(
    OR(
        AND(MAX(0, MIN($C$1, DATE(Initialisatie!$C$5,12,31)) - MAX($C$2, DATE(Initialisatie!$C$5,1,1)) + 1) &gt; 0, IFERROR(VALUE($C211),0)=0),
        AND(MAX(0, MIN($D$1, DATE(Initialisatie!$C$5,12,31)) - MAX($D$2, DATE(Initialisatie!$C$5,1,1)) + 1) &gt; 0, IFERROR(VALUE($D211),0)=0),
        AND(MAX(0, MIN($E$1, DATE(Initialisatie!$C$5,12,31)) - MAX($E$2, DATE(Initialisatie!$C$5,1,1)) + 1) &gt; 0, IFERROR(VALUE($E211),0)=0)
    ),
    0,
    SUM(
        IFERROR(VALUE($C211),0) * MAX(0, MIN($C$1, DATE(Initialisatie!$C$5,12,31)) - MAX($C$2, DATE(Initialisatie!$C$5,1,1)) + 1),
        IFERROR(VALUE($D211),0) * MAX(0, MIN($D$1, DATE(Initialisatie!$C$5,12,31)) - MAX($D$2, DATE(Initialisatie!$C$5,1,1)) + 1),
        IFERROR(VALUE($E211),0) * MAX(0, MIN($E$1, DATE(Initialisatie!$C$5,12,31)) - MAX($E$2, DATE(Initialisatie!$C$5,1,1)) + 1)
    ) / (DATE(Initialisatie!$C$5,12,31) - DATE(Initialisatie!$C$5,1,1) + 1)
)</f>
        <v>5735.2465753424658</v>
      </c>
      <c r="H211">
        <f>IF(
    OR(
        AND(MAX(0, IF(MIN($C$1, DATE(Initialisatie!$C$5,12,31)) &lt; MAX($C$2, DATE(Initialisatie!$C$5,1,1)), 0, MONTH(MIN($C$1, DATE(Initialisatie!$C$5,12,31))) - MONTH(MAX($C$2, DATE(Initialisatie!$C$5,1,1))) + 1)) &lt;= 0, IFERROR(VALUE($C211),0)=0),
        AND(MAX(0, IF(MIN($D$1, DATE(Initialisatie!$C$5,12,31)) &lt; MAX($D$2, DATE(Initialisatie!$C$5,1,1)), 0, MONTH(MIN($D$1, DATE(Initialisatie!$C$5,12,31))) - MONTH(MAX($D$2, DATE(Initialisatie!$C$5,1,1))) + 1)) &lt;= 0, IFERROR(VALUE($D211),0)=0),
        AND(MAX(0, IF(MIN($E$1, DATE(Initialisatie!$C$5,12,31)) &lt; MAX($E$2, DATE(Initialisatie!$C$5,1,1)), 0, MONTH(MIN($E$1, DATE(Initialisatie!$C$5,12,31))) - MONTH(MAX($E$2, DATE(Initialisatie!$C$5,1,1))) + 1)) &lt;= 0, IFERROR(VALUE($E211),0)=0)
    ),
    0,
    SUM(
        IFERROR(VALUE($C211),0) * MAX(0, IF(MIN($C$1, DATE(Initialisatie!$C$5,12,31)) &lt; MAX($C$2, DATE(Initialisatie!$C$5,1,1)), 0, MONTH(MIN($C$1, DATE(Initialisatie!$C$5,12,31))) - MONTH(MAX($C$2, DATE(Initialisatie!$C$5,1,1))) + 1)),
        IFERROR(VALUE($D211),0) * MAX(0, IF(MIN($D$1, DATE(Initialisatie!$C$5,12,31)) &lt; MAX($D$2, DATE(Initialisatie!$C$5,1,1)), 0, MONTH(MIN($D$1, DATE(Initialisatie!$C$5,12,31))) - MONTH(MAX($D$2, DATE(Initialisatie!$C$5,1,1))) + 1)),
        IFERROR(VALUE($E211),0) * MAX(0, IF(MIN($E$1, DATE(Initialisatie!$C$5,12,31)) &lt; MAX($E$2, DATE(Initialisatie!$C$5,1,1)), 0, MONTH(MIN($E$1, DATE(Initialisatie!$C$5,12,31))) - MONTH(MAX($E$2, DATE(Initialisatie!$C$5,1,1))) + 1))
    ) / 12
)</f>
        <v>5735</v>
      </c>
    </row>
    <row r="212" spans="1:8" x14ac:dyDescent="0.45">
      <c r="A212" s="997"/>
      <c r="B212" s="380">
        <v>4</v>
      </c>
      <c r="C212" t="s">
        <v>1825</v>
      </c>
      <c r="D212" t="s">
        <v>1826</v>
      </c>
      <c r="E212" t="s">
        <v>1827</v>
      </c>
      <c r="G212">
        <f>IF(
    OR(
        AND(MAX(0, MIN($C$1, DATE(Initialisatie!$C$5,12,31)) - MAX($C$2, DATE(Initialisatie!$C$5,1,1)) + 1) &gt; 0, IFERROR(VALUE($C212),0)=0),
        AND(MAX(0, MIN($D$1, DATE(Initialisatie!$C$5,12,31)) - MAX($D$2, DATE(Initialisatie!$C$5,1,1)) + 1) &gt; 0, IFERROR(VALUE($D212),0)=0),
        AND(MAX(0, MIN($E$1, DATE(Initialisatie!$C$5,12,31)) - MAX($E$2, DATE(Initialisatie!$C$5,1,1)) + 1) &gt; 0, IFERROR(VALUE($E212),0)=0)
    ),
    0,
    SUM(
        IFERROR(VALUE($C212),0) * MAX(0, MIN($C$1, DATE(Initialisatie!$C$5,12,31)) - MAX($C$2, DATE(Initialisatie!$C$5,1,1)) + 1),
        IFERROR(VALUE($D212),0) * MAX(0, MIN($D$1, DATE(Initialisatie!$C$5,12,31)) - MAX($D$2, DATE(Initialisatie!$C$5,1,1)) + 1),
        IFERROR(VALUE($E212),0) * MAX(0, MIN($E$1, DATE(Initialisatie!$C$5,12,31)) - MAX($E$2, DATE(Initialisatie!$C$5,1,1)) + 1)
    ) / (DATE(Initialisatie!$C$5,12,31) - DATE(Initialisatie!$C$5,1,1) + 1)
)</f>
        <v>5933.2547945205479</v>
      </c>
      <c r="H212">
        <f>IF(
    OR(
        AND(MAX(0, IF(MIN($C$1, DATE(Initialisatie!$C$5,12,31)) &lt; MAX($C$2, DATE(Initialisatie!$C$5,1,1)), 0, MONTH(MIN($C$1, DATE(Initialisatie!$C$5,12,31))) - MONTH(MAX($C$2, DATE(Initialisatie!$C$5,1,1))) + 1)) &lt;= 0, IFERROR(VALUE($C212),0)=0),
        AND(MAX(0, IF(MIN($D$1, DATE(Initialisatie!$C$5,12,31)) &lt; MAX($D$2, DATE(Initialisatie!$C$5,1,1)), 0, MONTH(MIN($D$1, DATE(Initialisatie!$C$5,12,31))) - MONTH(MAX($D$2, DATE(Initialisatie!$C$5,1,1))) + 1)) &lt;= 0, IFERROR(VALUE($D212),0)=0),
        AND(MAX(0, IF(MIN($E$1, DATE(Initialisatie!$C$5,12,31)) &lt; MAX($E$2, DATE(Initialisatie!$C$5,1,1)), 0, MONTH(MIN($E$1, DATE(Initialisatie!$C$5,12,31))) - MONTH(MAX($E$2, DATE(Initialisatie!$C$5,1,1))) + 1)) &lt;= 0, IFERROR(VALUE($E212),0)=0)
    ),
    0,
    SUM(
        IFERROR(VALUE($C212),0) * MAX(0, IF(MIN($C$1, DATE(Initialisatie!$C$5,12,31)) &lt; MAX($C$2, DATE(Initialisatie!$C$5,1,1)), 0, MONTH(MIN($C$1, DATE(Initialisatie!$C$5,12,31))) - MONTH(MAX($C$2, DATE(Initialisatie!$C$5,1,1))) + 1)),
        IFERROR(VALUE($D212),0) * MAX(0, IF(MIN($D$1, DATE(Initialisatie!$C$5,12,31)) &lt; MAX($D$2, DATE(Initialisatie!$C$5,1,1)), 0, MONTH(MIN($D$1, DATE(Initialisatie!$C$5,12,31))) - MONTH(MAX($D$2, DATE(Initialisatie!$C$5,1,1))) + 1)),
        IFERROR(VALUE($E212),0) * MAX(0, IF(MIN($E$1, DATE(Initialisatie!$C$5,12,31)) &lt; MAX($E$2, DATE(Initialisatie!$C$5,1,1)), 0, MONTH(MIN($E$1, DATE(Initialisatie!$C$5,12,31))) - MONTH(MAX($E$2, DATE(Initialisatie!$C$5,1,1))) + 1))
    ) / 12
)</f>
        <v>5933</v>
      </c>
    </row>
    <row r="213" spans="1:8" x14ac:dyDescent="0.45">
      <c r="A213" s="997"/>
      <c r="B213" s="380">
        <v>5</v>
      </c>
      <c r="C213" t="s">
        <v>1828</v>
      </c>
      <c r="D213" t="s">
        <v>1829</v>
      </c>
      <c r="E213" t="s">
        <v>1830</v>
      </c>
      <c r="G213">
        <f>IF(
    OR(
        AND(MAX(0, MIN($C$1, DATE(Initialisatie!$C$5,12,31)) - MAX($C$2, DATE(Initialisatie!$C$5,1,1)) + 1) &gt; 0, IFERROR(VALUE($C213),0)=0),
        AND(MAX(0, MIN($D$1, DATE(Initialisatie!$C$5,12,31)) - MAX($D$2, DATE(Initialisatie!$C$5,1,1)) + 1) &gt; 0, IFERROR(VALUE($D213),0)=0),
        AND(MAX(0, MIN($E$1, DATE(Initialisatie!$C$5,12,31)) - MAX($E$2, DATE(Initialisatie!$C$5,1,1)) + 1) &gt; 0, IFERROR(VALUE($E213),0)=0)
    ),
    0,
    SUM(
        IFERROR(VALUE($C213),0) * MAX(0, MIN($C$1, DATE(Initialisatie!$C$5,12,31)) - MAX($C$2, DATE(Initialisatie!$C$5,1,1)) + 1),
        IFERROR(VALUE($D213),0) * MAX(0, MIN($D$1, DATE(Initialisatie!$C$5,12,31)) - MAX($D$2, DATE(Initialisatie!$C$5,1,1)) + 1),
        IFERROR(VALUE($E213),0) * MAX(0, MIN($E$1, DATE(Initialisatie!$C$5,12,31)) - MAX($E$2, DATE(Initialisatie!$C$5,1,1)) + 1)
    ) / (DATE(Initialisatie!$C$5,12,31) - DATE(Initialisatie!$C$5,1,1) + 1)
)</f>
        <v>6144.2630136986299</v>
      </c>
      <c r="H213">
        <f>IF(
    OR(
        AND(MAX(0, IF(MIN($C$1, DATE(Initialisatie!$C$5,12,31)) &lt; MAX($C$2, DATE(Initialisatie!$C$5,1,1)), 0, MONTH(MIN($C$1, DATE(Initialisatie!$C$5,12,31))) - MONTH(MAX($C$2, DATE(Initialisatie!$C$5,1,1))) + 1)) &lt;= 0, IFERROR(VALUE($C213),0)=0),
        AND(MAX(0, IF(MIN($D$1, DATE(Initialisatie!$C$5,12,31)) &lt; MAX($D$2, DATE(Initialisatie!$C$5,1,1)), 0, MONTH(MIN($D$1, DATE(Initialisatie!$C$5,12,31))) - MONTH(MAX($D$2, DATE(Initialisatie!$C$5,1,1))) + 1)) &lt;= 0, IFERROR(VALUE($D213),0)=0),
        AND(MAX(0, IF(MIN($E$1, DATE(Initialisatie!$C$5,12,31)) &lt; MAX($E$2, DATE(Initialisatie!$C$5,1,1)), 0, MONTH(MIN($E$1, DATE(Initialisatie!$C$5,12,31))) - MONTH(MAX($E$2, DATE(Initialisatie!$C$5,1,1))) + 1)) &lt;= 0, IFERROR(VALUE($E213),0)=0)
    ),
    0,
    SUM(
        IFERROR(VALUE($C213),0) * MAX(0, IF(MIN($C$1, DATE(Initialisatie!$C$5,12,31)) &lt; MAX($C$2, DATE(Initialisatie!$C$5,1,1)), 0, MONTH(MIN($C$1, DATE(Initialisatie!$C$5,12,31))) - MONTH(MAX($C$2, DATE(Initialisatie!$C$5,1,1))) + 1)),
        IFERROR(VALUE($D213),0) * MAX(0, IF(MIN($D$1, DATE(Initialisatie!$C$5,12,31)) &lt; MAX($D$2, DATE(Initialisatie!$C$5,1,1)), 0, MONTH(MIN($D$1, DATE(Initialisatie!$C$5,12,31))) - MONTH(MAX($D$2, DATE(Initialisatie!$C$5,1,1))) + 1)),
        IFERROR(VALUE($E213),0) * MAX(0, IF(MIN($E$1, DATE(Initialisatie!$C$5,12,31)) &lt; MAX($E$2, DATE(Initialisatie!$C$5,1,1)), 0, MONTH(MIN($E$1, DATE(Initialisatie!$C$5,12,31))) - MONTH(MAX($E$2, DATE(Initialisatie!$C$5,1,1))) + 1))
    ) / 12
)</f>
        <v>6144</v>
      </c>
    </row>
    <row r="214" spans="1:8" x14ac:dyDescent="0.45">
      <c r="A214" s="997"/>
      <c r="B214" s="380">
        <v>6</v>
      </c>
      <c r="C214" t="s">
        <v>1831</v>
      </c>
      <c r="D214" t="s">
        <v>1832</v>
      </c>
      <c r="E214" t="s">
        <v>1833</v>
      </c>
      <c r="G214">
        <f>IF(
    OR(
        AND(MAX(0, MIN($C$1, DATE(Initialisatie!$C$5,12,31)) - MAX($C$2, DATE(Initialisatie!$C$5,1,1)) + 1) &gt; 0, IFERROR(VALUE($C214),0)=0),
        AND(MAX(0, MIN($D$1, DATE(Initialisatie!$C$5,12,31)) - MAX($D$2, DATE(Initialisatie!$C$5,1,1)) + 1) &gt; 0, IFERROR(VALUE($D214),0)=0),
        AND(MAX(0, MIN($E$1, DATE(Initialisatie!$C$5,12,31)) - MAX($E$2, DATE(Initialisatie!$C$5,1,1)) + 1) &gt; 0, IFERROR(VALUE($E214),0)=0)
    ),
    0,
    SUM(
        IFERROR(VALUE($C214),0) * MAX(0, MIN($C$1, DATE(Initialisatie!$C$5,12,31)) - MAX($C$2, DATE(Initialisatie!$C$5,1,1)) + 1),
        IFERROR(VALUE($D214),0) * MAX(0, MIN($D$1, DATE(Initialisatie!$C$5,12,31)) - MAX($D$2, DATE(Initialisatie!$C$5,1,1)) + 1),
        IFERROR(VALUE($E214),0) * MAX(0, MIN($E$1, DATE(Initialisatie!$C$5,12,31)) - MAX($E$2, DATE(Initialisatie!$C$5,1,1)) + 1)
    ) / (DATE(Initialisatie!$C$5,12,31) - DATE(Initialisatie!$C$5,1,1) + 1)
)</f>
        <v>6354.5232876712325</v>
      </c>
      <c r="H214">
        <f>IF(
    OR(
        AND(MAX(0, IF(MIN($C$1, DATE(Initialisatie!$C$5,12,31)) &lt; MAX($C$2, DATE(Initialisatie!$C$5,1,1)), 0, MONTH(MIN($C$1, DATE(Initialisatie!$C$5,12,31))) - MONTH(MAX($C$2, DATE(Initialisatie!$C$5,1,1))) + 1)) &lt;= 0, IFERROR(VALUE($C214),0)=0),
        AND(MAX(0, IF(MIN($D$1, DATE(Initialisatie!$C$5,12,31)) &lt; MAX($D$2, DATE(Initialisatie!$C$5,1,1)), 0, MONTH(MIN($D$1, DATE(Initialisatie!$C$5,12,31))) - MONTH(MAX($D$2, DATE(Initialisatie!$C$5,1,1))) + 1)) &lt;= 0, IFERROR(VALUE($D214),0)=0),
        AND(MAX(0, IF(MIN($E$1, DATE(Initialisatie!$C$5,12,31)) &lt; MAX($E$2, DATE(Initialisatie!$C$5,1,1)), 0, MONTH(MIN($E$1, DATE(Initialisatie!$C$5,12,31))) - MONTH(MAX($E$2, DATE(Initialisatie!$C$5,1,1))) + 1)) &lt;= 0, IFERROR(VALUE($E214),0)=0)
    ),
    0,
    SUM(
        IFERROR(VALUE($C214),0) * MAX(0, IF(MIN($C$1, DATE(Initialisatie!$C$5,12,31)) &lt; MAX($C$2, DATE(Initialisatie!$C$5,1,1)), 0, MONTH(MIN($C$1, DATE(Initialisatie!$C$5,12,31))) - MONTH(MAX($C$2, DATE(Initialisatie!$C$5,1,1))) + 1)),
        IFERROR(VALUE($D214),0) * MAX(0, IF(MIN($D$1, DATE(Initialisatie!$C$5,12,31)) &lt; MAX($D$2, DATE(Initialisatie!$C$5,1,1)), 0, MONTH(MIN($D$1, DATE(Initialisatie!$C$5,12,31))) - MONTH(MAX($D$2, DATE(Initialisatie!$C$5,1,1))) + 1)),
        IFERROR(VALUE($E214),0) * MAX(0, IF(MIN($E$1, DATE(Initialisatie!$C$5,12,31)) &lt; MAX($E$2, DATE(Initialisatie!$C$5,1,1)), 0, MONTH(MIN($E$1, DATE(Initialisatie!$C$5,12,31))) - MONTH(MAX($E$2, DATE(Initialisatie!$C$5,1,1))) + 1))
    ) / 12
)</f>
        <v>6354.25</v>
      </c>
    </row>
    <row r="215" spans="1:8" x14ac:dyDescent="0.45">
      <c r="A215" s="997"/>
      <c r="B215" s="380">
        <v>7</v>
      </c>
      <c r="C215" t="s">
        <v>1836</v>
      </c>
      <c r="D215" t="s">
        <v>1837</v>
      </c>
      <c r="E215" t="s">
        <v>1838</v>
      </c>
      <c r="G215">
        <f>IF(
    OR(
        AND(MAX(0, MIN($C$1, DATE(Initialisatie!$C$5,12,31)) - MAX($C$2, DATE(Initialisatie!$C$5,1,1)) + 1) &gt; 0, IFERROR(VALUE($C215),0)=0),
        AND(MAX(0, MIN($D$1, DATE(Initialisatie!$C$5,12,31)) - MAX($D$2, DATE(Initialisatie!$C$5,1,1)) + 1) &gt; 0, IFERROR(VALUE($D215),0)=0),
        AND(MAX(0, MIN($E$1, DATE(Initialisatie!$C$5,12,31)) - MAX($E$2, DATE(Initialisatie!$C$5,1,1)) + 1) &gt; 0, IFERROR(VALUE($E215),0)=0)
    ),
    0,
    SUM(
        IFERROR(VALUE($C215),0) * MAX(0, MIN($C$1, DATE(Initialisatie!$C$5,12,31)) - MAX($C$2, DATE(Initialisatie!$C$5,1,1)) + 1),
        IFERROR(VALUE($D215),0) * MAX(0, MIN($D$1, DATE(Initialisatie!$C$5,12,31)) - MAX($D$2, DATE(Initialisatie!$C$5,1,1)) + 1),
        IFERROR(VALUE($E215),0) * MAX(0, MIN($E$1, DATE(Initialisatie!$C$5,12,31)) - MAX($E$2, DATE(Initialisatie!$C$5,1,1)) + 1)
    ) / (DATE(Initialisatie!$C$5,12,31) - DATE(Initialisatie!$C$5,1,1) + 1)
)</f>
        <v>6577.5315068493155</v>
      </c>
      <c r="H215">
        <f>IF(
    OR(
        AND(MAX(0, IF(MIN($C$1, DATE(Initialisatie!$C$5,12,31)) &lt; MAX($C$2, DATE(Initialisatie!$C$5,1,1)), 0, MONTH(MIN($C$1, DATE(Initialisatie!$C$5,12,31))) - MONTH(MAX($C$2, DATE(Initialisatie!$C$5,1,1))) + 1)) &lt;= 0, IFERROR(VALUE($C215),0)=0),
        AND(MAX(0, IF(MIN($D$1, DATE(Initialisatie!$C$5,12,31)) &lt; MAX($D$2, DATE(Initialisatie!$C$5,1,1)), 0, MONTH(MIN($D$1, DATE(Initialisatie!$C$5,12,31))) - MONTH(MAX($D$2, DATE(Initialisatie!$C$5,1,1))) + 1)) &lt;= 0, IFERROR(VALUE($D215),0)=0),
        AND(MAX(0, IF(MIN($E$1, DATE(Initialisatie!$C$5,12,31)) &lt; MAX($E$2, DATE(Initialisatie!$C$5,1,1)), 0, MONTH(MIN($E$1, DATE(Initialisatie!$C$5,12,31))) - MONTH(MAX($E$2, DATE(Initialisatie!$C$5,1,1))) + 1)) &lt;= 0, IFERROR(VALUE($E215),0)=0)
    ),
    0,
    SUM(
        IFERROR(VALUE($C215),0) * MAX(0, IF(MIN($C$1, DATE(Initialisatie!$C$5,12,31)) &lt; MAX($C$2, DATE(Initialisatie!$C$5,1,1)), 0, MONTH(MIN($C$1, DATE(Initialisatie!$C$5,12,31))) - MONTH(MAX($C$2, DATE(Initialisatie!$C$5,1,1))) + 1)),
        IFERROR(VALUE($D215),0) * MAX(0, IF(MIN($D$1, DATE(Initialisatie!$C$5,12,31)) &lt; MAX($D$2, DATE(Initialisatie!$C$5,1,1)), 0, MONTH(MIN($D$1, DATE(Initialisatie!$C$5,12,31))) - MONTH(MAX($D$2, DATE(Initialisatie!$C$5,1,1))) + 1)),
        IFERROR(VALUE($E215),0) * MAX(0, IF(MIN($E$1, DATE(Initialisatie!$C$5,12,31)) &lt; MAX($E$2, DATE(Initialisatie!$C$5,1,1)), 0, MONTH(MIN($E$1, DATE(Initialisatie!$C$5,12,31))) - MONTH(MAX($E$2, DATE(Initialisatie!$C$5,1,1))) + 1))
    ) / 12
)</f>
        <v>6577.25</v>
      </c>
    </row>
    <row r="216" spans="1:8" x14ac:dyDescent="0.45">
      <c r="A216" s="997"/>
      <c r="B216" s="380">
        <v>8</v>
      </c>
      <c r="C216" t="s">
        <v>1839</v>
      </c>
      <c r="D216" t="s">
        <v>1840</v>
      </c>
      <c r="E216" t="s">
        <v>1841</v>
      </c>
      <c r="G216">
        <f>IF(
    OR(
        AND(MAX(0, MIN($C$1, DATE(Initialisatie!$C$5,12,31)) - MAX($C$2, DATE(Initialisatie!$C$5,1,1)) + 1) &gt; 0, IFERROR(VALUE($C216),0)=0),
        AND(MAX(0, MIN($D$1, DATE(Initialisatie!$C$5,12,31)) - MAX($D$2, DATE(Initialisatie!$C$5,1,1)) + 1) &gt; 0, IFERROR(VALUE($D216),0)=0),
        AND(MAX(0, MIN($E$1, DATE(Initialisatie!$C$5,12,31)) - MAX($E$2, DATE(Initialisatie!$C$5,1,1)) + 1) &gt; 0, IFERROR(VALUE($E216),0)=0)
    ),
    0,
    SUM(
        IFERROR(VALUE($C216),0) * MAX(0, MIN($C$1, DATE(Initialisatie!$C$5,12,31)) - MAX($C$2, DATE(Initialisatie!$C$5,1,1)) + 1),
        IFERROR(VALUE($D216),0) * MAX(0, MIN($D$1, DATE(Initialisatie!$C$5,12,31)) - MAX($D$2, DATE(Initialisatie!$C$5,1,1)) + 1),
        IFERROR(VALUE($E216),0) * MAX(0, MIN($E$1, DATE(Initialisatie!$C$5,12,31)) - MAX($E$2, DATE(Initialisatie!$C$5,1,1)) + 1)
    ) / (DATE(Initialisatie!$C$5,12,31) - DATE(Initialisatie!$C$5,1,1) + 1)
)</f>
        <v>6813.7917808219181</v>
      </c>
      <c r="H216">
        <f>IF(
    OR(
        AND(MAX(0, IF(MIN($C$1, DATE(Initialisatie!$C$5,12,31)) &lt; MAX($C$2, DATE(Initialisatie!$C$5,1,1)), 0, MONTH(MIN($C$1, DATE(Initialisatie!$C$5,12,31))) - MONTH(MAX($C$2, DATE(Initialisatie!$C$5,1,1))) + 1)) &lt;= 0, IFERROR(VALUE($C216),0)=0),
        AND(MAX(0, IF(MIN($D$1, DATE(Initialisatie!$C$5,12,31)) &lt; MAX($D$2, DATE(Initialisatie!$C$5,1,1)), 0, MONTH(MIN($D$1, DATE(Initialisatie!$C$5,12,31))) - MONTH(MAX($D$2, DATE(Initialisatie!$C$5,1,1))) + 1)) &lt;= 0, IFERROR(VALUE($D216),0)=0),
        AND(MAX(0, IF(MIN($E$1, DATE(Initialisatie!$C$5,12,31)) &lt; MAX($E$2, DATE(Initialisatie!$C$5,1,1)), 0, MONTH(MIN($E$1, DATE(Initialisatie!$C$5,12,31))) - MONTH(MAX($E$2, DATE(Initialisatie!$C$5,1,1))) + 1)) &lt;= 0, IFERROR(VALUE($E216),0)=0)
    ),
    0,
    SUM(
        IFERROR(VALUE($C216),0) * MAX(0, IF(MIN($C$1, DATE(Initialisatie!$C$5,12,31)) &lt; MAX($C$2, DATE(Initialisatie!$C$5,1,1)), 0, MONTH(MIN($C$1, DATE(Initialisatie!$C$5,12,31))) - MONTH(MAX($C$2, DATE(Initialisatie!$C$5,1,1))) + 1)),
        IFERROR(VALUE($D216),0) * MAX(0, IF(MIN($D$1, DATE(Initialisatie!$C$5,12,31)) &lt; MAX($D$2, DATE(Initialisatie!$C$5,1,1)), 0, MONTH(MIN($D$1, DATE(Initialisatie!$C$5,12,31))) - MONTH(MAX($D$2, DATE(Initialisatie!$C$5,1,1))) + 1)),
        IFERROR(VALUE($E216),0) * MAX(0, IF(MIN($E$1, DATE(Initialisatie!$C$5,12,31)) &lt; MAX($E$2, DATE(Initialisatie!$C$5,1,1)), 0, MONTH(MIN($E$1, DATE(Initialisatie!$C$5,12,31))) - MONTH(MAX($E$2, DATE(Initialisatie!$C$5,1,1))) + 1))
    ) / 12
)</f>
        <v>6813.5</v>
      </c>
    </row>
    <row r="217" spans="1:8" x14ac:dyDescent="0.45">
      <c r="A217" s="997"/>
      <c r="B217" s="380">
        <v>9</v>
      </c>
      <c r="C217" t="s">
        <v>1842</v>
      </c>
      <c r="D217" t="s">
        <v>1843</v>
      </c>
      <c r="E217" t="s">
        <v>1670</v>
      </c>
      <c r="G217">
        <f>IF(
    OR(
        AND(MAX(0, MIN($C$1, DATE(Initialisatie!$C$5,12,31)) - MAX($C$2, DATE(Initialisatie!$C$5,1,1)) + 1) &gt; 0, IFERROR(VALUE($C217),0)=0),
        AND(MAX(0, MIN($D$1, DATE(Initialisatie!$C$5,12,31)) - MAX($D$2, DATE(Initialisatie!$C$5,1,1)) + 1) &gt; 0, IFERROR(VALUE($D217),0)=0),
        AND(MAX(0, MIN($E$1, DATE(Initialisatie!$C$5,12,31)) - MAX($E$2, DATE(Initialisatie!$C$5,1,1)) + 1) &gt; 0, IFERROR(VALUE($E217),0)=0)
    ),
    0,
    SUM(
        IFERROR(VALUE($C217),0) * MAX(0, MIN($C$1, DATE(Initialisatie!$C$5,12,31)) - MAX($C$2, DATE(Initialisatie!$C$5,1,1)) + 1),
        IFERROR(VALUE($D217),0) * MAX(0, MIN($D$1, DATE(Initialisatie!$C$5,12,31)) - MAX($D$2, DATE(Initialisatie!$C$5,1,1)) + 1),
        IFERROR(VALUE($E217),0) * MAX(0, MIN($E$1, DATE(Initialisatie!$C$5,12,31)) - MAX($E$2, DATE(Initialisatie!$C$5,1,1)) + 1)
    ) / (DATE(Initialisatie!$C$5,12,31) - DATE(Initialisatie!$C$5,1,1) + 1)
)</f>
        <v>7054.0520547945207</v>
      </c>
      <c r="H217">
        <f>IF(
    OR(
        AND(MAX(0, IF(MIN($C$1, DATE(Initialisatie!$C$5,12,31)) &lt; MAX($C$2, DATE(Initialisatie!$C$5,1,1)), 0, MONTH(MIN($C$1, DATE(Initialisatie!$C$5,12,31))) - MONTH(MAX($C$2, DATE(Initialisatie!$C$5,1,1))) + 1)) &lt;= 0, IFERROR(VALUE($C217),0)=0),
        AND(MAX(0, IF(MIN($D$1, DATE(Initialisatie!$C$5,12,31)) &lt; MAX($D$2, DATE(Initialisatie!$C$5,1,1)), 0, MONTH(MIN($D$1, DATE(Initialisatie!$C$5,12,31))) - MONTH(MAX($D$2, DATE(Initialisatie!$C$5,1,1))) + 1)) &lt;= 0, IFERROR(VALUE($D217),0)=0),
        AND(MAX(0, IF(MIN($E$1, DATE(Initialisatie!$C$5,12,31)) &lt; MAX($E$2, DATE(Initialisatie!$C$5,1,1)), 0, MONTH(MIN($E$1, DATE(Initialisatie!$C$5,12,31))) - MONTH(MAX($E$2, DATE(Initialisatie!$C$5,1,1))) + 1)) &lt;= 0, IFERROR(VALUE($E217),0)=0)
    ),
    0,
    SUM(
        IFERROR(VALUE($C217),0) * MAX(0, IF(MIN($C$1, DATE(Initialisatie!$C$5,12,31)) &lt; MAX($C$2, DATE(Initialisatie!$C$5,1,1)), 0, MONTH(MIN($C$1, DATE(Initialisatie!$C$5,12,31))) - MONTH(MAX($C$2, DATE(Initialisatie!$C$5,1,1))) + 1)),
        IFERROR(VALUE($D217),0) * MAX(0, IF(MIN($D$1, DATE(Initialisatie!$C$5,12,31)) &lt; MAX($D$2, DATE(Initialisatie!$C$5,1,1)), 0, MONTH(MIN($D$1, DATE(Initialisatie!$C$5,12,31))) - MONTH(MAX($D$2, DATE(Initialisatie!$C$5,1,1))) + 1)),
        IFERROR(VALUE($E217),0) * MAX(0, IF(MIN($E$1, DATE(Initialisatie!$C$5,12,31)) &lt; MAX($E$2, DATE(Initialisatie!$C$5,1,1)), 0, MONTH(MIN($E$1, DATE(Initialisatie!$C$5,12,31))) - MONTH(MAX($E$2, DATE(Initialisatie!$C$5,1,1))) + 1))
    ) / 12
)</f>
        <v>7053.75</v>
      </c>
    </row>
    <row r="218" spans="1:8" x14ac:dyDescent="0.45">
      <c r="A218" s="997"/>
      <c r="B218" s="380">
        <v>10</v>
      </c>
      <c r="C218" t="s">
        <v>1847</v>
      </c>
      <c r="D218" t="s">
        <v>1848</v>
      </c>
      <c r="E218" t="s">
        <v>1849</v>
      </c>
      <c r="G218">
        <f>IF(
    OR(
        AND(MAX(0, MIN($C$1, DATE(Initialisatie!$C$5,12,31)) - MAX($C$2, DATE(Initialisatie!$C$5,1,1)) + 1) &gt; 0, IFERROR(VALUE($C218),0)=0),
        AND(MAX(0, MIN($D$1, DATE(Initialisatie!$C$5,12,31)) - MAX($D$2, DATE(Initialisatie!$C$5,1,1)) + 1) &gt; 0, IFERROR(VALUE($D218),0)=0),
        AND(MAX(0, MIN($E$1, DATE(Initialisatie!$C$5,12,31)) - MAX($E$2, DATE(Initialisatie!$C$5,1,1)) + 1) &gt; 0, IFERROR(VALUE($E218),0)=0)
    ),
    0,
    SUM(
        IFERROR(VALUE($C218),0) * MAX(0, MIN($C$1, DATE(Initialisatie!$C$5,12,31)) - MAX($C$2, DATE(Initialisatie!$C$5,1,1)) + 1),
        IFERROR(VALUE($D218),0) * MAX(0, MIN($D$1, DATE(Initialisatie!$C$5,12,31)) - MAX($D$2, DATE(Initialisatie!$C$5,1,1)) + 1),
        IFERROR(VALUE($E218),0) * MAX(0, MIN($E$1, DATE(Initialisatie!$C$5,12,31)) - MAX($E$2, DATE(Initialisatie!$C$5,1,1)) + 1)
    ) / (DATE(Initialisatie!$C$5,12,31) - DATE(Initialisatie!$C$5,1,1) + 1)
)</f>
        <v>7304.5643835616438</v>
      </c>
      <c r="H218">
        <f>IF(
    OR(
        AND(MAX(0, IF(MIN($C$1, DATE(Initialisatie!$C$5,12,31)) &lt; MAX($C$2, DATE(Initialisatie!$C$5,1,1)), 0, MONTH(MIN($C$1, DATE(Initialisatie!$C$5,12,31))) - MONTH(MAX($C$2, DATE(Initialisatie!$C$5,1,1))) + 1)) &lt;= 0, IFERROR(VALUE($C218),0)=0),
        AND(MAX(0, IF(MIN($D$1, DATE(Initialisatie!$C$5,12,31)) &lt; MAX($D$2, DATE(Initialisatie!$C$5,1,1)), 0, MONTH(MIN($D$1, DATE(Initialisatie!$C$5,12,31))) - MONTH(MAX($D$2, DATE(Initialisatie!$C$5,1,1))) + 1)) &lt;= 0, IFERROR(VALUE($D218),0)=0),
        AND(MAX(0, IF(MIN($E$1, DATE(Initialisatie!$C$5,12,31)) &lt; MAX($E$2, DATE(Initialisatie!$C$5,1,1)), 0, MONTH(MIN($E$1, DATE(Initialisatie!$C$5,12,31))) - MONTH(MAX($E$2, DATE(Initialisatie!$C$5,1,1))) + 1)) &lt;= 0, IFERROR(VALUE($E218),0)=0)
    ),
    0,
    SUM(
        IFERROR(VALUE($C218),0) * MAX(0, IF(MIN($C$1, DATE(Initialisatie!$C$5,12,31)) &lt; MAX($C$2, DATE(Initialisatie!$C$5,1,1)), 0, MONTH(MIN($C$1, DATE(Initialisatie!$C$5,12,31))) - MONTH(MAX($C$2, DATE(Initialisatie!$C$5,1,1))) + 1)),
        IFERROR(VALUE($D218),0) * MAX(0, IF(MIN($D$1, DATE(Initialisatie!$C$5,12,31)) &lt; MAX($D$2, DATE(Initialisatie!$C$5,1,1)), 0, MONTH(MIN($D$1, DATE(Initialisatie!$C$5,12,31))) - MONTH(MAX($D$2, DATE(Initialisatie!$C$5,1,1))) + 1)),
        IFERROR(VALUE($E218),0) * MAX(0, IF(MIN($E$1, DATE(Initialisatie!$C$5,12,31)) &lt; MAX($E$2, DATE(Initialisatie!$C$5,1,1)), 0, MONTH(MIN($E$1, DATE(Initialisatie!$C$5,12,31))) - MONTH(MAX($E$2, DATE(Initialisatie!$C$5,1,1))) + 1))
    ) / 12
)</f>
        <v>7304.25</v>
      </c>
    </row>
    <row r="219" spans="1:8" x14ac:dyDescent="0.45">
      <c r="A219" s="997"/>
      <c r="B219" s="380">
        <v>11</v>
      </c>
      <c r="C219" t="s">
        <v>1850</v>
      </c>
      <c r="D219" t="s">
        <v>1851</v>
      </c>
      <c r="E219" t="s">
        <v>1852</v>
      </c>
      <c r="G219">
        <f>IF(
    OR(
        AND(MAX(0, MIN($C$1, DATE(Initialisatie!$C$5,12,31)) - MAX($C$2, DATE(Initialisatie!$C$5,1,1)) + 1) &gt; 0, IFERROR(VALUE($C219),0)=0),
        AND(MAX(0, MIN($D$1, DATE(Initialisatie!$C$5,12,31)) - MAX($D$2, DATE(Initialisatie!$C$5,1,1)) + 1) &gt; 0, IFERROR(VALUE($D219),0)=0),
        AND(MAX(0, MIN($E$1, DATE(Initialisatie!$C$5,12,31)) - MAX($E$2, DATE(Initialisatie!$C$5,1,1)) + 1) &gt; 0, IFERROR(VALUE($E219),0)=0)
    ),
    0,
    SUM(
        IFERROR(VALUE($C219),0) * MAX(0, MIN($C$1, DATE(Initialisatie!$C$5,12,31)) - MAX($C$2, DATE(Initialisatie!$C$5,1,1)) + 1),
        IFERROR(VALUE($D219),0) * MAX(0, MIN($D$1, DATE(Initialisatie!$C$5,12,31)) - MAX($D$2, DATE(Initialisatie!$C$5,1,1)) + 1),
        IFERROR(VALUE($E219),0) * MAX(0, MIN($E$1, DATE(Initialisatie!$C$5,12,31)) - MAX($E$2, DATE(Initialisatie!$C$5,1,1)) + 1)
    ) / (DATE(Initialisatie!$C$5,12,31) - DATE(Initialisatie!$C$5,1,1) + 1)
)</f>
        <v>7571.8246575342464</v>
      </c>
      <c r="H219">
        <f>IF(
    OR(
        AND(MAX(0, IF(MIN($C$1, DATE(Initialisatie!$C$5,12,31)) &lt; MAX($C$2, DATE(Initialisatie!$C$5,1,1)), 0, MONTH(MIN($C$1, DATE(Initialisatie!$C$5,12,31))) - MONTH(MAX($C$2, DATE(Initialisatie!$C$5,1,1))) + 1)) &lt;= 0, IFERROR(VALUE($C219),0)=0),
        AND(MAX(0, IF(MIN($D$1, DATE(Initialisatie!$C$5,12,31)) &lt; MAX($D$2, DATE(Initialisatie!$C$5,1,1)), 0, MONTH(MIN($D$1, DATE(Initialisatie!$C$5,12,31))) - MONTH(MAX($D$2, DATE(Initialisatie!$C$5,1,1))) + 1)) &lt;= 0, IFERROR(VALUE($D219),0)=0),
        AND(MAX(0, IF(MIN($E$1, DATE(Initialisatie!$C$5,12,31)) &lt; MAX($E$2, DATE(Initialisatie!$C$5,1,1)), 0, MONTH(MIN($E$1, DATE(Initialisatie!$C$5,12,31))) - MONTH(MAX($E$2, DATE(Initialisatie!$C$5,1,1))) + 1)) &lt;= 0, IFERROR(VALUE($E219),0)=0)
    ),
    0,
    SUM(
        IFERROR(VALUE($C219),0) * MAX(0, IF(MIN($C$1, DATE(Initialisatie!$C$5,12,31)) &lt; MAX($C$2, DATE(Initialisatie!$C$5,1,1)), 0, MONTH(MIN($C$1, DATE(Initialisatie!$C$5,12,31))) - MONTH(MAX($C$2, DATE(Initialisatie!$C$5,1,1))) + 1)),
        IFERROR(VALUE($D219),0) * MAX(0, IF(MIN($D$1, DATE(Initialisatie!$C$5,12,31)) &lt; MAX($D$2, DATE(Initialisatie!$C$5,1,1)), 0, MONTH(MIN($D$1, DATE(Initialisatie!$C$5,12,31))) - MONTH(MAX($D$2, DATE(Initialisatie!$C$5,1,1))) + 1)),
        IFERROR(VALUE($E219),0) * MAX(0, IF(MIN($E$1, DATE(Initialisatie!$C$5,12,31)) &lt; MAX($E$2, DATE(Initialisatie!$C$5,1,1)), 0, MONTH(MIN($E$1, DATE(Initialisatie!$C$5,12,31))) - MONTH(MAX($E$2, DATE(Initialisatie!$C$5,1,1))) + 1))
    ) / 12
)</f>
        <v>7571.5</v>
      </c>
    </row>
    <row r="220" spans="1:8" x14ac:dyDescent="0.45">
      <c r="A220" s="997"/>
      <c r="B220" s="380">
        <v>12</v>
      </c>
      <c r="C220" t="s">
        <v>1853</v>
      </c>
      <c r="D220" t="s">
        <v>1854</v>
      </c>
      <c r="E220" t="s">
        <v>1855</v>
      </c>
      <c r="G220">
        <f>IF(
    OR(
        AND(MAX(0, MIN($C$1, DATE(Initialisatie!$C$5,12,31)) - MAX($C$2, DATE(Initialisatie!$C$5,1,1)) + 1) &gt; 0, IFERROR(VALUE($C220),0)=0),
        AND(MAX(0, MIN($D$1, DATE(Initialisatie!$C$5,12,31)) - MAX($D$2, DATE(Initialisatie!$C$5,1,1)) + 1) &gt; 0, IFERROR(VALUE($D220),0)=0),
        AND(MAX(0, MIN($E$1, DATE(Initialisatie!$C$5,12,31)) - MAX($E$2, DATE(Initialisatie!$C$5,1,1)) + 1) &gt; 0, IFERROR(VALUE($E220),0)=0)
    ),
    0,
    SUM(
        IFERROR(VALUE($C220),0) * MAX(0, MIN($C$1, DATE(Initialisatie!$C$5,12,31)) - MAX($C$2, DATE(Initialisatie!$C$5,1,1)) + 1),
        IFERROR(VALUE($D220),0) * MAX(0, MIN($D$1, DATE(Initialisatie!$C$5,12,31)) - MAX($D$2, DATE(Initialisatie!$C$5,1,1)) + 1),
        IFERROR(VALUE($E220),0) * MAX(0, MIN($E$1, DATE(Initialisatie!$C$5,12,31)) - MAX($E$2, DATE(Initialisatie!$C$5,1,1)) + 1)
    ) / (DATE(Initialisatie!$C$5,12,31) - DATE(Initialisatie!$C$5,1,1) + 1)
)</f>
        <v>7849.3369863013695</v>
      </c>
      <c r="H220">
        <f>IF(
    OR(
        AND(MAX(0, IF(MIN($C$1, DATE(Initialisatie!$C$5,12,31)) &lt; MAX($C$2, DATE(Initialisatie!$C$5,1,1)), 0, MONTH(MIN($C$1, DATE(Initialisatie!$C$5,12,31))) - MONTH(MAX($C$2, DATE(Initialisatie!$C$5,1,1))) + 1)) &lt;= 0, IFERROR(VALUE($C220),0)=0),
        AND(MAX(0, IF(MIN($D$1, DATE(Initialisatie!$C$5,12,31)) &lt; MAX($D$2, DATE(Initialisatie!$C$5,1,1)), 0, MONTH(MIN($D$1, DATE(Initialisatie!$C$5,12,31))) - MONTH(MAX($D$2, DATE(Initialisatie!$C$5,1,1))) + 1)) &lt;= 0, IFERROR(VALUE($D220),0)=0),
        AND(MAX(0, IF(MIN($E$1, DATE(Initialisatie!$C$5,12,31)) &lt; MAX($E$2, DATE(Initialisatie!$C$5,1,1)), 0, MONTH(MIN($E$1, DATE(Initialisatie!$C$5,12,31))) - MONTH(MAX($E$2, DATE(Initialisatie!$C$5,1,1))) + 1)) &lt;= 0, IFERROR(VALUE($E220),0)=0)
    ),
    0,
    SUM(
        IFERROR(VALUE($C220),0) * MAX(0, IF(MIN($C$1, DATE(Initialisatie!$C$5,12,31)) &lt; MAX($C$2, DATE(Initialisatie!$C$5,1,1)), 0, MONTH(MIN($C$1, DATE(Initialisatie!$C$5,12,31))) - MONTH(MAX($C$2, DATE(Initialisatie!$C$5,1,1))) + 1)),
        IFERROR(VALUE($D220),0) * MAX(0, IF(MIN($D$1, DATE(Initialisatie!$C$5,12,31)) &lt; MAX($D$2, DATE(Initialisatie!$C$5,1,1)), 0, MONTH(MIN($D$1, DATE(Initialisatie!$C$5,12,31))) - MONTH(MAX($D$2, DATE(Initialisatie!$C$5,1,1))) + 1)),
        IFERROR(VALUE($E220),0) * MAX(0, IF(MIN($E$1, DATE(Initialisatie!$C$5,12,31)) &lt; MAX($E$2, DATE(Initialisatie!$C$5,1,1)), 0, MONTH(MIN($E$1, DATE(Initialisatie!$C$5,12,31))) - MONTH(MAX($E$2, DATE(Initialisatie!$C$5,1,1))) + 1))
    ) / 12
)</f>
        <v>7849</v>
      </c>
    </row>
    <row r="221" spans="1:8" x14ac:dyDescent="0.45">
      <c r="A221" s="997"/>
      <c r="B221" s="380">
        <v>13</v>
      </c>
      <c r="C221" t="s">
        <v>1859</v>
      </c>
      <c r="D221" t="s">
        <v>1860</v>
      </c>
      <c r="E221" t="s">
        <v>1861</v>
      </c>
      <c r="G221">
        <f>IF(
    OR(
        AND(MAX(0, MIN($C$1, DATE(Initialisatie!$C$5,12,31)) - MAX($C$2, DATE(Initialisatie!$C$5,1,1)) + 1) &gt; 0, IFERROR(VALUE($C221),0)=0),
        AND(MAX(0, MIN($D$1, DATE(Initialisatie!$C$5,12,31)) - MAX($D$2, DATE(Initialisatie!$C$5,1,1)) + 1) &gt; 0, IFERROR(VALUE($D221),0)=0),
        AND(MAX(0, MIN($E$1, DATE(Initialisatie!$C$5,12,31)) - MAX($E$2, DATE(Initialisatie!$C$5,1,1)) + 1) &gt; 0, IFERROR(VALUE($E221),0)=0)
    ),
    0,
    SUM(
        IFERROR(VALUE($C221),0) * MAX(0, MIN($C$1, DATE(Initialisatie!$C$5,12,31)) - MAX($C$2, DATE(Initialisatie!$C$5,1,1)) + 1),
        IFERROR(VALUE($D221),0) * MAX(0, MIN($D$1, DATE(Initialisatie!$C$5,12,31)) - MAX($D$2, DATE(Initialisatie!$C$5,1,1)) + 1),
        IFERROR(VALUE($E221),0) * MAX(0, MIN($E$1, DATE(Initialisatie!$C$5,12,31)) - MAX($E$2, DATE(Initialisatie!$C$5,1,1)) + 1)
    ) / (DATE(Initialisatie!$C$5,12,31) - DATE(Initialisatie!$C$5,1,1) + 1)
)</f>
        <v>8140.8493150684935</v>
      </c>
      <c r="H221">
        <f>IF(
    OR(
        AND(MAX(0, IF(MIN($C$1, DATE(Initialisatie!$C$5,12,31)) &lt; MAX($C$2, DATE(Initialisatie!$C$5,1,1)), 0, MONTH(MIN($C$1, DATE(Initialisatie!$C$5,12,31))) - MONTH(MAX($C$2, DATE(Initialisatie!$C$5,1,1))) + 1)) &lt;= 0, IFERROR(VALUE($C221),0)=0),
        AND(MAX(0, IF(MIN($D$1, DATE(Initialisatie!$C$5,12,31)) &lt; MAX($D$2, DATE(Initialisatie!$C$5,1,1)), 0, MONTH(MIN($D$1, DATE(Initialisatie!$C$5,12,31))) - MONTH(MAX($D$2, DATE(Initialisatie!$C$5,1,1))) + 1)) &lt;= 0, IFERROR(VALUE($D221),0)=0),
        AND(MAX(0, IF(MIN($E$1, DATE(Initialisatie!$C$5,12,31)) &lt; MAX($E$2, DATE(Initialisatie!$C$5,1,1)), 0, MONTH(MIN($E$1, DATE(Initialisatie!$C$5,12,31))) - MONTH(MAX($E$2, DATE(Initialisatie!$C$5,1,1))) + 1)) &lt;= 0, IFERROR(VALUE($E221),0)=0)
    ),
    0,
    SUM(
        IFERROR(VALUE($C221),0) * MAX(0, IF(MIN($C$1, DATE(Initialisatie!$C$5,12,31)) &lt; MAX($C$2, DATE(Initialisatie!$C$5,1,1)), 0, MONTH(MIN($C$1, DATE(Initialisatie!$C$5,12,31))) - MONTH(MAX($C$2, DATE(Initialisatie!$C$5,1,1))) + 1)),
        IFERROR(VALUE($D221),0) * MAX(0, IF(MIN($D$1, DATE(Initialisatie!$C$5,12,31)) &lt; MAX($D$2, DATE(Initialisatie!$C$5,1,1)), 0, MONTH(MIN($D$1, DATE(Initialisatie!$C$5,12,31))) - MONTH(MAX($D$2, DATE(Initialisatie!$C$5,1,1))) + 1)),
        IFERROR(VALUE($E221),0) * MAX(0, IF(MIN($E$1, DATE(Initialisatie!$C$5,12,31)) &lt; MAX($E$2, DATE(Initialisatie!$C$5,1,1)), 0, MONTH(MIN($E$1, DATE(Initialisatie!$C$5,12,31))) - MONTH(MAX($E$2, DATE(Initialisatie!$C$5,1,1))) + 1))
    ) / 12
)</f>
        <v>8140.5</v>
      </c>
    </row>
    <row r="222" spans="1:8" x14ac:dyDescent="0.45">
      <c r="A222" s="997"/>
      <c r="B222" s="380">
        <v>14</v>
      </c>
      <c r="C222" t="s">
        <v>1862</v>
      </c>
      <c r="D222" t="s">
        <v>1863</v>
      </c>
      <c r="E222" t="s">
        <v>1864</v>
      </c>
      <c r="G222">
        <f>IF(
    OR(
        AND(MAX(0, MIN($C$1, DATE(Initialisatie!$C$5,12,31)) - MAX($C$2, DATE(Initialisatie!$C$5,1,1)) + 1) &gt; 0, IFERROR(VALUE($C222),0)=0),
        AND(MAX(0, MIN($D$1, DATE(Initialisatie!$C$5,12,31)) - MAX($D$2, DATE(Initialisatie!$C$5,1,1)) + 1) &gt; 0, IFERROR(VALUE($D222),0)=0),
        AND(MAX(0, MIN($E$1, DATE(Initialisatie!$C$5,12,31)) - MAX($E$2, DATE(Initialisatie!$C$5,1,1)) + 1) &gt; 0, IFERROR(VALUE($E222),0)=0)
    ),
    0,
    SUM(
        IFERROR(VALUE($C222),0) * MAX(0, MIN($C$1, DATE(Initialisatie!$C$5,12,31)) - MAX($C$2, DATE(Initialisatie!$C$5,1,1)) + 1),
        IFERROR(VALUE($D222),0) * MAX(0, MIN($D$1, DATE(Initialisatie!$C$5,12,31)) - MAX($D$2, DATE(Initialisatie!$C$5,1,1)) + 1),
        IFERROR(VALUE($E222),0) * MAX(0, MIN($E$1, DATE(Initialisatie!$C$5,12,31)) - MAX($E$2, DATE(Initialisatie!$C$5,1,1)) + 1)
    ) / (DATE(Initialisatie!$C$5,12,31) - DATE(Initialisatie!$C$5,1,1) + 1)
)</f>
        <v>8582.1178082191782</v>
      </c>
      <c r="H222">
        <f>IF(
    OR(
        AND(MAX(0, IF(MIN($C$1, DATE(Initialisatie!$C$5,12,31)) &lt; MAX($C$2, DATE(Initialisatie!$C$5,1,1)), 0, MONTH(MIN($C$1, DATE(Initialisatie!$C$5,12,31))) - MONTH(MAX($C$2, DATE(Initialisatie!$C$5,1,1))) + 1)) &lt;= 0, IFERROR(VALUE($C222),0)=0),
        AND(MAX(0, IF(MIN($D$1, DATE(Initialisatie!$C$5,12,31)) &lt; MAX($D$2, DATE(Initialisatie!$C$5,1,1)), 0, MONTH(MIN($D$1, DATE(Initialisatie!$C$5,12,31))) - MONTH(MAX($D$2, DATE(Initialisatie!$C$5,1,1))) + 1)) &lt;= 0, IFERROR(VALUE($D222),0)=0),
        AND(MAX(0, IF(MIN($E$1, DATE(Initialisatie!$C$5,12,31)) &lt; MAX($E$2, DATE(Initialisatie!$C$5,1,1)), 0, MONTH(MIN($E$1, DATE(Initialisatie!$C$5,12,31))) - MONTH(MAX($E$2, DATE(Initialisatie!$C$5,1,1))) + 1)) &lt;= 0, IFERROR(VALUE($E222),0)=0)
    ),
    0,
    SUM(
        IFERROR(VALUE($C222),0) * MAX(0, IF(MIN($C$1, DATE(Initialisatie!$C$5,12,31)) &lt; MAX($C$2, DATE(Initialisatie!$C$5,1,1)), 0, MONTH(MIN($C$1, DATE(Initialisatie!$C$5,12,31))) - MONTH(MAX($C$2, DATE(Initialisatie!$C$5,1,1))) + 1)),
        IFERROR(VALUE($D222),0) * MAX(0, IF(MIN($D$1, DATE(Initialisatie!$C$5,12,31)) &lt; MAX($D$2, DATE(Initialisatie!$C$5,1,1)), 0, MONTH(MIN($D$1, DATE(Initialisatie!$C$5,12,31))) - MONTH(MAX($D$2, DATE(Initialisatie!$C$5,1,1))) + 1)),
        IFERROR(VALUE($E222),0) * MAX(0, IF(MIN($E$1, DATE(Initialisatie!$C$5,12,31)) &lt; MAX($E$2, DATE(Initialisatie!$C$5,1,1)), 0, MONTH(MIN($E$1, DATE(Initialisatie!$C$5,12,31))) - MONTH(MAX($E$2, DATE(Initialisatie!$C$5,1,1))) + 1))
    ) / 12
)</f>
        <v>8581.75</v>
      </c>
    </row>
    <row r="223" spans="1:8" x14ac:dyDescent="0.45">
      <c r="A223" s="997"/>
      <c r="B223" s="380">
        <v>15</v>
      </c>
      <c r="C223" t="s">
        <v>1865</v>
      </c>
      <c r="D223" t="s">
        <v>1866</v>
      </c>
      <c r="E223" t="s">
        <v>1867</v>
      </c>
      <c r="G223">
        <f>IF(
    OR(
        AND(MAX(0, MIN($C$1, DATE(Initialisatie!$C$5,12,31)) - MAX($C$2, DATE(Initialisatie!$C$5,1,1)) + 1) &gt; 0, IFERROR(VALUE($C223),0)=0),
        AND(MAX(0, MIN($D$1, DATE(Initialisatie!$C$5,12,31)) - MAX($D$2, DATE(Initialisatie!$C$5,1,1)) + 1) &gt; 0, IFERROR(VALUE($D223),0)=0),
        AND(MAX(0, MIN($E$1, DATE(Initialisatie!$C$5,12,31)) - MAX($E$2, DATE(Initialisatie!$C$5,1,1)) + 1) &gt; 0, IFERROR(VALUE($E223),0)=0)
    ),
    0,
    SUM(
        IFERROR(VALUE($C223),0) * MAX(0, MIN($C$1, DATE(Initialisatie!$C$5,12,31)) - MAX($C$2, DATE(Initialisatie!$C$5,1,1)) + 1),
        IFERROR(VALUE($D223),0) * MAX(0, MIN($D$1, DATE(Initialisatie!$C$5,12,31)) - MAX($D$2, DATE(Initialisatie!$C$5,1,1)) + 1),
        IFERROR(VALUE($E223),0) * MAX(0, MIN($E$1, DATE(Initialisatie!$C$5,12,31)) - MAX($E$2, DATE(Initialisatie!$C$5,1,1)) + 1)
    ) / (DATE(Initialisatie!$C$5,12,31) - DATE(Initialisatie!$C$5,1,1) + 1)
)</f>
        <v>9042.6383561643834</v>
      </c>
      <c r="H223">
        <f>IF(
    OR(
        AND(MAX(0, IF(MIN($C$1, DATE(Initialisatie!$C$5,12,31)) &lt; MAX($C$2, DATE(Initialisatie!$C$5,1,1)), 0, MONTH(MIN($C$1, DATE(Initialisatie!$C$5,12,31))) - MONTH(MAX($C$2, DATE(Initialisatie!$C$5,1,1))) + 1)) &lt;= 0, IFERROR(VALUE($C223),0)=0),
        AND(MAX(0, IF(MIN($D$1, DATE(Initialisatie!$C$5,12,31)) &lt; MAX($D$2, DATE(Initialisatie!$C$5,1,1)), 0, MONTH(MIN($D$1, DATE(Initialisatie!$C$5,12,31))) - MONTH(MAX($D$2, DATE(Initialisatie!$C$5,1,1))) + 1)) &lt;= 0, IFERROR(VALUE($D223),0)=0),
        AND(MAX(0, IF(MIN($E$1, DATE(Initialisatie!$C$5,12,31)) &lt; MAX($E$2, DATE(Initialisatie!$C$5,1,1)), 0, MONTH(MIN($E$1, DATE(Initialisatie!$C$5,12,31))) - MONTH(MAX($E$2, DATE(Initialisatie!$C$5,1,1))) + 1)) &lt;= 0, IFERROR(VALUE($E223),0)=0)
    ),
    0,
    SUM(
        IFERROR(VALUE($C223),0) * MAX(0, IF(MIN($C$1, DATE(Initialisatie!$C$5,12,31)) &lt; MAX($C$2, DATE(Initialisatie!$C$5,1,1)), 0, MONTH(MIN($C$1, DATE(Initialisatie!$C$5,12,31))) - MONTH(MAX($C$2, DATE(Initialisatie!$C$5,1,1))) + 1)),
        IFERROR(VALUE($D223),0) * MAX(0, IF(MIN($D$1, DATE(Initialisatie!$C$5,12,31)) &lt; MAX($D$2, DATE(Initialisatie!$C$5,1,1)), 0, MONTH(MIN($D$1, DATE(Initialisatie!$C$5,12,31))) - MONTH(MAX($D$2, DATE(Initialisatie!$C$5,1,1))) + 1)),
        IFERROR(VALUE($E223),0) * MAX(0, IF(MIN($E$1, DATE(Initialisatie!$C$5,12,31)) &lt; MAX($E$2, DATE(Initialisatie!$C$5,1,1)), 0, MONTH(MIN($E$1, DATE(Initialisatie!$C$5,12,31))) - MONTH(MAX($E$2, DATE(Initialisatie!$C$5,1,1))) + 1))
    ) / 12
)</f>
        <v>9042.25</v>
      </c>
    </row>
    <row r="224" spans="1:8" x14ac:dyDescent="0.45">
      <c r="A224" s="998"/>
      <c r="B224" s="380" t="s">
        <v>517</v>
      </c>
      <c r="C224" t="s">
        <v>1868</v>
      </c>
      <c r="D224" t="s">
        <v>1869</v>
      </c>
      <c r="E224" t="s">
        <v>1870</v>
      </c>
      <c r="G224">
        <f>IF(
    OR(
        AND(MAX(0, MIN($C$1, DATE(Initialisatie!$C$5,12,31)) - MAX($C$2, DATE(Initialisatie!$C$5,1,1)) + 1) &gt; 0, IFERROR(VALUE($C224),0)=0),
        AND(MAX(0, MIN($D$1, DATE(Initialisatie!$C$5,12,31)) - MAX($D$2, DATE(Initialisatie!$C$5,1,1)) + 1) &gt; 0, IFERROR(VALUE($D224),0)=0),
        AND(MAX(0, MIN($E$1, DATE(Initialisatie!$C$5,12,31)) - MAX($E$2, DATE(Initialisatie!$C$5,1,1)) + 1) &gt; 0, IFERROR(VALUE($E224),0)=0)
    ),
    0,
    SUM(
        IFERROR(VALUE($C224),0) * MAX(0, MIN($C$1, DATE(Initialisatie!$C$5,12,31)) - MAX($C$2, DATE(Initialisatie!$C$5,1,1)) + 1),
        IFERROR(VALUE($D224),0) * MAX(0, MIN($D$1, DATE(Initialisatie!$C$5,12,31)) - MAX($D$2, DATE(Initialisatie!$C$5,1,1)) + 1),
        IFERROR(VALUE($E224),0) * MAX(0, MIN($E$1, DATE(Initialisatie!$C$5,12,31)) - MAX($E$2, DATE(Initialisatie!$C$5,1,1)) + 1)
    ) / (DATE(Initialisatie!$C$5,12,31) - DATE(Initialisatie!$C$5,1,1) + 1)
)</f>
        <v>5105.9698630136991</v>
      </c>
      <c r="H224">
        <f>IF(
    OR(
        AND(MAX(0, IF(MIN($C$1, DATE(Initialisatie!$C$5,12,31)) &lt; MAX($C$2, DATE(Initialisatie!$C$5,1,1)), 0, MONTH(MIN($C$1, DATE(Initialisatie!$C$5,12,31))) - MONTH(MAX($C$2, DATE(Initialisatie!$C$5,1,1))) + 1)) &lt;= 0, IFERROR(VALUE($C224),0)=0),
        AND(MAX(0, IF(MIN($D$1, DATE(Initialisatie!$C$5,12,31)) &lt; MAX($D$2, DATE(Initialisatie!$C$5,1,1)), 0, MONTH(MIN($D$1, DATE(Initialisatie!$C$5,12,31))) - MONTH(MAX($D$2, DATE(Initialisatie!$C$5,1,1))) + 1)) &lt;= 0, IFERROR(VALUE($D224),0)=0),
        AND(MAX(0, IF(MIN($E$1, DATE(Initialisatie!$C$5,12,31)) &lt; MAX($E$2, DATE(Initialisatie!$C$5,1,1)), 0, MONTH(MIN($E$1, DATE(Initialisatie!$C$5,12,31))) - MONTH(MAX($E$2, DATE(Initialisatie!$C$5,1,1))) + 1)) &lt;= 0, IFERROR(VALUE($E224),0)=0)
    ),
    0,
    SUM(
        IFERROR(VALUE($C224),0) * MAX(0, IF(MIN($C$1, DATE(Initialisatie!$C$5,12,31)) &lt; MAX($C$2, DATE(Initialisatie!$C$5,1,1)), 0, MONTH(MIN($C$1, DATE(Initialisatie!$C$5,12,31))) - MONTH(MAX($C$2, DATE(Initialisatie!$C$5,1,1))) + 1)),
        IFERROR(VALUE($D224),0) * MAX(0, IF(MIN($D$1, DATE(Initialisatie!$C$5,12,31)) &lt; MAX($D$2, DATE(Initialisatie!$C$5,1,1)), 0, MONTH(MIN($D$1, DATE(Initialisatie!$C$5,12,31))) - MONTH(MAX($D$2, DATE(Initialisatie!$C$5,1,1))) + 1)),
        IFERROR(VALUE($E224),0) * MAX(0, IF(MIN($E$1, DATE(Initialisatie!$C$5,12,31)) &lt; MAX($E$2, DATE(Initialisatie!$C$5,1,1)), 0, MONTH(MIN($E$1, DATE(Initialisatie!$C$5,12,31))) - MONTH(MAX($E$2, DATE(Initialisatie!$C$5,1,1))) + 1))
    ) / 12
)</f>
        <v>5105.75</v>
      </c>
    </row>
    <row r="225" spans="1:8" x14ac:dyDescent="0.45">
      <c r="A225" s="996">
        <v>14</v>
      </c>
      <c r="B225" s="380">
        <v>0</v>
      </c>
      <c r="C225" t="s">
        <v>1816</v>
      </c>
      <c r="D225" t="s">
        <v>1817</v>
      </c>
      <c r="E225" t="s">
        <v>1818</v>
      </c>
      <c r="G225">
        <f>IF(
    OR(
        AND(MAX(0, MIN($C$1, DATE(Initialisatie!$C$5,12,31)) - MAX($C$2, DATE(Initialisatie!$C$5,1,1)) + 1) &gt; 0, IFERROR(VALUE($C225),0)=0),
        AND(MAX(0, MIN($D$1, DATE(Initialisatie!$C$5,12,31)) - MAX($D$2, DATE(Initialisatie!$C$5,1,1)) + 1) &gt; 0, IFERROR(VALUE($D225),0)=0),
        AND(MAX(0, MIN($E$1, DATE(Initialisatie!$C$5,12,31)) - MAX($E$2, DATE(Initialisatie!$C$5,1,1)) + 1) &gt; 0, IFERROR(VALUE($E225),0)=0)
    ),
    0,
    SUM(
        IFERROR(VALUE($C225),0) * MAX(0, MIN($C$1, DATE(Initialisatie!$C$5,12,31)) - MAX($C$2, DATE(Initialisatie!$C$5,1,1)) + 1),
        IFERROR(VALUE($D225),0) * MAX(0, MIN($D$1, DATE(Initialisatie!$C$5,12,31)) - MAX($D$2, DATE(Initialisatie!$C$5,1,1)) + 1),
        IFERROR(VALUE($E225),0) * MAX(0, MIN($E$1, DATE(Initialisatie!$C$5,12,31)) - MAX($E$2, DATE(Initialisatie!$C$5,1,1)) + 1)
    ) / (DATE(Initialisatie!$C$5,12,31) - DATE(Initialisatie!$C$5,1,1) + 1)
)</f>
        <v>5538.2383561643837</v>
      </c>
      <c r="H225">
        <f>IF(
    OR(
        AND(MAX(0, IF(MIN($C$1, DATE(Initialisatie!$C$5,12,31)) &lt; MAX($C$2, DATE(Initialisatie!$C$5,1,1)), 0, MONTH(MIN($C$1, DATE(Initialisatie!$C$5,12,31))) - MONTH(MAX($C$2, DATE(Initialisatie!$C$5,1,1))) + 1)) &lt;= 0, IFERROR(VALUE($C225),0)=0),
        AND(MAX(0, IF(MIN($D$1, DATE(Initialisatie!$C$5,12,31)) &lt; MAX($D$2, DATE(Initialisatie!$C$5,1,1)), 0, MONTH(MIN($D$1, DATE(Initialisatie!$C$5,12,31))) - MONTH(MAX($D$2, DATE(Initialisatie!$C$5,1,1))) + 1)) &lt;= 0, IFERROR(VALUE($D225),0)=0),
        AND(MAX(0, IF(MIN($E$1, DATE(Initialisatie!$C$5,12,31)) &lt; MAX($E$2, DATE(Initialisatie!$C$5,1,1)), 0, MONTH(MIN($E$1, DATE(Initialisatie!$C$5,12,31))) - MONTH(MAX($E$2, DATE(Initialisatie!$C$5,1,1))) + 1)) &lt;= 0, IFERROR(VALUE($E225),0)=0)
    ),
    0,
    SUM(
        IFERROR(VALUE($C225),0) * MAX(0, IF(MIN($C$1, DATE(Initialisatie!$C$5,12,31)) &lt; MAX($C$2, DATE(Initialisatie!$C$5,1,1)), 0, MONTH(MIN($C$1, DATE(Initialisatie!$C$5,12,31))) - MONTH(MAX($C$2, DATE(Initialisatie!$C$5,1,1))) + 1)),
        IFERROR(VALUE($D225),0) * MAX(0, IF(MIN($D$1, DATE(Initialisatie!$C$5,12,31)) &lt; MAX($D$2, DATE(Initialisatie!$C$5,1,1)), 0, MONTH(MIN($D$1, DATE(Initialisatie!$C$5,12,31))) - MONTH(MAX($D$2, DATE(Initialisatie!$C$5,1,1))) + 1)),
        IFERROR(VALUE($E225),0) * MAX(0, IF(MIN($E$1, DATE(Initialisatie!$C$5,12,31)) &lt; MAX($E$2, DATE(Initialisatie!$C$5,1,1)), 0, MONTH(MIN($E$1, DATE(Initialisatie!$C$5,12,31))) - MONTH(MAX($E$2, DATE(Initialisatie!$C$5,1,1))) + 1))
    ) / 12
)</f>
        <v>5538</v>
      </c>
    </row>
    <row r="226" spans="1:8" x14ac:dyDescent="0.45">
      <c r="A226" s="997"/>
      <c r="B226" s="380">
        <v>1</v>
      </c>
      <c r="C226" t="s">
        <v>1819</v>
      </c>
      <c r="D226" t="s">
        <v>1820</v>
      </c>
      <c r="E226" t="s">
        <v>1821</v>
      </c>
      <c r="G226">
        <f>IF(
    OR(
        AND(MAX(0, MIN($C$1, DATE(Initialisatie!$C$5,12,31)) - MAX($C$2, DATE(Initialisatie!$C$5,1,1)) + 1) &gt; 0, IFERROR(VALUE($C226),0)=0),
        AND(MAX(0, MIN($D$1, DATE(Initialisatie!$C$5,12,31)) - MAX($D$2, DATE(Initialisatie!$C$5,1,1)) + 1) &gt; 0, IFERROR(VALUE($D226),0)=0),
        AND(MAX(0, MIN($E$1, DATE(Initialisatie!$C$5,12,31)) - MAX($E$2, DATE(Initialisatie!$C$5,1,1)) + 1) &gt; 0, IFERROR(VALUE($E226),0)=0)
    ),
    0,
    SUM(
        IFERROR(VALUE($C226),0) * MAX(0, MIN($C$1, DATE(Initialisatie!$C$5,12,31)) - MAX($C$2, DATE(Initialisatie!$C$5,1,1)) + 1),
        IFERROR(VALUE($D226),0) * MAX(0, MIN($D$1, DATE(Initialisatie!$C$5,12,31)) - MAX($D$2, DATE(Initialisatie!$C$5,1,1)) + 1),
        IFERROR(VALUE($E226),0) * MAX(0, MIN($E$1, DATE(Initialisatie!$C$5,12,31)) - MAX($E$2, DATE(Initialisatie!$C$5,1,1)) + 1)
    ) / (DATE(Initialisatie!$C$5,12,31) - DATE(Initialisatie!$C$5,1,1) + 1)
)</f>
        <v>5735.2465753424658</v>
      </c>
      <c r="H226">
        <f>IF(
    OR(
        AND(MAX(0, IF(MIN($C$1, DATE(Initialisatie!$C$5,12,31)) &lt; MAX($C$2, DATE(Initialisatie!$C$5,1,1)), 0, MONTH(MIN($C$1, DATE(Initialisatie!$C$5,12,31))) - MONTH(MAX($C$2, DATE(Initialisatie!$C$5,1,1))) + 1)) &lt;= 0, IFERROR(VALUE($C226),0)=0),
        AND(MAX(0, IF(MIN($D$1, DATE(Initialisatie!$C$5,12,31)) &lt; MAX($D$2, DATE(Initialisatie!$C$5,1,1)), 0, MONTH(MIN($D$1, DATE(Initialisatie!$C$5,12,31))) - MONTH(MAX($D$2, DATE(Initialisatie!$C$5,1,1))) + 1)) &lt;= 0, IFERROR(VALUE($D226),0)=0),
        AND(MAX(0, IF(MIN($E$1, DATE(Initialisatie!$C$5,12,31)) &lt; MAX($E$2, DATE(Initialisatie!$C$5,1,1)), 0, MONTH(MIN($E$1, DATE(Initialisatie!$C$5,12,31))) - MONTH(MAX($E$2, DATE(Initialisatie!$C$5,1,1))) + 1)) &lt;= 0, IFERROR(VALUE($E226),0)=0)
    ),
    0,
    SUM(
        IFERROR(VALUE($C226),0) * MAX(0, IF(MIN($C$1, DATE(Initialisatie!$C$5,12,31)) &lt; MAX($C$2, DATE(Initialisatie!$C$5,1,1)), 0, MONTH(MIN($C$1, DATE(Initialisatie!$C$5,12,31))) - MONTH(MAX($C$2, DATE(Initialisatie!$C$5,1,1))) + 1)),
        IFERROR(VALUE($D226),0) * MAX(0, IF(MIN($D$1, DATE(Initialisatie!$C$5,12,31)) &lt; MAX($D$2, DATE(Initialisatie!$C$5,1,1)), 0, MONTH(MIN($D$1, DATE(Initialisatie!$C$5,12,31))) - MONTH(MAX($D$2, DATE(Initialisatie!$C$5,1,1))) + 1)),
        IFERROR(VALUE($E226),0) * MAX(0, IF(MIN($E$1, DATE(Initialisatie!$C$5,12,31)) &lt; MAX($E$2, DATE(Initialisatie!$C$5,1,1)), 0, MONTH(MIN($E$1, DATE(Initialisatie!$C$5,12,31))) - MONTH(MAX($E$2, DATE(Initialisatie!$C$5,1,1))) + 1))
    ) / 12
)</f>
        <v>5735</v>
      </c>
    </row>
    <row r="227" spans="1:8" x14ac:dyDescent="0.45">
      <c r="A227" s="997"/>
      <c r="B227" s="380">
        <v>2</v>
      </c>
      <c r="C227" t="s">
        <v>1825</v>
      </c>
      <c r="D227" t="s">
        <v>1826</v>
      </c>
      <c r="E227" t="s">
        <v>1827</v>
      </c>
      <c r="G227">
        <f>IF(
    OR(
        AND(MAX(0, MIN($C$1, DATE(Initialisatie!$C$5,12,31)) - MAX($C$2, DATE(Initialisatie!$C$5,1,1)) + 1) &gt; 0, IFERROR(VALUE($C227),0)=0),
        AND(MAX(0, MIN($D$1, DATE(Initialisatie!$C$5,12,31)) - MAX($D$2, DATE(Initialisatie!$C$5,1,1)) + 1) &gt; 0, IFERROR(VALUE($D227),0)=0),
        AND(MAX(0, MIN($E$1, DATE(Initialisatie!$C$5,12,31)) - MAX($E$2, DATE(Initialisatie!$C$5,1,1)) + 1) &gt; 0, IFERROR(VALUE($E227),0)=0)
    ),
    0,
    SUM(
        IFERROR(VALUE($C227),0) * MAX(0, MIN($C$1, DATE(Initialisatie!$C$5,12,31)) - MAX($C$2, DATE(Initialisatie!$C$5,1,1)) + 1),
        IFERROR(VALUE($D227),0) * MAX(0, MIN($D$1, DATE(Initialisatie!$C$5,12,31)) - MAX($D$2, DATE(Initialisatie!$C$5,1,1)) + 1),
        IFERROR(VALUE($E227),0) * MAX(0, MIN($E$1, DATE(Initialisatie!$C$5,12,31)) - MAX($E$2, DATE(Initialisatie!$C$5,1,1)) + 1)
    ) / (DATE(Initialisatie!$C$5,12,31) - DATE(Initialisatie!$C$5,1,1) + 1)
)</f>
        <v>5933.2547945205479</v>
      </c>
      <c r="H227">
        <f>IF(
    OR(
        AND(MAX(0, IF(MIN($C$1, DATE(Initialisatie!$C$5,12,31)) &lt; MAX($C$2, DATE(Initialisatie!$C$5,1,1)), 0, MONTH(MIN($C$1, DATE(Initialisatie!$C$5,12,31))) - MONTH(MAX($C$2, DATE(Initialisatie!$C$5,1,1))) + 1)) &lt;= 0, IFERROR(VALUE($C227),0)=0),
        AND(MAX(0, IF(MIN($D$1, DATE(Initialisatie!$C$5,12,31)) &lt; MAX($D$2, DATE(Initialisatie!$C$5,1,1)), 0, MONTH(MIN($D$1, DATE(Initialisatie!$C$5,12,31))) - MONTH(MAX($D$2, DATE(Initialisatie!$C$5,1,1))) + 1)) &lt;= 0, IFERROR(VALUE($D227),0)=0),
        AND(MAX(0, IF(MIN($E$1, DATE(Initialisatie!$C$5,12,31)) &lt; MAX($E$2, DATE(Initialisatie!$C$5,1,1)), 0, MONTH(MIN($E$1, DATE(Initialisatie!$C$5,12,31))) - MONTH(MAX($E$2, DATE(Initialisatie!$C$5,1,1))) + 1)) &lt;= 0, IFERROR(VALUE($E227),0)=0)
    ),
    0,
    SUM(
        IFERROR(VALUE($C227),0) * MAX(0, IF(MIN($C$1, DATE(Initialisatie!$C$5,12,31)) &lt; MAX($C$2, DATE(Initialisatie!$C$5,1,1)), 0, MONTH(MIN($C$1, DATE(Initialisatie!$C$5,12,31))) - MONTH(MAX($C$2, DATE(Initialisatie!$C$5,1,1))) + 1)),
        IFERROR(VALUE($D227),0) * MAX(0, IF(MIN($D$1, DATE(Initialisatie!$C$5,12,31)) &lt; MAX($D$2, DATE(Initialisatie!$C$5,1,1)), 0, MONTH(MIN($D$1, DATE(Initialisatie!$C$5,12,31))) - MONTH(MAX($D$2, DATE(Initialisatie!$C$5,1,1))) + 1)),
        IFERROR(VALUE($E227),0) * MAX(0, IF(MIN($E$1, DATE(Initialisatie!$C$5,12,31)) &lt; MAX($E$2, DATE(Initialisatie!$C$5,1,1)), 0, MONTH(MIN($E$1, DATE(Initialisatie!$C$5,12,31))) - MONTH(MAX($E$2, DATE(Initialisatie!$C$5,1,1))) + 1))
    ) / 12
)</f>
        <v>5933</v>
      </c>
    </row>
    <row r="228" spans="1:8" x14ac:dyDescent="0.45">
      <c r="A228" s="997"/>
      <c r="B228" s="380">
        <v>3</v>
      </c>
      <c r="C228" t="s">
        <v>1828</v>
      </c>
      <c r="D228" t="s">
        <v>1829</v>
      </c>
      <c r="E228" t="s">
        <v>1830</v>
      </c>
      <c r="G228">
        <f>IF(
    OR(
        AND(MAX(0, MIN($C$1, DATE(Initialisatie!$C$5,12,31)) - MAX($C$2, DATE(Initialisatie!$C$5,1,1)) + 1) &gt; 0, IFERROR(VALUE($C228),0)=0),
        AND(MAX(0, MIN($D$1, DATE(Initialisatie!$C$5,12,31)) - MAX($D$2, DATE(Initialisatie!$C$5,1,1)) + 1) &gt; 0, IFERROR(VALUE($D228),0)=0),
        AND(MAX(0, MIN($E$1, DATE(Initialisatie!$C$5,12,31)) - MAX($E$2, DATE(Initialisatie!$C$5,1,1)) + 1) &gt; 0, IFERROR(VALUE($E228),0)=0)
    ),
    0,
    SUM(
        IFERROR(VALUE($C228),0) * MAX(0, MIN($C$1, DATE(Initialisatie!$C$5,12,31)) - MAX($C$2, DATE(Initialisatie!$C$5,1,1)) + 1),
        IFERROR(VALUE($D228),0) * MAX(0, MIN($D$1, DATE(Initialisatie!$C$5,12,31)) - MAX($D$2, DATE(Initialisatie!$C$5,1,1)) + 1),
        IFERROR(VALUE($E228),0) * MAX(0, MIN($E$1, DATE(Initialisatie!$C$5,12,31)) - MAX($E$2, DATE(Initialisatie!$C$5,1,1)) + 1)
    ) / (DATE(Initialisatie!$C$5,12,31) - DATE(Initialisatie!$C$5,1,1) + 1)
)</f>
        <v>6144.2630136986299</v>
      </c>
      <c r="H228">
        <f>IF(
    OR(
        AND(MAX(0, IF(MIN($C$1, DATE(Initialisatie!$C$5,12,31)) &lt; MAX($C$2, DATE(Initialisatie!$C$5,1,1)), 0, MONTH(MIN($C$1, DATE(Initialisatie!$C$5,12,31))) - MONTH(MAX($C$2, DATE(Initialisatie!$C$5,1,1))) + 1)) &lt;= 0, IFERROR(VALUE($C228),0)=0),
        AND(MAX(0, IF(MIN($D$1, DATE(Initialisatie!$C$5,12,31)) &lt; MAX($D$2, DATE(Initialisatie!$C$5,1,1)), 0, MONTH(MIN($D$1, DATE(Initialisatie!$C$5,12,31))) - MONTH(MAX($D$2, DATE(Initialisatie!$C$5,1,1))) + 1)) &lt;= 0, IFERROR(VALUE($D228),0)=0),
        AND(MAX(0, IF(MIN($E$1, DATE(Initialisatie!$C$5,12,31)) &lt; MAX($E$2, DATE(Initialisatie!$C$5,1,1)), 0, MONTH(MIN($E$1, DATE(Initialisatie!$C$5,12,31))) - MONTH(MAX($E$2, DATE(Initialisatie!$C$5,1,1))) + 1)) &lt;= 0, IFERROR(VALUE($E228),0)=0)
    ),
    0,
    SUM(
        IFERROR(VALUE($C228),0) * MAX(0, IF(MIN($C$1, DATE(Initialisatie!$C$5,12,31)) &lt; MAX($C$2, DATE(Initialisatie!$C$5,1,1)), 0, MONTH(MIN($C$1, DATE(Initialisatie!$C$5,12,31))) - MONTH(MAX($C$2, DATE(Initialisatie!$C$5,1,1))) + 1)),
        IFERROR(VALUE($D228),0) * MAX(0, IF(MIN($D$1, DATE(Initialisatie!$C$5,12,31)) &lt; MAX($D$2, DATE(Initialisatie!$C$5,1,1)), 0, MONTH(MIN($D$1, DATE(Initialisatie!$C$5,12,31))) - MONTH(MAX($D$2, DATE(Initialisatie!$C$5,1,1))) + 1)),
        IFERROR(VALUE($E228),0) * MAX(0, IF(MIN($E$1, DATE(Initialisatie!$C$5,12,31)) &lt; MAX($E$2, DATE(Initialisatie!$C$5,1,1)), 0, MONTH(MIN($E$1, DATE(Initialisatie!$C$5,12,31))) - MONTH(MAX($E$2, DATE(Initialisatie!$C$5,1,1))) + 1))
    ) / 12
)</f>
        <v>6144</v>
      </c>
    </row>
    <row r="229" spans="1:8" x14ac:dyDescent="0.45">
      <c r="A229" s="997"/>
      <c r="B229" s="380">
        <v>4</v>
      </c>
      <c r="C229" t="s">
        <v>1831</v>
      </c>
      <c r="D229" t="s">
        <v>1832</v>
      </c>
      <c r="E229" t="s">
        <v>1833</v>
      </c>
      <c r="G229">
        <f>IF(
    OR(
        AND(MAX(0, MIN($C$1, DATE(Initialisatie!$C$5,12,31)) - MAX($C$2, DATE(Initialisatie!$C$5,1,1)) + 1) &gt; 0, IFERROR(VALUE($C229),0)=0),
        AND(MAX(0, MIN($D$1, DATE(Initialisatie!$C$5,12,31)) - MAX($D$2, DATE(Initialisatie!$C$5,1,1)) + 1) &gt; 0, IFERROR(VALUE($D229),0)=0),
        AND(MAX(0, MIN($E$1, DATE(Initialisatie!$C$5,12,31)) - MAX($E$2, DATE(Initialisatie!$C$5,1,1)) + 1) &gt; 0, IFERROR(VALUE($E229),0)=0)
    ),
    0,
    SUM(
        IFERROR(VALUE($C229),0) * MAX(0, MIN($C$1, DATE(Initialisatie!$C$5,12,31)) - MAX($C$2, DATE(Initialisatie!$C$5,1,1)) + 1),
        IFERROR(VALUE($D229),0) * MAX(0, MIN($D$1, DATE(Initialisatie!$C$5,12,31)) - MAX($D$2, DATE(Initialisatie!$C$5,1,1)) + 1),
        IFERROR(VALUE($E229),0) * MAX(0, MIN($E$1, DATE(Initialisatie!$C$5,12,31)) - MAX($E$2, DATE(Initialisatie!$C$5,1,1)) + 1)
    ) / (DATE(Initialisatie!$C$5,12,31) - DATE(Initialisatie!$C$5,1,1) + 1)
)</f>
        <v>6354.5232876712325</v>
      </c>
      <c r="H229">
        <f>IF(
    OR(
        AND(MAX(0, IF(MIN($C$1, DATE(Initialisatie!$C$5,12,31)) &lt; MAX($C$2, DATE(Initialisatie!$C$5,1,1)), 0, MONTH(MIN($C$1, DATE(Initialisatie!$C$5,12,31))) - MONTH(MAX($C$2, DATE(Initialisatie!$C$5,1,1))) + 1)) &lt;= 0, IFERROR(VALUE($C229),0)=0),
        AND(MAX(0, IF(MIN($D$1, DATE(Initialisatie!$C$5,12,31)) &lt; MAX($D$2, DATE(Initialisatie!$C$5,1,1)), 0, MONTH(MIN($D$1, DATE(Initialisatie!$C$5,12,31))) - MONTH(MAX($D$2, DATE(Initialisatie!$C$5,1,1))) + 1)) &lt;= 0, IFERROR(VALUE($D229),0)=0),
        AND(MAX(0, IF(MIN($E$1, DATE(Initialisatie!$C$5,12,31)) &lt; MAX($E$2, DATE(Initialisatie!$C$5,1,1)), 0, MONTH(MIN($E$1, DATE(Initialisatie!$C$5,12,31))) - MONTH(MAX($E$2, DATE(Initialisatie!$C$5,1,1))) + 1)) &lt;= 0, IFERROR(VALUE($E229),0)=0)
    ),
    0,
    SUM(
        IFERROR(VALUE($C229),0) * MAX(0, IF(MIN($C$1, DATE(Initialisatie!$C$5,12,31)) &lt; MAX($C$2, DATE(Initialisatie!$C$5,1,1)), 0, MONTH(MIN($C$1, DATE(Initialisatie!$C$5,12,31))) - MONTH(MAX($C$2, DATE(Initialisatie!$C$5,1,1))) + 1)),
        IFERROR(VALUE($D229),0) * MAX(0, IF(MIN($D$1, DATE(Initialisatie!$C$5,12,31)) &lt; MAX($D$2, DATE(Initialisatie!$C$5,1,1)), 0, MONTH(MIN($D$1, DATE(Initialisatie!$C$5,12,31))) - MONTH(MAX($D$2, DATE(Initialisatie!$C$5,1,1))) + 1)),
        IFERROR(VALUE($E229),0) * MAX(0, IF(MIN($E$1, DATE(Initialisatie!$C$5,12,31)) &lt; MAX($E$2, DATE(Initialisatie!$C$5,1,1)), 0, MONTH(MIN($E$1, DATE(Initialisatie!$C$5,12,31))) - MONTH(MAX($E$2, DATE(Initialisatie!$C$5,1,1))) + 1))
    ) / 12
)</f>
        <v>6354.25</v>
      </c>
    </row>
    <row r="230" spans="1:8" x14ac:dyDescent="0.45">
      <c r="A230" s="997"/>
      <c r="B230" s="380">
        <v>5</v>
      </c>
      <c r="C230" t="s">
        <v>1836</v>
      </c>
      <c r="D230" t="s">
        <v>1837</v>
      </c>
      <c r="E230" t="s">
        <v>1838</v>
      </c>
      <c r="G230">
        <f>IF(
    OR(
        AND(MAX(0, MIN($C$1, DATE(Initialisatie!$C$5,12,31)) - MAX($C$2, DATE(Initialisatie!$C$5,1,1)) + 1) &gt; 0, IFERROR(VALUE($C230),0)=0),
        AND(MAX(0, MIN($D$1, DATE(Initialisatie!$C$5,12,31)) - MAX($D$2, DATE(Initialisatie!$C$5,1,1)) + 1) &gt; 0, IFERROR(VALUE($D230),0)=0),
        AND(MAX(0, MIN($E$1, DATE(Initialisatie!$C$5,12,31)) - MAX($E$2, DATE(Initialisatie!$C$5,1,1)) + 1) &gt; 0, IFERROR(VALUE($E230),0)=0)
    ),
    0,
    SUM(
        IFERROR(VALUE($C230),0) * MAX(0, MIN($C$1, DATE(Initialisatie!$C$5,12,31)) - MAX($C$2, DATE(Initialisatie!$C$5,1,1)) + 1),
        IFERROR(VALUE($D230),0) * MAX(0, MIN($D$1, DATE(Initialisatie!$C$5,12,31)) - MAX($D$2, DATE(Initialisatie!$C$5,1,1)) + 1),
        IFERROR(VALUE($E230),0) * MAX(0, MIN($E$1, DATE(Initialisatie!$C$5,12,31)) - MAX($E$2, DATE(Initialisatie!$C$5,1,1)) + 1)
    ) / (DATE(Initialisatie!$C$5,12,31) - DATE(Initialisatie!$C$5,1,1) + 1)
)</f>
        <v>6577.5315068493155</v>
      </c>
      <c r="H230">
        <f>IF(
    OR(
        AND(MAX(0, IF(MIN($C$1, DATE(Initialisatie!$C$5,12,31)) &lt; MAX($C$2, DATE(Initialisatie!$C$5,1,1)), 0, MONTH(MIN($C$1, DATE(Initialisatie!$C$5,12,31))) - MONTH(MAX($C$2, DATE(Initialisatie!$C$5,1,1))) + 1)) &lt;= 0, IFERROR(VALUE($C230),0)=0),
        AND(MAX(0, IF(MIN($D$1, DATE(Initialisatie!$C$5,12,31)) &lt; MAX($D$2, DATE(Initialisatie!$C$5,1,1)), 0, MONTH(MIN($D$1, DATE(Initialisatie!$C$5,12,31))) - MONTH(MAX($D$2, DATE(Initialisatie!$C$5,1,1))) + 1)) &lt;= 0, IFERROR(VALUE($D230),0)=0),
        AND(MAX(0, IF(MIN($E$1, DATE(Initialisatie!$C$5,12,31)) &lt; MAX($E$2, DATE(Initialisatie!$C$5,1,1)), 0, MONTH(MIN($E$1, DATE(Initialisatie!$C$5,12,31))) - MONTH(MAX($E$2, DATE(Initialisatie!$C$5,1,1))) + 1)) &lt;= 0, IFERROR(VALUE($E230),0)=0)
    ),
    0,
    SUM(
        IFERROR(VALUE($C230),0) * MAX(0, IF(MIN($C$1, DATE(Initialisatie!$C$5,12,31)) &lt; MAX($C$2, DATE(Initialisatie!$C$5,1,1)), 0, MONTH(MIN($C$1, DATE(Initialisatie!$C$5,12,31))) - MONTH(MAX($C$2, DATE(Initialisatie!$C$5,1,1))) + 1)),
        IFERROR(VALUE($D230),0) * MAX(0, IF(MIN($D$1, DATE(Initialisatie!$C$5,12,31)) &lt; MAX($D$2, DATE(Initialisatie!$C$5,1,1)), 0, MONTH(MIN($D$1, DATE(Initialisatie!$C$5,12,31))) - MONTH(MAX($D$2, DATE(Initialisatie!$C$5,1,1))) + 1)),
        IFERROR(VALUE($E230),0) * MAX(0, IF(MIN($E$1, DATE(Initialisatie!$C$5,12,31)) &lt; MAX($E$2, DATE(Initialisatie!$C$5,1,1)), 0, MONTH(MIN($E$1, DATE(Initialisatie!$C$5,12,31))) - MONTH(MAX($E$2, DATE(Initialisatie!$C$5,1,1))) + 1))
    ) / 12
)</f>
        <v>6577.25</v>
      </c>
    </row>
    <row r="231" spans="1:8" x14ac:dyDescent="0.45">
      <c r="A231" s="997"/>
      <c r="B231" s="380">
        <v>6</v>
      </c>
      <c r="C231" t="s">
        <v>1839</v>
      </c>
      <c r="D231" t="s">
        <v>1840</v>
      </c>
      <c r="E231" t="s">
        <v>1841</v>
      </c>
      <c r="G231">
        <f>IF(
    OR(
        AND(MAX(0, MIN($C$1, DATE(Initialisatie!$C$5,12,31)) - MAX($C$2, DATE(Initialisatie!$C$5,1,1)) + 1) &gt; 0, IFERROR(VALUE($C231),0)=0),
        AND(MAX(0, MIN($D$1, DATE(Initialisatie!$C$5,12,31)) - MAX($D$2, DATE(Initialisatie!$C$5,1,1)) + 1) &gt; 0, IFERROR(VALUE($D231),0)=0),
        AND(MAX(0, MIN($E$1, DATE(Initialisatie!$C$5,12,31)) - MAX($E$2, DATE(Initialisatie!$C$5,1,1)) + 1) &gt; 0, IFERROR(VALUE($E231),0)=0)
    ),
    0,
    SUM(
        IFERROR(VALUE($C231),0) * MAX(0, MIN($C$1, DATE(Initialisatie!$C$5,12,31)) - MAX($C$2, DATE(Initialisatie!$C$5,1,1)) + 1),
        IFERROR(VALUE($D231),0) * MAX(0, MIN($D$1, DATE(Initialisatie!$C$5,12,31)) - MAX($D$2, DATE(Initialisatie!$C$5,1,1)) + 1),
        IFERROR(VALUE($E231),0) * MAX(0, MIN($E$1, DATE(Initialisatie!$C$5,12,31)) - MAX($E$2, DATE(Initialisatie!$C$5,1,1)) + 1)
    ) / (DATE(Initialisatie!$C$5,12,31) - DATE(Initialisatie!$C$5,1,1) + 1)
)</f>
        <v>6813.7917808219181</v>
      </c>
      <c r="H231">
        <f>IF(
    OR(
        AND(MAX(0, IF(MIN($C$1, DATE(Initialisatie!$C$5,12,31)) &lt; MAX($C$2, DATE(Initialisatie!$C$5,1,1)), 0, MONTH(MIN($C$1, DATE(Initialisatie!$C$5,12,31))) - MONTH(MAX($C$2, DATE(Initialisatie!$C$5,1,1))) + 1)) &lt;= 0, IFERROR(VALUE($C231),0)=0),
        AND(MAX(0, IF(MIN($D$1, DATE(Initialisatie!$C$5,12,31)) &lt; MAX($D$2, DATE(Initialisatie!$C$5,1,1)), 0, MONTH(MIN($D$1, DATE(Initialisatie!$C$5,12,31))) - MONTH(MAX($D$2, DATE(Initialisatie!$C$5,1,1))) + 1)) &lt;= 0, IFERROR(VALUE($D231),0)=0),
        AND(MAX(0, IF(MIN($E$1, DATE(Initialisatie!$C$5,12,31)) &lt; MAX($E$2, DATE(Initialisatie!$C$5,1,1)), 0, MONTH(MIN($E$1, DATE(Initialisatie!$C$5,12,31))) - MONTH(MAX($E$2, DATE(Initialisatie!$C$5,1,1))) + 1)) &lt;= 0, IFERROR(VALUE($E231),0)=0)
    ),
    0,
    SUM(
        IFERROR(VALUE($C231),0) * MAX(0, IF(MIN($C$1, DATE(Initialisatie!$C$5,12,31)) &lt; MAX($C$2, DATE(Initialisatie!$C$5,1,1)), 0, MONTH(MIN($C$1, DATE(Initialisatie!$C$5,12,31))) - MONTH(MAX($C$2, DATE(Initialisatie!$C$5,1,1))) + 1)),
        IFERROR(VALUE($D231),0) * MAX(0, IF(MIN($D$1, DATE(Initialisatie!$C$5,12,31)) &lt; MAX($D$2, DATE(Initialisatie!$C$5,1,1)), 0, MONTH(MIN($D$1, DATE(Initialisatie!$C$5,12,31))) - MONTH(MAX($D$2, DATE(Initialisatie!$C$5,1,1))) + 1)),
        IFERROR(VALUE($E231),0) * MAX(0, IF(MIN($E$1, DATE(Initialisatie!$C$5,12,31)) &lt; MAX($E$2, DATE(Initialisatie!$C$5,1,1)), 0, MONTH(MIN($E$1, DATE(Initialisatie!$C$5,12,31))) - MONTH(MAX($E$2, DATE(Initialisatie!$C$5,1,1))) + 1))
    ) / 12
)</f>
        <v>6813.5</v>
      </c>
    </row>
    <row r="232" spans="1:8" x14ac:dyDescent="0.45">
      <c r="A232" s="997"/>
      <c r="B232" s="380">
        <v>7</v>
      </c>
      <c r="C232" t="s">
        <v>1842</v>
      </c>
      <c r="D232" t="s">
        <v>1843</v>
      </c>
      <c r="E232" t="s">
        <v>1670</v>
      </c>
      <c r="G232">
        <f>IF(
    OR(
        AND(MAX(0, MIN($C$1, DATE(Initialisatie!$C$5,12,31)) - MAX($C$2, DATE(Initialisatie!$C$5,1,1)) + 1) &gt; 0, IFERROR(VALUE($C232),0)=0),
        AND(MAX(0, MIN($D$1, DATE(Initialisatie!$C$5,12,31)) - MAX($D$2, DATE(Initialisatie!$C$5,1,1)) + 1) &gt; 0, IFERROR(VALUE($D232),0)=0),
        AND(MAX(0, MIN($E$1, DATE(Initialisatie!$C$5,12,31)) - MAX($E$2, DATE(Initialisatie!$C$5,1,1)) + 1) &gt; 0, IFERROR(VALUE($E232),0)=0)
    ),
    0,
    SUM(
        IFERROR(VALUE($C232),0) * MAX(0, MIN($C$1, DATE(Initialisatie!$C$5,12,31)) - MAX($C$2, DATE(Initialisatie!$C$5,1,1)) + 1),
        IFERROR(VALUE($D232),0) * MAX(0, MIN($D$1, DATE(Initialisatie!$C$5,12,31)) - MAX($D$2, DATE(Initialisatie!$C$5,1,1)) + 1),
        IFERROR(VALUE($E232),0) * MAX(0, MIN($E$1, DATE(Initialisatie!$C$5,12,31)) - MAX($E$2, DATE(Initialisatie!$C$5,1,1)) + 1)
    ) / (DATE(Initialisatie!$C$5,12,31) - DATE(Initialisatie!$C$5,1,1) + 1)
)</f>
        <v>7054.0520547945207</v>
      </c>
      <c r="H232">
        <f>IF(
    OR(
        AND(MAX(0, IF(MIN($C$1, DATE(Initialisatie!$C$5,12,31)) &lt; MAX($C$2, DATE(Initialisatie!$C$5,1,1)), 0, MONTH(MIN($C$1, DATE(Initialisatie!$C$5,12,31))) - MONTH(MAX($C$2, DATE(Initialisatie!$C$5,1,1))) + 1)) &lt;= 0, IFERROR(VALUE($C232),0)=0),
        AND(MAX(0, IF(MIN($D$1, DATE(Initialisatie!$C$5,12,31)) &lt; MAX($D$2, DATE(Initialisatie!$C$5,1,1)), 0, MONTH(MIN($D$1, DATE(Initialisatie!$C$5,12,31))) - MONTH(MAX($D$2, DATE(Initialisatie!$C$5,1,1))) + 1)) &lt;= 0, IFERROR(VALUE($D232),0)=0),
        AND(MAX(0, IF(MIN($E$1, DATE(Initialisatie!$C$5,12,31)) &lt; MAX($E$2, DATE(Initialisatie!$C$5,1,1)), 0, MONTH(MIN($E$1, DATE(Initialisatie!$C$5,12,31))) - MONTH(MAX($E$2, DATE(Initialisatie!$C$5,1,1))) + 1)) &lt;= 0, IFERROR(VALUE($E232),0)=0)
    ),
    0,
    SUM(
        IFERROR(VALUE($C232),0) * MAX(0, IF(MIN($C$1, DATE(Initialisatie!$C$5,12,31)) &lt; MAX($C$2, DATE(Initialisatie!$C$5,1,1)), 0, MONTH(MIN($C$1, DATE(Initialisatie!$C$5,12,31))) - MONTH(MAX($C$2, DATE(Initialisatie!$C$5,1,1))) + 1)),
        IFERROR(VALUE($D232),0) * MAX(0, IF(MIN($D$1, DATE(Initialisatie!$C$5,12,31)) &lt; MAX($D$2, DATE(Initialisatie!$C$5,1,1)), 0, MONTH(MIN($D$1, DATE(Initialisatie!$C$5,12,31))) - MONTH(MAX($D$2, DATE(Initialisatie!$C$5,1,1))) + 1)),
        IFERROR(VALUE($E232),0) * MAX(0, IF(MIN($E$1, DATE(Initialisatie!$C$5,12,31)) &lt; MAX($E$2, DATE(Initialisatie!$C$5,1,1)), 0, MONTH(MIN($E$1, DATE(Initialisatie!$C$5,12,31))) - MONTH(MAX($E$2, DATE(Initialisatie!$C$5,1,1))) + 1))
    ) / 12
)</f>
        <v>7053.75</v>
      </c>
    </row>
    <row r="233" spans="1:8" x14ac:dyDescent="0.45">
      <c r="A233" s="997"/>
      <c r="B233" s="380">
        <v>8</v>
      </c>
      <c r="C233" t="s">
        <v>1847</v>
      </c>
      <c r="D233" t="s">
        <v>1848</v>
      </c>
      <c r="E233" t="s">
        <v>1849</v>
      </c>
      <c r="G233">
        <f>IF(
    OR(
        AND(MAX(0, MIN($C$1, DATE(Initialisatie!$C$5,12,31)) - MAX($C$2, DATE(Initialisatie!$C$5,1,1)) + 1) &gt; 0, IFERROR(VALUE($C233),0)=0),
        AND(MAX(0, MIN($D$1, DATE(Initialisatie!$C$5,12,31)) - MAX($D$2, DATE(Initialisatie!$C$5,1,1)) + 1) &gt; 0, IFERROR(VALUE($D233),0)=0),
        AND(MAX(0, MIN($E$1, DATE(Initialisatie!$C$5,12,31)) - MAX($E$2, DATE(Initialisatie!$C$5,1,1)) + 1) &gt; 0, IFERROR(VALUE($E233),0)=0)
    ),
    0,
    SUM(
        IFERROR(VALUE($C233),0) * MAX(0, MIN($C$1, DATE(Initialisatie!$C$5,12,31)) - MAX($C$2, DATE(Initialisatie!$C$5,1,1)) + 1),
        IFERROR(VALUE($D233),0) * MAX(0, MIN($D$1, DATE(Initialisatie!$C$5,12,31)) - MAX($D$2, DATE(Initialisatie!$C$5,1,1)) + 1),
        IFERROR(VALUE($E233),0) * MAX(0, MIN($E$1, DATE(Initialisatie!$C$5,12,31)) - MAX($E$2, DATE(Initialisatie!$C$5,1,1)) + 1)
    ) / (DATE(Initialisatie!$C$5,12,31) - DATE(Initialisatie!$C$5,1,1) + 1)
)</f>
        <v>7304.5643835616438</v>
      </c>
      <c r="H233">
        <f>IF(
    OR(
        AND(MAX(0, IF(MIN($C$1, DATE(Initialisatie!$C$5,12,31)) &lt; MAX($C$2, DATE(Initialisatie!$C$5,1,1)), 0, MONTH(MIN($C$1, DATE(Initialisatie!$C$5,12,31))) - MONTH(MAX($C$2, DATE(Initialisatie!$C$5,1,1))) + 1)) &lt;= 0, IFERROR(VALUE($C233),0)=0),
        AND(MAX(0, IF(MIN($D$1, DATE(Initialisatie!$C$5,12,31)) &lt; MAX($D$2, DATE(Initialisatie!$C$5,1,1)), 0, MONTH(MIN($D$1, DATE(Initialisatie!$C$5,12,31))) - MONTH(MAX($D$2, DATE(Initialisatie!$C$5,1,1))) + 1)) &lt;= 0, IFERROR(VALUE($D233),0)=0),
        AND(MAX(0, IF(MIN($E$1, DATE(Initialisatie!$C$5,12,31)) &lt; MAX($E$2, DATE(Initialisatie!$C$5,1,1)), 0, MONTH(MIN($E$1, DATE(Initialisatie!$C$5,12,31))) - MONTH(MAX($E$2, DATE(Initialisatie!$C$5,1,1))) + 1)) &lt;= 0, IFERROR(VALUE($E233),0)=0)
    ),
    0,
    SUM(
        IFERROR(VALUE($C233),0) * MAX(0, IF(MIN($C$1, DATE(Initialisatie!$C$5,12,31)) &lt; MAX($C$2, DATE(Initialisatie!$C$5,1,1)), 0, MONTH(MIN($C$1, DATE(Initialisatie!$C$5,12,31))) - MONTH(MAX($C$2, DATE(Initialisatie!$C$5,1,1))) + 1)),
        IFERROR(VALUE($D233),0) * MAX(0, IF(MIN($D$1, DATE(Initialisatie!$C$5,12,31)) &lt; MAX($D$2, DATE(Initialisatie!$C$5,1,1)), 0, MONTH(MIN($D$1, DATE(Initialisatie!$C$5,12,31))) - MONTH(MAX($D$2, DATE(Initialisatie!$C$5,1,1))) + 1)),
        IFERROR(VALUE($E233),0) * MAX(0, IF(MIN($E$1, DATE(Initialisatie!$C$5,12,31)) &lt; MAX($E$2, DATE(Initialisatie!$C$5,1,1)), 0, MONTH(MIN($E$1, DATE(Initialisatie!$C$5,12,31))) - MONTH(MAX($E$2, DATE(Initialisatie!$C$5,1,1))) + 1))
    ) / 12
)</f>
        <v>7304.25</v>
      </c>
    </row>
    <row r="234" spans="1:8" x14ac:dyDescent="0.45">
      <c r="A234" s="997"/>
      <c r="B234" s="380">
        <v>9</v>
      </c>
      <c r="C234" t="s">
        <v>1850</v>
      </c>
      <c r="D234" t="s">
        <v>1851</v>
      </c>
      <c r="E234" t="s">
        <v>1852</v>
      </c>
      <c r="G234">
        <f>IF(
    OR(
        AND(MAX(0, MIN($C$1, DATE(Initialisatie!$C$5,12,31)) - MAX($C$2, DATE(Initialisatie!$C$5,1,1)) + 1) &gt; 0, IFERROR(VALUE($C234),0)=0),
        AND(MAX(0, MIN($D$1, DATE(Initialisatie!$C$5,12,31)) - MAX($D$2, DATE(Initialisatie!$C$5,1,1)) + 1) &gt; 0, IFERROR(VALUE($D234),0)=0),
        AND(MAX(0, MIN($E$1, DATE(Initialisatie!$C$5,12,31)) - MAX($E$2, DATE(Initialisatie!$C$5,1,1)) + 1) &gt; 0, IFERROR(VALUE($E234),0)=0)
    ),
    0,
    SUM(
        IFERROR(VALUE($C234),0) * MAX(0, MIN($C$1, DATE(Initialisatie!$C$5,12,31)) - MAX($C$2, DATE(Initialisatie!$C$5,1,1)) + 1),
        IFERROR(VALUE($D234),0) * MAX(0, MIN($D$1, DATE(Initialisatie!$C$5,12,31)) - MAX($D$2, DATE(Initialisatie!$C$5,1,1)) + 1),
        IFERROR(VALUE($E234),0) * MAX(0, MIN($E$1, DATE(Initialisatie!$C$5,12,31)) - MAX($E$2, DATE(Initialisatie!$C$5,1,1)) + 1)
    ) / (DATE(Initialisatie!$C$5,12,31) - DATE(Initialisatie!$C$5,1,1) + 1)
)</f>
        <v>7571.8246575342464</v>
      </c>
      <c r="H234">
        <f>IF(
    OR(
        AND(MAX(0, IF(MIN($C$1, DATE(Initialisatie!$C$5,12,31)) &lt; MAX($C$2, DATE(Initialisatie!$C$5,1,1)), 0, MONTH(MIN($C$1, DATE(Initialisatie!$C$5,12,31))) - MONTH(MAX($C$2, DATE(Initialisatie!$C$5,1,1))) + 1)) &lt;= 0, IFERROR(VALUE($C234),0)=0),
        AND(MAX(0, IF(MIN($D$1, DATE(Initialisatie!$C$5,12,31)) &lt; MAX($D$2, DATE(Initialisatie!$C$5,1,1)), 0, MONTH(MIN($D$1, DATE(Initialisatie!$C$5,12,31))) - MONTH(MAX($D$2, DATE(Initialisatie!$C$5,1,1))) + 1)) &lt;= 0, IFERROR(VALUE($D234),0)=0),
        AND(MAX(0, IF(MIN($E$1, DATE(Initialisatie!$C$5,12,31)) &lt; MAX($E$2, DATE(Initialisatie!$C$5,1,1)), 0, MONTH(MIN($E$1, DATE(Initialisatie!$C$5,12,31))) - MONTH(MAX($E$2, DATE(Initialisatie!$C$5,1,1))) + 1)) &lt;= 0, IFERROR(VALUE($E234),0)=0)
    ),
    0,
    SUM(
        IFERROR(VALUE($C234),0) * MAX(0, IF(MIN($C$1, DATE(Initialisatie!$C$5,12,31)) &lt; MAX($C$2, DATE(Initialisatie!$C$5,1,1)), 0, MONTH(MIN($C$1, DATE(Initialisatie!$C$5,12,31))) - MONTH(MAX($C$2, DATE(Initialisatie!$C$5,1,1))) + 1)),
        IFERROR(VALUE($D234),0) * MAX(0, IF(MIN($D$1, DATE(Initialisatie!$C$5,12,31)) &lt; MAX($D$2, DATE(Initialisatie!$C$5,1,1)), 0, MONTH(MIN($D$1, DATE(Initialisatie!$C$5,12,31))) - MONTH(MAX($D$2, DATE(Initialisatie!$C$5,1,1))) + 1)),
        IFERROR(VALUE($E234),0) * MAX(0, IF(MIN($E$1, DATE(Initialisatie!$C$5,12,31)) &lt; MAX($E$2, DATE(Initialisatie!$C$5,1,1)), 0, MONTH(MIN($E$1, DATE(Initialisatie!$C$5,12,31))) - MONTH(MAX($E$2, DATE(Initialisatie!$C$5,1,1))) + 1))
    ) / 12
)</f>
        <v>7571.5</v>
      </c>
    </row>
    <row r="235" spans="1:8" x14ac:dyDescent="0.45">
      <c r="A235" s="997"/>
      <c r="B235" s="380">
        <v>10</v>
      </c>
      <c r="C235" t="s">
        <v>1853</v>
      </c>
      <c r="D235" t="s">
        <v>1854</v>
      </c>
      <c r="E235" t="s">
        <v>1855</v>
      </c>
      <c r="G235">
        <f>IF(
    OR(
        AND(MAX(0, MIN($C$1, DATE(Initialisatie!$C$5,12,31)) - MAX($C$2, DATE(Initialisatie!$C$5,1,1)) + 1) &gt; 0, IFERROR(VALUE($C235),0)=0),
        AND(MAX(0, MIN($D$1, DATE(Initialisatie!$C$5,12,31)) - MAX($D$2, DATE(Initialisatie!$C$5,1,1)) + 1) &gt; 0, IFERROR(VALUE($D235),0)=0),
        AND(MAX(0, MIN($E$1, DATE(Initialisatie!$C$5,12,31)) - MAX($E$2, DATE(Initialisatie!$C$5,1,1)) + 1) &gt; 0, IFERROR(VALUE($E235),0)=0)
    ),
    0,
    SUM(
        IFERROR(VALUE($C235),0) * MAX(0, MIN($C$1, DATE(Initialisatie!$C$5,12,31)) - MAX($C$2, DATE(Initialisatie!$C$5,1,1)) + 1),
        IFERROR(VALUE($D235),0) * MAX(0, MIN($D$1, DATE(Initialisatie!$C$5,12,31)) - MAX($D$2, DATE(Initialisatie!$C$5,1,1)) + 1),
        IFERROR(VALUE($E235),0) * MAX(0, MIN($E$1, DATE(Initialisatie!$C$5,12,31)) - MAX($E$2, DATE(Initialisatie!$C$5,1,1)) + 1)
    ) / (DATE(Initialisatie!$C$5,12,31) - DATE(Initialisatie!$C$5,1,1) + 1)
)</f>
        <v>7849.3369863013695</v>
      </c>
      <c r="H235">
        <f>IF(
    OR(
        AND(MAX(0, IF(MIN($C$1, DATE(Initialisatie!$C$5,12,31)) &lt; MAX($C$2, DATE(Initialisatie!$C$5,1,1)), 0, MONTH(MIN($C$1, DATE(Initialisatie!$C$5,12,31))) - MONTH(MAX($C$2, DATE(Initialisatie!$C$5,1,1))) + 1)) &lt;= 0, IFERROR(VALUE($C235),0)=0),
        AND(MAX(0, IF(MIN($D$1, DATE(Initialisatie!$C$5,12,31)) &lt; MAX($D$2, DATE(Initialisatie!$C$5,1,1)), 0, MONTH(MIN($D$1, DATE(Initialisatie!$C$5,12,31))) - MONTH(MAX($D$2, DATE(Initialisatie!$C$5,1,1))) + 1)) &lt;= 0, IFERROR(VALUE($D235),0)=0),
        AND(MAX(0, IF(MIN($E$1, DATE(Initialisatie!$C$5,12,31)) &lt; MAX($E$2, DATE(Initialisatie!$C$5,1,1)), 0, MONTH(MIN($E$1, DATE(Initialisatie!$C$5,12,31))) - MONTH(MAX($E$2, DATE(Initialisatie!$C$5,1,1))) + 1)) &lt;= 0, IFERROR(VALUE($E235),0)=0)
    ),
    0,
    SUM(
        IFERROR(VALUE($C235),0) * MAX(0, IF(MIN($C$1, DATE(Initialisatie!$C$5,12,31)) &lt; MAX($C$2, DATE(Initialisatie!$C$5,1,1)), 0, MONTH(MIN($C$1, DATE(Initialisatie!$C$5,12,31))) - MONTH(MAX($C$2, DATE(Initialisatie!$C$5,1,1))) + 1)),
        IFERROR(VALUE($D235),0) * MAX(0, IF(MIN($D$1, DATE(Initialisatie!$C$5,12,31)) &lt; MAX($D$2, DATE(Initialisatie!$C$5,1,1)), 0, MONTH(MIN($D$1, DATE(Initialisatie!$C$5,12,31))) - MONTH(MAX($D$2, DATE(Initialisatie!$C$5,1,1))) + 1)),
        IFERROR(VALUE($E235),0) * MAX(0, IF(MIN($E$1, DATE(Initialisatie!$C$5,12,31)) &lt; MAX($E$2, DATE(Initialisatie!$C$5,1,1)), 0, MONTH(MIN($E$1, DATE(Initialisatie!$C$5,12,31))) - MONTH(MAX($E$2, DATE(Initialisatie!$C$5,1,1))) + 1))
    ) / 12
)</f>
        <v>7849</v>
      </c>
    </row>
    <row r="236" spans="1:8" x14ac:dyDescent="0.45">
      <c r="A236" s="997"/>
      <c r="B236" s="380">
        <v>11</v>
      </c>
      <c r="C236" t="s">
        <v>1859</v>
      </c>
      <c r="D236" t="s">
        <v>1860</v>
      </c>
      <c r="E236" t="s">
        <v>1861</v>
      </c>
      <c r="G236">
        <f>IF(
    OR(
        AND(MAX(0, MIN($C$1, DATE(Initialisatie!$C$5,12,31)) - MAX($C$2, DATE(Initialisatie!$C$5,1,1)) + 1) &gt; 0, IFERROR(VALUE($C236),0)=0),
        AND(MAX(0, MIN($D$1, DATE(Initialisatie!$C$5,12,31)) - MAX($D$2, DATE(Initialisatie!$C$5,1,1)) + 1) &gt; 0, IFERROR(VALUE($D236),0)=0),
        AND(MAX(0, MIN($E$1, DATE(Initialisatie!$C$5,12,31)) - MAX($E$2, DATE(Initialisatie!$C$5,1,1)) + 1) &gt; 0, IFERROR(VALUE($E236),0)=0)
    ),
    0,
    SUM(
        IFERROR(VALUE($C236),0) * MAX(0, MIN($C$1, DATE(Initialisatie!$C$5,12,31)) - MAX($C$2, DATE(Initialisatie!$C$5,1,1)) + 1),
        IFERROR(VALUE($D236),0) * MAX(0, MIN($D$1, DATE(Initialisatie!$C$5,12,31)) - MAX($D$2, DATE(Initialisatie!$C$5,1,1)) + 1),
        IFERROR(VALUE($E236),0) * MAX(0, MIN($E$1, DATE(Initialisatie!$C$5,12,31)) - MAX($E$2, DATE(Initialisatie!$C$5,1,1)) + 1)
    ) / (DATE(Initialisatie!$C$5,12,31) - DATE(Initialisatie!$C$5,1,1) + 1)
)</f>
        <v>8140.8493150684935</v>
      </c>
      <c r="H236">
        <f>IF(
    OR(
        AND(MAX(0, IF(MIN($C$1, DATE(Initialisatie!$C$5,12,31)) &lt; MAX($C$2, DATE(Initialisatie!$C$5,1,1)), 0, MONTH(MIN($C$1, DATE(Initialisatie!$C$5,12,31))) - MONTH(MAX($C$2, DATE(Initialisatie!$C$5,1,1))) + 1)) &lt;= 0, IFERROR(VALUE($C236),0)=0),
        AND(MAX(0, IF(MIN($D$1, DATE(Initialisatie!$C$5,12,31)) &lt; MAX($D$2, DATE(Initialisatie!$C$5,1,1)), 0, MONTH(MIN($D$1, DATE(Initialisatie!$C$5,12,31))) - MONTH(MAX($D$2, DATE(Initialisatie!$C$5,1,1))) + 1)) &lt;= 0, IFERROR(VALUE($D236),0)=0),
        AND(MAX(0, IF(MIN($E$1, DATE(Initialisatie!$C$5,12,31)) &lt; MAX($E$2, DATE(Initialisatie!$C$5,1,1)), 0, MONTH(MIN($E$1, DATE(Initialisatie!$C$5,12,31))) - MONTH(MAX($E$2, DATE(Initialisatie!$C$5,1,1))) + 1)) &lt;= 0, IFERROR(VALUE($E236),0)=0)
    ),
    0,
    SUM(
        IFERROR(VALUE($C236),0) * MAX(0, IF(MIN($C$1, DATE(Initialisatie!$C$5,12,31)) &lt; MAX($C$2, DATE(Initialisatie!$C$5,1,1)), 0, MONTH(MIN($C$1, DATE(Initialisatie!$C$5,12,31))) - MONTH(MAX($C$2, DATE(Initialisatie!$C$5,1,1))) + 1)),
        IFERROR(VALUE($D236),0) * MAX(0, IF(MIN($D$1, DATE(Initialisatie!$C$5,12,31)) &lt; MAX($D$2, DATE(Initialisatie!$C$5,1,1)), 0, MONTH(MIN($D$1, DATE(Initialisatie!$C$5,12,31))) - MONTH(MAX($D$2, DATE(Initialisatie!$C$5,1,1))) + 1)),
        IFERROR(VALUE($E236),0) * MAX(0, IF(MIN($E$1, DATE(Initialisatie!$C$5,12,31)) &lt; MAX($E$2, DATE(Initialisatie!$C$5,1,1)), 0, MONTH(MIN($E$1, DATE(Initialisatie!$C$5,12,31))) - MONTH(MAX($E$2, DATE(Initialisatie!$C$5,1,1))) + 1))
    ) / 12
)</f>
        <v>8140.5</v>
      </c>
    </row>
    <row r="237" spans="1:8" x14ac:dyDescent="0.45">
      <c r="A237" s="997"/>
      <c r="B237" s="380">
        <v>12</v>
      </c>
      <c r="C237" t="s">
        <v>1862</v>
      </c>
      <c r="D237" t="s">
        <v>1863</v>
      </c>
      <c r="E237" t="s">
        <v>1864</v>
      </c>
      <c r="G237">
        <f>IF(
    OR(
        AND(MAX(0, MIN($C$1, DATE(Initialisatie!$C$5,12,31)) - MAX($C$2, DATE(Initialisatie!$C$5,1,1)) + 1) &gt; 0, IFERROR(VALUE($C237),0)=0),
        AND(MAX(0, MIN($D$1, DATE(Initialisatie!$C$5,12,31)) - MAX($D$2, DATE(Initialisatie!$C$5,1,1)) + 1) &gt; 0, IFERROR(VALUE($D237),0)=0),
        AND(MAX(0, MIN($E$1, DATE(Initialisatie!$C$5,12,31)) - MAX($E$2, DATE(Initialisatie!$C$5,1,1)) + 1) &gt; 0, IFERROR(VALUE($E237),0)=0)
    ),
    0,
    SUM(
        IFERROR(VALUE($C237),0) * MAX(0, MIN($C$1, DATE(Initialisatie!$C$5,12,31)) - MAX($C$2, DATE(Initialisatie!$C$5,1,1)) + 1),
        IFERROR(VALUE($D237),0) * MAX(0, MIN($D$1, DATE(Initialisatie!$C$5,12,31)) - MAX($D$2, DATE(Initialisatie!$C$5,1,1)) + 1),
        IFERROR(VALUE($E237),0) * MAX(0, MIN($E$1, DATE(Initialisatie!$C$5,12,31)) - MAX($E$2, DATE(Initialisatie!$C$5,1,1)) + 1)
    ) / (DATE(Initialisatie!$C$5,12,31) - DATE(Initialisatie!$C$5,1,1) + 1)
)</f>
        <v>8582.1178082191782</v>
      </c>
      <c r="H237">
        <f>IF(
    OR(
        AND(MAX(0, IF(MIN($C$1, DATE(Initialisatie!$C$5,12,31)) &lt; MAX($C$2, DATE(Initialisatie!$C$5,1,1)), 0, MONTH(MIN($C$1, DATE(Initialisatie!$C$5,12,31))) - MONTH(MAX($C$2, DATE(Initialisatie!$C$5,1,1))) + 1)) &lt;= 0, IFERROR(VALUE($C237),0)=0),
        AND(MAX(0, IF(MIN($D$1, DATE(Initialisatie!$C$5,12,31)) &lt; MAX($D$2, DATE(Initialisatie!$C$5,1,1)), 0, MONTH(MIN($D$1, DATE(Initialisatie!$C$5,12,31))) - MONTH(MAX($D$2, DATE(Initialisatie!$C$5,1,1))) + 1)) &lt;= 0, IFERROR(VALUE($D237),0)=0),
        AND(MAX(0, IF(MIN($E$1, DATE(Initialisatie!$C$5,12,31)) &lt; MAX($E$2, DATE(Initialisatie!$C$5,1,1)), 0, MONTH(MIN($E$1, DATE(Initialisatie!$C$5,12,31))) - MONTH(MAX($E$2, DATE(Initialisatie!$C$5,1,1))) + 1)) &lt;= 0, IFERROR(VALUE($E237),0)=0)
    ),
    0,
    SUM(
        IFERROR(VALUE($C237),0) * MAX(0, IF(MIN($C$1, DATE(Initialisatie!$C$5,12,31)) &lt; MAX($C$2, DATE(Initialisatie!$C$5,1,1)), 0, MONTH(MIN($C$1, DATE(Initialisatie!$C$5,12,31))) - MONTH(MAX($C$2, DATE(Initialisatie!$C$5,1,1))) + 1)),
        IFERROR(VALUE($D237),0) * MAX(0, IF(MIN($D$1, DATE(Initialisatie!$C$5,12,31)) &lt; MAX($D$2, DATE(Initialisatie!$C$5,1,1)), 0, MONTH(MIN($D$1, DATE(Initialisatie!$C$5,12,31))) - MONTH(MAX($D$2, DATE(Initialisatie!$C$5,1,1))) + 1)),
        IFERROR(VALUE($E237),0) * MAX(0, IF(MIN($E$1, DATE(Initialisatie!$C$5,12,31)) &lt; MAX($E$2, DATE(Initialisatie!$C$5,1,1)), 0, MONTH(MIN($E$1, DATE(Initialisatie!$C$5,12,31))) - MONTH(MAX($E$2, DATE(Initialisatie!$C$5,1,1))) + 1))
    ) / 12
)</f>
        <v>8581.75</v>
      </c>
    </row>
    <row r="238" spans="1:8" x14ac:dyDescent="0.45">
      <c r="A238" s="997"/>
      <c r="B238" s="380">
        <v>13</v>
      </c>
      <c r="C238" t="s">
        <v>1865</v>
      </c>
      <c r="D238" t="s">
        <v>1866</v>
      </c>
      <c r="E238" t="s">
        <v>1867</v>
      </c>
      <c r="G238">
        <f>IF(
    OR(
        AND(MAX(0, MIN($C$1, DATE(Initialisatie!$C$5,12,31)) - MAX($C$2, DATE(Initialisatie!$C$5,1,1)) + 1) &gt; 0, IFERROR(VALUE($C238),0)=0),
        AND(MAX(0, MIN($D$1, DATE(Initialisatie!$C$5,12,31)) - MAX($D$2, DATE(Initialisatie!$C$5,1,1)) + 1) &gt; 0, IFERROR(VALUE($D238),0)=0),
        AND(MAX(0, MIN($E$1, DATE(Initialisatie!$C$5,12,31)) - MAX($E$2, DATE(Initialisatie!$C$5,1,1)) + 1) &gt; 0, IFERROR(VALUE($E238),0)=0)
    ),
    0,
    SUM(
        IFERROR(VALUE($C238),0) * MAX(0, MIN($C$1, DATE(Initialisatie!$C$5,12,31)) - MAX($C$2, DATE(Initialisatie!$C$5,1,1)) + 1),
        IFERROR(VALUE($D238),0) * MAX(0, MIN($D$1, DATE(Initialisatie!$C$5,12,31)) - MAX($D$2, DATE(Initialisatie!$C$5,1,1)) + 1),
        IFERROR(VALUE($E238),0) * MAX(0, MIN($E$1, DATE(Initialisatie!$C$5,12,31)) - MAX($E$2, DATE(Initialisatie!$C$5,1,1)) + 1)
    ) / (DATE(Initialisatie!$C$5,12,31) - DATE(Initialisatie!$C$5,1,1) + 1)
)</f>
        <v>9042.6383561643834</v>
      </c>
      <c r="H238">
        <f>IF(
    OR(
        AND(MAX(0, IF(MIN($C$1, DATE(Initialisatie!$C$5,12,31)) &lt; MAX($C$2, DATE(Initialisatie!$C$5,1,1)), 0, MONTH(MIN($C$1, DATE(Initialisatie!$C$5,12,31))) - MONTH(MAX($C$2, DATE(Initialisatie!$C$5,1,1))) + 1)) &lt;= 0, IFERROR(VALUE($C238),0)=0),
        AND(MAX(0, IF(MIN($D$1, DATE(Initialisatie!$C$5,12,31)) &lt; MAX($D$2, DATE(Initialisatie!$C$5,1,1)), 0, MONTH(MIN($D$1, DATE(Initialisatie!$C$5,12,31))) - MONTH(MAX($D$2, DATE(Initialisatie!$C$5,1,1))) + 1)) &lt;= 0, IFERROR(VALUE($D238),0)=0),
        AND(MAX(0, IF(MIN($E$1, DATE(Initialisatie!$C$5,12,31)) &lt; MAX($E$2, DATE(Initialisatie!$C$5,1,1)), 0, MONTH(MIN($E$1, DATE(Initialisatie!$C$5,12,31))) - MONTH(MAX($E$2, DATE(Initialisatie!$C$5,1,1))) + 1)) &lt;= 0, IFERROR(VALUE($E238),0)=0)
    ),
    0,
    SUM(
        IFERROR(VALUE($C238),0) * MAX(0, IF(MIN($C$1, DATE(Initialisatie!$C$5,12,31)) &lt; MAX($C$2, DATE(Initialisatie!$C$5,1,1)), 0, MONTH(MIN($C$1, DATE(Initialisatie!$C$5,12,31))) - MONTH(MAX($C$2, DATE(Initialisatie!$C$5,1,1))) + 1)),
        IFERROR(VALUE($D238),0) * MAX(0, IF(MIN($D$1, DATE(Initialisatie!$C$5,12,31)) &lt; MAX($D$2, DATE(Initialisatie!$C$5,1,1)), 0, MONTH(MIN($D$1, DATE(Initialisatie!$C$5,12,31))) - MONTH(MAX($D$2, DATE(Initialisatie!$C$5,1,1))) + 1)),
        IFERROR(VALUE($E238),0) * MAX(0, IF(MIN($E$1, DATE(Initialisatie!$C$5,12,31)) &lt; MAX($E$2, DATE(Initialisatie!$C$5,1,1)), 0, MONTH(MIN($E$1, DATE(Initialisatie!$C$5,12,31))) - MONTH(MAX($E$2, DATE(Initialisatie!$C$5,1,1))) + 1))
    ) / 12
)</f>
        <v>9042.25</v>
      </c>
    </row>
    <row r="239" spans="1:8" x14ac:dyDescent="0.45">
      <c r="A239" s="997"/>
      <c r="B239" s="380">
        <v>14</v>
      </c>
      <c r="C239" t="s">
        <v>1871</v>
      </c>
      <c r="D239" t="s">
        <v>1321</v>
      </c>
      <c r="E239" t="s">
        <v>1872</v>
      </c>
      <c r="G239">
        <f>IF(
    OR(
        AND(MAX(0, MIN($C$1, DATE(Initialisatie!$C$5,12,31)) - MAX($C$2, DATE(Initialisatie!$C$5,1,1)) + 1) &gt; 0, IFERROR(VALUE($C239),0)=0),
        AND(MAX(0, MIN($D$1, DATE(Initialisatie!$C$5,12,31)) - MAX($D$2, DATE(Initialisatie!$C$5,1,1)) + 1) &gt; 0, IFERROR(VALUE($D239),0)=0),
        AND(MAX(0, MIN($E$1, DATE(Initialisatie!$C$5,12,31)) - MAX($E$2, DATE(Initialisatie!$C$5,1,1)) + 1) &gt; 0, IFERROR(VALUE($E239),0)=0)
    ),
    0,
    SUM(
        IFERROR(VALUE($C239),0) * MAX(0, MIN($C$1, DATE(Initialisatie!$C$5,12,31)) - MAX($C$2, DATE(Initialisatie!$C$5,1,1)) + 1),
        IFERROR(VALUE($D239),0) * MAX(0, MIN($D$1, DATE(Initialisatie!$C$5,12,31)) - MAX($D$2, DATE(Initialisatie!$C$5,1,1)) + 1),
        IFERROR(VALUE($E239),0) * MAX(0, MIN($E$1, DATE(Initialisatie!$C$5,12,31)) - MAX($E$2, DATE(Initialisatie!$C$5,1,1)) + 1)
    ) / (DATE(Initialisatie!$C$5,12,31) - DATE(Initialisatie!$C$5,1,1) + 1)
)</f>
        <v>9527.1589041095885</v>
      </c>
      <c r="H239">
        <f>IF(
    OR(
        AND(MAX(0, IF(MIN($C$1, DATE(Initialisatie!$C$5,12,31)) &lt; MAX($C$2, DATE(Initialisatie!$C$5,1,1)), 0, MONTH(MIN($C$1, DATE(Initialisatie!$C$5,12,31))) - MONTH(MAX($C$2, DATE(Initialisatie!$C$5,1,1))) + 1)) &lt;= 0, IFERROR(VALUE($C239),0)=0),
        AND(MAX(0, IF(MIN($D$1, DATE(Initialisatie!$C$5,12,31)) &lt; MAX($D$2, DATE(Initialisatie!$C$5,1,1)), 0, MONTH(MIN($D$1, DATE(Initialisatie!$C$5,12,31))) - MONTH(MAX($D$2, DATE(Initialisatie!$C$5,1,1))) + 1)) &lt;= 0, IFERROR(VALUE($D239),0)=0),
        AND(MAX(0, IF(MIN($E$1, DATE(Initialisatie!$C$5,12,31)) &lt; MAX($E$2, DATE(Initialisatie!$C$5,1,1)), 0, MONTH(MIN($E$1, DATE(Initialisatie!$C$5,12,31))) - MONTH(MAX($E$2, DATE(Initialisatie!$C$5,1,1))) + 1)) &lt;= 0, IFERROR(VALUE($E239),0)=0)
    ),
    0,
    SUM(
        IFERROR(VALUE($C239),0) * MAX(0, IF(MIN($C$1, DATE(Initialisatie!$C$5,12,31)) &lt; MAX($C$2, DATE(Initialisatie!$C$5,1,1)), 0, MONTH(MIN($C$1, DATE(Initialisatie!$C$5,12,31))) - MONTH(MAX($C$2, DATE(Initialisatie!$C$5,1,1))) + 1)),
        IFERROR(VALUE($D239),0) * MAX(0, IF(MIN($D$1, DATE(Initialisatie!$C$5,12,31)) &lt; MAX($D$2, DATE(Initialisatie!$C$5,1,1)), 0, MONTH(MIN($D$1, DATE(Initialisatie!$C$5,12,31))) - MONTH(MAX($D$2, DATE(Initialisatie!$C$5,1,1))) + 1)),
        IFERROR(VALUE($E239),0) * MAX(0, IF(MIN($E$1, DATE(Initialisatie!$C$5,12,31)) &lt; MAX($E$2, DATE(Initialisatie!$C$5,1,1)), 0, MONTH(MIN($E$1, DATE(Initialisatie!$C$5,12,31))) - MONTH(MAX($E$2, DATE(Initialisatie!$C$5,1,1))) + 1))
    ) / 12
)</f>
        <v>9526.75</v>
      </c>
    </row>
    <row r="240" spans="1:8" x14ac:dyDescent="0.45">
      <c r="A240" s="997"/>
      <c r="B240" s="380">
        <v>15</v>
      </c>
      <c r="C240" t="s">
        <v>1873</v>
      </c>
      <c r="D240" t="s">
        <v>1874</v>
      </c>
      <c r="E240" t="s">
        <v>1875</v>
      </c>
      <c r="G240">
        <f>IF(
    OR(
        AND(MAX(0, MIN($C$1, DATE(Initialisatie!$C$5,12,31)) - MAX($C$2, DATE(Initialisatie!$C$5,1,1)) + 1) &gt; 0, IFERROR(VALUE($C240),0)=0),
        AND(MAX(0, MIN($D$1, DATE(Initialisatie!$C$5,12,31)) - MAX($D$2, DATE(Initialisatie!$C$5,1,1)) + 1) &gt; 0, IFERROR(VALUE($D240),0)=0),
        AND(MAX(0, MIN($E$1, DATE(Initialisatie!$C$5,12,31)) - MAX($E$2, DATE(Initialisatie!$C$5,1,1)) + 1) &gt; 0, IFERROR(VALUE($E240),0)=0)
    ),
    0,
    SUM(
        IFERROR(VALUE($C240),0) * MAX(0, MIN($C$1, DATE(Initialisatie!$C$5,12,31)) - MAX($C$2, DATE(Initialisatie!$C$5,1,1)) + 1),
        IFERROR(VALUE($D240),0) * MAX(0, MIN($D$1, DATE(Initialisatie!$C$5,12,31)) - MAX($D$2, DATE(Initialisatie!$C$5,1,1)) + 1),
        IFERROR(VALUE($E240),0) * MAX(0, MIN($E$1, DATE(Initialisatie!$C$5,12,31)) - MAX($E$2, DATE(Initialisatie!$C$5,1,1)) + 1)
    ) / (DATE(Initialisatie!$C$5,12,31) - DATE(Initialisatie!$C$5,1,1) + 1)
)</f>
        <v>10041.931506849314</v>
      </c>
      <c r="H240">
        <f>IF(
    OR(
        AND(MAX(0, IF(MIN($C$1, DATE(Initialisatie!$C$5,12,31)) &lt; MAX($C$2, DATE(Initialisatie!$C$5,1,1)), 0, MONTH(MIN($C$1, DATE(Initialisatie!$C$5,12,31))) - MONTH(MAX($C$2, DATE(Initialisatie!$C$5,1,1))) + 1)) &lt;= 0, IFERROR(VALUE($C240),0)=0),
        AND(MAX(0, IF(MIN($D$1, DATE(Initialisatie!$C$5,12,31)) &lt; MAX($D$2, DATE(Initialisatie!$C$5,1,1)), 0, MONTH(MIN($D$1, DATE(Initialisatie!$C$5,12,31))) - MONTH(MAX($D$2, DATE(Initialisatie!$C$5,1,1))) + 1)) &lt;= 0, IFERROR(VALUE($D240),0)=0),
        AND(MAX(0, IF(MIN($E$1, DATE(Initialisatie!$C$5,12,31)) &lt; MAX($E$2, DATE(Initialisatie!$C$5,1,1)), 0, MONTH(MIN($E$1, DATE(Initialisatie!$C$5,12,31))) - MONTH(MAX($E$2, DATE(Initialisatie!$C$5,1,1))) + 1)) &lt;= 0, IFERROR(VALUE($E240),0)=0)
    ),
    0,
    SUM(
        IFERROR(VALUE($C240),0) * MAX(0, IF(MIN($C$1, DATE(Initialisatie!$C$5,12,31)) &lt; MAX($C$2, DATE(Initialisatie!$C$5,1,1)), 0, MONTH(MIN($C$1, DATE(Initialisatie!$C$5,12,31))) - MONTH(MAX($C$2, DATE(Initialisatie!$C$5,1,1))) + 1)),
        IFERROR(VALUE($D240),0) * MAX(0, IF(MIN($D$1, DATE(Initialisatie!$C$5,12,31)) &lt; MAX($D$2, DATE(Initialisatie!$C$5,1,1)), 0, MONTH(MIN($D$1, DATE(Initialisatie!$C$5,12,31))) - MONTH(MAX($D$2, DATE(Initialisatie!$C$5,1,1))) + 1)),
        IFERROR(VALUE($E240),0) * MAX(0, IF(MIN($E$1, DATE(Initialisatie!$C$5,12,31)) &lt; MAX($E$2, DATE(Initialisatie!$C$5,1,1)), 0, MONTH(MIN($E$1, DATE(Initialisatie!$C$5,12,31))) - MONTH(MAX($E$2, DATE(Initialisatie!$C$5,1,1))) + 1))
    ) / 12
)</f>
        <v>10041.5</v>
      </c>
    </row>
    <row r="241" spans="1:8" x14ac:dyDescent="0.45">
      <c r="A241" s="998"/>
      <c r="B241" s="380" t="s">
        <v>517</v>
      </c>
      <c r="C241" t="s">
        <v>1876</v>
      </c>
      <c r="D241" t="s">
        <v>1877</v>
      </c>
      <c r="E241" t="s">
        <v>1878</v>
      </c>
      <c r="G241">
        <f>IF(
    OR(
        AND(MAX(0, MIN($C$1, DATE(Initialisatie!$C$5,12,31)) - MAX($C$2, DATE(Initialisatie!$C$5,1,1)) + 1) &gt; 0, IFERROR(VALUE($C241),0)=0),
        AND(MAX(0, MIN($D$1, DATE(Initialisatie!$C$5,12,31)) - MAX($D$2, DATE(Initialisatie!$C$5,1,1)) + 1) &gt; 0, IFERROR(VALUE($D241),0)=0),
        AND(MAX(0, MIN($E$1, DATE(Initialisatie!$C$5,12,31)) - MAX($E$2, DATE(Initialisatie!$C$5,1,1)) + 1) &gt; 0, IFERROR(VALUE($E241),0)=0)
    ),
    0,
    SUM(
        IFERROR(VALUE($C241),0) * MAX(0, MIN($C$1, DATE(Initialisatie!$C$5,12,31)) - MAX($C$2, DATE(Initialisatie!$C$5,1,1)) + 1),
        IFERROR(VALUE($D241),0) * MAX(0, MIN($D$1, DATE(Initialisatie!$C$5,12,31)) - MAX($D$2, DATE(Initialisatie!$C$5,1,1)) + 1),
        IFERROR(VALUE($E241),0) * MAX(0, MIN($E$1, DATE(Initialisatie!$C$5,12,31)) - MAX($E$2, DATE(Initialisatie!$C$5,1,1)) + 1)
    ) / (DATE(Initialisatie!$C$5,12,31) - DATE(Initialisatie!$C$5,1,1) + 1)
)</f>
        <v>5455.7342465753427</v>
      </c>
      <c r="H241">
        <f>IF(
    OR(
        AND(MAX(0, IF(MIN($C$1, DATE(Initialisatie!$C$5,12,31)) &lt; MAX($C$2, DATE(Initialisatie!$C$5,1,1)), 0, MONTH(MIN($C$1, DATE(Initialisatie!$C$5,12,31))) - MONTH(MAX($C$2, DATE(Initialisatie!$C$5,1,1))) + 1)) &lt;= 0, IFERROR(VALUE($C241),0)=0),
        AND(MAX(0, IF(MIN($D$1, DATE(Initialisatie!$C$5,12,31)) &lt; MAX($D$2, DATE(Initialisatie!$C$5,1,1)), 0, MONTH(MIN($D$1, DATE(Initialisatie!$C$5,12,31))) - MONTH(MAX($D$2, DATE(Initialisatie!$C$5,1,1))) + 1)) &lt;= 0, IFERROR(VALUE($D241),0)=0),
        AND(MAX(0, IF(MIN($E$1, DATE(Initialisatie!$C$5,12,31)) &lt; MAX($E$2, DATE(Initialisatie!$C$5,1,1)), 0, MONTH(MIN($E$1, DATE(Initialisatie!$C$5,12,31))) - MONTH(MAX($E$2, DATE(Initialisatie!$C$5,1,1))) + 1)) &lt;= 0, IFERROR(VALUE($E241),0)=0)
    ),
    0,
    SUM(
        IFERROR(VALUE($C241),0) * MAX(0, IF(MIN($C$1, DATE(Initialisatie!$C$5,12,31)) &lt; MAX($C$2, DATE(Initialisatie!$C$5,1,1)), 0, MONTH(MIN($C$1, DATE(Initialisatie!$C$5,12,31))) - MONTH(MAX($C$2, DATE(Initialisatie!$C$5,1,1))) + 1)),
        IFERROR(VALUE($D241),0) * MAX(0, IF(MIN($D$1, DATE(Initialisatie!$C$5,12,31)) &lt; MAX($D$2, DATE(Initialisatie!$C$5,1,1)), 0, MONTH(MIN($D$1, DATE(Initialisatie!$C$5,12,31))) - MONTH(MAX($D$2, DATE(Initialisatie!$C$5,1,1))) + 1)),
        IFERROR(VALUE($E241),0) * MAX(0, IF(MIN($E$1, DATE(Initialisatie!$C$5,12,31)) &lt; MAX($E$2, DATE(Initialisatie!$C$5,1,1)), 0, MONTH(MIN($E$1, DATE(Initialisatie!$C$5,12,31))) - MONTH(MAX($E$2, DATE(Initialisatie!$C$5,1,1))) + 1))
    ) / 12
)</f>
        <v>5455.5</v>
      </c>
    </row>
    <row r="242" spans="1:8" x14ac:dyDescent="0.45">
      <c r="A242" s="996">
        <v>15</v>
      </c>
      <c r="B242" s="380">
        <v>0</v>
      </c>
      <c r="C242" t="s">
        <v>1825</v>
      </c>
      <c r="D242" t="s">
        <v>1826</v>
      </c>
      <c r="E242" t="s">
        <v>1827</v>
      </c>
      <c r="G242">
        <f>IF(
    OR(
        AND(MAX(0, MIN($C$1, DATE(Initialisatie!$C$5,12,31)) - MAX($C$2, DATE(Initialisatie!$C$5,1,1)) + 1) &gt; 0, IFERROR(VALUE($C242),0)=0),
        AND(MAX(0, MIN($D$1, DATE(Initialisatie!$C$5,12,31)) - MAX($D$2, DATE(Initialisatie!$C$5,1,1)) + 1) &gt; 0, IFERROR(VALUE($D242),0)=0),
        AND(MAX(0, MIN($E$1, DATE(Initialisatie!$C$5,12,31)) - MAX($E$2, DATE(Initialisatie!$C$5,1,1)) + 1) &gt; 0, IFERROR(VALUE($E242),0)=0)
    ),
    0,
    SUM(
        IFERROR(VALUE($C242),0) * MAX(0, MIN($C$1, DATE(Initialisatie!$C$5,12,31)) - MAX($C$2, DATE(Initialisatie!$C$5,1,1)) + 1),
        IFERROR(VALUE($D242),0) * MAX(0, MIN($D$1, DATE(Initialisatie!$C$5,12,31)) - MAX($D$2, DATE(Initialisatie!$C$5,1,1)) + 1),
        IFERROR(VALUE($E242),0) * MAX(0, MIN($E$1, DATE(Initialisatie!$C$5,12,31)) - MAX($E$2, DATE(Initialisatie!$C$5,1,1)) + 1)
    ) / (DATE(Initialisatie!$C$5,12,31) - DATE(Initialisatie!$C$5,1,1) + 1)
)</f>
        <v>5933.2547945205479</v>
      </c>
      <c r="H242">
        <f>IF(
    OR(
        AND(MAX(0, IF(MIN($C$1, DATE(Initialisatie!$C$5,12,31)) &lt; MAX($C$2, DATE(Initialisatie!$C$5,1,1)), 0, MONTH(MIN($C$1, DATE(Initialisatie!$C$5,12,31))) - MONTH(MAX($C$2, DATE(Initialisatie!$C$5,1,1))) + 1)) &lt;= 0, IFERROR(VALUE($C242),0)=0),
        AND(MAX(0, IF(MIN($D$1, DATE(Initialisatie!$C$5,12,31)) &lt; MAX($D$2, DATE(Initialisatie!$C$5,1,1)), 0, MONTH(MIN($D$1, DATE(Initialisatie!$C$5,12,31))) - MONTH(MAX($D$2, DATE(Initialisatie!$C$5,1,1))) + 1)) &lt;= 0, IFERROR(VALUE($D242),0)=0),
        AND(MAX(0, IF(MIN($E$1, DATE(Initialisatie!$C$5,12,31)) &lt; MAX($E$2, DATE(Initialisatie!$C$5,1,1)), 0, MONTH(MIN($E$1, DATE(Initialisatie!$C$5,12,31))) - MONTH(MAX($E$2, DATE(Initialisatie!$C$5,1,1))) + 1)) &lt;= 0, IFERROR(VALUE($E242),0)=0)
    ),
    0,
    SUM(
        IFERROR(VALUE($C242),0) * MAX(0, IF(MIN($C$1, DATE(Initialisatie!$C$5,12,31)) &lt; MAX($C$2, DATE(Initialisatie!$C$5,1,1)), 0, MONTH(MIN($C$1, DATE(Initialisatie!$C$5,12,31))) - MONTH(MAX($C$2, DATE(Initialisatie!$C$5,1,1))) + 1)),
        IFERROR(VALUE($D242),0) * MAX(0, IF(MIN($D$1, DATE(Initialisatie!$C$5,12,31)) &lt; MAX($D$2, DATE(Initialisatie!$C$5,1,1)), 0, MONTH(MIN($D$1, DATE(Initialisatie!$C$5,12,31))) - MONTH(MAX($D$2, DATE(Initialisatie!$C$5,1,1))) + 1)),
        IFERROR(VALUE($E242),0) * MAX(0, IF(MIN($E$1, DATE(Initialisatie!$C$5,12,31)) &lt; MAX($E$2, DATE(Initialisatie!$C$5,1,1)), 0, MONTH(MIN($E$1, DATE(Initialisatie!$C$5,12,31))) - MONTH(MAX($E$2, DATE(Initialisatie!$C$5,1,1))) + 1))
    ) / 12
)</f>
        <v>5933</v>
      </c>
    </row>
    <row r="243" spans="1:8" x14ac:dyDescent="0.45">
      <c r="A243" s="997"/>
      <c r="B243" s="380">
        <v>1</v>
      </c>
      <c r="C243" t="s">
        <v>1828</v>
      </c>
      <c r="D243" t="s">
        <v>1829</v>
      </c>
      <c r="E243" t="s">
        <v>1830</v>
      </c>
      <c r="G243">
        <f>IF(
    OR(
        AND(MAX(0, MIN($C$1, DATE(Initialisatie!$C$5,12,31)) - MAX($C$2, DATE(Initialisatie!$C$5,1,1)) + 1) &gt; 0, IFERROR(VALUE($C243),0)=0),
        AND(MAX(0, MIN($D$1, DATE(Initialisatie!$C$5,12,31)) - MAX($D$2, DATE(Initialisatie!$C$5,1,1)) + 1) &gt; 0, IFERROR(VALUE($D243),0)=0),
        AND(MAX(0, MIN($E$1, DATE(Initialisatie!$C$5,12,31)) - MAX($E$2, DATE(Initialisatie!$C$5,1,1)) + 1) &gt; 0, IFERROR(VALUE($E243),0)=0)
    ),
    0,
    SUM(
        IFERROR(VALUE($C243),0) * MAX(0, MIN($C$1, DATE(Initialisatie!$C$5,12,31)) - MAX($C$2, DATE(Initialisatie!$C$5,1,1)) + 1),
        IFERROR(VALUE($D243),0) * MAX(0, MIN($D$1, DATE(Initialisatie!$C$5,12,31)) - MAX($D$2, DATE(Initialisatie!$C$5,1,1)) + 1),
        IFERROR(VALUE($E243),0) * MAX(0, MIN($E$1, DATE(Initialisatie!$C$5,12,31)) - MAX($E$2, DATE(Initialisatie!$C$5,1,1)) + 1)
    ) / (DATE(Initialisatie!$C$5,12,31) - DATE(Initialisatie!$C$5,1,1) + 1)
)</f>
        <v>6144.2630136986299</v>
      </c>
      <c r="H243">
        <f>IF(
    OR(
        AND(MAX(0, IF(MIN($C$1, DATE(Initialisatie!$C$5,12,31)) &lt; MAX($C$2, DATE(Initialisatie!$C$5,1,1)), 0, MONTH(MIN($C$1, DATE(Initialisatie!$C$5,12,31))) - MONTH(MAX($C$2, DATE(Initialisatie!$C$5,1,1))) + 1)) &lt;= 0, IFERROR(VALUE($C243),0)=0),
        AND(MAX(0, IF(MIN($D$1, DATE(Initialisatie!$C$5,12,31)) &lt; MAX($D$2, DATE(Initialisatie!$C$5,1,1)), 0, MONTH(MIN($D$1, DATE(Initialisatie!$C$5,12,31))) - MONTH(MAX($D$2, DATE(Initialisatie!$C$5,1,1))) + 1)) &lt;= 0, IFERROR(VALUE($D243),0)=0),
        AND(MAX(0, IF(MIN($E$1, DATE(Initialisatie!$C$5,12,31)) &lt; MAX($E$2, DATE(Initialisatie!$C$5,1,1)), 0, MONTH(MIN($E$1, DATE(Initialisatie!$C$5,12,31))) - MONTH(MAX($E$2, DATE(Initialisatie!$C$5,1,1))) + 1)) &lt;= 0, IFERROR(VALUE($E243),0)=0)
    ),
    0,
    SUM(
        IFERROR(VALUE($C243),0) * MAX(0, IF(MIN($C$1, DATE(Initialisatie!$C$5,12,31)) &lt; MAX($C$2, DATE(Initialisatie!$C$5,1,1)), 0, MONTH(MIN($C$1, DATE(Initialisatie!$C$5,12,31))) - MONTH(MAX($C$2, DATE(Initialisatie!$C$5,1,1))) + 1)),
        IFERROR(VALUE($D243),0) * MAX(0, IF(MIN($D$1, DATE(Initialisatie!$C$5,12,31)) &lt; MAX($D$2, DATE(Initialisatie!$C$5,1,1)), 0, MONTH(MIN($D$1, DATE(Initialisatie!$C$5,12,31))) - MONTH(MAX($D$2, DATE(Initialisatie!$C$5,1,1))) + 1)),
        IFERROR(VALUE($E243),0) * MAX(0, IF(MIN($E$1, DATE(Initialisatie!$C$5,12,31)) &lt; MAX($E$2, DATE(Initialisatie!$C$5,1,1)), 0, MONTH(MIN($E$1, DATE(Initialisatie!$C$5,12,31))) - MONTH(MAX($E$2, DATE(Initialisatie!$C$5,1,1))) + 1))
    ) / 12
)</f>
        <v>6144</v>
      </c>
    </row>
    <row r="244" spans="1:8" x14ac:dyDescent="0.45">
      <c r="A244" s="997"/>
      <c r="B244" s="380">
        <v>2</v>
      </c>
      <c r="C244" t="s">
        <v>1831</v>
      </c>
      <c r="D244" t="s">
        <v>1832</v>
      </c>
      <c r="E244" t="s">
        <v>1833</v>
      </c>
      <c r="G244">
        <f>IF(
    OR(
        AND(MAX(0, MIN($C$1, DATE(Initialisatie!$C$5,12,31)) - MAX($C$2, DATE(Initialisatie!$C$5,1,1)) + 1) &gt; 0, IFERROR(VALUE($C244),0)=0),
        AND(MAX(0, MIN($D$1, DATE(Initialisatie!$C$5,12,31)) - MAX($D$2, DATE(Initialisatie!$C$5,1,1)) + 1) &gt; 0, IFERROR(VALUE($D244),0)=0),
        AND(MAX(0, MIN($E$1, DATE(Initialisatie!$C$5,12,31)) - MAX($E$2, DATE(Initialisatie!$C$5,1,1)) + 1) &gt; 0, IFERROR(VALUE($E244),0)=0)
    ),
    0,
    SUM(
        IFERROR(VALUE($C244),0) * MAX(0, MIN($C$1, DATE(Initialisatie!$C$5,12,31)) - MAX($C$2, DATE(Initialisatie!$C$5,1,1)) + 1),
        IFERROR(VALUE($D244),0) * MAX(0, MIN($D$1, DATE(Initialisatie!$C$5,12,31)) - MAX($D$2, DATE(Initialisatie!$C$5,1,1)) + 1),
        IFERROR(VALUE($E244),0) * MAX(0, MIN($E$1, DATE(Initialisatie!$C$5,12,31)) - MAX($E$2, DATE(Initialisatie!$C$5,1,1)) + 1)
    ) / (DATE(Initialisatie!$C$5,12,31) - DATE(Initialisatie!$C$5,1,1) + 1)
)</f>
        <v>6354.5232876712325</v>
      </c>
      <c r="H244">
        <f>IF(
    OR(
        AND(MAX(0, IF(MIN($C$1, DATE(Initialisatie!$C$5,12,31)) &lt; MAX($C$2, DATE(Initialisatie!$C$5,1,1)), 0, MONTH(MIN($C$1, DATE(Initialisatie!$C$5,12,31))) - MONTH(MAX($C$2, DATE(Initialisatie!$C$5,1,1))) + 1)) &lt;= 0, IFERROR(VALUE($C244),0)=0),
        AND(MAX(0, IF(MIN($D$1, DATE(Initialisatie!$C$5,12,31)) &lt; MAX($D$2, DATE(Initialisatie!$C$5,1,1)), 0, MONTH(MIN($D$1, DATE(Initialisatie!$C$5,12,31))) - MONTH(MAX($D$2, DATE(Initialisatie!$C$5,1,1))) + 1)) &lt;= 0, IFERROR(VALUE($D244),0)=0),
        AND(MAX(0, IF(MIN($E$1, DATE(Initialisatie!$C$5,12,31)) &lt; MAX($E$2, DATE(Initialisatie!$C$5,1,1)), 0, MONTH(MIN($E$1, DATE(Initialisatie!$C$5,12,31))) - MONTH(MAX($E$2, DATE(Initialisatie!$C$5,1,1))) + 1)) &lt;= 0, IFERROR(VALUE($E244),0)=0)
    ),
    0,
    SUM(
        IFERROR(VALUE($C244),0) * MAX(0, IF(MIN($C$1, DATE(Initialisatie!$C$5,12,31)) &lt; MAX($C$2, DATE(Initialisatie!$C$5,1,1)), 0, MONTH(MIN($C$1, DATE(Initialisatie!$C$5,12,31))) - MONTH(MAX($C$2, DATE(Initialisatie!$C$5,1,1))) + 1)),
        IFERROR(VALUE($D244),0) * MAX(0, IF(MIN($D$1, DATE(Initialisatie!$C$5,12,31)) &lt; MAX($D$2, DATE(Initialisatie!$C$5,1,1)), 0, MONTH(MIN($D$1, DATE(Initialisatie!$C$5,12,31))) - MONTH(MAX($D$2, DATE(Initialisatie!$C$5,1,1))) + 1)),
        IFERROR(VALUE($E244),0) * MAX(0, IF(MIN($E$1, DATE(Initialisatie!$C$5,12,31)) &lt; MAX($E$2, DATE(Initialisatie!$C$5,1,1)), 0, MONTH(MIN($E$1, DATE(Initialisatie!$C$5,12,31))) - MONTH(MAX($E$2, DATE(Initialisatie!$C$5,1,1))) + 1))
    ) / 12
)</f>
        <v>6354.25</v>
      </c>
    </row>
    <row r="245" spans="1:8" x14ac:dyDescent="0.45">
      <c r="A245" s="997"/>
      <c r="B245" s="380">
        <v>3</v>
      </c>
      <c r="C245" t="s">
        <v>1836</v>
      </c>
      <c r="D245" t="s">
        <v>1837</v>
      </c>
      <c r="E245" t="s">
        <v>1838</v>
      </c>
      <c r="G245">
        <f>IF(
    OR(
        AND(MAX(0, MIN($C$1, DATE(Initialisatie!$C$5,12,31)) - MAX($C$2, DATE(Initialisatie!$C$5,1,1)) + 1) &gt; 0, IFERROR(VALUE($C245),0)=0),
        AND(MAX(0, MIN($D$1, DATE(Initialisatie!$C$5,12,31)) - MAX($D$2, DATE(Initialisatie!$C$5,1,1)) + 1) &gt; 0, IFERROR(VALUE($D245),0)=0),
        AND(MAX(0, MIN($E$1, DATE(Initialisatie!$C$5,12,31)) - MAX($E$2, DATE(Initialisatie!$C$5,1,1)) + 1) &gt; 0, IFERROR(VALUE($E245),0)=0)
    ),
    0,
    SUM(
        IFERROR(VALUE($C245),0) * MAX(0, MIN($C$1, DATE(Initialisatie!$C$5,12,31)) - MAX($C$2, DATE(Initialisatie!$C$5,1,1)) + 1),
        IFERROR(VALUE($D245),0) * MAX(0, MIN($D$1, DATE(Initialisatie!$C$5,12,31)) - MAX($D$2, DATE(Initialisatie!$C$5,1,1)) + 1),
        IFERROR(VALUE($E245),0) * MAX(0, MIN($E$1, DATE(Initialisatie!$C$5,12,31)) - MAX($E$2, DATE(Initialisatie!$C$5,1,1)) + 1)
    ) / (DATE(Initialisatie!$C$5,12,31) - DATE(Initialisatie!$C$5,1,1) + 1)
)</f>
        <v>6577.5315068493155</v>
      </c>
      <c r="H245">
        <f>IF(
    OR(
        AND(MAX(0, IF(MIN($C$1, DATE(Initialisatie!$C$5,12,31)) &lt; MAX($C$2, DATE(Initialisatie!$C$5,1,1)), 0, MONTH(MIN($C$1, DATE(Initialisatie!$C$5,12,31))) - MONTH(MAX($C$2, DATE(Initialisatie!$C$5,1,1))) + 1)) &lt;= 0, IFERROR(VALUE($C245),0)=0),
        AND(MAX(0, IF(MIN($D$1, DATE(Initialisatie!$C$5,12,31)) &lt; MAX($D$2, DATE(Initialisatie!$C$5,1,1)), 0, MONTH(MIN($D$1, DATE(Initialisatie!$C$5,12,31))) - MONTH(MAX($D$2, DATE(Initialisatie!$C$5,1,1))) + 1)) &lt;= 0, IFERROR(VALUE($D245),0)=0),
        AND(MAX(0, IF(MIN($E$1, DATE(Initialisatie!$C$5,12,31)) &lt; MAX($E$2, DATE(Initialisatie!$C$5,1,1)), 0, MONTH(MIN($E$1, DATE(Initialisatie!$C$5,12,31))) - MONTH(MAX($E$2, DATE(Initialisatie!$C$5,1,1))) + 1)) &lt;= 0, IFERROR(VALUE($E245),0)=0)
    ),
    0,
    SUM(
        IFERROR(VALUE($C245),0) * MAX(0, IF(MIN($C$1, DATE(Initialisatie!$C$5,12,31)) &lt; MAX($C$2, DATE(Initialisatie!$C$5,1,1)), 0, MONTH(MIN($C$1, DATE(Initialisatie!$C$5,12,31))) - MONTH(MAX($C$2, DATE(Initialisatie!$C$5,1,1))) + 1)),
        IFERROR(VALUE($D245),0) * MAX(0, IF(MIN($D$1, DATE(Initialisatie!$C$5,12,31)) &lt; MAX($D$2, DATE(Initialisatie!$C$5,1,1)), 0, MONTH(MIN($D$1, DATE(Initialisatie!$C$5,12,31))) - MONTH(MAX($D$2, DATE(Initialisatie!$C$5,1,1))) + 1)),
        IFERROR(VALUE($E245),0) * MAX(0, IF(MIN($E$1, DATE(Initialisatie!$C$5,12,31)) &lt; MAX($E$2, DATE(Initialisatie!$C$5,1,1)), 0, MONTH(MIN($E$1, DATE(Initialisatie!$C$5,12,31))) - MONTH(MAX($E$2, DATE(Initialisatie!$C$5,1,1))) + 1))
    ) / 12
)</f>
        <v>6577.25</v>
      </c>
    </row>
    <row r="246" spans="1:8" x14ac:dyDescent="0.45">
      <c r="A246" s="997"/>
      <c r="B246" s="380">
        <v>4</v>
      </c>
      <c r="C246" t="s">
        <v>1839</v>
      </c>
      <c r="D246" t="s">
        <v>1840</v>
      </c>
      <c r="E246" t="s">
        <v>1841</v>
      </c>
      <c r="G246">
        <f>IF(
    OR(
        AND(MAX(0, MIN($C$1, DATE(Initialisatie!$C$5,12,31)) - MAX($C$2, DATE(Initialisatie!$C$5,1,1)) + 1) &gt; 0, IFERROR(VALUE($C246),0)=0),
        AND(MAX(0, MIN($D$1, DATE(Initialisatie!$C$5,12,31)) - MAX($D$2, DATE(Initialisatie!$C$5,1,1)) + 1) &gt; 0, IFERROR(VALUE($D246),0)=0),
        AND(MAX(0, MIN($E$1, DATE(Initialisatie!$C$5,12,31)) - MAX($E$2, DATE(Initialisatie!$C$5,1,1)) + 1) &gt; 0, IFERROR(VALUE($E246),0)=0)
    ),
    0,
    SUM(
        IFERROR(VALUE($C246),0) * MAX(0, MIN($C$1, DATE(Initialisatie!$C$5,12,31)) - MAX($C$2, DATE(Initialisatie!$C$5,1,1)) + 1),
        IFERROR(VALUE($D246),0) * MAX(0, MIN($D$1, DATE(Initialisatie!$C$5,12,31)) - MAX($D$2, DATE(Initialisatie!$C$5,1,1)) + 1),
        IFERROR(VALUE($E246),0) * MAX(0, MIN($E$1, DATE(Initialisatie!$C$5,12,31)) - MAX($E$2, DATE(Initialisatie!$C$5,1,1)) + 1)
    ) / (DATE(Initialisatie!$C$5,12,31) - DATE(Initialisatie!$C$5,1,1) + 1)
)</f>
        <v>6813.7917808219181</v>
      </c>
      <c r="H246">
        <f>IF(
    OR(
        AND(MAX(0, IF(MIN($C$1, DATE(Initialisatie!$C$5,12,31)) &lt; MAX($C$2, DATE(Initialisatie!$C$5,1,1)), 0, MONTH(MIN($C$1, DATE(Initialisatie!$C$5,12,31))) - MONTH(MAX($C$2, DATE(Initialisatie!$C$5,1,1))) + 1)) &lt;= 0, IFERROR(VALUE($C246),0)=0),
        AND(MAX(0, IF(MIN($D$1, DATE(Initialisatie!$C$5,12,31)) &lt; MAX($D$2, DATE(Initialisatie!$C$5,1,1)), 0, MONTH(MIN($D$1, DATE(Initialisatie!$C$5,12,31))) - MONTH(MAX($D$2, DATE(Initialisatie!$C$5,1,1))) + 1)) &lt;= 0, IFERROR(VALUE($D246),0)=0),
        AND(MAX(0, IF(MIN($E$1, DATE(Initialisatie!$C$5,12,31)) &lt; MAX($E$2, DATE(Initialisatie!$C$5,1,1)), 0, MONTH(MIN($E$1, DATE(Initialisatie!$C$5,12,31))) - MONTH(MAX($E$2, DATE(Initialisatie!$C$5,1,1))) + 1)) &lt;= 0, IFERROR(VALUE($E246),0)=0)
    ),
    0,
    SUM(
        IFERROR(VALUE($C246),0) * MAX(0, IF(MIN($C$1, DATE(Initialisatie!$C$5,12,31)) &lt; MAX($C$2, DATE(Initialisatie!$C$5,1,1)), 0, MONTH(MIN($C$1, DATE(Initialisatie!$C$5,12,31))) - MONTH(MAX($C$2, DATE(Initialisatie!$C$5,1,1))) + 1)),
        IFERROR(VALUE($D246),0) * MAX(0, IF(MIN($D$1, DATE(Initialisatie!$C$5,12,31)) &lt; MAX($D$2, DATE(Initialisatie!$C$5,1,1)), 0, MONTH(MIN($D$1, DATE(Initialisatie!$C$5,12,31))) - MONTH(MAX($D$2, DATE(Initialisatie!$C$5,1,1))) + 1)),
        IFERROR(VALUE($E246),0) * MAX(0, IF(MIN($E$1, DATE(Initialisatie!$C$5,12,31)) &lt; MAX($E$2, DATE(Initialisatie!$C$5,1,1)), 0, MONTH(MIN($E$1, DATE(Initialisatie!$C$5,12,31))) - MONTH(MAX($E$2, DATE(Initialisatie!$C$5,1,1))) + 1))
    ) / 12
)</f>
        <v>6813.5</v>
      </c>
    </row>
    <row r="247" spans="1:8" x14ac:dyDescent="0.45">
      <c r="A247" s="997"/>
      <c r="B247" s="380">
        <v>5</v>
      </c>
      <c r="C247" t="s">
        <v>1842</v>
      </c>
      <c r="D247" t="s">
        <v>1843</v>
      </c>
      <c r="E247" t="s">
        <v>1670</v>
      </c>
      <c r="G247">
        <f>IF(
    OR(
        AND(MAX(0, MIN($C$1, DATE(Initialisatie!$C$5,12,31)) - MAX($C$2, DATE(Initialisatie!$C$5,1,1)) + 1) &gt; 0, IFERROR(VALUE($C247),0)=0),
        AND(MAX(0, MIN($D$1, DATE(Initialisatie!$C$5,12,31)) - MAX($D$2, DATE(Initialisatie!$C$5,1,1)) + 1) &gt; 0, IFERROR(VALUE($D247),0)=0),
        AND(MAX(0, MIN($E$1, DATE(Initialisatie!$C$5,12,31)) - MAX($E$2, DATE(Initialisatie!$C$5,1,1)) + 1) &gt; 0, IFERROR(VALUE($E247),0)=0)
    ),
    0,
    SUM(
        IFERROR(VALUE($C247),0) * MAX(0, MIN($C$1, DATE(Initialisatie!$C$5,12,31)) - MAX($C$2, DATE(Initialisatie!$C$5,1,1)) + 1),
        IFERROR(VALUE($D247),0) * MAX(0, MIN($D$1, DATE(Initialisatie!$C$5,12,31)) - MAX($D$2, DATE(Initialisatie!$C$5,1,1)) + 1),
        IFERROR(VALUE($E247),0) * MAX(0, MIN($E$1, DATE(Initialisatie!$C$5,12,31)) - MAX($E$2, DATE(Initialisatie!$C$5,1,1)) + 1)
    ) / (DATE(Initialisatie!$C$5,12,31) - DATE(Initialisatie!$C$5,1,1) + 1)
)</f>
        <v>7054.0520547945207</v>
      </c>
      <c r="H247">
        <f>IF(
    OR(
        AND(MAX(0, IF(MIN($C$1, DATE(Initialisatie!$C$5,12,31)) &lt; MAX($C$2, DATE(Initialisatie!$C$5,1,1)), 0, MONTH(MIN($C$1, DATE(Initialisatie!$C$5,12,31))) - MONTH(MAX($C$2, DATE(Initialisatie!$C$5,1,1))) + 1)) &lt;= 0, IFERROR(VALUE($C247),0)=0),
        AND(MAX(0, IF(MIN($D$1, DATE(Initialisatie!$C$5,12,31)) &lt; MAX($D$2, DATE(Initialisatie!$C$5,1,1)), 0, MONTH(MIN($D$1, DATE(Initialisatie!$C$5,12,31))) - MONTH(MAX($D$2, DATE(Initialisatie!$C$5,1,1))) + 1)) &lt;= 0, IFERROR(VALUE($D247),0)=0),
        AND(MAX(0, IF(MIN($E$1, DATE(Initialisatie!$C$5,12,31)) &lt; MAX($E$2, DATE(Initialisatie!$C$5,1,1)), 0, MONTH(MIN($E$1, DATE(Initialisatie!$C$5,12,31))) - MONTH(MAX($E$2, DATE(Initialisatie!$C$5,1,1))) + 1)) &lt;= 0, IFERROR(VALUE($E247),0)=0)
    ),
    0,
    SUM(
        IFERROR(VALUE($C247),0) * MAX(0, IF(MIN($C$1, DATE(Initialisatie!$C$5,12,31)) &lt; MAX($C$2, DATE(Initialisatie!$C$5,1,1)), 0, MONTH(MIN($C$1, DATE(Initialisatie!$C$5,12,31))) - MONTH(MAX($C$2, DATE(Initialisatie!$C$5,1,1))) + 1)),
        IFERROR(VALUE($D247),0) * MAX(0, IF(MIN($D$1, DATE(Initialisatie!$C$5,12,31)) &lt; MAX($D$2, DATE(Initialisatie!$C$5,1,1)), 0, MONTH(MIN($D$1, DATE(Initialisatie!$C$5,12,31))) - MONTH(MAX($D$2, DATE(Initialisatie!$C$5,1,1))) + 1)),
        IFERROR(VALUE($E247),0) * MAX(0, IF(MIN($E$1, DATE(Initialisatie!$C$5,12,31)) &lt; MAX($E$2, DATE(Initialisatie!$C$5,1,1)), 0, MONTH(MIN($E$1, DATE(Initialisatie!$C$5,12,31))) - MONTH(MAX($E$2, DATE(Initialisatie!$C$5,1,1))) + 1))
    ) / 12
)</f>
        <v>7053.75</v>
      </c>
    </row>
    <row r="248" spans="1:8" x14ac:dyDescent="0.45">
      <c r="A248" s="997"/>
      <c r="B248" s="380">
        <v>6</v>
      </c>
      <c r="C248" t="s">
        <v>1847</v>
      </c>
      <c r="D248" t="s">
        <v>1848</v>
      </c>
      <c r="E248" t="s">
        <v>1849</v>
      </c>
      <c r="G248">
        <f>IF(
    OR(
        AND(MAX(0, MIN($C$1, DATE(Initialisatie!$C$5,12,31)) - MAX($C$2, DATE(Initialisatie!$C$5,1,1)) + 1) &gt; 0, IFERROR(VALUE($C248),0)=0),
        AND(MAX(0, MIN($D$1, DATE(Initialisatie!$C$5,12,31)) - MAX($D$2, DATE(Initialisatie!$C$5,1,1)) + 1) &gt; 0, IFERROR(VALUE($D248),0)=0),
        AND(MAX(0, MIN($E$1, DATE(Initialisatie!$C$5,12,31)) - MAX($E$2, DATE(Initialisatie!$C$5,1,1)) + 1) &gt; 0, IFERROR(VALUE($E248),0)=0)
    ),
    0,
    SUM(
        IFERROR(VALUE($C248),0) * MAX(0, MIN($C$1, DATE(Initialisatie!$C$5,12,31)) - MAX($C$2, DATE(Initialisatie!$C$5,1,1)) + 1),
        IFERROR(VALUE($D248),0) * MAX(0, MIN($D$1, DATE(Initialisatie!$C$5,12,31)) - MAX($D$2, DATE(Initialisatie!$C$5,1,1)) + 1),
        IFERROR(VALUE($E248),0) * MAX(0, MIN($E$1, DATE(Initialisatie!$C$5,12,31)) - MAX($E$2, DATE(Initialisatie!$C$5,1,1)) + 1)
    ) / (DATE(Initialisatie!$C$5,12,31) - DATE(Initialisatie!$C$5,1,1) + 1)
)</f>
        <v>7304.5643835616438</v>
      </c>
      <c r="H248">
        <f>IF(
    OR(
        AND(MAX(0, IF(MIN($C$1, DATE(Initialisatie!$C$5,12,31)) &lt; MAX($C$2, DATE(Initialisatie!$C$5,1,1)), 0, MONTH(MIN($C$1, DATE(Initialisatie!$C$5,12,31))) - MONTH(MAX($C$2, DATE(Initialisatie!$C$5,1,1))) + 1)) &lt;= 0, IFERROR(VALUE($C248),0)=0),
        AND(MAX(0, IF(MIN($D$1, DATE(Initialisatie!$C$5,12,31)) &lt; MAX($D$2, DATE(Initialisatie!$C$5,1,1)), 0, MONTH(MIN($D$1, DATE(Initialisatie!$C$5,12,31))) - MONTH(MAX($D$2, DATE(Initialisatie!$C$5,1,1))) + 1)) &lt;= 0, IFERROR(VALUE($D248),0)=0),
        AND(MAX(0, IF(MIN($E$1, DATE(Initialisatie!$C$5,12,31)) &lt; MAX($E$2, DATE(Initialisatie!$C$5,1,1)), 0, MONTH(MIN($E$1, DATE(Initialisatie!$C$5,12,31))) - MONTH(MAX($E$2, DATE(Initialisatie!$C$5,1,1))) + 1)) &lt;= 0, IFERROR(VALUE($E248),0)=0)
    ),
    0,
    SUM(
        IFERROR(VALUE($C248),0) * MAX(0, IF(MIN($C$1, DATE(Initialisatie!$C$5,12,31)) &lt; MAX($C$2, DATE(Initialisatie!$C$5,1,1)), 0, MONTH(MIN($C$1, DATE(Initialisatie!$C$5,12,31))) - MONTH(MAX($C$2, DATE(Initialisatie!$C$5,1,1))) + 1)),
        IFERROR(VALUE($D248),0) * MAX(0, IF(MIN($D$1, DATE(Initialisatie!$C$5,12,31)) &lt; MAX($D$2, DATE(Initialisatie!$C$5,1,1)), 0, MONTH(MIN($D$1, DATE(Initialisatie!$C$5,12,31))) - MONTH(MAX($D$2, DATE(Initialisatie!$C$5,1,1))) + 1)),
        IFERROR(VALUE($E248),0) * MAX(0, IF(MIN($E$1, DATE(Initialisatie!$C$5,12,31)) &lt; MAX($E$2, DATE(Initialisatie!$C$5,1,1)), 0, MONTH(MIN($E$1, DATE(Initialisatie!$C$5,12,31))) - MONTH(MAX($E$2, DATE(Initialisatie!$C$5,1,1))) + 1))
    ) / 12
)</f>
        <v>7304.25</v>
      </c>
    </row>
    <row r="249" spans="1:8" x14ac:dyDescent="0.45">
      <c r="A249" s="997"/>
      <c r="B249" s="380">
        <v>7</v>
      </c>
      <c r="C249" t="s">
        <v>1850</v>
      </c>
      <c r="D249" t="s">
        <v>1851</v>
      </c>
      <c r="E249" t="s">
        <v>1852</v>
      </c>
      <c r="G249">
        <f>IF(
    OR(
        AND(MAX(0, MIN($C$1, DATE(Initialisatie!$C$5,12,31)) - MAX($C$2, DATE(Initialisatie!$C$5,1,1)) + 1) &gt; 0, IFERROR(VALUE($C249),0)=0),
        AND(MAX(0, MIN($D$1, DATE(Initialisatie!$C$5,12,31)) - MAX($D$2, DATE(Initialisatie!$C$5,1,1)) + 1) &gt; 0, IFERROR(VALUE($D249),0)=0),
        AND(MAX(0, MIN($E$1, DATE(Initialisatie!$C$5,12,31)) - MAX($E$2, DATE(Initialisatie!$C$5,1,1)) + 1) &gt; 0, IFERROR(VALUE($E249),0)=0)
    ),
    0,
    SUM(
        IFERROR(VALUE($C249),0) * MAX(0, MIN($C$1, DATE(Initialisatie!$C$5,12,31)) - MAX($C$2, DATE(Initialisatie!$C$5,1,1)) + 1),
        IFERROR(VALUE($D249),0) * MAX(0, MIN($D$1, DATE(Initialisatie!$C$5,12,31)) - MAX($D$2, DATE(Initialisatie!$C$5,1,1)) + 1),
        IFERROR(VALUE($E249),0) * MAX(0, MIN($E$1, DATE(Initialisatie!$C$5,12,31)) - MAX($E$2, DATE(Initialisatie!$C$5,1,1)) + 1)
    ) / (DATE(Initialisatie!$C$5,12,31) - DATE(Initialisatie!$C$5,1,1) + 1)
)</f>
        <v>7571.8246575342464</v>
      </c>
      <c r="H249">
        <f>IF(
    OR(
        AND(MAX(0, IF(MIN($C$1, DATE(Initialisatie!$C$5,12,31)) &lt; MAX($C$2, DATE(Initialisatie!$C$5,1,1)), 0, MONTH(MIN($C$1, DATE(Initialisatie!$C$5,12,31))) - MONTH(MAX($C$2, DATE(Initialisatie!$C$5,1,1))) + 1)) &lt;= 0, IFERROR(VALUE($C249),0)=0),
        AND(MAX(0, IF(MIN($D$1, DATE(Initialisatie!$C$5,12,31)) &lt; MAX($D$2, DATE(Initialisatie!$C$5,1,1)), 0, MONTH(MIN($D$1, DATE(Initialisatie!$C$5,12,31))) - MONTH(MAX($D$2, DATE(Initialisatie!$C$5,1,1))) + 1)) &lt;= 0, IFERROR(VALUE($D249),0)=0),
        AND(MAX(0, IF(MIN($E$1, DATE(Initialisatie!$C$5,12,31)) &lt; MAX($E$2, DATE(Initialisatie!$C$5,1,1)), 0, MONTH(MIN($E$1, DATE(Initialisatie!$C$5,12,31))) - MONTH(MAX($E$2, DATE(Initialisatie!$C$5,1,1))) + 1)) &lt;= 0, IFERROR(VALUE($E249),0)=0)
    ),
    0,
    SUM(
        IFERROR(VALUE($C249),0) * MAX(0, IF(MIN($C$1, DATE(Initialisatie!$C$5,12,31)) &lt; MAX($C$2, DATE(Initialisatie!$C$5,1,1)), 0, MONTH(MIN($C$1, DATE(Initialisatie!$C$5,12,31))) - MONTH(MAX($C$2, DATE(Initialisatie!$C$5,1,1))) + 1)),
        IFERROR(VALUE($D249),0) * MAX(0, IF(MIN($D$1, DATE(Initialisatie!$C$5,12,31)) &lt; MAX($D$2, DATE(Initialisatie!$C$5,1,1)), 0, MONTH(MIN($D$1, DATE(Initialisatie!$C$5,12,31))) - MONTH(MAX($D$2, DATE(Initialisatie!$C$5,1,1))) + 1)),
        IFERROR(VALUE($E249),0) * MAX(0, IF(MIN($E$1, DATE(Initialisatie!$C$5,12,31)) &lt; MAX($E$2, DATE(Initialisatie!$C$5,1,1)), 0, MONTH(MIN($E$1, DATE(Initialisatie!$C$5,12,31))) - MONTH(MAX($E$2, DATE(Initialisatie!$C$5,1,1))) + 1))
    ) / 12
)</f>
        <v>7571.5</v>
      </c>
    </row>
    <row r="250" spans="1:8" x14ac:dyDescent="0.45">
      <c r="A250" s="997"/>
      <c r="B250" s="380">
        <v>8</v>
      </c>
      <c r="C250" t="s">
        <v>1853</v>
      </c>
      <c r="D250" t="s">
        <v>1854</v>
      </c>
      <c r="E250" t="s">
        <v>1855</v>
      </c>
      <c r="G250">
        <f>IF(
    OR(
        AND(MAX(0, MIN($C$1, DATE(Initialisatie!$C$5,12,31)) - MAX($C$2, DATE(Initialisatie!$C$5,1,1)) + 1) &gt; 0, IFERROR(VALUE($C250),0)=0),
        AND(MAX(0, MIN($D$1, DATE(Initialisatie!$C$5,12,31)) - MAX($D$2, DATE(Initialisatie!$C$5,1,1)) + 1) &gt; 0, IFERROR(VALUE($D250),0)=0),
        AND(MAX(0, MIN($E$1, DATE(Initialisatie!$C$5,12,31)) - MAX($E$2, DATE(Initialisatie!$C$5,1,1)) + 1) &gt; 0, IFERROR(VALUE($E250),0)=0)
    ),
    0,
    SUM(
        IFERROR(VALUE($C250),0) * MAX(0, MIN($C$1, DATE(Initialisatie!$C$5,12,31)) - MAX($C$2, DATE(Initialisatie!$C$5,1,1)) + 1),
        IFERROR(VALUE($D250),0) * MAX(0, MIN($D$1, DATE(Initialisatie!$C$5,12,31)) - MAX($D$2, DATE(Initialisatie!$C$5,1,1)) + 1),
        IFERROR(VALUE($E250),0) * MAX(0, MIN($E$1, DATE(Initialisatie!$C$5,12,31)) - MAX($E$2, DATE(Initialisatie!$C$5,1,1)) + 1)
    ) / (DATE(Initialisatie!$C$5,12,31) - DATE(Initialisatie!$C$5,1,1) + 1)
)</f>
        <v>7849.3369863013695</v>
      </c>
      <c r="H250">
        <f>IF(
    OR(
        AND(MAX(0, IF(MIN($C$1, DATE(Initialisatie!$C$5,12,31)) &lt; MAX($C$2, DATE(Initialisatie!$C$5,1,1)), 0, MONTH(MIN($C$1, DATE(Initialisatie!$C$5,12,31))) - MONTH(MAX($C$2, DATE(Initialisatie!$C$5,1,1))) + 1)) &lt;= 0, IFERROR(VALUE($C250),0)=0),
        AND(MAX(0, IF(MIN($D$1, DATE(Initialisatie!$C$5,12,31)) &lt; MAX($D$2, DATE(Initialisatie!$C$5,1,1)), 0, MONTH(MIN($D$1, DATE(Initialisatie!$C$5,12,31))) - MONTH(MAX($D$2, DATE(Initialisatie!$C$5,1,1))) + 1)) &lt;= 0, IFERROR(VALUE($D250),0)=0),
        AND(MAX(0, IF(MIN($E$1, DATE(Initialisatie!$C$5,12,31)) &lt; MAX($E$2, DATE(Initialisatie!$C$5,1,1)), 0, MONTH(MIN($E$1, DATE(Initialisatie!$C$5,12,31))) - MONTH(MAX($E$2, DATE(Initialisatie!$C$5,1,1))) + 1)) &lt;= 0, IFERROR(VALUE($E250),0)=0)
    ),
    0,
    SUM(
        IFERROR(VALUE($C250),0) * MAX(0, IF(MIN($C$1, DATE(Initialisatie!$C$5,12,31)) &lt; MAX($C$2, DATE(Initialisatie!$C$5,1,1)), 0, MONTH(MIN($C$1, DATE(Initialisatie!$C$5,12,31))) - MONTH(MAX($C$2, DATE(Initialisatie!$C$5,1,1))) + 1)),
        IFERROR(VALUE($D250),0) * MAX(0, IF(MIN($D$1, DATE(Initialisatie!$C$5,12,31)) &lt; MAX($D$2, DATE(Initialisatie!$C$5,1,1)), 0, MONTH(MIN($D$1, DATE(Initialisatie!$C$5,12,31))) - MONTH(MAX($D$2, DATE(Initialisatie!$C$5,1,1))) + 1)),
        IFERROR(VALUE($E250),0) * MAX(0, IF(MIN($E$1, DATE(Initialisatie!$C$5,12,31)) &lt; MAX($E$2, DATE(Initialisatie!$C$5,1,1)), 0, MONTH(MIN($E$1, DATE(Initialisatie!$C$5,12,31))) - MONTH(MAX($E$2, DATE(Initialisatie!$C$5,1,1))) + 1))
    ) / 12
)</f>
        <v>7849</v>
      </c>
    </row>
    <row r="251" spans="1:8" x14ac:dyDescent="0.45">
      <c r="A251" s="997"/>
      <c r="B251" s="380">
        <v>9</v>
      </c>
      <c r="C251" t="s">
        <v>1859</v>
      </c>
      <c r="D251" t="s">
        <v>1860</v>
      </c>
      <c r="E251" t="s">
        <v>1861</v>
      </c>
      <c r="G251">
        <f>IF(
    OR(
        AND(MAX(0, MIN($C$1, DATE(Initialisatie!$C$5,12,31)) - MAX($C$2, DATE(Initialisatie!$C$5,1,1)) + 1) &gt; 0, IFERROR(VALUE($C251),0)=0),
        AND(MAX(0, MIN($D$1, DATE(Initialisatie!$C$5,12,31)) - MAX($D$2, DATE(Initialisatie!$C$5,1,1)) + 1) &gt; 0, IFERROR(VALUE($D251),0)=0),
        AND(MAX(0, MIN($E$1, DATE(Initialisatie!$C$5,12,31)) - MAX($E$2, DATE(Initialisatie!$C$5,1,1)) + 1) &gt; 0, IFERROR(VALUE($E251),0)=0)
    ),
    0,
    SUM(
        IFERROR(VALUE($C251),0) * MAX(0, MIN($C$1, DATE(Initialisatie!$C$5,12,31)) - MAX($C$2, DATE(Initialisatie!$C$5,1,1)) + 1),
        IFERROR(VALUE($D251),0) * MAX(0, MIN($D$1, DATE(Initialisatie!$C$5,12,31)) - MAX($D$2, DATE(Initialisatie!$C$5,1,1)) + 1),
        IFERROR(VALUE($E251),0) * MAX(0, MIN($E$1, DATE(Initialisatie!$C$5,12,31)) - MAX($E$2, DATE(Initialisatie!$C$5,1,1)) + 1)
    ) / (DATE(Initialisatie!$C$5,12,31) - DATE(Initialisatie!$C$5,1,1) + 1)
)</f>
        <v>8140.8493150684935</v>
      </c>
      <c r="H251">
        <f>IF(
    OR(
        AND(MAX(0, IF(MIN($C$1, DATE(Initialisatie!$C$5,12,31)) &lt; MAX($C$2, DATE(Initialisatie!$C$5,1,1)), 0, MONTH(MIN($C$1, DATE(Initialisatie!$C$5,12,31))) - MONTH(MAX($C$2, DATE(Initialisatie!$C$5,1,1))) + 1)) &lt;= 0, IFERROR(VALUE($C251),0)=0),
        AND(MAX(0, IF(MIN($D$1, DATE(Initialisatie!$C$5,12,31)) &lt; MAX($D$2, DATE(Initialisatie!$C$5,1,1)), 0, MONTH(MIN($D$1, DATE(Initialisatie!$C$5,12,31))) - MONTH(MAX($D$2, DATE(Initialisatie!$C$5,1,1))) + 1)) &lt;= 0, IFERROR(VALUE($D251),0)=0),
        AND(MAX(0, IF(MIN($E$1, DATE(Initialisatie!$C$5,12,31)) &lt; MAX($E$2, DATE(Initialisatie!$C$5,1,1)), 0, MONTH(MIN($E$1, DATE(Initialisatie!$C$5,12,31))) - MONTH(MAX($E$2, DATE(Initialisatie!$C$5,1,1))) + 1)) &lt;= 0, IFERROR(VALUE($E251),0)=0)
    ),
    0,
    SUM(
        IFERROR(VALUE($C251),0) * MAX(0, IF(MIN($C$1, DATE(Initialisatie!$C$5,12,31)) &lt; MAX($C$2, DATE(Initialisatie!$C$5,1,1)), 0, MONTH(MIN($C$1, DATE(Initialisatie!$C$5,12,31))) - MONTH(MAX($C$2, DATE(Initialisatie!$C$5,1,1))) + 1)),
        IFERROR(VALUE($D251),0) * MAX(0, IF(MIN($D$1, DATE(Initialisatie!$C$5,12,31)) &lt; MAX($D$2, DATE(Initialisatie!$C$5,1,1)), 0, MONTH(MIN($D$1, DATE(Initialisatie!$C$5,12,31))) - MONTH(MAX($D$2, DATE(Initialisatie!$C$5,1,1))) + 1)),
        IFERROR(VALUE($E251),0) * MAX(0, IF(MIN($E$1, DATE(Initialisatie!$C$5,12,31)) &lt; MAX($E$2, DATE(Initialisatie!$C$5,1,1)), 0, MONTH(MIN($E$1, DATE(Initialisatie!$C$5,12,31))) - MONTH(MAX($E$2, DATE(Initialisatie!$C$5,1,1))) + 1))
    ) / 12
)</f>
        <v>8140.5</v>
      </c>
    </row>
    <row r="252" spans="1:8" x14ac:dyDescent="0.45">
      <c r="A252" s="997"/>
      <c r="B252" s="380">
        <v>10</v>
      </c>
      <c r="C252" t="s">
        <v>1862</v>
      </c>
      <c r="D252" t="s">
        <v>1863</v>
      </c>
      <c r="E252" t="s">
        <v>1864</v>
      </c>
      <c r="G252">
        <f>IF(
    OR(
        AND(MAX(0, MIN($C$1, DATE(Initialisatie!$C$5,12,31)) - MAX($C$2, DATE(Initialisatie!$C$5,1,1)) + 1) &gt; 0, IFERROR(VALUE($C252),0)=0),
        AND(MAX(0, MIN($D$1, DATE(Initialisatie!$C$5,12,31)) - MAX($D$2, DATE(Initialisatie!$C$5,1,1)) + 1) &gt; 0, IFERROR(VALUE($D252),0)=0),
        AND(MAX(0, MIN($E$1, DATE(Initialisatie!$C$5,12,31)) - MAX($E$2, DATE(Initialisatie!$C$5,1,1)) + 1) &gt; 0, IFERROR(VALUE($E252),0)=0)
    ),
    0,
    SUM(
        IFERROR(VALUE($C252),0) * MAX(0, MIN($C$1, DATE(Initialisatie!$C$5,12,31)) - MAX($C$2, DATE(Initialisatie!$C$5,1,1)) + 1),
        IFERROR(VALUE($D252),0) * MAX(0, MIN($D$1, DATE(Initialisatie!$C$5,12,31)) - MAX($D$2, DATE(Initialisatie!$C$5,1,1)) + 1),
        IFERROR(VALUE($E252),0) * MAX(0, MIN($E$1, DATE(Initialisatie!$C$5,12,31)) - MAX($E$2, DATE(Initialisatie!$C$5,1,1)) + 1)
    ) / (DATE(Initialisatie!$C$5,12,31) - DATE(Initialisatie!$C$5,1,1) + 1)
)</f>
        <v>8582.1178082191782</v>
      </c>
      <c r="H252">
        <f>IF(
    OR(
        AND(MAX(0, IF(MIN($C$1, DATE(Initialisatie!$C$5,12,31)) &lt; MAX($C$2, DATE(Initialisatie!$C$5,1,1)), 0, MONTH(MIN($C$1, DATE(Initialisatie!$C$5,12,31))) - MONTH(MAX($C$2, DATE(Initialisatie!$C$5,1,1))) + 1)) &lt;= 0, IFERROR(VALUE($C252),0)=0),
        AND(MAX(0, IF(MIN($D$1, DATE(Initialisatie!$C$5,12,31)) &lt; MAX($D$2, DATE(Initialisatie!$C$5,1,1)), 0, MONTH(MIN($D$1, DATE(Initialisatie!$C$5,12,31))) - MONTH(MAX($D$2, DATE(Initialisatie!$C$5,1,1))) + 1)) &lt;= 0, IFERROR(VALUE($D252),0)=0),
        AND(MAX(0, IF(MIN($E$1, DATE(Initialisatie!$C$5,12,31)) &lt; MAX($E$2, DATE(Initialisatie!$C$5,1,1)), 0, MONTH(MIN($E$1, DATE(Initialisatie!$C$5,12,31))) - MONTH(MAX($E$2, DATE(Initialisatie!$C$5,1,1))) + 1)) &lt;= 0, IFERROR(VALUE($E252),0)=0)
    ),
    0,
    SUM(
        IFERROR(VALUE($C252),0) * MAX(0, IF(MIN($C$1, DATE(Initialisatie!$C$5,12,31)) &lt; MAX($C$2, DATE(Initialisatie!$C$5,1,1)), 0, MONTH(MIN($C$1, DATE(Initialisatie!$C$5,12,31))) - MONTH(MAX($C$2, DATE(Initialisatie!$C$5,1,1))) + 1)),
        IFERROR(VALUE($D252),0) * MAX(0, IF(MIN($D$1, DATE(Initialisatie!$C$5,12,31)) &lt; MAX($D$2, DATE(Initialisatie!$C$5,1,1)), 0, MONTH(MIN($D$1, DATE(Initialisatie!$C$5,12,31))) - MONTH(MAX($D$2, DATE(Initialisatie!$C$5,1,1))) + 1)),
        IFERROR(VALUE($E252),0) * MAX(0, IF(MIN($E$1, DATE(Initialisatie!$C$5,12,31)) &lt; MAX($E$2, DATE(Initialisatie!$C$5,1,1)), 0, MONTH(MIN($E$1, DATE(Initialisatie!$C$5,12,31))) - MONTH(MAX($E$2, DATE(Initialisatie!$C$5,1,1))) + 1))
    ) / 12
)</f>
        <v>8581.75</v>
      </c>
    </row>
    <row r="253" spans="1:8" x14ac:dyDescent="0.45">
      <c r="A253" s="997"/>
      <c r="B253" s="380">
        <v>11</v>
      </c>
      <c r="C253" t="s">
        <v>1865</v>
      </c>
      <c r="D253" t="s">
        <v>1866</v>
      </c>
      <c r="E253" t="s">
        <v>1867</v>
      </c>
      <c r="G253">
        <f>IF(
    OR(
        AND(MAX(0, MIN($C$1, DATE(Initialisatie!$C$5,12,31)) - MAX($C$2, DATE(Initialisatie!$C$5,1,1)) + 1) &gt; 0, IFERROR(VALUE($C253),0)=0),
        AND(MAX(0, MIN($D$1, DATE(Initialisatie!$C$5,12,31)) - MAX($D$2, DATE(Initialisatie!$C$5,1,1)) + 1) &gt; 0, IFERROR(VALUE($D253),0)=0),
        AND(MAX(0, MIN($E$1, DATE(Initialisatie!$C$5,12,31)) - MAX($E$2, DATE(Initialisatie!$C$5,1,1)) + 1) &gt; 0, IFERROR(VALUE($E253),0)=0)
    ),
    0,
    SUM(
        IFERROR(VALUE($C253),0) * MAX(0, MIN($C$1, DATE(Initialisatie!$C$5,12,31)) - MAX($C$2, DATE(Initialisatie!$C$5,1,1)) + 1),
        IFERROR(VALUE($D253),0) * MAX(0, MIN($D$1, DATE(Initialisatie!$C$5,12,31)) - MAX($D$2, DATE(Initialisatie!$C$5,1,1)) + 1),
        IFERROR(VALUE($E253),0) * MAX(0, MIN($E$1, DATE(Initialisatie!$C$5,12,31)) - MAX($E$2, DATE(Initialisatie!$C$5,1,1)) + 1)
    ) / (DATE(Initialisatie!$C$5,12,31) - DATE(Initialisatie!$C$5,1,1) + 1)
)</f>
        <v>9042.6383561643834</v>
      </c>
      <c r="H253">
        <f>IF(
    OR(
        AND(MAX(0, IF(MIN($C$1, DATE(Initialisatie!$C$5,12,31)) &lt; MAX($C$2, DATE(Initialisatie!$C$5,1,1)), 0, MONTH(MIN($C$1, DATE(Initialisatie!$C$5,12,31))) - MONTH(MAX($C$2, DATE(Initialisatie!$C$5,1,1))) + 1)) &lt;= 0, IFERROR(VALUE($C253),0)=0),
        AND(MAX(0, IF(MIN($D$1, DATE(Initialisatie!$C$5,12,31)) &lt; MAX($D$2, DATE(Initialisatie!$C$5,1,1)), 0, MONTH(MIN($D$1, DATE(Initialisatie!$C$5,12,31))) - MONTH(MAX($D$2, DATE(Initialisatie!$C$5,1,1))) + 1)) &lt;= 0, IFERROR(VALUE($D253),0)=0),
        AND(MAX(0, IF(MIN($E$1, DATE(Initialisatie!$C$5,12,31)) &lt; MAX($E$2, DATE(Initialisatie!$C$5,1,1)), 0, MONTH(MIN($E$1, DATE(Initialisatie!$C$5,12,31))) - MONTH(MAX($E$2, DATE(Initialisatie!$C$5,1,1))) + 1)) &lt;= 0, IFERROR(VALUE($E253),0)=0)
    ),
    0,
    SUM(
        IFERROR(VALUE($C253),0) * MAX(0, IF(MIN($C$1, DATE(Initialisatie!$C$5,12,31)) &lt; MAX($C$2, DATE(Initialisatie!$C$5,1,1)), 0, MONTH(MIN($C$1, DATE(Initialisatie!$C$5,12,31))) - MONTH(MAX($C$2, DATE(Initialisatie!$C$5,1,1))) + 1)),
        IFERROR(VALUE($D253),0) * MAX(0, IF(MIN($D$1, DATE(Initialisatie!$C$5,12,31)) &lt; MAX($D$2, DATE(Initialisatie!$C$5,1,1)), 0, MONTH(MIN($D$1, DATE(Initialisatie!$C$5,12,31))) - MONTH(MAX($D$2, DATE(Initialisatie!$C$5,1,1))) + 1)),
        IFERROR(VALUE($E253),0) * MAX(0, IF(MIN($E$1, DATE(Initialisatie!$C$5,12,31)) &lt; MAX($E$2, DATE(Initialisatie!$C$5,1,1)), 0, MONTH(MIN($E$1, DATE(Initialisatie!$C$5,12,31))) - MONTH(MAX($E$2, DATE(Initialisatie!$C$5,1,1))) + 1))
    ) / 12
)</f>
        <v>9042.25</v>
      </c>
    </row>
    <row r="254" spans="1:8" x14ac:dyDescent="0.45">
      <c r="A254" s="997"/>
      <c r="B254" s="380">
        <v>12</v>
      </c>
      <c r="C254" t="s">
        <v>1871</v>
      </c>
      <c r="D254" t="s">
        <v>1321</v>
      </c>
      <c r="E254" t="s">
        <v>1872</v>
      </c>
      <c r="G254">
        <f>IF(
    OR(
        AND(MAX(0, MIN($C$1, DATE(Initialisatie!$C$5,12,31)) - MAX($C$2, DATE(Initialisatie!$C$5,1,1)) + 1) &gt; 0, IFERROR(VALUE($C254),0)=0),
        AND(MAX(0, MIN($D$1, DATE(Initialisatie!$C$5,12,31)) - MAX($D$2, DATE(Initialisatie!$C$5,1,1)) + 1) &gt; 0, IFERROR(VALUE($D254),0)=0),
        AND(MAX(0, MIN($E$1, DATE(Initialisatie!$C$5,12,31)) - MAX($E$2, DATE(Initialisatie!$C$5,1,1)) + 1) &gt; 0, IFERROR(VALUE($E254),0)=0)
    ),
    0,
    SUM(
        IFERROR(VALUE($C254),0) * MAX(0, MIN($C$1, DATE(Initialisatie!$C$5,12,31)) - MAX($C$2, DATE(Initialisatie!$C$5,1,1)) + 1),
        IFERROR(VALUE($D254),0) * MAX(0, MIN($D$1, DATE(Initialisatie!$C$5,12,31)) - MAX($D$2, DATE(Initialisatie!$C$5,1,1)) + 1),
        IFERROR(VALUE($E254),0) * MAX(0, MIN($E$1, DATE(Initialisatie!$C$5,12,31)) - MAX($E$2, DATE(Initialisatie!$C$5,1,1)) + 1)
    ) / (DATE(Initialisatie!$C$5,12,31) - DATE(Initialisatie!$C$5,1,1) + 1)
)</f>
        <v>9527.1589041095885</v>
      </c>
      <c r="H254">
        <f>IF(
    OR(
        AND(MAX(0, IF(MIN($C$1, DATE(Initialisatie!$C$5,12,31)) &lt; MAX($C$2, DATE(Initialisatie!$C$5,1,1)), 0, MONTH(MIN($C$1, DATE(Initialisatie!$C$5,12,31))) - MONTH(MAX($C$2, DATE(Initialisatie!$C$5,1,1))) + 1)) &lt;= 0, IFERROR(VALUE($C254),0)=0),
        AND(MAX(0, IF(MIN($D$1, DATE(Initialisatie!$C$5,12,31)) &lt; MAX($D$2, DATE(Initialisatie!$C$5,1,1)), 0, MONTH(MIN($D$1, DATE(Initialisatie!$C$5,12,31))) - MONTH(MAX($D$2, DATE(Initialisatie!$C$5,1,1))) + 1)) &lt;= 0, IFERROR(VALUE($D254),0)=0),
        AND(MAX(0, IF(MIN($E$1, DATE(Initialisatie!$C$5,12,31)) &lt; MAX($E$2, DATE(Initialisatie!$C$5,1,1)), 0, MONTH(MIN($E$1, DATE(Initialisatie!$C$5,12,31))) - MONTH(MAX($E$2, DATE(Initialisatie!$C$5,1,1))) + 1)) &lt;= 0, IFERROR(VALUE($E254),0)=0)
    ),
    0,
    SUM(
        IFERROR(VALUE($C254),0) * MAX(0, IF(MIN($C$1, DATE(Initialisatie!$C$5,12,31)) &lt; MAX($C$2, DATE(Initialisatie!$C$5,1,1)), 0, MONTH(MIN($C$1, DATE(Initialisatie!$C$5,12,31))) - MONTH(MAX($C$2, DATE(Initialisatie!$C$5,1,1))) + 1)),
        IFERROR(VALUE($D254),0) * MAX(0, IF(MIN($D$1, DATE(Initialisatie!$C$5,12,31)) &lt; MAX($D$2, DATE(Initialisatie!$C$5,1,1)), 0, MONTH(MIN($D$1, DATE(Initialisatie!$C$5,12,31))) - MONTH(MAX($D$2, DATE(Initialisatie!$C$5,1,1))) + 1)),
        IFERROR(VALUE($E254),0) * MAX(0, IF(MIN($E$1, DATE(Initialisatie!$C$5,12,31)) &lt; MAX($E$2, DATE(Initialisatie!$C$5,1,1)), 0, MONTH(MIN($E$1, DATE(Initialisatie!$C$5,12,31))) - MONTH(MAX($E$2, DATE(Initialisatie!$C$5,1,1))) + 1))
    ) / 12
)</f>
        <v>9526.75</v>
      </c>
    </row>
    <row r="255" spans="1:8" x14ac:dyDescent="0.45">
      <c r="A255" s="997"/>
      <c r="B255" s="380">
        <v>13</v>
      </c>
      <c r="C255" t="s">
        <v>1873</v>
      </c>
      <c r="D255" t="s">
        <v>1874</v>
      </c>
      <c r="E255" t="s">
        <v>1875</v>
      </c>
      <c r="G255">
        <f>IF(
    OR(
        AND(MAX(0, MIN($C$1, DATE(Initialisatie!$C$5,12,31)) - MAX($C$2, DATE(Initialisatie!$C$5,1,1)) + 1) &gt; 0, IFERROR(VALUE($C255),0)=0),
        AND(MAX(0, MIN($D$1, DATE(Initialisatie!$C$5,12,31)) - MAX($D$2, DATE(Initialisatie!$C$5,1,1)) + 1) &gt; 0, IFERROR(VALUE($D255),0)=0),
        AND(MAX(0, MIN($E$1, DATE(Initialisatie!$C$5,12,31)) - MAX($E$2, DATE(Initialisatie!$C$5,1,1)) + 1) &gt; 0, IFERROR(VALUE($E255),0)=0)
    ),
    0,
    SUM(
        IFERROR(VALUE($C255),0) * MAX(0, MIN($C$1, DATE(Initialisatie!$C$5,12,31)) - MAX($C$2, DATE(Initialisatie!$C$5,1,1)) + 1),
        IFERROR(VALUE($D255),0) * MAX(0, MIN($D$1, DATE(Initialisatie!$C$5,12,31)) - MAX($D$2, DATE(Initialisatie!$C$5,1,1)) + 1),
        IFERROR(VALUE($E255),0) * MAX(0, MIN($E$1, DATE(Initialisatie!$C$5,12,31)) - MAX($E$2, DATE(Initialisatie!$C$5,1,1)) + 1)
    ) / (DATE(Initialisatie!$C$5,12,31) - DATE(Initialisatie!$C$5,1,1) + 1)
)</f>
        <v>10041.931506849314</v>
      </c>
      <c r="H255">
        <f>IF(
    OR(
        AND(MAX(0, IF(MIN($C$1, DATE(Initialisatie!$C$5,12,31)) &lt; MAX($C$2, DATE(Initialisatie!$C$5,1,1)), 0, MONTH(MIN($C$1, DATE(Initialisatie!$C$5,12,31))) - MONTH(MAX($C$2, DATE(Initialisatie!$C$5,1,1))) + 1)) &lt;= 0, IFERROR(VALUE($C255),0)=0),
        AND(MAX(0, IF(MIN($D$1, DATE(Initialisatie!$C$5,12,31)) &lt; MAX($D$2, DATE(Initialisatie!$C$5,1,1)), 0, MONTH(MIN($D$1, DATE(Initialisatie!$C$5,12,31))) - MONTH(MAX($D$2, DATE(Initialisatie!$C$5,1,1))) + 1)) &lt;= 0, IFERROR(VALUE($D255),0)=0),
        AND(MAX(0, IF(MIN($E$1, DATE(Initialisatie!$C$5,12,31)) &lt; MAX($E$2, DATE(Initialisatie!$C$5,1,1)), 0, MONTH(MIN($E$1, DATE(Initialisatie!$C$5,12,31))) - MONTH(MAX($E$2, DATE(Initialisatie!$C$5,1,1))) + 1)) &lt;= 0, IFERROR(VALUE($E255),0)=0)
    ),
    0,
    SUM(
        IFERROR(VALUE($C255),0) * MAX(0, IF(MIN($C$1, DATE(Initialisatie!$C$5,12,31)) &lt; MAX($C$2, DATE(Initialisatie!$C$5,1,1)), 0, MONTH(MIN($C$1, DATE(Initialisatie!$C$5,12,31))) - MONTH(MAX($C$2, DATE(Initialisatie!$C$5,1,1))) + 1)),
        IFERROR(VALUE($D255),0) * MAX(0, IF(MIN($D$1, DATE(Initialisatie!$C$5,12,31)) &lt; MAX($D$2, DATE(Initialisatie!$C$5,1,1)), 0, MONTH(MIN($D$1, DATE(Initialisatie!$C$5,12,31))) - MONTH(MAX($D$2, DATE(Initialisatie!$C$5,1,1))) + 1)),
        IFERROR(VALUE($E255),0) * MAX(0, IF(MIN($E$1, DATE(Initialisatie!$C$5,12,31)) &lt; MAX($E$2, DATE(Initialisatie!$C$5,1,1)), 0, MONTH(MIN($E$1, DATE(Initialisatie!$C$5,12,31))) - MONTH(MAX($E$2, DATE(Initialisatie!$C$5,1,1))) + 1))
    ) / 12
)</f>
        <v>10041.5</v>
      </c>
    </row>
    <row r="256" spans="1:8" x14ac:dyDescent="0.45">
      <c r="A256" s="997"/>
      <c r="B256" s="380">
        <v>14</v>
      </c>
      <c r="C256" t="s">
        <v>1879</v>
      </c>
      <c r="D256" t="s">
        <v>1880</v>
      </c>
      <c r="E256" t="s">
        <v>1881</v>
      </c>
      <c r="G256">
        <f>IF(
    OR(
        AND(MAX(0, MIN($C$1, DATE(Initialisatie!$C$5,12,31)) - MAX($C$2, DATE(Initialisatie!$C$5,1,1)) + 1) &gt; 0, IFERROR(VALUE($C256),0)=0),
        AND(MAX(0, MIN($D$1, DATE(Initialisatie!$C$5,12,31)) - MAX($D$2, DATE(Initialisatie!$C$5,1,1)) + 1) &gt; 0, IFERROR(VALUE($D256),0)=0),
        AND(MAX(0, MIN($E$1, DATE(Initialisatie!$C$5,12,31)) - MAX($E$2, DATE(Initialisatie!$C$5,1,1)) + 1) &gt; 0, IFERROR(VALUE($E256),0)=0)
    ),
    0,
    SUM(
        IFERROR(VALUE($C256),0) * MAX(0, MIN($C$1, DATE(Initialisatie!$C$5,12,31)) - MAX($C$2, DATE(Initialisatie!$C$5,1,1)) + 1),
        IFERROR(VALUE($D256),0) * MAX(0, MIN($D$1, DATE(Initialisatie!$C$5,12,31)) - MAX($D$2, DATE(Initialisatie!$C$5,1,1)) + 1),
        IFERROR(VALUE($E256),0) * MAX(0, MIN($E$1, DATE(Initialisatie!$C$5,12,31)) - MAX($E$2, DATE(Initialisatie!$C$5,1,1)) + 1)
    ) / (DATE(Initialisatie!$C$5,12,31) - DATE(Initialisatie!$C$5,1,1) + 1)
)</f>
        <v>10579.704109589042</v>
      </c>
      <c r="H256">
        <f>IF(
    OR(
        AND(MAX(0, IF(MIN($C$1, DATE(Initialisatie!$C$5,12,31)) &lt; MAX($C$2, DATE(Initialisatie!$C$5,1,1)), 0, MONTH(MIN($C$1, DATE(Initialisatie!$C$5,12,31))) - MONTH(MAX($C$2, DATE(Initialisatie!$C$5,1,1))) + 1)) &lt;= 0, IFERROR(VALUE($C256),0)=0),
        AND(MAX(0, IF(MIN($D$1, DATE(Initialisatie!$C$5,12,31)) &lt; MAX($D$2, DATE(Initialisatie!$C$5,1,1)), 0, MONTH(MIN($D$1, DATE(Initialisatie!$C$5,12,31))) - MONTH(MAX($D$2, DATE(Initialisatie!$C$5,1,1))) + 1)) &lt;= 0, IFERROR(VALUE($D256),0)=0),
        AND(MAX(0, IF(MIN($E$1, DATE(Initialisatie!$C$5,12,31)) &lt; MAX($E$2, DATE(Initialisatie!$C$5,1,1)), 0, MONTH(MIN($E$1, DATE(Initialisatie!$C$5,12,31))) - MONTH(MAX($E$2, DATE(Initialisatie!$C$5,1,1))) + 1)) &lt;= 0, IFERROR(VALUE($E256),0)=0)
    ),
    0,
    SUM(
        IFERROR(VALUE($C256),0) * MAX(0, IF(MIN($C$1, DATE(Initialisatie!$C$5,12,31)) &lt; MAX($C$2, DATE(Initialisatie!$C$5,1,1)), 0, MONTH(MIN($C$1, DATE(Initialisatie!$C$5,12,31))) - MONTH(MAX($C$2, DATE(Initialisatie!$C$5,1,1))) + 1)),
        IFERROR(VALUE($D256),0) * MAX(0, IF(MIN($D$1, DATE(Initialisatie!$C$5,12,31)) &lt; MAX($D$2, DATE(Initialisatie!$C$5,1,1)), 0, MONTH(MIN($D$1, DATE(Initialisatie!$C$5,12,31))) - MONTH(MAX($D$2, DATE(Initialisatie!$C$5,1,1))) + 1)),
        IFERROR(VALUE($E256),0) * MAX(0, IF(MIN($E$1, DATE(Initialisatie!$C$5,12,31)) &lt; MAX($E$2, DATE(Initialisatie!$C$5,1,1)), 0, MONTH(MIN($E$1, DATE(Initialisatie!$C$5,12,31))) - MONTH(MAX($E$2, DATE(Initialisatie!$C$5,1,1))) + 1))
    ) / 12
)</f>
        <v>10579.25</v>
      </c>
    </row>
    <row r="257" spans="1:8" x14ac:dyDescent="0.45">
      <c r="A257" s="997"/>
      <c r="B257" s="380">
        <v>15</v>
      </c>
      <c r="C257" t="s">
        <v>1882</v>
      </c>
      <c r="D257" t="s">
        <v>1883</v>
      </c>
      <c r="E257" t="s">
        <v>1884</v>
      </c>
      <c r="G257">
        <f>IF(
    OR(
        AND(MAX(0, MIN($C$1, DATE(Initialisatie!$C$5,12,31)) - MAX($C$2, DATE(Initialisatie!$C$5,1,1)) + 1) &gt; 0, IFERROR(VALUE($C257),0)=0),
        AND(MAX(0, MIN($D$1, DATE(Initialisatie!$C$5,12,31)) - MAX($D$2, DATE(Initialisatie!$C$5,1,1)) + 1) &gt; 0, IFERROR(VALUE($D257),0)=0),
        AND(MAX(0, MIN($E$1, DATE(Initialisatie!$C$5,12,31)) - MAX($E$2, DATE(Initialisatie!$C$5,1,1)) + 1) &gt; 0, IFERROR(VALUE($E257),0)=0)
    ),
    0,
    SUM(
        IFERROR(VALUE($C257),0) * MAX(0, MIN($C$1, DATE(Initialisatie!$C$5,12,31)) - MAX($C$2, DATE(Initialisatie!$C$5,1,1)) + 1),
        IFERROR(VALUE($D257),0) * MAX(0, MIN($D$1, DATE(Initialisatie!$C$5,12,31)) - MAX($D$2, DATE(Initialisatie!$C$5,1,1)) + 1),
        IFERROR(VALUE($E257),0) * MAX(0, MIN($E$1, DATE(Initialisatie!$C$5,12,31)) - MAX($E$2, DATE(Initialisatie!$C$5,1,1)) + 1)
    ) / (DATE(Initialisatie!$C$5,12,31) - DATE(Initialisatie!$C$5,1,1) + 1)
)</f>
        <v>11148.728767123288</v>
      </c>
      <c r="H257">
        <f>IF(
    OR(
        AND(MAX(0, IF(MIN($C$1, DATE(Initialisatie!$C$5,12,31)) &lt; MAX($C$2, DATE(Initialisatie!$C$5,1,1)), 0, MONTH(MIN($C$1, DATE(Initialisatie!$C$5,12,31))) - MONTH(MAX($C$2, DATE(Initialisatie!$C$5,1,1))) + 1)) &lt;= 0, IFERROR(VALUE($C257),0)=0),
        AND(MAX(0, IF(MIN($D$1, DATE(Initialisatie!$C$5,12,31)) &lt; MAX($D$2, DATE(Initialisatie!$C$5,1,1)), 0, MONTH(MIN($D$1, DATE(Initialisatie!$C$5,12,31))) - MONTH(MAX($D$2, DATE(Initialisatie!$C$5,1,1))) + 1)) &lt;= 0, IFERROR(VALUE($D257),0)=0),
        AND(MAX(0, IF(MIN($E$1, DATE(Initialisatie!$C$5,12,31)) &lt; MAX($E$2, DATE(Initialisatie!$C$5,1,1)), 0, MONTH(MIN($E$1, DATE(Initialisatie!$C$5,12,31))) - MONTH(MAX($E$2, DATE(Initialisatie!$C$5,1,1))) + 1)) &lt;= 0, IFERROR(VALUE($E257),0)=0)
    ),
    0,
    SUM(
        IFERROR(VALUE($C257),0) * MAX(0, IF(MIN($C$1, DATE(Initialisatie!$C$5,12,31)) &lt; MAX($C$2, DATE(Initialisatie!$C$5,1,1)), 0, MONTH(MIN($C$1, DATE(Initialisatie!$C$5,12,31))) - MONTH(MAX($C$2, DATE(Initialisatie!$C$5,1,1))) + 1)),
        IFERROR(VALUE($D257),0) * MAX(0, IF(MIN($D$1, DATE(Initialisatie!$C$5,12,31)) &lt; MAX($D$2, DATE(Initialisatie!$C$5,1,1)), 0, MONTH(MIN($D$1, DATE(Initialisatie!$C$5,12,31))) - MONTH(MAX($D$2, DATE(Initialisatie!$C$5,1,1))) + 1)),
        IFERROR(VALUE($E257),0) * MAX(0, IF(MIN($E$1, DATE(Initialisatie!$C$5,12,31)) &lt; MAX($E$2, DATE(Initialisatie!$C$5,1,1)), 0, MONTH(MIN($E$1, DATE(Initialisatie!$C$5,12,31))) - MONTH(MAX($E$2, DATE(Initialisatie!$C$5,1,1))) + 1))
    ) / 12
)</f>
        <v>11148.25</v>
      </c>
    </row>
    <row r="258" spans="1:8" x14ac:dyDescent="0.45">
      <c r="A258" s="998"/>
      <c r="B258" s="380" t="s">
        <v>517</v>
      </c>
      <c r="C258" t="s">
        <v>1885</v>
      </c>
      <c r="D258" t="s">
        <v>1886</v>
      </c>
      <c r="E258" t="s">
        <v>1887</v>
      </c>
      <c r="G258">
        <f>IF(
    OR(
        AND(MAX(0, MIN($C$1, DATE(Initialisatie!$C$5,12,31)) - MAX($C$2, DATE(Initialisatie!$C$5,1,1)) + 1) &gt; 0, IFERROR(VALUE($C258),0)=0),
        AND(MAX(0, MIN($D$1, DATE(Initialisatie!$C$5,12,31)) - MAX($D$2, DATE(Initialisatie!$C$5,1,1)) + 1) &gt; 0, IFERROR(VALUE($D258),0)=0),
        AND(MAX(0, MIN($E$1, DATE(Initialisatie!$C$5,12,31)) - MAX($E$2, DATE(Initialisatie!$C$5,1,1)) + 1) &gt; 0, IFERROR(VALUE($E258),0)=0)
    ),
    0,
    SUM(
        IFERROR(VALUE($C258),0) * MAX(0, MIN($C$1, DATE(Initialisatie!$C$5,12,31)) - MAX($C$2, DATE(Initialisatie!$C$5,1,1)) + 1),
        IFERROR(VALUE($D258),0) * MAX(0, MIN($D$1, DATE(Initialisatie!$C$5,12,31)) - MAX($D$2, DATE(Initialisatie!$C$5,1,1)) + 1),
        IFERROR(VALUE($E258),0) * MAX(0, MIN($E$1, DATE(Initialisatie!$C$5,12,31)) - MAX($E$2, DATE(Initialisatie!$C$5,1,1)) + 1)
    ) / (DATE(Initialisatie!$C$5,12,31) - DATE(Initialisatie!$C$5,1,1) + 1)
)</f>
        <v>5844.7506849315068</v>
      </c>
      <c r="H258">
        <f>IF(
    OR(
        AND(MAX(0, IF(MIN($C$1, DATE(Initialisatie!$C$5,12,31)) &lt; MAX($C$2, DATE(Initialisatie!$C$5,1,1)), 0, MONTH(MIN($C$1, DATE(Initialisatie!$C$5,12,31))) - MONTH(MAX($C$2, DATE(Initialisatie!$C$5,1,1))) + 1)) &lt;= 0, IFERROR(VALUE($C258),0)=0),
        AND(MAX(0, IF(MIN($D$1, DATE(Initialisatie!$C$5,12,31)) &lt; MAX($D$2, DATE(Initialisatie!$C$5,1,1)), 0, MONTH(MIN($D$1, DATE(Initialisatie!$C$5,12,31))) - MONTH(MAX($D$2, DATE(Initialisatie!$C$5,1,1))) + 1)) &lt;= 0, IFERROR(VALUE($D258),0)=0),
        AND(MAX(0, IF(MIN($E$1, DATE(Initialisatie!$C$5,12,31)) &lt; MAX($E$2, DATE(Initialisatie!$C$5,1,1)), 0, MONTH(MIN($E$1, DATE(Initialisatie!$C$5,12,31))) - MONTH(MAX($E$2, DATE(Initialisatie!$C$5,1,1))) + 1)) &lt;= 0, IFERROR(VALUE($E258),0)=0)
    ),
    0,
    SUM(
        IFERROR(VALUE($C258),0) * MAX(0, IF(MIN($C$1, DATE(Initialisatie!$C$5,12,31)) &lt; MAX($C$2, DATE(Initialisatie!$C$5,1,1)), 0, MONTH(MIN($C$1, DATE(Initialisatie!$C$5,12,31))) - MONTH(MAX($C$2, DATE(Initialisatie!$C$5,1,1))) + 1)),
        IFERROR(VALUE($D258),0) * MAX(0, IF(MIN($D$1, DATE(Initialisatie!$C$5,12,31)) &lt; MAX($D$2, DATE(Initialisatie!$C$5,1,1)), 0, MONTH(MIN($D$1, DATE(Initialisatie!$C$5,12,31))) - MONTH(MAX($D$2, DATE(Initialisatie!$C$5,1,1))) + 1)),
        IFERROR(VALUE($E258),0) * MAX(0, IF(MIN($E$1, DATE(Initialisatie!$C$5,12,31)) &lt; MAX($E$2, DATE(Initialisatie!$C$5,1,1)), 0, MONTH(MIN($E$1, DATE(Initialisatie!$C$5,12,31))) - MONTH(MAX($E$2, DATE(Initialisatie!$C$5,1,1))) + 1))
    ) / 12
)</f>
        <v>5844.5</v>
      </c>
    </row>
  </sheetData>
  <mergeCells count="15">
    <mergeCell ref="A89:A105"/>
    <mergeCell ref="A4:A20"/>
    <mergeCell ref="A21:A37"/>
    <mergeCell ref="A38:A54"/>
    <mergeCell ref="A55:A71"/>
    <mergeCell ref="A72:A88"/>
    <mergeCell ref="A208:A224"/>
    <mergeCell ref="A225:A241"/>
    <mergeCell ref="A242:A258"/>
    <mergeCell ref="A106:A122"/>
    <mergeCell ref="A123:A139"/>
    <mergeCell ref="A140:A156"/>
    <mergeCell ref="A157:A173"/>
    <mergeCell ref="A174:A190"/>
    <mergeCell ref="A191:A207"/>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1"/>
  </sheetPr>
  <dimension ref="A1:L328"/>
  <sheetViews>
    <sheetView zoomScale="70" zoomScaleNormal="70" workbookViewId="0">
      <selection activeCell="B2" sqref="B2"/>
    </sheetView>
  </sheetViews>
  <sheetFormatPr defaultRowHeight="14.25" x14ac:dyDescent="0.45"/>
  <sheetData>
    <row r="1" spans="1:12" x14ac:dyDescent="0.45">
      <c r="A1" s="35" t="s">
        <v>28</v>
      </c>
      <c r="B1" s="35" t="s">
        <v>508</v>
      </c>
      <c r="C1" s="35" t="s">
        <v>292</v>
      </c>
      <c r="D1" s="35" t="s">
        <v>290</v>
      </c>
      <c r="E1" s="35" t="s">
        <v>509</v>
      </c>
      <c r="F1" s="35" t="s">
        <v>510</v>
      </c>
      <c r="G1" s="35" t="s">
        <v>511</v>
      </c>
      <c r="H1" s="35" t="s">
        <v>512</v>
      </c>
      <c r="I1" s="35" t="s">
        <v>513</v>
      </c>
      <c r="J1" s="35" t="s">
        <v>514</v>
      </c>
      <c r="K1" s="35" t="s">
        <v>515</v>
      </c>
      <c r="L1" s="35" t="s">
        <v>516</v>
      </c>
    </row>
    <row r="2" spans="1:12" x14ac:dyDescent="0.45">
      <c r="A2" s="988">
        <v>1</v>
      </c>
      <c r="B2" s="35" t="s">
        <v>517</v>
      </c>
      <c r="C2" s="35" t="s">
        <v>517</v>
      </c>
      <c r="D2" s="35" t="s">
        <v>518</v>
      </c>
      <c r="E2">
        <v>1830</v>
      </c>
      <c r="F2">
        <v>1867</v>
      </c>
      <c r="G2">
        <v>1998</v>
      </c>
      <c r="H2">
        <v>2184</v>
      </c>
      <c r="I2">
        <v>2184</v>
      </c>
      <c r="J2">
        <v>2201</v>
      </c>
      <c r="K2">
        <v>2201</v>
      </c>
      <c r="L2">
        <v>14.108974358974359</v>
      </c>
    </row>
    <row r="3" spans="1:12" x14ac:dyDescent="0.45">
      <c r="A3" s="989"/>
      <c r="B3" s="35">
        <v>0</v>
      </c>
      <c r="C3" s="35">
        <v>0</v>
      </c>
      <c r="D3" s="35" t="s">
        <v>519</v>
      </c>
      <c r="E3">
        <v>1872</v>
      </c>
      <c r="F3">
        <v>1909</v>
      </c>
      <c r="G3">
        <v>2043</v>
      </c>
      <c r="H3">
        <v>2184</v>
      </c>
      <c r="I3">
        <v>2210</v>
      </c>
      <c r="J3">
        <v>2210</v>
      </c>
      <c r="K3">
        <v>2210</v>
      </c>
      <c r="L3">
        <v>14.16666666666667</v>
      </c>
    </row>
    <row r="4" spans="1:12" x14ac:dyDescent="0.45">
      <c r="A4" s="989"/>
      <c r="B4" s="35">
        <v>1</v>
      </c>
      <c r="C4" s="35">
        <v>1</v>
      </c>
      <c r="D4" s="35" t="s">
        <v>520</v>
      </c>
      <c r="E4">
        <v>1917</v>
      </c>
      <c r="F4">
        <v>1955</v>
      </c>
      <c r="G4">
        <v>2092</v>
      </c>
      <c r="H4">
        <v>2184</v>
      </c>
      <c r="I4">
        <v>2263</v>
      </c>
      <c r="J4">
        <v>2263</v>
      </c>
      <c r="K4">
        <v>2263</v>
      </c>
      <c r="L4">
        <v>14.506410256410261</v>
      </c>
    </row>
    <row r="5" spans="1:12" x14ac:dyDescent="0.45">
      <c r="A5" s="989"/>
      <c r="B5" s="35">
        <v>2</v>
      </c>
      <c r="C5" s="35">
        <v>2</v>
      </c>
      <c r="D5" s="35" t="s">
        <v>521</v>
      </c>
      <c r="E5">
        <v>1963</v>
      </c>
      <c r="F5">
        <v>2002</v>
      </c>
      <c r="G5">
        <v>2142</v>
      </c>
      <c r="H5">
        <v>2228</v>
      </c>
      <c r="I5">
        <v>2317</v>
      </c>
      <c r="J5">
        <v>2317</v>
      </c>
      <c r="K5">
        <v>2317</v>
      </c>
      <c r="L5">
        <v>14.8525641025641</v>
      </c>
    </row>
    <row r="6" spans="1:12" x14ac:dyDescent="0.45">
      <c r="A6" s="989"/>
      <c r="B6" s="35">
        <v>3</v>
      </c>
      <c r="C6" s="35">
        <v>3</v>
      </c>
      <c r="D6" s="35" t="s">
        <v>522</v>
      </c>
      <c r="E6">
        <v>2012</v>
      </c>
      <c r="F6">
        <v>2052</v>
      </c>
      <c r="G6">
        <v>2196</v>
      </c>
      <c r="H6">
        <v>2284</v>
      </c>
      <c r="I6">
        <v>2375</v>
      </c>
      <c r="J6">
        <v>2375</v>
      </c>
      <c r="K6">
        <v>2375</v>
      </c>
      <c r="L6">
        <v>15.224358974358969</v>
      </c>
    </row>
    <row r="7" spans="1:12" x14ac:dyDescent="0.45">
      <c r="A7" s="989"/>
      <c r="B7" s="35">
        <v>4</v>
      </c>
      <c r="C7" s="35">
        <v>4</v>
      </c>
      <c r="D7" s="35" t="s">
        <v>523</v>
      </c>
      <c r="E7">
        <v>2058</v>
      </c>
      <c r="F7">
        <v>2099</v>
      </c>
      <c r="G7">
        <v>2246</v>
      </c>
      <c r="H7">
        <v>2336</v>
      </c>
      <c r="I7">
        <v>2429</v>
      </c>
      <c r="J7">
        <v>2429</v>
      </c>
      <c r="K7">
        <v>2429</v>
      </c>
      <c r="L7">
        <v>15.570512820512819</v>
      </c>
    </row>
    <row r="8" spans="1:12" x14ac:dyDescent="0.45">
      <c r="A8" s="989"/>
      <c r="B8" s="35">
        <v>5</v>
      </c>
      <c r="C8" s="35">
        <v>5</v>
      </c>
      <c r="D8" s="35" t="s">
        <v>524</v>
      </c>
      <c r="E8">
        <v>2105</v>
      </c>
      <c r="F8">
        <v>2147</v>
      </c>
      <c r="G8">
        <v>2297</v>
      </c>
      <c r="H8">
        <v>2389</v>
      </c>
      <c r="I8">
        <v>2485</v>
      </c>
      <c r="J8">
        <v>2485</v>
      </c>
      <c r="K8">
        <v>2485</v>
      </c>
      <c r="L8">
        <v>15.929487179487181</v>
      </c>
    </row>
    <row r="9" spans="1:12" x14ac:dyDescent="0.45">
      <c r="A9" s="989"/>
      <c r="B9" s="35">
        <v>6</v>
      </c>
      <c r="C9" s="35">
        <v>6</v>
      </c>
      <c r="D9" s="35" t="s">
        <v>525</v>
      </c>
      <c r="E9">
        <v>2157</v>
      </c>
      <c r="F9">
        <v>2200</v>
      </c>
      <c r="G9">
        <v>2354</v>
      </c>
      <c r="H9">
        <v>2448</v>
      </c>
      <c r="I9">
        <v>2546</v>
      </c>
      <c r="J9">
        <v>2546</v>
      </c>
      <c r="K9">
        <v>2546</v>
      </c>
      <c r="L9">
        <v>16.320512820512821</v>
      </c>
    </row>
    <row r="10" spans="1:12" x14ac:dyDescent="0.45">
      <c r="A10" s="989"/>
      <c r="B10" s="35">
        <v>7</v>
      </c>
      <c r="C10" s="35">
        <v>7</v>
      </c>
      <c r="D10" s="35" t="s">
        <v>526</v>
      </c>
      <c r="E10">
        <v>2211</v>
      </c>
      <c r="F10">
        <v>2255</v>
      </c>
      <c r="G10">
        <v>2413</v>
      </c>
      <c r="H10">
        <v>2510</v>
      </c>
      <c r="I10">
        <v>2610</v>
      </c>
      <c r="J10">
        <v>2610</v>
      </c>
      <c r="K10">
        <v>2610</v>
      </c>
      <c r="L10">
        <v>16.73076923076923</v>
      </c>
    </row>
    <row r="11" spans="1:12" x14ac:dyDescent="0.45">
      <c r="A11" s="989"/>
      <c r="B11" s="35">
        <v>8</v>
      </c>
      <c r="C11" s="35">
        <v>8</v>
      </c>
      <c r="D11" s="35" t="s">
        <v>527</v>
      </c>
      <c r="E11">
        <v>2262</v>
      </c>
      <c r="F11">
        <v>2307</v>
      </c>
      <c r="G11">
        <v>2468</v>
      </c>
      <c r="H11">
        <v>2567</v>
      </c>
      <c r="I11">
        <v>2670</v>
      </c>
      <c r="J11">
        <v>2670</v>
      </c>
      <c r="K11">
        <v>2670</v>
      </c>
      <c r="L11">
        <v>17.11538461538462</v>
      </c>
    </row>
    <row r="12" spans="1:12" x14ac:dyDescent="0.45">
      <c r="A12" s="989"/>
      <c r="B12" s="35">
        <v>9</v>
      </c>
      <c r="C12" s="35">
        <v>9</v>
      </c>
      <c r="D12" s="35" t="s">
        <v>528</v>
      </c>
      <c r="E12">
        <v>2319</v>
      </c>
      <c r="F12">
        <v>2365</v>
      </c>
      <c r="G12">
        <v>2531</v>
      </c>
      <c r="H12">
        <v>2632</v>
      </c>
      <c r="I12">
        <v>2737</v>
      </c>
      <c r="J12">
        <v>2737</v>
      </c>
      <c r="K12">
        <v>2737</v>
      </c>
      <c r="L12">
        <v>17.544871794871799</v>
      </c>
    </row>
    <row r="13" spans="1:12" x14ac:dyDescent="0.45">
      <c r="A13" s="989"/>
      <c r="B13" s="35">
        <v>10</v>
      </c>
      <c r="C13" s="35">
        <v>10</v>
      </c>
      <c r="D13" s="35" t="s">
        <v>529</v>
      </c>
      <c r="J13">
        <v>2829</v>
      </c>
      <c r="K13">
        <v>2829</v>
      </c>
      <c r="L13">
        <v>18.13461538461538</v>
      </c>
    </row>
    <row r="14" spans="1:12" x14ac:dyDescent="0.45">
      <c r="A14" s="989"/>
      <c r="B14" s="35">
        <v>11</v>
      </c>
      <c r="C14" s="35">
        <v>11</v>
      </c>
      <c r="D14" s="35" t="s">
        <v>530</v>
      </c>
      <c r="J14">
        <v>2908</v>
      </c>
      <c r="K14">
        <v>2908</v>
      </c>
      <c r="L14">
        <v>18.641025641025639</v>
      </c>
    </row>
    <row r="15" spans="1:12" x14ac:dyDescent="0.45">
      <c r="A15" s="989"/>
      <c r="B15" s="35" t="s">
        <v>531</v>
      </c>
      <c r="C15" s="35" t="s">
        <v>531</v>
      </c>
      <c r="D15" s="35" t="s">
        <v>532</v>
      </c>
      <c r="E15">
        <v>2396</v>
      </c>
      <c r="F15">
        <v>2444</v>
      </c>
      <c r="G15">
        <v>2615</v>
      </c>
      <c r="H15">
        <v>2720</v>
      </c>
      <c r="I15">
        <v>2829</v>
      </c>
    </row>
    <row r="16" spans="1:12" x14ac:dyDescent="0.45">
      <c r="A16" s="989"/>
      <c r="B16" s="35" t="s">
        <v>533</v>
      </c>
      <c r="C16" s="35" t="s">
        <v>533</v>
      </c>
      <c r="D16" s="35" t="s">
        <v>534</v>
      </c>
      <c r="E16">
        <v>2463</v>
      </c>
      <c r="F16">
        <v>2512</v>
      </c>
      <c r="G16">
        <v>2688</v>
      </c>
      <c r="H16">
        <v>2796</v>
      </c>
      <c r="I16">
        <v>2908</v>
      </c>
    </row>
    <row r="17" spans="1:12" x14ac:dyDescent="0.45">
      <c r="A17" s="989"/>
      <c r="B17" s="35" t="s">
        <v>535</v>
      </c>
      <c r="C17" s="35" t="s">
        <v>535</v>
      </c>
      <c r="D17" s="35" t="s">
        <v>536</v>
      </c>
      <c r="E17">
        <v>2396</v>
      </c>
      <c r="F17">
        <v>2444</v>
      </c>
      <c r="G17">
        <v>2615</v>
      </c>
      <c r="H17">
        <v>2720</v>
      </c>
      <c r="I17">
        <v>2829</v>
      </c>
      <c r="J17">
        <v>2829</v>
      </c>
      <c r="K17">
        <v>2829</v>
      </c>
      <c r="L17">
        <v>18.13461538461538</v>
      </c>
    </row>
    <row r="18" spans="1:12" x14ac:dyDescent="0.45">
      <c r="A18" s="989"/>
      <c r="B18" s="35" t="s">
        <v>537</v>
      </c>
      <c r="C18" s="35" t="s">
        <v>537</v>
      </c>
      <c r="D18" s="35" t="s">
        <v>538</v>
      </c>
      <c r="E18">
        <v>2463</v>
      </c>
      <c r="F18">
        <v>2512</v>
      </c>
      <c r="G18">
        <v>2688</v>
      </c>
      <c r="H18">
        <v>2796</v>
      </c>
      <c r="I18">
        <v>2908</v>
      </c>
      <c r="J18">
        <v>2908</v>
      </c>
      <c r="K18">
        <v>2908</v>
      </c>
      <c r="L18">
        <v>18.641025641025639</v>
      </c>
    </row>
    <row r="19" spans="1:12" x14ac:dyDescent="0.45">
      <c r="A19" s="989"/>
      <c r="B19" s="35" t="s">
        <v>539</v>
      </c>
      <c r="C19" s="35" t="s">
        <v>539</v>
      </c>
      <c r="D19" s="35" t="s">
        <v>540</v>
      </c>
      <c r="E19">
        <v>2543</v>
      </c>
      <c r="F19">
        <v>2594</v>
      </c>
      <c r="G19">
        <v>2776</v>
      </c>
      <c r="H19">
        <v>2887</v>
      </c>
      <c r="I19">
        <v>3002</v>
      </c>
      <c r="J19">
        <v>3002</v>
      </c>
      <c r="K19">
        <v>3002</v>
      </c>
      <c r="L19">
        <v>19.243589743589741</v>
      </c>
    </row>
    <row r="20" spans="1:12" x14ac:dyDescent="0.45">
      <c r="A20" s="989"/>
      <c r="B20" s="35" t="s">
        <v>541</v>
      </c>
      <c r="C20" s="35" t="s">
        <v>541</v>
      </c>
      <c r="D20" s="35" t="s">
        <v>542</v>
      </c>
      <c r="E20">
        <v>2614</v>
      </c>
      <c r="F20">
        <v>2666</v>
      </c>
      <c r="G20">
        <v>2853</v>
      </c>
      <c r="H20">
        <v>2967</v>
      </c>
      <c r="I20">
        <v>3086</v>
      </c>
      <c r="J20">
        <v>3086</v>
      </c>
      <c r="K20">
        <v>3086</v>
      </c>
      <c r="L20">
        <v>19.782051282051281</v>
      </c>
    </row>
    <row r="21" spans="1:12" x14ac:dyDescent="0.45">
      <c r="A21" s="990"/>
      <c r="B21" s="35" t="s">
        <v>543</v>
      </c>
      <c r="C21" s="35" t="s">
        <v>543</v>
      </c>
      <c r="D21" s="35" t="s">
        <v>544</v>
      </c>
      <c r="E21">
        <v>2693</v>
      </c>
      <c r="F21">
        <v>2747</v>
      </c>
      <c r="G21">
        <v>2939</v>
      </c>
      <c r="H21">
        <v>3057</v>
      </c>
      <c r="I21">
        <v>3179</v>
      </c>
      <c r="J21">
        <v>3179</v>
      </c>
      <c r="K21">
        <v>3179</v>
      </c>
      <c r="L21">
        <v>20.378205128205131</v>
      </c>
    </row>
    <row r="22" spans="1:12" x14ac:dyDescent="0.45">
      <c r="A22" s="988">
        <v>2</v>
      </c>
      <c r="B22" s="35" t="s">
        <v>517</v>
      </c>
      <c r="C22" s="35" t="s">
        <v>517</v>
      </c>
      <c r="D22" s="35" t="s">
        <v>545</v>
      </c>
      <c r="E22">
        <v>1875</v>
      </c>
      <c r="F22">
        <v>1913</v>
      </c>
      <c r="G22">
        <v>2047</v>
      </c>
      <c r="H22">
        <v>2184</v>
      </c>
      <c r="I22">
        <v>2214</v>
      </c>
      <c r="J22">
        <v>2214</v>
      </c>
      <c r="K22">
        <v>2214</v>
      </c>
      <c r="L22">
        <v>14.19230769230769</v>
      </c>
    </row>
    <row r="23" spans="1:12" x14ac:dyDescent="0.45">
      <c r="A23" s="989"/>
      <c r="B23" s="35">
        <v>0</v>
      </c>
      <c r="C23" s="35">
        <v>0</v>
      </c>
      <c r="D23" s="35" t="s">
        <v>546</v>
      </c>
      <c r="E23">
        <v>1917</v>
      </c>
      <c r="F23">
        <v>1955</v>
      </c>
      <c r="G23">
        <v>2092</v>
      </c>
      <c r="H23">
        <v>2184</v>
      </c>
      <c r="I23">
        <v>2263</v>
      </c>
      <c r="J23">
        <v>2263</v>
      </c>
      <c r="K23">
        <v>2263</v>
      </c>
      <c r="L23">
        <v>14.506410256410261</v>
      </c>
    </row>
    <row r="24" spans="1:12" x14ac:dyDescent="0.45">
      <c r="A24" s="989"/>
      <c r="B24" s="35">
        <v>1</v>
      </c>
      <c r="C24" s="35">
        <v>1</v>
      </c>
      <c r="D24" s="35" t="s">
        <v>547</v>
      </c>
      <c r="E24">
        <v>1963</v>
      </c>
      <c r="F24">
        <v>2002</v>
      </c>
      <c r="G24">
        <v>2142</v>
      </c>
      <c r="H24">
        <v>2228</v>
      </c>
      <c r="I24">
        <v>2317</v>
      </c>
      <c r="J24">
        <v>2317</v>
      </c>
      <c r="K24">
        <v>2317</v>
      </c>
      <c r="L24">
        <v>14.8525641025641</v>
      </c>
    </row>
    <row r="25" spans="1:12" x14ac:dyDescent="0.45">
      <c r="A25" s="989"/>
      <c r="B25" s="35">
        <v>2</v>
      </c>
      <c r="C25" s="35">
        <v>2</v>
      </c>
      <c r="D25" s="35" t="s">
        <v>548</v>
      </c>
      <c r="E25">
        <v>2012</v>
      </c>
      <c r="F25">
        <v>2052</v>
      </c>
      <c r="G25">
        <v>2196</v>
      </c>
      <c r="H25">
        <v>2284</v>
      </c>
      <c r="I25">
        <v>2375</v>
      </c>
      <c r="J25">
        <v>2375</v>
      </c>
      <c r="K25">
        <v>2375</v>
      </c>
      <c r="L25">
        <v>15.224358974358969</v>
      </c>
    </row>
    <row r="26" spans="1:12" x14ac:dyDescent="0.45">
      <c r="A26" s="989"/>
      <c r="B26" s="35">
        <v>3</v>
      </c>
      <c r="C26" s="35">
        <v>3</v>
      </c>
      <c r="D26" s="35" t="s">
        <v>549</v>
      </c>
      <c r="E26">
        <v>2058</v>
      </c>
      <c r="F26">
        <v>2099</v>
      </c>
      <c r="G26">
        <v>2246</v>
      </c>
      <c r="H26">
        <v>2336</v>
      </c>
      <c r="I26">
        <v>2429</v>
      </c>
      <c r="J26">
        <v>2429</v>
      </c>
      <c r="K26">
        <v>2429</v>
      </c>
      <c r="L26">
        <v>15.570512820512819</v>
      </c>
    </row>
    <row r="27" spans="1:12" x14ac:dyDescent="0.45">
      <c r="A27" s="989"/>
      <c r="B27" s="35">
        <v>4</v>
      </c>
      <c r="C27" s="35">
        <v>4</v>
      </c>
      <c r="D27" s="35" t="s">
        <v>550</v>
      </c>
      <c r="E27">
        <v>2105</v>
      </c>
      <c r="F27">
        <v>2147</v>
      </c>
      <c r="G27">
        <v>2297</v>
      </c>
      <c r="H27">
        <v>2389</v>
      </c>
      <c r="I27">
        <v>2485</v>
      </c>
      <c r="J27">
        <v>2485</v>
      </c>
      <c r="K27">
        <v>2485</v>
      </c>
      <c r="L27">
        <v>15.929487179487181</v>
      </c>
    </row>
    <row r="28" spans="1:12" x14ac:dyDescent="0.45">
      <c r="A28" s="989"/>
      <c r="B28" s="35">
        <v>5</v>
      </c>
      <c r="C28" s="35">
        <v>5</v>
      </c>
      <c r="D28" s="35" t="s">
        <v>551</v>
      </c>
      <c r="E28">
        <v>2157</v>
      </c>
      <c r="F28">
        <v>2200</v>
      </c>
      <c r="G28">
        <v>2354</v>
      </c>
      <c r="H28">
        <v>2448</v>
      </c>
      <c r="I28">
        <v>2546</v>
      </c>
      <c r="J28">
        <v>2546</v>
      </c>
      <c r="K28">
        <v>2546</v>
      </c>
      <c r="L28">
        <v>16.320512820512821</v>
      </c>
    </row>
    <row r="29" spans="1:12" x14ac:dyDescent="0.45">
      <c r="A29" s="989"/>
      <c r="B29" s="35">
        <v>6</v>
      </c>
      <c r="C29" s="35">
        <v>6</v>
      </c>
      <c r="D29" s="35" t="s">
        <v>552</v>
      </c>
      <c r="E29">
        <v>2211</v>
      </c>
      <c r="F29">
        <v>2255</v>
      </c>
      <c r="G29">
        <v>2413</v>
      </c>
      <c r="H29">
        <v>2510</v>
      </c>
      <c r="I29">
        <v>2610</v>
      </c>
      <c r="J29">
        <v>2610</v>
      </c>
      <c r="K29">
        <v>2610</v>
      </c>
      <c r="L29">
        <v>16.73076923076923</v>
      </c>
    </row>
    <row r="30" spans="1:12" x14ac:dyDescent="0.45">
      <c r="A30" s="989"/>
      <c r="B30" s="35">
        <v>7</v>
      </c>
      <c r="C30" s="35">
        <v>7</v>
      </c>
      <c r="D30" s="35" t="s">
        <v>553</v>
      </c>
      <c r="E30">
        <v>2262</v>
      </c>
      <c r="F30">
        <v>2307</v>
      </c>
      <c r="G30">
        <v>2468</v>
      </c>
      <c r="H30">
        <v>2567</v>
      </c>
      <c r="I30">
        <v>2670</v>
      </c>
      <c r="J30">
        <v>2670</v>
      </c>
      <c r="K30">
        <v>2670</v>
      </c>
      <c r="L30">
        <v>17.11538461538462</v>
      </c>
    </row>
    <row r="31" spans="1:12" x14ac:dyDescent="0.45">
      <c r="A31" s="989"/>
      <c r="B31" s="35">
        <v>8</v>
      </c>
      <c r="C31" s="35">
        <v>8</v>
      </c>
      <c r="D31" s="35" t="s">
        <v>554</v>
      </c>
      <c r="E31">
        <v>2319</v>
      </c>
      <c r="F31">
        <v>2365</v>
      </c>
      <c r="G31">
        <v>2531</v>
      </c>
      <c r="H31">
        <v>2632</v>
      </c>
      <c r="I31">
        <v>2737</v>
      </c>
      <c r="J31">
        <v>2737</v>
      </c>
      <c r="K31">
        <v>2737</v>
      </c>
      <c r="L31">
        <v>17.544871794871799</v>
      </c>
    </row>
    <row r="32" spans="1:12" x14ac:dyDescent="0.45">
      <c r="A32" s="989"/>
      <c r="B32" s="35">
        <v>9</v>
      </c>
      <c r="C32" s="35">
        <v>9</v>
      </c>
      <c r="D32" s="35" t="s">
        <v>555</v>
      </c>
      <c r="E32">
        <v>2396</v>
      </c>
      <c r="F32">
        <v>2444</v>
      </c>
      <c r="G32">
        <v>2615</v>
      </c>
      <c r="H32">
        <v>2720</v>
      </c>
      <c r="I32">
        <v>2829</v>
      </c>
      <c r="J32">
        <v>2829</v>
      </c>
      <c r="K32">
        <v>2829</v>
      </c>
      <c r="L32">
        <v>18.13461538461538</v>
      </c>
    </row>
    <row r="33" spans="1:12" x14ac:dyDescent="0.45">
      <c r="A33" s="989"/>
      <c r="B33" s="35">
        <v>10</v>
      </c>
      <c r="C33" s="35">
        <v>10</v>
      </c>
      <c r="D33" s="35" t="s">
        <v>556</v>
      </c>
      <c r="E33">
        <v>2463</v>
      </c>
      <c r="F33">
        <v>2512</v>
      </c>
      <c r="G33">
        <v>2688</v>
      </c>
      <c r="H33">
        <v>2796</v>
      </c>
      <c r="I33">
        <v>2908</v>
      </c>
      <c r="J33">
        <v>2908</v>
      </c>
      <c r="K33">
        <v>2908</v>
      </c>
      <c r="L33">
        <v>18.641025641025639</v>
      </c>
    </row>
    <row r="34" spans="1:12" x14ac:dyDescent="0.45">
      <c r="A34" s="989"/>
      <c r="B34" s="35">
        <v>11</v>
      </c>
      <c r="C34" s="35">
        <v>11</v>
      </c>
      <c r="D34" s="35" t="s">
        <v>557</v>
      </c>
      <c r="J34">
        <v>3002</v>
      </c>
      <c r="K34">
        <v>3002</v>
      </c>
      <c r="L34">
        <v>19.243589743589741</v>
      </c>
    </row>
    <row r="35" spans="1:12" x14ac:dyDescent="0.45">
      <c r="A35" s="989"/>
      <c r="B35" s="35">
        <v>12</v>
      </c>
      <c r="C35" s="35">
        <v>12</v>
      </c>
      <c r="D35" s="35" t="s">
        <v>558</v>
      </c>
      <c r="J35">
        <v>3086</v>
      </c>
      <c r="K35">
        <v>3086</v>
      </c>
      <c r="L35">
        <v>19.782051282051281</v>
      </c>
    </row>
    <row r="36" spans="1:12" x14ac:dyDescent="0.45">
      <c r="A36" s="989"/>
      <c r="B36" s="35" t="s">
        <v>531</v>
      </c>
      <c r="C36" s="35" t="s">
        <v>531</v>
      </c>
      <c r="D36" s="35" t="s">
        <v>559</v>
      </c>
      <c r="E36">
        <v>2543</v>
      </c>
      <c r="F36">
        <v>2594</v>
      </c>
      <c r="G36">
        <v>2776</v>
      </c>
      <c r="H36">
        <v>2887</v>
      </c>
      <c r="I36">
        <v>3002</v>
      </c>
    </row>
    <row r="37" spans="1:12" x14ac:dyDescent="0.45">
      <c r="A37" s="989"/>
      <c r="B37" s="35" t="s">
        <v>533</v>
      </c>
      <c r="C37" s="35" t="s">
        <v>533</v>
      </c>
      <c r="D37" s="35" t="s">
        <v>560</v>
      </c>
      <c r="E37">
        <v>2614</v>
      </c>
      <c r="F37">
        <v>2666</v>
      </c>
      <c r="G37">
        <v>2853</v>
      </c>
      <c r="H37">
        <v>2967</v>
      </c>
      <c r="I37">
        <v>3086</v>
      </c>
    </row>
    <row r="38" spans="1:12" x14ac:dyDescent="0.45">
      <c r="A38" s="989"/>
      <c r="B38" s="35" t="s">
        <v>535</v>
      </c>
      <c r="C38" s="35" t="s">
        <v>535</v>
      </c>
      <c r="D38" s="35" t="s">
        <v>561</v>
      </c>
      <c r="E38">
        <v>2543</v>
      </c>
      <c r="F38">
        <v>2594</v>
      </c>
      <c r="G38">
        <v>2776</v>
      </c>
      <c r="H38">
        <v>2887</v>
      </c>
      <c r="I38">
        <v>3002</v>
      </c>
      <c r="J38">
        <v>3002</v>
      </c>
      <c r="K38">
        <v>3002</v>
      </c>
      <c r="L38">
        <v>19.243589743589741</v>
      </c>
    </row>
    <row r="39" spans="1:12" x14ac:dyDescent="0.45">
      <c r="A39" s="989"/>
      <c r="B39" s="35" t="s">
        <v>537</v>
      </c>
      <c r="C39" s="35" t="s">
        <v>537</v>
      </c>
      <c r="D39" s="35" t="s">
        <v>562</v>
      </c>
      <c r="E39">
        <v>2614</v>
      </c>
      <c r="F39">
        <v>2666</v>
      </c>
      <c r="G39">
        <v>2853</v>
      </c>
      <c r="H39">
        <v>2967</v>
      </c>
      <c r="I39">
        <v>3086</v>
      </c>
      <c r="J39">
        <v>3086</v>
      </c>
      <c r="K39">
        <v>3086</v>
      </c>
      <c r="L39">
        <v>19.782051282051281</v>
      </c>
    </row>
    <row r="40" spans="1:12" x14ac:dyDescent="0.45">
      <c r="A40" s="989"/>
      <c r="B40" s="35" t="s">
        <v>539</v>
      </c>
      <c r="C40" s="35" t="s">
        <v>539</v>
      </c>
      <c r="D40" s="35" t="s">
        <v>563</v>
      </c>
      <c r="E40">
        <v>2693</v>
      </c>
      <c r="F40">
        <v>2747</v>
      </c>
      <c r="G40">
        <v>2939</v>
      </c>
      <c r="H40">
        <v>3057</v>
      </c>
      <c r="I40">
        <v>3179</v>
      </c>
      <c r="J40">
        <v>3179</v>
      </c>
      <c r="K40">
        <v>3179</v>
      </c>
      <c r="L40">
        <v>20.378205128205131</v>
      </c>
    </row>
    <row r="41" spans="1:12" x14ac:dyDescent="0.45">
      <c r="A41" s="989"/>
      <c r="B41" s="35" t="s">
        <v>541</v>
      </c>
      <c r="C41" s="35" t="s">
        <v>541</v>
      </c>
      <c r="D41" s="35" t="s">
        <v>564</v>
      </c>
      <c r="E41">
        <v>2761</v>
      </c>
      <c r="F41">
        <v>2816</v>
      </c>
      <c r="G41">
        <v>3013</v>
      </c>
      <c r="H41">
        <v>3134</v>
      </c>
      <c r="I41">
        <v>3259</v>
      </c>
      <c r="J41">
        <v>3259</v>
      </c>
      <c r="K41">
        <v>3259</v>
      </c>
      <c r="L41">
        <v>20.891025641025639</v>
      </c>
    </row>
    <row r="42" spans="1:12" x14ac:dyDescent="0.45">
      <c r="A42" s="990"/>
      <c r="B42" s="35" t="s">
        <v>543</v>
      </c>
      <c r="C42" s="35" t="s">
        <v>543</v>
      </c>
      <c r="D42" s="35" t="s">
        <v>565</v>
      </c>
      <c r="E42">
        <v>2832</v>
      </c>
      <c r="F42">
        <v>2889</v>
      </c>
      <c r="G42">
        <v>3091</v>
      </c>
      <c r="H42">
        <v>3215</v>
      </c>
      <c r="I42">
        <v>3344</v>
      </c>
      <c r="J42">
        <v>3344</v>
      </c>
      <c r="K42">
        <v>3344</v>
      </c>
      <c r="L42">
        <v>21.435897435897431</v>
      </c>
    </row>
    <row r="43" spans="1:12" x14ac:dyDescent="0.45">
      <c r="A43" s="988">
        <v>3</v>
      </c>
      <c r="B43" s="35" t="s">
        <v>517</v>
      </c>
      <c r="C43" s="35" t="s">
        <v>517</v>
      </c>
      <c r="D43" s="35" t="s">
        <v>566</v>
      </c>
      <c r="E43">
        <v>1920</v>
      </c>
      <c r="F43">
        <v>1958</v>
      </c>
      <c r="G43">
        <v>2095</v>
      </c>
      <c r="H43">
        <v>2184</v>
      </c>
      <c r="I43">
        <v>2266</v>
      </c>
      <c r="J43">
        <v>2266</v>
      </c>
      <c r="K43">
        <v>2266</v>
      </c>
      <c r="L43">
        <v>14.525641025641031</v>
      </c>
    </row>
    <row r="44" spans="1:12" x14ac:dyDescent="0.45">
      <c r="A44" s="989"/>
      <c r="B44" s="35">
        <v>0</v>
      </c>
      <c r="C44" s="35">
        <v>0</v>
      </c>
      <c r="D44" s="35" t="s">
        <v>567</v>
      </c>
      <c r="E44">
        <v>1963</v>
      </c>
      <c r="F44">
        <v>2002</v>
      </c>
      <c r="G44">
        <v>2142</v>
      </c>
      <c r="H44">
        <v>2228</v>
      </c>
      <c r="I44">
        <v>2317</v>
      </c>
      <c r="J44">
        <v>2317</v>
      </c>
      <c r="K44">
        <v>2317</v>
      </c>
      <c r="L44">
        <v>14.8525641025641</v>
      </c>
    </row>
    <row r="45" spans="1:12" x14ac:dyDescent="0.45">
      <c r="A45" s="989"/>
      <c r="B45" s="35">
        <v>1</v>
      </c>
      <c r="C45" s="35">
        <v>1</v>
      </c>
      <c r="D45" s="35" t="s">
        <v>568</v>
      </c>
      <c r="E45">
        <v>2012</v>
      </c>
      <c r="F45">
        <v>2052</v>
      </c>
      <c r="G45">
        <v>2196</v>
      </c>
      <c r="H45">
        <v>2284</v>
      </c>
      <c r="I45">
        <v>2375</v>
      </c>
      <c r="J45">
        <v>2375</v>
      </c>
      <c r="K45">
        <v>2375</v>
      </c>
      <c r="L45">
        <v>15.224358974358969</v>
      </c>
    </row>
    <row r="46" spans="1:12" x14ac:dyDescent="0.45">
      <c r="A46" s="989"/>
      <c r="B46" s="35">
        <v>2</v>
      </c>
      <c r="C46" s="35">
        <v>2</v>
      </c>
      <c r="D46" s="35" t="s">
        <v>569</v>
      </c>
      <c r="E46">
        <v>2058</v>
      </c>
      <c r="F46">
        <v>2099</v>
      </c>
      <c r="G46">
        <v>2246</v>
      </c>
      <c r="H46">
        <v>2336</v>
      </c>
      <c r="I46">
        <v>2429</v>
      </c>
      <c r="J46">
        <v>2429</v>
      </c>
      <c r="K46">
        <v>2429</v>
      </c>
      <c r="L46">
        <v>15.570512820512819</v>
      </c>
    </row>
    <row r="47" spans="1:12" x14ac:dyDescent="0.45">
      <c r="A47" s="989"/>
      <c r="B47" s="35">
        <v>3</v>
      </c>
      <c r="C47" s="35">
        <v>3</v>
      </c>
      <c r="D47" s="35" t="s">
        <v>570</v>
      </c>
      <c r="E47">
        <v>2105</v>
      </c>
      <c r="F47">
        <v>2147</v>
      </c>
      <c r="G47">
        <v>2297</v>
      </c>
      <c r="H47">
        <v>2389</v>
      </c>
      <c r="I47">
        <v>2485</v>
      </c>
      <c r="J47">
        <v>2485</v>
      </c>
      <c r="K47">
        <v>2485</v>
      </c>
      <c r="L47">
        <v>15.929487179487181</v>
      </c>
    </row>
    <row r="48" spans="1:12" x14ac:dyDescent="0.45">
      <c r="A48" s="989"/>
      <c r="B48" s="35">
        <v>4</v>
      </c>
      <c r="C48" s="35">
        <v>4</v>
      </c>
      <c r="D48" s="35" t="s">
        <v>571</v>
      </c>
      <c r="E48">
        <v>2157</v>
      </c>
      <c r="F48">
        <v>2200</v>
      </c>
      <c r="G48">
        <v>2354</v>
      </c>
      <c r="H48">
        <v>2448</v>
      </c>
      <c r="I48">
        <v>2546</v>
      </c>
      <c r="J48">
        <v>2546</v>
      </c>
      <c r="K48">
        <v>2546</v>
      </c>
      <c r="L48">
        <v>16.320512820512821</v>
      </c>
    </row>
    <row r="49" spans="1:12" x14ac:dyDescent="0.45">
      <c r="A49" s="989"/>
      <c r="B49" s="35">
        <v>5</v>
      </c>
      <c r="C49" s="35">
        <v>5</v>
      </c>
      <c r="D49" s="35" t="s">
        <v>572</v>
      </c>
      <c r="E49">
        <v>2211</v>
      </c>
      <c r="F49">
        <v>2255</v>
      </c>
      <c r="G49">
        <v>2413</v>
      </c>
      <c r="H49">
        <v>2510</v>
      </c>
      <c r="I49">
        <v>2610</v>
      </c>
      <c r="J49">
        <v>2610</v>
      </c>
      <c r="K49">
        <v>2610</v>
      </c>
      <c r="L49">
        <v>16.73076923076923</v>
      </c>
    </row>
    <row r="50" spans="1:12" x14ac:dyDescent="0.45">
      <c r="A50" s="989"/>
      <c r="B50" s="35">
        <v>6</v>
      </c>
      <c r="C50" s="35">
        <v>6</v>
      </c>
      <c r="D50" s="35" t="s">
        <v>573</v>
      </c>
      <c r="E50">
        <v>2262</v>
      </c>
      <c r="F50">
        <v>2307</v>
      </c>
      <c r="G50">
        <v>2468</v>
      </c>
      <c r="H50">
        <v>2567</v>
      </c>
      <c r="I50">
        <v>2670</v>
      </c>
      <c r="J50">
        <v>2670</v>
      </c>
      <c r="K50">
        <v>2670</v>
      </c>
      <c r="L50">
        <v>17.11538461538462</v>
      </c>
    </row>
    <row r="51" spans="1:12" x14ac:dyDescent="0.45">
      <c r="A51" s="989"/>
      <c r="B51" s="35">
        <v>7</v>
      </c>
      <c r="C51" s="35">
        <v>7</v>
      </c>
      <c r="D51" s="35" t="s">
        <v>574</v>
      </c>
      <c r="E51">
        <v>2319</v>
      </c>
      <c r="F51">
        <v>2365</v>
      </c>
      <c r="G51">
        <v>2531</v>
      </c>
      <c r="H51">
        <v>2632</v>
      </c>
      <c r="I51">
        <v>2737</v>
      </c>
      <c r="J51">
        <v>2737</v>
      </c>
      <c r="K51">
        <v>2737</v>
      </c>
      <c r="L51">
        <v>17.544871794871799</v>
      </c>
    </row>
    <row r="52" spans="1:12" x14ac:dyDescent="0.45">
      <c r="A52" s="989"/>
      <c r="B52" s="35">
        <v>8</v>
      </c>
      <c r="C52" s="35">
        <v>8</v>
      </c>
      <c r="D52" s="35" t="s">
        <v>575</v>
      </c>
      <c r="E52">
        <v>2396</v>
      </c>
      <c r="F52">
        <v>2444</v>
      </c>
      <c r="G52">
        <v>2615</v>
      </c>
      <c r="H52">
        <v>2720</v>
      </c>
      <c r="I52">
        <v>2829</v>
      </c>
      <c r="J52">
        <v>2829</v>
      </c>
      <c r="K52">
        <v>2829</v>
      </c>
      <c r="L52">
        <v>18.13461538461538</v>
      </c>
    </row>
    <row r="53" spans="1:12" x14ac:dyDescent="0.45">
      <c r="A53" s="989"/>
      <c r="B53" s="35">
        <v>9</v>
      </c>
      <c r="C53" s="35">
        <v>9</v>
      </c>
      <c r="D53" s="35" t="s">
        <v>576</v>
      </c>
      <c r="E53">
        <v>2463</v>
      </c>
      <c r="F53">
        <v>2512</v>
      </c>
      <c r="G53">
        <v>2688</v>
      </c>
      <c r="H53">
        <v>2796</v>
      </c>
      <c r="I53">
        <v>2908</v>
      </c>
      <c r="J53">
        <v>2908</v>
      </c>
      <c r="K53">
        <v>2908</v>
      </c>
      <c r="L53">
        <v>18.641025641025639</v>
      </c>
    </row>
    <row r="54" spans="1:12" x14ac:dyDescent="0.45">
      <c r="A54" s="989"/>
      <c r="B54" s="35">
        <v>10</v>
      </c>
      <c r="C54" s="35">
        <v>10</v>
      </c>
      <c r="D54" s="35" t="s">
        <v>577</v>
      </c>
      <c r="E54">
        <v>2543</v>
      </c>
      <c r="F54">
        <v>2594</v>
      </c>
      <c r="G54">
        <v>2776</v>
      </c>
      <c r="H54">
        <v>2887</v>
      </c>
      <c r="I54">
        <v>3002</v>
      </c>
      <c r="J54">
        <v>3002</v>
      </c>
      <c r="K54">
        <v>3002</v>
      </c>
      <c r="L54">
        <v>19.243589743589741</v>
      </c>
    </row>
    <row r="55" spans="1:12" x14ac:dyDescent="0.45">
      <c r="A55" s="989"/>
      <c r="B55" s="35">
        <v>11</v>
      </c>
      <c r="C55" s="35">
        <v>11</v>
      </c>
      <c r="D55" s="35" t="s">
        <v>578</v>
      </c>
      <c r="E55">
        <v>2614</v>
      </c>
      <c r="F55">
        <v>2666</v>
      </c>
      <c r="G55">
        <v>2853</v>
      </c>
      <c r="H55">
        <v>2967</v>
      </c>
      <c r="I55">
        <v>3086</v>
      </c>
      <c r="J55">
        <v>3086</v>
      </c>
      <c r="K55">
        <v>3086</v>
      </c>
      <c r="L55">
        <v>19.782051282051281</v>
      </c>
    </row>
    <row r="56" spans="1:12" x14ac:dyDescent="0.45">
      <c r="A56" s="989"/>
      <c r="B56" s="35">
        <v>12</v>
      </c>
      <c r="C56" s="35">
        <v>12</v>
      </c>
      <c r="D56" s="35" t="s">
        <v>579</v>
      </c>
      <c r="J56">
        <v>3179</v>
      </c>
      <c r="K56">
        <v>3179</v>
      </c>
      <c r="L56">
        <v>20.378205128205131</v>
      </c>
    </row>
    <row r="57" spans="1:12" x14ac:dyDescent="0.45">
      <c r="A57" s="989"/>
      <c r="B57" s="35">
        <v>13</v>
      </c>
      <c r="C57" s="35">
        <v>13</v>
      </c>
      <c r="D57" s="35" t="s">
        <v>580</v>
      </c>
      <c r="J57">
        <v>3259</v>
      </c>
      <c r="K57">
        <v>3259</v>
      </c>
      <c r="L57">
        <v>20.891025641025639</v>
      </c>
    </row>
    <row r="58" spans="1:12" x14ac:dyDescent="0.45">
      <c r="A58" s="989"/>
      <c r="B58" s="35" t="s">
        <v>531</v>
      </c>
      <c r="C58" s="35" t="s">
        <v>531</v>
      </c>
      <c r="D58" s="35" t="s">
        <v>581</v>
      </c>
      <c r="E58">
        <v>2693</v>
      </c>
      <c r="F58">
        <v>2747</v>
      </c>
      <c r="G58">
        <v>2939</v>
      </c>
      <c r="H58">
        <v>3057</v>
      </c>
      <c r="I58">
        <v>3179</v>
      </c>
    </row>
    <row r="59" spans="1:12" x14ac:dyDescent="0.45">
      <c r="A59" s="989"/>
      <c r="B59" s="35" t="s">
        <v>533</v>
      </c>
      <c r="C59" s="35" t="s">
        <v>533</v>
      </c>
      <c r="D59" s="35" t="s">
        <v>582</v>
      </c>
      <c r="E59">
        <v>2761</v>
      </c>
      <c r="F59">
        <v>2816</v>
      </c>
      <c r="G59">
        <v>3013</v>
      </c>
      <c r="H59">
        <v>3134</v>
      </c>
      <c r="I59">
        <v>3259</v>
      </c>
    </row>
    <row r="60" spans="1:12" x14ac:dyDescent="0.45">
      <c r="A60" s="989"/>
      <c r="B60" s="35" t="s">
        <v>535</v>
      </c>
      <c r="C60" s="35" t="s">
        <v>535</v>
      </c>
      <c r="D60" s="35" t="s">
        <v>583</v>
      </c>
      <c r="E60">
        <v>2693</v>
      </c>
      <c r="F60">
        <v>2747</v>
      </c>
      <c r="G60">
        <v>2939</v>
      </c>
      <c r="H60">
        <v>3057</v>
      </c>
      <c r="I60">
        <v>3179</v>
      </c>
      <c r="J60">
        <v>3179</v>
      </c>
      <c r="K60">
        <v>3179</v>
      </c>
      <c r="L60">
        <v>20.378205128205131</v>
      </c>
    </row>
    <row r="61" spans="1:12" x14ac:dyDescent="0.45">
      <c r="A61" s="989"/>
      <c r="B61" s="35" t="s">
        <v>537</v>
      </c>
      <c r="C61" s="35" t="s">
        <v>537</v>
      </c>
      <c r="D61" s="35" t="s">
        <v>584</v>
      </c>
      <c r="E61">
        <v>2761</v>
      </c>
      <c r="F61">
        <v>2816</v>
      </c>
      <c r="G61">
        <v>3013</v>
      </c>
      <c r="H61">
        <v>3134</v>
      </c>
      <c r="I61">
        <v>3259</v>
      </c>
      <c r="J61">
        <v>3259</v>
      </c>
      <c r="K61">
        <v>3259</v>
      </c>
      <c r="L61">
        <v>20.891025641025639</v>
      </c>
    </row>
    <row r="62" spans="1:12" x14ac:dyDescent="0.45">
      <c r="A62" s="989"/>
      <c r="B62" s="35" t="s">
        <v>539</v>
      </c>
      <c r="C62" s="35" t="s">
        <v>539</v>
      </c>
      <c r="D62" s="35" t="s">
        <v>585</v>
      </c>
      <c r="E62">
        <v>2832</v>
      </c>
      <c r="F62">
        <v>2889</v>
      </c>
      <c r="G62">
        <v>3091</v>
      </c>
      <c r="H62">
        <v>3215</v>
      </c>
      <c r="I62">
        <v>3344</v>
      </c>
      <c r="J62">
        <v>3344</v>
      </c>
      <c r="K62">
        <v>3344</v>
      </c>
      <c r="L62">
        <v>21.435897435897431</v>
      </c>
    </row>
    <row r="63" spans="1:12" x14ac:dyDescent="0.45">
      <c r="A63" s="989"/>
      <c r="B63" s="35" t="s">
        <v>541</v>
      </c>
      <c r="C63" s="35" t="s">
        <v>541</v>
      </c>
      <c r="D63" s="35" t="s">
        <v>586</v>
      </c>
      <c r="E63">
        <v>2888</v>
      </c>
      <c r="F63">
        <v>2946</v>
      </c>
      <c r="G63">
        <v>3152</v>
      </c>
      <c r="H63">
        <v>3278</v>
      </c>
      <c r="I63">
        <v>3409</v>
      </c>
      <c r="J63">
        <v>3409</v>
      </c>
      <c r="K63">
        <v>3409</v>
      </c>
      <c r="L63">
        <v>21.852564102564099</v>
      </c>
    </row>
    <row r="64" spans="1:12" x14ac:dyDescent="0.45">
      <c r="A64" s="990"/>
      <c r="B64" s="35" t="s">
        <v>543</v>
      </c>
      <c r="C64" s="35" t="s">
        <v>543</v>
      </c>
      <c r="D64" s="35" t="s">
        <v>587</v>
      </c>
      <c r="E64">
        <v>2952</v>
      </c>
      <c r="F64">
        <v>3011</v>
      </c>
      <c r="G64">
        <v>3222</v>
      </c>
      <c r="H64">
        <v>3351</v>
      </c>
      <c r="I64">
        <v>3485</v>
      </c>
      <c r="J64">
        <v>3485</v>
      </c>
      <c r="K64">
        <v>3485</v>
      </c>
      <c r="L64">
        <v>22.339743589743591</v>
      </c>
    </row>
    <row r="65" spans="1:12" x14ac:dyDescent="0.45">
      <c r="A65" s="988">
        <v>4</v>
      </c>
      <c r="B65" s="35" t="s">
        <v>517</v>
      </c>
      <c r="C65" s="35" t="s">
        <v>517</v>
      </c>
      <c r="D65" s="35" t="s">
        <v>588</v>
      </c>
      <c r="E65">
        <v>2082</v>
      </c>
      <c r="F65">
        <v>2124</v>
      </c>
      <c r="G65">
        <v>2273</v>
      </c>
      <c r="H65">
        <v>2364</v>
      </c>
      <c r="I65">
        <v>2459</v>
      </c>
      <c r="J65">
        <v>2459</v>
      </c>
      <c r="K65">
        <v>2459</v>
      </c>
      <c r="L65">
        <v>15.762820512820509</v>
      </c>
    </row>
    <row r="66" spans="1:12" x14ac:dyDescent="0.45">
      <c r="A66" s="989"/>
      <c r="B66" s="35">
        <v>0</v>
      </c>
      <c r="C66" s="35">
        <v>0</v>
      </c>
      <c r="D66" s="35" t="s">
        <v>289</v>
      </c>
      <c r="E66">
        <v>2129</v>
      </c>
      <c r="F66">
        <v>2172</v>
      </c>
      <c r="G66">
        <v>2324</v>
      </c>
      <c r="H66">
        <v>2417</v>
      </c>
      <c r="I66">
        <v>2514</v>
      </c>
      <c r="J66">
        <v>2514</v>
      </c>
      <c r="K66">
        <v>2514</v>
      </c>
      <c r="L66">
        <v>16.11538461538462</v>
      </c>
    </row>
    <row r="67" spans="1:12" x14ac:dyDescent="0.45">
      <c r="A67" s="989"/>
      <c r="B67" s="35">
        <v>1</v>
      </c>
      <c r="C67" s="35">
        <v>1</v>
      </c>
      <c r="D67" s="35" t="s">
        <v>288</v>
      </c>
      <c r="E67">
        <v>2181</v>
      </c>
      <c r="F67">
        <v>2225</v>
      </c>
      <c r="G67">
        <v>2381</v>
      </c>
      <c r="H67">
        <v>2476</v>
      </c>
      <c r="I67">
        <v>2575</v>
      </c>
      <c r="J67">
        <v>2575</v>
      </c>
      <c r="K67">
        <v>2575</v>
      </c>
      <c r="L67">
        <v>16.506410256410259</v>
      </c>
    </row>
    <row r="68" spans="1:12" x14ac:dyDescent="0.45">
      <c r="A68" s="989"/>
      <c r="B68" s="35">
        <v>2</v>
      </c>
      <c r="C68" s="35">
        <v>2</v>
      </c>
      <c r="D68" s="35" t="s">
        <v>283</v>
      </c>
      <c r="E68">
        <v>2236</v>
      </c>
      <c r="F68">
        <v>2281</v>
      </c>
      <c r="G68">
        <v>2441</v>
      </c>
      <c r="H68">
        <v>2539</v>
      </c>
      <c r="I68">
        <v>2641</v>
      </c>
      <c r="J68">
        <v>2641</v>
      </c>
      <c r="K68">
        <v>2641</v>
      </c>
      <c r="L68">
        <v>16.929487179487179</v>
      </c>
    </row>
    <row r="69" spans="1:12" x14ac:dyDescent="0.45">
      <c r="A69" s="989"/>
      <c r="B69" s="35">
        <v>3</v>
      </c>
      <c r="C69" s="35">
        <v>3</v>
      </c>
      <c r="D69" s="35" t="s">
        <v>282</v>
      </c>
      <c r="E69">
        <v>2288</v>
      </c>
      <c r="F69">
        <v>2334</v>
      </c>
      <c r="G69">
        <v>2497</v>
      </c>
      <c r="H69">
        <v>2597</v>
      </c>
      <c r="I69">
        <v>2701</v>
      </c>
      <c r="J69">
        <v>2701</v>
      </c>
      <c r="K69">
        <v>2701</v>
      </c>
      <c r="L69">
        <v>17.314102564102569</v>
      </c>
    </row>
    <row r="70" spans="1:12" x14ac:dyDescent="0.45">
      <c r="A70" s="989"/>
      <c r="B70" s="35">
        <v>4</v>
      </c>
      <c r="C70" s="35">
        <v>4</v>
      </c>
      <c r="D70" s="35" t="s">
        <v>281</v>
      </c>
      <c r="E70">
        <v>2345</v>
      </c>
      <c r="F70">
        <v>2392</v>
      </c>
      <c r="G70">
        <v>2559</v>
      </c>
      <c r="H70">
        <v>2661</v>
      </c>
      <c r="I70">
        <v>2767</v>
      </c>
      <c r="J70">
        <v>2767</v>
      </c>
      <c r="K70">
        <v>2767</v>
      </c>
      <c r="L70">
        <v>17.737179487179489</v>
      </c>
    </row>
    <row r="71" spans="1:12" x14ac:dyDescent="0.45">
      <c r="A71" s="989"/>
      <c r="B71" s="35">
        <v>5</v>
      </c>
      <c r="C71" s="35">
        <v>5</v>
      </c>
      <c r="D71" s="35" t="s">
        <v>280</v>
      </c>
      <c r="E71">
        <v>2423</v>
      </c>
      <c r="F71">
        <v>2471</v>
      </c>
      <c r="G71">
        <v>2644</v>
      </c>
      <c r="H71">
        <v>2750</v>
      </c>
      <c r="I71">
        <v>2860</v>
      </c>
      <c r="J71">
        <v>2860</v>
      </c>
      <c r="K71">
        <v>2860</v>
      </c>
      <c r="L71">
        <v>18.333333333333329</v>
      </c>
    </row>
    <row r="72" spans="1:12" x14ac:dyDescent="0.45">
      <c r="A72" s="989"/>
      <c r="B72" s="35">
        <v>6</v>
      </c>
      <c r="C72" s="35">
        <v>6</v>
      </c>
      <c r="D72" s="35" t="s">
        <v>279</v>
      </c>
      <c r="E72">
        <v>2491</v>
      </c>
      <c r="F72">
        <v>2541</v>
      </c>
      <c r="G72">
        <v>2719</v>
      </c>
      <c r="H72">
        <v>2828</v>
      </c>
      <c r="I72">
        <v>2941</v>
      </c>
      <c r="J72">
        <v>2941</v>
      </c>
      <c r="K72">
        <v>2941</v>
      </c>
      <c r="L72">
        <v>18.852564102564099</v>
      </c>
    </row>
    <row r="73" spans="1:12" x14ac:dyDescent="0.45">
      <c r="A73" s="989"/>
      <c r="B73" s="35">
        <v>7</v>
      </c>
      <c r="C73" s="35">
        <v>7</v>
      </c>
      <c r="D73" s="35" t="s">
        <v>278</v>
      </c>
      <c r="E73">
        <v>2572</v>
      </c>
      <c r="F73">
        <v>2623</v>
      </c>
      <c r="G73">
        <v>2807</v>
      </c>
      <c r="H73">
        <v>2919</v>
      </c>
      <c r="I73">
        <v>3036</v>
      </c>
      <c r="J73">
        <v>3036</v>
      </c>
      <c r="K73">
        <v>3036</v>
      </c>
      <c r="L73">
        <v>19.46153846153846</v>
      </c>
    </row>
    <row r="74" spans="1:12" x14ac:dyDescent="0.45">
      <c r="A74" s="989"/>
      <c r="B74" s="35">
        <v>8</v>
      </c>
      <c r="C74" s="35">
        <v>8</v>
      </c>
      <c r="D74" s="35" t="s">
        <v>277</v>
      </c>
      <c r="E74">
        <v>2644</v>
      </c>
      <c r="F74">
        <v>2697</v>
      </c>
      <c r="G74">
        <v>2886</v>
      </c>
      <c r="H74">
        <v>3001</v>
      </c>
      <c r="I74">
        <v>3121</v>
      </c>
      <c r="J74">
        <v>3121</v>
      </c>
      <c r="K74">
        <v>3121</v>
      </c>
      <c r="L74">
        <v>20.006410256410259</v>
      </c>
    </row>
    <row r="75" spans="1:12" x14ac:dyDescent="0.45">
      <c r="A75" s="989"/>
      <c r="B75" s="35">
        <v>9</v>
      </c>
      <c r="C75" s="35">
        <v>9</v>
      </c>
      <c r="D75" s="35" t="s">
        <v>276</v>
      </c>
      <c r="E75">
        <v>2723</v>
      </c>
      <c r="F75">
        <v>2777</v>
      </c>
      <c r="G75">
        <v>2971</v>
      </c>
      <c r="H75">
        <v>3090</v>
      </c>
      <c r="I75">
        <v>3214</v>
      </c>
      <c r="J75">
        <v>3214</v>
      </c>
      <c r="K75">
        <v>3214</v>
      </c>
      <c r="L75">
        <v>20.602564102564099</v>
      </c>
    </row>
    <row r="76" spans="1:12" x14ac:dyDescent="0.45">
      <c r="A76" s="989"/>
      <c r="B76" s="35">
        <v>10</v>
      </c>
      <c r="C76" s="35">
        <v>10</v>
      </c>
      <c r="D76" s="35" t="s">
        <v>287</v>
      </c>
      <c r="E76">
        <v>2792</v>
      </c>
      <c r="F76">
        <v>2848</v>
      </c>
      <c r="G76">
        <v>3047</v>
      </c>
      <c r="H76">
        <v>3169</v>
      </c>
      <c r="I76">
        <v>3296</v>
      </c>
      <c r="J76">
        <v>3296</v>
      </c>
      <c r="K76">
        <v>3296</v>
      </c>
      <c r="L76">
        <v>21.128205128205131</v>
      </c>
    </row>
    <row r="77" spans="1:12" x14ac:dyDescent="0.45">
      <c r="A77" s="989"/>
      <c r="B77" s="35">
        <v>11</v>
      </c>
      <c r="C77" s="35">
        <v>11</v>
      </c>
      <c r="D77" s="35" t="s">
        <v>286</v>
      </c>
      <c r="E77">
        <v>2864</v>
      </c>
      <c r="F77">
        <v>2921</v>
      </c>
      <c r="G77">
        <v>3125</v>
      </c>
      <c r="H77">
        <v>3250</v>
      </c>
      <c r="I77">
        <v>3380</v>
      </c>
      <c r="J77">
        <v>3380</v>
      </c>
      <c r="K77">
        <v>3380</v>
      </c>
      <c r="L77">
        <v>21.666666666666671</v>
      </c>
    </row>
    <row r="78" spans="1:12" x14ac:dyDescent="0.45">
      <c r="A78" s="989"/>
      <c r="B78" s="35">
        <v>12</v>
      </c>
      <c r="C78" s="35">
        <v>12</v>
      </c>
      <c r="D78" s="35" t="s">
        <v>285</v>
      </c>
      <c r="J78">
        <v>3449</v>
      </c>
      <c r="K78">
        <v>3449</v>
      </c>
      <c r="L78">
        <v>22.108974358974361</v>
      </c>
    </row>
    <row r="79" spans="1:12" x14ac:dyDescent="0.45">
      <c r="A79" s="989"/>
      <c r="B79" s="35">
        <v>13</v>
      </c>
      <c r="C79" s="35">
        <v>13</v>
      </c>
      <c r="D79" s="35" t="s">
        <v>284</v>
      </c>
      <c r="J79">
        <v>3524</v>
      </c>
      <c r="K79">
        <v>3524</v>
      </c>
      <c r="L79">
        <v>22.589743589743591</v>
      </c>
    </row>
    <row r="80" spans="1:12" x14ac:dyDescent="0.45">
      <c r="A80" s="989"/>
      <c r="B80" s="35" t="s">
        <v>531</v>
      </c>
      <c r="C80" s="35" t="s">
        <v>531</v>
      </c>
      <c r="D80" s="35" t="s">
        <v>589</v>
      </c>
      <c r="E80">
        <v>2921</v>
      </c>
      <c r="F80">
        <v>2979</v>
      </c>
      <c r="G80">
        <v>3188</v>
      </c>
      <c r="H80">
        <v>3316</v>
      </c>
      <c r="I80">
        <v>3449</v>
      </c>
    </row>
    <row r="81" spans="1:12" x14ac:dyDescent="0.45">
      <c r="A81" s="989"/>
      <c r="B81" s="35" t="s">
        <v>533</v>
      </c>
      <c r="C81" s="35" t="s">
        <v>533</v>
      </c>
      <c r="D81" s="35" t="s">
        <v>590</v>
      </c>
      <c r="E81">
        <v>2985</v>
      </c>
      <c r="F81">
        <v>3045</v>
      </c>
      <c r="G81">
        <v>3258</v>
      </c>
      <c r="H81">
        <v>3388</v>
      </c>
      <c r="I81">
        <v>3524</v>
      </c>
    </row>
    <row r="82" spans="1:12" x14ac:dyDescent="0.45">
      <c r="A82" s="989"/>
      <c r="B82" s="35" t="s">
        <v>535</v>
      </c>
      <c r="C82" s="35" t="s">
        <v>535</v>
      </c>
      <c r="D82" s="35" t="s">
        <v>591</v>
      </c>
      <c r="E82">
        <v>2921</v>
      </c>
      <c r="F82">
        <v>2979</v>
      </c>
      <c r="G82">
        <v>3188</v>
      </c>
      <c r="H82">
        <v>3316</v>
      </c>
      <c r="I82">
        <v>3449</v>
      </c>
      <c r="J82">
        <v>3449</v>
      </c>
      <c r="K82">
        <v>3449</v>
      </c>
      <c r="L82">
        <v>22.108974358974361</v>
      </c>
    </row>
    <row r="83" spans="1:12" x14ac:dyDescent="0.45">
      <c r="A83" s="989"/>
      <c r="B83" s="35" t="s">
        <v>537</v>
      </c>
      <c r="C83" s="35" t="s">
        <v>537</v>
      </c>
      <c r="D83" s="35" t="s">
        <v>592</v>
      </c>
      <c r="E83">
        <v>2985</v>
      </c>
      <c r="F83">
        <v>3045</v>
      </c>
      <c r="G83">
        <v>3258</v>
      </c>
      <c r="H83">
        <v>3388</v>
      </c>
      <c r="I83">
        <v>3524</v>
      </c>
      <c r="J83">
        <v>3524</v>
      </c>
      <c r="K83">
        <v>3524</v>
      </c>
      <c r="L83">
        <v>22.589743589743591</v>
      </c>
    </row>
    <row r="84" spans="1:12" x14ac:dyDescent="0.45">
      <c r="A84" s="989"/>
      <c r="B84" s="35" t="s">
        <v>539</v>
      </c>
      <c r="C84" s="35" t="s">
        <v>539</v>
      </c>
      <c r="D84" s="35" t="s">
        <v>593</v>
      </c>
      <c r="E84">
        <v>3043</v>
      </c>
      <c r="F84">
        <v>3104</v>
      </c>
      <c r="G84">
        <v>3321</v>
      </c>
      <c r="H84">
        <v>3454</v>
      </c>
      <c r="I84">
        <v>3592</v>
      </c>
      <c r="J84">
        <v>3592</v>
      </c>
      <c r="K84">
        <v>3592</v>
      </c>
      <c r="L84">
        <v>23.025641025641029</v>
      </c>
    </row>
    <row r="85" spans="1:12" x14ac:dyDescent="0.45">
      <c r="A85" s="989"/>
      <c r="B85" s="35" t="s">
        <v>541</v>
      </c>
      <c r="C85" s="35" t="s">
        <v>541</v>
      </c>
      <c r="D85" s="35" t="s">
        <v>594</v>
      </c>
      <c r="E85">
        <v>3158</v>
      </c>
      <c r="F85">
        <v>3221</v>
      </c>
      <c r="G85">
        <v>3446</v>
      </c>
      <c r="H85">
        <v>3584</v>
      </c>
      <c r="I85">
        <v>3727</v>
      </c>
      <c r="J85">
        <v>3727</v>
      </c>
      <c r="K85">
        <v>3727</v>
      </c>
      <c r="L85">
        <v>23.891025641025639</v>
      </c>
    </row>
    <row r="86" spans="1:12" x14ac:dyDescent="0.45">
      <c r="A86" s="990"/>
      <c r="B86" s="35" t="s">
        <v>543</v>
      </c>
      <c r="C86" s="35" t="s">
        <v>543</v>
      </c>
      <c r="D86" s="35" t="s">
        <v>595</v>
      </c>
      <c r="E86">
        <v>3233</v>
      </c>
      <c r="F86">
        <v>3298</v>
      </c>
      <c r="G86">
        <v>3529</v>
      </c>
      <c r="H86">
        <v>3670</v>
      </c>
      <c r="I86">
        <v>3817</v>
      </c>
      <c r="J86">
        <v>3817</v>
      </c>
      <c r="K86">
        <v>3817</v>
      </c>
      <c r="L86">
        <v>24.467948717948719</v>
      </c>
    </row>
    <row r="87" spans="1:12" x14ac:dyDescent="0.45">
      <c r="A87" s="988">
        <v>5</v>
      </c>
      <c r="B87" s="35" t="s">
        <v>517</v>
      </c>
      <c r="C87" s="35" t="s">
        <v>517</v>
      </c>
      <c r="D87" s="35" t="s">
        <v>596</v>
      </c>
      <c r="E87">
        <v>2137</v>
      </c>
      <c r="F87">
        <v>2180</v>
      </c>
      <c r="G87">
        <v>2333</v>
      </c>
      <c r="H87">
        <v>2426</v>
      </c>
      <c r="I87">
        <v>2523</v>
      </c>
      <c r="J87">
        <v>2523</v>
      </c>
      <c r="K87">
        <v>2523</v>
      </c>
      <c r="L87">
        <v>16.17307692307692</v>
      </c>
    </row>
    <row r="88" spans="1:12" x14ac:dyDescent="0.45">
      <c r="A88" s="989"/>
      <c r="B88" s="35">
        <v>0</v>
      </c>
      <c r="C88" s="35">
        <v>0</v>
      </c>
      <c r="D88" s="35" t="s">
        <v>273</v>
      </c>
      <c r="E88">
        <v>2181</v>
      </c>
      <c r="F88">
        <v>2225</v>
      </c>
      <c r="G88">
        <v>2381</v>
      </c>
      <c r="H88">
        <v>2476</v>
      </c>
      <c r="I88">
        <v>2575</v>
      </c>
      <c r="J88">
        <v>2575</v>
      </c>
      <c r="K88">
        <v>2575</v>
      </c>
      <c r="L88">
        <v>16.506410256410259</v>
      </c>
    </row>
    <row r="89" spans="1:12" x14ac:dyDescent="0.45">
      <c r="A89" s="989"/>
      <c r="B89" s="35">
        <v>1</v>
      </c>
      <c r="C89" s="35">
        <v>1</v>
      </c>
      <c r="D89" s="35" t="s">
        <v>272</v>
      </c>
      <c r="E89">
        <v>2236</v>
      </c>
      <c r="F89">
        <v>2281</v>
      </c>
      <c r="G89">
        <v>2441</v>
      </c>
      <c r="H89">
        <v>2539</v>
      </c>
      <c r="I89">
        <v>2641</v>
      </c>
      <c r="J89">
        <v>2641</v>
      </c>
      <c r="K89">
        <v>2641</v>
      </c>
      <c r="L89">
        <v>16.929487179487179</v>
      </c>
    </row>
    <row r="90" spans="1:12" x14ac:dyDescent="0.45">
      <c r="A90" s="989"/>
      <c r="B90" s="35">
        <v>2</v>
      </c>
      <c r="C90" s="35">
        <v>2</v>
      </c>
      <c r="D90" s="35" t="s">
        <v>267</v>
      </c>
      <c r="E90">
        <v>2288</v>
      </c>
      <c r="F90">
        <v>2334</v>
      </c>
      <c r="G90">
        <v>2497</v>
      </c>
      <c r="H90">
        <v>2597</v>
      </c>
      <c r="I90">
        <v>2701</v>
      </c>
      <c r="J90">
        <v>2701</v>
      </c>
      <c r="K90">
        <v>2701</v>
      </c>
      <c r="L90">
        <v>17.314102564102569</v>
      </c>
    </row>
    <row r="91" spans="1:12" x14ac:dyDescent="0.45">
      <c r="A91" s="989"/>
      <c r="B91" s="35">
        <v>3</v>
      </c>
      <c r="C91" s="35">
        <v>3</v>
      </c>
      <c r="D91" s="35" t="s">
        <v>266</v>
      </c>
      <c r="E91">
        <v>2345</v>
      </c>
      <c r="F91">
        <v>2392</v>
      </c>
      <c r="G91">
        <v>2559</v>
      </c>
      <c r="H91">
        <v>2661</v>
      </c>
      <c r="I91">
        <v>2767</v>
      </c>
      <c r="J91">
        <v>2767</v>
      </c>
      <c r="K91">
        <v>2767</v>
      </c>
      <c r="L91">
        <v>17.737179487179489</v>
      </c>
    </row>
    <row r="92" spans="1:12" x14ac:dyDescent="0.45">
      <c r="A92" s="989"/>
      <c r="B92" s="35">
        <v>4</v>
      </c>
      <c r="C92" s="35">
        <v>4</v>
      </c>
      <c r="D92" s="35" t="s">
        <v>265</v>
      </c>
      <c r="E92">
        <v>2423</v>
      </c>
      <c r="F92">
        <v>2471</v>
      </c>
      <c r="G92">
        <v>2644</v>
      </c>
      <c r="H92">
        <v>2750</v>
      </c>
      <c r="I92">
        <v>2860</v>
      </c>
      <c r="J92">
        <v>2860</v>
      </c>
      <c r="K92">
        <v>2860</v>
      </c>
      <c r="L92">
        <v>18.333333333333329</v>
      </c>
    </row>
    <row r="93" spans="1:12" x14ac:dyDescent="0.45">
      <c r="A93" s="989"/>
      <c r="B93" s="35">
        <v>5</v>
      </c>
      <c r="C93" s="35">
        <v>5</v>
      </c>
      <c r="D93" s="35" t="s">
        <v>264</v>
      </c>
      <c r="E93">
        <v>2491</v>
      </c>
      <c r="F93">
        <v>2541</v>
      </c>
      <c r="G93">
        <v>2719</v>
      </c>
      <c r="H93">
        <v>2828</v>
      </c>
      <c r="I93">
        <v>2941</v>
      </c>
      <c r="J93">
        <v>2941</v>
      </c>
      <c r="K93">
        <v>2941</v>
      </c>
      <c r="L93">
        <v>18.852564102564099</v>
      </c>
    </row>
    <row r="94" spans="1:12" x14ac:dyDescent="0.45">
      <c r="A94" s="989"/>
      <c r="B94" s="35">
        <v>6</v>
      </c>
      <c r="C94" s="35">
        <v>6</v>
      </c>
      <c r="D94" s="35" t="s">
        <v>263</v>
      </c>
      <c r="E94">
        <v>2572</v>
      </c>
      <c r="F94">
        <v>2623</v>
      </c>
      <c r="G94">
        <v>2807</v>
      </c>
      <c r="H94">
        <v>2919</v>
      </c>
      <c r="I94">
        <v>3036</v>
      </c>
      <c r="J94">
        <v>3036</v>
      </c>
      <c r="K94">
        <v>3036</v>
      </c>
      <c r="L94">
        <v>19.46153846153846</v>
      </c>
    </row>
    <row r="95" spans="1:12" x14ac:dyDescent="0.45">
      <c r="A95" s="989"/>
      <c r="B95" s="35">
        <v>7</v>
      </c>
      <c r="C95" s="35">
        <v>7</v>
      </c>
      <c r="D95" s="35" t="s">
        <v>262</v>
      </c>
      <c r="E95">
        <v>2644</v>
      </c>
      <c r="F95">
        <v>2697</v>
      </c>
      <c r="G95">
        <v>2886</v>
      </c>
      <c r="H95">
        <v>3001</v>
      </c>
      <c r="I95">
        <v>3121</v>
      </c>
      <c r="J95">
        <v>3121</v>
      </c>
      <c r="K95">
        <v>3121</v>
      </c>
      <c r="L95">
        <v>20.006410256410259</v>
      </c>
    </row>
    <row r="96" spans="1:12" x14ac:dyDescent="0.45">
      <c r="A96" s="989"/>
      <c r="B96" s="35">
        <v>8</v>
      </c>
      <c r="C96" s="35">
        <v>8</v>
      </c>
      <c r="D96" s="35" t="s">
        <v>261</v>
      </c>
      <c r="E96">
        <v>2723</v>
      </c>
      <c r="F96">
        <v>2777</v>
      </c>
      <c r="G96">
        <v>2971</v>
      </c>
      <c r="H96">
        <v>3090</v>
      </c>
      <c r="I96">
        <v>3214</v>
      </c>
      <c r="J96">
        <v>3214</v>
      </c>
      <c r="K96">
        <v>3214</v>
      </c>
      <c r="L96">
        <v>20.602564102564099</v>
      </c>
    </row>
    <row r="97" spans="1:12" x14ac:dyDescent="0.45">
      <c r="A97" s="989"/>
      <c r="B97" s="35">
        <v>9</v>
      </c>
      <c r="C97" s="35">
        <v>9</v>
      </c>
      <c r="D97" s="35" t="s">
        <v>260</v>
      </c>
      <c r="E97">
        <v>2792</v>
      </c>
      <c r="F97">
        <v>2848</v>
      </c>
      <c r="G97">
        <v>3047</v>
      </c>
      <c r="H97">
        <v>3169</v>
      </c>
      <c r="I97">
        <v>3296</v>
      </c>
      <c r="J97">
        <v>3296</v>
      </c>
      <c r="K97">
        <v>3296</v>
      </c>
      <c r="L97">
        <v>21.128205128205131</v>
      </c>
    </row>
    <row r="98" spans="1:12" x14ac:dyDescent="0.45">
      <c r="A98" s="989"/>
      <c r="B98" s="35">
        <v>10</v>
      </c>
      <c r="C98" s="35">
        <v>10</v>
      </c>
      <c r="D98" s="35" t="s">
        <v>271</v>
      </c>
      <c r="E98">
        <v>2864</v>
      </c>
      <c r="F98">
        <v>2921</v>
      </c>
      <c r="G98">
        <v>3125</v>
      </c>
      <c r="H98">
        <v>3250</v>
      </c>
      <c r="I98">
        <v>3380</v>
      </c>
      <c r="J98">
        <v>3380</v>
      </c>
      <c r="K98">
        <v>3380</v>
      </c>
      <c r="L98">
        <v>21.666666666666671</v>
      </c>
    </row>
    <row r="99" spans="1:12" x14ac:dyDescent="0.45">
      <c r="A99" s="989"/>
      <c r="B99" s="35">
        <v>11</v>
      </c>
      <c r="C99" s="35">
        <v>11</v>
      </c>
      <c r="D99" s="35" t="s">
        <v>270</v>
      </c>
      <c r="E99">
        <v>2921</v>
      </c>
      <c r="F99">
        <v>2979</v>
      </c>
      <c r="G99">
        <v>3188</v>
      </c>
      <c r="H99">
        <v>3316</v>
      </c>
      <c r="I99">
        <v>3449</v>
      </c>
      <c r="J99">
        <v>3449</v>
      </c>
      <c r="K99">
        <v>3449</v>
      </c>
      <c r="L99">
        <v>22.108974358974361</v>
      </c>
    </row>
    <row r="100" spans="1:12" x14ac:dyDescent="0.45">
      <c r="A100" s="989"/>
      <c r="B100" s="35">
        <v>12</v>
      </c>
      <c r="C100" s="35">
        <v>12</v>
      </c>
      <c r="D100" s="35" t="s">
        <v>269</v>
      </c>
      <c r="E100">
        <v>2985</v>
      </c>
      <c r="F100">
        <v>3045</v>
      </c>
      <c r="G100">
        <v>3258</v>
      </c>
      <c r="H100">
        <v>3388</v>
      </c>
      <c r="I100">
        <v>3524</v>
      </c>
      <c r="J100">
        <v>3524</v>
      </c>
      <c r="K100">
        <v>3524</v>
      </c>
      <c r="L100">
        <v>22.589743589743591</v>
      </c>
    </row>
    <row r="101" spans="1:12" x14ac:dyDescent="0.45">
      <c r="A101" s="989"/>
      <c r="B101" s="35">
        <v>13</v>
      </c>
      <c r="C101" s="35">
        <v>13</v>
      </c>
      <c r="D101" s="35" t="s">
        <v>268</v>
      </c>
      <c r="E101">
        <v>3043</v>
      </c>
      <c r="F101">
        <v>3104</v>
      </c>
      <c r="G101">
        <v>3321</v>
      </c>
      <c r="H101">
        <v>3454</v>
      </c>
      <c r="I101">
        <v>3592</v>
      </c>
      <c r="J101">
        <v>3592</v>
      </c>
      <c r="K101">
        <v>3592</v>
      </c>
      <c r="L101">
        <v>23.025641025641029</v>
      </c>
    </row>
    <row r="102" spans="1:12" x14ac:dyDescent="0.45">
      <c r="A102" s="989"/>
      <c r="B102" s="35" t="s">
        <v>531</v>
      </c>
      <c r="C102" s="35" t="s">
        <v>531</v>
      </c>
      <c r="D102" s="35" t="s">
        <v>597</v>
      </c>
      <c r="E102">
        <v>3158</v>
      </c>
      <c r="F102">
        <v>3221</v>
      </c>
      <c r="G102">
        <v>3446</v>
      </c>
      <c r="H102">
        <v>3584</v>
      </c>
      <c r="I102">
        <v>3727</v>
      </c>
      <c r="J102">
        <v>3727</v>
      </c>
      <c r="K102">
        <v>3727</v>
      </c>
      <c r="L102">
        <v>23.891025641025639</v>
      </c>
    </row>
    <row r="103" spans="1:12" x14ac:dyDescent="0.45">
      <c r="A103" s="989"/>
      <c r="B103" s="35" t="s">
        <v>533</v>
      </c>
      <c r="C103" s="35" t="s">
        <v>533</v>
      </c>
      <c r="D103" s="35" t="s">
        <v>598</v>
      </c>
      <c r="E103">
        <v>3233</v>
      </c>
      <c r="F103">
        <v>3298</v>
      </c>
      <c r="G103">
        <v>3529</v>
      </c>
      <c r="H103">
        <v>3670</v>
      </c>
      <c r="I103">
        <v>3817</v>
      </c>
      <c r="J103">
        <v>3817</v>
      </c>
      <c r="K103">
        <v>3817</v>
      </c>
      <c r="L103">
        <v>24.467948717948719</v>
      </c>
    </row>
    <row r="104" spans="1:12" x14ac:dyDescent="0.45">
      <c r="A104" s="989"/>
      <c r="B104" s="35" t="s">
        <v>535</v>
      </c>
      <c r="C104" s="35" t="s">
        <v>535</v>
      </c>
      <c r="D104" s="35" t="s">
        <v>599</v>
      </c>
      <c r="E104">
        <v>3158</v>
      </c>
      <c r="F104">
        <v>3221</v>
      </c>
      <c r="G104">
        <v>3446</v>
      </c>
      <c r="H104">
        <v>3584</v>
      </c>
      <c r="I104">
        <v>3727</v>
      </c>
      <c r="J104">
        <v>3727</v>
      </c>
      <c r="K104">
        <v>3727</v>
      </c>
      <c r="L104">
        <v>23.891025641025639</v>
      </c>
    </row>
    <row r="105" spans="1:12" x14ac:dyDescent="0.45">
      <c r="A105" s="989"/>
      <c r="B105" s="35" t="s">
        <v>537</v>
      </c>
      <c r="C105" s="35" t="s">
        <v>537</v>
      </c>
      <c r="D105" s="35" t="s">
        <v>600</v>
      </c>
      <c r="E105">
        <v>3233</v>
      </c>
      <c r="F105">
        <v>3298</v>
      </c>
      <c r="G105">
        <v>3529</v>
      </c>
      <c r="H105">
        <v>3670</v>
      </c>
      <c r="I105">
        <v>3817</v>
      </c>
      <c r="J105">
        <v>3817</v>
      </c>
      <c r="K105">
        <v>3817</v>
      </c>
      <c r="L105">
        <v>24.467948717948719</v>
      </c>
    </row>
    <row r="106" spans="1:12" x14ac:dyDescent="0.45">
      <c r="A106" s="989"/>
      <c r="B106" s="35" t="s">
        <v>539</v>
      </c>
      <c r="C106" s="35" t="s">
        <v>539</v>
      </c>
      <c r="D106" s="35" t="s">
        <v>601</v>
      </c>
      <c r="E106">
        <v>3314</v>
      </c>
      <c r="F106">
        <v>3380</v>
      </c>
      <c r="G106">
        <v>3617</v>
      </c>
      <c r="H106">
        <v>3762</v>
      </c>
      <c r="I106">
        <v>3912</v>
      </c>
      <c r="J106">
        <v>3912</v>
      </c>
      <c r="K106">
        <v>3912</v>
      </c>
      <c r="L106">
        <v>25.07692307692308</v>
      </c>
    </row>
    <row r="107" spans="1:12" x14ac:dyDescent="0.45">
      <c r="A107" s="989"/>
      <c r="B107" s="35" t="s">
        <v>541</v>
      </c>
      <c r="C107" s="35" t="s">
        <v>541</v>
      </c>
      <c r="D107" s="35" t="s">
        <v>602</v>
      </c>
      <c r="E107">
        <v>3399</v>
      </c>
      <c r="F107">
        <v>3467</v>
      </c>
      <c r="G107">
        <v>3710</v>
      </c>
      <c r="H107">
        <v>3858</v>
      </c>
      <c r="I107">
        <v>4012</v>
      </c>
      <c r="J107">
        <v>4012</v>
      </c>
      <c r="K107">
        <v>4012</v>
      </c>
      <c r="L107">
        <v>25.717948717948719</v>
      </c>
    </row>
    <row r="108" spans="1:12" x14ac:dyDescent="0.45">
      <c r="A108" s="990"/>
      <c r="B108" s="35" t="s">
        <v>543</v>
      </c>
      <c r="C108" s="35" t="s">
        <v>543</v>
      </c>
      <c r="D108" s="35" t="s">
        <v>603</v>
      </c>
      <c r="E108">
        <v>3470</v>
      </c>
      <c r="F108">
        <v>3539</v>
      </c>
      <c r="G108">
        <v>3787</v>
      </c>
      <c r="H108">
        <v>3938</v>
      </c>
      <c r="I108">
        <v>4096</v>
      </c>
      <c r="J108">
        <v>4096</v>
      </c>
      <c r="K108">
        <v>4096</v>
      </c>
      <c r="L108">
        <v>26.256410256410259</v>
      </c>
    </row>
    <row r="109" spans="1:12" x14ac:dyDescent="0.45">
      <c r="A109" s="988">
        <v>6</v>
      </c>
      <c r="B109" s="35" t="s">
        <v>517</v>
      </c>
      <c r="C109" s="35" t="s">
        <v>517</v>
      </c>
      <c r="D109" s="35" t="s">
        <v>604</v>
      </c>
      <c r="E109">
        <v>2375</v>
      </c>
      <c r="F109">
        <v>2423</v>
      </c>
      <c r="G109">
        <v>2593</v>
      </c>
      <c r="H109">
        <v>2697</v>
      </c>
      <c r="I109">
        <v>2805</v>
      </c>
      <c r="J109">
        <v>2805</v>
      </c>
      <c r="K109">
        <v>2805</v>
      </c>
      <c r="L109">
        <v>17.98076923076923</v>
      </c>
    </row>
    <row r="110" spans="1:12" x14ac:dyDescent="0.45">
      <c r="A110" s="989"/>
      <c r="B110" s="35">
        <v>0</v>
      </c>
      <c r="C110" s="35">
        <v>0</v>
      </c>
      <c r="D110" s="35" t="s">
        <v>257</v>
      </c>
      <c r="E110">
        <v>2423</v>
      </c>
      <c r="F110">
        <v>2471</v>
      </c>
      <c r="G110">
        <v>2644</v>
      </c>
      <c r="H110">
        <v>2750</v>
      </c>
      <c r="I110">
        <v>2860</v>
      </c>
      <c r="J110">
        <v>2860</v>
      </c>
      <c r="K110">
        <v>2860</v>
      </c>
      <c r="L110">
        <v>18.333333333333329</v>
      </c>
    </row>
    <row r="111" spans="1:12" x14ac:dyDescent="0.45">
      <c r="A111" s="989"/>
      <c r="B111" s="35">
        <v>1</v>
      </c>
      <c r="C111" s="35">
        <v>1</v>
      </c>
      <c r="D111" s="35" t="s">
        <v>256</v>
      </c>
      <c r="E111">
        <v>2491</v>
      </c>
      <c r="F111">
        <v>2541</v>
      </c>
      <c r="G111">
        <v>2719</v>
      </c>
      <c r="H111">
        <v>2828</v>
      </c>
      <c r="I111">
        <v>2941</v>
      </c>
      <c r="J111">
        <v>2941</v>
      </c>
      <c r="K111">
        <v>2941</v>
      </c>
      <c r="L111">
        <v>18.852564102564099</v>
      </c>
    </row>
    <row r="112" spans="1:12" x14ac:dyDescent="0.45">
      <c r="A112" s="989"/>
      <c r="B112" s="35">
        <v>2</v>
      </c>
      <c r="C112" s="35">
        <v>2</v>
      </c>
      <c r="D112" s="35" t="s">
        <v>251</v>
      </c>
      <c r="E112">
        <v>2572</v>
      </c>
      <c r="F112">
        <v>2623</v>
      </c>
      <c r="G112">
        <v>2807</v>
      </c>
      <c r="H112">
        <v>2919</v>
      </c>
      <c r="I112">
        <v>3036</v>
      </c>
      <c r="J112">
        <v>3036</v>
      </c>
      <c r="K112">
        <v>3036</v>
      </c>
      <c r="L112">
        <v>19.46153846153846</v>
      </c>
    </row>
    <row r="113" spans="1:12" x14ac:dyDescent="0.45">
      <c r="A113" s="989"/>
      <c r="B113" s="35">
        <v>3</v>
      </c>
      <c r="C113" s="35">
        <v>3</v>
      </c>
      <c r="D113" s="35" t="s">
        <v>250</v>
      </c>
      <c r="E113">
        <v>2644</v>
      </c>
      <c r="F113">
        <v>2697</v>
      </c>
      <c r="G113">
        <v>2886</v>
      </c>
      <c r="H113">
        <v>3001</v>
      </c>
      <c r="I113">
        <v>3121</v>
      </c>
      <c r="J113">
        <v>3121</v>
      </c>
      <c r="K113">
        <v>3121</v>
      </c>
      <c r="L113">
        <v>20.006410256410259</v>
      </c>
    </row>
    <row r="114" spans="1:12" x14ac:dyDescent="0.45">
      <c r="A114" s="989"/>
      <c r="B114" s="35">
        <v>4</v>
      </c>
      <c r="C114" s="35">
        <v>4</v>
      </c>
      <c r="D114" s="35" t="s">
        <v>249</v>
      </c>
      <c r="E114">
        <v>2723</v>
      </c>
      <c r="F114">
        <v>2777</v>
      </c>
      <c r="G114">
        <v>2971</v>
      </c>
      <c r="H114">
        <v>3090</v>
      </c>
      <c r="I114">
        <v>3214</v>
      </c>
      <c r="J114">
        <v>3214</v>
      </c>
      <c r="K114">
        <v>3214</v>
      </c>
      <c r="L114">
        <v>20.602564102564099</v>
      </c>
    </row>
    <row r="115" spans="1:12" x14ac:dyDescent="0.45">
      <c r="A115" s="989"/>
      <c r="B115" s="35">
        <v>5</v>
      </c>
      <c r="C115" s="35">
        <v>5</v>
      </c>
      <c r="D115" s="35" t="s">
        <v>248</v>
      </c>
      <c r="E115">
        <v>2792</v>
      </c>
      <c r="F115">
        <v>2848</v>
      </c>
      <c r="G115">
        <v>3047</v>
      </c>
      <c r="H115">
        <v>3169</v>
      </c>
      <c r="I115">
        <v>3296</v>
      </c>
      <c r="J115">
        <v>3296</v>
      </c>
      <c r="K115">
        <v>3296</v>
      </c>
      <c r="L115">
        <v>21.128205128205131</v>
      </c>
    </row>
    <row r="116" spans="1:12" x14ac:dyDescent="0.45">
      <c r="A116" s="989"/>
      <c r="B116" s="35">
        <v>6</v>
      </c>
      <c r="C116" s="35">
        <v>6</v>
      </c>
      <c r="D116" s="35" t="s">
        <v>247</v>
      </c>
      <c r="E116">
        <v>2864</v>
      </c>
      <c r="F116">
        <v>2921</v>
      </c>
      <c r="G116">
        <v>3125</v>
      </c>
      <c r="H116">
        <v>3250</v>
      </c>
      <c r="I116">
        <v>3380</v>
      </c>
      <c r="J116">
        <v>3380</v>
      </c>
      <c r="K116">
        <v>3380</v>
      </c>
      <c r="L116">
        <v>21.666666666666671</v>
      </c>
    </row>
    <row r="117" spans="1:12" x14ac:dyDescent="0.45">
      <c r="A117" s="989"/>
      <c r="B117" s="35">
        <v>7</v>
      </c>
      <c r="C117" s="35">
        <v>7</v>
      </c>
      <c r="D117" s="35" t="s">
        <v>246</v>
      </c>
      <c r="E117">
        <v>2921</v>
      </c>
      <c r="F117">
        <v>2979</v>
      </c>
      <c r="G117">
        <v>3188</v>
      </c>
      <c r="H117">
        <v>3316</v>
      </c>
      <c r="I117">
        <v>3449</v>
      </c>
      <c r="J117">
        <v>3449</v>
      </c>
      <c r="K117">
        <v>3449</v>
      </c>
      <c r="L117">
        <v>22.108974358974361</v>
      </c>
    </row>
    <row r="118" spans="1:12" x14ac:dyDescent="0.45">
      <c r="A118" s="989"/>
      <c r="B118" s="35">
        <v>8</v>
      </c>
      <c r="C118" s="35">
        <v>8</v>
      </c>
      <c r="D118" s="35" t="s">
        <v>245</v>
      </c>
      <c r="E118">
        <v>2985</v>
      </c>
      <c r="F118">
        <v>3045</v>
      </c>
      <c r="G118">
        <v>3258</v>
      </c>
      <c r="H118">
        <v>3388</v>
      </c>
      <c r="I118">
        <v>3524</v>
      </c>
      <c r="J118">
        <v>3524</v>
      </c>
      <c r="K118">
        <v>3524</v>
      </c>
      <c r="L118">
        <v>22.589743589743591</v>
      </c>
    </row>
    <row r="119" spans="1:12" x14ac:dyDescent="0.45">
      <c r="A119" s="989"/>
      <c r="B119" s="35">
        <v>9</v>
      </c>
      <c r="C119" s="35">
        <v>9</v>
      </c>
      <c r="D119" s="35" t="s">
        <v>244</v>
      </c>
      <c r="E119">
        <v>3043</v>
      </c>
      <c r="F119">
        <v>3104</v>
      </c>
      <c r="G119">
        <v>3321</v>
      </c>
      <c r="H119">
        <v>3454</v>
      </c>
      <c r="I119">
        <v>3592</v>
      </c>
      <c r="J119">
        <v>3592</v>
      </c>
      <c r="K119">
        <v>3592</v>
      </c>
      <c r="L119">
        <v>23.025641025641029</v>
      </c>
    </row>
    <row r="120" spans="1:12" x14ac:dyDescent="0.45">
      <c r="A120" s="989"/>
      <c r="B120" s="35">
        <v>10</v>
      </c>
      <c r="C120" s="35">
        <v>10</v>
      </c>
      <c r="D120" s="35" t="s">
        <v>255</v>
      </c>
      <c r="E120">
        <v>3158</v>
      </c>
      <c r="F120">
        <v>3221</v>
      </c>
      <c r="G120">
        <v>3446</v>
      </c>
      <c r="H120">
        <v>3584</v>
      </c>
      <c r="I120">
        <v>3727</v>
      </c>
      <c r="J120">
        <v>3727</v>
      </c>
      <c r="K120">
        <v>3727</v>
      </c>
      <c r="L120">
        <v>23.891025641025639</v>
      </c>
    </row>
    <row r="121" spans="1:12" x14ac:dyDescent="0.45">
      <c r="A121" s="989"/>
      <c r="B121" s="35">
        <v>11</v>
      </c>
      <c r="C121" s="35">
        <v>11</v>
      </c>
      <c r="D121" s="35" t="s">
        <v>254</v>
      </c>
      <c r="E121">
        <v>3233</v>
      </c>
      <c r="F121">
        <v>3298</v>
      </c>
      <c r="G121">
        <v>3529</v>
      </c>
      <c r="H121">
        <v>3670</v>
      </c>
      <c r="I121">
        <v>3817</v>
      </c>
      <c r="J121">
        <v>3817</v>
      </c>
      <c r="K121">
        <v>3817</v>
      </c>
      <c r="L121">
        <v>24.467948717948719</v>
      </c>
    </row>
    <row r="122" spans="1:12" x14ac:dyDescent="0.45">
      <c r="A122" s="989"/>
      <c r="B122" s="35">
        <v>12</v>
      </c>
      <c r="C122" s="35">
        <v>12</v>
      </c>
      <c r="D122" s="35" t="s">
        <v>253</v>
      </c>
      <c r="E122">
        <v>3314</v>
      </c>
      <c r="F122">
        <v>3380</v>
      </c>
      <c r="G122">
        <v>3617</v>
      </c>
      <c r="H122">
        <v>3762</v>
      </c>
      <c r="I122">
        <v>3912</v>
      </c>
      <c r="J122">
        <v>3912</v>
      </c>
      <c r="K122">
        <v>3912</v>
      </c>
      <c r="L122">
        <v>25.07692307692308</v>
      </c>
    </row>
    <row r="123" spans="1:12" x14ac:dyDescent="0.45">
      <c r="A123" s="989"/>
      <c r="B123" s="35">
        <v>13</v>
      </c>
      <c r="C123" s="35">
        <v>13</v>
      </c>
      <c r="D123" s="35" t="s">
        <v>252</v>
      </c>
      <c r="E123">
        <v>3399</v>
      </c>
      <c r="F123">
        <v>3467</v>
      </c>
      <c r="G123">
        <v>3710</v>
      </c>
      <c r="H123">
        <v>3858</v>
      </c>
      <c r="I123">
        <v>4012</v>
      </c>
      <c r="J123">
        <v>4012</v>
      </c>
      <c r="K123">
        <v>4012</v>
      </c>
      <c r="L123">
        <v>25.717948717948719</v>
      </c>
    </row>
    <row r="124" spans="1:12" x14ac:dyDescent="0.45">
      <c r="A124" s="989"/>
      <c r="B124" s="35" t="s">
        <v>531</v>
      </c>
      <c r="C124" s="35" t="s">
        <v>531</v>
      </c>
      <c r="D124" s="35" t="s">
        <v>605</v>
      </c>
      <c r="E124">
        <v>3470</v>
      </c>
      <c r="F124">
        <v>3539</v>
      </c>
      <c r="G124">
        <v>3787</v>
      </c>
      <c r="H124">
        <v>3938</v>
      </c>
      <c r="I124">
        <v>4096</v>
      </c>
      <c r="J124">
        <v>4096</v>
      </c>
      <c r="K124">
        <v>4096</v>
      </c>
      <c r="L124">
        <v>26.256410256410259</v>
      </c>
    </row>
    <row r="125" spans="1:12" x14ac:dyDescent="0.45">
      <c r="A125" s="989"/>
      <c r="B125" s="35" t="s">
        <v>533</v>
      </c>
      <c r="C125" s="35" t="s">
        <v>533</v>
      </c>
      <c r="D125" s="35" t="s">
        <v>606</v>
      </c>
      <c r="E125">
        <v>3548</v>
      </c>
      <c r="F125">
        <v>3619</v>
      </c>
      <c r="G125">
        <v>3872</v>
      </c>
      <c r="H125">
        <v>4027</v>
      </c>
      <c r="I125">
        <v>4188</v>
      </c>
      <c r="J125">
        <v>4188</v>
      </c>
      <c r="K125">
        <v>4188</v>
      </c>
      <c r="L125">
        <v>26.84615384615385</v>
      </c>
    </row>
    <row r="126" spans="1:12" x14ac:dyDescent="0.45">
      <c r="A126" s="989"/>
      <c r="B126" s="35" t="s">
        <v>535</v>
      </c>
      <c r="C126" s="35" t="s">
        <v>535</v>
      </c>
      <c r="D126" s="35" t="s">
        <v>607</v>
      </c>
      <c r="E126">
        <v>3470</v>
      </c>
      <c r="F126">
        <v>3539</v>
      </c>
      <c r="G126">
        <v>3787</v>
      </c>
      <c r="H126">
        <v>3938</v>
      </c>
      <c r="I126">
        <v>4096</v>
      </c>
      <c r="J126">
        <v>4096</v>
      </c>
      <c r="K126">
        <v>4096</v>
      </c>
      <c r="L126">
        <v>26.256410256410259</v>
      </c>
    </row>
    <row r="127" spans="1:12" x14ac:dyDescent="0.45">
      <c r="A127" s="989"/>
      <c r="B127" s="35" t="s">
        <v>537</v>
      </c>
      <c r="C127" s="35" t="s">
        <v>537</v>
      </c>
      <c r="D127" s="35" t="s">
        <v>608</v>
      </c>
      <c r="E127">
        <v>3548</v>
      </c>
      <c r="F127">
        <v>3619</v>
      </c>
      <c r="G127">
        <v>3872</v>
      </c>
      <c r="H127">
        <v>4027</v>
      </c>
      <c r="I127">
        <v>4188</v>
      </c>
      <c r="J127">
        <v>4188</v>
      </c>
      <c r="K127">
        <v>4188</v>
      </c>
      <c r="L127">
        <v>26.84615384615385</v>
      </c>
    </row>
    <row r="128" spans="1:12" x14ac:dyDescent="0.45">
      <c r="A128" s="989"/>
      <c r="B128" s="35" t="s">
        <v>539</v>
      </c>
      <c r="C128" s="35" t="s">
        <v>539</v>
      </c>
      <c r="D128" s="35" t="s">
        <v>609</v>
      </c>
      <c r="E128">
        <v>3621</v>
      </c>
      <c r="F128">
        <v>3693</v>
      </c>
      <c r="G128">
        <v>3952</v>
      </c>
      <c r="H128">
        <v>4110</v>
      </c>
      <c r="I128">
        <v>4274</v>
      </c>
      <c r="J128">
        <v>4274</v>
      </c>
      <c r="K128">
        <v>4274</v>
      </c>
      <c r="L128">
        <v>27.397435897435901</v>
      </c>
    </row>
    <row r="129" spans="1:12" x14ac:dyDescent="0.45">
      <c r="A129" s="989"/>
      <c r="B129" s="35" t="s">
        <v>541</v>
      </c>
      <c r="C129" s="35" t="s">
        <v>541</v>
      </c>
      <c r="D129" s="35" t="s">
        <v>610</v>
      </c>
      <c r="E129">
        <v>3745</v>
      </c>
      <c r="F129">
        <v>3820</v>
      </c>
      <c r="G129">
        <v>4087</v>
      </c>
      <c r="H129">
        <v>4250</v>
      </c>
      <c r="I129">
        <v>4420</v>
      </c>
      <c r="J129">
        <v>4420</v>
      </c>
      <c r="K129">
        <v>4420</v>
      </c>
      <c r="L129">
        <v>28.333333333333329</v>
      </c>
    </row>
    <row r="130" spans="1:12" x14ac:dyDescent="0.45">
      <c r="A130" s="990"/>
      <c r="B130" s="35" t="s">
        <v>543</v>
      </c>
      <c r="C130" s="35" t="s">
        <v>543</v>
      </c>
      <c r="D130" s="35" t="s">
        <v>611</v>
      </c>
      <c r="E130">
        <v>3874</v>
      </c>
      <c r="F130">
        <v>3951</v>
      </c>
      <c r="G130">
        <v>4228</v>
      </c>
      <c r="H130">
        <v>4397</v>
      </c>
      <c r="I130">
        <v>4573</v>
      </c>
      <c r="J130">
        <v>4573</v>
      </c>
      <c r="K130">
        <v>4573</v>
      </c>
      <c r="L130">
        <v>29.314102564102569</v>
      </c>
    </row>
    <row r="131" spans="1:12" x14ac:dyDescent="0.45">
      <c r="A131" s="988">
        <v>7</v>
      </c>
      <c r="B131" s="35" t="s">
        <v>517</v>
      </c>
      <c r="C131" s="35" t="s">
        <v>517</v>
      </c>
      <c r="D131" s="35" t="s">
        <v>612</v>
      </c>
      <c r="E131">
        <v>2593</v>
      </c>
      <c r="F131">
        <v>2645</v>
      </c>
      <c r="G131">
        <v>2830</v>
      </c>
      <c r="H131">
        <v>2943</v>
      </c>
      <c r="I131">
        <v>3061</v>
      </c>
      <c r="J131">
        <v>3061</v>
      </c>
      <c r="K131">
        <v>3061</v>
      </c>
      <c r="L131">
        <v>19.621794871794869</v>
      </c>
    </row>
    <row r="132" spans="1:12" x14ac:dyDescent="0.45">
      <c r="A132" s="989"/>
      <c r="B132" s="35">
        <v>0</v>
      </c>
      <c r="C132" s="35">
        <v>0</v>
      </c>
      <c r="D132" s="35" t="s">
        <v>241</v>
      </c>
      <c r="E132">
        <v>2644</v>
      </c>
      <c r="F132">
        <v>2697</v>
      </c>
      <c r="G132">
        <v>2886</v>
      </c>
      <c r="H132">
        <v>3001</v>
      </c>
      <c r="I132">
        <v>3121</v>
      </c>
      <c r="J132">
        <v>3121</v>
      </c>
      <c r="K132">
        <v>3121</v>
      </c>
      <c r="L132">
        <v>20.006410256410259</v>
      </c>
    </row>
    <row r="133" spans="1:12" x14ac:dyDescent="0.45">
      <c r="A133" s="989"/>
      <c r="B133" s="35">
        <v>1</v>
      </c>
      <c r="C133" s="35">
        <v>1</v>
      </c>
      <c r="D133" s="35" t="s">
        <v>240</v>
      </c>
      <c r="E133">
        <v>2723</v>
      </c>
      <c r="F133">
        <v>2777</v>
      </c>
      <c r="G133">
        <v>2971</v>
      </c>
      <c r="H133">
        <v>3090</v>
      </c>
      <c r="I133">
        <v>3214</v>
      </c>
      <c r="J133">
        <v>3214</v>
      </c>
      <c r="K133">
        <v>3214</v>
      </c>
      <c r="L133">
        <v>20.602564102564099</v>
      </c>
    </row>
    <row r="134" spans="1:12" x14ac:dyDescent="0.45">
      <c r="A134" s="989"/>
      <c r="B134" s="35">
        <v>2</v>
      </c>
      <c r="C134" s="35">
        <v>2</v>
      </c>
      <c r="D134" s="35" t="s">
        <v>235</v>
      </c>
      <c r="E134">
        <v>2792</v>
      </c>
      <c r="F134">
        <v>2848</v>
      </c>
      <c r="G134">
        <v>3047</v>
      </c>
      <c r="H134">
        <v>3169</v>
      </c>
      <c r="I134">
        <v>3296</v>
      </c>
      <c r="J134">
        <v>3296</v>
      </c>
      <c r="K134">
        <v>3296</v>
      </c>
      <c r="L134">
        <v>21.128205128205131</v>
      </c>
    </row>
    <row r="135" spans="1:12" x14ac:dyDescent="0.45">
      <c r="A135" s="989"/>
      <c r="B135" s="35">
        <v>3</v>
      </c>
      <c r="C135" s="35">
        <v>3</v>
      </c>
      <c r="D135" s="35" t="s">
        <v>234</v>
      </c>
      <c r="E135">
        <v>2864</v>
      </c>
      <c r="F135">
        <v>2921</v>
      </c>
      <c r="G135">
        <v>3125</v>
      </c>
      <c r="H135">
        <v>3250</v>
      </c>
      <c r="I135">
        <v>3380</v>
      </c>
      <c r="J135">
        <v>3380</v>
      </c>
      <c r="K135">
        <v>3380</v>
      </c>
      <c r="L135">
        <v>21.666666666666671</v>
      </c>
    </row>
    <row r="136" spans="1:12" x14ac:dyDescent="0.45">
      <c r="A136" s="989"/>
      <c r="B136" s="35">
        <v>4</v>
      </c>
      <c r="C136" s="35">
        <v>4</v>
      </c>
      <c r="D136" s="35" t="s">
        <v>233</v>
      </c>
      <c r="E136">
        <v>2921</v>
      </c>
      <c r="F136">
        <v>2979</v>
      </c>
      <c r="G136">
        <v>3188</v>
      </c>
      <c r="H136">
        <v>3316</v>
      </c>
      <c r="I136">
        <v>3449</v>
      </c>
      <c r="J136">
        <v>3449</v>
      </c>
      <c r="K136">
        <v>3449</v>
      </c>
      <c r="L136">
        <v>22.108974358974361</v>
      </c>
    </row>
    <row r="137" spans="1:12" x14ac:dyDescent="0.45">
      <c r="A137" s="989"/>
      <c r="B137" s="35">
        <v>5</v>
      </c>
      <c r="C137" s="35">
        <v>5</v>
      </c>
      <c r="D137" s="35" t="s">
        <v>232</v>
      </c>
      <c r="E137">
        <v>2985</v>
      </c>
      <c r="F137">
        <v>3045</v>
      </c>
      <c r="G137">
        <v>3258</v>
      </c>
      <c r="H137">
        <v>3388</v>
      </c>
      <c r="I137">
        <v>3524</v>
      </c>
      <c r="J137">
        <v>3524</v>
      </c>
      <c r="K137">
        <v>3524</v>
      </c>
      <c r="L137">
        <v>22.589743589743591</v>
      </c>
    </row>
    <row r="138" spans="1:12" x14ac:dyDescent="0.45">
      <c r="A138" s="989"/>
      <c r="B138" s="35">
        <v>6</v>
      </c>
      <c r="C138" s="35">
        <v>6</v>
      </c>
      <c r="D138" s="35" t="s">
        <v>231</v>
      </c>
      <c r="E138">
        <v>3043</v>
      </c>
      <c r="F138">
        <v>3104</v>
      </c>
      <c r="G138">
        <v>3321</v>
      </c>
      <c r="H138">
        <v>3454</v>
      </c>
      <c r="I138">
        <v>3592</v>
      </c>
      <c r="J138">
        <v>3592</v>
      </c>
      <c r="K138">
        <v>3592</v>
      </c>
      <c r="L138">
        <v>23.025641025641029</v>
      </c>
    </row>
    <row r="139" spans="1:12" x14ac:dyDescent="0.45">
      <c r="A139" s="989"/>
      <c r="B139" s="35">
        <v>7</v>
      </c>
      <c r="C139" s="35">
        <v>7</v>
      </c>
      <c r="D139" s="35" t="s">
        <v>230</v>
      </c>
      <c r="E139">
        <v>3158</v>
      </c>
      <c r="F139">
        <v>3221</v>
      </c>
      <c r="G139">
        <v>3446</v>
      </c>
      <c r="H139">
        <v>3584</v>
      </c>
      <c r="I139">
        <v>3727</v>
      </c>
      <c r="J139">
        <v>3727</v>
      </c>
      <c r="K139">
        <v>3727</v>
      </c>
      <c r="L139">
        <v>23.891025641025639</v>
      </c>
    </row>
    <row r="140" spans="1:12" x14ac:dyDescent="0.45">
      <c r="A140" s="989"/>
      <c r="B140" s="35">
        <v>8</v>
      </c>
      <c r="C140" s="35">
        <v>8</v>
      </c>
      <c r="D140" s="35" t="s">
        <v>229</v>
      </c>
      <c r="E140">
        <v>3233</v>
      </c>
      <c r="F140">
        <v>3298</v>
      </c>
      <c r="G140">
        <v>3529</v>
      </c>
      <c r="H140">
        <v>3670</v>
      </c>
      <c r="I140">
        <v>3817</v>
      </c>
      <c r="J140">
        <v>3817</v>
      </c>
      <c r="K140">
        <v>3817</v>
      </c>
      <c r="L140">
        <v>24.467948717948719</v>
      </c>
    </row>
    <row r="141" spans="1:12" x14ac:dyDescent="0.45">
      <c r="A141" s="989"/>
      <c r="B141" s="35">
        <v>9</v>
      </c>
      <c r="C141" s="35">
        <v>9</v>
      </c>
      <c r="D141" s="35" t="s">
        <v>228</v>
      </c>
      <c r="E141">
        <v>3314</v>
      </c>
      <c r="F141">
        <v>3380</v>
      </c>
      <c r="G141">
        <v>3617</v>
      </c>
      <c r="H141">
        <v>3762</v>
      </c>
      <c r="I141">
        <v>3912</v>
      </c>
      <c r="J141">
        <v>3912</v>
      </c>
      <c r="K141">
        <v>3912</v>
      </c>
      <c r="L141">
        <v>25.07692307692308</v>
      </c>
    </row>
    <row r="142" spans="1:12" x14ac:dyDescent="0.45">
      <c r="A142" s="989"/>
      <c r="B142" s="35">
        <v>10</v>
      </c>
      <c r="C142" s="35">
        <v>10</v>
      </c>
      <c r="D142" s="35" t="s">
        <v>239</v>
      </c>
      <c r="E142">
        <v>3399</v>
      </c>
      <c r="F142">
        <v>3467</v>
      </c>
      <c r="G142">
        <v>3710</v>
      </c>
      <c r="H142">
        <v>3858</v>
      </c>
      <c r="I142">
        <v>4012</v>
      </c>
      <c r="J142">
        <v>4012</v>
      </c>
      <c r="K142">
        <v>4012</v>
      </c>
      <c r="L142">
        <v>25.717948717948719</v>
      </c>
    </row>
    <row r="143" spans="1:12" x14ac:dyDescent="0.45">
      <c r="A143" s="989"/>
      <c r="B143" s="35">
        <v>11</v>
      </c>
      <c r="C143" s="35">
        <v>11</v>
      </c>
      <c r="D143" s="35" t="s">
        <v>238</v>
      </c>
      <c r="E143">
        <v>3470</v>
      </c>
      <c r="F143">
        <v>3539</v>
      </c>
      <c r="G143">
        <v>3787</v>
      </c>
      <c r="H143">
        <v>3938</v>
      </c>
      <c r="I143">
        <v>4096</v>
      </c>
      <c r="J143">
        <v>4096</v>
      </c>
      <c r="K143">
        <v>4096</v>
      </c>
      <c r="L143">
        <v>26.256410256410259</v>
      </c>
    </row>
    <row r="144" spans="1:12" x14ac:dyDescent="0.45">
      <c r="A144" s="989"/>
      <c r="B144" s="35">
        <v>12</v>
      </c>
      <c r="C144" s="35">
        <v>12</v>
      </c>
      <c r="D144" s="35" t="s">
        <v>237</v>
      </c>
      <c r="E144">
        <v>3548</v>
      </c>
      <c r="F144">
        <v>3619</v>
      </c>
      <c r="G144">
        <v>3872</v>
      </c>
      <c r="H144">
        <v>4027</v>
      </c>
      <c r="I144">
        <v>4188</v>
      </c>
      <c r="J144">
        <v>4188</v>
      </c>
      <c r="K144">
        <v>4188</v>
      </c>
      <c r="L144">
        <v>26.84615384615385</v>
      </c>
    </row>
    <row r="145" spans="1:12" x14ac:dyDescent="0.45">
      <c r="A145" s="989"/>
      <c r="B145" s="35">
        <v>13</v>
      </c>
      <c r="C145" s="35">
        <v>13</v>
      </c>
      <c r="D145" s="35" t="s">
        <v>236</v>
      </c>
      <c r="E145">
        <v>3621</v>
      </c>
      <c r="F145">
        <v>3693</v>
      </c>
      <c r="G145">
        <v>3952</v>
      </c>
      <c r="H145">
        <v>4110</v>
      </c>
      <c r="I145">
        <v>4274</v>
      </c>
      <c r="J145">
        <v>4274</v>
      </c>
      <c r="K145">
        <v>4274</v>
      </c>
      <c r="L145">
        <v>27.397435897435901</v>
      </c>
    </row>
    <row r="146" spans="1:12" x14ac:dyDescent="0.45">
      <c r="A146" s="989"/>
      <c r="B146" s="35" t="s">
        <v>531</v>
      </c>
      <c r="C146" s="35" t="s">
        <v>531</v>
      </c>
      <c r="D146" s="35" t="s">
        <v>613</v>
      </c>
      <c r="E146">
        <v>3745</v>
      </c>
      <c r="F146">
        <v>3820</v>
      </c>
      <c r="G146">
        <v>4087</v>
      </c>
      <c r="H146">
        <v>4250</v>
      </c>
      <c r="I146">
        <v>4420</v>
      </c>
      <c r="J146">
        <v>4420</v>
      </c>
      <c r="K146">
        <v>4420</v>
      </c>
      <c r="L146">
        <v>28.333333333333329</v>
      </c>
    </row>
    <row r="147" spans="1:12" x14ac:dyDescent="0.45">
      <c r="A147" s="989"/>
      <c r="B147" s="35" t="s">
        <v>533</v>
      </c>
      <c r="C147" s="35" t="s">
        <v>533</v>
      </c>
      <c r="D147" s="35" t="s">
        <v>614</v>
      </c>
      <c r="E147">
        <v>3874</v>
      </c>
      <c r="F147">
        <v>3951</v>
      </c>
      <c r="G147">
        <v>4228</v>
      </c>
      <c r="H147">
        <v>4397</v>
      </c>
      <c r="I147">
        <v>4573</v>
      </c>
      <c r="J147">
        <v>4573</v>
      </c>
      <c r="K147">
        <v>4573</v>
      </c>
      <c r="L147">
        <v>29.314102564102569</v>
      </c>
    </row>
    <row r="148" spans="1:12" x14ac:dyDescent="0.45">
      <c r="A148" s="989"/>
      <c r="B148" s="35" t="s">
        <v>535</v>
      </c>
      <c r="C148" s="35" t="s">
        <v>535</v>
      </c>
      <c r="D148" s="35" t="s">
        <v>615</v>
      </c>
      <c r="E148">
        <v>3745</v>
      </c>
      <c r="F148">
        <v>3820</v>
      </c>
      <c r="G148">
        <v>4087</v>
      </c>
      <c r="H148">
        <v>4250</v>
      </c>
      <c r="I148">
        <v>4420</v>
      </c>
      <c r="J148">
        <v>4420</v>
      </c>
      <c r="K148">
        <v>4420</v>
      </c>
      <c r="L148">
        <v>28.333333333333329</v>
      </c>
    </row>
    <row r="149" spans="1:12" x14ac:dyDescent="0.45">
      <c r="A149" s="989"/>
      <c r="B149" s="35" t="s">
        <v>537</v>
      </c>
      <c r="C149" s="35" t="s">
        <v>537</v>
      </c>
      <c r="D149" s="35" t="s">
        <v>616</v>
      </c>
      <c r="E149">
        <v>3874</v>
      </c>
      <c r="F149">
        <v>3951</v>
      </c>
      <c r="G149">
        <v>4228</v>
      </c>
      <c r="H149">
        <v>4397</v>
      </c>
      <c r="I149">
        <v>4573</v>
      </c>
      <c r="J149">
        <v>4573</v>
      </c>
      <c r="K149">
        <v>4573</v>
      </c>
      <c r="L149">
        <v>29.314102564102569</v>
      </c>
    </row>
    <row r="150" spans="1:12" x14ac:dyDescent="0.45">
      <c r="A150" s="989"/>
      <c r="B150" s="35" t="s">
        <v>539</v>
      </c>
      <c r="C150" s="35" t="s">
        <v>539</v>
      </c>
      <c r="D150" s="35" t="s">
        <v>617</v>
      </c>
      <c r="E150">
        <v>4006</v>
      </c>
      <c r="F150">
        <v>4086</v>
      </c>
      <c r="G150">
        <v>4372</v>
      </c>
      <c r="H150">
        <v>4547</v>
      </c>
      <c r="I150">
        <v>4729</v>
      </c>
      <c r="J150">
        <v>4729</v>
      </c>
      <c r="K150">
        <v>4729</v>
      </c>
      <c r="L150">
        <v>30.314102564102569</v>
      </c>
    </row>
    <row r="151" spans="1:12" x14ac:dyDescent="0.45">
      <c r="A151" s="989"/>
      <c r="B151" s="35" t="s">
        <v>541</v>
      </c>
      <c r="C151" s="35" t="s">
        <v>541</v>
      </c>
      <c r="D151" s="35" t="s">
        <v>618</v>
      </c>
      <c r="E151">
        <v>4136</v>
      </c>
      <c r="F151">
        <v>4219</v>
      </c>
      <c r="G151">
        <v>4514</v>
      </c>
      <c r="H151">
        <v>4695</v>
      </c>
      <c r="I151">
        <v>4883</v>
      </c>
      <c r="J151">
        <v>4883</v>
      </c>
      <c r="K151">
        <v>4883</v>
      </c>
      <c r="L151">
        <v>31.301282051282051</v>
      </c>
    </row>
    <row r="152" spans="1:12" x14ac:dyDescent="0.45">
      <c r="A152" s="990"/>
      <c r="B152" s="35" t="s">
        <v>543</v>
      </c>
      <c r="C152" s="35" t="s">
        <v>543</v>
      </c>
      <c r="D152" s="35" t="s">
        <v>619</v>
      </c>
      <c r="E152">
        <v>4270</v>
      </c>
      <c r="F152">
        <v>4355</v>
      </c>
      <c r="G152">
        <v>4660</v>
      </c>
      <c r="H152">
        <v>4846</v>
      </c>
      <c r="I152">
        <v>5040</v>
      </c>
      <c r="J152">
        <v>5040</v>
      </c>
      <c r="K152">
        <v>5040</v>
      </c>
      <c r="L152">
        <v>32.307692307692307</v>
      </c>
    </row>
    <row r="153" spans="1:12" x14ac:dyDescent="0.45">
      <c r="A153" s="988">
        <v>8</v>
      </c>
      <c r="B153" s="35" t="s">
        <v>517</v>
      </c>
      <c r="C153" s="35" t="s">
        <v>517</v>
      </c>
      <c r="D153" s="35" t="s">
        <v>620</v>
      </c>
      <c r="E153">
        <v>2811</v>
      </c>
      <c r="F153">
        <v>2867</v>
      </c>
      <c r="G153">
        <v>3068</v>
      </c>
      <c r="H153">
        <v>3191</v>
      </c>
      <c r="I153">
        <v>3319</v>
      </c>
      <c r="J153">
        <v>3319</v>
      </c>
      <c r="K153">
        <v>3319</v>
      </c>
      <c r="L153">
        <v>21.275641025641029</v>
      </c>
    </row>
    <row r="154" spans="1:12" x14ac:dyDescent="0.45">
      <c r="A154" s="989"/>
      <c r="B154" s="35">
        <v>0</v>
      </c>
      <c r="C154" s="35">
        <v>0</v>
      </c>
      <c r="D154" s="35" t="s">
        <v>225</v>
      </c>
      <c r="E154">
        <v>2864</v>
      </c>
      <c r="F154">
        <v>2921</v>
      </c>
      <c r="G154">
        <v>3125</v>
      </c>
      <c r="H154">
        <v>3250</v>
      </c>
      <c r="I154">
        <v>3380</v>
      </c>
      <c r="J154">
        <v>3380</v>
      </c>
      <c r="K154">
        <v>3380</v>
      </c>
      <c r="L154">
        <v>21.666666666666671</v>
      </c>
    </row>
    <row r="155" spans="1:12" x14ac:dyDescent="0.45">
      <c r="A155" s="989"/>
      <c r="B155" s="35">
        <v>1</v>
      </c>
      <c r="C155" s="35">
        <v>1</v>
      </c>
      <c r="D155" s="35" t="s">
        <v>224</v>
      </c>
      <c r="E155">
        <v>2921</v>
      </c>
      <c r="F155">
        <v>2979</v>
      </c>
      <c r="G155">
        <v>3188</v>
      </c>
      <c r="H155">
        <v>3316</v>
      </c>
      <c r="I155">
        <v>3449</v>
      </c>
      <c r="J155">
        <v>3449</v>
      </c>
      <c r="K155">
        <v>3449</v>
      </c>
      <c r="L155">
        <v>22.108974358974361</v>
      </c>
    </row>
    <row r="156" spans="1:12" x14ac:dyDescent="0.45">
      <c r="A156" s="989"/>
      <c r="B156" s="35">
        <v>2</v>
      </c>
      <c r="C156" s="35">
        <v>2</v>
      </c>
      <c r="D156" s="35" t="s">
        <v>219</v>
      </c>
      <c r="E156">
        <v>2985</v>
      </c>
      <c r="F156">
        <v>3045</v>
      </c>
      <c r="G156">
        <v>3258</v>
      </c>
      <c r="H156">
        <v>3388</v>
      </c>
      <c r="I156">
        <v>3524</v>
      </c>
      <c r="J156">
        <v>3524</v>
      </c>
      <c r="K156">
        <v>3524</v>
      </c>
      <c r="L156">
        <v>22.589743589743591</v>
      </c>
    </row>
    <row r="157" spans="1:12" x14ac:dyDescent="0.45">
      <c r="A157" s="989"/>
      <c r="B157" s="35">
        <v>3</v>
      </c>
      <c r="C157" s="35">
        <v>3</v>
      </c>
      <c r="D157" s="35" t="s">
        <v>218</v>
      </c>
      <c r="E157">
        <v>3043</v>
      </c>
      <c r="F157">
        <v>3104</v>
      </c>
      <c r="G157">
        <v>3321</v>
      </c>
      <c r="H157">
        <v>3454</v>
      </c>
      <c r="I157">
        <v>3592</v>
      </c>
      <c r="J157">
        <v>3592</v>
      </c>
      <c r="K157">
        <v>3592</v>
      </c>
      <c r="L157">
        <v>23.025641025641029</v>
      </c>
    </row>
    <row r="158" spans="1:12" x14ac:dyDescent="0.45">
      <c r="A158" s="989"/>
      <c r="B158" s="35">
        <v>4</v>
      </c>
      <c r="C158" s="35">
        <v>4</v>
      </c>
      <c r="D158" s="35" t="s">
        <v>217</v>
      </c>
      <c r="E158">
        <v>3158</v>
      </c>
      <c r="F158">
        <v>3221</v>
      </c>
      <c r="G158">
        <v>3446</v>
      </c>
      <c r="H158">
        <v>3584</v>
      </c>
      <c r="I158">
        <v>3727</v>
      </c>
      <c r="J158">
        <v>3727</v>
      </c>
      <c r="K158">
        <v>3727</v>
      </c>
      <c r="L158">
        <v>23.891025641025639</v>
      </c>
    </row>
    <row r="159" spans="1:12" x14ac:dyDescent="0.45">
      <c r="A159" s="989"/>
      <c r="B159" s="35">
        <v>5</v>
      </c>
      <c r="C159" s="35">
        <v>5</v>
      </c>
      <c r="D159" s="35" t="s">
        <v>216</v>
      </c>
      <c r="E159">
        <v>3233</v>
      </c>
      <c r="F159">
        <v>3298</v>
      </c>
      <c r="G159">
        <v>3529</v>
      </c>
      <c r="H159">
        <v>3670</v>
      </c>
      <c r="I159">
        <v>3817</v>
      </c>
      <c r="J159">
        <v>3817</v>
      </c>
      <c r="K159">
        <v>3817</v>
      </c>
      <c r="L159">
        <v>24.467948717948719</v>
      </c>
    </row>
    <row r="160" spans="1:12" x14ac:dyDescent="0.45">
      <c r="A160" s="989"/>
      <c r="B160" s="35">
        <v>6</v>
      </c>
      <c r="C160" s="35">
        <v>6</v>
      </c>
      <c r="D160" s="35" t="s">
        <v>215</v>
      </c>
      <c r="E160">
        <v>3314</v>
      </c>
      <c r="F160">
        <v>3380</v>
      </c>
      <c r="G160">
        <v>3617</v>
      </c>
      <c r="H160">
        <v>3762</v>
      </c>
      <c r="I160">
        <v>3912</v>
      </c>
      <c r="J160">
        <v>3912</v>
      </c>
      <c r="K160">
        <v>3912</v>
      </c>
      <c r="L160">
        <v>25.07692307692308</v>
      </c>
    </row>
    <row r="161" spans="1:12" x14ac:dyDescent="0.45">
      <c r="A161" s="989"/>
      <c r="B161" s="35">
        <v>7</v>
      </c>
      <c r="C161" s="35">
        <v>7</v>
      </c>
      <c r="D161" s="35" t="s">
        <v>214</v>
      </c>
      <c r="E161">
        <v>3399</v>
      </c>
      <c r="F161">
        <v>3467</v>
      </c>
      <c r="G161">
        <v>3710</v>
      </c>
      <c r="H161">
        <v>3858</v>
      </c>
      <c r="I161">
        <v>4012</v>
      </c>
      <c r="J161">
        <v>4012</v>
      </c>
      <c r="K161">
        <v>4012</v>
      </c>
      <c r="L161">
        <v>25.717948717948719</v>
      </c>
    </row>
    <row r="162" spans="1:12" x14ac:dyDescent="0.45">
      <c r="A162" s="989"/>
      <c r="B162" s="35">
        <v>8</v>
      </c>
      <c r="C162" s="35">
        <v>8</v>
      </c>
      <c r="D162" s="35" t="s">
        <v>213</v>
      </c>
      <c r="E162">
        <v>3470</v>
      </c>
      <c r="F162">
        <v>3539</v>
      </c>
      <c r="G162">
        <v>3787</v>
      </c>
      <c r="H162">
        <v>3938</v>
      </c>
      <c r="I162">
        <v>4096</v>
      </c>
      <c r="J162">
        <v>4096</v>
      </c>
      <c r="K162">
        <v>4096</v>
      </c>
      <c r="L162">
        <v>26.256410256410259</v>
      </c>
    </row>
    <row r="163" spans="1:12" x14ac:dyDescent="0.45">
      <c r="A163" s="989"/>
      <c r="B163" s="35">
        <v>9</v>
      </c>
      <c r="C163" s="35">
        <v>9</v>
      </c>
      <c r="D163" s="35" t="s">
        <v>212</v>
      </c>
      <c r="E163">
        <v>3548</v>
      </c>
      <c r="F163">
        <v>3619</v>
      </c>
      <c r="G163">
        <v>3872</v>
      </c>
      <c r="H163">
        <v>4027</v>
      </c>
      <c r="I163">
        <v>4188</v>
      </c>
      <c r="J163">
        <v>4188</v>
      </c>
      <c r="K163">
        <v>4188</v>
      </c>
      <c r="L163">
        <v>26.84615384615385</v>
      </c>
    </row>
    <row r="164" spans="1:12" x14ac:dyDescent="0.45">
      <c r="A164" s="989"/>
      <c r="B164" s="35">
        <v>10</v>
      </c>
      <c r="C164" s="35">
        <v>10</v>
      </c>
      <c r="D164" s="35" t="s">
        <v>223</v>
      </c>
      <c r="E164">
        <v>3621</v>
      </c>
      <c r="F164">
        <v>3693</v>
      </c>
      <c r="G164">
        <v>3952</v>
      </c>
      <c r="H164">
        <v>4110</v>
      </c>
      <c r="I164">
        <v>4274</v>
      </c>
      <c r="J164">
        <v>4274</v>
      </c>
      <c r="K164">
        <v>4274</v>
      </c>
      <c r="L164">
        <v>27.397435897435901</v>
      </c>
    </row>
    <row r="165" spans="1:12" x14ac:dyDescent="0.45">
      <c r="A165" s="989"/>
      <c r="B165" s="35">
        <v>11</v>
      </c>
      <c r="C165" s="35">
        <v>11</v>
      </c>
      <c r="D165" s="35" t="s">
        <v>222</v>
      </c>
      <c r="E165">
        <v>3745</v>
      </c>
      <c r="F165">
        <v>3820</v>
      </c>
      <c r="G165">
        <v>4087</v>
      </c>
      <c r="H165">
        <v>4250</v>
      </c>
      <c r="I165">
        <v>4420</v>
      </c>
      <c r="J165">
        <v>4420</v>
      </c>
      <c r="K165">
        <v>4420</v>
      </c>
      <c r="L165">
        <v>28.333333333333329</v>
      </c>
    </row>
    <row r="166" spans="1:12" x14ac:dyDescent="0.45">
      <c r="A166" s="989"/>
      <c r="B166" s="35">
        <v>12</v>
      </c>
      <c r="C166" s="35">
        <v>12</v>
      </c>
      <c r="D166" s="35" t="s">
        <v>221</v>
      </c>
      <c r="E166">
        <v>3874</v>
      </c>
      <c r="F166">
        <v>3951</v>
      </c>
      <c r="G166">
        <v>4228</v>
      </c>
      <c r="H166">
        <v>4397</v>
      </c>
      <c r="I166">
        <v>4573</v>
      </c>
      <c r="J166">
        <v>4573</v>
      </c>
      <c r="K166">
        <v>4573</v>
      </c>
      <c r="L166">
        <v>29.314102564102569</v>
      </c>
    </row>
    <row r="167" spans="1:12" x14ac:dyDescent="0.45">
      <c r="A167" s="989"/>
      <c r="B167" s="35">
        <v>13</v>
      </c>
      <c r="C167" s="35">
        <v>13</v>
      </c>
      <c r="D167" s="35" t="s">
        <v>220</v>
      </c>
      <c r="E167">
        <v>4006</v>
      </c>
      <c r="F167">
        <v>4086</v>
      </c>
      <c r="G167">
        <v>4372</v>
      </c>
      <c r="H167">
        <v>4547</v>
      </c>
      <c r="I167">
        <v>4729</v>
      </c>
      <c r="J167">
        <v>4729</v>
      </c>
      <c r="K167">
        <v>4729</v>
      </c>
      <c r="L167">
        <v>30.314102564102569</v>
      </c>
    </row>
    <row r="168" spans="1:12" x14ac:dyDescent="0.45">
      <c r="A168" s="989"/>
      <c r="B168" s="35" t="s">
        <v>531</v>
      </c>
      <c r="C168" s="35" t="s">
        <v>531</v>
      </c>
      <c r="D168" s="35" t="s">
        <v>621</v>
      </c>
      <c r="E168">
        <v>4136</v>
      </c>
      <c r="F168">
        <v>4219</v>
      </c>
      <c r="G168">
        <v>4514</v>
      </c>
      <c r="H168">
        <v>4695</v>
      </c>
      <c r="I168">
        <v>4883</v>
      </c>
      <c r="J168">
        <v>4883</v>
      </c>
      <c r="K168">
        <v>4883</v>
      </c>
      <c r="L168">
        <v>31.301282051282051</v>
      </c>
    </row>
    <row r="169" spans="1:12" x14ac:dyDescent="0.45">
      <c r="A169" s="989"/>
      <c r="B169" s="35" t="s">
        <v>533</v>
      </c>
      <c r="C169" s="35" t="s">
        <v>533</v>
      </c>
      <c r="D169" s="35" t="s">
        <v>622</v>
      </c>
      <c r="E169">
        <v>4270</v>
      </c>
      <c r="F169">
        <v>4355</v>
      </c>
      <c r="G169">
        <v>4660</v>
      </c>
      <c r="H169">
        <v>4846</v>
      </c>
      <c r="I169">
        <v>5040</v>
      </c>
      <c r="J169">
        <v>5040</v>
      </c>
      <c r="K169">
        <v>5040</v>
      </c>
      <c r="L169">
        <v>32.307692307692307</v>
      </c>
    </row>
    <row r="170" spans="1:12" x14ac:dyDescent="0.45">
      <c r="A170" s="989"/>
      <c r="B170" s="35" t="s">
        <v>535</v>
      </c>
      <c r="C170" s="35" t="s">
        <v>535</v>
      </c>
      <c r="D170" s="35" t="s">
        <v>623</v>
      </c>
      <c r="E170">
        <v>4136</v>
      </c>
      <c r="F170">
        <v>4219</v>
      </c>
      <c r="G170">
        <v>4514</v>
      </c>
      <c r="H170">
        <v>4695</v>
      </c>
      <c r="I170">
        <v>4883</v>
      </c>
      <c r="J170">
        <v>4883</v>
      </c>
      <c r="K170">
        <v>4883</v>
      </c>
      <c r="L170">
        <v>31.301282051282051</v>
      </c>
    </row>
    <row r="171" spans="1:12" x14ac:dyDescent="0.45">
      <c r="A171" s="989"/>
      <c r="B171" s="35" t="s">
        <v>537</v>
      </c>
      <c r="C171" s="35" t="s">
        <v>537</v>
      </c>
      <c r="D171" s="35" t="s">
        <v>624</v>
      </c>
      <c r="E171">
        <v>4270</v>
      </c>
      <c r="F171">
        <v>4355</v>
      </c>
      <c r="G171">
        <v>4660</v>
      </c>
      <c r="H171">
        <v>4846</v>
      </c>
      <c r="I171">
        <v>5040</v>
      </c>
      <c r="J171">
        <v>5040</v>
      </c>
      <c r="K171">
        <v>5040</v>
      </c>
      <c r="L171">
        <v>32.307692307692307</v>
      </c>
    </row>
    <row r="172" spans="1:12" x14ac:dyDescent="0.45">
      <c r="A172" s="989"/>
      <c r="B172" s="35" t="s">
        <v>539</v>
      </c>
      <c r="C172" s="35" t="s">
        <v>539</v>
      </c>
      <c r="D172" s="35" t="s">
        <v>625</v>
      </c>
      <c r="E172">
        <v>4407</v>
      </c>
      <c r="F172">
        <v>4495</v>
      </c>
      <c r="G172">
        <v>4810</v>
      </c>
      <c r="H172">
        <v>5002</v>
      </c>
      <c r="I172">
        <v>5202</v>
      </c>
      <c r="J172">
        <v>5202</v>
      </c>
      <c r="K172">
        <v>5202</v>
      </c>
      <c r="L172">
        <v>33.346153846153847</v>
      </c>
    </row>
    <row r="173" spans="1:12" x14ac:dyDescent="0.45">
      <c r="A173" s="989"/>
      <c r="B173" s="35" t="s">
        <v>541</v>
      </c>
      <c r="C173" s="35" t="s">
        <v>541</v>
      </c>
      <c r="D173" s="35" t="s">
        <v>626</v>
      </c>
      <c r="E173">
        <v>4560</v>
      </c>
      <c r="F173">
        <v>4651</v>
      </c>
      <c r="G173">
        <v>4977</v>
      </c>
      <c r="H173">
        <v>5176</v>
      </c>
      <c r="I173">
        <v>5383</v>
      </c>
      <c r="J173">
        <v>5383</v>
      </c>
      <c r="K173">
        <v>5383</v>
      </c>
      <c r="L173">
        <v>34.506410256410263</v>
      </c>
    </row>
    <row r="174" spans="1:12" x14ac:dyDescent="0.45">
      <c r="A174" s="990"/>
      <c r="B174" s="35" t="s">
        <v>543</v>
      </c>
      <c r="C174" s="35" t="s">
        <v>543</v>
      </c>
      <c r="D174" s="35" t="s">
        <v>627</v>
      </c>
      <c r="E174">
        <v>4723</v>
      </c>
      <c r="F174">
        <v>4817</v>
      </c>
      <c r="G174">
        <v>5154</v>
      </c>
      <c r="H174">
        <v>5360</v>
      </c>
      <c r="I174">
        <v>5574</v>
      </c>
      <c r="J174">
        <v>5574</v>
      </c>
      <c r="K174">
        <v>5574</v>
      </c>
      <c r="L174">
        <v>35.730769230769234</v>
      </c>
    </row>
    <row r="175" spans="1:12" x14ac:dyDescent="0.45">
      <c r="A175" s="988">
        <v>9</v>
      </c>
      <c r="B175" s="35" t="s">
        <v>517</v>
      </c>
      <c r="C175" s="35" t="s">
        <v>517</v>
      </c>
      <c r="D175" s="35" t="s">
        <v>628</v>
      </c>
      <c r="E175">
        <v>2989</v>
      </c>
      <c r="F175">
        <v>3049</v>
      </c>
      <c r="G175">
        <v>3262</v>
      </c>
      <c r="H175">
        <v>3392</v>
      </c>
      <c r="I175">
        <v>3528</v>
      </c>
      <c r="J175">
        <v>3528</v>
      </c>
      <c r="K175">
        <v>3528</v>
      </c>
      <c r="L175">
        <v>22.61538461538462</v>
      </c>
    </row>
    <row r="176" spans="1:12" x14ac:dyDescent="0.45">
      <c r="A176" s="989"/>
      <c r="B176" s="35">
        <v>0</v>
      </c>
      <c r="C176" s="35">
        <v>0</v>
      </c>
      <c r="D176" s="35" t="s">
        <v>209</v>
      </c>
      <c r="E176">
        <v>3043</v>
      </c>
      <c r="F176">
        <v>3104</v>
      </c>
      <c r="G176">
        <v>3321</v>
      </c>
      <c r="H176">
        <v>3454</v>
      </c>
      <c r="I176">
        <v>3592</v>
      </c>
      <c r="J176">
        <v>3592</v>
      </c>
      <c r="K176">
        <v>3592</v>
      </c>
      <c r="L176">
        <v>23.025641025641029</v>
      </c>
    </row>
    <row r="177" spans="1:12" x14ac:dyDescent="0.45">
      <c r="A177" s="989"/>
      <c r="B177" s="35">
        <v>1</v>
      </c>
      <c r="C177" s="35">
        <v>1</v>
      </c>
      <c r="D177" s="35" t="s">
        <v>208</v>
      </c>
      <c r="E177">
        <v>3158</v>
      </c>
      <c r="F177">
        <v>3221</v>
      </c>
      <c r="G177">
        <v>3446</v>
      </c>
      <c r="H177">
        <v>3584</v>
      </c>
      <c r="I177">
        <v>3727</v>
      </c>
      <c r="J177">
        <v>3727</v>
      </c>
      <c r="K177">
        <v>3727</v>
      </c>
      <c r="L177">
        <v>23.891025641025639</v>
      </c>
    </row>
    <row r="178" spans="1:12" x14ac:dyDescent="0.45">
      <c r="A178" s="989"/>
      <c r="B178" s="35">
        <v>2</v>
      </c>
      <c r="C178" s="35">
        <v>2</v>
      </c>
      <c r="D178" s="35" t="s">
        <v>203</v>
      </c>
      <c r="E178">
        <v>3233</v>
      </c>
      <c r="F178">
        <v>3298</v>
      </c>
      <c r="G178">
        <v>3529</v>
      </c>
      <c r="H178">
        <v>3670</v>
      </c>
      <c r="I178">
        <v>3817</v>
      </c>
      <c r="J178">
        <v>3817</v>
      </c>
      <c r="K178">
        <v>3817</v>
      </c>
      <c r="L178">
        <v>24.467948717948719</v>
      </c>
    </row>
    <row r="179" spans="1:12" x14ac:dyDescent="0.45">
      <c r="A179" s="989"/>
      <c r="B179" s="35">
        <v>3</v>
      </c>
      <c r="C179" s="35">
        <v>3</v>
      </c>
      <c r="D179" s="35" t="s">
        <v>202</v>
      </c>
      <c r="E179">
        <v>3314</v>
      </c>
      <c r="F179">
        <v>3380</v>
      </c>
      <c r="G179">
        <v>3617</v>
      </c>
      <c r="H179">
        <v>3762</v>
      </c>
      <c r="I179">
        <v>3912</v>
      </c>
      <c r="J179">
        <v>3912</v>
      </c>
      <c r="K179">
        <v>3912</v>
      </c>
      <c r="L179">
        <v>25.07692307692308</v>
      </c>
    </row>
    <row r="180" spans="1:12" x14ac:dyDescent="0.45">
      <c r="A180" s="989"/>
      <c r="B180" s="35">
        <v>4</v>
      </c>
      <c r="C180" s="35">
        <v>4</v>
      </c>
      <c r="D180" s="35" t="s">
        <v>201</v>
      </c>
      <c r="E180">
        <v>3399</v>
      </c>
      <c r="F180">
        <v>3467</v>
      </c>
      <c r="G180">
        <v>3710</v>
      </c>
      <c r="H180">
        <v>3858</v>
      </c>
      <c r="I180">
        <v>4012</v>
      </c>
      <c r="J180">
        <v>4012</v>
      </c>
      <c r="K180">
        <v>4012</v>
      </c>
      <c r="L180">
        <v>25.717948717948719</v>
      </c>
    </row>
    <row r="181" spans="1:12" x14ac:dyDescent="0.45">
      <c r="A181" s="989"/>
      <c r="B181" s="35">
        <v>5</v>
      </c>
      <c r="C181" s="35">
        <v>5</v>
      </c>
      <c r="D181" s="35" t="s">
        <v>200</v>
      </c>
      <c r="E181">
        <v>3470</v>
      </c>
      <c r="F181">
        <v>3539</v>
      </c>
      <c r="G181">
        <v>3787</v>
      </c>
      <c r="H181">
        <v>3938</v>
      </c>
      <c r="I181">
        <v>4096</v>
      </c>
      <c r="J181">
        <v>4096</v>
      </c>
      <c r="K181">
        <v>4096</v>
      </c>
      <c r="L181">
        <v>26.256410256410259</v>
      </c>
    </row>
    <row r="182" spans="1:12" x14ac:dyDescent="0.45">
      <c r="A182" s="989"/>
      <c r="B182" s="35">
        <v>6</v>
      </c>
      <c r="C182" s="35">
        <v>6</v>
      </c>
      <c r="D182" s="35" t="s">
        <v>199</v>
      </c>
      <c r="E182">
        <v>3548</v>
      </c>
      <c r="F182">
        <v>3619</v>
      </c>
      <c r="G182">
        <v>3872</v>
      </c>
      <c r="H182">
        <v>4027</v>
      </c>
      <c r="I182">
        <v>4188</v>
      </c>
      <c r="J182">
        <v>4188</v>
      </c>
      <c r="K182">
        <v>4188</v>
      </c>
      <c r="L182">
        <v>26.84615384615385</v>
      </c>
    </row>
    <row r="183" spans="1:12" x14ac:dyDescent="0.45">
      <c r="A183" s="989"/>
      <c r="B183" s="35">
        <v>7</v>
      </c>
      <c r="C183" s="35">
        <v>7</v>
      </c>
      <c r="D183" s="35" t="s">
        <v>198</v>
      </c>
      <c r="E183">
        <v>3621</v>
      </c>
      <c r="F183">
        <v>3693</v>
      </c>
      <c r="G183">
        <v>3952</v>
      </c>
      <c r="H183">
        <v>4110</v>
      </c>
      <c r="I183">
        <v>4274</v>
      </c>
      <c r="J183">
        <v>4274</v>
      </c>
      <c r="K183">
        <v>4274</v>
      </c>
      <c r="L183">
        <v>27.397435897435901</v>
      </c>
    </row>
    <row r="184" spans="1:12" x14ac:dyDescent="0.45">
      <c r="A184" s="989"/>
      <c r="B184" s="35">
        <v>8</v>
      </c>
      <c r="C184" s="35">
        <v>8</v>
      </c>
      <c r="D184" s="35" t="s">
        <v>197</v>
      </c>
      <c r="E184">
        <v>3745</v>
      </c>
      <c r="F184">
        <v>3820</v>
      </c>
      <c r="G184">
        <v>4087</v>
      </c>
      <c r="H184">
        <v>4250</v>
      </c>
      <c r="I184">
        <v>4420</v>
      </c>
      <c r="J184">
        <v>4420</v>
      </c>
      <c r="K184">
        <v>4420</v>
      </c>
      <c r="L184">
        <v>28.333333333333329</v>
      </c>
    </row>
    <row r="185" spans="1:12" x14ac:dyDescent="0.45">
      <c r="A185" s="989"/>
      <c r="B185" s="35">
        <v>9</v>
      </c>
      <c r="C185" s="35">
        <v>9</v>
      </c>
      <c r="D185" s="35" t="s">
        <v>196</v>
      </c>
      <c r="E185">
        <v>3874</v>
      </c>
      <c r="F185">
        <v>3951</v>
      </c>
      <c r="G185">
        <v>4228</v>
      </c>
      <c r="H185">
        <v>4397</v>
      </c>
      <c r="I185">
        <v>4573</v>
      </c>
      <c r="J185">
        <v>4573</v>
      </c>
      <c r="K185">
        <v>4573</v>
      </c>
      <c r="L185">
        <v>29.314102564102569</v>
      </c>
    </row>
    <row r="186" spans="1:12" x14ac:dyDescent="0.45">
      <c r="A186" s="989"/>
      <c r="B186" s="35">
        <v>10</v>
      </c>
      <c r="C186" s="35">
        <v>10</v>
      </c>
      <c r="D186" s="35" t="s">
        <v>207</v>
      </c>
      <c r="E186">
        <v>4006</v>
      </c>
      <c r="F186">
        <v>4086</v>
      </c>
      <c r="G186">
        <v>4372</v>
      </c>
      <c r="H186">
        <v>4547</v>
      </c>
      <c r="I186">
        <v>4729</v>
      </c>
      <c r="J186">
        <v>4729</v>
      </c>
      <c r="K186">
        <v>4729</v>
      </c>
      <c r="L186">
        <v>30.314102564102569</v>
      </c>
    </row>
    <row r="187" spans="1:12" x14ac:dyDescent="0.45">
      <c r="A187" s="989"/>
      <c r="B187" s="35">
        <v>11</v>
      </c>
      <c r="C187" s="35">
        <v>11</v>
      </c>
      <c r="D187" s="35" t="s">
        <v>206</v>
      </c>
      <c r="E187">
        <v>4136</v>
      </c>
      <c r="F187">
        <v>4219</v>
      </c>
      <c r="G187">
        <v>4514</v>
      </c>
      <c r="H187">
        <v>4695</v>
      </c>
      <c r="I187">
        <v>4883</v>
      </c>
      <c r="J187">
        <v>4883</v>
      </c>
      <c r="K187">
        <v>4883</v>
      </c>
      <c r="L187">
        <v>31.301282051282051</v>
      </c>
    </row>
    <row r="188" spans="1:12" x14ac:dyDescent="0.45">
      <c r="A188" s="989"/>
      <c r="B188" s="35">
        <v>12</v>
      </c>
      <c r="C188" s="35">
        <v>12</v>
      </c>
      <c r="D188" s="35" t="s">
        <v>205</v>
      </c>
      <c r="E188">
        <v>4270</v>
      </c>
      <c r="F188">
        <v>4355</v>
      </c>
      <c r="G188">
        <v>4660</v>
      </c>
      <c r="H188">
        <v>4846</v>
      </c>
      <c r="I188">
        <v>5040</v>
      </c>
      <c r="J188">
        <v>5040</v>
      </c>
      <c r="K188">
        <v>5040</v>
      </c>
      <c r="L188">
        <v>32.307692307692307</v>
      </c>
    </row>
    <row r="189" spans="1:12" x14ac:dyDescent="0.45">
      <c r="A189" s="989"/>
      <c r="B189" s="35">
        <v>13</v>
      </c>
      <c r="C189" s="35">
        <v>13</v>
      </c>
      <c r="D189" s="35" t="s">
        <v>204</v>
      </c>
      <c r="E189">
        <v>4407</v>
      </c>
      <c r="F189">
        <v>4495</v>
      </c>
      <c r="G189">
        <v>4810</v>
      </c>
      <c r="H189">
        <v>5002</v>
      </c>
      <c r="I189">
        <v>5202</v>
      </c>
      <c r="J189">
        <v>5202</v>
      </c>
      <c r="K189">
        <v>5202</v>
      </c>
      <c r="L189">
        <v>33.346153846153847</v>
      </c>
    </row>
    <row r="190" spans="1:12" x14ac:dyDescent="0.45">
      <c r="A190" s="989"/>
      <c r="B190" s="35" t="s">
        <v>531</v>
      </c>
      <c r="C190" s="35" t="s">
        <v>531</v>
      </c>
      <c r="D190" s="35" t="s">
        <v>629</v>
      </c>
      <c r="E190">
        <v>4560</v>
      </c>
      <c r="F190">
        <v>4651</v>
      </c>
      <c r="G190">
        <v>4977</v>
      </c>
      <c r="H190">
        <v>5176</v>
      </c>
      <c r="I190">
        <v>5383</v>
      </c>
      <c r="J190">
        <v>5383</v>
      </c>
      <c r="K190">
        <v>5383</v>
      </c>
      <c r="L190">
        <v>34.506410256410263</v>
      </c>
    </row>
    <row r="191" spans="1:12" x14ac:dyDescent="0.45">
      <c r="A191" s="989"/>
      <c r="B191" s="35" t="s">
        <v>533</v>
      </c>
      <c r="C191" s="35" t="s">
        <v>533</v>
      </c>
      <c r="D191" s="35" t="s">
        <v>630</v>
      </c>
      <c r="E191">
        <v>4723</v>
      </c>
      <c r="F191">
        <v>4817</v>
      </c>
      <c r="G191">
        <v>5154</v>
      </c>
      <c r="H191">
        <v>5360</v>
      </c>
      <c r="I191">
        <v>5574</v>
      </c>
      <c r="J191">
        <v>5574</v>
      </c>
      <c r="K191">
        <v>5574</v>
      </c>
      <c r="L191">
        <v>35.730769230769234</v>
      </c>
    </row>
    <row r="192" spans="1:12" x14ac:dyDescent="0.45">
      <c r="A192" s="989"/>
      <c r="B192" s="35" t="s">
        <v>535</v>
      </c>
      <c r="C192" s="35" t="s">
        <v>535</v>
      </c>
      <c r="D192" s="35" t="s">
        <v>631</v>
      </c>
      <c r="E192">
        <v>4560</v>
      </c>
      <c r="F192">
        <v>4651</v>
      </c>
      <c r="G192">
        <v>4977</v>
      </c>
      <c r="H192">
        <v>5176</v>
      </c>
      <c r="I192">
        <v>5383</v>
      </c>
      <c r="J192">
        <v>5383</v>
      </c>
      <c r="K192">
        <v>5383</v>
      </c>
      <c r="L192">
        <v>34.506410256410263</v>
      </c>
    </row>
    <row r="193" spans="1:12" x14ac:dyDescent="0.45">
      <c r="A193" s="989"/>
      <c r="B193" s="35" t="s">
        <v>537</v>
      </c>
      <c r="C193" s="35" t="s">
        <v>537</v>
      </c>
      <c r="D193" s="35" t="s">
        <v>632</v>
      </c>
      <c r="E193">
        <v>4723</v>
      </c>
      <c r="F193">
        <v>4817</v>
      </c>
      <c r="G193">
        <v>5154</v>
      </c>
      <c r="H193">
        <v>5360</v>
      </c>
      <c r="I193">
        <v>5574</v>
      </c>
      <c r="J193">
        <v>5574</v>
      </c>
      <c r="K193">
        <v>5574</v>
      </c>
      <c r="L193">
        <v>35.730769230769234</v>
      </c>
    </row>
    <row r="194" spans="1:12" x14ac:dyDescent="0.45">
      <c r="A194" s="989"/>
      <c r="B194" s="35" t="s">
        <v>539</v>
      </c>
      <c r="C194" s="35" t="s">
        <v>539</v>
      </c>
      <c r="D194" s="35" t="s">
        <v>633</v>
      </c>
      <c r="E194">
        <v>4885</v>
      </c>
      <c r="F194">
        <v>4983</v>
      </c>
      <c r="G194">
        <v>5332</v>
      </c>
      <c r="H194">
        <v>5545</v>
      </c>
      <c r="I194">
        <v>5767</v>
      </c>
      <c r="J194">
        <v>5767</v>
      </c>
      <c r="K194">
        <v>5767</v>
      </c>
      <c r="L194">
        <v>36.967948717948723</v>
      </c>
    </row>
    <row r="195" spans="1:12" x14ac:dyDescent="0.45">
      <c r="A195" s="989"/>
      <c r="B195" s="35" t="s">
        <v>541</v>
      </c>
      <c r="C195" s="35" t="s">
        <v>541</v>
      </c>
      <c r="D195" s="35" t="s">
        <v>634</v>
      </c>
      <c r="E195">
        <v>5060</v>
      </c>
      <c r="F195">
        <v>5161</v>
      </c>
      <c r="G195">
        <v>5522</v>
      </c>
      <c r="H195">
        <v>5743</v>
      </c>
      <c r="I195">
        <v>5973</v>
      </c>
      <c r="J195">
        <v>5973</v>
      </c>
      <c r="K195">
        <v>5973</v>
      </c>
      <c r="L195">
        <v>38.28846153846154</v>
      </c>
    </row>
    <row r="196" spans="1:12" x14ac:dyDescent="0.45">
      <c r="A196" s="990"/>
      <c r="B196" s="35" t="s">
        <v>543</v>
      </c>
      <c r="C196" s="35" t="s">
        <v>543</v>
      </c>
      <c r="D196" s="35" t="s">
        <v>635</v>
      </c>
      <c r="E196">
        <v>5232</v>
      </c>
      <c r="F196">
        <v>5337</v>
      </c>
      <c r="G196">
        <v>5711</v>
      </c>
      <c r="H196">
        <v>5939</v>
      </c>
      <c r="I196">
        <v>6177</v>
      </c>
      <c r="J196">
        <v>6177</v>
      </c>
      <c r="K196">
        <v>6177</v>
      </c>
      <c r="L196">
        <v>39.596153846153847</v>
      </c>
    </row>
    <row r="197" spans="1:12" x14ac:dyDescent="0.45">
      <c r="A197" s="988">
        <v>10</v>
      </c>
      <c r="B197" s="35" t="s">
        <v>517</v>
      </c>
      <c r="C197" s="35" t="s">
        <v>517</v>
      </c>
      <c r="D197" s="35" t="s">
        <v>636</v>
      </c>
      <c r="E197">
        <v>3221</v>
      </c>
      <c r="F197">
        <v>3285</v>
      </c>
      <c r="G197">
        <v>3515</v>
      </c>
      <c r="H197">
        <v>3656</v>
      </c>
      <c r="I197">
        <v>3802</v>
      </c>
      <c r="J197">
        <v>3802</v>
      </c>
      <c r="K197">
        <v>3802</v>
      </c>
      <c r="L197">
        <v>24.371794871794869</v>
      </c>
    </row>
    <row r="198" spans="1:12" x14ac:dyDescent="0.45">
      <c r="A198" s="989"/>
      <c r="B198" s="35">
        <v>0</v>
      </c>
      <c r="C198" s="35">
        <v>0</v>
      </c>
      <c r="D198" s="35" t="s">
        <v>193</v>
      </c>
      <c r="E198">
        <v>3277</v>
      </c>
      <c r="F198">
        <v>3343</v>
      </c>
      <c r="G198">
        <v>3577</v>
      </c>
      <c r="H198">
        <v>3720</v>
      </c>
      <c r="I198">
        <v>3869</v>
      </c>
      <c r="J198">
        <v>3869</v>
      </c>
      <c r="K198">
        <v>3869</v>
      </c>
      <c r="L198">
        <v>24.801282051282051</v>
      </c>
    </row>
    <row r="199" spans="1:12" x14ac:dyDescent="0.45">
      <c r="A199" s="989"/>
      <c r="B199" s="35">
        <v>1</v>
      </c>
      <c r="C199" s="35">
        <v>1</v>
      </c>
      <c r="D199" s="35" t="s">
        <v>192</v>
      </c>
      <c r="E199">
        <v>3361</v>
      </c>
      <c r="F199">
        <v>3428</v>
      </c>
      <c r="G199">
        <v>3668</v>
      </c>
      <c r="H199">
        <v>3815</v>
      </c>
      <c r="I199">
        <v>3968</v>
      </c>
      <c r="J199">
        <v>3968</v>
      </c>
      <c r="K199">
        <v>3968</v>
      </c>
      <c r="L199">
        <v>25.435897435897431</v>
      </c>
    </row>
    <row r="200" spans="1:12" x14ac:dyDescent="0.45">
      <c r="A200" s="989"/>
      <c r="B200" s="35">
        <v>2</v>
      </c>
      <c r="C200" s="35">
        <v>2</v>
      </c>
      <c r="D200" s="35" t="s">
        <v>187</v>
      </c>
      <c r="E200">
        <v>3431</v>
      </c>
      <c r="F200">
        <v>3500</v>
      </c>
      <c r="G200">
        <v>3745</v>
      </c>
      <c r="H200">
        <v>3895</v>
      </c>
      <c r="I200">
        <v>4051</v>
      </c>
      <c r="J200">
        <v>4051</v>
      </c>
      <c r="K200">
        <v>4051</v>
      </c>
      <c r="L200">
        <v>25.967948717948719</v>
      </c>
    </row>
    <row r="201" spans="1:12" x14ac:dyDescent="0.45">
      <c r="A201" s="989"/>
      <c r="B201" s="35">
        <v>3</v>
      </c>
      <c r="C201" s="35">
        <v>3</v>
      </c>
      <c r="D201" s="35" t="s">
        <v>186</v>
      </c>
      <c r="E201">
        <v>3508</v>
      </c>
      <c r="F201">
        <v>3578</v>
      </c>
      <c r="G201">
        <v>3828</v>
      </c>
      <c r="H201">
        <v>3981</v>
      </c>
      <c r="I201">
        <v>4140</v>
      </c>
      <c r="J201">
        <v>4140</v>
      </c>
      <c r="K201">
        <v>4140</v>
      </c>
      <c r="L201">
        <v>26.53846153846154</v>
      </c>
    </row>
    <row r="202" spans="1:12" x14ac:dyDescent="0.45">
      <c r="A202" s="989"/>
      <c r="B202" s="35">
        <v>4</v>
      </c>
      <c r="C202" s="35">
        <v>4</v>
      </c>
      <c r="D202" s="35" t="s">
        <v>185</v>
      </c>
      <c r="E202">
        <v>3581</v>
      </c>
      <c r="F202">
        <v>3653</v>
      </c>
      <c r="G202">
        <v>3909</v>
      </c>
      <c r="H202">
        <v>4065</v>
      </c>
      <c r="I202">
        <v>4228</v>
      </c>
      <c r="J202">
        <v>4228</v>
      </c>
      <c r="K202">
        <v>4228</v>
      </c>
      <c r="L202">
        <v>27.102564102564099</v>
      </c>
    </row>
    <row r="203" spans="1:12" x14ac:dyDescent="0.45">
      <c r="A203" s="989"/>
      <c r="B203" s="35">
        <v>5</v>
      </c>
      <c r="C203" s="35">
        <v>5</v>
      </c>
      <c r="D203" s="35" t="s">
        <v>184</v>
      </c>
      <c r="E203">
        <v>3703</v>
      </c>
      <c r="F203">
        <v>3777</v>
      </c>
      <c r="G203">
        <v>4041</v>
      </c>
      <c r="H203">
        <v>4203</v>
      </c>
      <c r="I203">
        <v>4371</v>
      </c>
      <c r="J203">
        <v>4371</v>
      </c>
      <c r="K203">
        <v>4371</v>
      </c>
      <c r="L203">
        <v>28.01923076923077</v>
      </c>
    </row>
    <row r="204" spans="1:12" x14ac:dyDescent="0.45">
      <c r="A204" s="989"/>
      <c r="B204" s="35">
        <v>6</v>
      </c>
      <c r="C204" s="35">
        <v>6</v>
      </c>
      <c r="D204" s="35" t="s">
        <v>183</v>
      </c>
      <c r="E204">
        <v>3831</v>
      </c>
      <c r="F204">
        <v>3908</v>
      </c>
      <c r="G204">
        <v>4182</v>
      </c>
      <c r="H204">
        <v>4349</v>
      </c>
      <c r="I204">
        <v>4523</v>
      </c>
      <c r="J204">
        <v>4523</v>
      </c>
      <c r="K204">
        <v>4523</v>
      </c>
      <c r="L204">
        <v>28.993589743589741</v>
      </c>
    </row>
    <row r="205" spans="1:12" x14ac:dyDescent="0.45">
      <c r="A205" s="989"/>
      <c r="B205" s="35">
        <v>7</v>
      </c>
      <c r="C205" s="35">
        <v>7</v>
      </c>
      <c r="D205" s="35" t="s">
        <v>182</v>
      </c>
      <c r="E205">
        <v>3961</v>
      </c>
      <c r="F205">
        <v>4040</v>
      </c>
      <c r="G205">
        <v>4323</v>
      </c>
      <c r="H205">
        <v>4496</v>
      </c>
      <c r="I205">
        <v>4676</v>
      </c>
      <c r="J205">
        <v>4676</v>
      </c>
      <c r="K205">
        <v>4676</v>
      </c>
      <c r="L205">
        <v>29.974358974358971</v>
      </c>
    </row>
    <row r="206" spans="1:12" x14ac:dyDescent="0.45">
      <c r="A206" s="989"/>
      <c r="B206" s="35">
        <v>8</v>
      </c>
      <c r="C206" s="35">
        <v>8</v>
      </c>
      <c r="D206" s="35" t="s">
        <v>181</v>
      </c>
      <c r="E206">
        <v>4090</v>
      </c>
      <c r="F206">
        <v>4172</v>
      </c>
      <c r="G206">
        <v>4464</v>
      </c>
      <c r="H206">
        <v>4643</v>
      </c>
      <c r="I206">
        <v>4829</v>
      </c>
      <c r="J206">
        <v>4829</v>
      </c>
      <c r="K206">
        <v>4829</v>
      </c>
      <c r="L206">
        <v>30.955128205128201</v>
      </c>
    </row>
    <row r="207" spans="1:12" x14ac:dyDescent="0.45">
      <c r="A207" s="989"/>
      <c r="B207" s="35">
        <v>9</v>
      </c>
      <c r="C207" s="35">
        <v>9</v>
      </c>
      <c r="D207" s="35" t="s">
        <v>180</v>
      </c>
      <c r="E207">
        <v>4222</v>
      </c>
      <c r="F207">
        <v>4306</v>
      </c>
      <c r="G207">
        <v>4607</v>
      </c>
      <c r="H207">
        <v>4791</v>
      </c>
      <c r="I207">
        <v>4983</v>
      </c>
      <c r="J207">
        <v>4983</v>
      </c>
      <c r="K207">
        <v>4983</v>
      </c>
      <c r="L207">
        <v>31.94230769230769</v>
      </c>
    </row>
    <row r="208" spans="1:12" x14ac:dyDescent="0.45">
      <c r="A208" s="989"/>
      <c r="B208" s="35">
        <v>10</v>
      </c>
      <c r="C208" s="35">
        <v>10</v>
      </c>
      <c r="D208" s="35" t="s">
        <v>191</v>
      </c>
      <c r="E208">
        <v>4358</v>
      </c>
      <c r="F208">
        <v>4445</v>
      </c>
      <c r="G208">
        <v>4756</v>
      </c>
      <c r="H208">
        <v>4946</v>
      </c>
      <c r="I208">
        <v>5144</v>
      </c>
      <c r="J208">
        <v>5144</v>
      </c>
      <c r="K208">
        <v>5144</v>
      </c>
      <c r="L208">
        <v>32.974358974358971</v>
      </c>
    </row>
    <row r="209" spans="1:12" x14ac:dyDescent="0.45">
      <c r="A209" s="989"/>
      <c r="B209" s="35">
        <v>11</v>
      </c>
      <c r="C209" s="35">
        <v>11</v>
      </c>
      <c r="D209" s="35" t="s">
        <v>190</v>
      </c>
      <c r="E209">
        <v>4509</v>
      </c>
      <c r="F209">
        <v>4599</v>
      </c>
      <c r="G209">
        <v>4921</v>
      </c>
      <c r="H209">
        <v>5118</v>
      </c>
      <c r="I209">
        <v>5323</v>
      </c>
      <c r="J209">
        <v>5323</v>
      </c>
      <c r="K209">
        <v>5323</v>
      </c>
      <c r="L209">
        <v>34.121794871794869</v>
      </c>
    </row>
    <row r="210" spans="1:12" x14ac:dyDescent="0.45">
      <c r="A210" s="989"/>
      <c r="B210" s="35">
        <v>12</v>
      </c>
      <c r="C210" s="35">
        <v>12</v>
      </c>
      <c r="D210" s="35" t="s">
        <v>189</v>
      </c>
      <c r="E210">
        <v>4670</v>
      </c>
      <c r="F210">
        <v>4763</v>
      </c>
      <c r="G210">
        <v>5096</v>
      </c>
      <c r="H210">
        <v>5300</v>
      </c>
      <c r="I210">
        <v>5512</v>
      </c>
      <c r="J210">
        <v>5512</v>
      </c>
      <c r="K210">
        <v>5512</v>
      </c>
      <c r="L210">
        <v>35.333333333333343</v>
      </c>
    </row>
    <row r="211" spans="1:12" x14ac:dyDescent="0.45">
      <c r="A211" s="989"/>
      <c r="B211" s="35">
        <v>13</v>
      </c>
      <c r="C211" s="35">
        <v>13</v>
      </c>
      <c r="D211" s="35" t="s">
        <v>188</v>
      </c>
      <c r="E211">
        <v>4830</v>
      </c>
      <c r="F211">
        <v>4927</v>
      </c>
      <c r="G211">
        <v>5272</v>
      </c>
      <c r="H211">
        <v>5483</v>
      </c>
      <c r="I211">
        <v>5702</v>
      </c>
      <c r="J211">
        <v>5702</v>
      </c>
      <c r="K211">
        <v>5702</v>
      </c>
      <c r="L211">
        <v>36.551282051282051</v>
      </c>
    </row>
    <row r="212" spans="1:12" x14ac:dyDescent="0.45">
      <c r="A212" s="989"/>
      <c r="B212" s="35" t="s">
        <v>531</v>
      </c>
      <c r="C212" s="35" t="s">
        <v>531</v>
      </c>
      <c r="D212" s="35" t="s">
        <v>637</v>
      </c>
      <c r="E212">
        <v>5003</v>
      </c>
      <c r="F212">
        <v>5103</v>
      </c>
      <c r="G212">
        <v>5460</v>
      </c>
      <c r="H212">
        <v>5678</v>
      </c>
      <c r="I212">
        <v>5905</v>
      </c>
      <c r="J212">
        <v>5905</v>
      </c>
      <c r="K212">
        <v>5905</v>
      </c>
      <c r="L212">
        <v>37.852564102564102</v>
      </c>
    </row>
    <row r="213" spans="1:12" x14ac:dyDescent="0.45">
      <c r="A213" s="989"/>
      <c r="B213" s="35" t="s">
        <v>533</v>
      </c>
      <c r="C213" s="35" t="s">
        <v>533</v>
      </c>
      <c r="D213" s="35" t="s">
        <v>638</v>
      </c>
      <c r="E213">
        <v>5174</v>
      </c>
      <c r="F213">
        <v>5277</v>
      </c>
      <c r="G213">
        <v>5646</v>
      </c>
      <c r="H213">
        <v>5872</v>
      </c>
      <c r="I213">
        <v>6107</v>
      </c>
      <c r="J213">
        <v>6107</v>
      </c>
      <c r="K213">
        <v>6107</v>
      </c>
      <c r="L213">
        <v>39.147435897435898</v>
      </c>
    </row>
    <row r="214" spans="1:12" x14ac:dyDescent="0.45">
      <c r="A214" s="989"/>
      <c r="B214" s="35" t="s">
        <v>535</v>
      </c>
      <c r="C214" s="35" t="s">
        <v>535</v>
      </c>
      <c r="D214" s="35" t="s">
        <v>639</v>
      </c>
      <c r="E214">
        <v>5003</v>
      </c>
      <c r="F214">
        <v>5103</v>
      </c>
      <c r="G214">
        <v>5460</v>
      </c>
      <c r="H214">
        <v>5678</v>
      </c>
      <c r="I214">
        <v>5905</v>
      </c>
      <c r="J214">
        <v>5905</v>
      </c>
      <c r="K214">
        <v>5905</v>
      </c>
      <c r="L214">
        <v>37.852564102564102</v>
      </c>
    </row>
    <row r="215" spans="1:12" x14ac:dyDescent="0.45">
      <c r="A215" s="989"/>
      <c r="B215" s="35" t="s">
        <v>537</v>
      </c>
      <c r="C215" s="35" t="s">
        <v>537</v>
      </c>
      <c r="D215" s="35" t="s">
        <v>640</v>
      </c>
      <c r="E215">
        <v>5174</v>
      </c>
      <c r="F215">
        <v>5277</v>
      </c>
      <c r="G215">
        <v>5646</v>
      </c>
      <c r="H215">
        <v>5872</v>
      </c>
      <c r="I215">
        <v>6107</v>
      </c>
      <c r="J215">
        <v>6107</v>
      </c>
      <c r="K215">
        <v>6107</v>
      </c>
      <c r="L215">
        <v>39.147435897435898</v>
      </c>
    </row>
    <row r="216" spans="1:12" x14ac:dyDescent="0.45">
      <c r="A216" s="989"/>
      <c r="B216" s="35" t="s">
        <v>539</v>
      </c>
      <c r="C216" s="35" t="s">
        <v>539</v>
      </c>
      <c r="D216" s="35" t="s">
        <v>641</v>
      </c>
      <c r="E216">
        <v>5356</v>
      </c>
      <c r="F216">
        <v>5463</v>
      </c>
      <c r="G216">
        <v>5845</v>
      </c>
      <c r="H216">
        <v>6079</v>
      </c>
      <c r="I216">
        <v>6322</v>
      </c>
      <c r="J216">
        <v>6322</v>
      </c>
      <c r="K216">
        <v>6322</v>
      </c>
      <c r="L216">
        <v>40.525641025641029</v>
      </c>
    </row>
    <row r="217" spans="1:12" x14ac:dyDescent="0.45">
      <c r="A217" s="989"/>
      <c r="B217" s="35" t="s">
        <v>541</v>
      </c>
      <c r="C217" s="35" t="s">
        <v>541</v>
      </c>
      <c r="D217" s="35" t="s">
        <v>642</v>
      </c>
      <c r="E217">
        <v>5548</v>
      </c>
      <c r="F217">
        <v>5659</v>
      </c>
      <c r="G217">
        <v>6055</v>
      </c>
      <c r="H217">
        <v>6297</v>
      </c>
      <c r="I217">
        <v>6549</v>
      </c>
      <c r="J217">
        <v>6549</v>
      </c>
      <c r="K217">
        <v>6549</v>
      </c>
      <c r="L217">
        <v>41.980769230769234</v>
      </c>
    </row>
    <row r="218" spans="1:12" x14ac:dyDescent="0.45">
      <c r="A218" s="990"/>
      <c r="B218" s="35" t="s">
        <v>543</v>
      </c>
      <c r="C218" s="35" t="s">
        <v>543</v>
      </c>
      <c r="D218" s="35" t="s">
        <v>643</v>
      </c>
      <c r="E218">
        <v>5743</v>
      </c>
      <c r="F218">
        <v>5858</v>
      </c>
      <c r="G218">
        <v>6268</v>
      </c>
      <c r="H218">
        <v>6519</v>
      </c>
      <c r="I218">
        <v>6780</v>
      </c>
      <c r="J218">
        <v>6780</v>
      </c>
      <c r="K218">
        <v>6780</v>
      </c>
      <c r="L218">
        <v>43.46153846153846</v>
      </c>
    </row>
    <row r="219" spans="1:12" x14ac:dyDescent="0.45">
      <c r="A219" s="988">
        <v>11</v>
      </c>
      <c r="B219" s="35" t="s">
        <v>517</v>
      </c>
      <c r="C219" s="35" t="s">
        <v>517</v>
      </c>
      <c r="D219" s="35" t="s">
        <v>644</v>
      </c>
      <c r="E219">
        <v>3449</v>
      </c>
      <c r="F219">
        <v>3518</v>
      </c>
      <c r="G219">
        <v>3764</v>
      </c>
      <c r="H219">
        <v>3915</v>
      </c>
      <c r="I219">
        <v>4072</v>
      </c>
      <c r="J219">
        <v>4072</v>
      </c>
      <c r="K219">
        <v>4072</v>
      </c>
      <c r="L219">
        <v>26.102564102564099</v>
      </c>
    </row>
    <row r="220" spans="1:12" x14ac:dyDescent="0.45">
      <c r="A220" s="989"/>
      <c r="B220" s="35">
        <v>0</v>
      </c>
      <c r="C220" s="35">
        <v>0</v>
      </c>
      <c r="D220" s="35" t="s">
        <v>177</v>
      </c>
      <c r="E220">
        <v>3508</v>
      </c>
      <c r="F220">
        <v>3578</v>
      </c>
      <c r="G220">
        <v>3828</v>
      </c>
      <c r="H220">
        <v>3981</v>
      </c>
      <c r="I220">
        <v>4140</v>
      </c>
      <c r="J220">
        <v>4140</v>
      </c>
      <c r="K220">
        <v>4140</v>
      </c>
      <c r="L220">
        <v>26.53846153846154</v>
      </c>
    </row>
    <row r="221" spans="1:12" x14ac:dyDescent="0.45">
      <c r="A221" s="989"/>
      <c r="B221" s="35">
        <v>1</v>
      </c>
      <c r="C221" s="35">
        <v>1</v>
      </c>
      <c r="D221" s="35" t="s">
        <v>176</v>
      </c>
      <c r="E221">
        <v>3581</v>
      </c>
      <c r="F221">
        <v>3653</v>
      </c>
      <c r="G221">
        <v>3909</v>
      </c>
      <c r="H221">
        <v>4065</v>
      </c>
      <c r="I221">
        <v>4228</v>
      </c>
      <c r="J221">
        <v>4228</v>
      </c>
      <c r="K221">
        <v>4228</v>
      </c>
      <c r="L221">
        <v>27.102564102564099</v>
      </c>
    </row>
    <row r="222" spans="1:12" x14ac:dyDescent="0.45">
      <c r="A222" s="989"/>
      <c r="B222" s="35">
        <v>2</v>
      </c>
      <c r="C222" s="35">
        <v>2</v>
      </c>
      <c r="D222" s="35" t="s">
        <v>171</v>
      </c>
      <c r="E222">
        <v>3703</v>
      </c>
      <c r="F222">
        <v>3777</v>
      </c>
      <c r="G222">
        <v>4041</v>
      </c>
      <c r="H222">
        <v>4203</v>
      </c>
      <c r="I222">
        <v>4371</v>
      </c>
      <c r="J222">
        <v>4371</v>
      </c>
      <c r="K222">
        <v>4371</v>
      </c>
      <c r="L222">
        <v>28.01923076923077</v>
      </c>
    </row>
    <row r="223" spans="1:12" x14ac:dyDescent="0.45">
      <c r="A223" s="989"/>
      <c r="B223" s="35">
        <v>3</v>
      </c>
      <c r="C223" s="35">
        <v>3</v>
      </c>
      <c r="D223" s="35" t="s">
        <v>170</v>
      </c>
      <c r="E223">
        <v>3831</v>
      </c>
      <c r="F223">
        <v>3908</v>
      </c>
      <c r="G223">
        <v>4182</v>
      </c>
      <c r="H223">
        <v>4349</v>
      </c>
      <c r="I223">
        <v>4523</v>
      </c>
      <c r="J223">
        <v>4523</v>
      </c>
      <c r="K223">
        <v>4523</v>
      </c>
      <c r="L223">
        <v>28.993589743589741</v>
      </c>
    </row>
    <row r="224" spans="1:12" x14ac:dyDescent="0.45">
      <c r="A224" s="989"/>
      <c r="B224" s="35">
        <v>4</v>
      </c>
      <c r="C224" s="35">
        <v>4</v>
      </c>
      <c r="D224" s="35" t="s">
        <v>169</v>
      </c>
      <c r="E224">
        <v>3961</v>
      </c>
      <c r="F224">
        <v>4040</v>
      </c>
      <c r="G224">
        <v>4323</v>
      </c>
      <c r="H224">
        <v>4496</v>
      </c>
      <c r="I224">
        <v>4676</v>
      </c>
      <c r="J224">
        <v>4676</v>
      </c>
      <c r="K224">
        <v>4676</v>
      </c>
      <c r="L224">
        <v>29.974358974358971</v>
      </c>
    </row>
    <row r="225" spans="1:12" x14ac:dyDescent="0.45">
      <c r="A225" s="989"/>
      <c r="B225" s="35">
        <v>5</v>
      </c>
      <c r="C225" s="35">
        <v>5</v>
      </c>
      <c r="D225" s="35" t="s">
        <v>168</v>
      </c>
      <c r="E225">
        <v>4090</v>
      </c>
      <c r="F225">
        <v>4172</v>
      </c>
      <c r="G225">
        <v>4464</v>
      </c>
      <c r="H225">
        <v>4643</v>
      </c>
      <c r="I225">
        <v>4829</v>
      </c>
      <c r="J225">
        <v>4829</v>
      </c>
      <c r="K225">
        <v>4829</v>
      </c>
      <c r="L225">
        <v>30.955128205128201</v>
      </c>
    </row>
    <row r="226" spans="1:12" x14ac:dyDescent="0.45">
      <c r="A226" s="989"/>
      <c r="B226" s="35">
        <v>6</v>
      </c>
      <c r="C226" s="35">
        <v>6</v>
      </c>
      <c r="D226" s="35" t="s">
        <v>167</v>
      </c>
      <c r="E226">
        <v>4222</v>
      </c>
      <c r="F226">
        <v>4306</v>
      </c>
      <c r="G226">
        <v>4607</v>
      </c>
      <c r="H226">
        <v>4791</v>
      </c>
      <c r="I226">
        <v>4983</v>
      </c>
      <c r="J226">
        <v>4983</v>
      </c>
      <c r="K226">
        <v>4983</v>
      </c>
      <c r="L226">
        <v>31.94230769230769</v>
      </c>
    </row>
    <row r="227" spans="1:12" x14ac:dyDescent="0.45">
      <c r="A227" s="989"/>
      <c r="B227" s="35">
        <v>7</v>
      </c>
      <c r="C227" s="35">
        <v>7</v>
      </c>
      <c r="D227" s="35" t="s">
        <v>166</v>
      </c>
      <c r="E227">
        <v>4358</v>
      </c>
      <c r="F227">
        <v>4445</v>
      </c>
      <c r="G227">
        <v>4756</v>
      </c>
      <c r="H227">
        <v>4946</v>
      </c>
      <c r="I227">
        <v>5144</v>
      </c>
      <c r="J227">
        <v>5144</v>
      </c>
      <c r="K227">
        <v>5144</v>
      </c>
      <c r="L227">
        <v>32.974358974358971</v>
      </c>
    </row>
    <row r="228" spans="1:12" x14ac:dyDescent="0.45">
      <c r="A228" s="989"/>
      <c r="B228" s="35">
        <v>8</v>
      </c>
      <c r="C228" s="35">
        <v>8</v>
      </c>
      <c r="D228" s="35" t="s">
        <v>165</v>
      </c>
      <c r="E228">
        <v>4509</v>
      </c>
      <c r="F228">
        <v>4599</v>
      </c>
      <c r="G228">
        <v>4921</v>
      </c>
      <c r="H228">
        <v>5118</v>
      </c>
      <c r="I228">
        <v>5323</v>
      </c>
      <c r="J228">
        <v>5323</v>
      </c>
      <c r="K228">
        <v>5323</v>
      </c>
      <c r="L228">
        <v>34.121794871794869</v>
      </c>
    </row>
    <row r="229" spans="1:12" x14ac:dyDescent="0.45">
      <c r="A229" s="989"/>
      <c r="B229" s="35">
        <v>9</v>
      </c>
      <c r="C229" s="35">
        <v>9</v>
      </c>
      <c r="D229" s="35" t="s">
        <v>164</v>
      </c>
      <c r="E229">
        <v>4670</v>
      </c>
      <c r="F229">
        <v>4763</v>
      </c>
      <c r="G229">
        <v>5096</v>
      </c>
      <c r="H229">
        <v>5300</v>
      </c>
      <c r="I229">
        <v>5512</v>
      </c>
      <c r="J229">
        <v>5512</v>
      </c>
      <c r="K229">
        <v>5512</v>
      </c>
      <c r="L229">
        <v>35.333333333333343</v>
      </c>
    </row>
    <row r="230" spans="1:12" x14ac:dyDescent="0.45">
      <c r="A230" s="989"/>
      <c r="B230" s="35">
        <v>10</v>
      </c>
      <c r="C230" s="35">
        <v>10</v>
      </c>
      <c r="D230" s="35" t="s">
        <v>175</v>
      </c>
      <c r="E230">
        <v>4830</v>
      </c>
      <c r="F230">
        <v>4927</v>
      </c>
      <c r="G230">
        <v>5272</v>
      </c>
      <c r="H230">
        <v>5483</v>
      </c>
      <c r="I230">
        <v>5702</v>
      </c>
      <c r="J230">
        <v>5702</v>
      </c>
      <c r="K230">
        <v>5702</v>
      </c>
      <c r="L230">
        <v>36.551282051282051</v>
      </c>
    </row>
    <row r="231" spans="1:12" x14ac:dyDescent="0.45">
      <c r="A231" s="989"/>
      <c r="B231" s="35">
        <v>11</v>
      </c>
      <c r="C231" s="35">
        <v>11</v>
      </c>
      <c r="D231" s="35" t="s">
        <v>174</v>
      </c>
      <c r="E231">
        <v>5003</v>
      </c>
      <c r="F231">
        <v>5103</v>
      </c>
      <c r="G231">
        <v>5460</v>
      </c>
      <c r="H231">
        <v>5678</v>
      </c>
      <c r="I231">
        <v>5905</v>
      </c>
      <c r="J231">
        <v>5905</v>
      </c>
      <c r="K231">
        <v>5905</v>
      </c>
      <c r="L231">
        <v>37.852564102564102</v>
      </c>
    </row>
    <row r="232" spans="1:12" x14ac:dyDescent="0.45">
      <c r="A232" s="989"/>
      <c r="B232" s="35">
        <v>12</v>
      </c>
      <c r="C232" s="35">
        <v>12</v>
      </c>
      <c r="D232" s="35" t="s">
        <v>173</v>
      </c>
      <c r="E232">
        <v>5174</v>
      </c>
      <c r="F232">
        <v>5277</v>
      </c>
      <c r="G232">
        <v>5646</v>
      </c>
      <c r="H232">
        <v>5872</v>
      </c>
      <c r="I232">
        <v>6107</v>
      </c>
      <c r="J232">
        <v>6107</v>
      </c>
      <c r="K232">
        <v>6107</v>
      </c>
      <c r="L232">
        <v>39.147435897435898</v>
      </c>
    </row>
    <row r="233" spans="1:12" x14ac:dyDescent="0.45">
      <c r="A233" s="989"/>
      <c r="B233" s="35">
        <v>13</v>
      </c>
      <c r="C233" s="35">
        <v>13</v>
      </c>
      <c r="D233" s="35" t="s">
        <v>172</v>
      </c>
      <c r="E233">
        <v>5356</v>
      </c>
      <c r="F233">
        <v>5463</v>
      </c>
      <c r="G233">
        <v>5845</v>
      </c>
      <c r="H233">
        <v>6079</v>
      </c>
      <c r="I233">
        <v>6322</v>
      </c>
      <c r="J233">
        <v>6322</v>
      </c>
      <c r="K233">
        <v>6322</v>
      </c>
      <c r="L233">
        <v>40.525641025641029</v>
      </c>
    </row>
    <row r="234" spans="1:12" x14ac:dyDescent="0.45">
      <c r="A234" s="989"/>
      <c r="B234" s="35" t="s">
        <v>531</v>
      </c>
      <c r="C234" s="35" t="s">
        <v>531</v>
      </c>
      <c r="D234" s="35" t="s">
        <v>645</v>
      </c>
      <c r="E234">
        <v>5548</v>
      </c>
      <c r="F234">
        <v>5659</v>
      </c>
      <c r="G234">
        <v>6055</v>
      </c>
      <c r="H234">
        <v>6297</v>
      </c>
      <c r="I234">
        <v>6549</v>
      </c>
      <c r="J234">
        <v>6549</v>
      </c>
      <c r="K234">
        <v>6549</v>
      </c>
      <c r="L234">
        <v>41.980769230769234</v>
      </c>
    </row>
    <row r="235" spans="1:12" x14ac:dyDescent="0.45">
      <c r="A235" s="989"/>
      <c r="B235" s="35" t="s">
        <v>533</v>
      </c>
      <c r="C235" s="35" t="s">
        <v>533</v>
      </c>
      <c r="D235" s="35" t="s">
        <v>646</v>
      </c>
      <c r="E235">
        <v>5743</v>
      </c>
      <c r="F235">
        <v>5858</v>
      </c>
      <c r="G235">
        <v>6268</v>
      </c>
      <c r="H235">
        <v>6519</v>
      </c>
      <c r="I235">
        <v>6780</v>
      </c>
      <c r="J235">
        <v>6780</v>
      </c>
      <c r="K235">
        <v>6780</v>
      </c>
      <c r="L235">
        <v>43.46153846153846</v>
      </c>
    </row>
    <row r="236" spans="1:12" x14ac:dyDescent="0.45">
      <c r="A236" s="989"/>
      <c r="B236" s="35" t="s">
        <v>535</v>
      </c>
      <c r="C236" s="35" t="s">
        <v>535</v>
      </c>
      <c r="D236" s="35" t="s">
        <v>647</v>
      </c>
      <c r="E236">
        <v>5548</v>
      </c>
      <c r="F236">
        <v>5659</v>
      </c>
      <c r="G236">
        <v>6055</v>
      </c>
      <c r="H236">
        <v>6297</v>
      </c>
      <c r="I236">
        <v>6549</v>
      </c>
      <c r="J236">
        <v>6549</v>
      </c>
      <c r="K236">
        <v>6549</v>
      </c>
      <c r="L236">
        <v>41.980769230769234</v>
      </c>
    </row>
    <row r="237" spans="1:12" x14ac:dyDescent="0.45">
      <c r="A237" s="989"/>
      <c r="B237" s="35" t="s">
        <v>537</v>
      </c>
      <c r="C237" s="35" t="s">
        <v>537</v>
      </c>
      <c r="D237" s="35" t="s">
        <v>648</v>
      </c>
      <c r="E237">
        <v>5743</v>
      </c>
      <c r="F237">
        <v>5858</v>
      </c>
      <c r="G237">
        <v>6268</v>
      </c>
      <c r="H237">
        <v>6519</v>
      </c>
      <c r="I237">
        <v>6780</v>
      </c>
      <c r="J237">
        <v>6780</v>
      </c>
      <c r="K237">
        <v>6780</v>
      </c>
      <c r="L237">
        <v>43.46153846153846</v>
      </c>
    </row>
    <row r="238" spans="1:12" x14ac:dyDescent="0.45">
      <c r="A238" s="989"/>
      <c r="B238" s="35" t="s">
        <v>539</v>
      </c>
      <c r="C238" s="35" t="s">
        <v>539</v>
      </c>
      <c r="D238" s="35" t="s">
        <v>649</v>
      </c>
      <c r="E238">
        <v>5946</v>
      </c>
      <c r="F238">
        <v>6065</v>
      </c>
      <c r="G238">
        <v>6490</v>
      </c>
      <c r="H238">
        <v>6750</v>
      </c>
      <c r="I238">
        <v>7020</v>
      </c>
      <c r="J238">
        <v>7020</v>
      </c>
      <c r="K238">
        <v>7020</v>
      </c>
      <c r="L238">
        <v>45</v>
      </c>
    </row>
    <row r="239" spans="1:12" x14ac:dyDescent="0.45">
      <c r="A239" s="989"/>
      <c r="B239" s="35" t="s">
        <v>541</v>
      </c>
      <c r="C239" s="35" t="s">
        <v>541</v>
      </c>
      <c r="D239" s="35" t="s">
        <v>650</v>
      </c>
      <c r="E239">
        <v>6165</v>
      </c>
      <c r="F239">
        <v>6288</v>
      </c>
      <c r="G239">
        <v>6728</v>
      </c>
      <c r="H239">
        <v>6997</v>
      </c>
      <c r="I239">
        <v>7277</v>
      </c>
      <c r="J239">
        <v>7277</v>
      </c>
      <c r="K239">
        <v>7277</v>
      </c>
      <c r="L239">
        <v>46.647435897435898</v>
      </c>
    </row>
    <row r="240" spans="1:12" x14ac:dyDescent="0.45">
      <c r="A240" s="990"/>
      <c r="B240" s="35" t="s">
        <v>543</v>
      </c>
      <c r="C240" s="35" t="s">
        <v>543</v>
      </c>
      <c r="D240" s="35" t="s">
        <v>651</v>
      </c>
      <c r="E240">
        <v>6391</v>
      </c>
      <c r="F240">
        <v>6519</v>
      </c>
      <c r="G240">
        <v>6975</v>
      </c>
      <c r="H240">
        <v>7254</v>
      </c>
      <c r="I240">
        <v>7544</v>
      </c>
      <c r="J240">
        <v>7544</v>
      </c>
      <c r="K240">
        <v>7544</v>
      </c>
      <c r="L240">
        <v>48.358974358974358</v>
      </c>
    </row>
    <row r="241" spans="1:12" x14ac:dyDescent="0.45">
      <c r="A241" s="988">
        <v>12</v>
      </c>
      <c r="B241" s="35" t="s">
        <v>517</v>
      </c>
      <c r="C241" s="35" t="s">
        <v>517</v>
      </c>
      <c r="D241" s="35" t="s">
        <v>652</v>
      </c>
      <c r="E241">
        <v>3770</v>
      </c>
      <c r="F241">
        <v>3845</v>
      </c>
      <c r="G241">
        <v>4114</v>
      </c>
      <c r="H241">
        <v>4279</v>
      </c>
      <c r="I241">
        <v>4450</v>
      </c>
      <c r="J241">
        <v>4450</v>
      </c>
      <c r="K241">
        <v>4450</v>
      </c>
      <c r="L241">
        <v>28.525641025641029</v>
      </c>
    </row>
    <row r="242" spans="1:12" x14ac:dyDescent="0.45">
      <c r="A242" s="989"/>
      <c r="B242" s="35">
        <v>0</v>
      </c>
      <c r="C242" s="35">
        <v>0</v>
      </c>
      <c r="D242" s="35" t="s">
        <v>161</v>
      </c>
      <c r="E242">
        <v>3831</v>
      </c>
      <c r="F242">
        <v>3908</v>
      </c>
      <c r="G242">
        <v>4182</v>
      </c>
      <c r="H242">
        <v>4349</v>
      </c>
      <c r="I242">
        <v>4523</v>
      </c>
      <c r="J242">
        <v>4523</v>
      </c>
      <c r="K242">
        <v>4523</v>
      </c>
      <c r="L242">
        <v>28.993589743589741</v>
      </c>
    </row>
    <row r="243" spans="1:12" x14ac:dyDescent="0.45">
      <c r="A243" s="989"/>
      <c r="B243" s="35">
        <v>1</v>
      </c>
      <c r="C243" s="35">
        <v>1</v>
      </c>
      <c r="D243" s="35" t="s">
        <v>160</v>
      </c>
      <c r="E243">
        <v>3961</v>
      </c>
      <c r="F243">
        <v>4040</v>
      </c>
      <c r="G243">
        <v>4323</v>
      </c>
      <c r="H243">
        <v>4496</v>
      </c>
      <c r="I243">
        <v>4676</v>
      </c>
      <c r="J243">
        <v>4676</v>
      </c>
      <c r="K243">
        <v>4676</v>
      </c>
      <c r="L243">
        <v>29.974358974358971</v>
      </c>
    </row>
    <row r="244" spans="1:12" x14ac:dyDescent="0.45">
      <c r="A244" s="989"/>
      <c r="B244" s="35">
        <v>2</v>
      </c>
      <c r="C244" s="35">
        <v>2</v>
      </c>
      <c r="D244" s="35" t="s">
        <v>155</v>
      </c>
      <c r="E244">
        <v>4090</v>
      </c>
      <c r="F244">
        <v>4172</v>
      </c>
      <c r="G244">
        <v>4464</v>
      </c>
      <c r="H244">
        <v>4643</v>
      </c>
      <c r="I244">
        <v>4829</v>
      </c>
      <c r="J244">
        <v>4829</v>
      </c>
      <c r="K244">
        <v>4829</v>
      </c>
      <c r="L244">
        <v>30.955128205128201</v>
      </c>
    </row>
    <row r="245" spans="1:12" x14ac:dyDescent="0.45">
      <c r="A245" s="989"/>
      <c r="B245" s="35">
        <v>3</v>
      </c>
      <c r="C245" s="35">
        <v>3</v>
      </c>
      <c r="D245" s="35" t="s">
        <v>154</v>
      </c>
      <c r="E245">
        <v>4222</v>
      </c>
      <c r="F245">
        <v>4306</v>
      </c>
      <c r="G245">
        <v>4607</v>
      </c>
      <c r="H245">
        <v>4791</v>
      </c>
      <c r="I245">
        <v>4983</v>
      </c>
      <c r="J245">
        <v>4983</v>
      </c>
      <c r="K245">
        <v>4983</v>
      </c>
      <c r="L245">
        <v>31.94230769230769</v>
      </c>
    </row>
    <row r="246" spans="1:12" x14ac:dyDescent="0.45">
      <c r="A246" s="989"/>
      <c r="B246" s="35">
        <v>4</v>
      </c>
      <c r="C246" s="35">
        <v>4</v>
      </c>
      <c r="D246" s="35" t="s">
        <v>153</v>
      </c>
      <c r="E246">
        <v>4358</v>
      </c>
      <c r="F246">
        <v>4445</v>
      </c>
      <c r="G246">
        <v>4756</v>
      </c>
      <c r="H246">
        <v>4946</v>
      </c>
      <c r="I246">
        <v>5144</v>
      </c>
      <c r="J246">
        <v>5144</v>
      </c>
      <c r="K246">
        <v>5144</v>
      </c>
      <c r="L246">
        <v>32.974358974358971</v>
      </c>
    </row>
    <row r="247" spans="1:12" x14ac:dyDescent="0.45">
      <c r="A247" s="989"/>
      <c r="B247" s="35">
        <v>5</v>
      </c>
      <c r="C247" s="35">
        <v>5</v>
      </c>
      <c r="D247" s="35" t="s">
        <v>152</v>
      </c>
      <c r="E247">
        <v>4509</v>
      </c>
      <c r="F247">
        <v>4599</v>
      </c>
      <c r="G247">
        <v>4921</v>
      </c>
      <c r="H247">
        <v>5118</v>
      </c>
      <c r="I247">
        <v>5323</v>
      </c>
      <c r="J247">
        <v>5323</v>
      </c>
      <c r="K247">
        <v>5323</v>
      </c>
      <c r="L247">
        <v>34.121794871794869</v>
      </c>
    </row>
    <row r="248" spans="1:12" x14ac:dyDescent="0.45">
      <c r="A248" s="989"/>
      <c r="B248" s="35">
        <v>6</v>
      </c>
      <c r="C248" s="35">
        <v>6</v>
      </c>
      <c r="D248" s="35" t="s">
        <v>151</v>
      </c>
      <c r="E248">
        <v>4670</v>
      </c>
      <c r="F248">
        <v>4763</v>
      </c>
      <c r="G248">
        <v>5096</v>
      </c>
      <c r="H248">
        <v>5300</v>
      </c>
      <c r="I248">
        <v>5512</v>
      </c>
      <c r="J248">
        <v>5512</v>
      </c>
      <c r="K248">
        <v>5512</v>
      </c>
      <c r="L248">
        <v>35.333333333333343</v>
      </c>
    </row>
    <row r="249" spans="1:12" x14ac:dyDescent="0.45">
      <c r="A249" s="989"/>
      <c r="B249" s="35">
        <v>7</v>
      </c>
      <c r="C249" s="35">
        <v>7</v>
      </c>
      <c r="D249" s="35" t="s">
        <v>150</v>
      </c>
      <c r="E249">
        <v>4830</v>
      </c>
      <c r="F249">
        <v>4927</v>
      </c>
      <c r="G249">
        <v>5272</v>
      </c>
      <c r="H249">
        <v>5483</v>
      </c>
      <c r="I249">
        <v>5702</v>
      </c>
      <c r="J249">
        <v>5702</v>
      </c>
      <c r="K249">
        <v>5702</v>
      </c>
      <c r="L249">
        <v>36.551282051282051</v>
      </c>
    </row>
    <row r="250" spans="1:12" x14ac:dyDescent="0.45">
      <c r="A250" s="989"/>
      <c r="B250" s="35">
        <v>8</v>
      </c>
      <c r="C250" s="35">
        <v>8</v>
      </c>
      <c r="D250" s="35" t="s">
        <v>149</v>
      </c>
      <c r="E250">
        <v>5003</v>
      </c>
      <c r="F250">
        <v>5103</v>
      </c>
      <c r="G250">
        <v>5460</v>
      </c>
      <c r="H250">
        <v>5678</v>
      </c>
      <c r="I250">
        <v>5905</v>
      </c>
      <c r="J250">
        <v>5905</v>
      </c>
      <c r="K250">
        <v>5905</v>
      </c>
      <c r="L250">
        <v>37.852564102564102</v>
      </c>
    </row>
    <row r="251" spans="1:12" x14ac:dyDescent="0.45">
      <c r="A251" s="989"/>
      <c r="B251" s="35">
        <v>9</v>
      </c>
      <c r="C251" s="35">
        <v>9</v>
      </c>
      <c r="D251" s="35" t="s">
        <v>148</v>
      </c>
      <c r="E251">
        <v>5174</v>
      </c>
      <c r="F251">
        <v>5277</v>
      </c>
      <c r="G251">
        <v>5646</v>
      </c>
      <c r="H251">
        <v>5872</v>
      </c>
      <c r="I251">
        <v>6107</v>
      </c>
      <c r="J251">
        <v>6107</v>
      </c>
      <c r="K251">
        <v>6107</v>
      </c>
      <c r="L251">
        <v>39.147435897435898</v>
      </c>
    </row>
    <row r="252" spans="1:12" x14ac:dyDescent="0.45">
      <c r="A252" s="989"/>
      <c r="B252" s="35">
        <v>10</v>
      </c>
      <c r="C252" s="35">
        <v>10</v>
      </c>
      <c r="D252" s="35" t="s">
        <v>159</v>
      </c>
      <c r="E252">
        <v>5356</v>
      </c>
      <c r="F252">
        <v>5463</v>
      </c>
      <c r="G252">
        <v>5845</v>
      </c>
      <c r="H252">
        <v>6079</v>
      </c>
      <c r="I252">
        <v>6322</v>
      </c>
      <c r="J252">
        <v>6322</v>
      </c>
      <c r="K252">
        <v>6322</v>
      </c>
      <c r="L252">
        <v>40.525641025641029</v>
      </c>
    </row>
    <row r="253" spans="1:12" x14ac:dyDescent="0.45">
      <c r="A253" s="989"/>
      <c r="B253" s="35">
        <v>11</v>
      </c>
      <c r="C253" s="35">
        <v>11</v>
      </c>
      <c r="D253" s="35" t="s">
        <v>158</v>
      </c>
      <c r="E253">
        <v>5548</v>
      </c>
      <c r="F253">
        <v>5659</v>
      </c>
      <c r="G253">
        <v>6055</v>
      </c>
      <c r="H253">
        <v>6297</v>
      </c>
      <c r="I253">
        <v>6549</v>
      </c>
      <c r="J253">
        <v>6549</v>
      </c>
      <c r="K253">
        <v>6549</v>
      </c>
      <c r="L253">
        <v>41.980769230769234</v>
      </c>
    </row>
    <row r="254" spans="1:12" x14ac:dyDescent="0.45">
      <c r="A254" s="989"/>
      <c r="B254" s="35">
        <v>12</v>
      </c>
      <c r="C254" s="35">
        <v>12</v>
      </c>
      <c r="D254" s="35" t="s">
        <v>157</v>
      </c>
      <c r="E254">
        <v>5743</v>
      </c>
      <c r="F254">
        <v>5858</v>
      </c>
      <c r="G254">
        <v>6268</v>
      </c>
      <c r="H254">
        <v>6519</v>
      </c>
      <c r="I254">
        <v>6780</v>
      </c>
      <c r="J254">
        <v>6780</v>
      </c>
      <c r="K254">
        <v>6780</v>
      </c>
      <c r="L254">
        <v>43.46153846153846</v>
      </c>
    </row>
    <row r="255" spans="1:12" x14ac:dyDescent="0.45">
      <c r="A255" s="989"/>
      <c r="B255" s="35">
        <v>13</v>
      </c>
      <c r="C255" s="35">
        <v>13</v>
      </c>
      <c r="D255" s="35" t="s">
        <v>156</v>
      </c>
      <c r="E255">
        <v>5946</v>
      </c>
      <c r="F255">
        <v>6065</v>
      </c>
      <c r="G255">
        <v>6490</v>
      </c>
      <c r="H255">
        <v>6750</v>
      </c>
      <c r="I255">
        <v>7020</v>
      </c>
      <c r="J255">
        <v>7020</v>
      </c>
      <c r="K255">
        <v>7020</v>
      </c>
      <c r="L255">
        <v>45</v>
      </c>
    </row>
    <row r="256" spans="1:12" x14ac:dyDescent="0.45">
      <c r="A256" s="989"/>
      <c r="B256" s="35" t="s">
        <v>531</v>
      </c>
      <c r="C256" s="35" t="s">
        <v>531</v>
      </c>
      <c r="D256" s="35" t="s">
        <v>653</v>
      </c>
      <c r="E256">
        <v>6165</v>
      </c>
      <c r="F256">
        <v>6288</v>
      </c>
      <c r="G256">
        <v>6728</v>
      </c>
      <c r="H256">
        <v>6997</v>
      </c>
      <c r="I256">
        <v>7277</v>
      </c>
      <c r="J256">
        <v>7277</v>
      </c>
      <c r="K256">
        <v>7277</v>
      </c>
      <c r="L256">
        <v>46.647435897435898</v>
      </c>
    </row>
    <row r="257" spans="1:12" x14ac:dyDescent="0.45">
      <c r="A257" s="989"/>
      <c r="B257" s="35" t="s">
        <v>533</v>
      </c>
      <c r="C257" s="35" t="s">
        <v>533</v>
      </c>
      <c r="D257" s="35" t="s">
        <v>654</v>
      </c>
      <c r="E257">
        <v>6391</v>
      </c>
      <c r="F257">
        <v>6519</v>
      </c>
      <c r="G257">
        <v>6975</v>
      </c>
      <c r="H257">
        <v>7254</v>
      </c>
      <c r="I257">
        <v>7544</v>
      </c>
      <c r="J257">
        <v>7544</v>
      </c>
      <c r="K257">
        <v>7544</v>
      </c>
      <c r="L257">
        <v>48.358974358974358</v>
      </c>
    </row>
    <row r="258" spans="1:12" x14ac:dyDescent="0.45">
      <c r="A258" s="989"/>
      <c r="B258" s="35" t="s">
        <v>535</v>
      </c>
      <c r="C258" s="35" t="s">
        <v>535</v>
      </c>
      <c r="D258" s="35" t="s">
        <v>655</v>
      </c>
      <c r="E258">
        <v>6165</v>
      </c>
      <c r="F258">
        <v>6288</v>
      </c>
      <c r="G258">
        <v>6728</v>
      </c>
      <c r="H258">
        <v>6997</v>
      </c>
      <c r="I258">
        <v>7277</v>
      </c>
      <c r="J258">
        <v>7277</v>
      </c>
      <c r="K258">
        <v>7277</v>
      </c>
      <c r="L258">
        <v>46.647435897435898</v>
      </c>
    </row>
    <row r="259" spans="1:12" x14ac:dyDescent="0.45">
      <c r="A259" s="989"/>
      <c r="B259" s="35" t="s">
        <v>537</v>
      </c>
      <c r="C259" s="35" t="s">
        <v>537</v>
      </c>
      <c r="D259" s="35" t="s">
        <v>656</v>
      </c>
      <c r="E259">
        <v>6391</v>
      </c>
      <c r="F259">
        <v>6519</v>
      </c>
      <c r="G259">
        <v>6975</v>
      </c>
      <c r="H259">
        <v>7254</v>
      </c>
      <c r="I259">
        <v>7544</v>
      </c>
      <c r="J259">
        <v>7544</v>
      </c>
      <c r="K259">
        <v>7544</v>
      </c>
      <c r="L259">
        <v>48.358974358974358</v>
      </c>
    </row>
    <row r="260" spans="1:12" x14ac:dyDescent="0.45">
      <c r="A260" s="989"/>
      <c r="B260" s="35" t="s">
        <v>539</v>
      </c>
      <c r="C260" s="35" t="s">
        <v>539</v>
      </c>
      <c r="D260" s="35" t="s">
        <v>657</v>
      </c>
      <c r="E260">
        <v>6628</v>
      </c>
      <c r="F260">
        <v>6761</v>
      </c>
      <c r="G260">
        <v>7234</v>
      </c>
      <c r="H260">
        <v>7523</v>
      </c>
      <c r="I260">
        <v>7824</v>
      </c>
      <c r="J260">
        <v>7824</v>
      </c>
      <c r="K260">
        <v>7824</v>
      </c>
      <c r="L260">
        <v>50.153846153846153</v>
      </c>
    </row>
    <row r="261" spans="1:12" x14ac:dyDescent="0.45">
      <c r="A261" s="989"/>
      <c r="B261" s="35" t="s">
        <v>541</v>
      </c>
      <c r="C261" s="35" t="s">
        <v>541</v>
      </c>
      <c r="D261" s="35" t="s">
        <v>658</v>
      </c>
      <c r="E261">
        <v>6987</v>
      </c>
      <c r="F261">
        <v>7127</v>
      </c>
      <c r="G261">
        <v>7626</v>
      </c>
      <c r="H261">
        <v>7931</v>
      </c>
      <c r="I261">
        <v>8248</v>
      </c>
      <c r="J261">
        <v>8248</v>
      </c>
      <c r="K261">
        <v>8248</v>
      </c>
      <c r="L261">
        <v>52.871794871794869</v>
      </c>
    </row>
    <row r="262" spans="1:12" x14ac:dyDescent="0.45">
      <c r="A262" s="990"/>
      <c r="B262" s="35" t="s">
        <v>543</v>
      </c>
      <c r="C262" s="35" t="s">
        <v>543</v>
      </c>
      <c r="D262" s="35" t="s">
        <v>659</v>
      </c>
      <c r="E262">
        <v>7363</v>
      </c>
      <c r="F262">
        <v>7510</v>
      </c>
      <c r="G262">
        <v>8036</v>
      </c>
      <c r="H262">
        <v>8357</v>
      </c>
      <c r="I262">
        <v>8691</v>
      </c>
      <c r="J262">
        <v>8691</v>
      </c>
      <c r="K262">
        <v>8691</v>
      </c>
      <c r="L262">
        <v>55.71153846153846</v>
      </c>
    </row>
    <row r="263" spans="1:12" x14ac:dyDescent="0.45">
      <c r="A263" s="988">
        <v>13</v>
      </c>
      <c r="B263" s="35" t="s">
        <v>517</v>
      </c>
      <c r="C263" s="35" t="s">
        <v>517</v>
      </c>
      <c r="D263" s="35" t="s">
        <v>660</v>
      </c>
      <c r="E263">
        <v>4157</v>
      </c>
      <c r="F263">
        <v>4240</v>
      </c>
      <c r="G263">
        <v>4537</v>
      </c>
      <c r="H263">
        <v>4718</v>
      </c>
      <c r="I263">
        <v>4907</v>
      </c>
      <c r="J263">
        <v>4907</v>
      </c>
      <c r="K263">
        <v>4907</v>
      </c>
      <c r="L263">
        <v>31.455128205128201</v>
      </c>
    </row>
    <row r="264" spans="1:12" x14ac:dyDescent="0.45">
      <c r="A264" s="989"/>
      <c r="B264" s="35">
        <v>0</v>
      </c>
      <c r="C264" s="35">
        <v>0</v>
      </c>
      <c r="D264" s="35" t="s">
        <v>145</v>
      </c>
      <c r="E264">
        <v>4222</v>
      </c>
      <c r="F264">
        <v>4306</v>
      </c>
      <c r="G264">
        <v>4607</v>
      </c>
      <c r="H264">
        <v>4791</v>
      </c>
      <c r="I264">
        <v>4983</v>
      </c>
      <c r="J264">
        <v>4983</v>
      </c>
      <c r="K264">
        <v>4983</v>
      </c>
      <c r="L264">
        <v>31.94230769230769</v>
      </c>
    </row>
    <row r="265" spans="1:12" x14ac:dyDescent="0.45">
      <c r="A265" s="989"/>
      <c r="B265" s="35">
        <v>1</v>
      </c>
      <c r="C265" s="35">
        <v>1</v>
      </c>
      <c r="D265" s="35" t="s">
        <v>144</v>
      </c>
      <c r="E265">
        <v>4358</v>
      </c>
      <c r="F265">
        <v>4445</v>
      </c>
      <c r="G265">
        <v>4756</v>
      </c>
      <c r="H265">
        <v>4946</v>
      </c>
      <c r="I265">
        <v>5144</v>
      </c>
      <c r="J265">
        <v>5144</v>
      </c>
      <c r="K265">
        <v>5144</v>
      </c>
      <c r="L265">
        <v>32.974358974358971</v>
      </c>
    </row>
    <row r="266" spans="1:12" x14ac:dyDescent="0.45">
      <c r="A266" s="989"/>
      <c r="B266" s="35">
        <v>2</v>
      </c>
      <c r="C266" s="35">
        <v>2</v>
      </c>
      <c r="D266" s="35" t="s">
        <v>139</v>
      </c>
      <c r="E266">
        <v>4509</v>
      </c>
      <c r="F266">
        <v>4599</v>
      </c>
      <c r="G266">
        <v>4921</v>
      </c>
      <c r="H266">
        <v>5118</v>
      </c>
      <c r="I266">
        <v>5323</v>
      </c>
      <c r="J266">
        <v>5323</v>
      </c>
      <c r="K266">
        <v>5323</v>
      </c>
      <c r="L266">
        <v>34.121794871794869</v>
      </c>
    </row>
    <row r="267" spans="1:12" x14ac:dyDescent="0.45">
      <c r="A267" s="989"/>
      <c r="B267" s="35">
        <v>3</v>
      </c>
      <c r="C267" s="35">
        <v>3</v>
      </c>
      <c r="D267" s="35" t="s">
        <v>138</v>
      </c>
      <c r="E267">
        <v>4670</v>
      </c>
      <c r="F267">
        <v>4763</v>
      </c>
      <c r="G267">
        <v>5096</v>
      </c>
      <c r="H267">
        <v>5300</v>
      </c>
      <c r="I267">
        <v>5512</v>
      </c>
      <c r="J267">
        <v>5512</v>
      </c>
      <c r="K267">
        <v>5512</v>
      </c>
      <c r="L267">
        <v>35.333333333333343</v>
      </c>
    </row>
    <row r="268" spans="1:12" x14ac:dyDescent="0.45">
      <c r="A268" s="989"/>
      <c r="B268" s="35">
        <v>4</v>
      </c>
      <c r="C268" s="35">
        <v>4</v>
      </c>
      <c r="D268" s="35" t="s">
        <v>137</v>
      </c>
      <c r="E268">
        <v>4830</v>
      </c>
      <c r="F268">
        <v>4927</v>
      </c>
      <c r="G268">
        <v>5272</v>
      </c>
      <c r="H268">
        <v>5483</v>
      </c>
      <c r="I268">
        <v>5702</v>
      </c>
      <c r="J268">
        <v>5702</v>
      </c>
      <c r="K268">
        <v>5702</v>
      </c>
      <c r="L268">
        <v>36.551282051282051</v>
      </c>
    </row>
    <row r="269" spans="1:12" x14ac:dyDescent="0.45">
      <c r="A269" s="989"/>
      <c r="B269" s="35">
        <v>5</v>
      </c>
      <c r="C269" s="35">
        <v>5</v>
      </c>
      <c r="D269" s="35" t="s">
        <v>136</v>
      </c>
      <c r="E269">
        <v>5003</v>
      </c>
      <c r="F269">
        <v>5103</v>
      </c>
      <c r="G269">
        <v>5460</v>
      </c>
      <c r="H269">
        <v>5678</v>
      </c>
      <c r="I269">
        <v>5905</v>
      </c>
      <c r="J269">
        <v>5905</v>
      </c>
      <c r="K269">
        <v>5905</v>
      </c>
      <c r="L269">
        <v>37.852564102564102</v>
      </c>
    </row>
    <row r="270" spans="1:12" x14ac:dyDescent="0.45">
      <c r="A270" s="989"/>
      <c r="B270" s="35">
        <v>6</v>
      </c>
      <c r="C270" s="35">
        <v>6</v>
      </c>
      <c r="D270" s="35" t="s">
        <v>135</v>
      </c>
      <c r="E270">
        <v>5174</v>
      </c>
      <c r="F270">
        <v>5277</v>
      </c>
      <c r="G270">
        <v>5646</v>
      </c>
      <c r="H270">
        <v>5872</v>
      </c>
      <c r="I270">
        <v>6107</v>
      </c>
      <c r="J270">
        <v>6107</v>
      </c>
      <c r="K270">
        <v>6107</v>
      </c>
      <c r="L270">
        <v>39.147435897435898</v>
      </c>
    </row>
    <row r="271" spans="1:12" x14ac:dyDescent="0.45">
      <c r="A271" s="989"/>
      <c r="B271" s="35">
        <v>7</v>
      </c>
      <c r="C271" s="35">
        <v>7</v>
      </c>
      <c r="D271" s="35" t="s">
        <v>134</v>
      </c>
      <c r="E271">
        <v>5356</v>
      </c>
      <c r="F271">
        <v>5463</v>
      </c>
      <c r="G271">
        <v>5845</v>
      </c>
      <c r="H271">
        <v>6079</v>
      </c>
      <c r="I271">
        <v>6322</v>
      </c>
      <c r="J271">
        <v>6322</v>
      </c>
      <c r="K271">
        <v>6322</v>
      </c>
      <c r="L271">
        <v>40.525641025641029</v>
      </c>
    </row>
    <row r="272" spans="1:12" x14ac:dyDescent="0.45">
      <c r="A272" s="989"/>
      <c r="B272" s="35">
        <v>8</v>
      </c>
      <c r="C272" s="35">
        <v>8</v>
      </c>
      <c r="D272" s="35" t="s">
        <v>133</v>
      </c>
      <c r="E272">
        <v>5548</v>
      </c>
      <c r="F272">
        <v>5659</v>
      </c>
      <c r="G272">
        <v>6055</v>
      </c>
      <c r="H272">
        <v>6297</v>
      </c>
      <c r="I272">
        <v>6549</v>
      </c>
      <c r="J272">
        <v>6549</v>
      </c>
      <c r="K272">
        <v>6549</v>
      </c>
      <c r="L272">
        <v>41.980769230769234</v>
      </c>
    </row>
    <row r="273" spans="1:12" x14ac:dyDescent="0.45">
      <c r="A273" s="989"/>
      <c r="B273" s="35">
        <v>9</v>
      </c>
      <c r="C273" s="35">
        <v>9</v>
      </c>
      <c r="D273" s="35" t="s">
        <v>132</v>
      </c>
      <c r="E273">
        <v>5743</v>
      </c>
      <c r="F273">
        <v>5858</v>
      </c>
      <c r="G273">
        <v>6268</v>
      </c>
      <c r="H273">
        <v>6519</v>
      </c>
      <c r="I273">
        <v>6780</v>
      </c>
      <c r="J273">
        <v>6780</v>
      </c>
      <c r="K273">
        <v>6780</v>
      </c>
      <c r="L273">
        <v>43.46153846153846</v>
      </c>
    </row>
    <row r="274" spans="1:12" x14ac:dyDescent="0.45">
      <c r="A274" s="989"/>
      <c r="B274" s="35">
        <v>10</v>
      </c>
      <c r="C274" s="35">
        <v>10</v>
      </c>
      <c r="D274" s="35" t="s">
        <v>143</v>
      </c>
      <c r="E274">
        <v>5946</v>
      </c>
      <c r="F274">
        <v>6065</v>
      </c>
      <c r="G274">
        <v>6490</v>
      </c>
      <c r="H274">
        <v>6750</v>
      </c>
      <c r="I274">
        <v>7020</v>
      </c>
      <c r="J274">
        <v>7020</v>
      </c>
      <c r="K274">
        <v>7020</v>
      </c>
      <c r="L274">
        <v>45</v>
      </c>
    </row>
    <row r="275" spans="1:12" x14ac:dyDescent="0.45">
      <c r="A275" s="989"/>
      <c r="B275" s="35">
        <v>11</v>
      </c>
      <c r="C275" s="35">
        <v>11</v>
      </c>
      <c r="D275" s="35" t="s">
        <v>142</v>
      </c>
      <c r="E275">
        <v>6165</v>
      </c>
      <c r="F275">
        <v>6288</v>
      </c>
      <c r="G275">
        <v>6728</v>
      </c>
      <c r="H275">
        <v>6997</v>
      </c>
      <c r="I275">
        <v>7277</v>
      </c>
      <c r="J275">
        <v>7277</v>
      </c>
      <c r="K275">
        <v>7277</v>
      </c>
      <c r="L275">
        <v>46.647435897435898</v>
      </c>
    </row>
    <row r="276" spans="1:12" x14ac:dyDescent="0.45">
      <c r="A276" s="989"/>
      <c r="B276" s="35">
        <v>12</v>
      </c>
      <c r="C276" s="35">
        <v>12</v>
      </c>
      <c r="D276" s="35" t="s">
        <v>141</v>
      </c>
      <c r="E276">
        <v>6391</v>
      </c>
      <c r="F276">
        <v>6519</v>
      </c>
      <c r="G276">
        <v>6975</v>
      </c>
      <c r="H276">
        <v>7254</v>
      </c>
      <c r="I276">
        <v>7544</v>
      </c>
      <c r="J276">
        <v>7544</v>
      </c>
      <c r="K276">
        <v>7544</v>
      </c>
      <c r="L276">
        <v>48.358974358974358</v>
      </c>
    </row>
    <row r="277" spans="1:12" x14ac:dyDescent="0.45">
      <c r="A277" s="989"/>
      <c r="B277" s="35">
        <v>13</v>
      </c>
      <c r="C277" s="35">
        <v>13</v>
      </c>
      <c r="D277" s="35" t="s">
        <v>140</v>
      </c>
      <c r="E277">
        <v>6628</v>
      </c>
      <c r="F277">
        <v>6761</v>
      </c>
      <c r="G277">
        <v>7234</v>
      </c>
      <c r="H277">
        <v>7523</v>
      </c>
      <c r="I277">
        <v>7824</v>
      </c>
      <c r="J277">
        <v>7824</v>
      </c>
      <c r="K277">
        <v>7824</v>
      </c>
      <c r="L277">
        <v>50.153846153846153</v>
      </c>
    </row>
    <row r="278" spans="1:12" x14ac:dyDescent="0.45">
      <c r="A278" s="989"/>
      <c r="B278" s="35" t="s">
        <v>531</v>
      </c>
      <c r="C278" s="35" t="s">
        <v>531</v>
      </c>
      <c r="D278" s="35" t="s">
        <v>661</v>
      </c>
      <c r="E278">
        <v>6987</v>
      </c>
      <c r="F278">
        <v>7127</v>
      </c>
      <c r="G278">
        <v>7626</v>
      </c>
      <c r="H278">
        <v>7931</v>
      </c>
      <c r="I278">
        <v>8248</v>
      </c>
      <c r="J278">
        <v>8248</v>
      </c>
      <c r="K278">
        <v>8248</v>
      </c>
      <c r="L278">
        <v>52.871794871794869</v>
      </c>
    </row>
    <row r="279" spans="1:12" x14ac:dyDescent="0.45">
      <c r="A279" s="989"/>
      <c r="B279" s="35" t="s">
        <v>533</v>
      </c>
      <c r="C279" s="35" t="s">
        <v>533</v>
      </c>
      <c r="D279" s="35" t="s">
        <v>662</v>
      </c>
      <c r="E279">
        <v>7363</v>
      </c>
      <c r="F279">
        <v>7510</v>
      </c>
      <c r="G279">
        <v>8036</v>
      </c>
      <c r="H279">
        <v>8357</v>
      </c>
      <c r="I279">
        <v>8691</v>
      </c>
      <c r="J279">
        <v>8691</v>
      </c>
      <c r="K279">
        <v>8691</v>
      </c>
      <c r="L279">
        <v>55.71153846153846</v>
      </c>
    </row>
    <row r="280" spans="1:12" x14ac:dyDescent="0.45">
      <c r="A280" s="989"/>
      <c r="B280" s="35" t="s">
        <v>535</v>
      </c>
      <c r="C280" s="35" t="s">
        <v>535</v>
      </c>
      <c r="D280" s="35" t="s">
        <v>663</v>
      </c>
      <c r="E280">
        <v>6987</v>
      </c>
      <c r="F280">
        <v>7127</v>
      </c>
      <c r="G280">
        <v>7626</v>
      </c>
      <c r="H280">
        <v>7931</v>
      </c>
      <c r="I280">
        <v>8248</v>
      </c>
      <c r="J280">
        <v>8248</v>
      </c>
      <c r="K280">
        <v>8248</v>
      </c>
      <c r="L280">
        <v>52.871794871794869</v>
      </c>
    </row>
    <row r="281" spans="1:12" x14ac:dyDescent="0.45">
      <c r="A281" s="989"/>
      <c r="B281" s="35" t="s">
        <v>537</v>
      </c>
      <c r="C281" s="35" t="s">
        <v>537</v>
      </c>
      <c r="D281" s="35" t="s">
        <v>664</v>
      </c>
      <c r="E281">
        <v>7363</v>
      </c>
      <c r="F281">
        <v>7510</v>
      </c>
      <c r="G281">
        <v>8036</v>
      </c>
      <c r="H281">
        <v>8357</v>
      </c>
      <c r="I281">
        <v>8691</v>
      </c>
      <c r="J281">
        <v>8691</v>
      </c>
      <c r="K281">
        <v>8691</v>
      </c>
      <c r="L281">
        <v>55.71153846153846</v>
      </c>
    </row>
    <row r="282" spans="1:12" x14ac:dyDescent="0.45">
      <c r="A282" s="989"/>
      <c r="B282" s="35" t="s">
        <v>539</v>
      </c>
      <c r="C282" s="35" t="s">
        <v>539</v>
      </c>
      <c r="D282" s="35" t="s">
        <v>665</v>
      </c>
      <c r="E282">
        <v>7757</v>
      </c>
      <c r="F282">
        <v>7912</v>
      </c>
      <c r="G282">
        <v>8466</v>
      </c>
      <c r="H282">
        <v>8805</v>
      </c>
      <c r="I282">
        <v>9157</v>
      </c>
      <c r="J282">
        <v>9157</v>
      </c>
      <c r="K282">
        <v>9157</v>
      </c>
      <c r="L282">
        <v>58.698717948717949</v>
      </c>
    </row>
    <row r="283" spans="1:12" x14ac:dyDescent="0.45">
      <c r="A283" s="989"/>
      <c r="B283" s="35" t="s">
        <v>541</v>
      </c>
      <c r="C283" s="35" t="s">
        <v>541</v>
      </c>
      <c r="D283" s="35" t="s">
        <v>666</v>
      </c>
      <c r="E283">
        <v>8175</v>
      </c>
      <c r="F283">
        <v>8339</v>
      </c>
      <c r="G283">
        <v>8923</v>
      </c>
      <c r="H283">
        <v>9280</v>
      </c>
      <c r="I283">
        <v>9651</v>
      </c>
      <c r="J283">
        <v>9651</v>
      </c>
      <c r="K283">
        <v>9651</v>
      </c>
      <c r="L283">
        <v>61.865384615384613</v>
      </c>
    </row>
    <row r="284" spans="1:12" x14ac:dyDescent="0.45">
      <c r="A284" s="990"/>
      <c r="B284" s="35" t="s">
        <v>543</v>
      </c>
      <c r="C284" s="35" t="s">
        <v>543</v>
      </c>
      <c r="D284" s="35" t="s">
        <v>667</v>
      </c>
      <c r="E284">
        <v>8614</v>
      </c>
      <c r="F284">
        <v>8786</v>
      </c>
      <c r="G284">
        <v>9401</v>
      </c>
      <c r="H284">
        <v>9777</v>
      </c>
      <c r="I284">
        <v>10168</v>
      </c>
      <c r="J284">
        <v>10168</v>
      </c>
      <c r="K284">
        <v>10168</v>
      </c>
      <c r="L284">
        <v>65.179487179487182</v>
      </c>
    </row>
    <row r="285" spans="1:12" x14ac:dyDescent="0.45">
      <c r="A285" s="988">
        <v>14</v>
      </c>
      <c r="B285" s="35" t="s">
        <v>517</v>
      </c>
      <c r="C285" s="35" t="s">
        <v>517</v>
      </c>
      <c r="D285" s="35" t="s">
        <v>668</v>
      </c>
      <c r="E285">
        <v>4441</v>
      </c>
      <c r="F285">
        <v>4530</v>
      </c>
      <c r="G285">
        <v>4847</v>
      </c>
      <c r="H285">
        <v>5041</v>
      </c>
      <c r="I285">
        <v>5243</v>
      </c>
      <c r="J285">
        <v>5243</v>
      </c>
      <c r="K285">
        <v>5243</v>
      </c>
      <c r="L285">
        <v>33.608974358974358</v>
      </c>
    </row>
    <row r="286" spans="1:12" x14ac:dyDescent="0.45">
      <c r="A286" s="989"/>
      <c r="B286" s="35">
        <v>0</v>
      </c>
      <c r="C286" s="35">
        <v>0</v>
      </c>
      <c r="D286" s="35" t="s">
        <v>129</v>
      </c>
      <c r="E286">
        <v>4509</v>
      </c>
      <c r="F286">
        <v>4599</v>
      </c>
      <c r="G286">
        <v>4921</v>
      </c>
      <c r="H286">
        <v>5118</v>
      </c>
      <c r="I286">
        <v>5323</v>
      </c>
      <c r="J286">
        <v>5323</v>
      </c>
      <c r="K286">
        <v>5323</v>
      </c>
      <c r="L286">
        <v>34.121794871794869</v>
      </c>
    </row>
    <row r="287" spans="1:12" x14ac:dyDescent="0.45">
      <c r="A287" s="989"/>
      <c r="B287" s="35">
        <v>1</v>
      </c>
      <c r="C287" s="35">
        <v>1</v>
      </c>
      <c r="D287" s="35" t="s">
        <v>128</v>
      </c>
      <c r="E287">
        <v>4670</v>
      </c>
      <c r="F287">
        <v>4763</v>
      </c>
      <c r="G287">
        <v>5096</v>
      </c>
      <c r="H287">
        <v>5300</v>
      </c>
      <c r="I287">
        <v>5512</v>
      </c>
      <c r="J287">
        <v>5512</v>
      </c>
      <c r="K287">
        <v>5512</v>
      </c>
      <c r="L287">
        <v>35.333333333333343</v>
      </c>
    </row>
    <row r="288" spans="1:12" x14ac:dyDescent="0.45">
      <c r="A288" s="989"/>
      <c r="B288" s="35">
        <v>2</v>
      </c>
      <c r="C288" s="35">
        <v>2</v>
      </c>
      <c r="D288" s="35" t="s">
        <v>123</v>
      </c>
      <c r="E288">
        <v>4830</v>
      </c>
      <c r="F288">
        <v>4927</v>
      </c>
      <c r="G288">
        <v>5272</v>
      </c>
      <c r="H288">
        <v>5483</v>
      </c>
      <c r="I288">
        <v>5702</v>
      </c>
      <c r="J288">
        <v>5702</v>
      </c>
      <c r="K288">
        <v>5702</v>
      </c>
      <c r="L288">
        <v>36.551282051282051</v>
      </c>
    </row>
    <row r="289" spans="1:12" x14ac:dyDescent="0.45">
      <c r="A289" s="989"/>
      <c r="B289" s="35">
        <v>3</v>
      </c>
      <c r="C289" s="35">
        <v>3</v>
      </c>
      <c r="D289" s="35" t="s">
        <v>122</v>
      </c>
      <c r="E289">
        <v>5003</v>
      </c>
      <c r="F289">
        <v>5103</v>
      </c>
      <c r="G289">
        <v>5460</v>
      </c>
      <c r="H289">
        <v>5678</v>
      </c>
      <c r="I289">
        <v>5905</v>
      </c>
      <c r="J289">
        <v>5905</v>
      </c>
      <c r="K289">
        <v>5905</v>
      </c>
      <c r="L289">
        <v>37.852564102564102</v>
      </c>
    </row>
    <row r="290" spans="1:12" x14ac:dyDescent="0.45">
      <c r="A290" s="989"/>
      <c r="B290" s="35">
        <v>4</v>
      </c>
      <c r="C290" s="35">
        <v>4</v>
      </c>
      <c r="D290" s="35" t="s">
        <v>121</v>
      </c>
      <c r="E290">
        <v>5174</v>
      </c>
      <c r="F290">
        <v>5277</v>
      </c>
      <c r="G290">
        <v>5646</v>
      </c>
      <c r="H290">
        <v>5872</v>
      </c>
      <c r="I290">
        <v>6107</v>
      </c>
      <c r="J290">
        <v>6107</v>
      </c>
      <c r="K290">
        <v>6107</v>
      </c>
      <c r="L290">
        <v>39.147435897435898</v>
      </c>
    </row>
    <row r="291" spans="1:12" x14ac:dyDescent="0.45">
      <c r="A291" s="989"/>
      <c r="B291" s="35">
        <v>5</v>
      </c>
      <c r="C291" s="35">
        <v>5</v>
      </c>
      <c r="D291" s="35" t="s">
        <v>120</v>
      </c>
      <c r="E291">
        <v>5356</v>
      </c>
      <c r="F291">
        <v>5463</v>
      </c>
      <c r="G291">
        <v>5845</v>
      </c>
      <c r="H291">
        <v>6079</v>
      </c>
      <c r="I291">
        <v>6322</v>
      </c>
      <c r="J291">
        <v>6322</v>
      </c>
      <c r="K291">
        <v>6322</v>
      </c>
      <c r="L291">
        <v>40.525641025641029</v>
      </c>
    </row>
    <row r="292" spans="1:12" x14ac:dyDescent="0.45">
      <c r="A292" s="989"/>
      <c r="B292" s="35">
        <v>6</v>
      </c>
      <c r="C292" s="35">
        <v>6</v>
      </c>
      <c r="D292" s="35" t="s">
        <v>119</v>
      </c>
      <c r="E292">
        <v>5548</v>
      </c>
      <c r="F292">
        <v>5659</v>
      </c>
      <c r="G292">
        <v>6055</v>
      </c>
      <c r="H292">
        <v>6297</v>
      </c>
      <c r="I292">
        <v>6549</v>
      </c>
      <c r="J292">
        <v>6549</v>
      </c>
      <c r="K292">
        <v>6549</v>
      </c>
      <c r="L292">
        <v>41.980769230769234</v>
      </c>
    </row>
    <row r="293" spans="1:12" x14ac:dyDescent="0.45">
      <c r="A293" s="989"/>
      <c r="B293" s="35">
        <v>7</v>
      </c>
      <c r="C293" s="35">
        <v>7</v>
      </c>
      <c r="D293" s="35" t="s">
        <v>118</v>
      </c>
      <c r="E293">
        <v>5743</v>
      </c>
      <c r="F293">
        <v>5858</v>
      </c>
      <c r="G293">
        <v>6268</v>
      </c>
      <c r="H293">
        <v>6519</v>
      </c>
      <c r="I293">
        <v>6780</v>
      </c>
      <c r="J293">
        <v>6780</v>
      </c>
      <c r="K293">
        <v>6780</v>
      </c>
      <c r="L293">
        <v>43.46153846153846</v>
      </c>
    </row>
    <row r="294" spans="1:12" x14ac:dyDescent="0.45">
      <c r="A294" s="989"/>
      <c r="B294" s="35">
        <v>8</v>
      </c>
      <c r="C294" s="35">
        <v>8</v>
      </c>
      <c r="D294" s="35" t="s">
        <v>117</v>
      </c>
      <c r="E294">
        <v>5946</v>
      </c>
      <c r="F294">
        <v>6065</v>
      </c>
      <c r="G294">
        <v>6490</v>
      </c>
      <c r="H294">
        <v>6750</v>
      </c>
      <c r="I294">
        <v>7020</v>
      </c>
      <c r="J294">
        <v>7020</v>
      </c>
      <c r="K294">
        <v>7020</v>
      </c>
      <c r="L294">
        <v>45</v>
      </c>
    </row>
    <row r="295" spans="1:12" x14ac:dyDescent="0.45">
      <c r="A295" s="989"/>
      <c r="B295" s="35">
        <v>9</v>
      </c>
      <c r="C295" s="35">
        <v>9</v>
      </c>
      <c r="D295" s="35" t="s">
        <v>116</v>
      </c>
      <c r="E295">
        <v>6165</v>
      </c>
      <c r="F295">
        <v>6288</v>
      </c>
      <c r="G295">
        <v>6728</v>
      </c>
      <c r="H295">
        <v>6997</v>
      </c>
      <c r="I295">
        <v>7277</v>
      </c>
      <c r="J295">
        <v>7277</v>
      </c>
      <c r="K295">
        <v>7277</v>
      </c>
      <c r="L295">
        <v>46.647435897435898</v>
      </c>
    </row>
    <row r="296" spans="1:12" x14ac:dyDescent="0.45">
      <c r="A296" s="989"/>
      <c r="B296" s="35">
        <v>10</v>
      </c>
      <c r="C296" s="35">
        <v>10</v>
      </c>
      <c r="D296" s="35" t="s">
        <v>127</v>
      </c>
      <c r="E296">
        <v>6391</v>
      </c>
      <c r="F296">
        <v>6519</v>
      </c>
      <c r="G296">
        <v>6975</v>
      </c>
      <c r="H296">
        <v>7254</v>
      </c>
      <c r="I296">
        <v>7544</v>
      </c>
      <c r="J296">
        <v>7544</v>
      </c>
      <c r="K296">
        <v>7544</v>
      </c>
      <c r="L296">
        <v>48.358974358974358</v>
      </c>
    </row>
    <row r="297" spans="1:12" x14ac:dyDescent="0.45">
      <c r="A297" s="989"/>
      <c r="B297" s="35">
        <v>11</v>
      </c>
      <c r="C297" s="35">
        <v>11</v>
      </c>
      <c r="D297" s="35" t="s">
        <v>126</v>
      </c>
      <c r="E297">
        <v>6628</v>
      </c>
      <c r="F297">
        <v>6761</v>
      </c>
      <c r="G297">
        <v>7234</v>
      </c>
      <c r="H297">
        <v>7523</v>
      </c>
      <c r="I297">
        <v>7824</v>
      </c>
      <c r="J297">
        <v>7824</v>
      </c>
      <c r="K297">
        <v>7824</v>
      </c>
      <c r="L297">
        <v>50.153846153846153</v>
      </c>
    </row>
    <row r="298" spans="1:12" x14ac:dyDescent="0.45">
      <c r="A298" s="989"/>
      <c r="B298" s="35">
        <v>12</v>
      </c>
      <c r="C298" s="35">
        <v>12</v>
      </c>
      <c r="D298" s="35" t="s">
        <v>125</v>
      </c>
      <c r="E298">
        <v>6987</v>
      </c>
      <c r="F298">
        <v>7127</v>
      </c>
      <c r="G298">
        <v>7626</v>
      </c>
      <c r="H298">
        <v>7931</v>
      </c>
      <c r="I298">
        <v>8248</v>
      </c>
      <c r="J298">
        <v>8248</v>
      </c>
      <c r="K298">
        <v>8248</v>
      </c>
      <c r="L298">
        <v>52.871794871794869</v>
      </c>
    </row>
    <row r="299" spans="1:12" x14ac:dyDescent="0.45">
      <c r="A299" s="989"/>
      <c r="B299" s="35">
        <v>13</v>
      </c>
      <c r="C299" s="35">
        <v>13</v>
      </c>
      <c r="D299" s="35" t="s">
        <v>124</v>
      </c>
      <c r="E299">
        <v>7363</v>
      </c>
      <c r="F299">
        <v>7510</v>
      </c>
      <c r="G299">
        <v>8036</v>
      </c>
      <c r="H299">
        <v>8357</v>
      </c>
      <c r="I299">
        <v>8691</v>
      </c>
      <c r="J299">
        <v>8691</v>
      </c>
      <c r="K299">
        <v>8691</v>
      </c>
      <c r="L299">
        <v>55.71153846153846</v>
      </c>
    </row>
    <row r="300" spans="1:12" x14ac:dyDescent="0.45">
      <c r="A300" s="989"/>
      <c r="B300" s="35" t="s">
        <v>531</v>
      </c>
      <c r="C300" s="35" t="s">
        <v>531</v>
      </c>
      <c r="D300" s="35" t="s">
        <v>669</v>
      </c>
      <c r="E300">
        <v>7757</v>
      </c>
      <c r="F300">
        <v>7912</v>
      </c>
      <c r="G300">
        <v>8466</v>
      </c>
      <c r="H300">
        <v>8805</v>
      </c>
      <c r="I300">
        <v>9157</v>
      </c>
      <c r="J300">
        <v>9157</v>
      </c>
      <c r="K300">
        <v>9157</v>
      </c>
      <c r="L300">
        <v>58.698717948717949</v>
      </c>
    </row>
    <row r="301" spans="1:12" x14ac:dyDescent="0.45">
      <c r="A301" s="989"/>
      <c r="B301" s="35" t="s">
        <v>533</v>
      </c>
      <c r="C301" s="35" t="s">
        <v>533</v>
      </c>
      <c r="D301" s="35" t="s">
        <v>670</v>
      </c>
      <c r="E301">
        <v>8175</v>
      </c>
      <c r="F301">
        <v>8339</v>
      </c>
      <c r="G301">
        <v>8923</v>
      </c>
      <c r="H301">
        <v>9280</v>
      </c>
      <c r="I301">
        <v>9651</v>
      </c>
      <c r="J301">
        <v>9651</v>
      </c>
      <c r="K301">
        <v>9651</v>
      </c>
      <c r="L301">
        <v>61.865384615384613</v>
      </c>
    </row>
    <row r="302" spans="1:12" x14ac:dyDescent="0.45">
      <c r="A302" s="989"/>
      <c r="B302" s="35" t="s">
        <v>535</v>
      </c>
      <c r="C302" s="35" t="s">
        <v>535</v>
      </c>
      <c r="D302" s="35" t="s">
        <v>671</v>
      </c>
      <c r="E302">
        <v>7757</v>
      </c>
      <c r="F302">
        <v>7912</v>
      </c>
      <c r="G302">
        <v>8466</v>
      </c>
      <c r="H302">
        <v>8805</v>
      </c>
      <c r="I302">
        <v>9157</v>
      </c>
      <c r="J302">
        <v>9157</v>
      </c>
      <c r="K302">
        <v>9157</v>
      </c>
      <c r="L302">
        <v>58.698717948717949</v>
      </c>
    </row>
    <row r="303" spans="1:12" x14ac:dyDescent="0.45">
      <c r="A303" s="989"/>
      <c r="B303" s="35" t="s">
        <v>537</v>
      </c>
      <c r="C303" s="35" t="s">
        <v>537</v>
      </c>
      <c r="D303" s="35" t="s">
        <v>672</v>
      </c>
      <c r="E303">
        <v>8175</v>
      </c>
      <c r="F303">
        <v>8339</v>
      </c>
      <c r="G303">
        <v>8923</v>
      </c>
      <c r="H303">
        <v>9280</v>
      </c>
      <c r="I303">
        <v>9651</v>
      </c>
      <c r="J303">
        <v>9651</v>
      </c>
      <c r="K303">
        <v>9651</v>
      </c>
      <c r="L303">
        <v>61.865384615384613</v>
      </c>
    </row>
    <row r="304" spans="1:12" x14ac:dyDescent="0.45">
      <c r="A304" s="989"/>
      <c r="B304" s="35" t="s">
        <v>539</v>
      </c>
      <c r="C304" s="35" t="s">
        <v>539</v>
      </c>
      <c r="D304" s="35" t="s">
        <v>673</v>
      </c>
      <c r="E304">
        <v>8614</v>
      </c>
      <c r="F304">
        <v>8786</v>
      </c>
      <c r="G304">
        <v>9401</v>
      </c>
      <c r="H304">
        <v>9777</v>
      </c>
      <c r="I304">
        <v>10168</v>
      </c>
      <c r="J304">
        <v>10168</v>
      </c>
      <c r="K304">
        <v>10168</v>
      </c>
      <c r="L304">
        <v>65.179487179487182</v>
      </c>
    </row>
    <row r="305" spans="1:12" x14ac:dyDescent="0.45">
      <c r="A305" s="989"/>
      <c r="B305" s="35" t="s">
        <v>541</v>
      </c>
      <c r="C305" s="35" t="s">
        <v>541</v>
      </c>
      <c r="D305" s="35" t="s">
        <v>674</v>
      </c>
      <c r="E305">
        <v>9077</v>
      </c>
      <c r="F305">
        <v>9259</v>
      </c>
      <c r="G305">
        <v>9907</v>
      </c>
      <c r="H305">
        <v>10303</v>
      </c>
      <c r="I305">
        <v>10715</v>
      </c>
      <c r="J305">
        <v>10715</v>
      </c>
      <c r="K305">
        <v>10715</v>
      </c>
      <c r="L305">
        <v>68.685897435897431</v>
      </c>
    </row>
    <row r="306" spans="1:12" x14ac:dyDescent="0.45">
      <c r="A306" s="990"/>
      <c r="B306" s="35" t="s">
        <v>543</v>
      </c>
      <c r="C306" s="35" t="s">
        <v>543</v>
      </c>
      <c r="D306" s="35" t="s">
        <v>675</v>
      </c>
      <c r="E306">
        <v>9568</v>
      </c>
      <c r="F306">
        <v>9759</v>
      </c>
      <c r="G306">
        <v>10442</v>
      </c>
      <c r="H306">
        <v>10860</v>
      </c>
      <c r="I306">
        <v>11294</v>
      </c>
      <c r="J306">
        <v>11294</v>
      </c>
      <c r="K306">
        <v>11294</v>
      </c>
      <c r="L306">
        <v>72.397435897435898</v>
      </c>
    </row>
    <row r="307" spans="1:12" x14ac:dyDescent="0.45">
      <c r="A307" s="988">
        <v>15</v>
      </c>
      <c r="B307" s="35" t="s">
        <v>517</v>
      </c>
      <c r="C307" s="35" t="s">
        <v>517</v>
      </c>
      <c r="D307" s="35" t="s">
        <v>676</v>
      </c>
      <c r="E307">
        <v>4758</v>
      </c>
      <c r="F307">
        <v>4853</v>
      </c>
      <c r="G307">
        <v>5193</v>
      </c>
      <c r="H307">
        <v>5401</v>
      </c>
      <c r="I307">
        <v>5617</v>
      </c>
      <c r="J307">
        <v>5617</v>
      </c>
      <c r="K307">
        <v>5617</v>
      </c>
      <c r="L307">
        <v>36.006410256410263</v>
      </c>
    </row>
    <row r="308" spans="1:12" x14ac:dyDescent="0.45">
      <c r="A308" s="989"/>
      <c r="B308" s="35">
        <v>0</v>
      </c>
      <c r="C308" s="35">
        <v>0</v>
      </c>
      <c r="D308" s="35" t="s">
        <v>112</v>
      </c>
      <c r="E308">
        <v>4830</v>
      </c>
      <c r="F308">
        <v>4927</v>
      </c>
      <c r="G308">
        <v>5272</v>
      </c>
      <c r="H308">
        <v>5483</v>
      </c>
      <c r="I308">
        <v>5702</v>
      </c>
      <c r="J308">
        <v>5702</v>
      </c>
      <c r="K308">
        <v>5702</v>
      </c>
      <c r="L308">
        <v>36.551282051282051</v>
      </c>
    </row>
    <row r="309" spans="1:12" x14ac:dyDescent="0.45">
      <c r="A309" s="989"/>
      <c r="B309" s="35">
        <v>1</v>
      </c>
      <c r="C309" s="35">
        <v>1</v>
      </c>
      <c r="D309" s="35" t="s">
        <v>110</v>
      </c>
      <c r="E309">
        <v>5003</v>
      </c>
      <c r="F309">
        <v>5103</v>
      </c>
      <c r="G309">
        <v>5460</v>
      </c>
      <c r="H309">
        <v>5678</v>
      </c>
      <c r="I309">
        <v>5905</v>
      </c>
      <c r="J309">
        <v>5905</v>
      </c>
      <c r="K309">
        <v>5905</v>
      </c>
      <c r="L309">
        <v>37.852564102564102</v>
      </c>
    </row>
    <row r="310" spans="1:12" x14ac:dyDescent="0.45">
      <c r="A310" s="989"/>
      <c r="B310" s="35">
        <v>2</v>
      </c>
      <c r="C310" s="35">
        <v>2</v>
      </c>
      <c r="D310" s="35" t="s">
        <v>100</v>
      </c>
      <c r="E310">
        <v>5174</v>
      </c>
      <c r="F310">
        <v>5277</v>
      </c>
      <c r="G310">
        <v>5646</v>
      </c>
      <c r="H310">
        <v>5872</v>
      </c>
      <c r="I310">
        <v>6107</v>
      </c>
      <c r="J310">
        <v>6107</v>
      </c>
      <c r="K310">
        <v>6107</v>
      </c>
      <c r="L310">
        <v>39.147435897435898</v>
      </c>
    </row>
    <row r="311" spans="1:12" x14ac:dyDescent="0.45">
      <c r="A311" s="989"/>
      <c r="B311" s="35">
        <v>3</v>
      </c>
      <c r="C311" s="35">
        <v>3</v>
      </c>
      <c r="D311" s="35" t="s">
        <v>98</v>
      </c>
      <c r="E311">
        <v>5356</v>
      </c>
      <c r="F311">
        <v>5463</v>
      </c>
      <c r="G311">
        <v>5845</v>
      </c>
      <c r="H311">
        <v>6079</v>
      </c>
      <c r="I311">
        <v>6322</v>
      </c>
      <c r="J311">
        <v>6322</v>
      </c>
      <c r="K311">
        <v>6322</v>
      </c>
      <c r="L311">
        <v>40.525641025641029</v>
      </c>
    </row>
    <row r="312" spans="1:12" x14ac:dyDescent="0.45">
      <c r="A312" s="989"/>
      <c r="B312" s="35">
        <v>4</v>
      </c>
      <c r="C312" s="35">
        <v>4</v>
      </c>
      <c r="D312" s="35" t="s">
        <v>96</v>
      </c>
      <c r="E312">
        <v>5548</v>
      </c>
      <c r="F312">
        <v>5659</v>
      </c>
      <c r="G312">
        <v>6055</v>
      </c>
      <c r="H312">
        <v>6297</v>
      </c>
      <c r="I312">
        <v>6549</v>
      </c>
      <c r="J312">
        <v>6549</v>
      </c>
      <c r="K312">
        <v>6549</v>
      </c>
      <c r="L312">
        <v>41.980769230769234</v>
      </c>
    </row>
    <row r="313" spans="1:12" x14ac:dyDescent="0.45">
      <c r="A313" s="989"/>
      <c r="B313" s="35">
        <v>5</v>
      </c>
      <c r="C313" s="35">
        <v>5</v>
      </c>
      <c r="D313" s="35" t="s">
        <v>94</v>
      </c>
      <c r="E313">
        <v>5743</v>
      </c>
      <c r="F313">
        <v>5858</v>
      </c>
      <c r="G313">
        <v>6268</v>
      </c>
      <c r="H313">
        <v>6519</v>
      </c>
      <c r="I313">
        <v>6780</v>
      </c>
      <c r="J313">
        <v>6780</v>
      </c>
      <c r="K313">
        <v>6780</v>
      </c>
      <c r="L313">
        <v>43.46153846153846</v>
      </c>
    </row>
    <row r="314" spans="1:12" x14ac:dyDescent="0.45">
      <c r="A314" s="989"/>
      <c r="B314" s="35">
        <v>6</v>
      </c>
      <c r="C314" s="35">
        <v>6</v>
      </c>
      <c r="D314" s="35" t="s">
        <v>92</v>
      </c>
      <c r="E314">
        <v>5946</v>
      </c>
      <c r="F314">
        <v>6065</v>
      </c>
      <c r="G314">
        <v>6490</v>
      </c>
      <c r="H314">
        <v>6750</v>
      </c>
      <c r="I314">
        <v>7020</v>
      </c>
      <c r="J314">
        <v>7020</v>
      </c>
      <c r="K314">
        <v>7020</v>
      </c>
      <c r="L314">
        <v>45</v>
      </c>
    </row>
    <row r="315" spans="1:12" x14ac:dyDescent="0.45">
      <c r="A315" s="989"/>
      <c r="B315" s="35">
        <v>7</v>
      </c>
      <c r="C315" s="35">
        <v>7</v>
      </c>
      <c r="D315" s="35" t="s">
        <v>90</v>
      </c>
      <c r="E315">
        <v>6165</v>
      </c>
      <c r="F315">
        <v>6288</v>
      </c>
      <c r="G315">
        <v>6728</v>
      </c>
      <c r="H315">
        <v>6997</v>
      </c>
      <c r="I315">
        <v>7277</v>
      </c>
      <c r="J315">
        <v>7277</v>
      </c>
      <c r="K315">
        <v>7277</v>
      </c>
      <c r="L315">
        <v>46.647435897435898</v>
      </c>
    </row>
    <row r="316" spans="1:12" x14ac:dyDescent="0.45">
      <c r="A316" s="989"/>
      <c r="B316" s="35">
        <v>8</v>
      </c>
      <c r="C316" s="35">
        <v>8</v>
      </c>
      <c r="D316" s="35" t="s">
        <v>88</v>
      </c>
      <c r="E316">
        <v>6391</v>
      </c>
      <c r="F316">
        <v>6519</v>
      </c>
      <c r="G316">
        <v>6975</v>
      </c>
      <c r="H316">
        <v>7254</v>
      </c>
      <c r="I316">
        <v>7544</v>
      </c>
      <c r="J316">
        <v>7544</v>
      </c>
      <c r="K316">
        <v>7544</v>
      </c>
      <c r="L316">
        <v>48.358974358974358</v>
      </c>
    </row>
    <row r="317" spans="1:12" x14ac:dyDescent="0.45">
      <c r="A317" s="989"/>
      <c r="B317" s="35">
        <v>9</v>
      </c>
      <c r="C317" s="35">
        <v>9</v>
      </c>
      <c r="D317" s="35" t="s">
        <v>86</v>
      </c>
      <c r="E317">
        <v>6628</v>
      </c>
      <c r="F317">
        <v>6761</v>
      </c>
      <c r="G317">
        <v>7234</v>
      </c>
      <c r="H317">
        <v>7523</v>
      </c>
      <c r="I317">
        <v>7824</v>
      </c>
      <c r="J317">
        <v>7824</v>
      </c>
      <c r="K317">
        <v>7824</v>
      </c>
      <c r="L317">
        <v>50.153846153846153</v>
      </c>
    </row>
    <row r="318" spans="1:12" x14ac:dyDescent="0.45">
      <c r="A318" s="989"/>
      <c r="B318" s="35">
        <v>10</v>
      </c>
      <c r="C318" s="35">
        <v>10</v>
      </c>
      <c r="D318" s="35" t="s">
        <v>108</v>
      </c>
      <c r="E318">
        <v>6987</v>
      </c>
      <c r="F318">
        <v>7127</v>
      </c>
      <c r="G318">
        <v>7626</v>
      </c>
      <c r="H318">
        <v>7931</v>
      </c>
      <c r="I318">
        <v>8248</v>
      </c>
      <c r="J318">
        <v>8248</v>
      </c>
      <c r="K318">
        <v>8248</v>
      </c>
      <c r="L318">
        <v>52.871794871794869</v>
      </c>
    </row>
    <row r="319" spans="1:12" x14ac:dyDescent="0.45">
      <c r="A319" s="989"/>
      <c r="B319" s="35">
        <v>11</v>
      </c>
      <c r="C319" s="35">
        <v>11</v>
      </c>
      <c r="D319" s="35" t="s">
        <v>106</v>
      </c>
      <c r="E319">
        <v>7363</v>
      </c>
      <c r="F319">
        <v>7510</v>
      </c>
      <c r="G319">
        <v>8036</v>
      </c>
      <c r="H319">
        <v>8357</v>
      </c>
      <c r="I319">
        <v>8691</v>
      </c>
      <c r="J319">
        <v>8691</v>
      </c>
      <c r="K319">
        <v>8691</v>
      </c>
      <c r="L319">
        <v>55.71153846153846</v>
      </c>
    </row>
    <row r="320" spans="1:12" x14ac:dyDescent="0.45">
      <c r="A320" s="989"/>
      <c r="B320" s="35">
        <v>12</v>
      </c>
      <c r="C320" s="35">
        <v>12</v>
      </c>
      <c r="D320" s="35" t="s">
        <v>104</v>
      </c>
      <c r="E320">
        <v>7757</v>
      </c>
      <c r="F320">
        <v>7912</v>
      </c>
      <c r="G320">
        <v>8466</v>
      </c>
      <c r="H320">
        <v>8805</v>
      </c>
      <c r="I320">
        <v>9157</v>
      </c>
      <c r="J320">
        <v>9157</v>
      </c>
      <c r="K320">
        <v>9157</v>
      </c>
      <c r="L320">
        <v>58.698717948717949</v>
      </c>
    </row>
    <row r="321" spans="1:12" x14ac:dyDescent="0.45">
      <c r="A321" s="989"/>
      <c r="B321" s="35">
        <v>13</v>
      </c>
      <c r="C321" s="35">
        <v>13</v>
      </c>
      <c r="D321" s="35" t="s">
        <v>102</v>
      </c>
      <c r="E321">
        <v>8175</v>
      </c>
      <c r="F321">
        <v>8339</v>
      </c>
      <c r="G321">
        <v>8923</v>
      </c>
      <c r="H321">
        <v>9280</v>
      </c>
      <c r="I321">
        <v>9651</v>
      </c>
      <c r="J321">
        <v>9651</v>
      </c>
      <c r="K321">
        <v>9651</v>
      </c>
      <c r="L321">
        <v>61.865384615384613</v>
      </c>
    </row>
    <row r="322" spans="1:12" x14ac:dyDescent="0.45">
      <c r="A322" s="989"/>
      <c r="B322" s="35" t="s">
        <v>531</v>
      </c>
      <c r="C322" s="35" t="s">
        <v>531</v>
      </c>
      <c r="D322" s="35" t="s">
        <v>677</v>
      </c>
      <c r="E322">
        <v>8614</v>
      </c>
      <c r="F322">
        <v>8786</v>
      </c>
      <c r="G322">
        <v>9401</v>
      </c>
      <c r="H322">
        <v>9777</v>
      </c>
      <c r="I322">
        <v>10168</v>
      </c>
      <c r="J322">
        <v>10168</v>
      </c>
      <c r="K322">
        <v>10168</v>
      </c>
      <c r="L322">
        <v>65.179487179487182</v>
      </c>
    </row>
    <row r="323" spans="1:12" x14ac:dyDescent="0.45">
      <c r="A323" s="989"/>
      <c r="B323" s="35" t="s">
        <v>533</v>
      </c>
      <c r="C323" s="35" t="s">
        <v>533</v>
      </c>
      <c r="D323" s="35" t="s">
        <v>678</v>
      </c>
      <c r="E323">
        <v>9077</v>
      </c>
      <c r="F323">
        <v>9259</v>
      </c>
      <c r="G323">
        <v>9907</v>
      </c>
      <c r="H323">
        <v>10303</v>
      </c>
      <c r="I323">
        <v>10715</v>
      </c>
      <c r="J323">
        <v>10715</v>
      </c>
      <c r="K323">
        <v>10715</v>
      </c>
      <c r="L323">
        <v>68.685897435897431</v>
      </c>
    </row>
    <row r="324" spans="1:12" x14ac:dyDescent="0.45">
      <c r="A324" s="989"/>
      <c r="B324" s="35" t="s">
        <v>535</v>
      </c>
      <c r="C324" s="35" t="s">
        <v>535</v>
      </c>
      <c r="D324" s="35" t="s">
        <v>679</v>
      </c>
      <c r="E324">
        <v>8614</v>
      </c>
      <c r="F324">
        <v>8786</v>
      </c>
      <c r="G324">
        <v>9401</v>
      </c>
      <c r="H324">
        <v>9777</v>
      </c>
      <c r="I324">
        <v>10168</v>
      </c>
      <c r="J324">
        <v>10168</v>
      </c>
      <c r="K324">
        <v>10168</v>
      </c>
      <c r="L324">
        <v>65.179487179487182</v>
      </c>
    </row>
    <row r="325" spans="1:12" x14ac:dyDescent="0.45">
      <c r="A325" s="989"/>
      <c r="B325" s="35" t="s">
        <v>537</v>
      </c>
      <c r="C325" s="35" t="s">
        <v>537</v>
      </c>
      <c r="D325" s="35" t="s">
        <v>680</v>
      </c>
      <c r="E325">
        <v>9077</v>
      </c>
      <c r="F325">
        <v>9259</v>
      </c>
      <c r="G325">
        <v>9907</v>
      </c>
      <c r="H325">
        <v>10303</v>
      </c>
      <c r="I325">
        <v>10715</v>
      </c>
      <c r="J325">
        <v>10715</v>
      </c>
      <c r="K325">
        <v>10715</v>
      </c>
      <c r="L325">
        <v>68.685897435897431</v>
      </c>
    </row>
    <row r="326" spans="1:12" x14ac:dyDescent="0.45">
      <c r="A326" s="989"/>
      <c r="B326" s="35" t="s">
        <v>539</v>
      </c>
      <c r="C326" s="35" t="s">
        <v>539</v>
      </c>
      <c r="D326" s="35" t="s">
        <v>681</v>
      </c>
      <c r="E326">
        <v>9568</v>
      </c>
      <c r="F326">
        <v>9759</v>
      </c>
      <c r="G326">
        <v>10442</v>
      </c>
      <c r="H326">
        <v>10860</v>
      </c>
      <c r="I326">
        <v>11294</v>
      </c>
      <c r="J326">
        <v>11294</v>
      </c>
      <c r="K326">
        <v>11294</v>
      </c>
      <c r="L326">
        <v>72.397435897435898</v>
      </c>
    </row>
    <row r="327" spans="1:12" x14ac:dyDescent="0.45">
      <c r="A327" s="989"/>
      <c r="B327" s="35" t="s">
        <v>541</v>
      </c>
      <c r="C327" s="35" t="s">
        <v>541</v>
      </c>
      <c r="D327" s="35" t="s">
        <v>682</v>
      </c>
      <c r="E327">
        <v>10083</v>
      </c>
      <c r="F327">
        <v>10285</v>
      </c>
      <c r="G327">
        <v>11005</v>
      </c>
      <c r="H327">
        <v>11445</v>
      </c>
      <c r="I327">
        <v>11903</v>
      </c>
      <c r="J327">
        <v>11903</v>
      </c>
      <c r="K327">
        <v>11903</v>
      </c>
      <c r="L327">
        <v>76.301282051282058</v>
      </c>
    </row>
    <row r="328" spans="1:12" x14ac:dyDescent="0.45">
      <c r="A328" s="990"/>
      <c r="B328" s="35" t="s">
        <v>543</v>
      </c>
      <c r="C328" s="35" t="s">
        <v>543</v>
      </c>
      <c r="D328" s="35" t="s">
        <v>683</v>
      </c>
      <c r="E328">
        <v>10625</v>
      </c>
      <c r="F328">
        <v>10838</v>
      </c>
      <c r="G328">
        <v>11597</v>
      </c>
      <c r="H328">
        <v>12061</v>
      </c>
      <c r="I328">
        <v>12543</v>
      </c>
      <c r="J328">
        <v>12543</v>
      </c>
      <c r="K328">
        <v>12543</v>
      </c>
      <c r="L328">
        <v>80.40384615384616</v>
      </c>
    </row>
  </sheetData>
  <mergeCells count="15">
    <mergeCell ref="A263:A284"/>
    <mergeCell ref="A285:A306"/>
    <mergeCell ref="A307:A328"/>
    <mergeCell ref="A131:A152"/>
    <mergeCell ref="A153:A174"/>
    <mergeCell ref="A175:A196"/>
    <mergeCell ref="A197:A218"/>
    <mergeCell ref="A219:A240"/>
    <mergeCell ref="A241:A262"/>
    <mergeCell ref="A109:A130"/>
    <mergeCell ref="A2:A21"/>
    <mergeCell ref="A22:A42"/>
    <mergeCell ref="A43:A64"/>
    <mergeCell ref="A65:A86"/>
    <mergeCell ref="A87:A10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1"/>
  </sheetPr>
  <dimension ref="A1:AD330"/>
  <sheetViews>
    <sheetView zoomScale="70" zoomScaleNormal="70" workbookViewId="0">
      <selection activeCell="L4" sqref="L4"/>
    </sheetView>
  </sheetViews>
  <sheetFormatPr defaultRowHeight="14.25" x14ac:dyDescent="0.45"/>
  <cols>
    <col min="5" max="5" width="10.46484375" bestFit="1" customWidth="1"/>
    <col min="6" max="6" width="9.46484375" bestFit="1" customWidth="1"/>
    <col min="7" max="7" width="10.46484375" bestFit="1" customWidth="1"/>
    <col min="8" max="8" width="9.46484375" bestFit="1" customWidth="1"/>
    <col min="9" max="9" width="10.46484375" bestFit="1" customWidth="1"/>
    <col min="10" max="10" width="8.796875" bestFit="1" customWidth="1"/>
  </cols>
  <sheetData>
    <row r="1" spans="1:30" x14ac:dyDescent="0.45">
      <c r="A1" t="s">
        <v>1227</v>
      </c>
      <c r="E1" s="362">
        <f t="shared" ref="E1:J1" si="0">IF(F2&lt;&gt;"", F2-1, DATE(2030,1,1))</f>
        <v>44926</v>
      </c>
      <c r="F1" s="362">
        <f t="shared" si="0"/>
        <v>45107</v>
      </c>
      <c r="G1" s="362">
        <f t="shared" si="0"/>
        <v>45291</v>
      </c>
      <c r="H1" s="362">
        <f t="shared" si="0"/>
        <v>45473</v>
      </c>
      <c r="I1" s="362">
        <f t="shared" si="0"/>
        <v>45657</v>
      </c>
      <c r="J1" s="362">
        <f t="shared" si="0"/>
        <v>47484</v>
      </c>
    </row>
    <row r="2" spans="1:30" x14ac:dyDescent="0.45">
      <c r="A2" t="s">
        <v>1228</v>
      </c>
      <c r="E2" s="362">
        <v>44562</v>
      </c>
      <c r="F2" s="362">
        <v>44927</v>
      </c>
      <c r="G2" s="362">
        <v>45108</v>
      </c>
      <c r="H2" s="362">
        <v>45292</v>
      </c>
      <c r="I2" s="362">
        <v>45474</v>
      </c>
      <c r="J2" s="362">
        <v>45658</v>
      </c>
    </row>
    <row r="3" spans="1:30" x14ac:dyDescent="0.45">
      <c r="A3" s="35" t="s">
        <v>28</v>
      </c>
      <c r="B3" s="35" t="s">
        <v>508</v>
      </c>
      <c r="C3" s="35" t="s">
        <v>292</v>
      </c>
      <c r="D3" s="35" t="s">
        <v>290</v>
      </c>
      <c r="E3" s="35" t="s">
        <v>509</v>
      </c>
      <c r="F3" s="35" t="s">
        <v>510</v>
      </c>
      <c r="G3" s="35" t="s">
        <v>511</v>
      </c>
      <c r="H3" s="35" t="s">
        <v>512</v>
      </c>
      <c r="I3" s="35" t="s">
        <v>513</v>
      </c>
      <c r="J3" s="35" t="s">
        <v>514</v>
      </c>
      <c r="L3" s="5" t="s">
        <v>1229</v>
      </c>
      <c r="AA3" s="5"/>
      <c r="AB3" s="5"/>
      <c r="AC3" s="5"/>
      <c r="AD3" s="5"/>
    </row>
    <row r="4" spans="1:30" x14ac:dyDescent="0.45">
      <c r="A4" s="988">
        <v>1</v>
      </c>
      <c r="B4" s="35" t="s">
        <v>517</v>
      </c>
      <c r="C4" s="35" t="s">
        <v>517</v>
      </c>
      <c r="D4" s="35" t="s">
        <v>518</v>
      </c>
      <c r="E4">
        <v>1830</v>
      </c>
      <c r="F4">
        <v>1867</v>
      </c>
      <c r="G4">
        <v>1998</v>
      </c>
      <c r="H4">
        <v>2184</v>
      </c>
      <c r="I4">
        <v>2184</v>
      </c>
      <c r="J4">
        <v>2201</v>
      </c>
      <c r="L4">
        <f>IF(
    OR(
        AND(MAX(0, MIN($E$1, DATE(Initialisatie!$C$5,12,31)) - MAX($E$2, DATE(Initialisatie!$C$5,1,1)) + 1) &gt; 0, IFERROR(VALUE($E4),0)=0),
        AND(MAX(0, MIN($F$1, DATE(Initialisatie!$C$5,12,31)) - MAX($F$2, DATE(Initialisatie!$C$5,1,1)) + 1) &gt; 0, IFERROR(VALUE($F4),0)=0),
        AND(MAX(0, MIN($G$1, DATE(Initialisatie!$C$5,12,31)) - MAX($G$2, DATE(Initialisatie!$C$5,1,1)) + 1) &gt; 0, IFERROR(VALUE($G4),0)=0),
        AND(MAX(0, MIN($H$1, DATE(Initialisatie!$C$5,12,31)) - MAX($H$2, DATE(Initialisatie!$C$5,1,1)) + 1) &gt; 0, IFERROR(VALUE($H4),0)=0),
        AND(MAX(0, MIN($I$1, DATE(Initialisatie!$C$5,12,31)) - MAX($I$2, DATE(Initialisatie!$C$5,1,1)) + 1) &gt; 0, IFERROR(VALUE($I4),0)=0),
        AND(MAX(0, MIN($J$1, DATE(Initialisatie!$C$5,12,31)) - MAX($J$2, DATE(Initialisatie!$C$5,1,1)) + 1) &gt; 0, IFERROR(VALUE($J4),0)=0)
    ),
    0,
    SUM(
        IFERROR(VALUE($E4),0) * MAX(0, MIN($E$1, DATE(Initialisatie!$C$5,12,31)) - MAX($E$2, DATE(Initialisatie!$C$5,1,1)) + 1),
        IFERROR(VALUE($F4),0) * MAX(0, MIN($F$1, DATE(Initialisatie!$C$5,12,31)) - MAX($F$2, DATE(Initialisatie!$C$5,1,1)) + 1),
        IFERROR(VALUE($G4),0) * MAX(0, MIN($G$1, DATE(Initialisatie!$C$5,12,31)) - MAX($G$2, DATE(Initialisatie!$C$5,1,1)) + 1),
        IFERROR(VALUE($H4),0) * MAX(0, MIN($H$1, DATE(Initialisatie!$C$5,12,31)) - MAX($H$2, DATE(Initialisatie!$C$5,1,1)) + 1),
        IFERROR(VALUE($I4),0) * MAX(0, MIN($I$1, DATE(Initialisatie!$C$5,12,31)) - MAX($I$2, DATE(Initialisatie!$C$5,1,1)) + 1),
        IFERROR(VALUE($J4),0) * MAX(0, MIN($J$1, DATE(Initialisatie!$C$5,12,31)) - MAX($J$2, DATE(Initialisatie!$C$5,1,1)) + 1)
    ) / (DATE(Initialisatie!$C$5,12,31) - DATE(Initialisatie!$C$5,1,1) + 1)
)</f>
        <v>2201</v>
      </c>
    </row>
    <row r="5" spans="1:30" x14ac:dyDescent="0.45">
      <c r="A5" s="989"/>
      <c r="B5" s="35">
        <v>0</v>
      </c>
      <c r="C5" s="35">
        <v>0</v>
      </c>
      <c r="D5" s="35" t="s">
        <v>519</v>
      </c>
      <c r="E5">
        <v>1872</v>
      </c>
      <c r="F5">
        <v>1909</v>
      </c>
      <c r="G5">
        <v>2043</v>
      </c>
      <c r="H5">
        <v>2184</v>
      </c>
      <c r="I5">
        <v>2210</v>
      </c>
      <c r="J5">
        <v>2210</v>
      </c>
      <c r="L5">
        <f>IF(
    OR(
        AND(MAX(0, MIN($E$1, DATE(Initialisatie!$C$5,12,31)) - MAX($E$2, DATE(Initialisatie!$C$5,1,1)) + 1) &gt; 0, IFERROR(VALUE($E5),0)=0),
        AND(MAX(0, MIN($F$1, DATE(Initialisatie!$C$5,12,31)) - MAX($F$2, DATE(Initialisatie!$C$5,1,1)) + 1) &gt; 0, IFERROR(VALUE($F5),0)=0),
        AND(MAX(0, MIN($G$1, DATE(Initialisatie!$C$5,12,31)) - MAX($G$2, DATE(Initialisatie!$C$5,1,1)) + 1) &gt; 0, IFERROR(VALUE($G5),0)=0),
        AND(MAX(0, MIN($H$1, DATE(Initialisatie!$C$5,12,31)) - MAX($H$2, DATE(Initialisatie!$C$5,1,1)) + 1) &gt; 0, IFERROR(VALUE($H5),0)=0),
        AND(MAX(0, MIN($I$1, DATE(Initialisatie!$C$5,12,31)) - MAX($I$2, DATE(Initialisatie!$C$5,1,1)) + 1) &gt; 0, IFERROR(VALUE($I5),0)=0),
        AND(MAX(0, MIN($J$1, DATE(Initialisatie!$C$5,12,31)) - MAX($J$2, DATE(Initialisatie!$C$5,1,1)) + 1) &gt; 0, IFERROR(VALUE($J5),0)=0)
    ),
    0,
    SUM(
        IFERROR(VALUE($E5),0) * MAX(0, MIN($E$1, DATE(Initialisatie!$C$5,12,31)) - MAX($E$2, DATE(Initialisatie!$C$5,1,1)) + 1),
        IFERROR(VALUE($F5),0) * MAX(0, MIN($F$1, DATE(Initialisatie!$C$5,12,31)) - MAX($F$2, DATE(Initialisatie!$C$5,1,1)) + 1),
        IFERROR(VALUE($G5),0) * MAX(0, MIN($G$1, DATE(Initialisatie!$C$5,12,31)) - MAX($G$2, DATE(Initialisatie!$C$5,1,1)) + 1),
        IFERROR(VALUE($H5),0) * MAX(0, MIN($H$1, DATE(Initialisatie!$C$5,12,31)) - MAX($H$2, DATE(Initialisatie!$C$5,1,1)) + 1),
        IFERROR(VALUE($I5),0) * MAX(0, MIN($I$1, DATE(Initialisatie!$C$5,12,31)) - MAX($I$2, DATE(Initialisatie!$C$5,1,1)) + 1),
        IFERROR(VALUE($J5),0) * MAX(0, MIN($J$1, DATE(Initialisatie!$C$5,12,31)) - MAX($J$2, DATE(Initialisatie!$C$5,1,1)) + 1)
    ) / (DATE(Initialisatie!$C$5,12,31) - DATE(Initialisatie!$C$5,1,1) + 1)
)</f>
        <v>2210</v>
      </c>
    </row>
    <row r="6" spans="1:30" x14ac:dyDescent="0.45">
      <c r="A6" s="989"/>
      <c r="B6" s="35">
        <v>1</v>
      </c>
      <c r="C6" s="35">
        <v>1</v>
      </c>
      <c r="D6" s="35" t="s">
        <v>520</v>
      </c>
      <c r="E6">
        <v>1917</v>
      </c>
      <c r="F6">
        <v>1955</v>
      </c>
      <c r="G6">
        <v>2092</v>
      </c>
      <c r="H6">
        <v>2184</v>
      </c>
      <c r="I6">
        <v>2263</v>
      </c>
      <c r="J6">
        <v>2263</v>
      </c>
      <c r="L6">
        <f>IF(
    OR(
        AND(MAX(0, MIN($E$1, DATE(Initialisatie!$C$5,12,31)) - MAX($E$2, DATE(Initialisatie!$C$5,1,1)) + 1) &gt; 0, IFERROR(VALUE($E6),0)=0),
        AND(MAX(0, MIN($F$1, DATE(Initialisatie!$C$5,12,31)) - MAX($F$2, DATE(Initialisatie!$C$5,1,1)) + 1) &gt; 0, IFERROR(VALUE($F6),0)=0),
        AND(MAX(0, MIN($G$1, DATE(Initialisatie!$C$5,12,31)) - MAX($G$2, DATE(Initialisatie!$C$5,1,1)) + 1) &gt; 0, IFERROR(VALUE($G6),0)=0),
        AND(MAX(0, MIN($H$1, DATE(Initialisatie!$C$5,12,31)) - MAX($H$2, DATE(Initialisatie!$C$5,1,1)) + 1) &gt; 0, IFERROR(VALUE($H6),0)=0),
        AND(MAX(0, MIN($I$1, DATE(Initialisatie!$C$5,12,31)) - MAX($I$2, DATE(Initialisatie!$C$5,1,1)) + 1) &gt; 0, IFERROR(VALUE($I6),0)=0),
        AND(MAX(0, MIN($J$1, DATE(Initialisatie!$C$5,12,31)) - MAX($J$2, DATE(Initialisatie!$C$5,1,1)) + 1) &gt; 0, IFERROR(VALUE($J6),0)=0)
    ),
    0,
    SUM(
        IFERROR(VALUE($E6),0) * MAX(0, MIN($E$1, DATE(Initialisatie!$C$5,12,31)) - MAX($E$2, DATE(Initialisatie!$C$5,1,1)) + 1),
        IFERROR(VALUE($F6),0) * MAX(0, MIN($F$1, DATE(Initialisatie!$C$5,12,31)) - MAX($F$2, DATE(Initialisatie!$C$5,1,1)) + 1),
        IFERROR(VALUE($G6),0) * MAX(0, MIN($G$1, DATE(Initialisatie!$C$5,12,31)) - MAX($G$2, DATE(Initialisatie!$C$5,1,1)) + 1),
        IFERROR(VALUE($H6),0) * MAX(0, MIN($H$1, DATE(Initialisatie!$C$5,12,31)) - MAX($H$2, DATE(Initialisatie!$C$5,1,1)) + 1),
        IFERROR(VALUE($I6),0) * MAX(0, MIN($I$1, DATE(Initialisatie!$C$5,12,31)) - MAX($I$2, DATE(Initialisatie!$C$5,1,1)) + 1),
        IFERROR(VALUE($J6),0) * MAX(0, MIN($J$1, DATE(Initialisatie!$C$5,12,31)) - MAX($J$2, DATE(Initialisatie!$C$5,1,1)) + 1)
    ) / (DATE(Initialisatie!$C$5,12,31) - DATE(Initialisatie!$C$5,1,1) + 1)
)</f>
        <v>2263</v>
      </c>
    </row>
    <row r="7" spans="1:30" x14ac:dyDescent="0.45">
      <c r="A7" s="989"/>
      <c r="B7" s="35">
        <v>2</v>
      </c>
      <c r="C7" s="35">
        <v>2</v>
      </c>
      <c r="D7" s="35" t="s">
        <v>521</v>
      </c>
      <c r="E7">
        <v>1963</v>
      </c>
      <c r="F7">
        <v>2002</v>
      </c>
      <c r="G7">
        <v>2142</v>
      </c>
      <c r="H7">
        <v>2228</v>
      </c>
      <c r="I7">
        <v>2317</v>
      </c>
      <c r="J7">
        <v>2317</v>
      </c>
      <c r="L7">
        <f>IF(
    OR(
        AND(MAX(0, MIN($E$1, DATE(Initialisatie!$C$5,12,31)) - MAX($E$2, DATE(Initialisatie!$C$5,1,1)) + 1) &gt; 0, IFERROR(VALUE($E7),0)=0),
        AND(MAX(0, MIN($F$1, DATE(Initialisatie!$C$5,12,31)) - MAX($F$2, DATE(Initialisatie!$C$5,1,1)) + 1) &gt; 0, IFERROR(VALUE($F7),0)=0),
        AND(MAX(0, MIN($G$1, DATE(Initialisatie!$C$5,12,31)) - MAX($G$2, DATE(Initialisatie!$C$5,1,1)) + 1) &gt; 0, IFERROR(VALUE($G7),0)=0),
        AND(MAX(0, MIN($H$1, DATE(Initialisatie!$C$5,12,31)) - MAX($H$2, DATE(Initialisatie!$C$5,1,1)) + 1) &gt; 0, IFERROR(VALUE($H7),0)=0),
        AND(MAX(0, MIN($I$1, DATE(Initialisatie!$C$5,12,31)) - MAX($I$2, DATE(Initialisatie!$C$5,1,1)) + 1) &gt; 0, IFERROR(VALUE($I7),0)=0),
        AND(MAX(0, MIN($J$1, DATE(Initialisatie!$C$5,12,31)) - MAX($J$2, DATE(Initialisatie!$C$5,1,1)) + 1) &gt; 0, IFERROR(VALUE($J7),0)=0)
    ),
    0,
    SUM(
        IFERROR(VALUE($E7),0) * MAX(0, MIN($E$1, DATE(Initialisatie!$C$5,12,31)) - MAX($E$2, DATE(Initialisatie!$C$5,1,1)) + 1),
        IFERROR(VALUE($F7),0) * MAX(0, MIN($F$1, DATE(Initialisatie!$C$5,12,31)) - MAX($F$2, DATE(Initialisatie!$C$5,1,1)) + 1),
        IFERROR(VALUE($G7),0) * MAX(0, MIN($G$1, DATE(Initialisatie!$C$5,12,31)) - MAX($G$2, DATE(Initialisatie!$C$5,1,1)) + 1),
        IFERROR(VALUE($H7),0) * MAX(0, MIN($H$1, DATE(Initialisatie!$C$5,12,31)) - MAX($H$2, DATE(Initialisatie!$C$5,1,1)) + 1),
        IFERROR(VALUE($I7),0) * MAX(0, MIN($I$1, DATE(Initialisatie!$C$5,12,31)) - MAX($I$2, DATE(Initialisatie!$C$5,1,1)) + 1),
        IFERROR(VALUE($J7),0) * MAX(0, MIN($J$1, DATE(Initialisatie!$C$5,12,31)) - MAX($J$2, DATE(Initialisatie!$C$5,1,1)) + 1)
    ) / (DATE(Initialisatie!$C$5,12,31) - DATE(Initialisatie!$C$5,1,1) + 1)
)</f>
        <v>2317</v>
      </c>
    </row>
    <row r="8" spans="1:30" x14ac:dyDescent="0.45">
      <c r="A8" s="989"/>
      <c r="B8" s="35">
        <v>3</v>
      </c>
      <c r="C8" s="35">
        <v>3</v>
      </c>
      <c r="D8" s="35" t="s">
        <v>522</v>
      </c>
      <c r="E8">
        <v>2012</v>
      </c>
      <c r="F8">
        <v>2052</v>
      </c>
      <c r="G8">
        <v>2196</v>
      </c>
      <c r="H8">
        <v>2284</v>
      </c>
      <c r="I8">
        <v>2375</v>
      </c>
      <c r="J8">
        <v>2375</v>
      </c>
      <c r="L8">
        <f>IF(
    OR(
        AND(MAX(0, MIN($E$1, DATE(Initialisatie!$C$5,12,31)) - MAX($E$2, DATE(Initialisatie!$C$5,1,1)) + 1) &gt; 0, IFERROR(VALUE($E8),0)=0),
        AND(MAX(0, MIN($F$1, DATE(Initialisatie!$C$5,12,31)) - MAX($F$2, DATE(Initialisatie!$C$5,1,1)) + 1) &gt; 0, IFERROR(VALUE($F8),0)=0),
        AND(MAX(0, MIN($G$1, DATE(Initialisatie!$C$5,12,31)) - MAX($G$2, DATE(Initialisatie!$C$5,1,1)) + 1) &gt; 0, IFERROR(VALUE($G8),0)=0),
        AND(MAX(0, MIN($H$1, DATE(Initialisatie!$C$5,12,31)) - MAX($H$2, DATE(Initialisatie!$C$5,1,1)) + 1) &gt; 0, IFERROR(VALUE($H8),0)=0),
        AND(MAX(0, MIN($I$1, DATE(Initialisatie!$C$5,12,31)) - MAX($I$2, DATE(Initialisatie!$C$5,1,1)) + 1) &gt; 0, IFERROR(VALUE($I8),0)=0),
        AND(MAX(0, MIN($J$1, DATE(Initialisatie!$C$5,12,31)) - MAX($J$2, DATE(Initialisatie!$C$5,1,1)) + 1) &gt; 0, IFERROR(VALUE($J8),0)=0)
    ),
    0,
    SUM(
        IFERROR(VALUE($E8),0) * MAX(0, MIN($E$1, DATE(Initialisatie!$C$5,12,31)) - MAX($E$2, DATE(Initialisatie!$C$5,1,1)) + 1),
        IFERROR(VALUE($F8),0) * MAX(0, MIN($F$1, DATE(Initialisatie!$C$5,12,31)) - MAX($F$2, DATE(Initialisatie!$C$5,1,1)) + 1),
        IFERROR(VALUE($G8),0) * MAX(0, MIN($G$1, DATE(Initialisatie!$C$5,12,31)) - MAX($G$2, DATE(Initialisatie!$C$5,1,1)) + 1),
        IFERROR(VALUE($H8),0) * MAX(0, MIN($H$1, DATE(Initialisatie!$C$5,12,31)) - MAX($H$2, DATE(Initialisatie!$C$5,1,1)) + 1),
        IFERROR(VALUE($I8),0) * MAX(0, MIN($I$1, DATE(Initialisatie!$C$5,12,31)) - MAX($I$2, DATE(Initialisatie!$C$5,1,1)) + 1),
        IFERROR(VALUE($J8),0) * MAX(0, MIN($J$1, DATE(Initialisatie!$C$5,12,31)) - MAX($J$2, DATE(Initialisatie!$C$5,1,1)) + 1)
    ) / (DATE(Initialisatie!$C$5,12,31) - DATE(Initialisatie!$C$5,1,1) + 1)
)</f>
        <v>2375</v>
      </c>
    </row>
    <row r="9" spans="1:30" x14ac:dyDescent="0.45">
      <c r="A9" s="989"/>
      <c r="B9" s="35">
        <v>4</v>
      </c>
      <c r="C9" s="35">
        <v>4</v>
      </c>
      <c r="D9" s="35" t="s">
        <v>523</v>
      </c>
      <c r="E9">
        <v>2058</v>
      </c>
      <c r="F9">
        <v>2099</v>
      </c>
      <c r="G9">
        <v>2246</v>
      </c>
      <c r="H9">
        <v>2336</v>
      </c>
      <c r="I9">
        <v>2429</v>
      </c>
      <c r="J9">
        <v>2429</v>
      </c>
      <c r="L9">
        <f>IF(
    OR(
        AND(MAX(0, MIN($E$1, DATE(Initialisatie!$C$5,12,31)) - MAX($E$2, DATE(Initialisatie!$C$5,1,1)) + 1) &gt; 0, IFERROR(VALUE($E9),0)=0),
        AND(MAX(0, MIN($F$1, DATE(Initialisatie!$C$5,12,31)) - MAX($F$2, DATE(Initialisatie!$C$5,1,1)) + 1) &gt; 0, IFERROR(VALUE($F9),0)=0),
        AND(MAX(0, MIN($G$1, DATE(Initialisatie!$C$5,12,31)) - MAX($G$2, DATE(Initialisatie!$C$5,1,1)) + 1) &gt; 0, IFERROR(VALUE($G9),0)=0),
        AND(MAX(0, MIN($H$1, DATE(Initialisatie!$C$5,12,31)) - MAX($H$2, DATE(Initialisatie!$C$5,1,1)) + 1) &gt; 0, IFERROR(VALUE($H9),0)=0),
        AND(MAX(0, MIN($I$1, DATE(Initialisatie!$C$5,12,31)) - MAX($I$2, DATE(Initialisatie!$C$5,1,1)) + 1) &gt; 0, IFERROR(VALUE($I9),0)=0),
        AND(MAX(0, MIN($J$1, DATE(Initialisatie!$C$5,12,31)) - MAX($J$2, DATE(Initialisatie!$C$5,1,1)) + 1) &gt; 0, IFERROR(VALUE($J9),0)=0)
    ),
    0,
    SUM(
        IFERROR(VALUE($E9),0) * MAX(0, MIN($E$1, DATE(Initialisatie!$C$5,12,31)) - MAX($E$2, DATE(Initialisatie!$C$5,1,1)) + 1),
        IFERROR(VALUE($F9),0) * MAX(0, MIN($F$1, DATE(Initialisatie!$C$5,12,31)) - MAX($F$2, DATE(Initialisatie!$C$5,1,1)) + 1),
        IFERROR(VALUE($G9),0) * MAX(0, MIN($G$1, DATE(Initialisatie!$C$5,12,31)) - MAX($G$2, DATE(Initialisatie!$C$5,1,1)) + 1),
        IFERROR(VALUE($H9),0) * MAX(0, MIN($H$1, DATE(Initialisatie!$C$5,12,31)) - MAX($H$2, DATE(Initialisatie!$C$5,1,1)) + 1),
        IFERROR(VALUE($I9),0) * MAX(0, MIN($I$1, DATE(Initialisatie!$C$5,12,31)) - MAX($I$2, DATE(Initialisatie!$C$5,1,1)) + 1),
        IFERROR(VALUE($J9),0) * MAX(0, MIN($J$1, DATE(Initialisatie!$C$5,12,31)) - MAX($J$2, DATE(Initialisatie!$C$5,1,1)) + 1)
    ) / (DATE(Initialisatie!$C$5,12,31) - DATE(Initialisatie!$C$5,1,1) + 1)
)</f>
        <v>2429</v>
      </c>
    </row>
    <row r="10" spans="1:30" x14ac:dyDescent="0.45">
      <c r="A10" s="989"/>
      <c r="B10" s="35">
        <v>5</v>
      </c>
      <c r="C10" s="35">
        <v>5</v>
      </c>
      <c r="D10" s="35" t="s">
        <v>524</v>
      </c>
      <c r="E10">
        <v>2105</v>
      </c>
      <c r="F10">
        <v>2147</v>
      </c>
      <c r="G10">
        <v>2297</v>
      </c>
      <c r="H10">
        <v>2389</v>
      </c>
      <c r="I10">
        <v>2485</v>
      </c>
      <c r="J10">
        <v>2485</v>
      </c>
      <c r="L10">
        <f>IF(
    OR(
        AND(MAX(0, MIN($E$1, DATE(Initialisatie!$C$5,12,31)) - MAX($E$2, DATE(Initialisatie!$C$5,1,1)) + 1) &gt; 0, IFERROR(VALUE($E10),0)=0),
        AND(MAX(0, MIN($F$1, DATE(Initialisatie!$C$5,12,31)) - MAX($F$2, DATE(Initialisatie!$C$5,1,1)) + 1) &gt; 0, IFERROR(VALUE($F10),0)=0),
        AND(MAX(0, MIN($G$1, DATE(Initialisatie!$C$5,12,31)) - MAX($G$2, DATE(Initialisatie!$C$5,1,1)) + 1) &gt; 0, IFERROR(VALUE($G10),0)=0),
        AND(MAX(0, MIN($H$1, DATE(Initialisatie!$C$5,12,31)) - MAX($H$2, DATE(Initialisatie!$C$5,1,1)) + 1) &gt; 0, IFERROR(VALUE($H10),0)=0),
        AND(MAX(0, MIN($I$1, DATE(Initialisatie!$C$5,12,31)) - MAX($I$2, DATE(Initialisatie!$C$5,1,1)) + 1) &gt; 0, IFERROR(VALUE($I10),0)=0),
        AND(MAX(0, MIN($J$1, DATE(Initialisatie!$C$5,12,31)) - MAX($J$2, DATE(Initialisatie!$C$5,1,1)) + 1) &gt; 0, IFERROR(VALUE($J10),0)=0)
    ),
    0,
    SUM(
        IFERROR(VALUE($E10),0) * MAX(0, MIN($E$1, DATE(Initialisatie!$C$5,12,31)) - MAX($E$2, DATE(Initialisatie!$C$5,1,1)) + 1),
        IFERROR(VALUE($F10),0) * MAX(0, MIN($F$1, DATE(Initialisatie!$C$5,12,31)) - MAX($F$2, DATE(Initialisatie!$C$5,1,1)) + 1),
        IFERROR(VALUE($G10),0) * MAX(0, MIN($G$1, DATE(Initialisatie!$C$5,12,31)) - MAX($G$2, DATE(Initialisatie!$C$5,1,1)) + 1),
        IFERROR(VALUE($H10),0) * MAX(0, MIN($H$1, DATE(Initialisatie!$C$5,12,31)) - MAX($H$2, DATE(Initialisatie!$C$5,1,1)) + 1),
        IFERROR(VALUE($I10),0) * MAX(0, MIN($I$1, DATE(Initialisatie!$C$5,12,31)) - MAX($I$2, DATE(Initialisatie!$C$5,1,1)) + 1),
        IFERROR(VALUE($J10),0) * MAX(0, MIN($J$1, DATE(Initialisatie!$C$5,12,31)) - MAX($J$2, DATE(Initialisatie!$C$5,1,1)) + 1)
    ) / (DATE(Initialisatie!$C$5,12,31) - DATE(Initialisatie!$C$5,1,1) + 1)
)</f>
        <v>2485</v>
      </c>
    </row>
    <row r="11" spans="1:30" x14ac:dyDescent="0.45">
      <c r="A11" s="989"/>
      <c r="B11" s="35">
        <v>6</v>
      </c>
      <c r="C11" s="35">
        <v>6</v>
      </c>
      <c r="D11" s="35" t="s">
        <v>525</v>
      </c>
      <c r="E11">
        <v>2157</v>
      </c>
      <c r="F11">
        <v>2200</v>
      </c>
      <c r="G11">
        <v>2354</v>
      </c>
      <c r="H11">
        <v>2448</v>
      </c>
      <c r="I11">
        <v>2546</v>
      </c>
      <c r="J11">
        <v>2546</v>
      </c>
      <c r="L11">
        <f>IF(
    OR(
        AND(MAX(0, MIN($E$1, DATE(Initialisatie!$C$5,12,31)) - MAX($E$2, DATE(Initialisatie!$C$5,1,1)) + 1) &gt; 0, IFERROR(VALUE($E11),0)=0),
        AND(MAX(0, MIN($F$1, DATE(Initialisatie!$C$5,12,31)) - MAX($F$2, DATE(Initialisatie!$C$5,1,1)) + 1) &gt; 0, IFERROR(VALUE($F11),0)=0),
        AND(MAX(0, MIN($G$1, DATE(Initialisatie!$C$5,12,31)) - MAX($G$2, DATE(Initialisatie!$C$5,1,1)) + 1) &gt; 0, IFERROR(VALUE($G11),0)=0),
        AND(MAX(0, MIN($H$1, DATE(Initialisatie!$C$5,12,31)) - MAX($H$2, DATE(Initialisatie!$C$5,1,1)) + 1) &gt; 0, IFERROR(VALUE($H11),0)=0),
        AND(MAX(0, MIN($I$1, DATE(Initialisatie!$C$5,12,31)) - MAX($I$2, DATE(Initialisatie!$C$5,1,1)) + 1) &gt; 0, IFERROR(VALUE($I11),0)=0),
        AND(MAX(0, MIN($J$1, DATE(Initialisatie!$C$5,12,31)) - MAX($J$2, DATE(Initialisatie!$C$5,1,1)) + 1) &gt; 0, IFERROR(VALUE($J11),0)=0)
    ),
    0,
    SUM(
        IFERROR(VALUE($E11),0) * MAX(0, MIN($E$1, DATE(Initialisatie!$C$5,12,31)) - MAX($E$2, DATE(Initialisatie!$C$5,1,1)) + 1),
        IFERROR(VALUE($F11),0) * MAX(0, MIN($F$1, DATE(Initialisatie!$C$5,12,31)) - MAX($F$2, DATE(Initialisatie!$C$5,1,1)) + 1),
        IFERROR(VALUE($G11),0) * MAX(0, MIN($G$1, DATE(Initialisatie!$C$5,12,31)) - MAX($G$2, DATE(Initialisatie!$C$5,1,1)) + 1),
        IFERROR(VALUE($H11),0) * MAX(0, MIN($H$1, DATE(Initialisatie!$C$5,12,31)) - MAX($H$2, DATE(Initialisatie!$C$5,1,1)) + 1),
        IFERROR(VALUE($I11),0) * MAX(0, MIN($I$1, DATE(Initialisatie!$C$5,12,31)) - MAX($I$2, DATE(Initialisatie!$C$5,1,1)) + 1),
        IFERROR(VALUE($J11),0) * MAX(0, MIN($J$1, DATE(Initialisatie!$C$5,12,31)) - MAX($J$2, DATE(Initialisatie!$C$5,1,1)) + 1)
    ) / (DATE(Initialisatie!$C$5,12,31) - DATE(Initialisatie!$C$5,1,1) + 1)
)</f>
        <v>2546</v>
      </c>
    </row>
    <row r="12" spans="1:30" x14ac:dyDescent="0.45">
      <c r="A12" s="989"/>
      <c r="B12" s="35">
        <v>7</v>
      </c>
      <c r="C12" s="35">
        <v>7</v>
      </c>
      <c r="D12" s="35" t="s">
        <v>526</v>
      </c>
      <c r="E12">
        <v>2211</v>
      </c>
      <c r="F12">
        <v>2255</v>
      </c>
      <c r="G12">
        <v>2413</v>
      </c>
      <c r="H12">
        <v>2510</v>
      </c>
      <c r="I12">
        <v>2610</v>
      </c>
      <c r="J12">
        <v>2610</v>
      </c>
      <c r="L12">
        <f>IF(
    OR(
        AND(MAX(0, MIN($E$1, DATE(Initialisatie!$C$5,12,31)) - MAX($E$2, DATE(Initialisatie!$C$5,1,1)) + 1) &gt; 0, IFERROR(VALUE($E12),0)=0),
        AND(MAX(0, MIN($F$1, DATE(Initialisatie!$C$5,12,31)) - MAX($F$2, DATE(Initialisatie!$C$5,1,1)) + 1) &gt; 0, IFERROR(VALUE($F12),0)=0),
        AND(MAX(0, MIN($G$1, DATE(Initialisatie!$C$5,12,31)) - MAX($G$2, DATE(Initialisatie!$C$5,1,1)) + 1) &gt; 0, IFERROR(VALUE($G12),0)=0),
        AND(MAX(0, MIN($H$1, DATE(Initialisatie!$C$5,12,31)) - MAX($H$2, DATE(Initialisatie!$C$5,1,1)) + 1) &gt; 0, IFERROR(VALUE($H12),0)=0),
        AND(MAX(0, MIN($I$1, DATE(Initialisatie!$C$5,12,31)) - MAX($I$2, DATE(Initialisatie!$C$5,1,1)) + 1) &gt; 0, IFERROR(VALUE($I12),0)=0),
        AND(MAX(0, MIN($J$1, DATE(Initialisatie!$C$5,12,31)) - MAX($J$2, DATE(Initialisatie!$C$5,1,1)) + 1) &gt; 0, IFERROR(VALUE($J12),0)=0)
    ),
    0,
    SUM(
        IFERROR(VALUE($E12),0) * MAX(0, MIN($E$1, DATE(Initialisatie!$C$5,12,31)) - MAX($E$2, DATE(Initialisatie!$C$5,1,1)) + 1),
        IFERROR(VALUE($F12),0) * MAX(0, MIN($F$1, DATE(Initialisatie!$C$5,12,31)) - MAX($F$2, DATE(Initialisatie!$C$5,1,1)) + 1),
        IFERROR(VALUE($G12),0) * MAX(0, MIN($G$1, DATE(Initialisatie!$C$5,12,31)) - MAX($G$2, DATE(Initialisatie!$C$5,1,1)) + 1),
        IFERROR(VALUE($H12),0) * MAX(0, MIN($H$1, DATE(Initialisatie!$C$5,12,31)) - MAX($H$2, DATE(Initialisatie!$C$5,1,1)) + 1),
        IFERROR(VALUE($I12),0) * MAX(0, MIN($I$1, DATE(Initialisatie!$C$5,12,31)) - MAX($I$2, DATE(Initialisatie!$C$5,1,1)) + 1),
        IFERROR(VALUE($J12),0) * MAX(0, MIN($J$1, DATE(Initialisatie!$C$5,12,31)) - MAX($J$2, DATE(Initialisatie!$C$5,1,1)) + 1)
    ) / (DATE(Initialisatie!$C$5,12,31) - DATE(Initialisatie!$C$5,1,1) + 1)
)</f>
        <v>2610</v>
      </c>
    </row>
    <row r="13" spans="1:30" x14ac:dyDescent="0.45">
      <c r="A13" s="989"/>
      <c r="B13" s="35">
        <v>8</v>
      </c>
      <c r="C13" s="35">
        <v>8</v>
      </c>
      <c r="D13" s="35" t="s">
        <v>527</v>
      </c>
      <c r="E13">
        <v>2262</v>
      </c>
      <c r="F13">
        <v>2307</v>
      </c>
      <c r="G13">
        <v>2468</v>
      </c>
      <c r="H13">
        <v>2567</v>
      </c>
      <c r="I13">
        <v>2670</v>
      </c>
      <c r="J13">
        <v>2670</v>
      </c>
      <c r="L13">
        <f>IF(
    OR(
        AND(MAX(0, MIN($E$1, DATE(Initialisatie!$C$5,12,31)) - MAX($E$2, DATE(Initialisatie!$C$5,1,1)) + 1) &gt; 0, IFERROR(VALUE($E13),0)=0),
        AND(MAX(0, MIN($F$1, DATE(Initialisatie!$C$5,12,31)) - MAX($F$2, DATE(Initialisatie!$C$5,1,1)) + 1) &gt; 0, IFERROR(VALUE($F13),0)=0),
        AND(MAX(0, MIN($G$1, DATE(Initialisatie!$C$5,12,31)) - MAX($G$2, DATE(Initialisatie!$C$5,1,1)) + 1) &gt; 0, IFERROR(VALUE($G13),0)=0),
        AND(MAX(0, MIN($H$1, DATE(Initialisatie!$C$5,12,31)) - MAX($H$2, DATE(Initialisatie!$C$5,1,1)) + 1) &gt; 0, IFERROR(VALUE($H13),0)=0),
        AND(MAX(0, MIN($I$1, DATE(Initialisatie!$C$5,12,31)) - MAX($I$2, DATE(Initialisatie!$C$5,1,1)) + 1) &gt; 0, IFERROR(VALUE($I13),0)=0),
        AND(MAX(0, MIN($J$1, DATE(Initialisatie!$C$5,12,31)) - MAX($J$2, DATE(Initialisatie!$C$5,1,1)) + 1) &gt; 0, IFERROR(VALUE($J13),0)=0)
    ),
    0,
    SUM(
        IFERROR(VALUE($E13),0) * MAX(0, MIN($E$1, DATE(Initialisatie!$C$5,12,31)) - MAX($E$2, DATE(Initialisatie!$C$5,1,1)) + 1),
        IFERROR(VALUE($F13),0) * MAX(0, MIN($F$1, DATE(Initialisatie!$C$5,12,31)) - MAX($F$2, DATE(Initialisatie!$C$5,1,1)) + 1),
        IFERROR(VALUE($G13),0) * MAX(0, MIN($G$1, DATE(Initialisatie!$C$5,12,31)) - MAX($G$2, DATE(Initialisatie!$C$5,1,1)) + 1),
        IFERROR(VALUE($H13),0) * MAX(0, MIN($H$1, DATE(Initialisatie!$C$5,12,31)) - MAX($H$2, DATE(Initialisatie!$C$5,1,1)) + 1),
        IFERROR(VALUE($I13),0) * MAX(0, MIN($I$1, DATE(Initialisatie!$C$5,12,31)) - MAX($I$2, DATE(Initialisatie!$C$5,1,1)) + 1),
        IFERROR(VALUE($J13),0) * MAX(0, MIN($J$1, DATE(Initialisatie!$C$5,12,31)) - MAX($J$2, DATE(Initialisatie!$C$5,1,1)) + 1)
    ) / (DATE(Initialisatie!$C$5,12,31) - DATE(Initialisatie!$C$5,1,1) + 1)
)</f>
        <v>2670</v>
      </c>
    </row>
    <row r="14" spans="1:30" x14ac:dyDescent="0.45">
      <c r="A14" s="989"/>
      <c r="B14" s="35">
        <v>9</v>
      </c>
      <c r="C14" s="35">
        <v>9</v>
      </c>
      <c r="D14" s="35" t="s">
        <v>528</v>
      </c>
      <c r="E14">
        <v>2319</v>
      </c>
      <c r="F14">
        <v>2365</v>
      </c>
      <c r="G14">
        <v>2531</v>
      </c>
      <c r="H14">
        <v>2632</v>
      </c>
      <c r="I14">
        <v>2737</v>
      </c>
      <c r="J14">
        <v>2737</v>
      </c>
      <c r="L14">
        <f>IF(
    OR(
        AND(MAX(0, MIN($E$1, DATE(Initialisatie!$C$5,12,31)) - MAX($E$2, DATE(Initialisatie!$C$5,1,1)) + 1) &gt; 0, IFERROR(VALUE($E14),0)=0),
        AND(MAX(0, MIN($F$1, DATE(Initialisatie!$C$5,12,31)) - MAX($F$2, DATE(Initialisatie!$C$5,1,1)) + 1) &gt; 0, IFERROR(VALUE($F14),0)=0),
        AND(MAX(0, MIN($G$1, DATE(Initialisatie!$C$5,12,31)) - MAX($G$2, DATE(Initialisatie!$C$5,1,1)) + 1) &gt; 0, IFERROR(VALUE($G14),0)=0),
        AND(MAX(0, MIN($H$1, DATE(Initialisatie!$C$5,12,31)) - MAX($H$2, DATE(Initialisatie!$C$5,1,1)) + 1) &gt; 0, IFERROR(VALUE($H14),0)=0),
        AND(MAX(0, MIN($I$1, DATE(Initialisatie!$C$5,12,31)) - MAX($I$2, DATE(Initialisatie!$C$5,1,1)) + 1) &gt; 0, IFERROR(VALUE($I14),0)=0),
        AND(MAX(0, MIN($J$1, DATE(Initialisatie!$C$5,12,31)) - MAX($J$2, DATE(Initialisatie!$C$5,1,1)) + 1) &gt; 0, IFERROR(VALUE($J14),0)=0)
    ),
    0,
    SUM(
        IFERROR(VALUE($E14),0) * MAX(0, MIN($E$1, DATE(Initialisatie!$C$5,12,31)) - MAX($E$2, DATE(Initialisatie!$C$5,1,1)) + 1),
        IFERROR(VALUE($F14),0) * MAX(0, MIN($F$1, DATE(Initialisatie!$C$5,12,31)) - MAX($F$2, DATE(Initialisatie!$C$5,1,1)) + 1),
        IFERROR(VALUE($G14),0) * MAX(0, MIN($G$1, DATE(Initialisatie!$C$5,12,31)) - MAX($G$2, DATE(Initialisatie!$C$5,1,1)) + 1),
        IFERROR(VALUE($H14),0) * MAX(0, MIN($H$1, DATE(Initialisatie!$C$5,12,31)) - MAX($H$2, DATE(Initialisatie!$C$5,1,1)) + 1),
        IFERROR(VALUE($I14),0) * MAX(0, MIN($I$1, DATE(Initialisatie!$C$5,12,31)) - MAX($I$2, DATE(Initialisatie!$C$5,1,1)) + 1),
        IFERROR(VALUE($J14),0) * MAX(0, MIN($J$1, DATE(Initialisatie!$C$5,12,31)) - MAX($J$2, DATE(Initialisatie!$C$5,1,1)) + 1)
    ) / (DATE(Initialisatie!$C$5,12,31) - DATE(Initialisatie!$C$5,1,1) + 1)
)</f>
        <v>2737</v>
      </c>
    </row>
    <row r="15" spans="1:30" x14ac:dyDescent="0.45">
      <c r="A15" s="989"/>
      <c r="B15" s="35">
        <v>10</v>
      </c>
      <c r="C15" s="35">
        <v>10</v>
      </c>
      <c r="D15" s="35" t="s">
        <v>529</v>
      </c>
      <c r="J15">
        <v>2829</v>
      </c>
      <c r="L15">
        <f>IF(
    OR(
        AND(MAX(0, MIN($E$1, DATE(Initialisatie!$C$5,12,31)) - MAX($E$2, DATE(Initialisatie!$C$5,1,1)) + 1) &gt; 0, IFERROR(VALUE($E15),0)=0),
        AND(MAX(0, MIN($F$1, DATE(Initialisatie!$C$5,12,31)) - MAX($F$2, DATE(Initialisatie!$C$5,1,1)) + 1) &gt; 0, IFERROR(VALUE($F15),0)=0),
        AND(MAX(0, MIN($G$1, DATE(Initialisatie!$C$5,12,31)) - MAX($G$2, DATE(Initialisatie!$C$5,1,1)) + 1) &gt; 0, IFERROR(VALUE($G15),0)=0),
        AND(MAX(0, MIN($H$1, DATE(Initialisatie!$C$5,12,31)) - MAX($H$2, DATE(Initialisatie!$C$5,1,1)) + 1) &gt; 0, IFERROR(VALUE($H15),0)=0),
        AND(MAX(0, MIN($I$1, DATE(Initialisatie!$C$5,12,31)) - MAX($I$2, DATE(Initialisatie!$C$5,1,1)) + 1) &gt; 0, IFERROR(VALUE($I15),0)=0),
        AND(MAX(0, MIN($J$1, DATE(Initialisatie!$C$5,12,31)) - MAX($J$2, DATE(Initialisatie!$C$5,1,1)) + 1) &gt; 0, IFERROR(VALUE($J15),0)=0)
    ),
    0,
    SUM(
        IFERROR(VALUE($E15),0) * MAX(0, MIN($E$1, DATE(Initialisatie!$C$5,12,31)) - MAX($E$2, DATE(Initialisatie!$C$5,1,1)) + 1),
        IFERROR(VALUE($F15),0) * MAX(0, MIN($F$1, DATE(Initialisatie!$C$5,12,31)) - MAX($F$2, DATE(Initialisatie!$C$5,1,1)) + 1),
        IFERROR(VALUE($G15),0) * MAX(0, MIN($G$1, DATE(Initialisatie!$C$5,12,31)) - MAX($G$2, DATE(Initialisatie!$C$5,1,1)) + 1),
        IFERROR(VALUE($H15),0) * MAX(0, MIN($H$1, DATE(Initialisatie!$C$5,12,31)) - MAX($H$2, DATE(Initialisatie!$C$5,1,1)) + 1),
        IFERROR(VALUE($I15),0) * MAX(0, MIN($I$1, DATE(Initialisatie!$C$5,12,31)) - MAX($I$2, DATE(Initialisatie!$C$5,1,1)) + 1),
        IFERROR(VALUE($J15),0) * MAX(0, MIN($J$1, DATE(Initialisatie!$C$5,12,31)) - MAX($J$2, DATE(Initialisatie!$C$5,1,1)) + 1)
    ) / (DATE(Initialisatie!$C$5,12,31) - DATE(Initialisatie!$C$5,1,1) + 1)
)</f>
        <v>2829</v>
      </c>
    </row>
    <row r="16" spans="1:30" x14ac:dyDescent="0.45">
      <c r="A16" s="989"/>
      <c r="B16" s="35">
        <v>11</v>
      </c>
      <c r="C16" s="35">
        <v>11</v>
      </c>
      <c r="D16" s="35" t="s">
        <v>530</v>
      </c>
      <c r="J16">
        <v>2908</v>
      </c>
      <c r="L16">
        <f>IF(
    OR(
        AND(MAX(0, MIN($E$1, DATE(Initialisatie!$C$5,12,31)) - MAX($E$2, DATE(Initialisatie!$C$5,1,1)) + 1) &gt; 0, IFERROR(VALUE($E16),0)=0),
        AND(MAX(0, MIN($F$1, DATE(Initialisatie!$C$5,12,31)) - MAX($F$2, DATE(Initialisatie!$C$5,1,1)) + 1) &gt; 0, IFERROR(VALUE($F16),0)=0),
        AND(MAX(0, MIN($G$1, DATE(Initialisatie!$C$5,12,31)) - MAX($G$2, DATE(Initialisatie!$C$5,1,1)) + 1) &gt; 0, IFERROR(VALUE($G16),0)=0),
        AND(MAX(0, MIN($H$1, DATE(Initialisatie!$C$5,12,31)) - MAX($H$2, DATE(Initialisatie!$C$5,1,1)) + 1) &gt; 0, IFERROR(VALUE($H16),0)=0),
        AND(MAX(0, MIN($I$1, DATE(Initialisatie!$C$5,12,31)) - MAX($I$2, DATE(Initialisatie!$C$5,1,1)) + 1) &gt; 0, IFERROR(VALUE($I16),0)=0),
        AND(MAX(0, MIN($J$1, DATE(Initialisatie!$C$5,12,31)) - MAX($J$2, DATE(Initialisatie!$C$5,1,1)) + 1) &gt; 0, IFERROR(VALUE($J16),0)=0)
    ),
    0,
    SUM(
        IFERROR(VALUE($E16),0) * MAX(0, MIN($E$1, DATE(Initialisatie!$C$5,12,31)) - MAX($E$2, DATE(Initialisatie!$C$5,1,1)) + 1),
        IFERROR(VALUE($F16),0) * MAX(0, MIN($F$1, DATE(Initialisatie!$C$5,12,31)) - MAX($F$2, DATE(Initialisatie!$C$5,1,1)) + 1),
        IFERROR(VALUE($G16),0) * MAX(0, MIN($G$1, DATE(Initialisatie!$C$5,12,31)) - MAX($G$2, DATE(Initialisatie!$C$5,1,1)) + 1),
        IFERROR(VALUE($H16),0) * MAX(0, MIN($H$1, DATE(Initialisatie!$C$5,12,31)) - MAX($H$2, DATE(Initialisatie!$C$5,1,1)) + 1),
        IFERROR(VALUE($I16),0) * MAX(0, MIN($I$1, DATE(Initialisatie!$C$5,12,31)) - MAX($I$2, DATE(Initialisatie!$C$5,1,1)) + 1),
        IFERROR(VALUE($J16),0) * MAX(0, MIN($J$1, DATE(Initialisatie!$C$5,12,31)) - MAX($J$2, DATE(Initialisatie!$C$5,1,1)) + 1)
    ) / (DATE(Initialisatie!$C$5,12,31) - DATE(Initialisatie!$C$5,1,1) + 1)
)</f>
        <v>2908</v>
      </c>
    </row>
    <row r="17" spans="1:12" x14ac:dyDescent="0.45">
      <c r="A17" s="989"/>
      <c r="B17" s="35" t="s">
        <v>531</v>
      </c>
      <c r="C17" s="35" t="s">
        <v>531</v>
      </c>
      <c r="D17" s="35" t="s">
        <v>532</v>
      </c>
      <c r="E17">
        <v>2396</v>
      </c>
      <c r="F17">
        <v>2444</v>
      </c>
      <c r="G17">
        <v>2615</v>
      </c>
      <c r="H17">
        <v>2720</v>
      </c>
      <c r="I17">
        <v>2829</v>
      </c>
      <c r="L17">
        <f>IF(
    OR(
        AND(MAX(0, MIN($E$1, DATE(Initialisatie!$C$5,12,31)) - MAX($E$2, DATE(Initialisatie!$C$5,1,1)) + 1) &gt; 0, IFERROR(VALUE($E17),0)=0),
        AND(MAX(0, MIN($F$1, DATE(Initialisatie!$C$5,12,31)) - MAX($F$2, DATE(Initialisatie!$C$5,1,1)) + 1) &gt; 0, IFERROR(VALUE($F17),0)=0),
        AND(MAX(0, MIN($G$1, DATE(Initialisatie!$C$5,12,31)) - MAX($G$2, DATE(Initialisatie!$C$5,1,1)) + 1) &gt; 0, IFERROR(VALUE($G17),0)=0),
        AND(MAX(0, MIN($H$1, DATE(Initialisatie!$C$5,12,31)) - MAX($H$2, DATE(Initialisatie!$C$5,1,1)) + 1) &gt; 0, IFERROR(VALUE($H17),0)=0),
        AND(MAX(0, MIN($I$1, DATE(Initialisatie!$C$5,12,31)) - MAX($I$2, DATE(Initialisatie!$C$5,1,1)) + 1) &gt; 0, IFERROR(VALUE($I17),0)=0),
        AND(MAX(0, MIN($J$1, DATE(Initialisatie!$C$5,12,31)) - MAX($J$2, DATE(Initialisatie!$C$5,1,1)) + 1) &gt; 0, IFERROR(VALUE($J17),0)=0)
    ),
    0,
    SUM(
        IFERROR(VALUE($E17),0) * MAX(0, MIN($E$1, DATE(Initialisatie!$C$5,12,31)) - MAX($E$2, DATE(Initialisatie!$C$5,1,1)) + 1),
        IFERROR(VALUE($F17),0) * MAX(0, MIN($F$1, DATE(Initialisatie!$C$5,12,31)) - MAX($F$2, DATE(Initialisatie!$C$5,1,1)) + 1),
        IFERROR(VALUE($G17),0) * MAX(0, MIN($G$1, DATE(Initialisatie!$C$5,12,31)) - MAX($G$2, DATE(Initialisatie!$C$5,1,1)) + 1),
        IFERROR(VALUE($H17),0) * MAX(0, MIN($H$1, DATE(Initialisatie!$C$5,12,31)) - MAX($H$2, DATE(Initialisatie!$C$5,1,1)) + 1),
        IFERROR(VALUE($I17),0) * MAX(0, MIN($I$1, DATE(Initialisatie!$C$5,12,31)) - MAX($I$2, DATE(Initialisatie!$C$5,1,1)) + 1),
        IFERROR(VALUE($J17),0) * MAX(0, MIN($J$1, DATE(Initialisatie!$C$5,12,31)) - MAX($J$2, DATE(Initialisatie!$C$5,1,1)) + 1)
    ) / (DATE(Initialisatie!$C$5,12,31) - DATE(Initialisatie!$C$5,1,1) + 1)
)</f>
        <v>0</v>
      </c>
    </row>
    <row r="18" spans="1:12" x14ac:dyDescent="0.45">
      <c r="A18" s="989"/>
      <c r="B18" s="35" t="s">
        <v>533</v>
      </c>
      <c r="C18" s="35" t="s">
        <v>533</v>
      </c>
      <c r="D18" s="35" t="s">
        <v>534</v>
      </c>
      <c r="E18">
        <v>2463</v>
      </c>
      <c r="F18">
        <v>2512</v>
      </c>
      <c r="G18">
        <v>2688</v>
      </c>
      <c r="H18">
        <v>2796</v>
      </c>
      <c r="I18">
        <v>2908</v>
      </c>
      <c r="L18">
        <f>IF(
    OR(
        AND(MAX(0, MIN($E$1, DATE(Initialisatie!$C$5,12,31)) - MAX($E$2, DATE(Initialisatie!$C$5,1,1)) + 1) &gt; 0, IFERROR(VALUE($E18),0)=0),
        AND(MAX(0, MIN($F$1, DATE(Initialisatie!$C$5,12,31)) - MAX($F$2, DATE(Initialisatie!$C$5,1,1)) + 1) &gt; 0, IFERROR(VALUE($F18),0)=0),
        AND(MAX(0, MIN($G$1, DATE(Initialisatie!$C$5,12,31)) - MAX($G$2, DATE(Initialisatie!$C$5,1,1)) + 1) &gt; 0, IFERROR(VALUE($G18),0)=0),
        AND(MAX(0, MIN($H$1, DATE(Initialisatie!$C$5,12,31)) - MAX($H$2, DATE(Initialisatie!$C$5,1,1)) + 1) &gt; 0, IFERROR(VALUE($H18),0)=0),
        AND(MAX(0, MIN($I$1, DATE(Initialisatie!$C$5,12,31)) - MAX($I$2, DATE(Initialisatie!$C$5,1,1)) + 1) &gt; 0, IFERROR(VALUE($I18),0)=0),
        AND(MAX(0, MIN($J$1, DATE(Initialisatie!$C$5,12,31)) - MAX($J$2, DATE(Initialisatie!$C$5,1,1)) + 1) &gt; 0, IFERROR(VALUE($J18),0)=0)
    ),
    0,
    SUM(
        IFERROR(VALUE($E18),0) * MAX(0, MIN($E$1, DATE(Initialisatie!$C$5,12,31)) - MAX($E$2, DATE(Initialisatie!$C$5,1,1)) + 1),
        IFERROR(VALUE($F18),0) * MAX(0, MIN($F$1, DATE(Initialisatie!$C$5,12,31)) - MAX($F$2, DATE(Initialisatie!$C$5,1,1)) + 1),
        IFERROR(VALUE($G18),0) * MAX(0, MIN($G$1, DATE(Initialisatie!$C$5,12,31)) - MAX($G$2, DATE(Initialisatie!$C$5,1,1)) + 1),
        IFERROR(VALUE($H18),0) * MAX(0, MIN($H$1, DATE(Initialisatie!$C$5,12,31)) - MAX($H$2, DATE(Initialisatie!$C$5,1,1)) + 1),
        IFERROR(VALUE($I18),0) * MAX(0, MIN($I$1, DATE(Initialisatie!$C$5,12,31)) - MAX($I$2, DATE(Initialisatie!$C$5,1,1)) + 1),
        IFERROR(VALUE($J18),0) * MAX(0, MIN($J$1, DATE(Initialisatie!$C$5,12,31)) - MAX($J$2, DATE(Initialisatie!$C$5,1,1)) + 1)
    ) / (DATE(Initialisatie!$C$5,12,31) - DATE(Initialisatie!$C$5,1,1) + 1)
)</f>
        <v>0</v>
      </c>
    </row>
    <row r="19" spans="1:12" x14ac:dyDescent="0.45">
      <c r="A19" s="989"/>
      <c r="B19" s="35" t="s">
        <v>535</v>
      </c>
      <c r="C19" s="35" t="s">
        <v>535</v>
      </c>
      <c r="D19" s="35" t="s">
        <v>536</v>
      </c>
      <c r="E19">
        <v>2396</v>
      </c>
      <c r="F19">
        <v>2444</v>
      </c>
      <c r="G19">
        <v>2615</v>
      </c>
      <c r="H19">
        <v>2720</v>
      </c>
      <c r="I19">
        <v>2829</v>
      </c>
      <c r="J19">
        <v>2829</v>
      </c>
      <c r="L19">
        <f>IF(
    OR(
        AND(MAX(0, MIN($E$1, DATE(Initialisatie!$C$5,12,31)) - MAX($E$2, DATE(Initialisatie!$C$5,1,1)) + 1) &gt; 0, IFERROR(VALUE($E19),0)=0),
        AND(MAX(0, MIN($F$1, DATE(Initialisatie!$C$5,12,31)) - MAX($F$2, DATE(Initialisatie!$C$5,1,1)) + 1) &gt; 0, IFERROR(VALUE($F19),0)=0),
        AND(MAX(0, MIN($G$1, DATE(Initialisatie!$C$5,12,31)) - MAX($G$2, DATE(Initialisatie!$C$5,1,1)) + 1) &gt; 0, IFERROR(VALUE($G19),0)=0),
        AND(MAX(0, MIN($H$1, DATE(Initialisatie!$C$5,12,31)) - MAX($H$2, DATE(Initialisatie!$C$5,1,1)) + 1) &gt; 0, IFERROR(VALUE($H19),0)=0),
        AND(MAX(0, MIN($I$1, DATE(Initialisatie!$C$5,12,31)) - MAX($I$2, DATE(Initialisatie!$C$5,1,1)) + 1) &gt; 0, IFERROR(VALUE($I19),0)=0),
        AND(MAX(0, MIN($J$1, DATE(Initialisatie!$C$5,12,31)) - MAX($J$2, DATE(Initialisatie!$C$5,1,1)) + 1) &gt; 0, IFERROR(VALUE($J19),0)=0)
    ),
    0,
    SUM(
        IFERROR(VALUE($E19),0) * MAX(0, MIN($E$1, DATE(Initialisatie!$C$5,12,31)) - MAX($E$2, DATE(Initialisatie!$C$5,1,1)) + 1),
        IFERROR(VALUE($F19),0) * MAX(0, MIN($F$1, DATE(Initialisatie!$C$5,12,31)) - MAX($F$2, DATE(Initialisatie!$C$5,1,1)) + 1),
        IFERROR(VALUE($G19),0) * MAX(0, MIN($G$1, DATE(Initialisatie!$C$5,12,31)) - MAX($G$2, DATE(Initialisatie!$C$5,1,1)) + 1),
        IFERROR(VALUE($H19),0) * MAX(0, MIN($H$1, DATE(Initialisatie!$C$5,12,31)) - MAX($H$2, DATE(Initialisatie!$C$5,1,1)) + 1),
        IFERROR(VALUE($I19),0) * MAX(0, MIN($I$1, DATE(Initialisatie!$C$5,12,31)) - MAX($I$2, DATE(Initialisatie!$C$5,1,1)) + 1),
        IFERROR(VALUE($J19),0) * MAX(0, MIN($J$1, DATE(Initialisatie!$C$5,12,31)) - MAX($J$2, DATE(Initialisatie!$C$5,1,1)) + 1)
    ) / (DATE(Initialisatie!$C$5,12,31) - DATE(Initialisatie!$C$5,1,1) + 1)
)</f>
        <v>2829</v>
      </c>
    </row>
    <row r="20" spans="1:12" x14ac:dyDescent="0.45">
      <c r="A20" s="989"/>
      <c r="B20" s="35" t="s">
        <v>537</v>
      </c>
      <c r="C20" s="35" t="s">
        <v>537</v>
      </c>
      <c r="D20" s="35" t="s">
        <v>538</v>
      </c>
      <c r="E20">
        <v>2463</v>
      </c>
      <c r="F20">
        <v>2512</v>
      </c>
      <c r="G20">
        <v>2688</v>
      </c>
      <c r="H20">
        <v>2796</v>
      </c>
      <c r="I20">
        <v>2908</v>
      </c>
      <c r="J20">
        <v>2908</v>
      </c>
      <c r="L20">
        <f>IF(
    OR(
        AND(MAX(0, MIN($E$1, DATE(Initialisatie!$C$5,12,31)) - MAX($E$2, DATE(Initialisatie!$C$5,1,1)) + 1) &gt; 0, IFERROR(VALUE($E20),0)=0),
        AND(MAX(0, MIN($F$1, DATE(Initialisatie!$C$5,12,31)) - MAX($F$2, DATE(Initialisatie!$C$5,1,1)) + 1) &gt; 0, IFERROR(VALUE($F20),0)=0),
        AND(MAX(0, MIN($G$1, DATE(Initialisatie!$C$5,12,31)) - MAX($G$2, DATE(Initialisatie!$C$5,1,1)) + 1) &gt; 0, IFERROR(VALUE($G20),0)=0),
        AND(MAX(0, MIN($H$1, DATE(Initialisatie!$C$5,12,31)) - MAX($H$2, DATE(Initialisatie!$C$5,1,1)) + 1) &gt; 0, IFERROR(VALUE($H20),0)=0),
        AND(MAX(0, MIN($I$1, DATE(Initialisatie!$C$5,12,31)) - MAX($I$2, DATE(Initialisatie!$C$5,1,1)) + 1) &gt; 0, IFERROR(VALUE($I20),0)=0),
        AND(MAX(0, MIN($J$1, DATE(Initialisatie!$C$5,12,31)) - MAX($J$2, DATE(Initialisatie!$C$5,1,1)) + 1) &gt; 0, IFERROR(VALUE($J20),0)=0)
    ),
    0,
    SUM(
        IFERROR(VALUE($E20),0) * MAX(0, MIN($E$1, DATE(Initialisatie!$C$5,12,31)) - MAX($E$2, DATE(Initialisatie!$C$5,1,1)) + 1),
        IFERROR(VALUE($F20),0) * MAX(0, MIN($F$1, DATE(Initialisatie!$C$5,12,31)) - MAX($F$2, DATE(Initialisatie!$C$5,1,1)) + 1),
        IFERROR(VALUE($G20),0) * MAX(0, MIN($G$1, DATE(Initialisatie!$C$5,12,31)) - MAX($G$2, DATE(Initialisatie!$C$5,1,1)) + 1),
        IFERROR(VALUE($H20),0) * MAX(0, MIN($H$1, DATE(Initialisatie!$C$5,12,31)) - MAX($H$2, DATE(Initialisatie!$C$5,1,1)) + 1),
        IFERROR(VALUE($I20),0) * MAX(0, MIN($I$1, DATE(Initialisatie!$C$5,12,31)) - MAX($I$2, DATE(Initialisatie!$C$5,1,1)) + 1),
        IFERROR(VALUE($J20),0) * MAX(0, MIN($J$1, DATE(Initialisatie!$C$5,12,31)) - MAX($J$2, DATE(Initialisatie!$C$5,1,1)) + 1)
    ) / (DATE(Initialisatie!$C$5,12,31) - DATE(Initialisatie!$C$5,1,1) + 1)
)</f>
        <v>2908</v>
      </c>
    </row>
    <row r="21" spans="1:12" x14ac:dyDescent="0.45">
      <c r="A21" s="989"/>
      <c r="B21" s="35" t="s">
        <v>539</v>
      </c>
      <c r="C21" s="35" t="s">
        <v>539</v>
      </c>
      <c r="D21" s="35" t="s">
        <v>540</v>
      </c>
      <c r="E21">
        <v>2543</v>
      </c>
      <c r="F21">
        <v>2594</v>
      </c>
      <c r="G21">
        <v>2776</v>
      </c>
      <c r="H21">
        <v>2887</v>
      </c>
      <c r="I21">
        <v>3002</v>
      </c>
      <c r="J21">
        <v>3002</v>
      </c>
      <c r="L21">
        <f>IF(
    OR(
        AND(MAX(0, MIN($E$1, DATE(Initialisatie!$C$5,12,31)) - MAX($E$2, DATE(Initialisatie!$C$5,1,1)) + 1) &gt; 0, IFERROR(VALUE($E21),0)=0),
        AND(MAX(0, MIN($F$1, DATE(Initialisatie!$C$5,12,31)) - MAX($F$2, DATE(Initialisatie!$C$5,1,1)) + 1) &gt; 0, IFERROR(VALUE($F21),0)=0),
        AND(MAX(0, MIN($G$1, DATE(Initialisatie!$C$5,12,31)) - MAX($G$2, DATE(Initialisatie!$C$5,1,1)) + 1) &gt; 0, IFERROR(VALUE($G21),0)=0),
        AND(MAX(0, MIN($H$1, DATE(Initialisatie!$C$5,12,31)) - MAX($H$2, DATE(Initialisatie!$C$5,1,1)) + 1) &gt; 0, IFERROR(VALUE($H21),0)=0),
        AND(MAX(0, MIN($I$1, DATE(Initialisatie!$C$5,12,31)) - MAX($I$2, DATE(Initialisatie!$C$5,1,1)) + 1) &gt; 0, IFERROR(VALUE($I21),0)=0),
        AND(MAX(0, MIN($J$1, DATE(Initialisatie!$C$5,12,31)) - MAX($J$2, DATE(Initialisatie!$C$5,1,1)) + 1) &gt; 0, IFERROR(VALUE($J21),0)=0)
    ),
    0,
    SUM(
        IFERROR(VALUE($E21),0) * MAX(0, MIN($E$1, DATE(Initialisatie!$C$5,12,31)) - MAX($E$2, DATE(Initialisatie!$C$5,1,1)) + 1),
        IFERROR(VALUE($F21),0) * MAX(0, MIN($F$1, DATE(Initialisatie!$C$5,12,31)) - MAX($F$2, DATE(Initialisatie!$C$5,1,1)) + 1),
        IFERROR(VALUE($G21),0) * MAX(0, MIN($G$1, DATE(Initialisatie!$C$5,12,31)) - MAX($G$2, DATE(Initialisatie!$C$5,1,1)) + 1),
        IFERROR(VALUE($H21),0) * MAX(0, MIN($H$1, DATE(Initialisatie!$C$5,12,31)) - MAX($H$2, DATE(Initialisatie!$C$5,1,1)) + 1),
        IFERROR(VALUE($I21),0) * MAX(0, MIN($I$1, DATE(Initialisatie!$C$5,12,31)) - MAX($I$2, DATE(Initialisatie!$C$5,1,1)) + 1),
        IFERROR(VALUE($J21),0) * MAX(0, MIN($J$1, DATE(Initialisatie!$C$5,12,31)) - MAX($J$2, DATE(Initialisatie!$C$5,1,1)) + 1)
    ) / (DATE(Initialisatie!$C$5,12,31) - DATE(Initialisatie!$C$5,1,1) + 1)
)</f>
        <v>3002</v>
      </c>
    </row>
    <row r="22" spans="1:12" x14ac:dyDescent="0.45">
      <c r="A22" s="989"/>
      <c r="B22" s="35" t="s">
        <v>541</v>
      </c>
      <c r="C22" s="35" t="s">
        <v>541</v>
      </c>
      <c r="D22" s="35" t="s">
        <v>542</v>
      </c>
      <c r="E22">
        <v>2614</v>
      </c>
      <c r="F22">
        <v>2666</v>
      </c>
      <c r="G22">
        <v>2853</v>
      </c>
      <c r="H22">
        <v>2967</v>
      </c>
      <c r="I22">
        <v>3086</v>
      </c>
      <c r="J22">
        <v>3086</v>
      </c>
      <c r="L22">
        <f>IF(
    OR(
        AND(MAX(0, MIN($E$1, DATE(Initialisatie!$C$5,12,31)) - MAX($E$2, DATE(Initialisatie!$C$5,1,1)) + 1) &gt; 0, IFERROR(VALUE($E22),0)=0),
        AND(MAX(0, MIN($F$1, DATE(Initialisatie!$C$5,12,31)) - MAX($F$2, DATE(Initialisatie!$C$5,1,1)) + 1) &gt; 0, IFERROR(VALUE($F22),0)=0),
        AND(MAX(0, MIN($G$1, DATE(Initialisatie!$C$5,12,31)) - MAX($G$2, DATE(Initialisatie!$C$5,1,1)) + 1) &gt; 0, IFERROR(VALUE($G22),0)=0),
        AND(MAX(0, MIN($H$1, DATE(Initialisatie!$C$5,12,31)) - MAX($H$2, DATE(Initialisatie!$C$5,1,1)) + 1) &gt; 0, IFERROR(VALUE($H22),0)=0),
        AND(MAX(0, MIN($I$1, DATE(Initialisatie!$C$5,12,31)) - MAX($I$2, DATE(Initialisatie!$C$5,1,1)) + 1) &gt; 0, IFERROR(VALUE($I22),0)=0),
        AND(MAX(0, MIN($J$1, DATE(Initialisatie!$C$5,12,31)) - MAX($J$2, DATE(Initialisatie!$C$5,1,1)) + 1) &gt; 0, IFERROR(VALUE($J22),0)=0)
    ),
    0,
    SUM(
        IFERROR(VALUE($E22),0) * MAX(0, MIN($E$1, DATE(Initialisatie!$C$5,12,31)) - MAX($E$2, DATE(Initialisatie!$C$5,1,1)) + 1),
        IFERROR(VALUE($F22),0) * MAX(0, MIN($F$1, DATE(Initialisatie!$C$5,12,31)) - MAX($F$2, DATE(Initialisatie!$C$5,1,1)) + 1),
        IFERROR(VALUE($G22),0) * MAX(0, MIN($G$1, DATE(Initialisatie!$C$5,12,31)) - MAX($G$2, DATE(Initialisatie!$C$5,1,1)) + 1),
        IFERROR(VALUE($H22),0) * MAX(0, MIN($H$1, DATE(Initialisatie!$C$5,12,31)) - MAX($H$2, DATE(Initialisatie!$C$5,1,1)) + 1),
        IFERROR(VALUE($I22),0) * MAX(0, MIN($I$1, DATE(Initialisatie!$C$5,12,31)) - MAX($I$2, DATE(Initialisatie!$C$5,1,1)) + 1),
        IFERROR(VALUE($J22),0) * MAX(0, MIN($J$1, DATE(Initialisatie!$C$5,12,31)) - MAX($J$2, DATE(Initialisatie!$C$5,1,1)) + 1)
    ) / (DATE(Initialisatie!$C$5,12,31) - DATE(Initialisatie!$C$5,1,1) + 1)
)</f>
        <v>3086</v>
      </c>
    </row>
    <row r="23" spans="1:12" x14ac:dyDescent="0.45">
      <c r="A23" s="990"/>
      <c r="B23" s="35" t="s">
        <v>543</v>
      </c>
      <c r="C23" s="35" t="s">
        <v>543</v>
      </c>
      <c r="D23" s="35" t="s">
        <v>544</v>
      </c>
      <c r="E23">
        <v>2693</v>
      </c>
      <c r="F23">
        <v>2747</v>
      </c>
      <c r="G23">
        <v>2939</v>
      </c>
      <c r="H23">
        <v>3057</v>
      </c>
      <c r="I23">
        <v>3179</v>
      </c>
      <c r="J23">
        <v>3179</v>
      </c>
      <c r="L23">
        <f>IF(
    OR(
        AND(MAX(0, MIN($E$1, DATE(Initialisatie!$C$5,12,31)) - MAX($E$2, DATE(Initialisatie!$C$5,1,1)) + 1) &gt; 0, IFERROR(VALUE($E23),0)=0),
        AND(MAX(0, MIN($F$1, DATE(Initialisatie!$C$5,12,31)) - MAX($F$2, DATE(Initialisatie!$C$5,1,1)) + 1) &gt; 0, IFERROR(VALUE($F23),0)=0),
        AND(MAX(0, MIN($G$1, DATE(Initialisatie!$C$5,12,31)) - MAX($G$2, DATE(Initialisatie!$C$5,1,1)) + 1) &gt; 0, IFERROR(VALUE($G23),0)=0),
        AND(MAX(0, MIN($H$1, DATE(Initialisatie!$C$5,12,31)) - MAX($H$2, DATE(Initialisatie!$C$5,1,1)) + 1) &gt; 0, IFERROR(VALUE($H23),0)=0),
        AND(MAX(0, MIN($I$1, DATE(Initialisatie!$C$5,12,31)) - MAX($I$2, DATE(Initialisatie!$C$5,1,1)) + 1) &gt; 0, IFERROR(VALUE($I23),0)=0),
        AND(MAX(0, MIN($J$1, DATE(Initialisatie!$C$5,12,31)) - MAX($J$2, DATE(Initialisatie!$C$5,1,1)) + 1) &gt; 0, IFERROR(VALUE($J23),0)=0)
    ),
    0,
    SUM(
        IFERROR(VALUE($E23),0) * MAX(0, MIN($E$1, DATE(Initialisatie!$C$5,12,31)) - MAX($E$2, DATE(Initialisatie!$C$5,1,1)) + 1),
        IFERROR(VALUE($F23),0) * MAX(0, MIN($F$1, DATE(Initialisatie!$C$5,12,31)) - MAX($F$2, DATE(Initialisatie!$C$5,1,1)) + 1),
        IFERROR(VALUE($G23),0) * MAX(0, MIN($G$1, DATE(Initialisatie!$C$5,12,31)) - MAX($G$2, DATE(Initialisatie!$C$5,1,1)) + 1),
        IFERROR(VALUE($H23),0) * MAX(0, MIN($H$1, DATE(Initialisatie!$C$5,12,31)) - MAX($H$2, DATE(Initialisatie!$C$5,1,1)) + 1),
        IFERROR(VALUE($I23),0) * MAX(0, MIN($I$1, DATE(Initialisatie!$C$5,12,31)) - MAX($I$2, DATE(Initialisatie!$C$5,1,1)) + 1),
        IFERROR(VALUE($J23),0) * MAX(0, MIN($J$1, DATE(Initialisatie!$C$5,12,31)) - MAX($J$2, DATE(Initialisatie!$C$5,1,1)) + 1)
    ) / (DATE(Initialisatie!$C$5,12,31) - DATE(Initialisatie!$C$5,1,1) + 1)
)</f>
        <v>3179</v>
      </c>
    </row>
    <row r="24" spans="1:12" x14ac:dyDescent="0.45">
      <c r="A24" s="988">
        <v>2</v>
      </c>
      <c r="B24" s="35" t="s">
        <v>517</v>
      </c>
      <c r="C24" s="35" t="s">
        <v>517</v>
      </c>
      <c r="D24" s="35" t="s">
        <v>545</v>
      </c>
      <c r="E24">
        <v>1875</v>
      </c>
      <c r="F24">
        <v>1913</v>
      </c>
      <c r="G24">
        <v>2047</v>
      </c>
      <c r="H24">
        <v>2184</v>
      </c>
      <c r="I24">
        <v>2214</v>
      </c>
      <c r="J24">
        <v>2214</v>
      </c>
      <c r="L24">
        <f>IF(
    OR(
        AND(MAX(0, MIN($E$1, DATE(Initialisatie!$C$5,12,31)) - MAX($E$2, DATE(Initialisatie!$C$5,1,1)) + 1) &gt; 0, IFERROR(VALUE($E24),0)=0),
        AND(MAX(0, MIN($F$1, DATE(Initialisatie!$C$5,12,31)) - MAX($F$2, DATE(Initialisatie!$C$5,1,1)) + 1) &gt; 0, IFERROR(VALUE($F24),0)=0),
        AND(MAX(0, MIN($G$1, DATE(Initialisatie!$C$5,12,31)) - MAX($G$2, DATE(Initialisatie!$C$5,1,1)) + 1) &gt; 0, IFERROR(VALUE($G24),0)=0),
        AND(MAX(0, MIN($H$1, DATE(Initialisatie!$C$5,12,31)) - MAX($H$2, DATE(Initialisatie!$C$5,1,1)) + 1) &gt; 0, IFERROR(VALUE($H24),0)=0),
        AND(MAX(0, MIN($I$1, DATE(Initialisatie!$C$5,12,31)) - MAX($I$2, DATE(Initialisatie!$C$5,1,1)) + 1) &gt; 0, IFERROR(VALUE($I24),0)=0),
        AND(MAX(0, MIN($J$1, DATE(Initialisatie!$C$5,12,31)) - MAX($J$2, DATE(Initialisatie!$C$5,1,1)) + 1) &gt; 0, IFERROR(VALUE($J24),0)=0)
    ),
    0,
    SUM(
        IFERROR(VALUE($E24),0) * MAX(0, MIN($E$1, DATE(Initialisatie!$C$5,12,31)) - MAX($E$2, DATE(Initialisatie!$C$5,1,1)) + 1),
        IFERROR(VALUE($F24),0) * MAX(0, MIN($F$1, DATE(Initialisatie!$C$5,12,31)) - MAX($F$2, DATE(Initialisatie!$C$5,1,1)) + 1),
        IFERROR(VALUE($G24),0) * MAX(0, MIN($G$1, DATE(Initialisatie!$C$5,12,31)) - MAX($G$2, DATE(Initialisatie!$C$5,1,1)) + 1),
        IFERROR(VALUE($H24),0) * MAX(0, MIN($H$1, DATE(Initialisatie!$C$5,12,31)) - MAX($H$2, DATE(Initialisatie!$C$5,1,1)) + 1),
        IFERROR(VALUE($I24),0) * MAX(0, MIN($I$1, DATE(Initialisatie!$C$5,12,31)) - MAX($I$2, DATE(Initialisatie!$C$5,1,1)) + 1),
        IFERROR(VALUE($J24),0) * MAX(0, MIN($J$1, DATE(Initialisatie!$C$5,12,31)) - MAX($J$2, DATE(Initialisatie!$C$5,1,1)) + 1)
    ) / (DATE(Initialisatie!$C$5,12,31) - DATE(Initialisatie!$C$5,1,1) + 1)
)</f>
        <v>2214</v>
      </c>
    </row>
    <row r="25" spans="1:12" x14ac:dyDescent="0.45">
      <c r="A25" s="989"/>
      <c r="B25" s="35">
        <v>0</v>
      </c>
      <c r="C25" s="35">
        <v>0</v>
      </c>
      <c r="D25" s="35" t="s">
        <v>546</v>
      </c>
      <c r="E25">
        <v>1917</v>
      </c>
      <c r="F25">
        <v>1955</v>
      </c>
      <c r="G25">
        <v>2092</v>
      </c>
      <c r="H25">
        <v>2184</v>
      </c>
      <c r="I25">
        <v>2263</v>
      </c>
      <c r="J25">
        <v>2263</v>
      </c>
      <c r="L25">
        <f>IF(
    OR(
        AND(MAX(0, MIN($E$1, DATE(Initialisatie!$C$5,12,31)) - MAX($E$2, DATE(Initialisatie!$C$5,1,1)) + 1) &gt; 0, IFERROR(VALUE($E25),0)=0),
        AND(MAX(0, MIN($F$1, DATE(Initialisatie!$C$5,12,31)) - MAX($F$2, DATE(Initialisatie!$C$5,1,1)) + 1) &gt; 0, IFERROR(VALUE($F25),0)=0),
        AND(MAX(0, MIN($G$1, DATE(Initialisatie!$C$5,12,31)) - MAX($G$2, DATE(Initialisatie!$C$5,1,1)) + 1) &gt; 0, IFERROR(VALUE($G25),0)=0),
        AND(MAX(0, MIN($H$1, DATE(Initialisatie!$C$5,12,31)) - MAX($H$2, DATE(Initialisatie!$C$5,1,1)) + 1) &gt; 0, IFERROR(VALUE($H25),0)=0),
        AND(MAX(0, MIN($I$1, DATE(Initialisatie!$C$5,12,31)) - MAX($I$2, DATE(Initialisatie!$C$5,1,1)) + 1) &gt; 0, IFERROR(VALUE($I25),0)=0),
        AND(MAX(0, MIN($J$1, DATE(Initialisatie!$C$5,12,31)) - MAX($J$2, DATE(Initialisatie!$C$5,1,1)) + 1) &gt; 0, IFERROR(VALUE($J25),0)=0)
    ),
    0,
    SUM(
        IFERROR(VALUE($E25),0) * MAX(0, MIN($E$1, DATE(Initialisatie!$C$5,12,31)) - MAX($E$2, DATE(Initialisatie!$C$5,1,1)) + 1),
        IFERROR(VALUE($F25),0) * MAX(0, MIN($F$1, DATE(Initialisatie!$C$5,12,31)) - MAX($F$2, DATE(Initialisatie!$C$5,1,1)) + 1),
        IFERROR(VALUE($G25),0) * MAX(0, MIN($G$1, DATE(Initialisatie!$C$5,12,31)) - MAX($G$2, DATE(Initialisatie!$C$5,1,1)) + 1),
        IFERROR(VALUE($H25),0) * MAX(0, MIN($H$1, DATE(Initialisatie!$C$5,12,31)) - MAX($H$2, DATE(Initialisatie!$C$5,1,1)) + 1),
        IFERROR(VALUE($I25),0) * MAX(0, MIN($I$1, DATE(Initialisatie!$C$5,12,31)) - MAX($I$2, DATE(Initialisatie!$C$5,1,1)) + 1),
        IFERROR(VALUE($J25),0) * MAX(0, MIN($J$1, DATE(Initialisatie!$C$5,12,31)) - MAX($J$2, DATE(Initialisatie!$C$5,1,1)) + 1)
    ) / (DATE(Initialisatie!$C$5,12,31) - DATE(Initialisatie!$C$5,1,1) + 1)
)</f>
        <v>2263</v>
      </c>
    </row>
    <row r="26" spans="1:12" x14ac:dyDescent="0.45">
      <c r="A26" s="989"/>
      <c r="B26" s="35">
        <v>1</v>
      </c>
      <c r="C26" s="35">
        <v>1</v>
      </c>
      <c r="D26" s="35" t="s">
        <v>547</v>
      </c>
      <c r="E26">
        <v>1963</v>
      </c>
      <c r="F26">
        <v>2002</v>
      </c>
      <c r="G26">
        <v>2142</v>
      </c>
      <c r="H26">
        <v>2228</v>
      </c>
      <c r="I26">
        <v>2317</v>
      </c>
      <c r="J26">
        <v>2317</v>
      </c>
      <c r="L26">
        <f>IF(
    OR(
        AND(MAX(0, MIN($E$1, DATE(Initialisatie!$C$5,12,31)) - MAX($E$2, DATE(Initialisatie!$C$5,1,1)) + 1) &gt; 0, IFERROR(VALUE($E26),0)=0),
        AND(MAX(0, MIN($F$1, DATE(Initialisatie!$C$5,12,31)) - MAX($F$2, DATE(Initialisatie!$C$5,1,1)) + 1) &gt; 0, IFERROR(VALUE($F26),0)=0),
        AND(MAX(0, MIN($G$1, DATE(Initialisatie!$C$5,12,31)) - MAX($G$2, DATE(Initialisatie!$C$5,1,1)) + 1) &gt; 0, IFERROR(VALUE($G26),0)=0),
        AND(MAX(0, MIN($H$1, DATE(Initialisatie!$C$5,12,31)) - MAX($H$2, DATE(Initialisatie!$C$5,1,1)) + 1) &gt; 0, IFERROR(VALUE($H26),0)=0),
        AND(MAX(0, MIN($I$1, DATE(Initialisatie!$C$5,12,31)) - MAX($I$2, DATE(Initialisatie!$C$5,1,1)) + 1) &gt; 0, IFERROR(VALUE($I26),0)=0),
        AND(MAX(0, MIN($J$1, DATE(Initialisatie!$C$5,12,31)) - MAX($J$2, DATE(Initialisatie!$C$5,1,1)) + 1) &gt; 0, IFERROR(VALUE($J26),0)=0)
    ),
    0,
    SUM(
        IFERROR(VALUE($E26),0) * MAX(0, MIN($E$1, DATE(Initialisatie!$C$5,12,31)) - MAX($E$2, DATE(Initialisatie!$C$5,1,1)) + 1),
        IFERROR(VALUE($F26),0) * MAX(0, MIN($F$1, DATE(Initialisatie!$C$5,12,31)) - MAX($F$2, DATE(Initialisatie!$C$5,1,1)) + 1),
        IFERROR(VALUE($G26),0) * MAX(0, MIN($G$1, DATE(Initialisatie!$C$5,12,31)) - MAX($G$2, DATE(Initialisatie!$C$5,1,1)) + 1),
        IFERROR(VALUE($H26),0) * MAX(0, MIN($H$1, DATE(Initialisatie!$C$5,12,31)) - MAX($H$2, DATE(Initialisatie!$C$5,1,1)) + 1),
        IFERROR(VALUE($I26),0) * MAX(0, MIN($I$1, DATE(Initialisatie!$C$5,12,31)) - MAX($I$2, DATE(Initialisatie!$C$5,1,1)) + 1),
        IFERROR(VALUE($J26),0) * MAX(0, MIN($J$1, DATE(Initialisatie!$C$5,12,31)) - MAX($J$2, DATE(Initialisatie!$C$5,1,1)) + 1)
    ) / (DATE(Initialisatie!$C$5,12,31) - DATE(Initialisatie!$C$5,1,1) + 1)
)</f>
        <v>2317</v>
      </c>
    </row>
    <row r="27" spans="1:12" x14ac:dyDescent="0.45">
      <c r="A27" s="989"/>
      <c r="B27" s="35">
        <v>2</v>
      </c>
      <c r="C27" s="35">
        <v>2</v>
      </c>
      <c r="D27" s="35" t="s">
        <v>548</v>
      </c>
      <c r="E27">
        <v>2012</v>
      </c>
      <c r="F27">
        <v>2052</v>
      </c>
      <c r="G27">
        <v>2196</v>
      </c>
      <c r="H27">
        <v>2284</v>
      </c>
      <c r="I27">
        <v>2375</v>
      </c>
      <c r="J27">
        <v>2375</v>
      </c>
      <c r="L27">
        <f>IF(
    OR(
        AND(MAX(0, MIN($E$1, DATE(Initialisatie!$C$5,12,31)) - MAX($E$2, DATE(Initialisatie!$C$5,1,1)) + 1) &gt; 0, IFERROR(VALUE($E27),0)=0),
        AND(MAX(0, MIN($F$1, DATE(Initialisatie!$C$5,12,31)) - MAX($F$2, DATE(Initialisatie!$C$5,1,1)) + 1) &gt; 0, IFERROR(VALUE($F27),0)=0),
        AND(MAX(0, MIN($G$1, DATE(Initialisatie!$C$5,12,31)) - MAX($G$2, DATE(Initialisatie!$C$5,1,1)) + 1) &gt; 0, IFERROR(VALUE($G27),0)=0),
        AND(MAX(0, MIN($H$1, DATE(Initialisatie!$C$5,12,31)) - MAX($H$2, DATE(Initialisatie!$C$5,1,1)) + 1) &gt; 0, IFERROR(VALUE($H27),0)=0),
        AND(MAX(0, MIN($I$1, DATE(Initialisatie!$C$5,12,31)) - MAX($I$2, DATE(Initialisatie!$C$5,1,1)) + 1) &gt; 0, IFERROR(VALUE($I27),0)=0),
        AND(MAX(0, MIN($J$1, DATE(Initialisatie!$C$5,12,31)) - MAX($J$2, DATE(Initialisatie!$C$5,1,1)) + 1) &gt; 0, IFERROR(VALUE($J27),0)=0)
    ),
    0,
    SUM(
        IFERROR(VALUE($E27),0) * MAX(0, MIN($E$1, DATE(Initialisatie!$C$5,12,31)) - MAX($E$2, DATE(Initialisatie!$C$5,1,1)) + 1),
        IFERROR(VALUE($F27),0) * MAX(0, MIN($F$1, DATE(Initialisatie!$C$5,12,31)) - MAX($F$2, DATE(Initialisatie!$C$5,1,1)) + 1),
        IFERROR(VALUE($G27),0) * MAX(0, MIN($G$1, DATE(Initialisatie!$C$5,12,31)) - MAX($G$2, DATE(Initialisatie!$C$5,1,1)) + 1),
        IFERROR(VALUE($H27),0) * MAX(0, MIN($H$1, DATE(Initialisatie!$C$5,12,31)) - MAX($H$2, DATE(Initialisatie!$C$5,1,1)) + 1),
        IFERROR(VALUE($I27),0) * MAX(0, MIN($I$1, DATE(Initialisatie!$C$5,12,31)) - MAX($I$2, DATE(Initialisatie!$C$5,1,1)) + 1),
        IFERROR(VALUE($J27),0) * MAX(0, MIN($J$1, DATE(Initialisatie!$C$5,12,31)) - MAX($J$2, DATE(Initialisatie!$C$5,1,1)) + 1)
    ) / (DATE(Initialisatie!$C$5,12,31) - DATE(Initialisatie!$C$5,1,1) + 1)
)</f>
        <v>2375</v>
      </c>
    </row>
    <row r="28" spans="1:12" x14ac:dyDescent="0.45">
      <c r="A28" s="989"/>
      <c r="B28" s="35">
        <v>3</v>
      </c>
      <c r="C28" s="35">
        <v>3</v>
      </c>
      <c r="D28" s="35" t="s">
        <v>549</v>
      </c>
      <c r="E28">
        <v>2058</v>
      </c>
      <c r="F28">
        <v>2099</v>
      </c>
      <c r="G28">
        <v>2246</v>
      </c>
      <c r="H28">
        <v>2336</v>
      </c>
      <c r="I28">
        <v>2429</v>
      </c>
      <c r="J28">
        <v>2429</v>
      </c>
      <c r="L28">
        <f>IF(
    OR(
        AND(MAX(0, MIN($E$1, DATE(Initialisatie!$C$5,12,31)) - MAX($E$2, DATE(Initialisatie!$C$5,1,1)) + 1) &gt; 0, IFERROR(VALUE($E28),0)=0),
        AND(MAX(0, MIN($F$1, DATE(Initialisatie!$C$5,12,31)) - MAX($F$2, DATE(Initialisatie!$C$5,1,1)) + 1) &gt; 0, IFERROR(VALUE($F28),0)=0),
        AND(MAX(0, MIN($G$1, DATE(Initialisatie!$C$5,12,31)) - MAX($G$2, DATE(Initialisatie!$C$5,1,1)) + 1) &gt; 0, IFERROR(VALUE($G28),0)=0),
        AND(MAX(0, MIN($H$1, DATE(Initialisatie!$C$5,12,31)) - MAX($H$2, DATE(Initialisatie!$C$5,1,1)) + 1) &gt; 0, IFERROR(VALUE($H28),0)=0),
        AND(MAX(0, MIN($I$1, DATE(Initialisatie!$C$5,12,31)) - MAX($I$2, DATE(Initialisatie!$C$5,1,1)) + 1) &gt; 0, IFERROR(VALUE($I28),0)=0),
        AND(MAX(0, MIN($J$1, DATE(Initialisatie!$C$5,12,31)) - MAX($J$2, DATE(Initialisatie!$C$5,1,1)) + 1) &gt; 0, IFERROR(VALUE($J28),0)=0)
    ),
    0,
    SUM(
        IFERROR(VALUE($E28),0) * MAX(0, MIN($E$1, DATE(Initialisatie!$C$5,12,31)) - MAX($E$2, DATE(Initialisatie!$C$5,1,1)) + 1),
        IFERROR(VALUE($F28),0) * MAX(0, MIN($F$1, DATE(Initialisatie!$C$5,12,31)) - MAX($F$2, DATE(Initialisatie!$C$5,1,1)) + 1),
        IFERROR(VALUE($G28),0) * MAX(0, MIN($G$1, DATE(Initialisatie!$C$5,12,31)) - MAX($G$2, DATE(Initialisatie!$C$5,1,1)) + 1),
        IFERROR(VALUE($H28),0) * MAX(0, MIN($H$1, DATE(Initialisatie!$C$5,12,31)) - MAX($H$2, DATE(Initialisatie!$C$5,1,1)) + 1),
        IFERROR(VALUE($I28),0) * MAX(0, MIN($I$1, DATE(Initialisatie!$C$5,12,31)) - MAX($I$2, DATE(Initialisatie!$C$5,1,1)) + 1),
        IFERROR(VALUE($J28),0) * MAX(0, MIN($J$1, DATE(Initialisatie!$C$5,12,31)) - MAX($J$2, DATE(Initialisatie!$C$5,1,1)) + 1)
    ) / (DATE(Initialisatie!$C$5,12,31) - DATE(Initialisatie!$C$5,1,1) + 1)
)</f>
        <v>2429</v>
      </c>
    </row>
    <row r="29" spans="1:12" x14ac:dyDescent="0.45">
      <c r="A29" s="989"/>
      <c r="B29" s="35">
        <v>4</v>
      </c>
      <c r="C29" s="35">
        <v>4</v>
      </c>
      <c r="D29" s="35" t="s">
        <v>550</v>
      </c>
      <c r="E29">
        <v>2105</v>
      </c>
      <c r="F29">
        <v>2147</v>
      </c>
      <c r="G29">
        <v>2297</v>
      </c>
      <c r="H29">
        <v>2389</v>
      </c>
      <c r="I29">
        <v>2485</v>
      </c>
      <c r="J29">
        <v>2485</v>
      </c>
      <c r="L29">
        <f>IF(
    OR(
        AND(MAX(0, MIN($E$1, DATE(Initialisatie!$C$5,12,31)) - MAX($E$2, DATE(Initialisatie!$C$5,1,1)) + 1) &gt; 0, IFERROR(VALUE($E29),0)=0),
        AND(MAX(0, MIN($F$1, DATE(Initialisatie!$C$5,12,31)) - MAX($F$2, DATE(Initialisatie!$C$5,1,1)) + 1) &gt; 0, IFERROR(VALUE($F29),0)=0),
        AND(MAX(0, MIN($G$1, DATE(Initialisatie!$C$5,12,31)) - MAX($G$2, DATE(Initialisatie!$C$5,1,1)) + 1) &gt; 0, IFERROR(VALUE($G29),0)=0),
        AND(MAX(0, MIN($H$1, DATE(Initialisatie!$C$5,12,31)) - MAX($H$2, DATE(Initialisatie!$C$5,1,1)) + 1) &gt; 0, IFERROR(VALUE($H29),0)=0),
        AND(MAX(0, MIN($I$1, DATE(Initialisatie!$C$5,12,31)) - MAX($I$2, DATE(Initialisatie!$C$5,1,1)) + 1) &gt; 0, IFERROR(VALUE($I29),0)=0),
        AND(MAX(0, MIN($J$1, DATE(Initialisatie!$C$5,12,31)) - MAX($J$2, DATE(Initialisatie!$C$5,1,1)) + 1) &gt; 0, IFERROR(VALUE($J29),0)=0)
    ),
    0,
    SUM(
        IFERROR(VALUE($E29),0) * MAX(0, MIN($E$1, DATE(Initialisatie!$C$5,12,31)) - MAX($E$2, DATE(Initialisatie!$C$5,1,1)) + 1),
        IFERROR(VALUE($F29),0) * MAX(0, MIN($F$1, DATE(Initialisatie!$C$5,12,31)) - MAX($F$2, DATE(Initialisatie!$C$5,1,1)) + 1),
        IFERROR(VALUE($G29),0) * MAX(0, MIN($G$1, DATE(Initialisatie!$C$5,12,31)) - MAX($G$2, DATE(Initialisatie!$C$5,1,1)) + 1),
        IFERROR(VALUE($H29),0) * MAX(0, MIN($H$1, DATE(Initialisatie!$C$5,12,31)) - MAX($H$2, DATE(Initialisatie!$C$5,1,1)) + 1),
        IFERROR(VALUE($I29),0) * MAX(0, MIN($I$1, DATE(Initialisatie!$C$5,12,31)) - MAX($I$2, DATE(Initialisatie!$C$5,1,1)) + 1),
        IFERROR(VALUE($J29),0) * MAX(0, MIN($J$1, DATE(Initialisatie!$C$5,12,31)) - MAX($J$2, DATE(Initialisatie!$C$5,1,1)) + 1)
    ) / (DATE(Initialisatie!$C$5,12,31) - DATE(Initialisatie!$C$5,1,1) + 1)
)</f>
        <v>2485</v>
      </c>
    </row>
    <row r="30" spans="1:12" x14ac:dyDescent="0.45">
      <c r="A30" s="989"/>
      <c r="B30" s="35">
        <v>5</v>
      </c>
      <c r="C30" s="35">
        <v>5</v>
      </c>
      <c r="D30" s="35" t="s">
        <v>551</v>
      </c>
      <c r="E30">
        <v>2157</v>
      </c>
      <c r="F30">
        <v>2200</v>
      </c>
      <c r="G30">
        <v>2354</v>
      </c>
      <c r="H30">
        <v>2448</v>
      </c>
      <c r="I30">
        <v>2546</v>
      </c>
      <c r="J30">
        <v>2546</v>
      </c>
      <c r="L30">
        <f>IF(
    OR(
        AND(MAX(0, MIN($E$1, DATE(Initialisatie!$C$5,12,31)) - MAX($E$2, DATE(Initialisatie!$C$5,1,1)) + 1) &gt; 0, IFERROR(VALUE($E30),0)=0),
        AND(MAX(0, MIN($F$1, DATE(Initialisatie!$C$5,12,31)) - MAX($F$2, DATE(Initialisatie!$C$5,1,1)) + 1) &gt; 0, IFERROR(VALUE($F30),0)=0),
        AND(MAX(0, MIN($G$1, DATE(Initialisatie!$C$5,12,31)) - MAX($G$2, DATE(Initialisatie!$C$5,1,1)) + 1) &gt; 0, IFERROR(VALUE($G30),0)=0),
        AND(MAX(0, MIN($H$1, DATE(Initialisatie!$C$5,12,31)) - MAX($H$2, DATE(Initialisatie!$C$5,1,1)) + 1) &gt; 0, IFERROR(VALUE($H30),0)=0),
        AND(MAX(0, MIN($I$1, DATE(Initialisatie!$C$5,12,31)) - MAX($I$2, DATE(Initialisatie!$C$5,1,1)) + 1) &gt; 0, IFERROR(VALUE($I30),0)=0),
        AND(MAX(0, MIN($J$1, DATE(Initialisatie!$C$5,12,31)) - MAX($J$2, DATE(Initialisatie!$C$5,1,1)) + 1) &gt; 0, IFERROR(VALUE($J30),0)=0)
    ),
    0,
    SUM(
        IFERROR(VALUE($E30),0) * MAX(0, MIN($E$1, DATE(Initialisatie!$C$5,12,31)) - MAX($E$2, DATE(Initialisatie!$C$5,1,1)) + 1),
        IFERROR(VALUE($F30),0) * MAX(0, MIN($F$1, DATE(Initialisatie!$C$5,12,31)) - MAX($F$2, DATE(Initialisatie!$C$5,1,1)) + 1),
        IFERROR(VALUE($G30),0) * MAX(0, MIN($G$1, DATE(Initialisatie!$C$5,12,31)) - MAX($G$2, DATE(Initialisatie!$C$5,1,1)) + 1),
        IFERROR(VALUE($H30),0) * MAX(0, MIN($H$1, DATE(Initialisatie!$C$5,12,31)) - MAX($H$2, DATE(Initialisatie!$C$5,1,1)) + 1),
        IFERROR(VALUE($I30),0) * MAX(0, MIN($I$1, DATE(Initialisatie!$C$5,12,31)) - MAX($I$2, DATE(Initialisatie!$C$5,1,1)) + 1),
        IFERROR(VALUE($J30),0) * MAX(0, MIN($J$1, DATE(Initialisatie!$C$5,12,31)) - MAX($J$2, DATE(Initialisatie!$C$5,1,1)) + 1)
    ) / (DATE(Initialisatie!$C$5,12,31) - DATE(Initialisatie!$C$5,1,1) + 1)
)</f>
        <v>2546</v>
      </c>
    </row>
    <row r="31" spans="1:12" x14ac:dyDescent="0.45">
      <c r="A31" s="989"/>
      <c r="B31" s="35">
        <v>6</v>
      </c>
      <c r="C31" s="35">
        <v>6</v>
      </c>
      <c r="D31" s="35" t="s">
        <v>552</v>
      </c>
      <c r="E31">
        <v>2211</v>
      </c>
      <c r="F31">
        <v>2255</v>
      </c>
      <c r="G31">
        <v>2413</v>
      </c>
      <c r="H31">
        <v>2510</v>
      </c>
      <c r="I31">
        <v>2610</v>
      </c>
      <c r="J31">
        <v>2610</v>
      </c>
      <c r="L31">
        <f>IF(
    OR(
        AND(MAX(0, MIN($E$1, DATE(Initialisatie!$C$5,12,31)) - MAX($E$2, DATE(Initialisatie!$C$5,1,1)) + 1) &gt; 0, IFERROR(VALUE($E31),0)=0),
        AND(MAX(0, MIN($F$1, DATE(Initialisatie!$C$5,12,31)) - MAX($F$2, DATE(Initialisatie!$C$5,1,1)) + 1) &gt; 0, IFERROR(VALUE($F31),0)=0),
        AND(MAX(0, MIN($G$1, DATE(Initialisatie!$C$5,12,31)) - MAX($G$2, DATE(Initialisatie!$C$5,1,1)) + 1) &gt; 0, IFERROR(VALUE($G31),0)=0),
        AND(MAX(0, MIN($H$1, DATE(Initialisatie!$C$5,12,31)) - MAX($H$2, DATE(Initialisatie!$C$5,1,1)) + 1) &gt; 0, IFERROR(VALUE($H31),0)=0),
        AND(MAX(0, MIN($I$1, DATE(Initialisatie!$C$5,12,31)) - MAX($I$2, DATE(Initialisatie!$C$5,1,1)) + 1) &gt; 0, IFERROR(VALUE($I31),0)=0),
        AND(MAX(0, MIN($J$1, DATE(Initialisatie!$C$5,12,31)) - MAX($J$2, DATE(Initialisatie!$C$5,1,1)) + 1) &gt; 0, IFERROR(VALUE($J31),0)=0)
    ),
    0,
    SUM(
        IFERROR(VALUE($E31),0) * MAX(0, MIN($E$1, DATE(Initialisatie!$C$5,12,31)) - MAX($E$2, DATE(Initialisatie!$C$5,1,1)) + 1),
        IFERROR(VALUE($F31),0) * MAX(0, MIN($F$1, DATE(Initialisatie!$C$5,12,31)) - MAX($F$2, DATE(Initialisatie!$C$5,1,1)) + 1),
        IFERROR(VALUE($G31),0) * MAX(0, MIN($G$1, DATE(Initialisatie!$C$5,12,31)) - MAX($G$2, DATE(Initialisatie!$C$5,1,1)) + 1),
        IFERROR(VALUE($H31),0) * MAX(0, MIN($H$1, DATE(Initialisatie!$C$5,12,31)) - MAX($H$2, DATE(Initialisatie!$C$5,1,1)) + 1),
        IFERROR(VALUE($I31),0) * MAX(0, MIN($I$1, DATE(Initialisatie!$C$5,12,31)) - MAX($I$2, DATE(Initialisatie!$C$5,1,1)) + 1),
        IFERROR(VALUE($J31),0) * MAX(0, MIN($J$1, DATE(Initialisatie!$C$5,12,31)) - MAX($J$2, DATE(Initialisatie!$C$5,1,1)) + 1)
    ) / (DATE(Initialisatie!$C$5,12,31) - DATE(Initialisatie!$C$5,1,1) + 1)
)</f>
        <v>2610</v>
      </c>
    </row>
    <row r="32" spans="1:12" x14ac:dyDescent="0.45">
      <c r="A32" s="989"/>
      <c r="B32" s="35">
        <v>7</v>
      </c>
      <c r="C32" s="35">
        <v>7</v>
      </c>
      <c r="D32" s="35" t="s">
        <v>553</v>
      </c>
      <c r="E32">
        <v>2262</v>
      </c>
      <c r="F32">
        <v>2307</v>
      </c>
      <c r="G32">
        <v>2468</v>
      </c>
      <c r="H32">
        <v>2567</v>
      </c>
      <c r="I32">
        <v>2670</v>
      </c>
      <c r="J32">
        <v>2670</v>
      </c>
      <c r="L32">
        <f>IF(
    OR(
        AND(MAX(0, MIN($E$1, DATE(Initialisatie!$C$5,12,31)) - MAX($E$2, DATE(Initialisatie!$C$5,1,1)) + 1) &gt; 0, IFERROR(VALUE($E32),0)=0),
        AND(MAX(0, MIN($F$1, DATE(Initialisatie!$C$5,12,31)) - MAX($F$2, DATE(Initialisatie!$C$5,1,1)) + 1) &gt; 0, IFERROR(VALUE($F32),0)=0),
        AND(MAX(0, MIN($G$1, DATE(Initialisatie!$C$5,12,31)) - MAX($G$2, DATE(Initialisatie!$C$5,1,1)) + 1) &gt; 0, IFERROR(VALUE($G32),0)=0),
        AND(MAX(0, MIN($H$1, DATE(Initialisatie!$C$5,12,31)) - MAX($H$2, DATE(Initialisatie!$C$5,1,1)) + 1) &gt; 0, IFERROR(VALUE($H32),0)=0),
        AND(MAX(0, MIN($I$1, DATE(Initialisatie!$C$5,12,31)) - MAX($I$2, DATE(Initialisatie!$C$5,1,1)) + 1) &gt; 0, IFERROR(VALUE($I32),0)=0),
        AND(MAX(0, MIN($J$1, DATE(Initialisatie!$C$5,12,31)) - MAX($J$2, DATE(Initialisatie!$C$5,1,1)) + 1) &gt; 0, IFERROR(VALUE($J32),0)=0)
    ),
    0,
    SUM(
        IFERROR(VALUE($E32),0) * MAX(0, MIN($E$1, DATE(Initialisatie!$C$5,12,31)) - MAX($E$2, DATE(Initialisatie!$C$5,1,1)) + 1),
        IFERROR(VALUE($F32),0) * MAX(0, MIN($F$1, DATE(Initialisatie!$C$5,12,31)) - MAX($F$2, DATE(Initialisatie!$C$5,1,1)) + 1),
        IFERROR(VALUE($G32),0) * MAX(0, MIN($G$1, DATE(Initialisatie!$C$5,12,31)) - MAX($G$2, DATE(Initialisatie!$C$5,1,1)) + 1),
        IFERROR(VALUE($H32),0) * MAX(0, MIN($H$1, DATE(Initialisatie!$C$5,12,31)) - MAX($H$2, DATE(Initialisatie!$C$5,1,1)) + 1),
        IFERROR(VALUE($I32),0) * MAX(0, MIN($I$1, DATE(Initialisatie!$C$5,12,31)) - MAX($I$2, DATE(Initialisatie!$C$5,1,1)) + 1),
        IFERROR(VALUE($J32),0) * MAX(0, MIN($J$1, DATE(Initialisatie!$C$5,12,31)) - MAX($J$2, DATE(Initialisatie!$C$5,1,1)) + 1)
    ) / (DATE(Initialisatie!$C$5,12,31) - DATE(Initialisatie!$C$5,1,1) + 1)
)</f>
        <v>2670</v>
      </c>
    </row>
    <row r="33" spans="1:12" x14ac:dyDescent="0.45">
      <c r="A33" s="989"/>
      <c r="B33" s="35">
        <v>8</v>
      </c>
      <c r="C33" s="35">
        <v>8</v>
      </c>
      <c r="D33" s="35" t="s">
        <v>554</v>
      </c>
      <c r="E33">
        <v>2319</v>
      </c>
      <c r="F33">
        <v>2365</v>
      </c>
      <c r="G33">
        <v>2531</v>
      </c>
      <c r="H33">
        <v>2632</v>
      </c>
      <c r="I33">
        <v>2737</v>
      </c>
      <c r="J33">
        <v>2737</v>
      </c>
      <c r="L33">
        <f>IF(
    OR(
        AND(MAX(0, MIN($E$1, DATE(Initialisatie!$C$5,12,31)) - MAX($E$2, DATE(Initialisatie!$C$5,1,1)) + 1) &gt; 0, IFERROR(VALUE($E33),0)=0),
        AND(MAX(0, MIN($F$1, DATE(Initialisatie!$C$5,12,31)) - MAX($F$2, DATE(Initialisatie!$C$5,1,1)) + 1) &gt; 0, IFERROR(VALUE($F33),0)=0),
        AND(MAX(0, MIN($G$1, DATE(Initialisatie!$C$5,12,31)) - MAX($G$2, DATE(Initialisatie!$C$5,1,1)) + 1) &gt; 0, IFERROR(VALUE($G33),0)=0),
        AND(MAX(0, MIN($H$1, DATE(Initialisatie!$C$5,12,31)) - MAX($H$2, DATE(Initialisatie!$C$5,1,1)) + 1) &gt; 0, IFERROR(VALUE($H33),0)=0),
        AND(MAX(0, MIN($I$1, DATE(Initialisatie!$C$5,12,31)) - MAX($I$2, DATE(Initialisatie!$C$5,1,1)) + 1) &gt; 0, IFERROR(VALUE($I33),0)=0),
        AND(MAX(0, MIN($J$1, DATE(Initialisatie!$C$5,12,31)) - MAX($J$2, DATE(Initialisatie!$C$5,1,1)) + 1) &gt; 0, IFERROR(VALUE($J33),0)=0)
    ),
    0,
    SUM(
        IFERROR(VALUE($E33),0) * MAX(0, MIN($E$1, DATE(Initialisatie!$C$5,12,31)) - MAX($E$2, DATE(Initialisatie!$C$5,1,1)) + 1),
        IFERROR(VALUE($F33),0) * MAX(0, MIN($F$1, DATE(Initialisatie!$C$5,12,31)) - MAX($F$2, DATE(Initialisatie!$C$5,1,1)) + 1),
        IFERROR(VALUE($G33),0) * MAX(0, MIN($G$1, DATE(Initialisatie!$C$5,12,31)) - MAX($G$2, DATE(Initialisatie!$C$5,1,1)) + 1),
        IFERROR(VALUE($H33),0) * MAX(0, MIN($H$1, DATE(Initialisatie!$C$5,12,31)) - MAX($H$2, DATE(Initialisatie!$C$5,1,1)) + 1),
        IFERROR(VALUE($I33),0) * MAX(0, MIN($I$1, DATE(Initialisatie!$C$5,12,31)) - MAX($I$2, DATE(Initialisatie!$C$5,1,1)) + 1),
        IFERROR(VALUE($J33),0) * MAX(0, MIN($J$1, DATE(Initialisatie!$C$5,12,31)) - MAX($J$2, DATE(Initialisatie!$C$5,1,1)) + 1)
    ) / (DATE(Initialisatie!$C$5,12,31) - DATE(Initialisatie!$C$5,1,1) + 1)
)</f>
        <v>2737</v>
      </c>
    </row>
    <row r="34" spans="1:12" x14ac:dyDescent="0.45">
      <c r="A34" s="989"/>
      <c r="B34" s="35">
        <v>9</v>
      </c>
      <c r="C34" s="35">
        <v>9</v>
      </c>
      <c r="D34" s="35" t="s">
        <v>555</v>
      </c>
      <c r="E34">
        <v>2396</v>
      </c>
      <c r="F34">
        <v>2444</v>
      </c>
      <c r="G34">
        <v>2615</v>
      </c>
      <c r="H34">
        <v>2720</v>
      </c>
      <c r="I34">
        <v>2829</v>
      </c>
      <c r="J34">
        <v>2829</v>
      </c>
      <c r="L34">
        <f>IF(
    OR(
        AND(MAX(0, MIN($E$1, DATE(Initialisatie!$C$5,12,31)) - MAX($E$2, DATE(Initialisatie!$C$5,1,1)) + 1) &gt; 0, IFERROR(VALUE($E34),0)=0),
        AND(MAX(0, MIN($F$1, DATE(Initialisatie!$C$5,12,31)) - MAX($F$2, DATE(Initialisatie!$C$5,1,1)) + 1) &gt; 0, IFERROR(VALUE($F34),0)=0),
        AND(MAX(0, MIN($G$1, DATE(Initialisatie!$C$5,12,31)) - MAX($G$2, DATE(Initialisatie!$C$5,1,1)) + 1) &gt; 0, IFERROR(VALUE($G34),0)=0),
        AND(MAX(0, MIN($H$1, DATE(Initialisatie!$C$5,12,31)) - MAX($H$2, DATE(Initialisatie!$C$5,1,1)) + 1) &gt; 0, IFERROR(VALUE($H34),0)=0),
        AND(MAX(0, MIN($I$1, DATE(Initialisatie!$C$5,12,31)) - MAX($I$2, DATE(Initialisatie!$C$5,1,1)) + 1) &gt; 0, IFERROR(VALUE($I34),0)=0),
        AND(MAX(0, MIN($J$1, DATE(Initialisatie!$C$5,12,31)) - MAX($J$2, DATE(Initialisatie!$C$5,1,1)) + 1) &gt; 0, IFERROR(VALUE($J34),0)=0)
    ),
    0,
    SUM(
        IFERROR(VALUE($E34),0) * MAX(0, MIN($E$1, DATE(Initialisatie!$C$5,12,31)) - MAX($E$2, DATE(Initialisatie!$C$5,1,1)) + 1),
        IFERROR(VALUE($F34),0) * MAX(0, MIN($F$1, DATE(Initialisatie!$C$5,12,31)) - MAX($F$2, DATE(Initialisatie!$C$5,1,1)) + 1),
        IFERROR(VALUE($G34),0) * MAX(0, MIN($G$1, DATE(Initialisatie!$C$5,12,31)) - MAX($G$2, DATE(Initialisatie!$C$5,1,1)) + 1),
        IFERROR(VALUE($H34),0) * MAX(0, MIN($H$1, DATE(Initialisatie!$C$5,12,31)) - MAX($H$2, DATE(Initialisatie!$C$5,1,1)) + 1),
        IFERROR(VALUE($I34),0) * MAX(0, MIN($I$1, DATE(Initialisatie!$C$5,12,31)) - MAX($I$2, DATE(Initialisatie!$C$5,1,1)) + 1),
        IFERROR(VALUE($J34),0) * MAX(0, MIN($J$1, DATE(Initialisatie!$C$5,12,31)) - MAX($J$2, DATE(Initialisatie!$C$5,1,1)) + 1)
    ) / (DATE(Initialisatie!$C$5,12,31) - DATE(Initialisatie!$C$5,1,1) + 1)
)</f>
        <v>2829</v>
      </c>
    </row>
    <row r="35" spans="1:12" x14ac:dyDescent="0.45">
      <c r="A35" s="989"/>
      <c r="B35" s="35">
        <v>10</v>
      </c>
      <c r="C35" s="35">
        <v>10</v>
      </c>
      <c r="D35" s="35" t="s">
        <v>556</v>
      </c>
      <c r="E35">
        <v>2463</v>
      </c>
      <c r="F35">
        <v>2512</v>
      </c>
      <c r="G35">
        <v>2688</v>
      </c>
      <c r="H35">
        <v>2796</v>
      </c>
      <c r="I35">
        <v>2908</v>
      </c>
      <c r="J35">
        <v>2908</v>
      </c>
      <c r="L35">
        <f>IF(
    OR(
        AND(MAX(0, MIN($E$1, DATE(Initialisatie!$C$5,12,31)) - MAX($E$2, DATE(Initialisatie!$C$5,1,1)) + 1) &gt; 0, IFERROR(VALUE($E35),0)=0),
        AND(MAX(0, MIN($F$1, DATE(Initialisatie!$C$5,12,31)) - MAX($F$2, DATE(Initialisatie!$C$5,1,1)) + 1) &gt; 0, IFERROR(VALUE($F35),0)=0),
        AND(MAX(0, MIN($G$1, DATE(Initialisatie!$C$5,12,31)) - MAX($G$2, DATE(Initialisatie!$C$5,1,1)) + 1) &gt; 0, IFERROR(VALUE($G35),0)=0),
        AND(MAX(0, MIN($H$1, DATE(Initialisatie!$C$5,12,31)) - MAX($H$2, DATE(Initialisatie!$C$5,1,1)) + 1) &gt; 0, IFERROR(VALUE($H35),0)=0),
        AND(MAX(0, MIN($I$1, DATE(Initialisatie!$C$5,12,31)) - MAX($I$2, DATE(Initialisatie!$C$5,1,1)) + 1) &gt; 0, IFERROR(VALUE($I35),0)=0),
        AND(MAX(0, MIN($J$1, DATE(Initialisatie!$C$5,12,31)) - MAX($J$2, DATE(Initialisatie!$C$5,1,1)) + 1) &gt; 0, IFERROR(VALUE($J35),0)=0)
    ),
    0,
    SUM(
        IFERROR(VALUE($E35),0) * MAX(0, MIN($E$1, DATE(Initialisatie!$C$5,12,31)) - MAX($E$2, DATE(Initialisatie!$C$5,1,1)) + 1),
        IFERROR(VALUE($F35),0) * MAX(0, MIN($F$1, DATE(Initialisatie!$C$5,12,31)) - MAX($F$2, DATE(Initialisatie!$C$5,1,1)) + 1),
        IFERROR(VALUE($G35),0) * MAX(0, MIN($G$1, DATE(Initialisatie!$C$5,12,31)) - MAX($G$2, DATE(Initialisatie!$C$5,1,1)) + 1),
        IFERROR(VALUE($H35),0) * MAX(0, MIN($H$1, DATE(Initialisatie!$C$5,12,31)) - MAX($H$2, DATE(Initialisatie!$C$5,1,1)) + 1),
        IFERROR(VALUE($I35),0) * MAX(0, MIN($I$1, DATE(Initialisatie!$C$5,12,31)) - MAX($I$2, DATE(Initialisatie!$C$5,1,1)) + 1),
        IFERROR(VALUE($J35),0) * MAX(0, MIN($J$1, DATE(Initialisatie!$C$5,12,31)) - MAX($J$2, DATE(Initialisatie!$C$5,1,1)) + 1)
    ) / (DATE(Initialisatie!$C$5,12,31) - DATE(Initialisatie!$C$5,1,1) + 1)
)</f>
        <v>2908</v>
      </c>
    </row>
    <row r="36" spans="1:12" x14ac:dyDescent="0.45">
      <c r="A36" s="989"/>
      <c r="B36" s="35">
        <v>11</v>
      </c>
      <c r="C36" s="35">
        <v>11</v>
      </c>
      <c r="D36" s="35" t="s">
        <v>557</v>
      </c>
      <c r="J36">
        <v>3002</v>
      </c>
      <c r="L36">
        <f>IF(
    OR(
        AND(MAX(0, MIN($E$1, DATE(Initialisatie!$C$5,12,31)) - MAX($E$2, DATE(Initialisatie!$C$5,1,1)) + 1) &gt; 0, IFERROR(VALUE($E36),0)=0),
        AND(MAX(0, MIN($F$1, DATE(Initialisatie!$C$5,12,31)) - MAX($F$2, DATE(Initialisatie!$C$5,1,1)) + 1) &gt; 0, IFERROR(VALUE($F36),0)=0),
        AND(MAX(0, MIN($G$1, DATE(Initialisatie!$C$5,12,31)) - MAX($G$2, DATE(Initialisatie!$C$5,1,1)) + 1) &gt; 0, IFERROR(VALUE($G36),0)=0),
        AND(MAX(0, MIN($H$1, DATE(Initialisatie!$C$5,12,31)) - MAX($H$2, DATE(Initialisatie!$C$5,1,1)) + 1) &gt; 0, IFERROR(VALUE($H36),0)=0),
        AND(MAX(0, MIN($I$1, DATE(Initialisatie!$C$5,12,31)) - MAX($I$2, DATE(Initialisatie!$C$5,1,1)) + 1) &gt; 0, IFERROR(VALUE($I36),0)=0),
        AND(MAX(0, MIN($J$1, DATE(Initialisatie!$C$5,12,31)) - MAX($J$2, DATE(Initialisatie!$C$5,1,1)) + 1) &gt; 0, IFERROR(VALUE($J36),0)=0)
    ),
    0,
    SUM(
        IFERROR(VALUE($E36),0) * MAX(0, MIN($E$1, DATE(Initialisatie!$C$5,12,31)) - MAX($E$2, DATE(Initialisatie!$C$5,1,1)) + 1),
        IFERROR(VALUE($F36),0) * MAX(0, MIN($F$1, DATE(Initialisatie!$C$5,12,31)) - MAX($F$2, DATE(Initialisatie!$C$5,1,1)) + 1),
        IFERROR(VALUE($G36),0) * MAX(0, MIN($G$1, DATE(Initialisatie!$C$5,12,31)) - MAX($G$2, DATE(Initialisatie!$C$5,1,1)) + 1),
        IFERROR(VALUE($H36),0) * MAX(0, MIN($H$1, DATE(Initialisatie!$C$5,12,31)) - MAX($H$2, DATE(Initialisatie!$C$5,1,1)) + 1),
        IFERROR(VALUE($I36),0) * MAX(0, MIN($I$1, DATE(Initialisatie!$C$5,12,31)) - MAX($I$2, DATE(Initialisatie!$C$5,1,1)) + 1),
        IFERROR(VALUE($J36),0) * MAX(0, MIN($J$1, DATE(Initialisatie!$C$5,12,31)) - MAX($J$2, DATE(Initialisatie!$C$5,1,1)) + 1)
    ) / (DATE(Initialisatie!$C$5,12,31) - DATE(Initialisatie!$C$5,1,1) + 1)
)</f>
        <v>3002</v>
      </c>
    </row>
    <row r="37" spans="1:12" x14ac:dyDescent="0.45">
      <c r="A37" s="989"/>
      <c r="B37" s="35">
        <v>12</v>
      </c>
      <c r="C37" s="35">
        <v>12</v>
      </c>
      <c r="D37" s="35" t="s">
        <v>558</v>
      </c>
      <c r="J37">
        <v>3086</v>
      </c>
      <c r="L37">
        <f>IF(
    OR(
        AND(MAX(0, MIN($E$1, DATE(Initialisatie!$C$5,12,31)) - MAX($E$2, DATE(Initialisatie!$C$5,1,1)) + 1) &gt; 0, IFERROR(VALUE($E37),0)=0),
        AND(MAX(0, MIN($F$1, DATE(Initialisatie!$C$5,12,31)) - MAX($F$2, DATE(Initialisatie!$C$5,1,1)) + 1) &gt; 0, IFERROR(VALUE($F37),0)=0),
        AND(MAX(0, MIN($G$1, DATE(Initialisatie!$C$5,12,31)) - MAX($G$2, DATE(Initialisatie!$C$5,1,1)) + 1) &gt; 0, IFERROR(VALUE($G37),0)=0),
        AND(MAX(0, MIN($H$1, DATE(Initialisatie!$C$5,12,31)) - MAX($H$2, DATE(Initialisatie!$C$5,1,1)) + 1) &gt; 0, IFERROR(VALUE($H37),0)=0),
        AND(MAX(0, MIN($I$1, DATE(Initialisatie!$C$5,12,31)) - MAX($I$2, DATE(Initialisatie!$C$5,1,1)) + 1) &gt; 0, IFERROR(VALUE($I37),0)=0),
        AND(MAX(0, MIN($J$1, DATE(Initialisatie!$C$5,12,31)) - MAX($J$2, DATE(Initialisatie!$C$5,1,1)) + 1) &gt; 0, IFERROR(VALUE($J37),0)=0)
    ),
    0,
    SUM(
        IFERROR(VALUE($E37),0) * MAX(0, MIN($E$1, DATE(Initialisatie!$C$5,12,31)) - MAX($E$2, DATE(Initialisatie!$C$5,1,1)) + 1),
        IFERROR(VALUE($F37),0) * MAX(0, MIN($F$1, DATE(Initialisatie!$C$5,12,31)) - MAX($F$2, DATE(Initialisatie!$C$5,1,1)) + 1),
        IFERROR(VALUE($G37),0) * MAX(0, MIN($G$1, DATE(Initialisatie!$C$5,12,31)) - MAX($G$2, DATE(Initialisatie!$C$5,1,1)) + 1),
        IFERROR(VALUE($H37),0) * MAX(0, MIN($H$1, DATE(Initialisatie!$C$5,12,31)) - MAX($H$2, DATE(Initialisatie!$C$5,1,1)) + 1),
        IFERROR(VALUE($I37),0) * MAX(0, MIN($I$1, DATE(Initialisatie!$C$5,12,31)) - MAX($I$2, DATE(Initialisatie!$C$5,1,1)) + 1),
        IFERROR(VALUE($J37),0) * MAX(0, MIN($J$1, DATE(Initialisatie!$C$5,12,31)) - MAX($J$2, DATE(Initialisatie!$C$5,1,1)) + 1)
    ) / (DATE(Initialisatie!$C$5,12,31) - DATE(Initialisatie!$C$5,1,1) + 1)
)</f>
        <v>3086</v>
      </c>
    </row>
    <row r="38" spans="1:12" x14ac:dyDescent="0.45">
      <c r="A38" s="989"/>
      <c r="B38" s="35" t="s">
        <v>531</v>
      </c>
      <c r="C38" s="35" t="s">
        <v>531</v>
      </c>
      <c r="D38" s="35" t="s">
        <v>559</v>
      </c>
      <c r="E38">
        <v>2543</v>
      </c>
      <c r="F38">
        <v>2594</v>
      </c>
      <c r="G38">
        <v>2776</v>
      </c>
      <c r="H38">
        <v>2887</v>
      </c>
      <c r="I38">
        <v>3002</v>
      </c>
      <c r="L38">
        <f>IF(
    OR(
        AND(MAX(0, MIN($E$1, DATE(Initialisatie!$C$5,12,31)) - MAX($E$2, DATE(Initialisatie!$C$5,1,1)) + 1) &gt; 0, IFERROR(VALUE($E38),0)=0),
        AND(MAX(0, MIN($F$1, DATE(Initialisatie!$C$5,12,31)) - MAX($F$2, DATE(Initialisatie!$C$5,1,1)) + 1) &gt; 0, IFERROR(VALUE($F38),0)=0),
        AND(MAX(0, MIN($G$1, DATE(Initialisatie!$C$5,12,31)) - MAX($G$2, DATE(Initialisatie!$C$5,1,1)) + 1) &gt; 0, IFERROR(VALUE($G38),0)=0),
        AND(MAX(0, MIN($H$1, DATE(Initialisatie!$C$5,12,31)) - MAX($H$2, DATE(Initialisatie!$C$5,1,1)) + 1) &gt; 0, IFERROR(VALUE($H38),0)=0),
        AND(MAX(0, MIN($I$1, DATE(Initialisatie!$C$5,12,31)) - MAX($I$2, DATE(Initialisatie!$C$5,1,1)) + 1) &gt; 0, IFERROR(VALUE($I38),0)=0),
        AND(MAX(0, MIN($J$1, DATE(Initialisatie!$C$5,12,31)) - MAX($J$2, DATE(Initialisatie!$C$5,1,1)) + 1) &gt; 0, IFERROR(VALUE($J38),0)=0)
    ),
    0,
    SUM(
        IFERROR(VALUE($E38),0) * MAX(0, MIN($E$1, DATE(Initialisatie!$C$5,12,31)) - MAX($E$2, DATE(Initialisatie!$C$5,1,1)) + 1),
        IFERROR(VALUE($F38),0) * MAX(0, MIN($F$1, DATE(Initialisatie!$C$5,12,31)) - MAX($F$2, DATE(Initialisatie!$C$5,1,1)) + 1),
        IFERROR(VALUE($G38),0) * MAX(0, MIN($G$1, DATE(Initialisatie!$C$5,12,31)) - MAX($G$2, DATE(Initialisatie!$C$5,1,1)) + 1),
        IFERROR(VALUE($H38),0) * MAX(0, MIN($H$1, DATE(Initialisatie!$C$5,12,31)) - MAX($H$2, DATE(Initialisatie!$C$5,1,1)) + 1),
        IFERROR(VALUE($I38),0) * MAX(0, MIN($I$1, DATE(Initialisatie!$C$5,12,31)) - MAX($I$2, DATE(Initialisatie!$C$5,1,1)) + 1),
        IFERROR(VALUE($J38),0) * MAX(0, MIN($J$1, DATE(Initialisatie!$C$5,12,31)) - MAX($J$2, DATE(Initialisatie!$C$5,1,1)) + 1)
    ) / (DATE(Initialisatie!$C$5,12,31) - DATE(Initialisatie!$C$5,1,1) + 1)
)</f>
        <v>0</v>
      </c>
    </row>
    <row r="39" spans="1:12" x14ac:dyDescent="0.45">
      <c r="A39" s="989"/>
      <c r="B39" s="35" t="s">
        <v>533</v>
      </c>
      <c r="C39" s="35" t="s">
        <v>533</v>
      </c>
      <c r="D39" s="35" t="s">
        <v>560</v>
      </c>
      <c r="E39">
        <v>2614</v>
      </c>
      <c r="F39">
        <v>2666</v>
      </c>
      <c r="G39">
        <v>2853</v>
      </c>
      <c r="H39">
        <v>2967</v>
      </c>
      <c r="I39">
        <v>3086</v>
      </c>
      <c r="L39">
        <f>IF(
    OR(
        AND(MAX(0, MIN($E$1, DATE(Initialisatie!$C$5,12,31)) - MAX($E$2, DATE(Initialisatie!$C$5,1,1)) + 1) &gt; 0, IFERROR(VALUE($E39),0)=0),
        AND(MAX(0, MIN($F$1, DATE(Initialisatie!$C$5,12,31)) - MAX($F$2, DATE(Initialisatie!$C$5,1,1)) + 1) &gt; 0, IFERROR(VALUE($F39),0)=0),
        AND(MAX(0, MIN($G$1, DATE(Initialisatie!$C$5,12,31)) - MAX($G$2, DATE(Initialisatie!$C$5,1,1)) + 1) &gt; 0, IFERROR(VALUE($G39),0)=0),
        AND(MAX(0, MIN($H$1, DATE(Initialisatie!$C$5,12,31)) - MAX($H$2, DATE(Initialisatie!$C$5,1,1)) + 1) &gt; 0, IFERROR(VALUE($H39),0)=0),
        AND(MAX(0, MIN($I$1, DATE(Initialisatie!$C$5,12,31)) - MAX($I$2, DATE(Initialisatie!$C$5,1,1)) + 1) &gt; 0, IFERROR(VALUE($I39),0)=0),
        AND(MAX(0, MIN($J$1, DATE(Initialisatie!$C$5,12,31)) - MAX($J$2, DATE(Initialisatie!$C$5,1,1)) + 1) &gt; 0, IFERROR(VALUE($J39),0)=0)
    ),
    0,
    SUM(
        IFERROR(VALUE($E39),0) * MAX(0, MIN($E$1, DATE(Initialisatie!$C$5,12,31)) - MAX($E$2, DATE(Initialisatie!$C$5,1,1)) + 1),
        IFERROR(VALUE($F39),0) * MAX(0, MIN($F$1, DATE(Initialisatie!$C$5,12,31)) - MAX($F$2, DATE(Initialisatie!$C$5,1,1)) + 1),
        IFERROR(VALUE($G39),0) * MAX(0, MIN($G$1, DATE(Initialisatie!$C$5,12,31)) - MAX($G$2, DATE(Initialisatie!$C$5,1,1)) + 1),
        IFERROR(VALUE($H39),0) * MAX(0, MIN($H$1, DATE(Initialisatie!$C$5,12,31)) - MAX($H$2, DATE(Initialisatie!$C$5,1,1)) + 1),
        IFERROR(VALUE($I39),0) * MAX(0, MIN($I$1, DATE(Initialisatie!$C$5,12,31)) - MAX($I$2, DATE(Initialisatie!$C$5,1,1)) + 1),
        IFERROR(VALUE($J39),0) * MAX(0, MIN($J$1, DATE(Initialisatie!$C$5,12,31)) - MAX($J$2, DATE(Initialisatie!$C$5,1,1)) + 1)
    ) / (DATE(Initialisatie!$C$5,12,31) - DATE(Initialisatie!$C$5,1,1) + 1)
)</f>
        <v>0</v>
      </c>
    </row>
    <row r="40" spans="1:12" x14ac:dyDescent="0.45">
      <c r="A40" s="989"/>
      <c r="B40" s="35" t="s">
        <v>535</v>
      </c>
      <c r="C40" s="35" t="s">
        <v>535</v>
      </c>
      <c r="D40" s="35" t="s">
        <v>561</v>
      </c>
      <c r="E40">
        <v>2543</v>
      </c>
      <c r="F40">
        <v>2594</v>
      </c>
      <c r="G40">
        <v>2776</v>
      </c>
      <c r="H40">
        <v>2887</v>
      </c>
      <c r="I40">
        <v>3002</v>
      </c>
      <c r="J40">
        <v>3002</v>
      </c>
      <c r="L40">
        <f>IF(
    OR(
        AND(MAX(0, MIN($E$1, DATE(Initialisatie!$C$5,12,31)) - MAX($E$2, DATE(Initialisatie!$C$5,1,1)) + 1) &gt; 0, IFERROR(VALUE($E40),0)=0),
        AND(MAX(0, MIN($F$1, DATE(Initialisatie!$C$5,12,31)) - MAX($F$2, DATE(Initialisatie!$C$5,1,1)) + 1) &gt; 0, IFERROR(VALUE($F40),0)=0),
        AND(MAX(0, MIN($G$1, DATE(Initialisatie!$C$5,12,31)) - MAX($G$2, DATE(Initialisatie!$C$5,1,1)) + 1) &gt; 0, IFERROR(VALUE($G40),0)=0),
        AND(MAX(0, MIN($H$1, DATE(Initialisatie!$C$5,12,31)) - MAX($H$2, DATE(Initialisatie!$C$5,1,1)) + 1) &gt; 0, IFERROR(VALUE($H40),0)=0),
        AND(MAX(0, MIN($I$1, DATE(Initialisatie!$C$5,12,31)) - MAX($I$2, DATE(Initialisatie!$C$5,1,1)) + 1) &gt; 0, IFERROR(VALUE($I40),0)=0),
        AND(MAX(0, MIN($J$1, DATE(Initialisatie!$C$5,12,31)) - MAX($J$2, DATE(Initialisatie!$C$5,1,1)) + 1) &gt; 0, IFERROR(VALUE($J40),0)=0)
    ),
    0,
    SUM(
        IFERROR(VALUE($E40),0) * MAX(0, MIN($E$1, DATE(Initialisatie!$C$5,12,31)) - MAX($E$2, DATE(Initialisatie!$C$5,1,1)) + 1),
        IFERROR(VALUE($F40),0) * MAX(0, MIN($F$1, DATE(Initialisatie!$C$5,12,31)) - MAX($F$2, DATE(Initialisatie!$C$5,1,1)) + 1),
        IFERROR(VALUE($G40),0) * MAX(0, MIN($G$1, DATE(Initialisatie!$C$5,12,31)) - MAX($G$2, DATE(Initialisatie!$C$5,1,1)) + 1),
        IFERROR(VALUE($H40),0) * MAX(0, MIN($H$1, DATE(Initialisatie!$C$5,12,31)) - MAX($H$2, DATE(Initialisatie!$C$5,1,1)) + 1),
        IFERROR(VALUE($I40),0) * MAX(0, MIN($I$1, DATE(Initialisatie!$C$5,12,31)) - MAX($I$2, DATE(Initialisatie!$C$5,1,1)) + 1),
        IFERROR(VALUE($J40),0) * MAX(0, MIN($J$1, DATE(Initialisatie!$C$5,12,31)) - MAX($J$2, DATE(Initialisatie!$C$5,1,1)) + 1)
    ) / (DATE(Initialisatie!$C$5,12,31) - DATE(Initialisatie!$C$5,1,1) + 1)
)</f>
        <v>3002</v>
      </c>
    </row>
    <row r="41" spans="1:12" x14ac:dyDescent="0.45">
      <c r="A41" s="989"/>
      <c r="B41" s="35" t="s">
        <v>537</v>
      </c>
      <c r="C41" s="35" t="s">
        <v>537</v>
      </c>
      <c r="D41" s="35" t="s">
        <v>562</v>
      </c>
      <c r="E41">
        <v>2614</v>
      </c>
      <c r="F41">
        <v>2666</v>
      </c>
      <c r="G41">
        <v>2853</v>
      </c>
      <c r="H41">
        <v>2967</v>
      </c>
      <c r="I41">
        <v>3086</v>
      </c>
      <c r="J41">
        <v>3086</v>
      </c>
      <c r="L41">
        <f>IF(
    OR(
        AND(MAX(0, MIN($E$1, DATE(Initialisatie!$C$5,12,31)) - MAX($E$2, DATE(Initialisatie!$C$5,1,1)) + 1) &gt; 0, IFERROR(VALUE($E41),0)=0),
        AND(MAX(0, MIN($F$1, DATE(Initialisatie!$C$5,12,31)) - MAX($F$2, DATE(Initialisatie!$C$5,1,1)) + 1) &gt; 0, IFERROR(VALUE($F41),0)=0),
        AND(MAX(0, MIN($G$1, DATE(Initialisatie!$C$5,12,31)) - MAX($G$2, DATE(Initialisatie!$C$5,1,1)) + 1) &gt; 0, IFERROR(VALUE($G41),0)=0),
        AND(MAX(0, MIN($H$1, DATE(Initialisatie!$C$5,12,31)) - MAX($H$2, DATE(Initialisatie!$C$5,1,1)) + 1) &gt; 0, IFERROR(VALUE($H41),0)=0),
        AND(MAX(0, MIN($I$1, DATE(Initialisatie!$C$5,12,31)) - MAX($I$2, DATE(Initialisatie!$C$5,1,1)) + 1) &gt; 0, IFERROR(VALUE($I41),0)=0),
        AND(MAX(0, MIN($J$1, DATE(Initialisatie!$C$5,12,31)) - MAX($J$2, DATE(Initialisatie!$C$5,1,1)) + 1) &gt; 0, IFERROR(VALUE($J41),0)=0)
    ),
    0,
    SUM(
        IFERROR(VALUE($E41),0) * MAX(0, MIN($E$1, DATE(Initialisatie!$C$5,12,31)) - MAX($E$2, DATE(Initialisatie!$C$5,1,1)) + 1),
        IFERROR(VALUE($F41),0) * MAX(0, MIN($F$1, DATE(Initialisatie!$C$5,12,31)) - MAX($F$2, DATE(Initialisatie!$C$5,1,1)) + 1),
        IFERROR(VALUE($G41),0) * MAX(0, MIN($G$1, DATE(Initialisatie!$C$5,12,31)) - MAX($G$2, DATE(Initialisatie!$C$5,1,1)) + 1),
        IFERROR(VALUE($H41),0) * MAX(0, MIN($H$1, DATE(Initialisatie!$C$5,12,31)) - MAX($H$2, DATE(Initialisatie!$C$5,1,1)) + 1),
        IFERROR(VALUE($I41),0) * MAX(0, MIN($I$1, DATE(Initialisatie!$C$5,12,31)) - MAX($I$2, DATE(Initialisatie!$C$5,1,1)) + 1),
        IFERROR(VALUE($J41),0) * MAX(0, MIN($J$1, DATE(Initialisatie!$C$5,12,31)) - MAX($J$2, DATE(Initialisatie!$C$5,1,1)) + 1)
    ) / (DATE(Initialisatie!$C$5,12,31) - DATE(Initialisatie!$C$5,1,1) + 1)
)</f>
        <v>3086</v>
      </c>
    </row>
    <row r="42" spans="1:12" x14ac:dyDescent="0.45">
      <c r="A42" s="989"/>
      <c r="B42" s="35" t="s">
        <v>539</v>
      </c>
      <c r="C42" s="35" t="s">
        <v>539</v>
      </c>
      <c r="D42" s="35" t="s">
        <v>563</v>
      </c>
      <c r="E42">
        <v>2693</v>
      </c>
      <c r="F42">
        <v>2747</v>
      </c>
      <c r="G42">
        <v>2939</v>
      </c>
      <c r="H42">
        <v>3057</v>
      </c>
      <c r="I42">
        <v>3179</v>
      </c>
      <c r="J42">
        <v>3179</v>
      </c>
      <c r="L42">
        <f>IF(
    OR(
        AND(MAX(0, MIN($E$1, DATE(Initialisatie!$C$5,12,31)) - MAX($E$2, DATE(Initialisatie!$C$5,1,1)) + 1) &gt; 0, IFERROR(VALUE($E42),0)=0),
        AND(MAX(0, MIN($F$1, DATE(Initialisatie!$C$5,12,31)) - MAX($F$2, DATE(Initialisatie!$C$5,1,1)) + 1) &gt; 0, IFERROR(VALUE($F42),0)=0),
        AND(MAX(0, MIN($G$1, DATE(Initialisatie!$C$5,12,31)) - MAX($G$2, DATE(Initialisatie!$C$5,1,1)) + 1) &gt; 0, IFERROR(VALUE($G42),0)=0),
        AND(MAX(0, MIN($H$1, DATE(Initialisatie!$C$5,12,31)) - MAX($H$2, DATE(Initialisatie!$C$5,1,1)) + 1) &gt; 0, IFERROR(VALUE($H42),0)=0),
        AND(MAX(0, MIN($I$1, DATE(Initialisatie!$C$5,12,31)) - MAX($I$2, DATE(Initialisatie!$C$5,1,1)) + 1) &gt; 0, IFERROR(VALUE($I42),0)=0),
        AND(MAX(0, MIN($J$1, DATE(Initialisatie!$C$5,12,31)) - MAX($J$2, DATE(Initialisatie!$C$5,1,1)) + 1) &gt; 0, IFERROR(VALUE($J42),0)=0)
    ),
    0,
    SUM(
        IFERROR(VALUE($E42),0) * MAX(0, MIN($E$1, DATE(Initialisatie!$C$5,12,31)) - MAX($E$2, DATE(Initialisatie!$C$5,1,1)) + 1),
        IFERROR(VALUE($F42),0) * MAX(0, MIN($F$1, DATE(Initialisatie!$C$5,12,31)) - MAX($F$2, DATE(Initialisatie!$C$5,1,1)) + 1),
        IFERROR(VALUE($G42),0) * MAX(0, MIN($G$1, DATE(Initialisatie!$C$5,12,31)) - MAX($G$2, DATE(Initialisatie!$C$5,1,1)) + 1),
        IFERROR(VALUE($H42),0) * MAX(0, MIN($H$1, DATE(Initialisatie!$C$5,12,31)) - MAX($H$2, DATE(Initialisatie!$C$5,1,1)) + 1),
        IFERROR(VALUE($I42),0) * MAX(0, MIN($I$1, DATE(Initialisatie!$C$5,12,31)) - MAX($I$2, DATE(Initialisatie!$C$5,1,1)) + 1),
        IFERROR(VALUE($J42),0) * MAX(0, MIN($J$1, DATE(Initialisatie!$C$5,12,31)) - MAX($J$2, DATE(Initialisatie!$C$5,1,1)) + 1)
    ) / (DATE(Initialisatie!$C$5,12,31) - DATE(Initialisatie!$C$5,1,1) + 1)
)</f>
        <v>3179</v>
      </c>
    </row>
    <row r="43" spans="1:12" x14ac:dyDescent="0.45">
      <c r="A43" s="989"/>
      <c r="B43" s="35" t="s">
        <v>541</v>
      </c>
      <c r="C43" s="35" t="s">
        <v>541</v>
      </c>
      <c r="D43" s="35" t="s">
        <v>564</v>
      </c>
      <c r="E43">
        <v>2761</v>
      </c>
      <c r="F43">
        <v>2816</v>
      </c>
      <c r="G43">
        <v>3013</v>
      </c>
      <c r="H43">
        <v>3134</v>
      </c>
      <c r="I43">
        <v>3259</v>
      </c>
      <c r="J43">
        <v>3259</v>
      </c>
      <c r="L43">
        <f>IF(
    OR(
        AND(MAX(0, MIN($E$1, DATE(Initialisatie!$C$5,12,31)) - MAX($E$2, DATE(Initialisatie!$C$5,1,1)) + 1) &gt; 0, IFERROR(VALUE($E43),0)=0),
        AND(MAX(0, MIN($F$1, DATE(Initialisatie!$C$5,12,31)) - MAX($F$2, DATE(Initialisatie!$C$5,1,1)) + 1) &gt; 0, IFERROR(VALUE($F43),0)=0),
        AND(MAX(0, MIN($G$1, DATE(Initialisatie!$C$5,12,31)) - MAX($G$2, DATE(Initialisatie!$C$5,1,1)) + 1) &gt; 0, IFERROR(VALUE($G43),0)=0),
        AND(MAX(0, MIN($H$1, DATE(Initialisatie!$C$5,12,31)) - MAX($H$2, DATE(Initialisatie!$C$5,1,1)) + 1) &gt; 0, IFERROR(VALUE($H43),0)=0),
        AND(MAX(0, MIN($I$1, DATE(Initialisatie!$C$5,12,31)) - MAX($I$2, DATE(Initialisatie!$C$5,1,1)) + 1) &gt; 0, IFERROR(VALUE($I43),0)=0),
        AND(MAX(0, MIN($J$1, DATE(Initialisatie!$C$5,12,31)) - MAX($J$2, DATE(Initialisatie!$C$5,1,1)) + 1) &gt; 0, IFERROR(VALUE($J43),0)=0)
    ),
    0,
    SUM(
        IFERROR(VALUE($E43),0) * MAX(0, MIN($E$1, DATE(Initialisatie!$C$5,12,31)) - MAX($E$2, DATE(Initialisatie!$C$5,1,1)) + 1),
        IFERROR(VALUE($F43),0) * MAX(0, MIN($F$1, DATE(Initialisatie!$C$5,12,31)) - MAX($F$2, DATE(Initialisatie!$C$5,1,1)) + 1),
        IFERROR(VALUE($G43),0) * MAX(0, MIN($G$1, DATE(Initialisatie!$C$5,12,31)) - MAX($G$2, DATE(Initialisatie!$C$5,1,1)) + 1),
        IFERROR(VALUE($H43),0) * MAX(0, MIN($H$1, DATE(Initialisatie!$C$5,12,31)) - MAX($H$2, DATE(Initialisatie!$C$5,1,1)) + 1),
        IFERROR(VALUE($I43),0) * MAX(0, MIN($I$1, DATE(Initialisatie!$C$5,12,31)) - MAX($I$2, DATE(Initialisatie!$C$5,1,1)) + 1),
        IFERROR(VALUE($J43),0) * MAX(0, MIN($J$1, DATE(Initialisatie!$C$5,12,31)) - MAX($J$2, DATE(Initialisatie!$C$5,1,1)) + 1)
    ) / (DATE(Initialisatie!$C$5,12,31) - DATE(Initialisatie!$C$5,1,1) + 1)
)</f>
        <v>3259</v>
      </c>
    </row>
    <row r="44" spans="1:12" x14ac:dyDescent="0.45">
      <c r="A44" s="990"/>
      <c r="B44" s="35" t="s">
        <v>543</v>
      </c>
      <c r="C44" s="35" t="s">
        <v>543</v>
      </c>
      <c r="D44" s="35" t="s">
        <v>565</v>
      </c>
      <c r="E44">
        <v>2832</v>
      </c>
      <c r="F44">
        <v>2889</v>
      </c>
      <c r="G44">
        <v>3091</v>
      </c>
      <c r="H44">
        <v>3215</v>
      </c>
      <c r="I44">
        <v>3344</v>
      </c>
      <c r="J44">
        <v>3344</v>
      </c>
      <c r="L44">
        <f>IF(
    OR(
        AND(MAX(0, MIN($E$1, DATE(Initialisatie!$C$5,12,31)) - MAX($E$2, DATE(Initialisatie!$C$5,1,1)) + 1) &gt; 0, IFERROR(VALUE($E44),0)=0),
        AND(MAX(0, MIN($F$1, DATE(Initialisatie!$C$5,12,31)) - MAX($F$2, DATE(Initialisatie!$C$5,1,1)) + 1) &gt; 0, IFERROR(VALUE($F44),0)=0),
        AND(MAX(0, MIN($G$1, DATE(Initialisatie!$C$5,12,31)) - MAX($G$2, DATE(Initialisatie!$C$5,1,1)) + 1) &gt; 0, IFERROR(VALUE($G44),0)=0),
        AND(MAX(0, MIN($H$1, DATE(Initialisatie!$C$5,12,31)) - MAX($H$2, DATE(Initialisatie!$C$5,1,1)) + 1) &gt; 0, IFERROR(VALUE($H44),0)=0),
        AND(MAX(0, MIN($I$1, DATE(Initialisatie!$C$5,12,31)) - MAX($I$2, DATE(Initialisatie!$C$5,1,1)) + 1) &gt; 0, IFERROR(VALUE($I44),0)=0),
        AND(MAX(0, MIN($J$1, DATE(Initialisatie!$C$5,12,31)) - MAX($J$2, DATE(Initialisatie!$C$5,1,1)) + 1) &gt; 0, IFERROR(VALUE($J44),0)=0)
    ),
    0,
    SUM(
        IFERROR(VALUE($E44),0) * MAX(0, MIN($E$1, DATE(Initialisatie!$C$5,12,31)) - MAX($E$2, DATE(Initialisatie!$C$5,1,1)) + 1),
        IFERROR(VALUE($F44),0) * MAX(0, MIN($F$1, DATE(Initialisatie!$C$5,12,31)) - MAX($F$2, DATE(Initialisatie!$C$5,1,1)) + 1),
        IFERROR(VALUE($G44),0) * MAX(0, MIN($G$1, DATE(Initialisatie!$C$5,12,31)) - MAX($G$2, DATE(Initialisatie!$C$5,1,1)) + 1),
        IFERROR(VALUE($H44),0) * MAX(0, MIN($H$1, DATE(Initialisatie!$C$5,12,31)) - MAX($H$2, DATE(Initialisatie!$C$5,1,1)) + 1),
        IFERROR(VALUE($I44),0) * MAX(0, MIN($I$1, DATE(Initialisatie!$C$5,12,31)) - MAX($I$2, DATE(Initialisatie!$C$5,1,1)) + 1),
        IFERROR(VALUE($J44),0) * MAX(0, MIN($J$1, DATE(Initialisatie!$C$5,12,31)) - MAX($J$2, DATE(Initialisatie!$C$5,1,1)) + 1)
    ) / (DATE(Initialisatie!$C$5,12,31) - DATE(Initialisatie!$C$5,1,1) + 1)
)</f>
        <v>3344</v>
      </c>
    </row>
    <row r="45" spans="1:12" x14ac:dyDescent="0.45">
      <c r="A45" s="988">
        <v>3</v>
      </c>
      <c r="B45" s="35" t="s">
        <v>517</v>
      </c>
      <c r="C45" s="35" t="s">
        <v>517</v>
      </c>
      <c r="D45" s="35" t="s">
        <v>566</v>
      </c>
      <c r="E45">
        <v>1920</v>
      </c>
      <c r="F45">
        <v>1958</v>
      </c>
      <c r="G45">
        <v>2095</v>
      </c>
      <c r="H45">
        <v>2184</v>
      </c>
      <c r="I45">
        <v>2266</v>
      </c>
      <c r="J45">
        <v>2266</v>
      </c>
      <c r="L45">
        <f>IF(
    OR(
        AND(MAX(0, MIN($E$1, DATE(Initialisatie!$C$5,12,31)) - MAX($E$2, DATE(Initialisatie!$C$5,1,1)) + 1) &gt; 0, IFERROR(VALUE($E45),0)=0),
        AND(MAX(0, MIN($F$1, DATE(Initialisatie!$C$5,12,31)) - MAX($F$2, DATE(Initialisatie!$C$5,1,1)) + 1) &gt; 0, IFERROR(VALUE($F45),0)=0),
        AND(MAX(0, MIN($G$1, DATE(Initialisatie!$C$5,12,31)) - MAX($G$2, DATE(Initialisatie!$C$5,1,1)) + 1) &gt; 0, IFERROR(VALUE($G45),0)=0),
        AND(MAX(0, MIN($H$1, DATE(Initialisatie!$C$5,12,31)) - MAX($H$2, DATE(Initialisatie!$C$5,1,1)) + 1) &gt; 0, IFERROR(VALUE($H45),0)=0),
        AND(MAX(0, MIN($I$1, DATE(Initialisatie!$C$5,12,31)) - MAX($I$2, DATE(Initialisatie!$C$5,1,1)) + 1) &gt; 0, IFERROR(VALUE($I45),0)=0),
        AND(MAX(0, MIN($J$1, DATE(Initialisatie!$C$5,12,31)) - MAX($J$2, DATE(Initialisatie!$C$5,1,1)) + 1) &gt; 0, IFERROR(VALUE($J45),0)=0)
    ),
    0,
    SUM(
        IFERROR(VALUE($E45),0) * MAX(0, MIN($E$1, DATE(Initialisatie!$C$5,12,31)) - MAX($E$2, DATE(Initialisatie!$C$5,1,1)) + 1),
        IFERROR(VALUE($F45),0) * MAX(0, MIN($F$1, DATE(Initialisatie!$C$5,12,31)) - MAX($F$2, DATE(Initialisatie!$C$5,1,1)) + 1),
        IFERROR(VALUE($G45),0) * MAX(0, MIN($G$1, DATE(Initialisatie!$C$5,12,31)) - MAX($G$2, DATE(Initialisatie!$C$5,1,1)) + 1),
        IFERROR(VALUE($H45),0) * MAX(0, MIN($H$1, DATE(Initialisatie!$C$5,12,31)) - MAX($H$2, DATE(Initialisatie!$C$5,1,1)) + 1),
        IFERROR(VALUE($I45),0) * MAX(0, MIN($I$1, DATE(Initialisatie!$C$5,12,31)) - MAX($I$2, DATE(Initialisatie!$C$5,1,1)) + 1),
        IFERROR(VALUE($J45),0) * MAX(0, MIN($J$1, DATE(Initialisatie!$C$5,12,31)) - MAX($J$2, DATE(Initialisatie!$C$5,1,1)) + 1)
    ) / (DATE(Initialisatie!$C$5,12,31) - DATE(Initialisatie!$C$5,1,1) + 1)
)</f>
        <v>2266</v>
      </c>
    </row>
    <row r="46" spans="1:12" x14ac:dyDescent="0.45">
      <c r="A46" s="989"/>
      <c r="B46" s="35">
        <v>0</v>
      </c>
      <c r="C46" s="35">
        <v>0</v>
      </c>
      <c r="D46" s="35" t="s">
        <v>567</v>
      </c>
      <c r="E46">
        <v>1963</v>
      </c>
      <c r="F46">
        <v>2002</v>
      </c>
      <c r="G46">
        <v>2142</v>
      </c>
      <c r="H46">
        <v>2228</v>
      </c>
      <c r="I46">
        <v>2317</v>
      </c>
      <c r="J46">
        <v>2317</v>
      </c>
      <c r="L46">
        <f>IF(
    OR(
        AND(MAX(0, MIN($E$1, DATE(Initialisatie!$C$5,12,31)) - MAX($E$2, DATE(Initialisatie!$C$5,1,1)) + 1) &gt; 0, IFERROR(VALUE($E46),0)=0),
        AND(MAX(0, MIN($F$1, DATE(Initialisatie!$C$5,12,31)) - MAX($F$2, DATE(Initialisatie!$C$5,1,1)) + 1) &gt; 0, IFERROR(VALUE($F46),0)=0),
        AND(MAX(0, MIN($G$1, DATE(Initialisatie!$C$5,12,31)) - MAX($G$2, DATE(Initialisatie!$C$5,1,1)) + 1) &gt; 0, IFERROR(VALUE($G46),0)=0),
        AND(MAX(0, MIN($H$1, DATE(Initialisatie!$C$5,12,31)) - MAX($H$2, DATE(Initialisatie!$C$5,1,1)) + 1) &gt; 0, IFERROR(VALUE($H46),0)=0),
        AND(MAX(0, MIN($I$1, DATE(Initialisatie!$C$5,12,31)) - MAX($I$2, DATE(Initialisatie!$C$5,1,1)) + 1) &gt; 0, IFERROR(VALUE($I46),0)=0),
        AND(MAX(0, MIN($J$1, DATE(Initialisatie!$C$5,12,31)) - MAX($J$2, DATE(Initialisatie!$C$5,1,1)) + 1) &gt; 0, IFERROR(VALUE($J46),0)=0)
    ),
    0,
    SUM(
        IFERROR(VALUE($E46),0) * MAX(0, MIN($E$1, DATE(Initialisatie!$C$5,12,31)) - MAX($E$2, DATE(Initialisatie!$C$5,1,1)) + 1),
        IFERROR(VALUE($F46),0) * MAX(0, MIN($F$1, DATE(Initialisatie!$C$5,12,31)) - MAX($F$2, DATE(Initialisatie!$C$5,1,1)) + 1),
        IFERROR(VALUE($G46),0) * MAX(0, MIN($G$1, DATE(Initialisatie!$C$5,12,31)) - MAX($G$2, DATE(Initialisatie!$C$5,1,1)) + 1),
        IFERROR(VALUE($H46),0) * MAX(0, MIN($H$1, DATE(Initialisatie!$C$5,12,31)) - MAX($H$2, DATE(Initialisatie!$C$5,1,1)) + 1),
        IFERROR(VALUE($I46),0) * MAX(0, MIN($I$1, DATE(Initialisatie!$C$5,12,31)) - MAX($I$2, DATE(Initialisatie!$C$5,1,1)) + 1),
        IFERROR(VALUE($J46),0) * MAX(0, MIN($J$1, DATE(Initialisatie!$C$5,12,31)) - MAX($J$2, DATE(Initialisatie!$C$5,1,1)) + 1)
    ) / (DATE(Initialisatie!$C$5,12,31) - DATE(Initialisatie!$C$5,1,1) + 1)
)</f>
        <v>2317</v>
      </c>
    </row>
    <row r="47" spans="1:12" x14ac:dyDescent="0.45">
      <c r="A47" s="989"/>
      <c r="B47" s="35">
        <v>1</v>
      </c>
      <c r="C47" s="35">
        <v>1</v>
      </c>
      <c r="D47" s="35" t="s">
        <v>568</v>
      </c>
      <c r="E47">
        <v>2012</v>
      </c>
      <c r="F47">
        <v>2052</v>
      </c>
      <c r="G47">
        <v>2196</v>
      </c>
      <c r="H47">
        <v>2284</v>
      </c>
      <c r="I47">
        <v>2375</v>
      </c>
      <c r="J47">
        <v>2375</v>
      </c>
      <c r="L47">
        <f>IF(
    OR(
        AND(MAX(0, MIN($E$1, DATE(Initialisatie!$C$5,12,31)) - MAX($E$2, DATE(Initialisatie!$C$5,1,1)) + 1) &gt; 0, IFERROR(VALUE($E47),0)=0),
        AND(MAX(0, MIN($F$1, DATE(Initialisatie!$C$5,12,31)) - MAX($F$2, DATE(Initialisatie!$C$5,1,1)) + 1) &gt; 0, IFERROR(VALUE($F47),0)=0),
        AND(MAX(0, MIN($G$1, DATE(Initialisatie!$C$5,12,31)) - MAX($G$2, DATE(Initialisatie!$C$5,1,1)) + 1) &gt; 0, IFERROR(VALUE($G47),0)=0),
        AND(MAX(0, MIN($H$1, DATE(Initialisatie!$C$5,12,31)) - MAX($H$2, DATE(Initialisatie!$C$5,1,1)) + 1) &gt; 0, IFERROR(VALUE($H47),0)=0),
        AND(MAX(0, MIN($I$1, DATE(Initialisatie!$C$5,12,31)) - MAX($I$2, DATE(Initialisatie!$C$5,1,1)) + 1) &gt; 0, IFERROR(VALUE($I47),0)=0),
        AND(MAX(0, MIN($J$1, DATE(Initialisatie!$C$5,12,31)) - MAX($J$2, DATE(Initialisatie!$C$5,1,1)) + 1) &gt; 0, IFERROR(VALUE($J47),0)=0)
    ),
    0,
    SUM(
        IFERROR(VALUE($E47),0) * MAX(0, MIN($E$1, DATE(Initialisatie!$C$5,12,31)) - MAX($E$2, DATE(Initialisatie!$C$5,1,1)) + 1),
        IFERROR(VALUE($F47),0) * MAX(0, MIN($F$1, DATE(Initialisatie!$C$5,12,31)) - MAX($F$2, DATE(Initialisatie!$C$5,1,1)) + 1),
        IFERROR(VALUE($G47),0) * MAX(0, MIN($G$1, DATE(Initialisatie!$C$5,12,31)) - MAX($G$2, DATE(Initialisatie!$C$5,1,1)) + 1),
        IFERROR(VALUE($H47),0) * MAX(0, MIN($H$1, DATE(Initialisatie!$C$5,12,31)) - MAX($H$2, DATE(Initialisatie!$C$5,1,1)) + 1),
        IFERROR(VALUE($I47),0) * MAX(0, MIN($I$1, DATE(Initialisatie!$C$5,12,31)) - MAX($I$2, DATE(Initialisatie!$C$5,1,1)) + 1),
        IFERROR(VALUE($J47),0) * MAX(0, MIN($J$1, DATE(Initialisatie!$C$5,12,31)) - MAX($J$2, DATE(Initialisatie!$C$5,1,1)) + 1)
    ) / (DATE(Initialisatie!$C$5,12,31) - DATE(Initialisatie!$C$5,1,1) + 1)
)</f>
        <v>2375</v>
      </c>
    </row>
    <row r="48" spans="1:12" x14ac:dyDescent="0.45">
      <c r="A48" s="989"/>
      <c r="B48" s="35">
        <v>2</v>
      </c>
      <c r="C48" s="35">
        <v>2</v>
      </c>
      <c r="D48" s="35" t="s">
        <v>569</v>
      </c>
      <c r="E48">
        <v>2058</v>
      </c>
      <c r="F48">
        <v>2099</v>
      </c>
      <c r="G48">
        <v>2246</v>
      </c>
      <c r="H48">
        <v>2336</v>
      </c>
      <c r="I48">
        <v>2429</v>
      </c>
      <c r="J48">
        <v>2429</v>
      </c>
      <c r="L48">
        <f>IF(
    OR(
        AND(MAX(0, MIN($E$1, DATE(Initialisatie!$C$5,12,31)) - MAX($E$2, DATE(Initialisatie!$C$5,1,1)) + 1) &gt; 0, IFERROR(VALUE($E48),0)=0),
        AND(MAX(0, MIN($F$1, DATE(Initialisatie!$C$5,12,31)) - MAX($F$2, DATE(Initialisatie!$C$5,1,1)) + 1) &gt; 0, IFERROR(VALUE($F48),0)=0),
        AND(MAX(0, MIN($G$1, DATE(Initialisatie!$C$5,12,31)) - MAX($G$2, DATE(Initialisatie!$C$5,1,1)) + 1) &gt; 0, IFERROR(VALUE($G48),0)=0),
        AND(MAX(0, MIN($H$1, DATE(Initialisatie!$C$5,12,31)) - MAX($H$2, DATE(Initialisatie!$C$5,1,1)) + 1) &gt; 0, IFERROR(VALUE($H48),0)=0),
        AND(MAX(0, MIN($I$1, DATE(Initialisatie!$C$5,12,31)) - MAX($I$2, DATE(Initialisatie!$C$5,1,1)) + 1) &gt; 0, IFERROR(VALUE($I48),0)=0),
        AND(MAX(0, MIN($J$1, DATE(Initialisatie!$C$5,12,31)) - MAX($J$2, DATE(Initialisatie!$C$5,1,1)) + 1) &gt; 0, IFERROR(VALUE($J48),0)=0)
    ),
    0,
    SUM(
        IFERROR(VALUE($E48),0) * MAX(0, MIN($E$1, DATE(Initialisatie!$C$5,12,31)) - MAX($E$2, DATE(Initialisatie!$C$5,1,1)) + 1),
        IFERROR(VALUE($F48),0) * MAX(0, MIN($F$1, DATE(Initialisatie!$C$5,12,31)) - MAX($F$2, DATE(Initialisatie!$C$5,1,1)) + 1),
        IFERROR(VALUE($G48),0) * MAX(0, MIN($G$1, DATE(Initialisatie!$C$5,12,31)) - MAX($G$2, DATE(Initialisatie!$C$5,1,1)) + 1),
        IFERROR(VALUE($H48),0) * MAX(0, MIN($H$1, DATE(Initialisatie!$C$5,12,31)) - MAX($H$2, DATE(Initialisatie!$C$5,1,1)) + 1),
        IFERROR(VALUE($I48),0) * MAX(0, MIN($I$1, DATE(Initialisatie!$C$5,12,31)) - MAX($I$2, DATE(Initialisatie!$C$5,1,1)) + 1),
        IFERROR(VALUE($J48),0) * MAX(0, MIN($J$1, DATE(Initialisatie!$C$5,12,31)) - MAX($J$2, DATE(Initialisatie!$C$5,1,1)) + 1)
    ) / (DATE(Initialisatie!$C$5,12,31) - DATE(Initialisatie!$C$5,1,1) + 1)
)</f>
        <v>2429</v>
      </c>
    </row>
    <row r="49" spans="1:12" x14ac:dyDescent="0.45">
      <c r="A49" s="989"/>
      <c r="B49" s="35">
        <v>3</v>
      </c>
      <c r="C49" s="35">
        <v>3</v>
      </c>
      <c r="D49" s="35" t="s">
        <v>570</v>
      </c>
      <c r="E49">
        <v>2105</v>
      </c>
      <c r="F49">
        <v>2147</v>
      </c>
      <c r="G49">
        <v>2297</v>
      </c>
      <c r="H49">
        <v>2389</v>
      </c>
      <c r="I49">
        <v>2485</v>
      </c>
      <c r="J49">
        <v>2485</v>
      </c>
      <c r="L49">
        <f>IF(
    OR(
        AND(MAX(0, MIN($E$1, DATE(Initialisatie!$C$5,12,31)) - MAX($E$2, DATE(Initialisatie!$C$5,1,1)) + 1) &gt; 0, IFERROR(VALUE($E49),0)=0),
        AND(MAX(0, MIN($F$1, DATE(Initialisatie!$C$5,12,31)) - MAX($F$2, DATE(Initialisatie!$C$5,1,1)) + 1) &gt; 0, IFERROR(VALUE($F49),0)=0),
        AND(MAX(0, MIN($G$1, DATE(Initialisatie!$C$5,12,31)) - MAX($G$2, DATE(Initialisatie!$C$5,1,1)) + 1) &gt; 0, IFERROR(VALUE($G49),0)=0),
        AND(MAX(0, MIN($H$1, DATE(Initialisatie!$C$5,12,31)) - MAX($H$2, DATE(Initialisatie!$C$5,1,1)) + 1) &gt; 0, IFERROR(VALUE($H49),0)=0),
        AND(MAX(0, MIN($I$1, DATE(Initialisatie!$C$5,12,31)) - MAX($I$2, DATE(Initialisatie!$C$5,1,1)) + 1) &gt; 0, IFERROR(VALUE($I49),0)=0),
        AND(MAX(0, MIN($J$1, DATE(Initialisatie!$C$5,12,31)) - MAX($J$2, DATE(Initialisatie!$C$5,1,1)) + 1) &gt; 0, IFERROR(VALUE($J49),0)=0)
    ),
    0,
    SUM(
        IFERROR(VALUE($E49),0) * MAX(0, MIN($E$1, DATE(Initialisatie!$C$5,12,31)) - MAX($E$2, DATE(Initialisatie!$C$5,1,1)) + 1),
        IFERROR(VALUE($F49),0) * MAX(0, MIN($F$1, DATE(Initialisatie!$C$5,12,31)) - MAX($F$2, DATE(Initialisatie!$C$5,1,1)) + 1),
        IFERROR(VALUE($G49),0) * MAX(0, MIN($G$1, DATE(Initialisatie!$C$5,12,31)) - MAX($G$2, DATE(Initialisatie!$C$5,1,1)) + 1),
        IFERROR(VALUE($H49),0) * MAX(0, MIN($H$1, DATE(Initialisatie!$C$5,12,31)) - MAX($H$2, DATE(Initialisatie!$C$5,1,1)) + 1),
        IFERROR(VALUE($I49),0) * MAX(0, MIN($I$1, DATE(Initialisatie!$C$5,12,31)) - MAX($I$2, DATE(Initialisatie!$C$5,1,1)) + 1),
        IFERROR(VALUE($J49),0) * MAX(0, MIN($J$1, DATE(Initialisatie!$C$5,12,31)) - MAX($J$2, DATE(Initialisatie!$C$5,1,1)) + 1)
    ) / (DATE(Initialisatie!$C$5,12,31) - DATE(Initialisatie!$C$5,1,1) + 1)
)</f>
        <v>2485</v>
      </c>
    </row>
    <row r="50" spans="1:12" x14ac:dyDescent="0.45">
      <c r="A50" s="989"/>
      <c r="B50" s="35">
        <v>4</v>
      </c>
      <c r="C50" s="35">
        <v>4</v>
      </c>
      <c r="D50" s="35" t="s">
        <v>571</v>
      </c>
      <c r="E50">
        <v>2157</v>
      </c>
      <c r="F50">
        <v>2200</v>
      </c>
      <c r="G50">
        <v>2354</v>
      </c>
      <c r="H50">
        <v>2448</v>
      </c>
      <c r="I50">
        <v>2546</v>
      </c>
      <c r="J50">
        <v>2546</v>
      </c>
      <c r="L50">
        <f>IF(
    OR(
        AND(MAX(0, MIN($E$1, DATE(Initialisatie!$C$5,12,31)) - MAX($E$2, DATE(Initialisatie!$C$5,1,1)) + 1) &gt; 0, IFERROR(VALUE($E50),0)=0),
        AND(MAX(0, MIN($F$1, DATE(Initialisatie!$C$5,12,31)) - MAX($F$2, DATE(Initialisatie!$C$5,1,1)) + 1) &gt; 0, IFERROR(VALUE($F50),0)=0),
        AND(MAX(0, MIN($G$1, DATE(Initialisatie!$C$5,12,31)) - MAX($G$2, DATE(Initialisatie!$C$5,1,1)) + 1) &gt; 0, IFERROR(VALUE($G50),0)=0),
        AND(MAX(0, MIN($H$1, DATE(Initialisatie!$C$5,12,31)) - MAX($H$2, DATE(Initialisatie!$C$5,1,1)) + 1) &gt; 0, IFERROR(VALUE($H50),0)=0),
        AND(MAX(0, MIN($I$1, DATE(Initialisatie!$C$5,12,31)) - MAX($I$2, DATE(Initialisatie!$C$5,1,1)) + 1) &gt; 0, IFERROR(VALUE($I50),0)=0),
        AND(MAX(0, MIN($J$1, DATE(Initialisatie!$C$5,12,31)) - MAX($J$2, DATE(Initialisatie!$C$5,1,1)) + 1) &gt; 0, IFERROR(VALUE($J50),0)=0)
    ),
    0,
    SUM(
        IFERROR(VALUE($E50),0) * MAX(0, MIN($E$1, DATE(Initialisatie!$C$5,12,31)) - MAX($E$2, DATE(Initialisatie!$C$5,1,1)) + 1),
        IFERROR(VALUE($F50),0) * MAX(0, MIN($F$1, DATE(Initialisatie!$C$5,12,31)) - MAX($F$2, DATE(Initialisatie!$C$5,1,1)) + 1),
        IFERROR(VALUE($G50),0) * MAX(0, MIN($G$1, DATE(Initialisatie!$C$5,12,31)) - MAX($G$2, DATE(Initialisatie!$C$5,1,1)) + 1),
        IFERROR(VALUE($H50),0) * MAX(0, MIN($H$1, DATE(Initialisatie!$C$5,12,31)) - MAX($H$2, DATE(Initialisatie!$C$5,1,1)) + 1),
        IFERROR(VALUE($I50),0) * MAX(0, MIN($I$1, DATE(Initialisatie!$C$5,12,31)) - MAX($I$2, DATE(Initialisatie!$C$5,1,1)) + 1),
        IFERROR(VALUE($J50),0) * MAX(0, MIN($J$1, DATE(Initialisatie!$C$5,12,31)) - MAX($J$2, DATE(Initialisatie!$C$5,1,1)) + 1)
    ) / (DATE(Initialisatie!$C$5,12,31) - DATE(Initialisatie!$C$5,1,1) + 1)
)</f>
        <v>2546</v>
      </c>
    </row>
    <row r="51" spans="1:12" x14ac:dyDescent="0.45">
      <c r="A51" s="989"/>
      <c r="B51" s="35">
        <v>5</v>
      </c>
      <c r="C51" s="35">
        <v>5</v>
      </c>
      <c r="D51" s="35" t="s">
        <v>572</v>
      </c>
      <c r="E51">
        <v>2211</v>
      </c>
      <c r="F51">
        <v>2255</v>
      </c>
      <c r="G51">
        <v>2413</v>
      </c>
      <c r="H51">
        <v>2510</v>
      </c>
      <c r="I51">
        <v>2610</v>
      </c>
      <c r="J51">
        <v>2610</v>
      </c>
      <c r="L51">
        <f>IF(
    OR(
        AND(MAX(0, MIN($E$1, DATE(Initialisatie!$C$5,12,31)) - MAX($E$2, DATE(Initialisatie!$C$5,1,1)) + 1) &gt; 0, IFERROR(VALUE($E51),0)=0),
        AND(MAX(0, MIN($F$1, DATE(Initialisatie!$C$5,12,31)) - MAX($F$2, DATE(Initialisatie!$C$5,1,1)) + 1) &gt; 0, IFERROR(VALUE($F51),0)=0),
        AND(MAX(0, MIN($G$1, DATE(Initialisatie!$C$5,12,31)) - MAX($G$2, DATE(Initialisatie!$C$5,1,1)) + 1) &gt; 0, IFERROR(VALUE($G51),0)=0),
        AND(MAX(0, MIN($H$1, DATE(Initialisatie!$C$5,12,31)) - MAX($H$2, DATE(Initialisatie!$C$5,1,1)) + 1) &gt; 0, IFERROR(VALUE($H51),0)=0),
        AND(MAX(0, MIN($I$1, DATE(Initialisatie!$C$5,12,31)) - MAX($I$2, DATE(Initialisatie!$C$5,1,1)) + 1) &gt; 0, IFERROR(VALUE($I51),0)=0),
        AND(MAX(0, MIN($J$1, DATE(Initialisatie!$C$5,12,31)) - MAX($J$2, DATE(Initialisatie!$C$5,1,1)) + 1) &gt; 0, IFERROR(VALUE($J51),0)=0)
    ),
    0,
    SUM(
        IFERROR(VALUE($E51),0) * MAX(0, MIN($E$1, DATE(Initialisatie!$C$5,12,31)) - MAX($E$2, DATE(Initialisatie!$C$5,1,1)) + 1),
        IFERROR(VALUE($F51),0) * MAX(0, MIN($F$1, DATE(Initialisatie!$C$5,12,31)) - MAX($F$2, DATE(Initialisatie!$C$5,1,1)) + 1),
        IFERROR(VALUE($G51),0) * MAX(0, MIN($G$1, DATE(Initialisatie!$C$5,12,31)) - MAX($G$2, DATE(Initialisatie!$C$5,1,1)) + 1),
        IFERROR(VALUE($H51),0) * MAX(0, MIN($H$1, DATE(Initialisatie!$C$5,12,31)) - MAX($H$2, DATE(Initialisatie!$C$5,1,1)) + 1),
        IFERROR(VALUE($I51),0) * MAX(0, MIN($I$1, DATE(Initialisatie!$C$5,12,31)) - MAX($I$2, DATE(Initialisatie!$C$5,1,1)) + 1),
        IFERROR(VALUE($J51),0) * MAX(0, MIN($J$1, DATE(Initialisatie!$C$5,12,31)) - MAX($J$2, DATE(Initialisatie!$C$5,1,1)) + 1)
    ) / (DATE(Initialisatie!$C$5,12,31) - DATE(Initialisatie!$C$5,1,1) + 1)
)</f>
        <v>2610</v>
      </c>
    </row>
    <row r="52" spans="1:12" x14ac:dyDescent="0.45">
      <c r="A52" s="989"/>
      <c r="B52" s="35">
        <v>6</v>
      </c>
      <c r="C52" s="35">
        <v>6</v>
      </c>
      <c r="D52" s="35" t="s">
        <v>573</v>
      </c>
      <c r="E52">
        <v>2262</v>
      </c>
      <c r="F52">
        <v>2307</v>
      </c>
      <c r="G52">
        <v>2468</v>
      </c>
      <c r="H52">
        <v>2567</v>
      </c>
      <c r="I52">
        <v>2670</v>
      </c>
      <c r="J52">
        <v>2670</v>
      </c>
      <c r="L52">
        <f>IF(
    OR(
        AND(MAX(0, MIN($E$1, DATE(Initialisatie!$C$5,12,31)) - MAX($E$2, DATE(Initialisatie!$C$5,1,1)) + 1) &gt; 0, IFERROR(VALUE($E52),0)=0),
        AND(MAX(0, MIN($F$1, DATE(Initialisatie!$C$5,12,31)) - MAX($F$2, DATE(Initialisatie!$C$5,1,1)) + 1) &gt; 0, IFERROR(VALUE($F52),0)=0),
        AND(MAX(0, MIN($G$1, DATE(Initialisatie!$C$5,12,31)) - MAX($G$2, DATE(Initialisatie!$C$5,1,1)) + 1) &gt; 0, IFERROR(VALUE($G52),0)=0),
        AND(MAX(0, MIN($H$1, DATE(Initialisatie!$C$5,12,31)) - MAX($H$2, DATE(Initialisatie!$C$5,1,1)) + 1) &gt; 0, IFERROR(VALUE($H52),0)=0),
        AND(MAX(0, MIN($I$1, DATE(Initialisatie!$C$5,12,31)) - MAX($I$2, DATE(Initialisatie!$C$5,1,1)) + 1) &gt; 0, IFERROR(VALUE($I52),0)=0),
        AND(MAX(0, MIN($J$1, DATE(Initialisatie!$C$5,12,31)) - MAX($J$2, DATE(Initialisatie!$C$5,1,1)) + 1) &gt; 0, IFERROR(VALUE($J52),0)=0)
    ),
    0,
    SUM(
        IFERROR(VALUE($E52),0) * MAX(0, MIN($E$1, DATE(Initialisatie!$C$5,12,31)) - MAX($E$2, DATE(Initialisatie!$C$5,1,1)) + 1),
        IFERROR(VALUE($F52),0) * MAX(0, MIN($F$1, DATE(Initialisatie!$C$5,12,31)) - MAX($F$2, DATE(Initialisatie!$C$5,1,1)) + 1),
        IFERROR(VALUE($G52),0) * MAX(0, MIN($G$1, DATE(Initialisatie!$C$5,12,31)) - MAX($G$2, DATE(Initialisatie!$C$5,1,1)) + 1),
        IFERROR(VALUE($H52),0) * MAX(0, MIN($H$1, DATE(Initialisatie!$C$5,12,31)) - MAX($H$2, DATE(Initialisatie!$C$5,1,1)) + 1),
        IFERROR(VALUE($I52),0) * MAX(0, MIN($I$1, DATE(Initialisatie!$C$5,12,31)) - MAX($I$2, DATE(Initialisatie!$C$5,1,1)) + 1),
        IFERROR(VALUE($J52),0) * MAX(0, MIN($J$1, DATE(Initialisatie!$C$5,12,31)) - MAX($J$2, DATE(Initialisatie!$C$5,1,1)) + 1)
    ) / (DATE(Initialisatie!$C$5,12,31) - DATE(Initialisatie!$C$5,1,1) + 1)
)</f>
        <v>2670</v>
      </c>
    </row>
    <row r="53" spans="1:12" x14ac:dyDescent="0.45">
      <c r="A53" s="989"/>
      <c r="B53" s="35">
        <v>7</v>
      </c>
      <c r="C53" s="35">
        <v>7</v>
      </c>
      <c r="D53" s="35" t="s">
        <v>574</v>
      </c>
      <c r="E53">
        <v>2319</v>
      </c>
      <c r="F53">
        <v>2365</v>
      </c>
      <c r="G53">
        <v>2531</v>
      </c>
      <c r="H53">
        <v>2632</v>
      </c>
      <c r="I53">
        <v>2737</v>
      </c>
      <c r="J53">
        <v>2737</v>
      </c>
      <c r="L53">
        <f>IF(
    OR(
        AND(MAX(0, MIN($E$1, DATE(Initialisatie!$C$5,12,31)) - MAX($E$2, DATE(Initialisatie!$C$5,1,1)) + 1) &gt; 0, IFERROR(VALUE($E53),0)=0),
        AND(MAX(0, MIN($F$1, DATE(Initialisatie!$C$5,12,31)) - MAX($F$2, DATE(Initialisatie!$C$5,1,1)) + 1) &gt; 0, IFERROR(VALUE($F53),0)=0),
        AND(MAX(0, MIN($G$1, DATE(Initialisatie!$C$5,12,31)) - MAX($G$2, DATE(Initialisatie!$C$5,1,1)) + 1) &gt; 0, IFERROR(VALUE($G53),0)=0),
        AND(MAX(0, MIN($H$1, DATE(Initialisatie!$C$5,12,31)) - MAX($H$2, DATE(Initialisatie!$C$5,1,1)) + 1) &gt; 0, IFERROR(VALUE($H53),0)=0),
        AND(MAX(0, MIN($I$1, DATE(Initialisatie!$C$5,12,31)) - MAX($I$2, DATE(Initialisatie!$C$5,1,1)) + 1) &gt; 0, IFERROR(VALUE($I53),0)=0),
        AND(MAX(0, MIN($J$1, DATE(Initialisatie!$C$5,12,31)) - MAX($J$2, DATE(Initialisatie!$C$5,1,1)) + 1) &gt; 0, IFERROR(VALUE($J53),0)=0)
    ),
    0,
    SUM(
        IFERROR(VALUE($E53),0) * MAX(0, MIN($E$1, DATE(Initialisatie!$C$5,12,31)) - MAX($E$2, DATE(Initialisatie!$C$5,1,1)) + 1),
        IFERROR(VALUE($F53),0) * MAX(0, MIN($F$1, DATE(Initialisatie!$C$5,12,31)) - MAX($F$2, DATE(Initialisatie!$C$5,1,1)) + 1),
        IFERROR(VALUE($G53),0) * MAX(0, MIN($G$1, DATE(Initialisatie!$C$5,12,31)) - MAX($G$2, DATE(Initialisatie!$C$5,1,1)) + 1),
        IFERROR(VALUE($H53),0) * MAX(0, MIN($H$1, DATE(Initialisatie!$C$5,12,31)) - MAX($H$2, DATE(Initialisatie!$C$5,1,1)) + 1),
        IFERROR(VALUE($I53),0) * MAX(0, MIN($I$1, DATE(Initialisatie!$C$5,12,31)) - MAX($I$2, DATE(Initialisatie!$C$5,1,1)) + 1),
        IFERROR(VALUE($J53),0) * MAX(0, MIN($J$1, DATE(Initialisatie!$C$5,12,31)) - MAX($J$2, DATE(Initialisatie!$C$5,1,1)) + 1)
    ) / (DATE(Initialisatie!$C$5,12,31) - DATE(Initialisatie!$C$5,1,1) + 1)
)</f>
        <v>2737</v>
      </c>
    </row>
    <row r="54" spans="1:12" x14ac:dyDescent="0.45">
      <c r="A54" s="989"/>
      <c r="B54" s="35">
        <v>8</v>
      </c>
      <c r="C54" s="35">
        <v>8</v>
      </c>
      <c r="D54" s="35" t="s">
        <v>575</v>
      </c>
      <c r="E54">
        <v>2396</v>
      </c>
      <c r="F54">
        <v>2444</v>
      </c>
      <c r="G54">
        <v>2615</v>
      </c>
      <c r="H54">
        <v>2720</v>
      </c>
      <c r="I54">
        <v>2829</v>
      </c>
      <c r="J54">
        <v>2829</v>
      </c>
      <c r="L54">
        <f>IF(
    OR(
        AND(MAX(0, MIN($E$1, DATE(Initialisatie!$C$5,12,31)) - MAX($E$2, DATE(Initialisatie!$C$5,1,1)) + 1) &gt; 0, IFERROR(VALUE($E54),0)=0),
        AND(MAX(0, MIN($F$1, DATE(Initialisatie!$C$5,12,31)) - MAX($F$2, DATE(Initialisatie!$C$5,1,1)) + 1) &gt; 0, IFERROR(VALUE($F54),0)=0),
        AND(MAX(0, MIN($G$1, DATE(Initialisatie!$C$5,12,31)) - MAX($G$2, DATE(Initialisatie!$C$5,1,1)) + 1) &gt; 0, IFERROR(VALUE($G54),0)=0),
        AND(MAX(0, MIN($H$1, DATE(Initialisatie!$C$5,12,31)) - MAX($H$2, DATE(Initialisatie!$C$5,1,1)) + 1) &gt; 0, IFERROR(VALUE($H54),0)=0),
        AND(MAX(0, MIN($I$1, DATE(Initialisatie!$C$5,12,31)) - MAX($I$2, DATE(Initialisatie!$C$5,1,1)) + 1) &gt; 0, IFERROR(VALUE($I54),0)=0),
        AND(MAX(0, MIN($J$1, DATE(Initialisatie!$C$5,12,31)) - MAX($J$2, DATE(Initialisatie!$C$5,1,1)) + 1) &gt; 0, IFERROR(VALUE($J54),0)=0)
    ),
    0,
    SUM(
        IFERROR(VALUE($E54),0) * MAX(0, MIN($E$1, DATE(Initialisatie!$C$5,12,31)) - MAX($E$2, DATE(Initialisatie!$C$5,1,1)) + 1),
        IFERROR(VALUE($F54),0) * MAX(0, MIN($F$1, DATE(Initialisatie!$C$5,12,31)) - MAX($F$2, DATE(Initialisatie!$C$5,1,1)) + 1),
        IFERROR(VALUE($G54),0) * MAX(0, MIN($G$1, DATE(Initialisatie!$C$5,12,31)) - MAX($G$2, DATE(Initialisatie!$C$5,1,1)) + 1),
        IFERROR(VALUE($H54),0) * MAX(0, MIN($H$1, DATE(Initialisatie!$C$5,12,31)) - MAX($H$2, DATE(Initialisatie!$C$5,1,1)) + 1),
        IFERROR(VALUE($I54),0) * MAX(0, MIN($I$1, DATE(Initialisatie!$C$5,12,31)) - MAX($I$2, DATE(Initialisatie!$C$5,1,1)) + 1),
        IFERROR(VALUE($J54),0) * MAX(0, MIN($J$1, DATE(Initialisatie!$C$5,12,31)) - MAX($J$2, DATE(Initialisatie!$C$5,1,1)) + 1)
    ) / (DATE(Initialisatie!$C$5,12,31) - DATE(Initialisatie!$C$5,1,1) + 1)
)</f>
        <v>2829</v>
      </c>
    </row>
    <row r="55" spans="1:12" x14ac:dyDescent="0.45">
      <c r="A55" s="989"/>
      <c r="B55" s="35">
        <v>9</v>
      </c>
      <c r="C55" s="35">
        <v>9</v>
      </c>
      <c r="D55" s="35" t="s">
        <v>576</v>
      </c>
      <c r="E55">
        <v>2463</v>
      </c>
      <c r="F55">
        <v>2512</v>
      </c>
      <c r="G55">
        <v>2688</v>
      </c>
      <c r="H55">
        <v>2796</v>
      </c>
      <c r="I55">
        <v>2908</v>
      </c>
      <c r="J55">
        <v>2908</v>
      </c>
      <c r="L55">
        <f>IF(
    OR(
        AND(MAX(0, MIN($E$1, DATE(Initialisatie!$C$5,12,31)) - MAX($E$2, DATE(Initialisatie!$C$5,1,1)) + 1) &gt; 0, IFERROR(VALUE($E55),0)=0),
        AND(MAX(0, MIN($F$1, DATE(Initialisatie!$C$5,12,31)) - MAX($F$2, DATE(Initialisatie!$C$5,1,1)) + 1) &gt; 0, IFERROR(VALUE($F55),0)=0),
        AND(MAX(0, MIN($G$1, DATE(Initialisatie!$C$5,12,31)) - MAX($G$2, DATE(Initialisatie!$C$5,1,1)) + 1) &gt; 0, IFERROR(VALUE($G55),0)=0),
        AND(MAX(0, MIN($H$1, DATE(Initialisatie!$C$5,12,31)) - MAX($H$2, DATE(Initialisatie!$C$5,1,1)) + 1) &gt; 0, IFERROR(VALUE($H55),0)=0),
        AND(MAX(0, MIN($I$1, DATE(Initialisatie!$C$5,12,31)) - MAX($I$2, DATE(Initialisatie!$C$5,1,1)) + 1) &gt; 0, IFERROR(VALUE($I55),0)=0),
        AND(MAX(0, MIN($J$1, DATE(Initialisatie!$C$5,12,31)) - MAX($J$2, DATE(Initialisatie!$C$5,1,1)) + 1) &gt; 0, IFERROR(VALUE($J55),0)=0)
    ),
    0,
    SUM(
        IFERROR(VALUE($E55),0) * MAX(0, MIN($E$1, DATE(Initialisatie!$C$5,12,31)) - MAX($E$2, DATE(Initialisatie!$C$5,1,1)) + 1),
        IFERROR(VALUE($F55),0) * MAX(0, MIN($F$1, DATE(Initialisatie!$C$5,12,31)) - MAX($F$2, DATE(Initialisatie!$C$5,1,1)) + 1),
        IFERROR(VALUE($G55),0) * MAX(0, MIN($G$1, DATE(Initialisatie!$C$5,12,31)) - MAX($G$2, DATE(Initialisatie!$C$5,1,1)) + 1),
        IFERROR(VALUE($H55),0) * MAX(0, MIN($H$1, DATE(Initialisatie!$C$5,12,31)) - MAX($H$2, DATE(Initialisatie!$C$5,1,1)) + 1),
        IFERROR(VALUE($I55),0) * MAX(0, MIN($I$1, DATE(Initialisatie!$C$5,12,31)) - MAX($I$2, DATE(Initialisatie!$C$5,1,1)) + 1),
        IFERROR(VALUE($J55),0) * MAX(0, MIN($J$1, DATE(Initialisatie!$C$5,12,31)) - MAX($J$2, DATE(Initialisatie!$C$5,1,1)) + 1)
    ) / (DATE(Initialisatie!$C$5,12,31) - DATE(Initialisatie!$C$5,1,1) + 1)
)</f>
        <v>2908</v>
      </c>
    </row>
    <row r="56" spans="1:12" x14ac:dyDescent="0.45">
      <c r="A56" s="989"/>
      <c r="B56" s="35">
        <v>10</v>
      </c>
      <c r="C56" s="35">
        <v>10</v>
      </c>
      <c r="D56" s="35" t="s">
        <v>577</v>
      </c>
      <c r="E56">
        <v>2543</v>
      </c>
      <c r="F56">
        <v>2594</v>
      </c>
      <c r="G56">
        <v>2776</v>
      </c>
      <c r="H56">
        <v>2887</v>
      </c>
      <c r="I56">
        <v>3002</v>
      </c>
      <c r="J56">
        <v>3002</v>
      </c>
      <c r="L56">
        <f>IF(
    OR(
        AND(MAX(0, MIN($E$1, DATE(Initialisatie!$C$5,12,31)) - MAX($E$2, DATE(Initialisatie!$C$5,1,1)) + 1) &gt; 0, IFERROR(VALUE($E56),0)=0),
        AND(MAX(0, MIN($F$1, DATE(Initialisatie!$C$5,12,31)) - MAX($F$2, DATE(Initialisatie!$C$5,1,1)) + 1) &gt; 0, IFERROR(VALUE($F56),0)=0),
        AND(MAX(0, MIN($G$1, DATE(Initialisatie!$C$5,12,31)) - MAX($G$2, DATE(Initialisatie!$C$5,1,1)) + 1) &gt; 0, IFERROR(VALUE($G56),0)=0),
        AND(MAX(0, MIN($H$1, DATE(Initialisatie!$C$5,12,31)) - MAX($H$2, DATE(Initialisatie!$C$5,1,1)) + 1) &gt; 0, IFERROR(VALUE($H56),0)=0),
        AND(MAX(0, MIN($I$1, DATE(Initialisatie!$C$5,12,31)) - MAX($I$2, DATE(Initialisatie!$C$5,1,1)) + 1) &gt; 0, IFERROR(VALUE($I56),0)=0),
        AND(MAX(0, MIN($J$1, DATE(Initialisatie!$C$5,12,31)) - MAX($J$2, DATE(Initialisatie!$C$5,1,1)) + 1) &gt; 0, IFERROR(VALUE($J56),0)=0)
    ),
    0,
    SUM(
        IFERROR(VALUE($E56),0) * MAX(0, MIN($E$1, DATE(Initialisatie!$C$5,12,31)) - MAX($E$2, DATE(Initialisatie!$C$5,1,1)) + 1),
        IFERROR(VALUE($F56),0) * MAX(0, MIN($F$1, DATE(Initialisatie!$C$5,12,31)) - MAX($F$2, DATE(Initialisatie!$C$5,1,1)) + 1),
        IFERROR(VALUE($G56),0) * MAX(0, MIN($G$1, DATE(Initialisatie!$C$5,12,31)) - MAX($G$2, DATE(Initialisatie!$C$5,1,1)) + 1),
        IFERROR(VALUE($H56),0) * MAX(0, MIN($H$1, DATE(Initialisatie!$C$5,12,31)) - MAX($H$2, DATE(Initialisatie!$C$5,1,1)) + 1),
        IFERROR(VALUE($I56),0) * MAX(0, MIN($I$1, DATE(Initialisatie!$C$5,12,31)) - MAX($I$2, DATE(Initialisatie!$C$5,1,1)) + 1),
        IFERROR(VALUE($J56),0) * MAX(0, MIN($J$1, DATE(Initialisatie!$C$5,12,31)) - MAX($J$2, DATE(Initialisatie!$C$5,1,1)) + 1)
    ) / (DATE(Initialisatie!$C$5,12,31) - DATE(Initialisatie!$C$5,1,1) + 1)
)</f>
        <v>3002</v>
      </c>
    </row>
    <row r="57" spans="1:12" x14ac:dyDescent="0.45">
      <c r="A57" s="989"/>
      <c r="B57" s="35">
        <v>11</v>
      </c>
      <c r="C57" s="35">
        <v>11</v>
      </c>
      <c r="D57" s="35" t="s">
        <v>578</v>
      </c>
      <c r="E57">
        <v>2614</v>
      </c>
      <c r="F57">
        <v>2666</v>
      </c>
      <c r="G57">
        <v>2853</v>
      </c>
      <c r="H57">
        <v>2967</v>
      </c>
      <c r="I57">
        <v>3086</v>
      </c>
      <c r="J57">
        <v>3086</v>
      </c>
      <c r="L57">
        <f>IF(
    OR(
        AND(MAX(0, MIN($E$1, DATE(Initialisatie!$C$5,12,31)) - MAX($E$2, DATE(Initialisatie!$C$5,1,1)) + 1) &gt; 0, IFERROR(VALUE($E57),0)=0),
        AND(MAX(0, MIN($F$1, DATE(Initialisatie!$C$5,12,31)) - MAX($F$2, DATE(Initialisatie!$C$5,1,1)) + 1) &gt; 0, IFERROR(VALUE($F57),0)=0),
        AND(MAX(0, MIN($G$1, DATE(Initialisatie!$C$5,12,31)) - MAX($G$2, DATE(Initialisatie!$C$5,1,1)) + 1) &gt; 0, IFERROR(VALUE($G57),0)=0),
        AND(MAX(0, MIN($H$1, DATE(Initialisatie!$C$5,12,31)) - MAX($H$2, DATE(Initialisatie!$C$5,1,1)) + 1) &gt; 0, IFERROR(VALUE($H57),0)=0),
        AND(MAX(0, MIN($I$1, DATE(Initialisatie!$C$5,12,31)) - MAX($I$2, DATE(Initialisatie!$C$5,1,1)) + 1) &gt; 0, IFERROR(VALUE($I57),0)=0),
        AND(MAX(0, MIN($J$1, DATE(Initialisatie!$C$5,12,31)) - MAX($J$2, DATE(Initialisatie!$C$5,1,1)) + 1) &gt; 0, IFERROR(VALUE($J57),0)=0)
    ),
    0,
    SUM(
        IFERROR(VALUE($E57),0) * MAX(0, MIN($E$1, DATE(Initialisatie!$C$5,12,31)) - MAX($E$2, DATE(Initialisatie!$C$5,1,1)) + 1),
        IFERROR(VALUE($F57),0) * MAX(0, MIN($F$1, DATE(Initialisatie!$C$5,12,31)) - MAX($F$2, DATE(Initialisatie!$C$5,1,1)) + 1),
        IFERROR(VALUE($G57),0) * MAX(0, MIN($G$1, DATE(Initialisatie!$C$5,12,31)) - MAX($G$2, DATE(Initialisatie!$C$5,1,1)) + 1),
        IFERROR(VALUE($H57),0) * MAX(0, MIN($H$1, DATE(Initialisatie!$C$5,12,31)) - MAX($H$2, DATE(Initialisatie!$C$5,1,1)) + 1),
        IFERROR(VALUE($I57),0) * MAX(0, MIN($I$1, DATE(Initialisatie!$C$5,12,31)) - MAX($I$2, DATE(Initialisatie!$C$5,1,1)) + 1),
        IFERROR(VALUE($J57),0) * MAX(0, MIN($J$1, DATE(Initialisatie!$C$5,12,31)) - MAX($J$2, DATE(Initialisatie!$C$5,1,1)) + 1)
    ) / (DATE(Initialisatie!$C$5,12,31) - DATE(Initialisatie!$C$5,1,1) + 1)
)</f>
        <v>3086</v>
      </c>
    </row>
    <row r="58" spans="1:12" x14ac:dyDescent="0.45">
      <c r="A58" s="989"/>
      <c r="B58" s="35">
        <v>12</v>
      </c>
      <c r="C58" s="35">
        <v>12</v>
      </c>
      <c r="D58" s="35" t="s">
        <v>579</v>
      </c>
      <c r="J58">
        <v>3179</v>
      </c>
      <c r="L58">
        <f>IF(
    OR(
        AND(MAX(0, MIN($E$1, DATE(Initialisatie!$C$5,12,31)) - MAX($E$2, DATE(Initialisatie!$C$5,1,1)) + 1) &gt; 0, IFERROR(VALUE($E58),0)=0),
        AND(MAX(0, MIN($F$1, DATE(Initialisatie!$C$5,12,31)) - MAX($F$2, DATE(Initialisatie!$C$5,1,1)) + 1) &gt; 0, IFERROR(VALUE($F58),0)=0),
        AND(MAX(0, MIN($G$1, DATE(Initialisatie!$C$5,12,31)) - MAX($G$2, DATE(Initialisatie!$C$5,1,1)) + 1) &gt; 0, IFERROR(VALUE($G58),0)=0),
        AND(MAX(0, MIN($H$1, DATE(Initialisatie!$C$5,12,31)) - MAX($H$2, DATE(Initialisatie!$C$5,1,1)) + 1) &gt; 0, IFERROR(VALUE($H58),0)=0),
        AND(MAX(0, MIN($I$1, DATE(Initialisatie!$C$5,12,31)) - MAX($I$2, DATE(Initialisatie!$C$5,1,1)) + 1) &gt; 0, IFERROR(VALUE($I58),0)=0),
        AND(MAX(0, MIN($J$1, DATE(Initialisatie!$C$5,12,31)) - MAX($J$2, DATE(Initialisatie!$C$5,1,1)) + 1) &gt; 0, IFERROR(VALUE($J58),0)=0)
    ),
    0,
    SUM(
        IFERROR(VALUE($E58),0) * MAX(0, MIN($E$1, DATE(Initialisatie!$C$5,12,31)) - MAX($E$2, DATE(Initialisatie!$C$5,1,1)) + 1),
        IFERROR(VALUE($F58),0) * MAX(0, MIN($F$1, DATE(Initialisatie!$C$5,12,31)) - MAX($F$2, DATE(Initialisatie!$C$5,1,1)) + 1),
        IFERROR(VALUE($G58),0) * MAX(0, MIN($G$1, DATE(Initialisatie!$C$5,12,31)) - MAX($G$2, DATE(Initialisatie!$C$5,1,1)) + 1),
        IFERROR(VALUE($H58),0) * MAX(0, MIN($H$1, DATE(Initialisatie!$C$5,12,31)) - MAX($H$2, DATE(Initialisatie!$C$5,1,1)) + 1),
        IFERROR(VALUE($I58),0) * MAX(0, MIN($I$1, DATE(Initialisatie!$C$5,12,31)) - MAX($I$2, DATE(Initialisatie!$C$5,1,1)) + 1),
        IFERROR(VALUE($J58),0) * MAX(0, MIN($J$1, DATE(Initialisatie!$C$5,12,31)) - MAX($J$2, DATE(Initialisatie!$C$5,1,1)) + 1)
    ) / (DATE(Initialisatie!$C$5,12,31) - DATE(Initialisatie!$C$5,1,1) + 1)
)</f>
        <v>3179</v>
      </c>
    </row>
    <row r="59" spans="1:12" x14ac:dyDescent="0.45">
      <c r="A59" s="989"/>
      <c r="B59" s="35">
        <v>13</v>
      </c>
      <c r="C59" s="35">
        <v>13</v>
      </c>
      <c r="D59" s="35" t="s">
        <v>580</v>
      </c>
      <c r="J59">
        <v>3259</v>
      </c>
      <c r="L59">
        <f>IF(
    OR(
        AND(MAX(0, MIN($E$1, DATE(Initialisatie!$C$5,12,31)) - MAX($E$2, DATE(Initialisatie!$C$5,1,1)) + 1) &gt; 0, IFERROR(VALUE($E59),0)=0),
        AND(MAX(0, MIN($F$1, DATE(Initialisatie!$C$5,12,31)) - MAX($F$2, DATE(Initialisatie!$C$5,1,1)) + 1) &gt; 0, IFERROR(VALUE($F59),0)=0),
        AND(MAX(0, MIN($G$1, DATE(Initialisatie!$C$5,12,31)) - MAX($G$2, DATE(Initialisatie!$C$5,1,1)) + 1) &gt; 0, IFERROR(VALUE($G59),0)=0),
        AND(MAX(0, MIN($H$1, DATE(Initialisatie!$C$5,12,31)) - MAX($H$2, DATE(Initialisatie!$C$5,1,1)) + 1) &gt; 0, IFERROR(VALUE($H59),0)=0),
        AND(MAX(0, MIN($I$1, DATE(Initialisatie!$C$5,12,31)) - MAX($I$2, DATE(Initialisatie!$C$5,1,1)) + 1) &gt; 0, IFERROR(VALUE($I59),0)=0),
        AND(MAX(0, MIN($J$1, DATE(Initialisatie!$C$5,12,31)) - MAX($J$2, DATE(Initialisatie!$C$5,1,1)) + 1) &gt; 0, IFERROR(VALUE($J59),0)=0)
    ),
    0,
    SUM(
        IFERROR(VALUE($E59),0) * MAX(0, MIN($E$1, DATE(Initialisatie!$C$5,12,31)) - MAX($E$2, DATE(Initialisatie!$C$5,1,1)) + 1),
        IFERROR(VALUE($F59),0) * MAX(0, MIN($F$1, DATE(Initialisatie!$C$5,12,31)) - MAX($F$2, DATE(Initialisatie!$C$5,1,1)) + 1),
        IFERROR(VALUE($G59),0) * MAX(0, MIN($G$1, DATE(Initialisatie!$C$5,12,31)) - MAX($G$2, DATE(Initialisatie!$C$5,1,1)) + 1),
        IFERROR(VALUE($H59),0) * MAX(0, MIN($H$1, DATE(Initialisatie!$C$5,12,31)) - MAX($H$2, DATE(Initialisatie!$C$5,1,1)) + 1),
        IFERROR(VALUE($I59),0) * MAX(0, MIN($I$1, DATE(Initialisatie!$C$5,12,31)) - MAX($I$2, DATE(Initialisatie!$C$5,1,1)) + 1),
        IFERROR(VALUE($J59),0) * MAX(0, MIN($J$1, DATE(Initialisatie!$C$5,12,31)) - MAX($J$2, DATE(Initialisatie!$C$5,1,1)) + 1)
    ) / (DATE(Initialisatie!$C$5,12,31) - DATE(Initialisatie!$C$5,1,1) + 1)
)</f>
        <v>3259</v>
      </c>
    </row>
    <row r="60" spans="1:12" x14ac:dyDescent="0.45">
      <c r="A60" s="989"/>
      <c r="B60" s="35" t="s">
        <v>531</v>
      </c>
      <c r="C60" s="35" t="s">
        <v>531</v>
      </c>
      <c r="D60" s="35" t="s">
        <v>581</v>
      </c>
      <c r="E60">
        <v>2693</v>
      </c>
      <c r="F60">
        <v>2747</v>
      </c>
      <c r="G60">
        <v>2939</v>
      </c>
      <c r="H60">
        <v>3057</v>
      </c>
      <c r="I60">
        <v>3179</v>
      </c>
      <c r="L60">
        <f>IF(
    OR(
        AND(MAX(0, MIN($E$1, DATE(Initialisatie!$C$5,12,31)) - MAX($E$2, DATE(Initialisatie!$C$5,1,1)) + 1) &gt; 0, IFERROR(VALUE($E60),0)=0),
        AND(MAX(0, MIN($F$1, DATE(Initialisatie!$C$5,12,31)) - MAX($F$2, DATE(Initialisatie!$C$5,1,1)) + 1) &gt; 0, IFERROR(VALUE($F60),0)=0),
        AND(MAX(0, MIN($G$1, DATE(Initialisatie!$C$5,12,31)) - MAX($G$2, DATE(Initialisatie!$C$5,1,1)) + 1) &gt; 0, IFERROR(VALUE($G60),0)=0),
        AND(MAX(0, MIN($H$1, DATE(Initialisatie!$C$5,12,31)) - MAX($H$2, DATE(Initialisatie!$C$5,1,1)) + 1) &gt; 0, IFERROR(VALUE($H60),0)=0),
        AND(MAX(0, MIN($I$1, DATE(Initialisatie!$C$5,12,31)) - MAX($I$2, DATE(Initialisatie!$C$5,1,1)) + 1) &gt; 0, IFERROR(VALUE($I60),0)=0),
        AND(MAX(0, MIN($J$1, DATE(Initialisatie!$C$5,12,31)) - MAX($J$2, DATE(Initialisatie!$C$5,1,1)) + 1) &gt; 0, IFERROR(VALUE($J60),0)=0)
    ),
    0,
    SUM(
        IFERROR(VALUE($E60),0) * MAX(0, MIN($E$1, DATE(Initialisatie!$C$5,12,31)) - MAX($E$2, DATE(Initialisatie!$C$5,1,1)) + 1),
        IFERROR(VALUE($F60),0) * MAX(0, MIN($F$1, DATE(Initialisatie!$C$5,12,31)) - MAX($F$2, DATE(Initialisatie!$C$5,1,1)) + 1),
        IFERROR(VALUE($G60),0) * MAX(0, MIN($G$1, DATE(Initialisatie!$C$5,12,31)) - MAX($G$2, DATE(Initialisatie!$C$5,1,1)) + 1),
        IFERROR(VALUE($H60),0) * MAX(0, MIN($H$1, DATE(Initialisatie!$C$5,12,31)) - MAX($H$2, DATE(Initialisatie!$C$5,1,1)) + 1),
        IFERROR(VALUE($I60),0) * MAX(0, MIN($I$1, DATE(Initialisatie!$C$5,12,31)) - MAX($I$2, DATE(Initialisatie!$C$5,1,1)) + 1),
        IFERROR(VALUE($J60),0) * MAX(0, MIN($J$1, DATE(Initialisatie!$C$5,12,31)) - MAX($J$2, DATE(Initialisatie!$C$5,1,1)) + 1)
    ) / (DATE(Initialisatie!$C$5,12,31) - DATE(Initialisatie!$C$5,1,1) + 1)
)</f>
        <v>0</v>
      </c>
    </row>
    <row r="61" spans="1:12" x14ac:dyDescent="0.45">
      <c r="A61" s="989"/>
      <c r="B61" s="35" t="s">
        <v>533</v>
      </c>
      <c r="C61" s="35" t="s">
        <v>533</v>
      </c>
      <c r="D61" s="35" t="s">
        <v>582</v>
      </c>
      <c r="E61">
        <v>2761</v>
      </c>
      <c r="F61">
        <v>2816</v>
      </c>
      <c r="G61">
        <v>3013</v>
      </c>
      <c r="H61">
        <v>3134</v>
      </c>
      <c r="I61">
        <v>3259</v>
      </c>
      <c r="L61">
        <f>IF(
    OR(
        AND(MAX(0, MIN($E$1, DATE(Initialisatie!$C$5,12,31)) - MAX($E$2, DATE(Initialisatie!$C$5,1,1)) + 1) &gt; 0, IFERROR(VALUE($E61),0)=0),
        AND(MAX(0, MIN($F$1, DATE(Initialisatie!$C$5,12,31)) - MAX($F$2, DATE(Initialisatie!$C$5,1,1)) + 1) &gt; 0, IFERROR(VALUE($F61),0)=0),
        AND(MAX(0, MIN($G$1, DATE(Initialisatie!$C$5,12,31)) - MAX($G$2, DATE(Initialisatie!$C$5,1,1)) + 1) &gt; 0, IFERROR(VALUE($G61),0)=0),
        AND(MAX(0, MIN($H$1, DATE(Initialisatie!$C$5,12,31)) - MAX($H$2, DATE(Initialisatie!$C$5,1,1)) + 1) &gt; 0, IFERROR(VALUE($H61),0)=0),
        AND(MAX(0, MIN($I$1, DATE(Initialisatie!$C$5,12,31)) - MAX($I$2, DATE(Initialisatie!$C$5,1,1)) + 1) &gt; 0, IFERROR(VALUE($I61),0)=0),
        AND(MAX(0, MIN($J$1, DATE(Initialisatie!$C$5,12,31)) - MAX($J$2, DATE(Initialisatie!$C$5,1,1)) + 1) &gt; 0, IFERROR(VALUE($J61),0)=0)
    ),
    0,
    SUM(
        IFERROR(VALUE($E61),0) * MAX(0, MIN($E$1, DATE(Initialisatie!$C$5,12,31)) - MAX($E$2, DATE(Initialisatie!$C$5,1,1)) + 1),
        IFERROR(VALUE($F61),0) * MAX(0, MIN($F$1, DATE(Initialisatie!$C$5,12,31)) - MAX($F$2, DATE(Initialisatie!$C$5,1,1)) + 1),
        IFERROR(VALUE($G61),0) * MAX(0, MIN($G$1, DATE(Initialisatie!$C$5,12,31)) - MAX($G$2, DATE(Initialisatie!$C$5,1,1)) + 1),
        IFERROR(VALUE($H61),0) * MAX(0, MIN($H$1, DATE(Initialisatie!$C$5,12,31)) - MAX($H$2, DATE(Initialisatie!$C$5,1,1)) + 1),
        IFERROR(VALUE($I61),0) * MAX(0, MIN($I$1, DATE(Initialisatie!$C$5,12,31)) - MAX($I$2, DATE(Initialisatie!$C$5,1,1)) + 1),
        IFERROR(VALUE($J61),0) * MAX(0, MIN($J$1, DATE(Initialisatie!$C$5,12,31)) - MAX($J$2, DATE(Initialisatie!$C$5,1,1)) + 1)
    ) / (DATE(Initialisatie!$C$5,12,31) - DATE(Initialisatie!$C$5,1,1) + 1)
)</f>
        <v>0</v>
      </c>
    </row>
    <row r="62" spans="1:12" x14ac:dyDescent="0.45">
      <c r="A62" s="989"/>
      <c r="B62" s="35" t="s">
        <v>535</v>
      </c>
      <c r="C62" s="35" t="s">
        <v>535</v>
      </c>
      <c r="D62" s="35" t="s">
        <v>583</v>
      </c>
      <c r="E62">
        <v>2693</v>
      </c>
      <c r="F62">
        <v>2747</v>
      </c>
      <c r="G62">
        <v>2939</v>
      </c>
      <c r="H62">
        <v>3057</v>
      </c>
      <c r="I62">
        <v>3179</v>
      </c>
      <c r="J62">
        <v>3179</v>
      </c>
      <c r="L62">
        <f>IF(
    OR(
        AND(MAX(0, MIN($E$1, DATE(Initialisatie!$C$5,12,31)) - MAX($E$2, DATE(Initialisatie!$C$5,1,1)) + 1) &gt; 0, IFERROR(VALUE($E62),0)=0),
        AND(MAX(0, MIN($F$1, DATE(Initialisatie!$C$5,12,31)) - MAX($F$2, DATE(Initialisatie!$C$5,1,1)) + 1) &gt; 0, IFERROR(VALUE($F62),0)=0),
        AND(MAX(0, MIN($G$1, DATE(Initialisatie!$C$5,12,31)) - MAX($G$2, DATE(Initialisatie!$C$5,1,1)) + 1) &gt; 0, IFERROR(VALUE($G62),0)=0),
        AND(MAX(0, MIN($H$1, DATE(Initialisatie!$C$5,12,31)) - MAX($H$2, DATE(Initialisatie!$C$5,1,1)) + 1) &gt; 0, IFERROR(VALUE($H62),0)=0),
        AND(MAX(0, MIN($I$1, DATE(Initialisatie!$C$5,12,31)) - MAX($I$2, DATE(Initialisatie!$C$5,1,1)) + 1) &gt; 0, IFERROR(VALUE($I62),0)=0),
        AND(MAX(0, MIN($J$1, DATE(Initialisatie!$C$5,12,31)) - MAX($J$2, DATE(Initialisatie!$C$5,1,1)) + 1) &gt; 0, IFERROR(VALUE($J62),0)=0)
    ),
    0,
    SUM(
        IFERROR(VALUE($E62),0) * MAX(0, MIN($E$1, DATE(Initialisatie!$C$5,12,31)) - MAX($E$2, DATE(Initialisatie!$C$5,1,1)) + 1),
        IFERROR(VALUE($F62),0) * MAX(0, MIN($F$1, DATE(Initialisatie!$C$5,12,31)) - MAX($F$2, DATE(Initialisatie!$C$5,1,1)) + 1),
        IFERROR(VALUE($G62),0) * MAX(0, MIN($G$1, DATE(Initialisatie!$C$5,12,31)) - MAX($G$2, DATE(Initialisatie!$C$5,1,1)) + 1),
        IFERROR(VALUE($H62),0) * MAX(0, MIN($H$1, DATE(Initialisatie!$C$5,12,31)) - MAX($H$2, DATE(Initialisatie!$C$5,1,1)) + 1),
        IFERROR(VALUE($I62),0) * MAX(0, MIN($I$1, DATE(Initialisatie!$C$5,12,31)) - MAX($I$2, DATE(Initialisatie!$C$5,1,1)) + 1),
        IFERROR(VALUE($J62),0) * MAX(0, MIN($J$1, DATE(Initialisatie!$C$5,12,31)) - MAX($J$2, DATE(Initialisatie!$C$5,1,1)) + 1)
    ) / (DATE(Initialisatie!$C$5,12,31) - DATE(Initialisatie!$C$5,1,1) + 1)
)</f>
        <v>3179</v>
      </c>
    </row>
    <row r="63" spans="1:12" x14ac:dyDescent="0.45">
      <c r="A63" s="989"/>
      <c r="B63" s="35" t="s">
        <v>537</v>
      </c>
      <c r="C63" s="35" t="s">
        <v>537</v>
      </c>
      <c r="D63" s="35" t="s">
        <v>584</v>
      </c>
      <c r="E63">
        <v>2761</v>
      </c>
      <c r="F63">
        <v>2816</v>
      </c>
      <c r="G63">
        <v>3013</v>
      </c>
      <c r="H63">
        <v>3134</v>
      </c>
      <c r="I63">
        <v>3259</v>
      </c>
      <c r="J63">
        <v>3259</v>
      </c>
      <c r="L63">
        <f>IF(
    OR(
        AND(MAX(0, MIN($E$1, DATE(Initialisatie!$C$5,12,31)) - MAX($E$2, DATE(Initialisatie!$C$5,1,1)) + 1) &gt; 0, IFERROR(VALUE($E63),0)=0),
        AND(MAX(0, MIN($F$1, DATE(Initialisatie!$C$5,12,31)) - MAX($F$2, DATE(Initialisatie!$C$5,1,1)) + 1) &gt; 0, IFERROR(VALUE($F63),0)=0),
        AND(MAX(0, MIN($G$1, DATE(Initialisatie!$C$5,12,31)) - MAX($G$2, DATE(Initialisatie!$C$5,1,1)) + 1) &gt; 0, IFERROR(VALUE($G63),0)=0),
        AND(MAX(0, MIN($H$1, DATE(Initialisatie!$C$5,12,31)) - MAX($H$2, DATE(Initialisatie!$C$5,1,1)) + 1) &gt; 0, IFERROR(VALUE($H63),0)=0),
        AND(MAX(0, MIN($I$1, DATE(Initialisatie!$C$5,12,31)) - MAX($I$2, DATE(Initialisatie!$C$5,1,1)) + 1) &gt; 0, IFERROR(VALUE($I63),0)=0),
        AND(MAX(0, MIN($J$1, DATE(Initialisatie!$C$5,12,31)) - MAX($J$2, DATE(Initialisatie!$C$5,1,1)) + 1) &gt; 0, IFERROR(VALUE($J63),0)=0)
    ),
    0,
    SUM(
        IFERROR(VALUE($E63),0) * MAX(0, MIN($E$1, DATE(Initialisatie!$C$5,12,31)) - MAX($E$2, DATE(Initialisatie!$C$5,1,1)) + 1),
        IFERROR(VALUE($F63),0) * MAX(0, MIN($F$1, DATE(Initialisatie!$C$5,12,31)) - MAX($F$2, DATE(Initialisatie!$C$5,1,1)) + 1),
        IFERROR(VALUE($G63),0) * MAX(0, MIN($G$1, DATE(Initialisatie!$C$5,12,31)) - MAX($G$2, DATE(Initialisatie!$C$5,1,1)) + 1),
        IFERROR(VALUE($H63),0) * MAX(0, MIN($H$1, DATE(Initialisatie!$C$5,12,31)) - MAX($H$2, DATE(Initialisatie!$C$5,1,1)) + 1),
        IFERROR(VALUE($I63),0) * MAX(0, MIN($I$1, DATE(Initialisatie!$C$5,12,31)) - MAX($I$2, DATE(Initialisatie!$C$5,1,1)) + 1),
        IFERROR(VALUE($J63),0) * MAX(0, MIN($J$1, DATE(Initialisatie!$C$5,12,31)) - MAX($J$2, DATE(Initialisatie!$C$5,1,1)) + 1)
    ) / (DATE(Initialisatie!$C$5,12,31) - DATE(Initialisatie!$C$5,1,1) + 1)
)</f>
        <v>3259</v>
      </c>
    </row>
    <row r="64" spans="1:12" x14ac:dyDescent="0.45">
      <c r="A64" s="989"/>
      <c r="B64" s="35" t="s">
        <v>539</v>
      </c>
      <c r="C64" s="35" t="s">
        <v>539</v>
      </c>
      <c r="D64" s="35" t="s">
        <v>585</v>
      </c>
      <c r="E64">
        <v>2832</v>
      </c>
      <c r="F64">
        <v>2889</v>
      </c>
      <c r="G64">
        <v>3091</v>
      </c>
      <c r="H64">
        <v>3215</v>
      </c>
      <c r="I64">
        <v>3344</v>
      </c>
      <c r="J64">
        <v>3344</v>
      </c>
      <c r="L64">
        <f>IF(
    OR(
        AND(MAX(0, MIN($E$1, DATE(Initialisatie!$C$5,12,31)) - MAX($E$2, DATE(Initialisatie!$C$5,1,1)) + 1) &gt; 0, IFERROR(VALUE($E64),0)=0),
        AND(MAX(0, MIN($F$1, DATE(Initialisatie!$C$5,12,31)) - MAX($F$2, DATE(Initialisatie!$C$5,1,1)) + 1) &gt; 0, IFERROR(VALUE($F64),0)=0),
        AND(MAX(0, MIN($G$1, DATE(Initialisatie!$C$5,12,31)) - MAX($G$2, DATE(Initialisatie!$C$5,1,1)) + 1) &gt; 0, IFERROR(VALUE($G64),0)=0),
        AND(MAX(0, MIN($H$1, DATE(Initialisatie!$C$5,12,31)) - MAX($H$2, DATE(Initialisatie!$C$5,1,1)) + 1) &gt; 0, IFERROR(VALUE($H64),0)=0),
        AND(MAX(0, MIN($I$1, DATE(Initialisatie!$C$5,12,31)) - MAX($I$2, DATE(Initialisatie!$C$5,1,1)) + 1) &gt; 0, IFERROR(VALUE($I64),0)=0),
        AND(MAX(0, MIN($J$1, DATE(Initialisatie!$C$5,12,31)) - MAX($J$2, DATE(Initialisatie!$C$5,1,1)) + 1) &gt; 0, IFERROR(VALUE($J64),0)=0)
    ),
    0,
    SUM(
        IFERROR(VALUE($E64),0) * MAX(0, MIN($E$1, DATE(Initialisatie!$C$5,12,31)) - MAX($E$2, DATE(Initialisatie!$C$5,1,1)) + 1),
        IFERROR(VALUE($F64),0) * MAX(0, MIN($F$1, DATE(Initialisatie!$C$5,12,31)) - MAX($F$2, DATE(Initialisatie!$C$5,1,1)) + 1),
        IFERROR(VALUE($G64),0) * MAX(0, MIN($G$1, DATE(Initialisatie!$C$5,12,31)) - MAX($G$2, DATE(Initialisatie!$C$5,1,1)) + 1),
        IFERROR(VALUE($H64),0) * MAX(0, MIN($H$1, DATE(Initialisatie!$C$5,12,31)) - MAX($H$2, DATE(Initialisatie!$C$5,1,1)) + 1),
        IFERROR(VALUE($I64),0) * MAX(0, MIN($I$1, DATE(Initialisatie!$C$5,12,31)) - MAX($I$2, DATE(Initialisatie!$C$5,1,1)) + 1),
        IFERROR(VALUE($J64),0) * MAX(0, MIN($J$1, DATE(Initialisatie!$C$5,12,31)) - MAX($J$2, DATE(Initialisatie!$C$5,1,1)) + 1)
    ) / (DATE(Initialisatie!$C$5,12,31) - DATE(Initialisatie!$C$5,1,1) + 1)
)</f>
        <v>3344</v>
      </c>
    </row>
    <row r="65" spans="1:12" x14ac:dyDescent="0.45">
      <c r="A65" s="989"/>
      <c r="B65" s="35" t="s">
        <v>541</v>
      </c>
      <c r="C65" s="35" t="s">
        <v>541</v>
      </c>
      <c r="D65" s="35" t="s">
        <v>586</v>
      </c>
      <c r="E65">
        <v>2888</v>
      </c>
      <c r="F65">
        <v>2946</v>
      </c>
      <c r="G65">
        <v>3152</v>
      </c>
      <c r="H65">
        <v>3278</v>
      </c>
      <c r="I65">
        <v>3409</v>
      </c>
      <c r="J65">
        <v>3409</v>
      </c>
      <c r="L65">
        <f>IF(
    OR(
        AND(MAX(0, MIN($E$1, DATE(Initialisatie!$C$5,12,31)) - MAX($E$2, DATE(Initialisatie!$C$5,1,1)) + 1) &gt; 0, IFERROR(VALUE($E65),0)=0),
        AND(MAX(0, MIN($F$1, DATE(Initialisatie!$C$5,12,31)) - MAX($F$2, DATE(Initialisatie!$C$5,1,1)) + 1) &gt; 0, IFERROR(VALUE($F65),0)=0),
        AND(MAX(0, MIN($G$1, DATE(Initialisatie!$C$5,12,31)) - MAX($G$2, DATE(Initialisatie!$C$5,1,1)) + 1) &gt; 0, IFERROR(VALUE($G65),0)=0),
        AND(MAX(0, MIN($H$1, DATE(Initialisatie!$C$5,12,31)) - MAX($H$2, DATE(Initialisatie!$C$5,1,1)) + 1) &gt; 0, IFERROR(VALUE($H65),0)=0),
        AND(MAX(0, MIN($I$1, DATE(Initialisatie!$C$5,12,31)) - MAX($I$2, DATE(Initialisatie!$C$5,1,1)) + 1) &gt; 0, IFERROR(VALUE($I65),0)=0),
        AND(MAX(0, MIN($J$1, DATE(Initialisatie!$C$5,12,31)) - MAX($J$2, DATE(Initialisatie!$C$5,1,1)) + 1) &gt; 0, IFERROR(VALUE($J65),0)=0)
    ),
    0,
    SUM(
        IFERROR(VALUE($E65),0) * MAX(0, MIN($E$1, DATE(Initialisatie!$C$5,12,31)) - MAX($E$2, DATE(Initialisatie!$C$5,1,1)) + 1),
        IFERROR(VALUE($F65),0) * MAX(0, MIN($F$1, DATE(Initialisatie!$C$5,12,31)) - MAX($F$2, DATE(Initialisatie!$C$5,1,1)) + 1),
        IFERROR(VALUE($G65),0) * MAX(0, MIN($G$1, DATE(Initialisatie!$C$5,12,31)) - MAX($G$2, DATE(Initialisatie!$C$5,1,1)) + 1),
        IFERROR(VALUE($H65),0) * MAX(0, MIN($H$1, DATE(Initialisatie!$C$5,12,31)) - MAX($H$2, DATE(Initialisatie!$C$5,1,1)) + 1),
        IFERROR(VALUE($I65),0) * MAX(0, MIN($I$1, DATE(Initialisatie!$C$5,12,31)) - MAX($I$2, DATE(Initialisatie!$C$5,1,1)) + 1),
        IFERROR(VALUE($J65),0) * MAX(0, MIN($J$1, DATE(Initialisatie!$C$5,12,31)) - MAX($J$2, DATE(Initialisatie!$C$5,1,1)) + 1)
    ) / (DATE(Initialisatie!$C$5,12,31) - DATE(Initialisatie!$C$5,1,1) + 1)
)</f>
        <v>3409</v>
      </c>
    </row>
    <row r="66" spans="1:12" x14ac:dyDescent="0.45">
      <c r="A66" s="990"/>
      <c r="B66" s="35" t="s">
        <v>543</v>
      </c>
      <c r="C66" s="35" t="s">
        <v>543</v>
      </c>
      <c r="D66" s="35" t="s">
        <v>587</v>
      </c>
      <c r="E66">
        <v>2952</v>
      </c>
      <c r="F66">
        <v>3011</v>
      </c>
      <c r="G66">
        <v>3222</v>
      </c>
      <c r="H66">
        <v>3351</v>
      </c>
      <c r="I66">
        <v>3485</v>
      </c>
      <c r="J66">
        <v>3485</v>
      </c>
      <c r="L66">
        <f>IF(
    OR(
        AND(MAX(0, MIN($E$1, DATE(Initialisatie!$C$5,12,31)) - MAX($E$2, DATE(Initialisatie!$C$5,1,1)) + 1) &gt; 0, IFERROR(VALUE($E66),0)=0),
        AND(MAX(0, MIN($F$1, DATE(Initialisatie!$C$5,12,31)) - MAX($F$2, DATE(Initialisatie!$C$5,1,1)) + 1) &gt; 0, IFERROR(VALUE($F66),0)=0),
        AND(MAX(0, MIN($G$1, DATE(Initialisatie!$C$5,12,31)) - MAX($G$2, DATE(Initialisatie!$C$5,1,1)) + 1) &gt; 0, IFERROR(VALUE($G66),0)=0),
        AND(MAX(0, MIN($H$1, DATE(Initialisatie!$C$5,12,31)) - MAX($H$2, DATE(Initialisatie!$C$5,1,1)) + 1) &gt; 0, IFERROR(VALUE($H66),0)=0),
        AND(MAX(0, MIN($I$1, DATE(Initialisatie!$C$5,12,31)) - MAX($I$2, DATE(Initialisatie!$C$5,1,1)) + 1) &gt; 0, IFERROR(VALUE($I66),0)=0),
        AND(MAX(0, MIN($J$1, DATE(Initialisatie!$C$5,12,31)) - MAX($J$2, DATE(Initialisatie!$C$5,1,1)) + 1) &gt; 0, IFERROR(VALUE($J66),0)=0)
    ),
    0,
    SUM(
        IFERROR(VALUE($E66),0) * MAX(0, MIN($E$1, DATE(Initialisatie!$C$5,12,31)) - MAX($E$2, DATE(Initialisatie!$C$5,1,1)) + 1),
        IFERROR(VALUE($F66),0) * MAX(0, MIN($F$1, DATE(Initialisatie!$C$5,12,31)) - MAX($F$2, DATE(Initialisatie!$C$5,1,1)) + 1),
        IFERROR(VALUE($G66),0) * MAX(0, MIN($G$1, DATE(Initialisatie!$C$5,12,31)) - MAX($G$2, DATE(Initialisatie!$C$5,1,1)) + 1),
        IFERROR(VALUE($H66),0) * MAX(0, MIN($H$1, DATE(Initialisatie!$C$5,12,31)) - MAX($H$2, DATE(Initialisatie!$C$5,1,1)) + 1),
        IFERROR(VALUE($I66),0) * MAX(0, MIN($I$1, DATE(Initialisatie!$C$5,12,31)) - MAX($I$2, DATE(Initialisatie!$C$5,1,1)) + 1),
        IFERROR(VALUE($J66),0) * MAX(0, MIN($J$1, DATE(Initialisatie!$C$5,12,31)) - MAX($J$2, DATE(Initialisatie!$C$5,1,1)) + 1)
    ) / (DATE(Initialisatie!$C$5,12,31) - DATE(Initialisatie!$C$5,1,1) + 1)
)</f>
        <v>3485</v>
      </c>
    </row>
    <row r="67" spans="1:12" x14ac:dyDescent="0.45">
      <c r="A67" s="988">
        <v>4</v>
      </c>
      <c r="B67" s="35" t="s">
        <v>517</v>
      </c>
      <c r="C67" s="35" t="s">
        <v>517</v>
      </c>
      <c r="D67" s="35" t="s">
        <v>588</v>
      </c>
      <c r="E67">
        <v>2082</v>
      </c>
      <c r="F67">
        <v>2124</v>
      </c>
      <c r="G67">
        <v>2273</v>
      </c>
      <c r="H67">
        <v>2364</v>
      </c>
      <c r="I67">
        <v>2459</v>
      </c>
      <c r="J67">
        <v>2459</v>
      </c>
      <c r="L67">
        <f>IF(
    OR(
        AND(MAX(0, MIN($E$1, DATE(Initialisatie!$C$5,12,31)) - MAX($E$2, DATE(Initialisatie!$C$5,1,1)) + 1) &gt; 0, IFERROR(VALUE($E67),0)=0),
        AND(MAX(0, MIN($F$1, DATE(Initialisatie!$C$5,12,31)) - MAX($F$2, DATE(Initialisatie!$C$5,1,1)) + 1) &gt; 0, IFERROR(VALUE($F67),0)=0),
        AND(MAX(0, MIN($G$1, DATE(Initialisatie!$C$5,12,31)) - MAX($G$2, DATE(Initialisatie!$C$5,1,1)) + 1) &gt; 0, IFERROR(VALUE($G67),0)=0),
        AND(MAX(0, MIN($H$1, DATE(Initialisatie!$C$5,12,31)) - MAX($H$2, DATE(Initialisatie!$C$5,1,1)) + 1) &gt; 0, IFERROR(VALUE($H67),0)=0),
        AND(MAX(0, MIN($I$1, DATE(Initialisatie!$C$5,12,31)) - MAX($I$2, DATE(Initialisatie!$C$5,1,1)) + 1) &gt; 0, IFERROR(VALUE($I67),0)=0),
        AND(MAX(0, MIN($J$1, DATE(Initialisatie!$C$5,12,31)) - MAX($J$2, DATE(Initialisatie!$C$5,1,1)) + 1) &gt; 0, IFERROR(VALUE($J67),0)=0)
    ),
    0,
    SUM(
        IFERROR(VALUE($E67),0) * MAX(0, MIN($E$1, DATE(Initialisatie!$C$5,12,31)) - MAX($E$2, DATE(Initialisatie!$C$5,1,1)) + 1),
        IFERROR(VALUE($F67),0) * MAX(0, MIN($F$1, DATE(Initialisatie!$C$5,12,31)) - MAX($F$2, DATE(Initialisatie!$C$5,1,1)) + 1),
        IFERROR(VALUE($G67),0) * MAX(0, MIN($G$1, DATE(Initialisatie!$C$5,12,31)) - MAX($G$2, DATE(Initialisatie!$C$5,1,1)) + 1),
        IFERROR(VALUE($H67),0) * MAX(0, MIN($H$1, DATE(Initialisatie!$C$5,12,31)) - MAX($H$2, DATE(Initialisatie!$C$5,1,1)) + 1),
        IFERROR(VALUE($I67),0) * MAX(0, MIN($I$1, DATE(Initialisatie!$C$5,12,31)) - MAX($I$2, DATE(Initialisatie!$C$5,1,1)) + 1),
        IFERROR(VALUE($J67),0) * MAX(0, MIN($J$1, DATE(Initialisatie!$C$5,12,31)) - MAX($J$2, DATE(Initialisatie!$C$5,1,1)) + 1)
    ) / (DATE(Initialisatie!$C$5,12,31) - DATE(Initialisatie!$C$5,1,1) + 1)
)</f>
        <v>2459</v>
      </c>
    </row>
    <row r="68" spans="1:12" x14ac:dyDescent="0.45">
      <c r="A68" s="989"/>
      <c r="B68" s="35">
        <v>0</v>
      </c>
      <c r="C68" s="35">
        <v>0</v>
      </c>
      <c r="D68" s="35" t="s">
        <v>289</v>
      </c>
      <c r="E68">
        <v>2129</v>
      </c>
      <c r="F68">
        <v>2172</v>
      </c>
      <c r="G68">
        <v>2324</v>
      </c>
      <c r="H68">
        <v>2417</v>
      </c>
      <c r="I68">
        <v>2514</v>
      </c>
      <c r="J68">
        <v>2514</v>
      </c>
      <c r="L68">
        <f>IF(
    OR(
        AND(MAX(0, MIN($E$1, DATE(Initialisatie!$C$5,12,31)) - MAX($E$2, DATE(Initialisatie!$C$5,1,1)) + 1) &gt; 0, IFERROR(VALUE($E68),0)=0),
        AND(MAX(0, MIN($F$1, DATE(Initialisatie!$C$5,12,31)) - MAX($F$2, DATE(Initialisatie!$C$5,1,1)) + 1) &gt; 0, IFERROR(VALUE($F68),0)=0),
        AND(MAX(0, MIN($G$1, DATE(Initialisatie!$C$5,12,31)) - MAX($G$2, DATE(Initialisatie!$C$5,1,1)) + 1) &gt; 0, IFERROR(VALUE($G68),0)=0),
        AND(MAX(0, MIN($H$1, DATE(Initialisatie!$C$5,12,31)) - MAX($H$2, DATE(Initialisatie!$C$5,1,1)) + 1) &gt; 0, IFERROR(VALUE($H68),0)=0),
        AND(MAX(0, MIN($I$1, DATE(Initialisatie!$C$5,12,31)) - MAX($I$2, DATE(Initialisatie!$C$5,1,1)) + 1) &gt; 0, IFERROR(VALUE($I68),0)=0),
        AND(MAX(0, MIN($J$1, DATE(Initialisatie!$C$5,12,31)) - MAX($J$2, DATE(Initialisatie!$C$5,1,1)) + 1) &gt; 0, IFERROR(VALUE($J68),0)=0)
    ),
    0,
    SUM(
        IFERROR(VALUE($E68),0) * MAX(0, MIN($E$1, DATE(Initialisatie!$C$5,12,31)) - MAX($E$2, DATE(Initialisatie!$C$5,1,1)) + 1),
        IFERROR(VALUE($F68),0) * MAX(0, MIN($F$1, DATE(Initialisatie!$C$5,12,31)) - MAX($F$2, DATE(Initialisatie!$C$5,1,1)) + 1),
        IFERROR(VALUE($G68),0) * MAX(0, MIN($G$1, DATE(Initialisatie!$C$5,12,31)) - MAX($G$2, DATE(Initialisatie!$C$5,1,1)) + 1),
        IFERROR(VALUE($H68),0) * MAX(0, MIN($H$1, DATE(Initialisatie!$C$5,12,31)) - MAX($H$2, DATE(Initialisatie!$C$5,1,1)) + 1),
        IFERROR(VALUE($I68),0) * MAX(0, MIN($I$1, DATE(Initialisatie!$C$5,12,31)) - MAX($I$2, DATE(Initialisatie!$C$5,1,1)) + 1),
        IFERROR(VALUE($J68),0) * MAX(0, MIN($J$1, DATE(Initialisatie!$C$5,12,31)) - MAX($J$2, DATE(Initialisatie!$C$5,1,1)) + 1)
    ) / (DATE(Initialisatie!$C$5,12,31) - DATE(Initialisatie!$C$5,1,1) + 1)
)</f>
        <v>2514</v>
      </c>
    </row>
    <row r="69" spans="1:12" x14ac:dyDescent="0.45">
      <c r="A69" s="989"/>
      <c r="B69" s="35">
        <v>1</v>
      </c>
      <c r="C69" s="35">
        <v>1</v>
      </c>
      <c r="D69" s="35" t="s">
        <v>288</v>
      </c>
      <c r="E69">
        <v>2181</v>
      </c>
      <c r="F69">
        <v>2225</v>
      </c>
      <c r="G69">
        <v>2381</v>
      </c>
      <c r="H69">
        <v>2476</v>
      </c>
      <c r="I69">
        <v>2575</v>
      </c>
      <c r="J69">
        <v>2575</v>
      </c>
      <c r="L69">
        <f>IF(
    OR(
        AND(MAX(0, MIN($E$1, DATE(Initialisatie!$C$5,12,31)) - MAX($E$2, DATE(Initialisatie!$C$5,1,1)) + 1) &gt; 0, IFERROR(VALUE($E69),0)=0),
        AND(MAX(0, MIN($F$1, DATE(Initialisatie!$C$5,12,31)) - MAX($F$2, DATE(Initialisatie!$C$5,1,1)) + 1) &gt; 0, IFERROR(VALUE($F69),0)=0),
        AND(MAX(0, MIN($G$1, DATE(Initialisatie!$C$5,12,31)) - MAX($G$2, DATE(Initialisatie!$C$5,1,1)) + 1) &gt; 0, IFERROR(VALUE($G69),0)=0),
        AND(MAX(0, MIN($H$1, DATE(Initialisatie!$C$5,12,31)) - MAX($H$2, DATE(Initialisatie!$C$5,1,1)) + 1) &gt; 0, IFERROR(VALUE($H69),0)=0),
        AND(MAX(0, MIN($I$1, DATE(Initialisatie!$C$5,12,31)) - MAX($I$2, DATE(Initialisatie!$C$5,1,1)) + 1) &gt; 0, IFERROR(VALUE($I69),0)=0),
        AND(MAX(0, MIN($J$1, DATE(Initialisatie!$C$5,12,31)) - MAX($J$2, DATE(Initialisatie!$C$5,1,1)) + 1) &gt; 0, IFERROR(VALUE($J69),0)=0)
    ),
    0,
    SUM(
        IFERROR(VALUE($E69),0) * MAX(0, MIN($E$1, DATE(Initialisatie!$C$5,12,31)) - MAX($E$2, DATE(Initialisatie!$C$5,1,1)) + 1),
        IFERROR(VALUE($F69),0) * MAX(0, MIN($F$1, DATE(Initialisatie!$C$5,12,31)) - MAX($F$2, DATE(Initialisatie!$C$5,1,1)) + 1),
        IFERROR(VALUE($G69),0) * MAX(0, MIN($G$1, DATE(Initialisatie!$C$5,12,31)) - MAX($G$2, DATE(Initialisatie!$C$5,1,1)) + 1),
        IFERROR(VALUE($H69),0) * MAX(0, MIN($H$1, DATE(Initialisatie!$C$5,12,31)) - MAX($H$2, DATE(Initialisatie!$C$5,1,1)) + 1),
        IFERROR(VALUE($I69),0) * MAX(0, MIN($I$1, DATE(Initialisatie!$C$5,12,31)) - MAX($I$2, DATE(Initialisatie!$C$5,1,1)) + 1),
        IFERROR(VALUE($J69),0) * MAX(0, MIN($J$1, DATE(Initialisatie!$C$5,12,31)) - MAX($J$2, DATE(Initialisatie!$C$5,1,1)) + 1)
    ) / (DATE(Initialisatie!$C$5,12,31) - DATE(Initialisatie!$C$5,1,1) + 1)
)</f>
        <v>2575</v>
      </c>
    </row>
    <row r="70" spans="1:12" x14ac:dyDescent="0.45">
      <c r="A70" s="989"/>
      <c r="B70" s="35">
        <v>2</v>
      </c>
      <c r="C70" s="35">
        <v>2</v>
      </c>
      <c r="D70" s="35" t="s">
        <v>283</v>
      </c>
      <c r="E70">
        <v>2236</v>
      </c>
      <c r="F70">
        <v>2281</v>
      </c>
      <c r="G70">
        <v>2441</v>
      </c>
      <c r="H70">
        <v>2539</v>
      </c>
      <c r="I70">
        <v>2641</v>
      </c>
      <c r="J70">
        <v>2641</v>
      </c>
      <c r="L70">
        <f>IF(
    OR(
        AND(MAX(0, MIN($E$1, DATE(Initialisatie!$C$5,12,31)) - MAX($E$2, DATE(Initialisatie!$C$5,1,1)) + 1) &gt; 0, IFERROR(VALUE($E70),0)=0),
        AND(MAX(0, MIN($F$1, DATE(Initialisatie!$C$5,12,31)) - MAX($F$2, DATE(Initialisatie!$C$5,1,1)) + 1) &gt; 0, IFERROR(VALUE($F70),0)=0),
        AND(MAX(0, MIN($G$1, DATE(Initialisatie!$C$5,12,31)) - MAX($G$2, DATE(Initialisatie!$C$5,1,1)) + 1) &gt; 0, IFERROR(VALUE($G70),0)=0),
        AND(MAX(0, MIN($H$1, DATE(Initialisatie!$C$5,12,31)) - MAX($H$2, DATE(Initialisatie!$C$5,1,1)) + 1) &gt; 0, IFERROR(VALUE($H70),0)=0),
        AND(MAX(0, MIN($I$1, DATE(Initialisatie!$C$5,12,31)) - MAX($I$2, DATE(Initialisatie!$C$5,1,1)) + 1) &gt; 0, IFERROR(VALUE($I70),0)=0),
        AND(MAX(0, MIN($J$1, DATE(Initialisatie!$C$5,12,31)) - MAX($J$2, DATE(Initialisatie!$C$5,1,1)) + 1) &gt; 0, IFERROR(VALUE($J70),0)=0)
    ),
    0,
    SUM(
        IFERROR(VALUE($E70),0) * MAX(0, MIN($E$1, DATE(Initialisatie!$C$5,12,31)) - MAX($E$2, DATE(Initialisatie!$C$5,1,1)) + 1),
        IFERROR(VALUE($F70),0) * MAX(0, MIN($F$1, DATE(Initialisatie!$C$5,12,31)) - MAX($F$2, DATE(Initialisatie!$C$5,1,1)) + 1),
        IFERROR(VALUE($G70),0) * MAX(0, MIN($G$1, DATE(Initialisatie!$C$5,12,31)) - MAX($G$2, DATE(Initialisatie!$C$5,1,1)) + 1),
        IFERROR(VALUE($H70),0) * MAX(0, MIN($H$1, DATE(Initialisatie!$C$5,12,31)) - MAX($H$2, DATE(Initialisatie!$C$5,1,1)) + 1),
        IFERROR(VALUE($I70),0) * MAX(0, MIN($I$1, DATE(Initialisatie!$C$5,12,31)) - MAX($I$2, DATE(Initialisatie!$C$5,1,1)) + 1),
        IFERROR(VALUE($J70),0) * MAX(0, MIN($J$1, DATE(Initialisatie!$C$5,12,31)) - MAX($J$2, DATE(Initialisatie!$C$5,1,1)) + 1)
    ) / (DATE(Initialisatie!$C$5,12,31) - DATE(Initialisatie!$C$5,1,1) + 1)
)</f>
        <v>2641</v>
      </c>
    </row>
    <row r="71" spans="1:12" x14ac:dyDescent="0.45">
      <c r="A71" s="989"/>
      <c r="B71" s="35">
        <v>3</v>
      </c>
      <c r="C71" s="35">
        <v>3</v>
      </c>
      <c r="D71" s="35" t="s">
        <v>282</v>
      </c>
      <c r="E71">
        <v>2288</v>
      </c>
      <c r="F71">
        <v>2334</v>
      </c>
      <c r="G71">
        <v>2497</v>
      </c>
      <c r="H71">
        <v>2597</v>
      </c>
      <c r="I71">
        <v>2701</v>
      </c>
      <c r="J71">
        <v>2701</v>
      </c>
      <c r="L71">
        <f>IF(
    OR(
        AND(MAX(0, MIN($E$1, DATE(Initialisatie!$C$5,12,31)) - MAX($E$2, DATE(Initialisatie!$C$5,1,1)) + 1) &gt; 0, IFERROR(VALUE($E71),0)=0),
        AND(MAX(0, MIN($F$1, DATE(Initialisatie!$C$5,12,31)) - MAX($F$2, DATE(Initialisatie!$C$5,1,1)) + 1) &gt; 0, IFERROR(VALUE($F71),0)=0),
        AND(MAX(0, MIN($G$1, DATE(Initialisatie!$C$5,12,31)) - MAX($G$2, DATE(Initialisatie!$C$5,1,1)) + 1) &gt; 0, IFERROR(VALUE($G71),0)=0),
        AND(MAX(0, MIN($H$1, DATE(Initialisatie!$C$5,12,31)) - MAX($H$2, DATE(Initialisatie!$C$5,1,1)) + 1) &gt; 0, IFERROR(VALUE($H71),0)=0),
        AND(MAX(0, MIN($I$1, DATE(Initialisatie!$C$5,12,31)) - MAX($I$2, DATE(Initialisatie!$C$5,1,1)) + 1) &gt; 0, IFERROR(VALUE($I71),0)=0),
        AND(MAX(0, MIN($J$1, DATE(Initialisatie!$C$5,12,31)) - MAX($J$2, DATE(Initialisatie!$C$5,1,1)) + 1) &gt; 0, IFERROR(VALUE($J71),0)=0)
    ),
    0,
    SUM(
        IFERROR(VALUE($E71),0) * MAX(0, MIN($E$1, DATE(Initialisatie!$C$5,12,31)) - MAX($E$2, DATE(Initialisatie!$C$5,1,1)) + 1),
        IFERROR(VALUE($F71),0) * MAX(0, MIN($F$1, DATE(Initialisatie!$C$5,12,31)) - MAX($F$2, DATE(Initialisatie!$C$5,1,1)) + 1),
        IFERROR(VALUE($G71),0) * MAX(0, MIN($G$1, DATE(Initialisatie!$C$5,12,31)) - MAX($G$2, DATE(Initialisatie!$C$5,1,1)) + 1),
        IFERROR(VALUE($H71),0) * MAX(0, MIN($H$1, DATE(Initialisatie!$C$5,12,31)) - MAX($H$2, DATE(Initialisatie!$C$5,1,1)) + 1),
        IFERROR(VALUE($I71),0) * MAX(0, MIN($I$1, DATE(Initialisatie!$C$5,12,31)) - MAX($I$2, DATE(Initialisatie!$C$5,1,1)) + 1),
        IFERROR(VALUE($J71),0) * MAX(0, MIN($J$1, DATE(Initialisatie!$C$5,12,31)) - MAX($J$2, DATE(Initialisatie!$C$5,1,1)) + 1)
    ) / (DATE(Initialisatie!$C$5,12,31) - DATE(Initialisatie!$C$5,1,1) + 1)
)</f>
        <v>2701</v>
      </c>
    </row>
    <row r="72" spans="1:12" x14ac:dyDescent="0.45">
      <c r="A72" s="989"/>
      <c r="B72" s="35">
        <v>4</v>
      </c>
      <c r="C72" s="35">
        <v>4</v>
      </c>
      <c r="D72" s="35" t="s">
        <v>281</v>
      </c>
      <c r="E72">
        <v>2345</v>
      </c>
      <c r="F72">
        <v>2392</v>
      </c>
      <c r="G72">
        <v>2559</v>
      </c>
      <c r="H72">
        <v>2661</v>
      </c>
      <c r="I72">
        <v>2767</v>
      </c>
      <c r="J72">
        <v>2767</v>
      </c>
      <c r="L72">
        <f>IF(
    OR(
        AND(MAX(0, MIN($E$1, DATE(Initialisatie!$C$5,12,31)) - MAX($E$2, DATE(Initialisatie!$C$5,1,1)) + 1) &gt; 0, IFERROR(VALUE($E72),0)=0),
        AND(MAX(0, MIN($F$1, DATE(Initialisatie!$C$5,12,31)) - MAX($F$2, DATE(Initialisatie!$C$5,1,1)) + 1) &gt; 0, IFERROR(VALUE($F72),0)=0),
        AND(MAX(0, MIN($G$1, DATE(Initialisatie!$C$5,12,31)) - MAX($G$2, DATE(Initialisatie!$C$5,1,1)) + 1) &gt; 0, IFERROR(VALUE($G72),0)=0),
        AND(MAX(0, MIN($H$1, DATE(Initialisatie!$C$5,12,31)) - MAX($H$2, DATE(Initialisatie!$C$5,1,1)) + 1) &gt; 0, IFERROR(VALUE($H72),0)=0),
        AND(MAX(0, MIN($I$1, DATE(Initialisatie!$C$5,12,31)) - MAX($I$2, DATE(Initialisatie!$C$5,1,1)) + 1) &gt; 0, IFERROR(VALUE($I72),0)=0),
        AND(MAX(0, MIN($J$1, DATE(Initialisatie!$C$5,12,31)) - MAX($J$2, DATE(Initialisatie!$C$5,1,1)) + 1) &gt; 0, IFERROR(VALUE($J72),0)=0)
    ),
    0,
    SUM(
        IFERROR(VALUE($E72),0) * MAX(0, MIN($E$1, DATE(Initialisatie!$C$5,12,31)) - MAX($E$2, DATE(Initialisatie!$C$5,1,1)) + 1),
        IFERROR(VALUE($F72),0) * MAX(0, MIN($F$1, DATE(Initialisatie!$C$5,12,31)) - MAX($F$2, DATE(Initialisatie!$C$5,1,1)) + 1),
        IFERROR(VALUE($G72),0) * MAX(0, MIN($G$1, DATE(Initialisatie!$C$5,12,31)) - MAX($G$2, DATE(Initialisatie!$C$5,1,1)) + 1),
        IFERROR(VALUE($H72),0) * MAX(0, MIN($H$1, DATE(Initialisatie!$C$5,12,31)) - MAX($H$2, DATE(Initialisatie!$C$5,1,1)) + 1),
        IFERROR(VALUE($I72),0) * MAX(0, MIN($I$1, DATE(Initialisatie!$C$5,12,31)) - MAX($I$2, DATE(Initialisatie!$C$5,1,1)) + 1),
        IFERROR(VALUE($J72),0) * MAX(0, MIN($J$1, DATE(Initialisatie!$C$5,12,31)) - MAX($J$2, DATE(Initialisatie!$C$5,1,1)) + 1)
    ) / (DATE(Initialisatie!$C$5,12,31) - DATE(Initialisatie!$C$5,1,1) + 1)
)</f>
        <v>2767</v>
      </c>
    </row>
    <row r="73" spans="1:12" x14ac:dyDescent="0.45">
      <c r="A73" s="989"/>
      <c r="B73" s="35">
        <v>5</v>
      </c>
      <c r="C73" s="35">
        <v>5</v>
      </c>
      <c r="D73" s="35" t="s">
        <v>280</v>
      </c>
      <c r="E73">
        <v>2423</v>
      </c>
      <c r="F73">
        <v>2471</v>
      </c>
      <c r="G73">
        <v>2644</v>
      </c>
      <c r="H73">
        <v>2750</v>
      </c>
      <c r="I73">
        <v>2860</v>
      </c>
      <c r="J73">
        <v>2860</v>
      </c>
      <c r="L73">
        <f>IF(
    OR(
        AND(MAX(0, MIN($E$1, DATE(Initialisatie!$C$5,12,31)) - MAX($E$2, DATE(Initialisatie!$C$5,1,1)) + 1) &gt; 0, IFERROR(VALUE($E73),0)=0),
        AND(MAX(0, MIN($F$1, DATE(Initialisatie!$C$5,12,31)) - MAX($F$2, DATE(Initialisatie!$C$5,1,1)) + 1) &gt; 0, IFERROR(VALUE($F73),0)=0),
        AND(MAX(0, MIN($G$1, DATE(Initialisatie!$C$5,12,31)) - MAX($G$2, DATE(Initialisatie!$C$5,1,1)) + 1) &gt; 0, IFERROR(VALUE($G73),0)=0),
        AND(MAX(0, MIN($H$1, DATE(Initialisatie!$C$5,12,31)) - MAX($H$2, DATE(Initialisatie!$C$5,1,1)) + 1) &gt; 0, IFERROR(VALUE($H73),0)=0),
        AND(MAX(0, MIN($I$1, DATE(Initialisatie!$C$5,12,31)) - MAX($I$2, DATE(Initialisatie!$C$5,1,1)) + 1) &gt; 0, IFERROR(VALUE($I73),0)=0),
        AND(MAX(0, MIN($J$1, DATE(Initialisatie!$C$5,12,31)) - MAX($J$2, DATE(Initialisatie!$C$5,1,1)) + 1) &gt; 0, IFERROR(VALUE($J73),0)=0)
    ),
    0,
    SUM(
        IFERROR(VALUE($E73),0) * MAX(0, MIN($E$1, DATE(Initialisatie!$C$5,12,31)) - MAX($E$2, DATE(Initialisatie!$C$5,1,1)) + 1),
        IFERROR(VALUE($F73),0) * MAX(0, MIN($F$1, DATE(Initialisatie!$C$5,12,31)) - MAX($F$2, DATE(Initialisatie!$C$5,1,1)) + 1),
        IFERROR(VALUE($G73),0) * MAX(0, MIN($G$1, DATE(Initialisatie!$C$5,12,31)) - MAX($G$2, DATE(Initialisatie!$C$5,1,1)) + 1),
        IFERROR(VALUE($H73),0) * MAX(0, MIN($H$1, DATE(Initialisatie!$C$5,12,31)) - MAX($H$2, DATE(Initialisatie!$C$5,1,1)) + 1),
        IFERROR(VALUE($I73),0) * MAX(0, MIN($I$1, DATE(Initialisatie!$C$5,12,31)) - MAX($I$2, DATE(Initialisatie!$C$5,1,1)) + 1),
        IFERROR(VALUE($J73),0) * MAX(0, MIN($J$1, DATE(Initialisatie!$C$5,12,31)) - MAX($J$2, DATE(Initialisatie!$C$5,1,1)) + 1)
    ) / (DATE(Initialisatie!$C$5,12,31) - DATE(Initialisatie!$C$5,1,1) + 1)
)</f>
        <v>2860</v>
      </c>
    </row>
    <row r="74" spans="1:12" x14ac:dyDescent="0.45">
      <c r="A74" s="989"/>
      <c r="B74" s="35">
        <v>6</v>
      </c>
      <c r="C74" s="35">
        <v>6</v>
      </c>
      <c r="D74" s="35" t="s">
        <v>279</v>
      </c>
      <c r="E74">
        <v>2491</v>
      </c>
      <c r="F74">
        <v>2541</v>
      </c>
      <c r="G74">
        <v>2719</v>
      </c>
      <c r="H74">
        <v>2828</v>
      </c>
      <c r="I74">
        <v>2941</v>
      </c>
      <c r="J74">
        <v>2941</v>
      </c>
      <c r="L74">
        <f>IF(
    OR(
        AND(MAX(0, MIN($E$1, DATE(Initialisatie!$C$5,12,31)) - MAX($E$2, DATE(Initialisatie!$C$5,1,1)) + 1) &gt; 0, IFERROR(VALUE($E74),0)=0),
        AND(MAX(0, MIN($F$1, DATE(Initialisatie!$C$5,12,31)) - MAX($F$2, DATE(Initialisatie!$C$5,1,1)) + 1) &gt; 0, IFERROR(VALUE($F74),0)=0),
        AND(MAX(0, MIN($G$1, DATE(Initialisatie!$C$5,12,31)) - MAX($G$2, DATE(Initialisatie!$C$5,1,1)) + 1) &gt; 0, IFERROR(VALUE($G74),0)=0),
        AND(MAX(0, MIN($H$1, DATE(Initialisatie!$C$5,12,31)) - MAX($H$2, DATE(Initialisatie!$C$5,1,1)) + 1) &gt; 0, IFERROR(VALUE($H74),0)=0),
        AND(MAX(0, MIN($I$1, DATE(Initialisatie!$C$5,12,31)) - MAX($I$2, DATE(Initialisatie!$C$5,1,1)) + 1) &gt; 0, IFERROR(VALUE($I74),0)=0),
        AND(MAX(0, MIN($J$1, DATE(Initialisatie!$C$5,12,31)) - MAX($J$2, DATE(Initialisatie!$C$5,1,1)) + 1) &gt; 0, IFERROR(VALUE($J74),0)=0)
    ),
    0,
    SUM(
        IFERROR(VALUE($E74),0) * MAX(0, MIN($E$1, DATE(Initialisatie!$C$5,12,31)) - MAX($E$2, DATE(Initialisatie!$C$5,1,1)) + 1),
        IFERROR(VALUE($F74),0) * MAX(0, MIN($F$1, DATE(Initialisatie!$C$5,12,31)) - MAX($F$2, DATE(Initialisatie!$C$5,1,1)) + 1),
        IFERROR(VALUE($G74),0) * MAX(0, MIN($G$1, DATE(Initialisatie!$C$5,12,31)) - MAX($G$2, DATE(Initialisatie!$C$5,1,1)) + 1),
        IFERROR(VALUE($H74),0) * MAX(0, MIN($H$1, DATE(Initialisatie!$C$5,12,31)) - MAX($H$2, DATE(Initialisatie!$C$5,1,1)) + 1),
        IFERROR(VALUE($I74),0) * MAX(0, MIN($I$1, DATE(Initialisatie!$C$5,12,31)) - MAX($I$2, DATE(Initialisatie!$C$5,1,1)) + 1),
        IFERROR(VALUE($J74),0) * MAX(0, MIN($J$1, DATE(Initialisatie!$C$5,12,31)) - MAX($J$2, DATE(Initialisatie!$C$5,1,1)) + 1)
    ) / (DATE(Initialisatie!$C$5,12,31) - DATE(Initialisatie!$C$5,1,1) + 1)
)</f>
        <v>2941</v>
      </c>
    </row>
    <row r="75" spans="1:12" x14ac:dyDescent="0.45">
      <c r="A75" s="989"/>
      <c r="B75" s="35">
        <v>7</v>
      </c>
      <c r="C75" s="35">
        <v>7</v>
      </c>
      <c r="D75" s="35" t="s">
        <v>278</v>
      </c>
      <c r="E75">
        <v>2572</v>
      </c>
      <c r="F75">
        <v>2623</v>
      </c>
      <c r="G75">
        <v>2807</v>
      </c>
      <c r="H75">
        <v>2919</v>
      </c>
      <c r="I75">
        <v>3036</v>
      </c>
      <c r="J75">
        <v>3036</v>
      </c>
      <c r="L75">
        <f>IF(
    OR(
        AND(MAX(0, MIN($E$1, DATE(Initialisatie!$C$5,12,31)) - MAX($E$2, DATE(Initialisatie!$C$5,1,1)) + 1) &gt; 0, IFERROR(VALUE($E75),0)=0),
        AND(MAX(0, MIN($F$1, DATE(Initialisatie!$C$5,12,31)) - MAX($F$2, DATE(Initialisatie!$C$5,1,1)) + 1) &gt; 0, IFERROR(VALUE($F75),0)=0),
        AND(MAX(0, MIN($G$1, DATE(Initialisatie!$C$5,12,31)) - MAX($G$2, DATE(Initialisatie!$C$5,1,1)) + 1) &gt; 0, IFERROR(VALUE($G75),0)=0),
        AND(MAX(0, MIN($H$1, DATE(Initialisatie!$C$5,12,31)) - MAX($H$2, DATE(Initialisatie!$C$5,1,1)) + 1) &gt; 0, IFERROR(VALUE($H75),0)=0),
        AND(MAX(0, MIN($I$1, DATE(Initialisatie!$C$5,12,31)) - MAX($I$2, DATE(Initialisatie!$C$5,1,1)) + 1) &gt; 0, IFERROR(VALUE($I75),0)=0),
        AND(MAX(0, MIN($J$1, DATE(Initialisatie!$C$5,12,31)) - MAX($J$2, DATE(Initialisatie!$C$5,1,1)) + 1) &gt; 0, IFERROR(VALUE($J75),0)=0)
    ),
    0,
    SUM(
        IFERROR(VALUE($E75),0) * MAX(0, MIN($E$1, DATE(Initialisatie!$C$5,12,31)) - MAX($E$2, DATE(Initialisatie!$C$5,1,1)) + 1),
        IFERROR(VALUE($F75),0) * MAX(0, MIN($F$1, DATE(Initialisatie!$C$5,12,31)) - MAX($F$2, DATE(Initialisatie!$C$5,1,1)) + 1),
        IFERROR(VALUE($G75),0) * MAX(0, MIN($G$1, DATE(Initialisatie!$C$5,12,31)) - MAX($G$2, DATE(Initialisatie!$C$5,1,1)) + 1),
        IFERROR(VALUE($H75),0) * MAX(0, MIN($H$1, DATE(Initialisatie!$C$5,12,31)) - MAX($H$2, DATE(Initialisatie!$C$5,1,1)) + 1),
        IFERROR(VALUE($I75),0) * MAX(0, MIN($I$1, DATE(Initialisatie!$C$5,12,31)) - MAX($I$2, DATE(Initialisatie!$C$5,1,1)) + 1),
        IFERROR(VALUE($J75),0) * MAX(0, MIN($J$1, DATE(Initialisatie!$C$5,12,31)) - MAX($J$2, DATE(Initialisatie!$C$5,1,1)) + 1)
    ) / (DATE(Initialisatie!$C$5,12,31) - DATE(Initialisatie!$C$5,1,1) + 1)
)</f>
        <v>3036</v>
      </c>
    </row>
    <row r="76" spans="1:12" x14ac:dyDescent="0.45">
      <c r="A76" s="989"/>
      <c r="B76" s="35">
        <v>8</v>
      </c>
      <c r="C76" s="35">
        <v>8</v>
      </c>
      <c r="D76" s="35" t="s">
        <v>277</v>
      </c>
      <c r="E76">
        <v>2644</v>
      </c>
      <c r="F76">
        <v>2697</v>
      </c>
      <c r="G76">
        <v>2886</v>
      </c>
      <c r="H76">
        <v>3001</v>
      </c>
      <c r="I76">
        <v>3121</v>
      </c>
      <c r="J76">
        <v>3121</v>
      </c>
      <c r="L76">
        <f>IF(
    OR(
        AND(MAX(0, MIN($E$1, DATE(Initialisatie!$C$5,12,31)) - MAX($E$2, DATE(Initialisatie!$C$5,1,1)) + 1) &gt; 0, IFERROR(VALUE($E76),0)=0),
        AND(MAX(0, MIN($F$1, DATE(Initialisatie!$C$5,12,31)) - MAX($F$2, DATE(Initialisatie!$C$5,1,1)) + 1) &gt; 0, IFERROR(VALUE($F76),0)=0),
        AND(MAX(0, MIN($G$1, DATE(Initialisatie!$C$5,12,31)) - MAX($G$2, DATE(Initialisatie!$C$5,1,1)) + 1) &gt; 0, IFERROR(VALUE($G76),0)=0),
        AND(MAX(0, MIN($H$1, DATE(Initialisatie!$C$5,12,31)) - MAX($H$2, DATE(Initialisatie!$C$5,1,1)) + 1) &gt; 0, IFERROR(VALUE($H76),0)=0),
        AND(MAX(0, MIN($I$1, DATE(Initialisatie!$C$5,12,31)) - MAX($I$2, DATE(Initialisatie!$C$5,1,1)) + 1) &gt; 0, IFERROR(VALUE($I76),0)=0),
        AND(MAX(0, MIN($J$1, DATE(Initialisatie!$C$5,12,31)) - MAX($J$2, DATE(Initialisatie!$C$5,1,1)) + 1) &gt; 0, IFERROR(VALUE($J76),0)=0)
    ),
    0,
    SUM(
        IFERROR(VALUE($E76),0) * MAX(0, MIN($E$1, DATE(Initialisatie!$C$5,12,31)) - MAX($E$2, DATE(Initialisatie!$C$5,1,1)) + 1),
        IFERROR(VALUE($F76),0) * MAX(0, MIN($F$1, DATE(Initialisatie!$C$5,12,31)) - MAX($F$2, DATE(Initialisatie!$C$5,1,1)) + 1),
        IFERROR(VALUE($G76),0) * MAX(0, MIN($G$1, DATE(Initialisatie!$C$5,12,31)) - MAX($G$2, DATE(Initialisatie!$C$5,1,1)) + 1),
        IFERROR(VALUE($H76),0) * MAX(0, MIN($H$1, DATE(Initialisatie!$C$5,12,31)) - MAX($H$2, DATE(Initialisatie!$C$5,1,1)) + 1),
        IFERROR(VALUE($I76),0) * MAX(0, MIN($I$1, DATE(Initialisatie!$C$5,12,31)) - MAX($I$2, DATE(Initialisatie!$C$5,1,1)) + 1),
        IFERROR(VALUE($J76),0) * MAX(0, MIN($J$1, DATE(Initialisatie!$C$5,12,31)) - MAX($J$2, DATE(Initialisatie!$C$5,1,1)) + 1)
    ) / (DATE(Initialisatie!$C$5,12,31) - DATE(Initialisatie!$C$5,1,1) + 1)
)</f>
        <v>3121</v>
      </c>
    </row>
    <row r="77" spans="1:12" x14ac:dyDescent="0.45">
      <c r="A77" s="989"/>
      <c r="B77" s="35">
        <v>9</v>
      </c>
      <c r="C77" s="35">
        <v>9</v>
      </c>
      <c r="D77" s="35" t="s">
        <v>276</v>
      </c>
      <c r="E77">
        <v>2723</v>
      </c>
      <c r="F77">
        <v>2777</v>
      </c>
      <c r="G77">
        <v>2971</v>
      </c>
      <c r="H77">
        <v>3090</v>
      </c>
      <c r="I77">
        <v>3214</v>
      </c>
      <c r="J77">
        <v>3214</v>
      </c>
      <c r="L77">
        <f>IF(
    OR(
        AND(MAX(0, MIN($E$1, DATE(Initialisatie!$C$5,12,31)) - MAX($E$2, DATE(Initialisatie!$C$5,1,1)) + 1) &gt; 0, IFERROR(VALUE($E77),0)=0),
        AND(MAX(0, MIN($F$1, DATE(Initialisatie!$C$5,12,31)) - MAX($F$2, DATE(Initialisatie!$C$5,1,1)) + 1) &gt; 0, IFERROR(VALUE($F77),0)=0),
        AND(MAX(0, MIN($G$1, DATE(Initialisatie!$C$5,12,31)) - MAX($G$2, DATE(Initialisatie!$C$5,1,1)) + 1) &gt; 0, IFERROR(VALUE($G77),0)=0),
        AND(MAX(0, MIN($H$1, DATE(Initialisatie!$C$5,12,31)) - MAX($H$2, DATE(Initialisatie!$C$5,1,1)) + 1) &gt; 0, IFERROR(VALUE($H77),0)=0),
        AND(MAX(0, MIN($I$1, DATE(Initialisatie!$C$5,12,31)) - MAX($I$2, DATE(Initialisatie!$C$5,1,1)) + 1) &gt; 0, IFERROR(VALUE($I77),0)=0),
        AND(MAX(0, MIN($J$1, DATE(Initialisatie!$C$5,12,31)) - MAX($J$2, DATE(Initialisatie!$C$5,1,1)) + 1) &gt; 0, IFERROR(VALUE($J77),0)=0)
    ),
    0,
    SUM(
        IFERROR(VALUE($E77),0) * MAX(0, MIN($E$1, DATE(Initialisatie!$C$5,12,31)) - MAX($E$2, DATE(Initialisatie!$C$5,1,1)) + 1),
        IFERROR(VALUE($F77),0) * MAX(0, MIN($F$1, DATE(Initialisatie!$C$5,12,31)) - MAX($F$2, DATE(Initialisatie!$C$5,1,1)) + 1),
        IFERROR(VALUE($G77),0) * MAX(0, MIN($G$1, DATE(Initialisatie!$C$5,12,31)) - MAX($G$2, DATE(Initialisatie!$C$5,1,1)) + 1),
        IFERROR(VALUE($H77),0) * MAX(0, MIN($H$1, DATE(Initialisatie!$C$5,12,31)) - MAX($H$2, DATE(Initialisatie!$C$5,1,1)) + 1),
        IFERROR(VALUE($I77),0) * MAX(0, MIN($I$1, DATE(Initialisatie!$C$5,12,31)) - MAX($I$2, DATE(Initialisatie!$C$5,1,1)) + 1),
        IFERROR(VALUE($J77),0) * MAX(0, MIN($J$1, DATE(Initialisatie!$C$5,12,31)) - MAX($J$2, DATE(Initialisatie!$C$5,1,1)) + 1)
    ) / (DATE(Initialisatie!$C$5,12,31) - DATE(Initialisatie!$C$5,1,1) + 1)
)</f>
        <v>3214</v>
      </c>
    </row>
    <row r="78" spans="1:12" x14ac:dyDescent="0.45">
      <c r="A78" s="989"/>
      <c r="B78" s="35">
        <v>10</v>
      </c>
      <c r="C78" s="35">
        <v>10</v>
      </c>
      <c r="D78" s="35" t="s">
        <v>287</v>
      </c>
      <c r="E78">
        <v>2792</v>
      </c>
      <c r="F78">
        <v>2848</v>
      </c>
      <c r="G78">
        <v>3047</v>
      </c>
      <c r="H78">
        <v>3169</v>
      </c>
      <c r="I78">
        <v>3296</v>
      </c>
      <c r="J78">
        <v>3296</v>
      </c>
      <c r="L78">
        <f>IF(
    OR(
        AND(MAX(0, MIN($E$1, DATE(Initialisatie!$C$5,12,31)) - MAX($E$2, DATE(Initialisatie!$C$5,1,1)) + 1) &gt; 0, IFERROR(VALUE($E78),0)=0),
        AND(MAX(0, MIN($F$1, DATE(Initialisatie!$C$5,12,31)) - MAX($F$2, DATE(Initialisatie!$C$5,1,1)) + 1) &gt; 0, IFERROR(VALUE($F78),0)=0),
        AND(MAX(0, MIN($G$1, DATE(Initialisatie!$C$5,12,31)) - MAX($G$2, DATE(Initialisatie!$C$5,1,1)) + 1) &gt; 0, IFERROR(VALUE($G78),0)=0),
        AND(MAX(0, MIN($H$1, DATE(Initialisatie!$C$5,12,31)) - MAX($H$2, DATE(Initialisatie!$C$5,1,1)) + 1) &gt; 0, IFERROR(VALUE($H78),0)=0),
        AND(MAX(0, MIN($I$1, DATE(Initialisatie!$C$5,12,31)) - MAX($I$2, DATE(Initialisatie!$C$5,1,1)) + 1) &gt; 0, IFERROR(VALUE($I78),0)=0),
        AND(MAX(0, MIN($J$1, DATE(Initialisatie!$C$5,12,31)) - MAX($J$2, DATE(Initialisatie!$C$5,1,1)) + 1) &gt; 0, IFERROR(VALUE($J78),0)=0)
    ),
    0,
    SUM(
        IFERROR(VALUE($E78),0) * MAX(0, MIN($E$1, DATE(Initialisatie!$C$5,12,31)) - MAX($E$2, DATE(Initialisatie!$C$5,1,1)) + 1),
        IFERROR(VALUE($F78),0) * MAX(0, MIN($F$1, DATE(Initialisatie!$C$5,12,31)) - MAX($F$2, DATE(Initialisatie!$C$5,1,1)) + 1),
        IFERROR(VALUE($G78),0) * MAX(0, MIN($G$1, DATE(Initialisatie!$C$5,12,31)) - MAX($G$2, DATE(Initialisatie!$C$5,1,1)) + 1),
        IFERROR(VALUE($H78),0) * MAX(0, MIN($H$1, DATE(Initialisatie!$C$5,12,31)) - MAX($H$2, DATE(Initialisatie!$C$5,1,1)) + 1),
        IFERROR(VALUE($I78),0) * MAX(0, MIN($I$1, DATE(Initialisatie!$C$5,12,31)) - MAX($I$2, DATE(Initialisatie!$C$5,1,1)) + 1),
        IFERROR(VALUE($J78),0) * MAX(0, MIN($J$1, DATE(Initialisatie!$C$5,12,31)) - MAX($J$2, DATE(Initialisatie!$C$5,1,1)) + 1)
    ) / (DATE(Initialisatie!$C$5,12,31) - DATE(Initialisatie!$C$5,1,1) + 1)
)</f>
        <v>3296</v>
      </c>
    </row>
    <row r="79" spans="1:12" x14ac:dyDescent="0.45">
      <c r="A79" s="989"/>
      <c r="B79" s="35">
        <v>11</v>
      </c>
      <c r="C79" s="35">
        <v>11</v>
      </c>
      <c r="D79" s="35" t="s">
        <v>286</v>
      </c>
      <c r="E79">
        <v>2864</v>
      </c>
      <c r="F79">
        <v>2921</v>
      </c>
      <c r="G79">
        <v>3125</v>
      </c>
      <c r="H79">
        <v>3250</v>
      </c>
      <c r="I79">
        <v>3380</v>
      </c>
      <c r="J79">
        <v>3380</v>
      </c>
      <c r="L79">
        <f>IF(
    OR(
        AND(MAX(0, MIN($E$1, DATE(Initialisatie!$C$5,12,31)) - MAX($E$2, DATE(Initialisatie!$C$5,1,1)) + 1) &gt; 0, IFERROR(VALUE($E79),0)=0),
        AND(MAX(0, MIN($F$1, DATE(Initialisatie!$C$5,12,31)) - MAX($F$2, DATE(Initialisatie!$C$5,1,1)) + 1) &gt; 0, IFERROR(VALUE($F79),0)=0),
        AND(MAX(0, MIN($G$1, DATE(Initialisatie!$C$5,12,31)) - MAX($G$2, DATE(Initialisatie!$C$5,1,1)) + 1) &gt; 0, IFERROR(VALUE($G79),0)=0),
        AND(MAX(0, MIN($H$1, DATE(Initialisatie!$C$5,12,31)) - MAX($H$2, DATE(Initialisatie!$C$5,1,1)) + 1) &gt; 0, IFERROR(VALUE($H79),0)=0),
        AND(MAX(0, MIN($I$1, DATE(Initialisatie!$C$5,12,31)) - MAX($I$2, DATE(Initialisatie!$C$5,1,1)) + 1) &gt; 0, IFERROR(VALUE($I79),0)=0),
        AND(MAX(0, MIN($J$1, DATE(Initialisatie!$C$5,12,31)) - MAX($J$2, DATE(Initialisatie!$C$5,1,1)) + 1) &gt; 0, IFERROR(VALUE($J79),0)=0)
    ),
    0,
    SUM(
        IFERROR(VALUE($E79),0) * MAX(0, MIN($E$1, DATE(Initialisatie!$C$5,12,31)) - MAX($E$2, DATE(Initialisatie!$C$5,1,1)) + 1),
        IFERROR(VALUE($F79),0) * MAX(0, MIN($F$1, DATE(Initialisatie!$C$5,12,31)) - MAX($F$2, DATE(Initialisatie!$C$5,1,1)) + 1),
        IFERROR(VALUE($G79),0) * MAX(0, MIN($G$1, DATE(Initialisatie!$C$5,12,31)) - MAX($G$2, DATE(Initialisatie!$C$5,1,1)) + 1),
        IFERROR(VALUE($H79),0) * MAX(0, MIN($H$1, DATE(Initialisatie!$C$5,12,31)) - MAX($H$2, DATE(Initialisatie!$C$5,1,1)) + 1),
        IFERROR(VALUE($I79),0) * MAX(0, MIN($I$1, DATE(Initialisatie!$C$5,12,31)) - MAX($I$2, DATE(Initialisatie!$C$5,1,1)) + 1),
        IFERROR(VALUE($J79),0) * MAX(0, MIN($J$1, DATE(Initialisatie!$C$5,12,31)) - MAX($J$2, DATE(Initialisatie!$C$5,1,1)) + 1)
    ) / (DATE(Initialisatie!$C$5,12,31) - DATE(Initialisatie!$C$5,1,1) + 1)
)</f>
        <v>3380</v>
      </c>
    </row>
    <row r="80" spans="1:12" x14ac:dyDescent="0.45">
      <c r="A80" s="989"/>
      <c r="B80" s="35">
        <v>12</v>
      </c>
      <c r="C80" s="35">
        <v>12</v>
      </c>
      <c r="D80" s="35" t="s">
        <v>285</v>
      </c>
      <c r="J80">
        <v>3449</v>
      </c>
      <c r="L80">
        <f>IF(
    OR(
        AND(MAX(0, MIN($E$1, DATE(Initialisatie!$C$5,12,31)) - MAX($E$2, DATE(Initialisatie!$C$5,1,1)) + 1) &gt; 0, IFERROR(VALUE($E80),0)=0),
        AND(MAX(0, MIN($F$1, DATE(Initialisatie!$C$5,12,31)) - MAX($F$2, DATE(Initialisatie!$C$5,1,1)) + 1) &gt; 0, IFERROR(VALUE($F80),0)=0),
        AND(MAX(0, MIN($G$1, DATE(Initialisatie!$C$5,12,31)) - MAX($G$2, DATE(Initialisatie!$C$5,1,1)) + 1) &gt; 0, IFERROR(VALUE($G80),0)=0),
        AND(MAX(0, MIN($H$1, DATE(Initialisatie!$C$5,12,31)) - MAX($H$2, DATE(Initialisatie!$C$5,1,1)) + 1) &gt; 0, IFERROR(VALUE($H80),0)=0),
        AND(MAX(0, MIN($I$1, DATE(Initialisatie!$C$5,12,31)) - MAX($I$2, DATE(Initialisatie!$C$5,1,1)) + 1) &gt; 0, IFERROR(VALUE($I80),0)=0),
        AND(MAX(0, MIN($J$1, DATE(Initialisatie!$C$5,12,31)) - MAX($J$2, DATE(Initialisatie!$C$5,1,1)) + 1) &gt; 0, IFERROR(VALUE($J80),0)=0)
    ),
    0,
    SUM(
        IFERROR(VALUE($E80),0) * MAX(0, MIN($E$1, DATE(Initialisatie!$C$5,12,31)) - MAX($E$2, DATE(Initialisatie!$C$5,1,1)) + 1),
        IFERROR(VALUE($F80),0) * MAX(0, MIN($F$1, DATE(Initialisatie!$C$5,12,31)) - MAX($F$2, DATE(Initialisatie!$C$5,1,1)) + 1),
        IFERROR(VALUE($G80),0) * MAX(0, MIN($G$1, DATE(Initialisatie!$C$5,12,31)) - MAX($G$2, DATE(Initialisatie!$C$5,1,1)) + 1),
        IFERROR(VALUE($H80),0) * MAX(0, MIN($H$1, DATE(Initialisatie!$C$5,12,31)) - MAX($H$2, DATE(Initialisatie!$C$5,1,1)) + 1),
        IFERROR(VALUE($I80),0) * MAX(0, MIN($I$1, DATE(Initialisatie!$C$5,12,31)) - MAX($I$2, DATE(Initialisatie!$C$5,1,1)) + 1),
        IFERROR(VALUE($J80),0) * MAX(0, MIN($J$1, DATE(Initialisatie!$C$5,12,31)) - MAX($J$2, DATE(Initialisatie!$C$5,1,1)) + 1)
    ) / (DATE(Initialisatie!$C$5,12,31) - DATE(Initialisatie!$C$5,1,1) + 1)
)</f>
        <v>3449</v>
      </c>
    </row>
    <row r="81" spans="1:12" x14ac:dyDescent="0.45">
      <c r="A81" s="989"/>
      <c r="B81" s="35">
        <v>13</v>
      </c>
      <c r="C81" s="35">
        <v>13</v>
      </c>
      <c r="D81" s="35" t="s">
        <v>284</v>
      </c>
      <c r="J81">
        <v>3524</v>
      </c>
      <c r="L81">
        <f>IF(
    OR(
        AND(MAX(0, MIN($E$1, DATE(Initialisatie!$C$5,12,31)) - MAX($E$2, DATE(Initialisatie!$C$5,1,1)) + 1) &gt; 0, IFERROR(VALUE($E81),0)=0),
        AND(MAX(0, MIN($F$1, DATE(Initialisatie!$C$5,12,31)) - MAX($F$2, DATE(Initialisatie!$C$5,1,1)) + 1) &gt; 0, IFERROR(VALUE($F81),0)=0),
        AND(MAX(0, MIN($G$1, DATE(Initialisatie!$C$5,12,31)) - MAX($G$2, DATE(Initialisatie!$C$5,1,1)) + 1) &gt; 0, IFERROR(VALUE($G81),0)=0),
        AND(MAX(0, MIN($H$1, DATE(Initialisatie!$C$5,12,31)) - MAX($H$2, DATE(Initialisatie!$C$5,1,1)) + 1) &gt; 0, IFERROR(VALUE($H81),0)=0),
        AND(MAX(0, MIN($I$1, DATE(Initialisatie!$C$5,12,31)) - MAX($I$2, DATE(Initialisatie!$C$5,1,1)) + 1) &gt; 0, IFERROR(VALUE($I81),0)=0),
        AND(MAX(0, MIN($J$1, DATE(Initialisatie!$C$5,12,31)) - MAX($J$2, DATE(Initialisatie!$C$5,1,1)) + 1) &gt; 0, IFERROR(VALUE($J81),0)=0)
    ),
    0,
    SUM(
        IFERROR(VALUE($E81),0) * MAX(0, MIN($E$1, DATE(Initialisatie!$C$5,12,31)) - MAX($E$2, DATE(Initialisatie!$C$5,1,1)) + 1),
        IFERROR(VALUE($F81),0) * MAX(0, MIN($F$1, DATE(Initialisatie!$C$5,12,31)) - MAX($F$2, DATE(Initialisatie!$C$5,1,1)) + 1),
        IFERROR(VALUE($G81),0) * MAX(0, MIN($G$1, DATE(Initialisatie!$C$5,12,31)) - MAX($G$2, DATE(Initialisatie!$C$5,1,1)) + 1),
        IFERROR(VALUE($H81),0) * MAX(0, MIN($H$1, DATE(Initialisatie!$C$5,12,31)) - MAX($H$2, DATE(Initialisatie!$C$5,1,1)) + 1),
        IFERROR(VALUE($I81),0) * MAX(0, MIN($I$1, DATE(Initialisatie!$C$5,12,31)) - MAX($I$2, DATE(Initialisatie!$C$5,1,1)) + 1),
        IFERROR(VALUE($J81),0) * MAX(0, MIN($J$1, DATE(Initialisatie!$C$5,12,31)) - MAX($J$2, DATE(Initialisatie!$C$5,1,1)) + 1)
    ) / (DATE(Initialisatie!$C$5,12,31) - DATE(Initialisatie!$C$5,1,1) + 1)
)</f>
        <v>3524</v>
      </c>
    </row>
    <row r="82" spans="1:12" x14ac:dyDescent="0.45">
      <c r="A82" s="989"/>
      <c r="B82" s="35" t="s">
        <v>531</v>
      </c>
      <c r="C82" s="35" t="s">
        <v>531</v>
      </c>
      <c r="D82" s="35" t="s">
        <v>589</v>
      </c>
      <c r="E82">
        <v>2921</v>
      </c>
      <c r="F82">
        <v>2979</v>
      </c>
      <c r="G82">
        <v>3188</v>
      </c>
      <c r="H82">
        <v>3316</v>
      </c>
      <c r="I82">
        <v>3449</v>
      </c>
      <c r="L82">
        <f>IF(
    OR(
        AND(MAX(0, MIN($E$1, DATE(Initialisatie!$C$5,12,31)) - MAX($E$2, DATE(Initialisatie!$C$5,1,1)) + 1) &gt; 0, IFERROR(VALUE($E82),0)=0),
        AND(MAX(0, MIN($F$1, DATE(Initialisatie!$C$5,12,31)) - MAX($F$2, DATE(Initialisatie!$C$5,1,1)) + 1) &gt; 0, IFERROR(VALUE($F82),0)=0),
        AND(MAX(0, MIN($G$1, DATE(Initialisatie!$C$5,12,31)) - MAX($G$2, DATE(Initialisatie!$C$5,1,1)) + 1) &gt; 0, IFERROR(VALUE($G82),0)=0),
        AND(MAX(0, MIN($H$1, DATE(Initialisatie!$C$5,12,31)) - MAX($H$2, DATE(Initialisatie!$C$5,1,1)) + 1) &gt; 0, IFERROR(VALUE($H82),0)=0),
        AND(MAX(0, MIN($I$1, DATE(Initialisatie!$C$5,12,31)) - MAX($I$2, DATE(Initialisatie!$C$5,1,1)) + 1) &gt; 0, IFERROR(VALUE($I82),0)=0),
        AND(MAX(0, MIN($J$1, DATE(Initialisatie!$C$5,12,31)) - MAX($J$2, DATE(Initialisatie!$C$5,1,1)) + 1) &gt; 0, IFERROR(VALUE($J82),0)=0)
    ),
    0,
    SUM(
        IFERROR(VALUE($E82),0) * MAX(0, MIN($E$1, DATE(Initialisatie!$C$5,12,31)) - MAX($E$2, DATE(Initialisatie!$C$5,1,1)) + 1),
        IFERROR(VALUE($F82),0) * MAX(0, MIN($F$1, DATE(Initialisatie!$C$5,12,31)) - MAX($F$2, DATE(Initialisatie!$C$5,1,1)) + 1),
        IFERROR(VALUE($G82),0) * MAX(0, MIN($G$1, DATE(Initialisatie!$C$5,12,31)) - MAX($G$2, DATE(Initialisatie!$C$5,1,1)) + 1),
        IFERROR(VALUE($H82),0) * MAX(0, MIN($H$1, DATE(Initialisatie!$C$5,12,31)) - MAX($H$2, DATE(Initialisatie!$C$5,1,1)) + 1),
        IFERROR(VALUE($I82),0) * MAX(0, MIN($I$1, DATE(Initialisatie!$C$5,12,31)) - MAX($I$2, DATE(Initialisatie!$C$5,1,1)) + 1),
        IFERROR(VALUE($J82),0) * MAX(0, MIN($J$1, DATE(Initialisatie!$C$5,12,31)) - MAX($J$2, DATE(Initialisatie!$C$5,1,1)) + 1)
    ) / (DATE(Initialisatie!$C$5,12,31) - DATE(Initialisatie!$C$5,1,1) + 1)
)</f>
        <v>0</v>
      </c>
    </row>
    <row r="83" spans="1:12" x14ac:dyDescent="0.45">
      <c r="A83" s="989"/>
      <c r="B83" s="35" t="s">
        <v>533</v>
      </c>
      <c r="C83" s="35" t="s">
        <v>533</v>
      </c>
      <c r="D83" s="35" t="s">
        <v>590</v>
      </c>
      <c r="E83">
        <v>2985</v>
      </c>
      <c r="F83">
        <v>3045</v>
      </c>
      <c r="G83">
        <v>3258</v>
      </c>
      <c r="H83">
        <v>3388</v>
      </c>
      <c r="I83">
        <v>3524</v>
      </c>
      <c r="L83">
        <f>IF(
    OR(
        AND(MAX(0, MIN($E$1, DATE(Initialisatie!$C$5,12,31)) - MAX($E$2, DATE(Initialisatie!$C$5,1,1)) + 1) &gt; 0, IFERROR(VALUE($E83),0)=0),
        AND(MAX(0, MIN($F$1, DATE(Initialisatie!$C$5,12,31)) - MAX($F$2, DATE(Initialisatie!$C$5,1,1)) + 1) &gt; 0, IFERROR(VALUE($F83),0)=0),
        AND(MAX(0, MIN($G$1, DATE(Initialisatie!$C$5,12,31)) - MAX($G$2, DATE(Initialisatie!$C$5,1,1)) + 1) &gt; 0, IFERROR(VALUE($G83),0)=0),
        AND(MAX(0, MIN($H$1, DATE(Initialisatie!$C$5,12,31)) - MAX($H$2, DATE(Initialisatie!$C$5,1,1)) + 1) &gt; 0, IFERROR(VALUE($H83),0)=0),
        AND(MAX(0, MIN($I$1, DATE(Initialisatie!$C$5,12,31)) - MAX($I$2, DATE(Initialisatie!$C$5,1,1)) + 1) &gt; 0, IFERROR(VALUE($I83),0)=0),
        AND(MAX(0, MIN($J$1, DATE(Initialisatie!$C$5,12,31)) - MAX($J$2, DATE(Initialisatie!$C$5,1,1)) + 1) &gt; 0, IFERROR(VALUE($J83),0)=0)
    ),
    0,
    SUM(
        IFERROR(VALUE($E83),0) * MAX(0, MIN($E$1, DATE(Initialisatie!$C$5,12,31)) - MAX($E$2, DATE(Initialisatie!$C$5,1,1)) + 1),
        IFERROR(VALUE($F83),0) * MAX(0, MIN($F$1, DATE(Initialisatie!$C$5,12,31)) - MAX($F$2, DATE(Initialisatie!$C$5,1,1)) + 1),
        IFERROR(VALUE($G83),0) * MAX(0, MIN($G$1, DATE(Initialisatie!$C$5,12,31)) - MAX($G$2, DATE(Initialisatie!$C$5,1,1)) + 1),
        IFERROR(VALUE($H83),0) * MAX(0, MIN($H$1, DATE(Initialisatie!$C$5,12,31)) - MAX($H$2, DATE(Initialisatie!$C$5,1,1)) + 1),
        IFERROR(VALUE($I83),0) * MAX(0, MIN($I$1, DATE(Initialisatie!$C$5,12,31)) - MAX($I$2, DATE(Initialisatie!$C$5,1,1)) + 1),
        IFERROR(VALUE($J83),0) * MAX(0, MIN($J$1, DATE(Initialisatie!$C$5,12,31)) - MAX($J$2, DATE(Initialisatie!$C$5,1,1)) + 1)
    ) / (DATE(Initialisatie!$C$5,12,31) - DATE(Initialisatie!$C$5,1,1) + 1)
)</f>
        <v>0</v>
      </c>
    </row>
    <row r="84" spans="1:12" x14ac:dyDescent="0.45">
      <c r="A84" s="989"/>
      <c r="B84" s="35" t="s">
        <v>535</v>
      </c>
      <c r="C84" s="35" t="s">
        <v>535</v>
      </c>
      <c r="D84" s="35" t="s">
        <v>591</v>
      </c>
      <c r="E84">
        <v>2921</v>
      </c>
      <c r="F84">
        <v>2979</v>
      </c>
      <c r="G84">
        <v>3188</v>
      </c>
      <c r="H84">
        <v>3316</v>
      </c>
      <c r="I84">
        <v>3449</v>
      </c>
      <c r="J84">
        <v>3449</v>
      </c>
      <c r="L84">
        <f>IF(
    OR(
        AND(MAX(0, MIN($E$1, DATE(Initialisatie!$C$5,12,31)) - MAX($E$2, DATE(Initialisatie!$C$5,1,1)) + 1) &gt; 0, IFERROR(VALUE($E84),0)=0),
        AND(MAX(0, MIN($F$1, DATE(Initialisatie!$C$5,12,31)) - MAX($F$2, DATE(Initialisatie!$C$5,1,1)) + 1) &gt; 0, IFERROR(VALUE($F84),0)=0),
        AND(MAX(0, MIN($G$1, DATE(Initialisatie!$C$5,12,31)) - MAX($G$2, DATE(Initialisatie!$C$5,1,1)) + 1) &gt; 0, IFERROR(VALUE($G84),0)=0),
        AND(MAX(0, MIN($H$1, DATE(Initialisatie!$C$5,12,31)) - MAX($H$2, DATE(Initialisatie!$C$5,1,1)) + 1) &gt; 0, IFERROR(VALUE($H84),0)=0),
        AND(MAX(0, MIN($I$1, DATE(Initialisatie!$C$5,12,31)) - MAX($I$2, DATE(Initialisatie!$C$5,1,1)) + 1) &gt; 0, IFERROR(VALUE($I84),0)=0),
        AND(MAX(0, MIN($J$1, DATE(Initialisatie!$C$5,12,31)) - MAX($J$2, DATE(Initialisatie!$C$5,1,1)) + 1) &gt; 0, IFERROR(VALUE($J84),0)=0)
    ),
    0,
    SUM(
        IFERROR(VALUE($E84),0) * MAX(0, MIN($E$1, DATE(Initialisatie!$C$5,12,31)) - MAX($E$2, DATE(Initialisatie!$C$5,1,1)) + 1),
        IFERROR(VALUE($F84),0) * MAX(0, MIN($F$1, DATE(Initialisatie!$C$5,12,31)) - MAX($F$2, DATE(Initialisatie!$C$5,1,1)) + 1),
        IFERROR(VALUE($G84),0) * MAX(0, MIN($G$1, DATE(Initialisatie!$C$5,12,31)) - MAX($G$2, DATE(Initialisatie!$C$5,1,1)) + 1),
        IFERROR(VALUE($H84),0) * MAX(0, MIN($H$1, DATE(Initialisatie!$C$5,12,31)) - MAX($H$2, DATE(Initialisatie!$C$5,1,1)) + 1),
        IFERROR(VALUE($I84),0) * MAX(0, MIN($I$1, DATE(Initialisatie!$C$5,12,31)) - MAX($I$2, DATE(Initialisatie!$C$5,1,1)) + 1),
        IFERROR(VALUE($J84),0) * MAX(0, MIN($J$1, DATE(Initialisatie!$C$5,12,31)) - MAX($J$2, DATE(Initialisatie!$C$5,1,1)) + 1)
    ) / (DATE(Initialisatie!$C$5,12,31) - DATE(Initialisatie!$C$5,1,1) + 1)
)</f>
        <v>3449</v>
      </c>
    </row>
    <row r="85" spans="1:12" x14ac:dyDescent="0.45">
      <c r="A85" s="989"/>
      <c r="B85" s="35" t="s">
        <v>537</v>
      </c>
      <c r="C85" s="35" t="s">
        <v>537</v>
      </c>
      <c r="D85" s="35" t="s">
        <v>592</v>
      </c>
      <c r="E85">
        <v>2985</v>
      </c>
      <c r="F85">
        <v>3045</v>
      </c>
      <c r="G85">
        <v>3258</v>
      </c>
      <c r="H85">
        <v>3388</v>
      </c>
      <c r="I85">
        <v>3524</v>
      </c>
      <c r="J85">
        <v>3524</v>
      </c>
      <c r="L85">
        <f>IF(
    OR(
        AND(MAX(0, MIN($E$1, DATE(Initialisatie!$C$5,12,31)) - MAX($E$2, DATE(Initialisatie!$C$5,1,1)) + 1) &gt; 0, IFERROR(VALUE($E85),0)=0),
        AND(MAX(0, MIN($F$1, DATE(Initialisatie!$C$5,12,31)) - MAX($F$2, DATE(Initialisatie!$C$5,1,1)) + 1) &gt; 0, IFERROR(VALUE($F85),0)=0),
        AND(MAX(0, MIN($G$1, DATE(Initialisatie!$C$5,12,31)) - MAX($G$2, DATE(Initialisatie!$C$5,1,1)) + 1) &gt; 0, IFERROR(VALUE($G85),0)=0),
        AND(MAX(0, MIN($H$1, DATE(Initialisatie!$C$5,12,31)) - MAX($H$2, DATE(Initialisatie!$C$5,1,1)) + 1) &gt; 0, IFERROR(VALUE($H85),0)=0),
        AND(MAX(0, MIN($I$1, DATE(Initialisatie!$C$5,12,31)) - MAX($I$2, DATE(Initialisatie!$C$5,1,1)) + 1) &gt; 0, IFERROR(VALUE($I85),0)=0),
        AND(MAX(0, MIN($J$1, DATE(Initialisatie!$C$5,12,31)) - MAX($J$2, DATE(Initialisatie!$C$5,1,1)) + 1) &gt; 0, IFERROR(VALUE($J85),0)=0)
    ),
    0,
    SUM(
        IFERROR(VALUE($E85),0) * MAX(0, MIN($E$1, DATE(Initialisatie!$C$5,12,31)) - MAX($E$2, DATE(Initialisatie!$C$5,1,1)) + 1),
        IFERROR(VALUE($F85),0) * MAX(0, MIN($F$1, DATE(Initialisatie!$C$5,12,31)) - MAX($F$2, DATE(Initialisatie!$C$5,1,1)) + 1),
        IFERROR(VALUE($G85),0) * MAX(0, MIN($G$1, DATE(Initialisatie!$C$5,12,31)) - MAX($G$2, DATE(Initialisatie!$C$5,1,1)) + 1),
        IFERROR(VALUE($H85),0) * MAX(0, MIN($H$1, DATE(Initialisatie!$C$5,12,31)) - MAX($H$2, DATE(Initialisatie!$C$5,1,1)) + 1),
        IFERROR(VALUE($I85),0) * MAX(0, MIN($I$1, DATE(Initialisatie!$C$5,12,31)) - MAX($I$2, DATE(Initialisatie!$C$5,1,1)) + 1),
        IFERROR(VALUE($J85),0) * MAX(0, MIN($J$1, DATE(Initialisatie!$C$5,12,31)) - MAX($J$2, DATE(Initialisatie!$C$5,1,1)) + 1)
    ) / (DATE(Initialisatie!$C$5,12,31) - DATE(Initialisatie!$C$5,1,1) + 1)
)</f>
        <v>3524</v>
      </c>
    </row>
    <row r="86" spans="1:12" x14ac:dyDescent="0.45">
      <c r="A86" s="989"/>
      <c r="B86" s="35" t="s">
        <v>539</v>
      </c>
      <c r="C86" s="35" t="s">
        <v>539</v>
      </c>
      <c r="D86" s="35" t="s">
        <v>593</v>
      </c>
      <c r="E86">
        <v>3043</v>
      </c>
      <c r="F86">
        <v>3104</v>
      </c>
      <c r="G86">
        <v>3321</v>
      </c>
      <c r="H86">
        <v>3454</v>
      </c>
      <c r="I86">
        <v>3592</v>
      </c>
      <c r="J86">
        <v>3592</v>
      </c>
      <c r="L86">
        <f>IF(
    OR(
        AND(MAX(0, MIN($E$1, DATE(Initialisatie!$C$5,12,31)) - MAX($E$2, DATE(Initialisatie!$C$5,1,1)) + 1) &gt; 0, IFERROR(VALUE($E86),0)=0),
        AND(MAX(0, MIN($F$1, DATE(Initialisatie!$C$5,12,31)) - MAX($F$2, DATE(Initialisatie!$C$5,1,1)) + 1) &gt; 0, IFERROR(VALUE($F86),0)=0),
        AND(MAX(0, MIN($G$1, DATE(Initialisatie!$C$5,12,31)) - MAX($G$2, DATE(Initialisatie!$C$5,1,1)) + 1) &gt; 0, IFERROR(VALUE($G86),0)=0),
        AND(MAX(0, MIN($H$1, DATE(Initialisatie!$C$5,12,31)) - MAX($H$2, DATE(Initialisatie!$C$5,1,1)) + 1) &gt; 0, IFERROR(VALUE($H86),0)=0),
        AND(MAX(0, MIN($I$1, DATE(Initialisatie!$C$5,12,31)) - MAX($I$2, DATE(Initialisatie!$C$5,1,1)) + 1) &gt; 0, IFERROR(VALUE($I86),0)=0),
        AND(MAX(0, MIN($J$1, DATE(Initialisatie!$C$5,12,31)) - MAX($J$2, DATE(Initialisatie!$C$5,1,1)) + 1) &gt; 0, IFERROR(VALUE($J86),0)=0)
    ),
    0,
    SUM(
        IFERROR(VALUE($E86),0) * MAX(0, MIN($E$1, DATE(Initialisatie!$C$5,12,31)) - MAX($E$2, DATE(Initialisatie!$C$5,1,1)) + 1),
        IFERROR(VALUE($F86),0) * MAX(0, MIN($F$1, DATE(Initialisatie!$C$5,12,31)) - MAX($F$2, DATE(Initialisatie!$C$5,1,1)) + 1),
        IFERROR(VALUE($G86),0) * MAX(0, MIN($G$1, DATE(Initialisatie!$C$5,12,31)) - MAX($G$2, DATE(Initialisatie!$C$5,1,1)) + 1),
        IFERROR(VALUE($H86),0) * MAX(0, MIN($H$1, DATE(Initialisatie!$C$5,12,31)) - MAX($H$2, DATE(Initialisatie!$C$5,1,1)) + 1),
        IFERROR(VALUE($I86),0) * MAX(0, MIN($I$1, DATE(Initialisatie!$C$5,12,31)) - MAX($I$2, DATE(Initialisatie!$C$5,1,1)) + 1),
        IFERROR(VALUE($J86),0) * MAX(0, MIN($J$1, DATE(Initialisatie!$C$5,12,31)) - MAX($J$2, DATE(Initialisatie!$C$5,1,1)) + 1)
    ) / (DATE(Initialisatie!$C$5,12,31) - DATE(Initialisatie!$C$5,1,1) + 1)
)</f>
        <v>3592</v>
      </c>
    </row>
    <row r="87" spans="1:12" x14ac:dyDescent="0.45">
      <c r="A87" s="989"/>
      <c r="B87" s="35" t="s">
        <v>541</v>
      </c>
      <c r="C87" s="35" t="s">
        <v>541</v>
      </c>
      <c r="D87" s="35" t="s">
        <v>594</v>
      </c>
      <c r="E87">
        <v>3158</v>
      </c>
      <c r="F87">
        <v>3221</v>
      </c>
      <c r="G87">
        <v>3446</v>
      </c>
      <c r="H87">
        <v>3584</v>
      </c>
      <c r="I87">
        <v>3727</v>
      </c>
      <c r="J87">
        <v>3727</v>
      </c>
      <c r="L87">
        <f>IF(
    OR(
        AND(MAX(0, MIN($E$1, DATE(Initialisatie!$C$5,12,31)) - MAX($E$2, DATE(Initialisatie!$C$5,1,1)) + 1) &gt; 0, IFERROR(VALUE($E87),0)=0),
        AND(MAX(0, MIN($F$1, DATE(Initialisatie!$C$5,12,31)) - MAX($F$2, DATE(Initialisatie!$C$5,1,1)) + 1) &gt; 0, IFERROR(VALUE($F87),0)=0),
        AND(MAX(0, MIN($G$1, DATE(Initialisatie!$C$5,12,31)) - MAX($G$2, DATE(Initialisatie!$C$5,1,1)) + 1) &gt; 0, IFERROR(VALUE($G87),0)=0),
        AND(MAX(0, MIN($H$1, DATE(Initialisatie!$C$5,12,31)) - MAX($H$2, DATE(Initialisatie!$C$5,1,1)) + 1) &gt; 0, IFERROR(VALUE($H87),0)=0),
        AND(MAX(0, MIN($I$1, DATE(Initialisatie!$C$5,12,31)) - MAX($I$2, DATE(Initialisatie!$C$5,1,1)) + 1) &gt; 0, IFERROR(VALUE($I87),0)=0),
        AND(MAX(0, MIN($J$1, DATE(Initialisatie!$C$5,12,31)) - MAX($J$2, DATE(Initialisatie!$C$5,1,1)) + 1) &gt; 0, IFERROR(VALUE($J87),0)=0)
    ),
    0,
    SUM(
        IFERROR(VALUE($E87),0) * MAX(0, MIN($E$1, DATE(Initialisatie!$C$5,12,31)) - MAX($E$2, DATE(Initialisatie!$C$5,1,1)) + 1),
        IFERROR(VALUE($F87),0) * MAX(0, MIN($F$1, DATE(Initialisatie!$C$5,12,31)) - MAX($F$2, DATE(Initialisatie!$C$5,1,1)) + 1),
        IFERROR(VALUE($G87),0) * MAX(0, MIN($G$1, DATE(Initialisatie!$C$5,12,31)) - MAX($G$2, DATE(Initialisatie!$C$5,1,1)) + 1),
        IFERROR(VALUE($H87),0) * MAX(0, MIN($H$1, DATE(Initialisatie!$C$5,12,31)) - MAX($H$2, DATE(Initialisatie!$C$5,1,1)) + 1),
        IFERROR(VALUE($I87),0) * MAX(0, MIN($I$1, DATE(Initialisatie!$C$5,12,31)) - MAX($I$2, DATE(Initialisatie!$C$5,1,1)) + 1),
        IFERROR(VALUE($J87),0) * MAX(0, MIN($J$1, DATE(Initialisatie!$C$5,12,31)) - MAX($J$2, DATE(Initialisatie!$C$5,1,1)) + 1)
    ) / (DATE(Initialisatie!$C$5,12,31) - DATE(Initialisatie!$C$5,1,1) + 1)
)</f>
        <v>3727</v>
      </c>
    </row>
    <row r="88" spans="1:12" x14ac:dyDescent="0.45">
      <c r="A88" s="990"/>
      <c r="B88" s="35" t="s">
        <v>543</v>
      </c>
      <c r="C88" s="35" t="s">
        <v>543</v>
      </c>
      <c r="D88" s="35" t="s">
        <v>595</v>
      </c>
      <c r="E88">
        <v>3233</v>
      </c>
      <c r="F88">
        <v>3298</v>
      </c>
      <c r="G88">
        <v>3529</v>
      </c>
      <c r="H88">
        <v>3670</v>
      </c>
      <c r="I88">
        <v>3817</v>
      </c>
      <c r="J88">
        <v>3817</v>
      </c>
      <c r="L88">
        <f>IF(
    OR(
        AND(MAX(0, MIN($E$1, DATE(Initialisatie!$C$5,12,31)) - MAX($E$2, DATE(Initialisatie!$C$5,1,1)) + 1) &gt; 0, IFERROR(VALUE($E88),0)=0),
        AND(MAX(0, MIN($F$1, DATE(Initialisatie!$C$5,12,31)) - MAX($F$2, DATE(Initialisatie!$C$5,1,1)) + 1) &gt; 0, IFERROR(VALUE($F88),0)=0),
        AND(MAX(0, MIN($G$1, DATE(Initialisatie!$C$5,12,31)) - MAX($G$2, DATE(Initialisatie!$C$5,1,1)) + 1) &gt; 0, IFERROR(VALUE($G88),0)=0),
        AND(MAX(0, MIN($H$1, DATE(Initialisatie!$C$5,12,31)) - MAX($H$2, DATE(Initialisatie!$C$5,1,1)) + 1) &gt; 0, IFERROR(VALUE($H88),0)=0),
        AND(MAX(0, MIN($I$1, DATE(Initialisatie!$C$5,12,31)) - MAX($I$2, DATE(Initialisatie!$C$5,1,1)) + 1) &gt; 0, IFERROR(VALUE($I88),0)=0),
        AND(MAX(0, MIN($J$1, DATE(Initialisatie!$C$5,12,31)) - MAX($J$2, DATE(Initialisatie!$C$5,1,1)) + 1) &gt; 0, IFERROR(VALUE($J88),0)=0)
    ),
    0,
    SUM(
        IFERROR(VALUE($E88),0) * MAX(0, MIN($E$1, DATE(Initialisatie!$C$5,12,31)) - MAX($E$2, DATE(Initialisatie!$C$5,1,1)) + 1),
        IFERROR(VALUE($F88),0) * MAX(0, MIN($F$1, DATE(Initialisatie!$C$5,12,31)) - MAX($F$2, DATE(Initialisatie!$C$5,1,1)) + 1),
        IFERROR(VALUE($G88),0) * MAX(0, MIN($G$1, DATE(Initialisatie!$C$5,12,31)) - MAX($G$2, DATE(Initialisatie!$C$5,1,1)) + 1),
        IFERROR(VALUE($H88),0) * MAX(0, MIN($H$1, DATE(Initialisatie!$C$5,12,31)) - MAX($H$2, DATE(Initialisatie!$C$5,1,1)) + 1),
        IFERROR(VALUE($I88),0) * MAX(0, MIN($I$1, DATE(Initialisatie!$C$5,12,31)) - MAX($I$2, DATE(Initialisatie!$C$5,1,1)) + 1),
        IFERROR(VALUE($J88),0) * MAX(0, MIN($J$1, DATE(Initialisatie!$C$5,12,31)) - MAX($J$2, DATE(Initialisatie!$C$5,1,1)) + 1)
    ) / (DATE(Initialisatie!$C$5,12,31) - DATE(Initialisatie!$C$5,1,1) + 1)
)</f>
        <v>3817</v>
      </c>
    </row>
    <row r="89" spans="1:12" x14ac:dyDescent="0.45">
      <c r="A89" s="988">
        <v>5</v>
      </c>
      <c r="B89" s="35" t="s">
        <v>517</v>
      </c>
      <c r="C89" s="35" t="s">
        <v>517</v>
      </c>
      <c r="D89" s="35" t="s">
        <v>596</v>
      </c>
      <c r="E89">
        <v>2137</v>
      </c>
      <c r="F89">
        <v>2180</v>
      </c>
      <c r="G89">
        <v>2333</v>
      </c>
      <c r="H89">
        <v>2426</v>
      </c>
      <c r="I89">
        <v>2523</v>
      </c>
      <c r="J89">
        <v>2523</v>
      </c>
      <c r="L89">
        <f>IF(
    OR(
        AND(MAX(0, MIN($E$1, DATE(Initialisatie!$C$5,12,31)) - MAX($E$2, DATE(Initialisatie!$C$5,1,1)) + 1) &gt; 0, IFERROR(VALUE($E89),0)=0),
        AND(MAX(0, MIN($F$1, DATE(Initialisatie!$C$5,12,31)) - MAX($F$2, DATE(Initialisatie!$C$5,1,1)) + 1) &gt; 0, IFERROR(VALUE($F89),0)=0),
        AND(MAX(0, MIN($G$1, DATE(Initialisatie!$C$5,12,31)) - MAX($G$2, DATE(Initialisatie!$C$5,1,1)) + 1) &gt; 0, IFERROR(VALUE($G89),0)=0),
        AND(MAX(0, MIN($H$1, DATE(Initialisatie!$C$5,12,31)) - MAX($H$2, DATE(Initialisatie!$C$5,1,1)) + 1) &gt; 0, IFERROR(VALUE($H89),0)=0),
        AND(MAX(0, MIN($I$1, DATE(Initialisatie!$C$5,12,31)) - MAX($I$2, DATE(Initialisatie!$C$5,1,1)) + 1) &gt; 0, IFERROR(VALUE($I89),0)=0),
        AND(MAX(0, MIN($J$1, DATE(Initialisatie!$C$5,12,31)) - MAX($J$2, DATE(Initialisatie!$C$5,1,1)) + 1) &gt; 0, IFERROR(VALUE($J89),0)=0)
    ),
    0,
    SUM(
        IFERROR(VALUE($E89),0) * MAX(0, MIN($E$1, DATE(Initialisatie!$C$5,12,31)) - MAX($E$2, DATE(Initialisatie!$C$5,1,1)) + 1),
        IFERROR(VALUE($F89),0) * MAX(0, MIN($F$1, DATE(Initialisatie!$C$5,12,31)) - MAX($F$2, DATE(Initialisatie!$C$5,1,1)) + 1),
        IFERROR(VALUE($G89),0) * MAX(0, MIN($G$1, DATE(Initialisatie!$C$5,12,31)) - MAX($G$2, DATE(Initialisatie!$C$5,1,1)) + 1),
        IFERROR(VALUE($H89),0) * MAX(0, MIN($H$1, DATE(Initialisatie!$C$5,12,31)) - MAX($H$2, DATE(Initialisatie!$C$5,1,1)) + 1),
        IFERROR(VALUE($I89),0) * MAX(0, MIN($I$1, DATE(Initialisatie!$C$5,12,31)) - MAX($I$2, DATE(Initialisatie!$C$5,1,1)) + 1),
        IFERROR(VALUE($J89),0) * MAX(0, MIN($J$1, DATE(Initialisatie!$C$5,12,31)) - MAX($J$2, DATE(Initialisatie!$C$5,1,1)) + 1)
    ) / (DATE(Initialisatie!$C$5,12,31) - DATE(Initialisatie!$C$5,1,1) + 1)
)</f>
        <v>2523</v>
      </c>
    </row>
    <row r="90" spans="1:12" x14ac:dyDescent="0.45">
      <c r="A90" s="989"/>
      <c r="B90" s="35">
        <v>0</v>
      </c>
      <c r="C90" s="35">
        <v>0</v>
      </c>
      <c r="D90" s="35" t="s">
        <v>273</v>
      </c>
      <c r="E90">
        <v>2181</v>
      </c>
      <c r="F90">
        <v>2225</v>
      </c>
      <c r="G90">
        <v>2381</v>
      </c>
      <c r="H90">
        <v>2476</v>
      </c>
      <c r="I90">
        <v>2575</v>
      </c>
      <c r="J90">
        <v>2575</v>
      </c>
      <c r="L90">
        <f>IF(
    OR(
        AND(MAX(0, MIN($E$1, DATE(Initialisatie!$C$5,12,31)) - MAX($E$2, DATE(Initialisatie!$C$5,1,1)) + 1) &gt; 0, IFERROR(VALUE($E90),0)=0),
        AND(MAX(0, MIN($F$1, DATE(Initialisatie!$C$5,12,31)) - MAX($F$2, DATE(Initialisatie!$C$5,1,1)) + 1) &gt; 0, IFERROR(VALUE($F90),0)=0),
        AND(MAX(0, MIN($G$1, DATE(Initialisatie!$C$5,12,31)) - MAX($G$2, DATE(Initialisatie!$C$5,1,1)) + 1) &gt; 0, IFERROR(VALUE($G90),0)=0),
        AND(MAX(0, MIN($H$1, DATE(Initialisatie!$C$5,12,31)) - MAX($H$2, DATE(Initialisatie!$C$5,1,1)) + 1) &gt; 0, IFERROR(VALUE($H90),0)=0),
        AND(MAX(0, MIN($I$1, DATE(Initialisatie!$C$5,12,31)) - MAX($I$2, DATE(Initialisatie!$C$5,1,1)) + 1) &gt; 0, IFERROR(VALUE($I90),0)=0),
        AND(MAX(0, MIN($J$1, DATE(Initialisatie!$C$5,12,31)) - MAX($J$2, DATE(Initialisatie!$C$5,1,1)) + 1) &gt; 0, IFERROR(VALUE($J90),0)=0)
    ),
    0,
    SUM(
        IFERROR(VALUE($E90),0) * MAX(0, MIN($E$1, DATE(Initialisatie!$C$5,12,31)) - MAX($E$2, DATE(Initialisatie!$C$5,1,1)) + 1),
        IFERROR(VALUE($F90),0) * MAX(0, MIN($F$1, DATE(Initialisatie!$C$5,12,31)) - MAX($F$2, DATE(Initialisatie!$C$5,1,1)) + 1),
        IFERROR(VALUE($G90),0) * MAX(0, MIN($G$1, DATE(Initialisatie!$C$5,12,31)) - MAX($G$2, DATE(Initialisatie!$C$5,1,1)) + 1),
        IFERROR(VALUE($H90),0) * MAX(0, MIN($H$1, DATE(Initialisatie!$C$5,12,31)) - MAX($H$2, DATE(Initialisatie!$C$5,1,1)) + 1),
        IFERROR(VALUE($I90),0) * MAX(0, MIN($I$1, DATE(Initialisatie!$C$5,12,31)) - MAX($I$2, DATE(Initialisatie!$C$5,1,1)) + 1),
        IFERROR(VALUE($J90),0) * MAX(0, MIN($J$1, DATE(Initialisatie!$C$5,12,31)) - MAX($J$2, DATE(Initialisatie!$C$5,1,1)) + 1)
    ) / (DATE(Initialisatie!$C$5,12,31) - DATE(Initialisatie!$C$5,1,1) + 1)
)</f>
        <v>2575</v>
      </c>
    </row>
    <row r="91" spans="1:12" x14ac:dyDescent="0.45">
      <c r="A91" s="989"/>
      <c r="B91" s="35">
        <v>1</v>
      </c>
      <c r="C91" s="35">
        <v>1</v>
      </c>
      <c r="D91" s="35" t="s">
        <v>272</v>
      </c>
      <c r="E91">
        <v>2236</v>
      </c>
      <c r="F91">
        <v>2281</v>
      </c>
      <c r="G91">
        <v>2441</v>
      </c>
      <c r="H91">
        <v>2539</v>
      </c>
      <c r="I91">
        <v>2641</v>
      </c>
      <c r="J91">
        <v>2641</v>
      </c>
      <c r="L91">
        <f>IF(
    OR(
        AND(MAX(0, MIN($E$1, DATE(Initialisatie!$C$5,12,31)) - MAX($E$2, DATE(Initialisatie!$C$5,1,1)) + 1) &gt; 0, IFERROR(VALUE($E91),0)=0),
        AND(MAX(0, MIN($F$1, DATE(Initialisatie!$C$5,12,31)) - MAX($F$2, DATE(Initialisatie!$C$5,1,1)) + 1) &gt; 0, IFERROR(VALUE($F91),0)=0),
        AND(MAX(0, MIN($G$1, DATE(Initialisatie!$C$5,12,31)) - MAX($G$2, DATE(Initialisatie!$C$5,1,1)) + 1) &gt; 0, IFERROR(VALUE($G91),0)=0),
        AND(MAX(0, MIN($H$1, DATE(Initialisatie!$C$5,12,31)) - MAX($H$2, DATE(Initialisatie!$C$5,1,1)) + 1) &gt; 0, IFERROR(VALUE($H91),0)=0),
        AND(MAX(0, MIN($I$1, DATE(Initialisatie!$C$5,12,31)) - MAX($I$2, DATE(Initialisatie!$C$5,1,1)) + 1) &gt; 0, IFERROR(VALUE($I91),0)=0),
        AND(MAX(0, MIN($J$1, DATE(Initialisatie!$C$5,12,31)) - MAX($J$2, DATE(Initialisatie!$C$5,1,1)) + 1) &gt; 0, IFERROR(VALUE($J91),0)=0)
    ),
    0,
    SUM(
        IFERROR(VALUE($E91),0) * MAX(0, MIN($E$1, DATE(Initialisatie!$C$5,12,31)) - MAX($E$2, DATE(Initialisatie!$C$5,1,1)) + 1),
        IFERROR(VALUE($F91),0) * MAX(0, MIN($F$1, DATE(Initialisatie!$C$5,12,31)) - MAX($F$2, DATE(Initialisatie!$C$5,1,1)) + 1),
        IFERROR(VALUE($G91),0) * MAX(0, MIN($G$1, DATE(Initialisatie!$C$5,12,31)) - MAX($G$2, DATE(Initialisatie!$C$5,1,1)) + 1),
        IFERROR(VALUE($H91),0) * MAX(0, MIN($H$1, DATE(Initialisatie!$C$5,12,31)) - MAX($H$2, DATE(Initialisatie!$C$5,1,1)) + 1),
        IFERROR(VALUE($I91),0) * MAX(0, MIN($I$1, DATE(Initialisatie!$C$5,12,31)) - MAX($I$2, DATE(Initialisatie!$C$5,1,1)) + 1),
        IFERROR(VALUE($J91),0) * MAX(0, MIN($J$1, DATE(Initialisatie!$C$5,12,31)) - MAX($J$2, DATE(Initialisatie!$C$5,1,1)) + 1)
    ) / (DATE(Initialisatie!$C$5,12,31) - DATE(Initialisatie!$C$5,1,1) + 1)
)</f>
        <v>2641</v>
      </c>
    </row>
    <row r="92" spans="1:12" x14ac:dyDescent="0.45">
      <c r="A92" s="989"/>
      <c r="B92" s="35">
        <v>2</v>
      </c>
      <c r="C92" s="35">
        <v>2</v>
      </c>
      <c r="D92" s="35" t="s">
        <v>267</v>
      </c>
      <c r="E92">
        <v>2288</v>
      </c>
      <c r="F92">
        <v>2334</v>
      </c>
      <c r="G92">
        <v>2497</v>
      </c>
      <c r="H92">
        <v>2597</v>
      </c>
      <c r="I92">
        <v>2701</v>
      </c>
      <c r="J92">
        <v>2701</v>
      </c>
      <c r="L92">
        <f>IF(
    OR(
        AND(MAX(0, MIN($E$1, DATE(Initialisatie!$C$5,12,31)) - MAX($E$2, DATE(Initialisatie!$C$5,1,1)) + 1) &gt; 0, IFERROR(VALUE($E92),0)=0),
        AND(MAX(0, MIN($F$1, DATE(Initialisatie!$C$5,12,31)) - MAX($F$2, DATE(Initialisatie!$C$5,1,1)) + 1) &gt; 0, IFERROR(VALUE($F92),0)=0),
        AND(MAX(0, MIN($G$1, DATE(Initialisatie!$C$5,12,31)) - MAX($G$2, DATE(Initialisatie!$C$5,1,1)) + 1) &gt; 0, IFERROR(VALUE($G92),0)=0),
        AND(MAX(0, MIN($H$1, DATE(Initialisatie!$C$5,12,31)) - MAX($H$2, DATE(Initialisatie!$C$5,1,1)) + 1) &gt; 0, IFERROR(VALUE($H92),0)=0),
        AND(MAX(0, MIN($I$1, DATE(Initialisatie!$C$5,12,31)) - MAX($I$2, DATE(Initialisatie!$C$5,1,1)) + 1) &gt; 0, IFERROR(VALUE($I92),0)=0),
        AND(MAX(0, MIN($J$1, DATE(Initialisatie!$C$5,12,31)) - MAX($J$2, DATE(Initialisatie!$C$5,1,1)) + 1) &gt; 0, IFERROR(VALUE($J92),0)=0)
    ),
    0,
    SUM(
        IFERROR(VALUE($E92),0) * MAX(0, MIN($E$1, DATE(Initialisatie!$C$5,12,31)) - MAX($E$2, DATE(Initialisatie!$C$5,1,1)) + 1),
        IFERROR(VALUE($F92),0) * MAX(0, MIN($F$1, DATE(Initialisatie!$C$5,12,31)) - MAX($F$2, DATE(Initialisatie!$C$5,1,1)) + 1),
        IFERROR(VALUE($G92),0) * MAX(0, MIN($G$1, DATE(Initialisatie!$C$5,12,31)) - MAX($G$2, DATE(Initialisatie!$C$5,1,1)) + 1),
        IFERROR(VALUE($H92),0) * MAX(0, MIN($H$1, DATE(Initialisatie!$C$5,12,31)) - MAX($H$2, DATE(Initialisatie!$C$5,1,1)) + 1),
        IFERROR(VALUE($I92),0) * MAX(0, MIN($I$1, DATE(Initialisatie!$C$5,12,31)) - MAX($I$2, DATE(Initialisatie!$C$5,1,1)) + 1),
        IFERROR(VALUE($J92),0) * MAX(0, MIN($J$1, DATE(Initialisatie!$C$5,12,31)) - MAX($J$2, DATE(Initialisatie!$C$5,1,1)) + 1)
    ) / (DATE(Initialisatie!$C$5,12,31) - DATE(Initialisatie!$C$5,1,1) + 1)
)</f>
        <v>2701</v>
      </c>
    </row>
    <row r="93" spans="1:12" x14ac:dyDescent="0.45">
      <c r="A93" s="989"/>
      <c r="B93" s="35">
        <v>3</v>
      </c>
      <c r="C93" s="35">
        <v>3</v>
      </c>
      <c r="D93" s="35" t="s">
        <v>266</v>
      </c>
      <c r="E93">
        <v>2345</v>
      </c>
      <c r="F93">
        <v>2392</v>
      </c>
      <c r="G93">
        <v>2559</v>
      </c>
      <c r="H93">
        <v>2661</v>
      </c>
      <c r="I93">
        <v>2767</v>
      </c>
      <c r="J93">
        <v>2767</v>
      </c>
      <c r="L93">
        <f>IF(
    OR(
        AND(MAX(0, MIN($E$1, DATE(Initialisatie!$C$5,12,31)) - MAX($E$2, DATE(Initialisatie!$C$5,1,1)) + 1) &gt; 0, IFERROR(VALUE($E93),0)=0),
        AND(MAX(0, MIN($F$1, DATE(Initialisatie!$C$5,12,31)) - MAX($F$2, DATE(Initialisatie!$C$5,1,1)) + 1) &gt; 0, IFERROR(VALUE($F93),0)=0),
        AND(MAX(0, MIN($G$1, DATE(Initialisatie!$C$5,12,31)) - MAX($G$2, DATE(Initialisatie!$C$5,1,1)) + 1) &gt; 0, IFERROR(VALUE($G93),0)=0),
        AND(MAX(0, MIN($H$1, DATE(Initialisatie!$C$5,12,31)) - MAX($H$2, DATE(Initialisatie!$C$5,1,1)) + 1) &gt; 0, IFERROR(VALUE($H93),0)=0),
        AND(MAX(0, MIN($I$1, DATE(Initialisatie!$C$5,12,31)) - MAX($I$2, DATE(Initialisatie!$C$5,1,1)) + 1) &gt; 0, IFERROR(VALUE($I93),0)=0),
        AND(MAX(0, MIN($J$1, DATE(Initialisatie!$C$5,12,31)) - MAX($J$2, DATE(Initialisatie!$C$5,1,1)) + 1) &gt; 0, IFERROR(VALUE($J93),0)=0)
    ),
    0,
    SUM(
        IFERROR(VALUE($E93),0) * MAX(0, MIN($E$1, DATE(Initialisatie!$C$5,12,31)) - MAX($E$2, DATE(Initialisatie!$C$5,1,1)) + 1),
        IFERROR(VALUE($F93),0) * MAX(0, MIN($F$1, DATE(Initialisatie!$C$5,12,31)) - MAX($F$2, DATE(Initialisatie!$C$5,1,1)) + 1),
        IFERROR(VALUE($G93),0) * MAX(0, MIN($G$1, DATE(Initialisatie!$C$5,12,31)) - MAX($G$2, DATE(Initialisatie!$C$5,1,1)) + 1),
        IFERROR(VALUE($H93),0) * MAX(0, MIN($H$1, DATE(Initialisatie!$C$5,12,31)) - MAX($H$2, DATE(Initialisatie!$C$5,1,1)) + 1),
        IFERROR(VALUE($I93),0) * MAX(0, MIN($I$1, DATE(Initialisatie!$C$5,12,31)) - MAX($I$2, DATE(Initialisatie!$C$5,1,1)) + 1),
        IFERROR(VALUE($J93),0) * MAX(0, MIN($J$1, DATE(Initialisatie!$C$5,12,31)) - MAX($J$2, DATE(Initialisatie!$C$5,1,1)) + 1)
    ) / (DATE(Initialisatie!$C$5,12,31) - DATE(Initialisatie!$C$5,1,1) + 1)
)</f>
        <v>2767</v>
      </c>
    </row>
    <row r="94" spans="1:12" x14ac:dyDescent="0.45">
      <c r="A94" s="989"/>
      <c r="B94" s="35">
        <v>4</v>
      </c>
      <c r="C94" s="35">
        <v>4</v>
      </c>
      <c r="D94" s="35" t="s">
        <v>265</v>
      </c>
      <c r="E94">
        <v>2423</v>
      </c>
      <c r="F94">
        <v>2471</v>
      </c>
      <c r="G94">
        <v>2644</v>
      </c>
      <c r="H94">
        <v>2750</v>
      </c>
      <c r="I94">
        <v>2860</v>
      </c>
      <c r="J94">
        <v>2860</v>
      </c>
      <c r="L94">
        <f>IF(
    OR(
        AND(MAX(0, MIN($E$1, DATE(Initialisatie!$C$5,12,31)) - MAX($E$2, DATE(Initialisatie!$C$5,1,1)) + 1) &gt; 0, IFERROR(VALUE($E94),0)=0),
        AND(MAX(0, MIN($F$1, DATE(Initialisatie!$C$5,12,31)) - MAX($F$2, DATE(Initialisatie!$C$5,1,1)) + 1) &gt; 0, IFERROR(VALUE($F94),0)=0),
        AND(MAX(0, MIN($G$1, DATE(Initialisatie!$C$5,12,31)) - MAX($G$2, DATE(Initialisatie!$C$5,1,1)) + 1) &gt; 0, IFERROR(VALUE($G94),0)=0),
        AND(MAX(0, MIN($H$1, DATE(Initialisatie!$C$5,12,31)) - MAX($H$2, DATE(Initialisatie!$C$5,1,1)) + 1) &gt; 0, IFERROR(VALUE($H94),0)=0),
        AND(MAX(0, MIN($I$1, DATE(Initialisatie!$C$5,12,31)) - MAX($I$2, DATE(Initialisatie!$C$5,1,1)) + 1) &gt; 0, IFERROR(VALUE($I94),0)=0),
        AND(MAX(0, MIN($J$1, DATE(Initialisatie!$C$5,12,31)) - MAX($J$2, DATE(Initialisatie!$C$5,1,1)) + 1) &gt; 0, IFERROR(VALUE($J94),0)=0)
    ),
    0,
    SUM(
        IFERROR(VALUE($E94),0) * MAX(0, MIN($E$1, DATE(Initialisatie!$C$5,12,31)) - MAX($E$2, DATE(Initialisatie!$C$5,1,1)) + 1),
        IFERROR(VALUE($F94),0) * MAX(0, MIN($F$1, DATE(Initialisatie!$C$5,12,31)) - MAX($F$2, DATE(Initialisatie!$C$5,1,1)) + 1),
        IFERROR(VALUE($G94),0) * MAX(0, MIN($G$1, DATE(Initialisatie!$C$5,12,31)) - MAX($G$2, DATE(Initialisatie!$C$5,1,1)) + 1),
        IFERROR(VALUE($H94),0) * MAX(0, MIN($H$1, DATE(Initialisatie!$C$5,12,31)) - MAX($H$2, DATE(Initialisatie!$C$5,1,1)) + 1),
        IFERROR(VALUE($I94),0) * MAX(0, MIN($I$1, DATE(Initialisatie!$C$5,12,31)) - MAX($I$2, DATE(Initialisatie!$C$5,1,1)) + 1),
        IFERROR(VALUE($J94),0) * MAX(0, MIN($J$1, DATE(Initialisatie!$C$5,12,31)) - MAX($J$2, DATE(Initialisatie!$C$5,1,1)) + 1)
    ) / (DATE(Initialisatie!$C$5,12,31) - DATE(Initialisatie!$C$5,1,1) + 1)
)</f>
        <v>2860</v>
      </c>
    </row>
    <row r="95" spans="1:12" x14ac:dyDescent="0.45">
      <c r="A95" s="989"/>
      <c r="B95" s="35">
        <v>5</v>
      </c>
      <c r="C95" s="35">
        <v>5</v>
      </c>
      <c r="D95" s="35" t="s">
        <v>264</v>
      </c>
      <c r="E95">
        <v>2491</v>
      </c>
      <c r="F95">
        <v>2541</v>
      </c>
      <c r="G95">
        <v>2719</v>
      </c>
      <c r="H95">
        <v>2828</v>
      </c>
      <c r="I95">
        <v>2941</v>
      </c>
      <c r="J95">
        <v>2941</v>
      </c>
      <c r="L95">
        <f>IF(
    OR(
        AND(MAX(0, MIN($E$1, DATE(Initialisatie!$C$5,12,31)) - MAX($E$2, DATE(Initialisatie!$C$5,1,1)) + 1) &gt; 0, IFERROR(VALUE($E95),0)=0),
        AND(MAX(0, MIN($F$1, DATE(Initialisatie!$C$5,12,31)) - MAX($F$2, DATE(Initialisatie!$C$5,1,1)) + 1) &gt; 0, IFERROR(VALUE($F95),0)=0),
        AND(MAX(0, MIN($G$1, DATE(Initialisatie!$C$5,12,31)) - MAX($G$2, DATE(Initialisatie!$C$5,1,1)) + 1) &gt; 0, IFERROR(VALUE($G95),0)=0),
        AND(MAX(0, MIN($H$1, DATE(Initialisatie!$C$5,12,31)) - MAX($H$2, DATE(Initialisatie!$C$5,1,1)) + 1) &gt; 0, IFERROR(VALUE($H95),0)=0),
        AND(MAX(0, MIN($I$1, DATE(Initialisatie!$C$5,12,31)) - MAX($I$2, DATE(Initialisatie!$C$5,1,1)) + 1) &gt; 0, IFERROR(VALUE($I95),0)=0),
        AND(MAX(0, MIN($J$1, DATE(Initialisatie!$C$5,12,31)) - MAX($J$2, DATE(Initialisatie!$C$5,1,1)) + 1) &gt; 0, IFERROR(VALUE($J95),0)=0)
    ),
    0,
    SUM(
        IFERROR(VALUE($E95),0) * MAX(0, MIN($E$1, DATE(Initialisatie!$C$5,12,31)) - MAX($E$2, DATE(Initialisatie!$C$5,1,1)) + 1),
        IFERROR(VALUE($F95),0) * MAX(0, MIN($F$1, DATE(Initialisatie!$C$5,12,31)) - MAX($F$2, DATE(Initialisatie!$C$5,1,1)) + 1),
        IFERROR(VALUE($G95),0) * MAX(0, MIN($G$1, DATE(Initialisatie!$C$5,12,31)) - MAX($G$2, DATE(Initialisatie!$C$5,1,1)) + 1),
        IFERROR(VALUE($H95),0) * MAX(0, MIN($H$1, DATE(Initialisatie!$C$5,12,31)) - MAX($H$2, DATE(Initialisatie!$C$5,1,1)) + 1),
        IFERROR(VALUE($I95),0) * MAX(0, MIN($I$1, DATE(Initialisatie!$C$5,12,31)) - MAX($I$2, DATE(Initialisatie!$C$5,1,1)) + 1),
        IFERROR(VALUE($J95),0) * MAX(0, MIN($J$1, DATE(Initialisatie!$C$5,12,31)) - MAX($J$2, DATE(Initialisatie!$C$5,1,1)) + 1)
    ) / (DATE(Initialisatie!$C$5,12,31) - DATE(Initialisatie!$C$5,1,1) + 1)
)</f>
        <v>2941</v>
      </c>
    </row>
    <row r="96" spans="1:12" x14ac:dyDescent="0.45">
      <c r="A96" s="989"/>
      <c r="B96" s="35">
        <v>6</v>
      </c>
      <c r="C96" s="35">
        <v>6</v>
      </c>
      <c r="D96" s="35" t="s">
        <v>263</v>
      </c>
      <c r="E96">
        <v>2572</v>
      </c>
      <c r="F96">
        <v>2623</v>
      </c>
      <c r="G96">
        <v>2807</v>
      </c>
      <c r="H96">
        <v>2919</v>
      </c>
      <c r="I96">
        <v>3036</v>
      </c>
      <c r="J96">
        <v>3036</v>
      </c>
      <c r="L96">
        <f>IF(
    OR(
        AND(MAX(0, MIN($E$1, DATE(Initialisatie!$C$5,12,31)) - MAX($E$2, DATE(Initialisatie!$C$5,1,1)) + 1) &gt; 0, IFERROR(VALUE($E96),0)=0),
        AND(MAX(0, MIN($F$1, DATE(Initialisatie!$C$5,12,31)) - MAX($F$2, DATE(Initialisatie!$C$5,1,1)) + 1) &gt; 0, IFERROR(VALUE($F96),0)=0),
        AND(MAX(0, MIN($G$1, DATE(Initialisatie!$C$5,12,31)) - MAX($G$2, DATE(Initialisatie!$C$5,1,1)) + 1) &gt; 0, IFERROR(VALUE($G96),0)=0),
        AND(MAX(0, MIN($H$1, DATE(Initialisatie!$C$5,12,31)) - MAX($H$2, DATE(Initialisatie!$C$5,1,1)) + 1) &gt; 0, IFERROR(VALUE($H96),0)=0),
        AND(MAX(0, MIN($I$1, DATE(Initialisatie!$C$5,12,31)) - MAX($I$2, DATE(Initialisatie!$C$5,1,1)) + 1) &gt; 0, IFERROR(VALUE($I96),0)=0),
        AND(MAX(0, MIN($J$1, DATE(Initialisatie!$C$5,12,31)) - MAX($J$2, DATE(Initialisatie!$C$5,1,1)) + 1) &gt; 0, IFERROR(VALUE($J96),0)=0)
    ),
    0,
    SUM(
        IFERROR(VALUE($E96),0) * MAX(0, MIN($E$1, DATE(Initialisatie!$C$5,12,31)) - MAX($E$2, DATE(Initialisatie!$C$5,1,1)) + 1),
        IFERROR(VALUE($F96),0) * MAX(0, MIN($F$1, DATE(Initialisatie!$C$5,12,31)) - MAX($F$2, DATE(Initialisatie!$C$5,1,1)) + 1),
        IFERROR(VALUE($G96),0) * MAX(0, MIN($G$1, DATE(Initialisatie!$C$5,12,31)) - MAX($G$2, DATE(Initialisatie!$C$5,1,1)) + 1),
        IFERROR(VALUE($H96),0) * MAX(0, MIN($H$1, DATE(Initialisatie!$C$5,12,31)) - MAX($H$2, DATE(Initialisatie!$C$5,1,1)) + 1),
        IFERROR(VALUE($I96),0) * MAX(0, MIN($I$1, DATE(Initialisatie!$C$5,12,31)) - MAX($I$2, DATE(Initialisatie!$C$5,1,1)) + 1),
        IFERROR(VALUE($J96),0) * MAX(0, MIN($J$1, DATE(Initialisatie!$C$5,12,31)) - MAX($J$2, DATE(Initialisatie!$C$5,1,1)) + 1)
    ) / (DATE(Initialisatie!$C$5,12,31) - DATE(Initialisatie!$C$5,1,1) + 1)
)</f>
        <v>3036</v>
      </c>
    </row>
    <row r="97" spans="1:12" x14ac:dyDescent="0.45">
      <c r="A97" s="989"/>
      <c r="B97" s="35">
        <v>7</v>
      </c>
      <c r="C97" s="35">
        <v>7</v>
      </c>
      <c r="D97" s="35" t="s">
        <v>262</v>
      </c>
      <c r="E97">
        <v>2644</v>
      </c>
      <c r="F97">
        <v>2697</v>
      </c>
      <c r="G97">
        <v>2886</v>
      </c>
      <c r="H97">
        <v>3001</v>
      </c>
      <c r="I97">
        <v>3121</v>
      </c>
      <c r="J97">
        <v>3121</v>
      </c>
      <c r="L97">
        <f>IF(
    OR(
        AND(MAX(0, MIN($E$1, DATE(Initialisatie!$C$5,12,31)) - MAX($E$2, DATE(Initialisatie!$C$5,1,1)) + 1) &gt; 0, IFERROR(VALUE($E97),0)=0),
        AND(MAX(0, MIN($F$1, DATE(Initialisatie!$C$5,12,31)) - MAX($F$2, DATE(Initialisatie!$C$5,1,1)) + 1) &gt; 0, IFERROR(VALUE($F97),0)=0),
        AND(MAX(0, MIN($G$1, DATE(Initialisatie!$C$5,12,31)) - MAX($G$2, DATE(Initialisatie!$C$5,1,1)) + 1) &gt; 0, IFERROR(VALUE($G97),0)=0),
        AND(MAX(0, MIN($H$1, DATE(Initialisatie!$C$5,12,31)) - MAX($H$2, DATE(Initialisatie!$C$5,1,1)) + 1) &gt; 0, IFERROR(VALUE($H97),0)=0),
        AND(MAX(0, MIN($I$1, DATE(Initialisatie!$C$5,12,31)) - MAX($I$2, DATE(Initialisatie!$C$5,1,1)) + 1) &gt; 0, IFERROR(VALUE($I97),0)=0),
        AND(MAX(0, MIN($J$1, DATE(Initialisatie!$C$5,12,31)) - MAX($J$2, DATE(Initialisatie!$C$5,1,1)) + 1) &gt; 0, IFERROR(VALUE($J97),0)=0)
    ),
    0,
    SUM(
        IFERROR(VALUE($E97),0) * MAX(0, MIN($E$1, DATE(Initialisatie!$C$5,12,31)) - MAX($E$2, DATE(Initialisatie!$C$5,1,1)) + 1),
        IFERROR(VALUE($F97),0) * MAX(0, MIN($F$1, DATE(Initialisatie!$C$5,12,31)) - MAX($F$2, DATE(Initialisatie!$C$5,1,1)) + 1),
        IFERROR(VALUE($G97),0) * MAX(0, MIN($G$1, DATE(Initialisatie!$C$5,12,31)) - MAX($G$2, DATE(Initialisatie!$C$5,1,1)) + 1),
        IFERROR(VALUE($H97),0) * MAX(0, MIN($H$1, DATE(Initialisatie!$C$5,12,31)) - MAX($H$2, DATE(Initialisatie!$C$5,1,1)) + 1),
        IFERROR(VALUE($I97),0) * MAX(0, MIN($I$1, DATE(Initialisatie!$C$5,12,31)) - MAX($I$2, DATE(Initialisatie!$C$5,1,1)) + 1),
        IFERROR(VALUE($J97),0) * MAX(0, MIN($J$1, DATE(Initialisatie!$C$5,12,31)) - MAX($J$2, DATE(Initialisatie!$C$5,1,1)) + 1)
    ) / (DATE(Initialisatie!$C$5,12,31) - DATE(Initialisatie!$C$5,1,1) + 1)
)</f>
        <v>3121</v>
      </c>
    </row>
    <row r="98" spans="1:12" x14ac:dyDescent="0.45">
      <c r="A98" s="989"/>
      <c r="B98" s="35">
        <v>8</v>
      </c>
      <c r="C98" s="35">
        <v>8</v>
      </c>
      <c r="D98" s="35" t="s">
        <v>261</v>
      </c>
      <c r="E98">
        <v>2723</v>
      </c>
      <c r="F98">
        <v>2777</v>
      </c>
      <c r="G98">
        <v>2971</v>
      </c>
      <c r="H98">
        <v>3090</v>
      </c>
      <c r="I98">
        <v>3214</v>
      </c>
      <c r="J98">
        <v>3214</v>
      </c>
      <c r="L98">
        <f>IF(
    OR(
        AND(MAX(0, MIN($E$1, DATE(Initialisatie!$C$5,12,31)) - MAX($E$2, DATE(Initialisatie!$C$5,1,1)) + 1) &gt; 0, IFERROR(VALUE($E98),0)=0),
        AND(MAX(0, MIN($F$1, DATE(Initialisatie!$C$5,12,31)) - MAX($F$2, DATE(Initialisatie!$C$5,1,1)) + 1) &gt; 0, IFERROR(VALUE($F98),0)=0),
        AND(MAX(0, MIN($G$1, DATE(Initialisatie!$C$5,12,31)) - MAX($G$2, DATE(Initialisatie!$C$5,1,1)) + 1) &gt; 0, IFERROR(VALUE($G98),0)=0),
        AND(MAX(0, MIN($H$1, DATE(Initialisatie!$C$5,12,31)) - MAX($H$2, DATE(Initialisatie!$C$5,1,1)) + 1) &gt; 0, IFERROR(VALUE($H98),0)=0),
        AND(MAX(0, MIN($I$1, DATE(Initialisatie!$C$5,12,31)) - MAX($I$2, DATE(Initialisatie!$C$5,1,1)) + 1) &gt; 0, IFERROR(VALUE($I98),0)=0),
        AND(MAX(0, MIN($J$1, DATE(Initialisatie!$C$5,12,31)) - MAX($J$2, DATE(Initialisatie!$C$5,1,1)) + 1) &gt; 0, IFERROR(VALUE($J98),0)=0)
    ),
    0,
    SUM(
        IFERROR(VALUE($E98),0) * MAX(0, MIN($E$1, DATE(Initialisatie!$C$5,12,31)) - MAX($E$2, DATE(Initialisatie!$C$5,1,1)) + 1),
        IFERROR(VALUE($F98),0) * MAX(0, MIN($F$1, DATE(Initialisatie!$C$5,12,31)) - MAX($F$2, DATE(Initialisatie!$C$5,1,1)) + 1),
        IFERROR(VALUE($G98),0) * MAX(0, MIN($G$1, DATE(Initialisatie!$C$5,12,31)) - MAX($G$2, DATE(Initialisatie!$C$5,1,1)) + 1),
        IFERROR(VALUE($H98),0) * MAX(0, MIN($H$1, DATE(Initialisatie!$C$5,12,31)) - MAX($H$2, DATE(Initialisatie!$C$5,1,1)) + 1),
        IFERROR(VALUE($I98),0) * MAX(0, MIN($I$1, DATE(Initialisatie!$C$5,12,31)) - MAX($I$2, DATE(Initialisatie!$C$5,1,1)) + 1),
        IFERROR(VALUE($J98),0) * MAX(0, MIN($J$1, DATE(Initialisatie!$C$5,12,31)) - MAX($J$2, DATE(Initialisatie!$C$5,1,1)) + 1)
    ) / (DATE(Initialisatie!$C$5,12,31) - DATE(Initialisatie!$C$5,1,1) + 1)
)</f>
        <v>3214</v>
      </c>
    </row>
    <row r="99" spans="1:12" x14ac:dyDescent="0.45">
      <c r="A99" s="989"/>
      <c r="B99" s="35">
        <v>9</v>
      </c>
      <c r="C99" s="35">
        <v>9</v>
      </c>
      <c r="D99" s="35" t="s">
        <v>260</v>
      </c>
      <c r="E99">
        <v>2792</v>
      </c>
      <c r="F99">
        <v>2848</v>
      </c>
      <c r="G99">
        <v>3047</v>
      </c>
      <c r="H99">
        <v>3169</v>
      </c>
      <c r="I99">
        <v>3296</v>
      </c>
      <c r="J99">
        <v>3296</v>
      </c>
      <c r="L99">
        <f>IF(
    OR(
        AND(MAX(0, MIN($E$1, DATE(Initialisatie!$C$5,12,31)) - MAX($E$2, DATE(Initialisatie!$C$5,1,1)) + 1) &gt; 0, IFERROR(VALUE($E99),0)=0),
        AND(MAX(0, MIN($F$1, DATE(Initialisatie!$C$5,12,31)) - MAX($F$2, DATE(Initialisatie!$C$5,1,1)) + 1) &gt; 0, IFERROR(VALUE($F99),0)=0),
        AND(MAX(0, MIN($G$1, DATE(Initialisatie!$C$5,12,31)) - MAX($G$2, DATE(Initialisatie!$C$5,1,1)) + 1) &gt; 0, IFERROR(VALUE($G99),0)=0),
        AND(MAX(0, MIN($H$1, DATE(Initialisatie!$C$5,12,31)) - MAX($H$2, DATE(Initialisatie!$C$5,1,1)) + 1) &gt; 0, IFERROR(VALUE($H99),0)=0),
        AND(MAX(0, MIN($I$1, DATE(Initialisatie!$C$5,12,31)) - MAX($I$2, DATE(Initialisatie!$C$5,1,1)) + 1) &gt; 0, IFERROR(VALUE($I99),0)=0),
        AND(MAX(0, MIN($J$1, DATE(Initialisatie!$C$5,12,31)) - MAX($J$2, DATE(Initialisatie!$C$5,1,1)) + 1) &gt; 0, IFERROR(VALUE($J99),0)=0)
    ),
    0,
    SUM(
        IFERROR(VALUE($E99),0) * MAX(0, MIN($E$1, DATE(Initialisatie!$C$5,12,31)) - MAX($E$2, DATE(Initialisatie!$C$5,1,1)) + 1),
        IFERROR(VALUE($F99),0) * MAX(0, MIN($F$1, DATE(Initialisatie!$C$5,12,31)) - MAX($F$2, DATE(Initialisatie!$C$5,1,1)) + 1),
        IFERROR(VALUE($G99),0) * MAX(0, MIN($G$1, DATE(Initialisatie!$C$5,12,31)) - MAX($G$2, DATE(Initialisatie!$C$5,1,1)) + 1),
        IFERROR(VALUE($H99),0) * MAX(0, MIN($H$1, DATE(Initialisatie!$C$5,12,31)) - MAX($H$2, DATE(Initialisatie!$C$5,1,1)) + 1),
        IFERROR(VALUE($I99),0) * MAX(0, MIN($I$1, DATE(Initialisatie!$C$5,12,31)) - MAX($I$2, DATE(Initialisatie!$C$5,1,1)) + 1),
        IFERROR(VALUE($J99),0) * MAX(0, MIN($J$1, DATE(Initialisatie!$C$5,12,31)) - MAX($J$2, DATE(Initialisatie!$C$5,1,1)) + 1)
    ) / (DATE(Initialisatie!$C$5,12,31) - DATE(Initialisatie!$C$5,1,1) + 1)
)</f>
        <v>3296</v>
      </c>
    </row>
    <row r="100" spans="1:12" x14ac:dyDescent="0.45">
      <c r="A100" s="989"/>
      <c r="B100" s="35">
        <v>10</v>
      </c>
      <c r="C100" s="35">
        <v>10</v>
      </c>
      <c r="D100" s="35" t="s">
        <v>271</v>
      </c>
      <c r="E100">
        <v>2864</v>
      </c>
      <c r="F100">
        <v>2921</v>
      </c>
      <c r="G100">
        <v>3125</v>
      </c>
      <c r="H100">
        <v>3250</v>
      </c>
      <c r="I100">
        <v>3380</v>
      </c>
      <c r="J100">
        <v>3380</v>
      </c>
      <c r="L100">
        <f>IF(
    OR(
        AND(MAX(0, MIN($E$1, DATE(Initialisatie!$C$5,12,31)) - MAX($E$2, DATE(Initialisatie!$C$5,1,1)) + 1) &gt; 0, IFERROR(VALUE($E100),0)=0),
        AND(MAX(0, MIN($F$1, DATE(Initialisatie!$C$5,12,31)) - MAX($F$2, DATE(Initialisatie!$C$5,1,1)) + 1) &gt; 0, IFERROR(VALUE($F100),0)=0),
        AND(MAX(0, MIN($G$1, DATE(Initialisatie!$C$5,12,31)) - MAX($G$2, DATE(Initialisatie!$C$5,1,1)) + 1) &gt; 0, IFERROR(VALUE($G100),0)=0),
        AND(MAX(0, MIN($H$1, DATE(Initialisatie!$C$5,12,31)) - MAX($H$2, DATE(Initialisatie!$C$5,1,1)) + 1) &gt; 0, IFERROR(VALUE($H100),0)=0),
        AND(MAX(0, MIN($I$1, DATE(Initialisatie!$C$5,12,31)) - MAX($I$2, DATE(Initialisatie!$C$5,1,1)) + 1) &gt; 0, IFERROR(VALUE($I100),0)=0),
        AND(MAX(0, MIN($J$1, DATE(Initialisatie!$C$5,12,31)) - MAX($J$2, DATE(Initialisatie!$C$5,1,1)) + 1) &gt; 0, IFERROR(VALUE($J100),0)=0)
    ),
    0,
    SUM(
        IFERROR(VALUE($E100),0) * MAX(0, MIN($E$1, DATE(Initialisatie!$C$5,12,31)) - MAX($E$2, DATE(Initialisatie!$C$5,1,1)) + 1),
        IFERROR(VALUE($F100),0) * MAX(0, MIN($F$1, DATE(Initialisatie!$C$5,12,31)) - MAX($F$2, DATE(Initialisatie!$C$5,1,1)) + 1),
        IFERROR(VALUE($G100),0) * MAX(0, MIN($G$1, DATE(Initialisatie!$C$5,12,31)) - MAX($G$2, DATE(Initialisatie!$C$5,1,1)) + 1),
        IFERROR(VALUE($H100),0) * MAX(0, MIN($H$1, DATE(Initialisatie!$C$5,12,31)) - MAX($H$2, DATE(Initialisatie!$C$5,1,1)) + 1),
        IFERROR(VALUE($I100),0) * MAX(0, MIN($I$1, DATE(Initialisatie!$C$5,12,31)) - MAX($I$2, DATE(Initialisatie!$C$5,1,1)) + 1),
        IFERROR(VALUE($J100),0) * MAX(0, MIN($J$1, DATE(Initialisatie!$C$5,12,31)) - MAX($J$2, DATE(Initialisatie!$C$5,1,1)) + 1)
    ) / (DATE(Initialisatie!$C$5,12,31) - DATE(Initialisatie!$C$5,1,1) + 1)
)</f>
        <v>3380</v>
      </c>
    </row>
    <row r="101" spans="1:12" x14ac:dyDescent="0.45">
      <c r="A101" s="989"/>
      <c r="B101" s="35">
        <v>11</v>
      </c>
      <c r="C101" s="35">
        <v>11</v>
      </c>
      <c r="D101" s="35" t="s">
        <v>270</v>
      </c>
      <c r="E101">
        <v>2921</v>
      </c>
      <c r="F101">
        <v>2979</v>
      </c>
      <c r="G101">
        <v>3188</v>
      </c>
      <c r="H101">
        <v>3316</v>
      </c>
      <c r="I101">
        <v>3449</v>
      </c>
      <c r="J101">
        <v>3449</v>
      </c>
      <c r="L101">
        <f>IF(
    OR(
        AND(MAX(0, MIN($E$1, DATE(Initialisatie!$C$5,12,31)) - MAX($E$2, DATE(Initialisatie!$C$5,1,1)) + 1) &gt; 0, IFERROR(VALUE($E101),0)=0),
        AND(MAX(0, MIN($F$1, DATE(Initialisatie!$C$5,12,31)) - MAX($F$2, DATE(Initialisatie!$C$5,1,1)) + 1) &gt; 0, IFERROR(VALUE($F101),0)=0),
        AND(MAX(0, MIN($G$1, DATE(Initialisatie!$C$5,12,31)) - MAX($G$2, DATE(Initialisatie!$C$5,1,1)) + 1) &gt; 0, IFERROR(VALUE($G101),0)=0),
        AND(MAX(0, MIN($H$1, DATE(Initialisatie!$C$5,12,31)) - MAX($H$2, DATE(Initialisatie!$C$5,1,1)) + 1) &gt; 0, IFERROR(VALUE($H101),0)=0),
        AND(MAX(0, MIN($I$1, DATE(Initialisatie!$C$5,12,31)) - MAX($I$2, DATE(Initialisatie!$C$5,1,1)) + 1) &gt; 0, IFERROR(VALUE($I101),0)=0),
        AND(MAX(0, MIN($J$1, DATE(Initialisatie!$C$5,12,31)) - MAX($J$2, DATE(Initialisatie!$C$5,1,1)) + 1) &gt; 0, IFERROR(VALUE($J101),0)=0)
    ),
    0,
    SUM(
        IFERROR(VALUE($E101),0) * MAX(0, MIN($E$1, DATE(Initialisatie!$C$5,12,31)) - MAX($E$2, DATE(Initialisatie!$C$5,1,1)) + 1),
        IFERROR(VALUE($F101),0) * MAX(0, MIN($F$1, DATE(Initialisatie!$C$5,12,31)) - MAX($F$2, DATE(Initialisatie!$C$5,1,1)) + 1),
        IFERROR(VALUE($G101),0) * MAX(0, MIN($G$1, DATE(Initialisatie!$C$5,12,31)) - MAX($G$2, DATE(Initialisatie!$C$5,1,1)) + 1),
        IFERROR(VALUE($H101),0) * MAX(0, MIN($H$1, DATE(Initialisatie!$C$5,12,31)) - MAX($H$2, DATE(Initialisatie!$C$5,1,1)) + 1),
        IFERROR(VALUE($I101),0) * MAX(0, MIN($I$1, DATE(Initialisatie!$C$5,12,31)) - MAX($I$2, DATE(Initialisatie!$C$5,1,1)) + 1),
        IFERROR(VALUE($J101),0) * MAX(0, MIN($J$1, DATE(Initialisatie!$C$5,12,31)) - MAX($J$2, DATE(Initialisatie!$C$5,1,1)) + 1)
    ) / (DATE(Initialisatie!$C$5,12,31) - DATE(Initialisatie!$C$5,1,1) + 1)
)</f>
        <v>3449</v>
      </c>
    </row>
    <row r="102" spans="1:12" x14ac:dyDescent="0.45">
      <c r="A102" s="989"/>
      <c r="B102" s="35">
        <v>12</v>
      </c>
      <c r="C102" s="35">
        <v>12</v>
      </c>
      <c r="D102" s="35" t="s">
        <v>269</v>
      </c>
      <c r="E102">
        <v>2985</v>
      </c>
      <c r="F102">
        <v>3045</v>
      </c>
      <c r="G102">
        <v>3258</v>
      </c>
      <c r="H102">
        <v>3388</v>
      </c>
      <c r="I102">
        <v>3524</v>
      </c>
      <c r="J102">
        <v>3524</v>
      </c>
      <c r="L102">
        <f>IF(
    OR(
        AND(MAX(0, MIN($E$1, DATE(Initialisatie!$C$5,12,31)) - MAX($E$2, DATE(Initialisatie!$C$5,1,1)) + 1) &gt; 0, IFERROR(VALUE($E102),0)=0),
        AND(MAX(0, MIN($F$1, DATE(Initialisatie!$C$5,12,31)) - MAX($F$2, DATE(Initialisatie!$C$5,1,1)) + 1) &gt; 0, IFERROR(VALUE($F102),0)=0),
        AND(MAX(0, MIN($G$1, DATE(Initialisatie!$C$5,12,31)) - MAX($G$2, DATE(Initialisatie!$C$5,1,1)) + 1) &gt; 0, IFERROR(VALUE($G102),0)=0),
        AND(MAX(0, MIN($H$1, DATE(Initialisatie!$C$5,12,31)) - MAX($H$2, DATE(Initialisatie!$C$5,1,1)) + 1) &gt; 0, IFERROR(VALUE($H102),0)=0),
        AND(MAX(0, MIN($I$1, DATE(Initialisatie!$C$5,12,31)) - MAX($I$2, DATE(Initialisatie!$C$5,1,1)) + 1) &gt; 0, IFERROR(VALUE($I102),0)=0),
        AND(MAX(0, MIN($J$1, DATE(Initialisatie!$C$5,12,31)) - MAX($J$2, DATE(Initialisatie!$C$5,1,1)) + 1) &gt; 0, IFERROR(VALUE($J102),0)=0)
    ),
    0,
    SUM(
        IFERROR(VALUE($E102),0) * MAX(0, MIN($E$1, DATE(Initialisatie!$C$5,12,31)) - MAX($E$2, DATE(Initialisatie!$C$5,1,1)) + 1),
        IFERROR(VALUE($F102),0) * MAX(0, MIN($F$1, DATE(Initialisatie!$C$5,12,31)) - MAX($F$2, DATE(Initialisatie!$C$5,1,1)) + 1),
        IFERROR(VALUE($G102),0) * MAX(0, MIN($G$1, DATE(Initialisatie!$C$5,12,31)) - MAX($G$2, DATE(Initialisatie!$C$5,1,1)) + 1),
        IFERROR(VALUE($H102),0) * MAX(0, MIN($H$1, DATE(Initialisatie!$C$5,12,31)) - MAX($H$2, DATE(Initialisatie!$C$5,1,1)) + 1),
        IFERROR(VALUE($I102),0) * MAX(0, MIN($I$1, DATE(Initialisatie!$C$5,12,31)) - MAX($I$2, DATE(Initialisatie!$C$5,1,1)) + 1),
        IFERROR(VALUE($J102),0) * MAX(0, MIN($J$1, DATE(Initialisatie!$C$5,12,31)) - MAX($J$2, DATE(Initialisatie!$C$5,1,1)) + 1)
    ) / (DATE(Initialisatie!$C$5,12,31) - DATE(Initialisatie!$C$5,1,1) + 1)
)</f>
        <v>3524</v>
      </c>
    </row>
    <row r="103" spans="1:12" x14ac:dyDescent="0.45">
      <c r="A103" s="989"/>
      <c r="B103" s="35">
        <v>13</v>
      </c>
      <c r="C103" s="35">
        <v>13</v>
      </c>
      <c r="D103" s="35" t="s">
        <v>268</v>
      </c>
      <c r="E103">
        <v>3043</v>
      </c>
      <c r="F103">
        <v>3104</v>
      </c>
      <c r="G103">
        <v>3321</v>
      </c>
      <c r="H103">
        <v>3454</v>
      </c>
      <c r="I103">
        <v>3592</v>
      </c>
      <c r="J103">
        <v>3592</v>
      </c>
      <c r="L103">
        <f>IF(
    OR(
        AND(MAX(0, MIN($E$1, DATE(Initialisatie!$C$5,12,31)) - MAX($E$2, DATE(Initialisatie!$C$5,1,1)) + 1) &gt; 0, IFERROR(VALUE($E103),0)=0),
        AND(MAX(0, MIN($F$1, DATE(Initialisatie!$C$5,12,31)) - MAX($F$2, DATE(Initialisatie!$C$5,1,1)) + 1) &gt; 0, IFERROR(VALUE($F103),0)=0),
        AND(MAX(0, MIN($G$1, DATE(Initialisatie!$C$5,12,31)) - MAX($G$2, DATE(Initialisatie!$C$5,1,1)) + 1) &gt; 0, IFERROR(VALUE($G103),0)=0),
        AND(MAX(0, MIN($H$1, DATE(Initialisatie!$C$5,12,31)) - MAX($H$2, DATE(Initialisatie!$C$5,1,1)) + 1) &gt; 0, IFERROR(VALUE($H103),0)=0),
        AND(MAX(0, MIN($I$1, DATE(Initialisatie!$C$5,12,31)) - MAX($I$2, DATE(Initialisatie!$C$5,1,1)) + 1) &gt; 0, IFERROR(VALUE($I103),0)=0),
        AND(MAX(0, MIN($J$1, DATE(Initialisatie!$C$5,12,31)) - MAX($J$2, DATE(Initialisatie!$C$5,1,1)) + 1) &gt; 0, IFERROR(VALUE($J103),0)=0)
    ),
    0,
    SUM(
        IFERROR(VALUE($E103),0) * MAX(0, MIN($E$1, DATE(Initialisatie!$C$5,12,31)) - MAX($E$2, DATE(Initialisatie!$C$5,1,1)) + 1),
        IFERROR(VALUE($F103),0) * MAX(0, MIN($F$1, DATE(Initialisatie!$C$5,12,31)) - MAX($F$2, DATE(Initialisatie!$C$5,1,1)) + 1),
        IFERROR(VALUE($G103),0) * MAX(0, MIN($G$1, DATE(Initialisatie!$C$5,12,31)) - MAX($G$2, DATE(Initialisatie!$C$5,1,1)) + 1),
        IFERROR(VALUE($H103),0) * MAX(0, MIN($H$1, DATE(Initialisatie!$C$5,12,31)) - MAX($H$2, DATE(Initialisatie!$C$5,1,1)) + 1),
        IFERROR(VALUE($I103),0) * MAX(0, MIN($I$1, DATE(Initialisatie!$C$5,12,31)) - MAX($I$2, DATE(Initialisatie!$C$5,1,1)) + 1),
        IFERROR(VALUE($J103),0) * MAX(0, MIN($J$1, DATE(Initialisatie!$C$5,12,31)) - MAX($J$2, DATE(Initialisatie!$C$5,1,1)) + 1)
    ) / (DATE(Initialisatie!$C$5,12,31) - DATE(Initialisatie!$C$5,1,1) + 1)
)</f>
        <v>3592</v>
      </c>
    </row>
    <row r="104" spans="1:12" x14ac:dyDescent="0.45">
      <c r="A104" s="989"/>
      <c r="B104" s="35" t="s">
        <v>531</v>
      </c>
      <c r="C104" s="35" t="s">
        <v>531</v>
      </c>
      <c r="D104" s="35" t="s">
        <v>597</v>
      </c>
      <c r="E104">
        <v>3158</v>
      </c>
      <c r="F104">
        <v>3221</v>
      </c>
      <c r="G104">
        <v>3446</v>
      </c>
      <c r="H104">
        <v>3584</v>
      </c>
      <c r="I104">
        <v>3727</v>
      </c>
      <c r="J104">
        <v>3727</v>
      </c>
      <c r="L104">
        <f>IF(
    OR(
        AND(MAX(0, MIN($E$1, DATE(Initialisatie!$C$5,12,31)) - MAX($E$2, DATE(Initialisatie!$C$5,1,1)) + 1) &gt; 0, IFERROR(VALUE($E104),0)=0),
        AND(MAX(0, MIN($F$1, DATE(Initialisatie!$C$5,12,31)) - MAX($F$2, DATE(Initialisatie!$C$5,1,1)) + 1) &gt; 0, IFERROR(VALUE($F104),0)=0),
        AND(MAX(0, MIN($G$1, DATE(Initialisatie!$C$5,12,31)) - MAX($G$2, DATE(Initialisatie!$C$5,1,1)) + 1) &gt; 0, IFERROR(VALUE($G104),0)=0),
        AND(MAX(0, MIN($H$1, DATE(Initialisatie!$C$5,12,31)) - MAX($H$2, DATE(Initialisatie!$C$5,1,1)) + 1) &gt; 0, IFERROR(VALUE($H104),0)=0),
        AND(MAX(0, MIN($I$1, DATE(Initialisatie!$C$5,12,31)) - MAX($I$2, DATE(Initialisatie!$C$5,1,1)) + 1) &gt; 0, IFERROR(VALUE($I104),0)=0),
        AND(MAX(0, MIN($J$1, DATE(Initialisatie!$C$5,12,31)) - MAX($J$2, DATE(Initialisatie!$C$5,1,1)) + 1) &gt; 0, IFERROR(VALUE($J104),0)=0)
    ),
    0,
    SUM(
        IFERROR(VALUE($E104),0) * MAX(0, MIN($E$1, DATE(Initialisatie!$C$5,12,31)) - MAX($E$2, DATE(Initialisatie!$C$5,1,1)) + 1),
        IFERROR(VALUE($F104),0) * MAX(0, MIN($F$1, DATE(Initialisatie!$C$5,12,31)) - MAX($F$2, DATE(Initialisatie!$C$5,1,1)) + 1),
        IFERROR(VALUE($G104),0) * MAX(0, MIN($G$1, DATE(Initialisatie!$C$5,12,31)) - MAX($G$2, DATE(Initialisatie!$C$5,1,1)) + 1),
        IFERROR(VALUE($H104),0) * MAX(0, MIN($H$1, DATE(Initialisatie!$C$5,12,31)) - MAX($H$2, DATE(Initialisatie!$C$5,1,1)) + 1),
        IFERROR(VALUE($I104),0) * MAX(0, MIN($I$1, DATE(Initialisatie!$C$5,12,31)) - MAX($I$2, DATE(Initialisatie!$C$5,1,1)) + 1),
        IFERROR(VALUE($J104),0) * MAX(0, MIN($J$1, DATE(Initialisatie!$C$5,12,31)) - MAX($J$2, DATE(Initialisatie!$C$5,1,1)) + 1)
    ) / (DATE(Initialisatie!$C$5,12,31) - DATE(Initialisatie!$C$5,1,1) + 1)
)</f>
        <v>3727</v>
      </c>
    </row>
    <row r="105" spans="1:12" x14ac:dyDescent="0.45">
      <c r="A105" s="989"/>
      <c r="B105" s="35" t="s">
        <v>533</v>
      </c>
      <c r="C105" s="35" t="s">
        <v>533</v>
      </c>
      <c r="D105" s="35" t="s">
        <v>598</v>
      </c>
      <c r="E105">
        <v>3233</v>
      </c>
      <c r="F105">
        <v>3298</v>
      </c>
      <c r="G105">
        <v>3529</v>
      </c>
      <c r="H105">
        <v>3670</v>
      </c>
      <c r="I105">
        <v>3817</v>
      </c>
      <c r="J105">
        <v>3817</v>
      </c>
      <c r="L105">
        <f>IF(
    OR(
        AND(MAX(0, MIN($E$1, DATE(Initialisatie!$C$5,12,31)) - MAX($E$2, DATE(Initialisatie!$C$5,1,1)) + 1) &gt; 0, IFERROR(VALUE($E105),0)=0),
        AND(MAX(0, MIN($F$1, DATE(Initialisatie!$C$5,12,31)) - MAX($F$2, DATE(Initialisatie!$C$5,1,1)) + 1) &gt; 0, IFERROR(VALUE($F105),0)=0),
        AND(MAX(0, MIN($G$1, DATE(Initialisatie!$C$5,12,31)) - MAX($G$2, DATE(Initialisatie!$C$5,1,1)) + 1) &gt; 0, IFERROR(VALUE($G105),0)=0),
        AND(MAX(0, MIN($H$1, DATE(Initialisatie!$C$5,12,31)) - MAX($H$2, DATE(Initialisatie!$C$5,1,1)) + 1) &gt; 0, IFERROR(VALUE($H105),0)=0),
        AND(MAX(0, MIN($I$1, DATE(Initialisatie!$C$5,12,31)) - MAX($I$2, DATE(Initialisatie!$C$5,1,1)) + 1) &gt; 0, IFERROR(VALUE($I105),0)=0),
        AND(MAX(0, MIN($J$1, DATE(Initialisatie!$C$5,12,31)) - MAX($J$2, DATE(Initialisatie!$C$5,1,1)) + 1) &gt; 0, IFERROR(VALUE($J105),0)=0)
    ),
    0,
    SUM(
        IFERROR(VALUE($E105),0) * MAX(0, MIN($E$1, DATE(Initialisatie!$C$5,12,31)) - MAX($E$2, DATE(Initialisatie!$C$5,1,1)) + 1),
        IFERROR(VALUE($F105),0) * MAX(0, MIN($F$1, DATE(Initialisatie!$C$5,12,31)) - MAX($F$2, DATE(Initialisatie!$C$5,1,1)) + 1),
        IFERROR(VALUE($G105),0) * MAX(0, MIN($G$1, DATE(Initialisatie!$C$5,12,31)) - MAX($G$2, DATE(Initialisatie!$C$5,1,1)) + 1),
        IFERROR(VALUE($H105),0) * MAX(0, MIN($H$1, DATE(Initialisatie!$C$5,12,31)) - MAX($H$2, DATE(Initialisatie!$C$5,1,1)) + 1),
        IFERROR(VALUE($I105),0) * MAX(0, MIN($I$1, DATE(Initialisatie!$C$5,12,31)) - MAX($I$2, DATE(Initialisatie!$C$5,1,1)) + 1),
        IFERROR(VALUE($J105),0) * MAX(0, MIN($J$1, DATE(Initialisatie!$C$5,12,31)) - MAX($J$2, DATE(Initialisatie!$C$5,1,1)) + 1)
    ) / (DATE(Initialisatie!$C$5,12,31) - DATE(Initialisatie!$C$5,1,1) + 1)
)</f>
        <v>3817</v>
      </c>
    </row>
    <row r="106" spans="1:12" x14ac:dyDescent="0.45">
      <c r="A106" s="989"/>
      <c r="B106" s="35" t="s">
        <v>535</v>
      </c>
      <c r="C106" s="35" t="s">
        <v>535</v>
      </c>
      <c r="D106" s="35" t="s">
        <v>599</v>
      </c>
      <c r="E106">
        <v>3158</v>
      </c>
      <c r="F106">
        <v>3221</v>
      </c>
      <c r="G106">
        <v>3446</v>
      </c>
      <c r="H106">
        <v>3584</v>
      </c>
      <c r="I106">
        <v>3727</v>
      </c>
      <c r="J106">
        <v>3727</v>
      </c>
      <c r="L106">
        <f>IF(
    OR(
        AND(MAX(0, MIN($E$1, DATE(Initialisatie!$C$5,12,31)) - MAX($E$2, DATE(Initialisatie!$C$5,1,1)) + 1) &gt; 0, IFERROR(VALUE($E106),0)=0),
        AND(MAX(0, MIN($F$1, DATE(Initialisatie!$C$5,12,31)) - MAX($F$2, DATE(Initialisatie!$C$5,1,1)) + 1) &gt; 0, IFERROR(VALUE($F106),0)=0),
        AND(MAX(0, MIN($G$1, DATE(Initialisatie!$C$5,12,31)) - MAX($G$2, DATE(Initialisatie!$C$5,1,1)) + 1) &gt; 0, IFERROR(VALUE($G106),0)=0),
        AND(MAX(0, MIN($H$1, DATE(Initialisatie!$C$5,12,31)) - MAX($H$2, DATE(Initialisatie!$C$5,1,1)) + 1) &gt; 0, IFERROR(VALUE($H106),0)=0),
        AND(MAX(0, MIN($I$1, DATE(Initialisatie!$C$5,12,31)) - MAX($I$2, DATE(Initialisatie!$C$5,1,1)) + 1) &gt; 0, IFERROR(VALUE($I106),0)=0),
        AND(MAX(0, MIN($J$1, DATE(Initialisatie!$C$5,12,31)) - MAX($J$2, DATE(Initialisatie!$C$5,1,1)) + 1) &gt; 0, IFERROR(VALUE($J106),0)=0)
    ),
    0,
    SUM(
        IFERROR(VALUE($E106),0) * MAX(0, MIN($E$1, DATE(Initialisatie!$C$5,12,31)) - MAX($E$2, DATE(Initialisatie!$C$5,1,1)) + 1),
        IFERROR(VALUE($F106),0) * MAX(0, MIN($F$1, DATE(Initialisatie!$C$5,12,31)) - MAX($F$2, DATE(Initialisatie!$C$5,1,1)) + 1),
        IFERROR(VALUE($G106),0) * MAX(0, MIN($G$1, DATE(Initialisatie!$C$5,12,31)) - MAX($G$2, DATE(Initialisatie!$C$5,1,1)) + 1),
        IFERROR(VALUE($H106),0) * MAX(0, MIN($H$1, DATE(Initialisatie!$C$5,12,31)) - MAX($H$2, DATE(Initialisatie!$C$5,1,1)) + 1),
        IFERROR(VALUE($I106),0) * MAX(0, MIN($I$1, DATE(Initialisatie!$C$5,12,31)) - MAX($I$2, DATE(Initialisatie!$C$5,1,1)) + 1),
        IFERROR(VALUE($J106),0) * MAX(0, MIN($J$1, DATE(Initialisatie!$C$5,12,31)) - MAX($J$2, DATE(Initialisatie!$C$5,1,1)) + 1)
    ) / (DATE(Initialisatie!$C$5,12,31) - DATE(Initialisatie!$C$5,1,1) + 1)
)</f>
        <v>3727</v>
      </c>
    </row>
    <row r="107" spans="1:12" x14ac:dyDescent="0.45">
      <c r="A107" s="989"/>
      <c r="B107" s="35" t="s">
        <v>537</v>
      </c>
      <c r="C107" s="35" t="s">
        <v>537</v>
      </c>
      <c r="D107" s="35" t="s">
        <v>600</v>
      </c>
      <c r="E107">
        <v>3233</v>
      </c>
      <c r="F107">
        <v>3298</v>
      </c>
      <c r="G107">
        <v>3529</v>
      </c>
      <c r="H107">
        <v>3670</v>
      </c>
      <c r="I107">
        <v>3817</v>
      </c>
      <c r="J107">
        <v>3817</v>
      </c>
      <c r="L107">
        <f>IF(
    OR(
        AND(MAX(0, MIN($E$1, DATE(Initialisatie!$C$5,12,31)) - MAX($E$2, DATE(Initialisatie!$C$5,1,1)) + 1) &gt; 0, IFERROR(VALUE($E107),0)=0),
        AND(MAX(0, MIN($F$1, DATE(Initialisatie!$C$5,12,31)) - MAX($F$2, DATE(Initialisatie!$C$5,1,1)) + 1) &gt; 0, IFERROR(VALUE($F107),0)=0),
        AND(MAX(0, MIN($G$1, DATE(Initialisatie!$C$5,12,31)) - MAX($G$2, DATE(Initialisatie!$C$5,1,1)) + 1) &gt; 0, IFERROR(VALUE($G107),0)=0),
        AND(MAX(0, MIN($H$1, DATE(Initialisatie!$C$5,12,31)) - MAX($H$2, DATE(Initialisatie!$C$5,1,1)) + 1) &gt; 0, IFERROR(VALUE($H107),0)=0),
        AND(MAX(0, MIN($I$1, DATE(Initialisatie!$C$5,12,31)) - MAX($I$2, DATE(Initialisatie!$C$5,1,1)) + 1) &gt; 0, IFERROR(VALUE($I107),0)=0),
        AND(MAX(0, MIN($J$1, DATE(Initialisatie!$C$5,12,31)) - MAX($J$2, DATE(Initialisatie!$C$5,1,1)) + 1) &gt; 0, IFERROR(VALUE($J107),0)=0)
    ),
    0,
    SUM(
        IFERROR(VALUE($E107),0) * MAX(0, MIN($E$1, DATE(Initialisatie!$C$5,12,31)) - MAX($E$2, DATE(Initialisatie!$C$5,1,1)) + 1),
        IFERROR(VALUE($F107),0) * MAX(0, MIN($F$1, DATE(Initialisatie!$C$5,12,31)) - MAX($F$2, DATE(Initialisatie!$C$5,1,1)) + 1),
        IFERROR(VALUE($G107),0) * MAX(0, MIN($G$1, DATE(Initialisatie!$C$5,12,31)) - MAX($G$2, DATE(Initialisatie!$C$5,1,1)) + 1),
        IFERROR(VALUE($H107),0) * MAX(0, MIN($H$1, DATE(Initialisatie!$C$5,12,31)) - MAX($H$2, DATE(Initialisatie!$C$5,1,1)) + 1),
        IFERROR(VALUE($I107),0) * MAX(0, MIN($I$1, DATE(Initialisatie!$C$5,12,31)) - MAX($I$2, DATE(Initialisatie!$C$5,1,1)) + 1),
        IFERROR(VALUE($J107),0) * MAX(0, MIN($J$1, DATE(Initialisatie!$C$5,12,31)) - MAX($J$2, DATE(Initialisatie!$C$5,1,1)) + 1)
    ) / (DATE(Initialisatie!$C$5,12,31) - DATE(Initialisatie!$C$5,1,1) + 1)
)</f>
        <v>3817</v>
      </c>
    </row>
    <row r="108" spans="1:12" x14ac:dyDescent="0.45">
      <c r="A108" s="989"/>
      <c r="B108" s="35" t="s">
        <v>539</v>
      </c>
      <c r="C108" s="35" t="s">
        <v>539</v>
      </c>
      <c r="D108" s="35" t="s">
        <v>601</v>
      </c>
      <c r="E108">
        <v>3314</v>
      </c>
      <c r="F108">
        <v>3380</v>
      </c>
      <c r="G108">
        <v>3617</v>
      </c>
      <c r="H108">
        <v>3762</v>
      </c>
      <c r="I108">
        <v>3912</v>
      </c>
      <c r="J108">
        <v>3912</v>
      </c>
      <c r="L108">
        <f>IF(
    OR(
        AND(MAX(0, MIN($E$1, DATE(Initialisatie!$C$5,12,31)) - MAX($E$2, DATE(Initialisatie!$C$5,1,1)) + 1) &gt; 0, IFERROR(VALUE($E108),0)=0),
        AND(MAX(0, MIN($F$1, DATE(Initialisatie!$C$5,12,31)) - MAX($F$2, DATE(Initialisatie!$C$5,1,1)) + 1) &gt; 0, IFERROR(VALUE($F108),0)=0),
        AND(MAX(0, MIN($G$1, DATE(Initialisatie!$C$5,12,31)) - MAX($G$2, DATE(Initialisatie!$C$5,1,1)) + 1) &gt; 0, IFERROR(VALUE($G108),0)=0),
        AND(MAX(0, MIN($H$1, DATE(Initialisatie!$C$5,12,31)) - MAX($H$2, DATE(Initialisatie!$C$5,1,1)) + 1) &gt; 0, IFERROR(VALUE($H108),0)=0),
        AND(MAX(0, MIN($I$1, DATE(Initialisatie!$C$5,12,31)) - MAX($I$2, DATE(Initialisatie!$C$5,1,1)) + 1) &gt; 0, IFERROR(VALUE($I108),0)=0),
        AND(MAX(0, MIN($J$1, DATE(Initialisatie!$C$5,12,31)) - MAX($J$2, DATE(Initialisatie!$C$5,1,1)) + 1) &gt; 0, IFERROR(VALUE($J108),0)=0)
    ),
    0,
    SUM(
        IFERROR(VALUE($E108),0) * MAX(0, MIN($E$1, DATE(Initialisatie!$C$5,12,31)) - MAX($E$2, DATE(Initialisatie!$C$5,1,1)) + 1),
        IFERROR(VALUE($F108),0) * MAX(0, MIN($F$1, DATE(Initialisatie!$C$5,12,31)) - MAX($F$2, DATE(Initialisatie!$C$5,1,1)) + 1),
        IFERROR(VALUE($G108),0) * MAX(0, MIN($G$1, DATE(Initialisatie!$C$5,12,31)) - MAX($G$2, DATE(Initialisatie!$C$5,1,1)) + 1),
        IFERROR(VALUE($H108),0) * MAX(0, MIN($H$1, DATE(Initialisatie!$C$5,12,31)) - MAX($H$2, DATE(Initialisatie!$C$5,1,1)) + 1),
        IFERROR(VALUE($I108),0) * MAX(0, MIN($I$1, DATE(Initialisatie!$C$5,12,31)) - MAX($I$2, DATE(Initialisatie!$C$5,1,1)) + 1),
        IFERROR(VALUE($J108),0) * MAX(0, MIN($J$1, DATE(Initialisatie!$C$5,12,31)) - MAX($J$2, DATE(Initialisatie!$C$5,1,1)) + 1)
    ) / (DATE(Initialisatie!$C$5,12,31) - DATE(Initialisatie!$C$5,1,1) + 1)
)</f>
        <v>3912</v>
      </c>
    </row>
    <row r="109" spans="1:12" x14ac:dyDescent="0.45">
      <c r="A109" s="989"/>
      <c r="B109" s="35" t="s">
        <v>541</v>
      </c>
      <c r="C109" s="35" t="s">
        <v>541</v>
      </c>
      <c r="D109" s="35" t="s">
        <v>602</v>
      </c>
      <c r="E109">
        <v>3399</v>
      </c>
      <c r="F109">
        <v>3467</v>
      </c>
      <c r="G109">
        <v>3710</v>
      </c>
      <c r="H109">
        <v>3858</v>
      </c>
      <c r="I109">
        <v>4012</v>
      </c>
      <c r="J109">
        <v>4012</v>
      </c>
      <c r="L109">
        <f>IF(
    OR(
        AND(MAX(0, MIN($E$1, DATE(Initialisatie!$C$5,12,31)) - MAX($E$2, DATE(Initialisatie!$C$5,1,1)) + 1) &gt; 0, IFERROR(VALUE($E109),0)=0),
        AND(MAX(0, MIN($F$1, DATE(Initialisatie!$C$5,12,31)) - MAX($F$2, DATE(Initialisatie!$C$5,1,1)) + 1) &gt; 0, IFERROR(VALUE($F109),0)=0),
        AND(MAX(0, MIN($G$1, DATE(Initialisatie!$C$5,12,31)) - MAX($G$2, DATE(Initialisatie!$C$5,1,1)) + 1) &gt; 0, IFERROR(VALUE($G109),0)=0),
        AND(MAX(0, MIN($H$1, DATE(Initialisatie!$C$5,12,31)) - MAX($H$2, DATE(Initialisatie!$C$5,1,1)) + 1) &gt; 0, IFERROR(VALUE($H109),0)=0),
        AND(MAX(0, MIN($I$1, DATE(Initialisatie!$C$5,12,31)) - MAX($I$2, DATE(Initialisatie!$C$5,1,1)) + 1) &gt; 0, IFERROR(VALUE($I109),0)=0),
        AND(MAX(0, MIN($J$1, DATE(Initialisatie!$C$5,12,31)) - MAX($J$2, DATE(Initialisatie!$C$5,1,1)) + 1) &gt; 0, IFERROR(VALUE($J109),0)=0)
    ),
    0,
    SUM(
        IFERROR(VALUE($E109),0) * MAX(0, MIN($E$1, DATE(Initialisatie!$C$5,12,31)) - MAX($E$2, DATE(Initialisatie!$C$5,1,1)) + 1),
        IFERROR(VALUE($F109),0) * MAX(0, MIN($F$1, DATE(Initialisatie!$C$5,12,31)) - MAX($F$2, DATE(Initialisatie!$C$5,1,1)) + 1),
        IFERROR(VALUE($G109),0) * MAX(0, MIN($G$1, DATE(Initialisatie!$C$5,12,31)) - MAX($G$2, DATE(Initialisatie!$C$5,1,1)) + 1),
        IFERROR(VALUE($H109),0) * MAX(0, MIN($H$1, DATE(Initialisatie!$C$5,12,31)) - MAX($H$2, DATE(Initialisatie!$C$5,1,1)) + 1),
        IFERROR(VALUE($I109),0) * MAX(0, MIN($I$1, DATE(Initialisatie!$C$5,12,31)) - MAX($I$2, DATE(Initialisatie!$C$5,1,1)) + 1),
        IFERROR(VALUE($J109),0) * MAX(0, MIN($J$1, DATE(Initialisatie!$C$5,12,31)) - MAX($J$2, DATE(Initialisatie!$C$5,1,1)) + 1)
    ) / (DATE(Initialisatie!$C$5,12,31) - DATE(Initialisatie!$C$5,1,1) + 1)
)</f>
        <v>4012</v>
      </c>
    </row>
    <row r="110" spans="1:12" x14ac:dyDescent="0.45">
      <c r="A110" s="990"/>
      <c r="B110" s="35" t="s">
        <v>543</v>
      </c>
      <c r="C110" s="35" t="s">
        <v>543</v>
      </c>
      <c r="D110" s="35" t="s">
        <v>603</v>
      </c>
      <c r="E110">
        <v>3470</v>
      </c>
      <c r="F110">
        <v>3539</v>
      </c>
      <c r="G110">
        <v>3787</v>
      </c>
      <c r="H110">
        <v>3938</v>
      </c>
      <c r="I110">
        <v>4096</v>
      </c>
      <c r="J110">
        <v>4096</v>
      </c>
      <c r="L110">
        <f>IF(
    OR(
        AND(MAX(0, MIN($E$1, DATE(Initialisatie!$C$5,12,31)) - MAX($E$2, DATE(Initialisatie!$C$5,1,1)) + 1) &gt; 0, IFERROR(VALUE($E110),0)=0),
        AND(MAX(0, MIN($F$1, DATE(Initialisatie!$C$5,12,31)) - MAX($F$2, DATE(Initialisatie!$C$5,1,1)) + 1) &gt; 0, IFERROR(VALUE($F110),0)=0),
        AND(MAX(0, MIN($G$1, DATE(Initialisatie!$C$5,12,31)) - MAX($G$2, DATE(Initialisatie!$C$5,1,1)) + 1) &gt; 0, IFERROR(VALUE($G110),0)=0),
        AND(MAX(0, MIN($H$1, DATE(Initialisatie!$C$5,12,31)) - MAX($H$2, DATE(Initialisatie!$C$5,1,1)) + 1) &gt; 0, IFERROR(VALUE($H110),0)=0),
        AND(MAX(0, MIN($I$1, DATE(Initialisatie!$C$5,12,31)) - MAX($I$2, DATE(Initialisatie!$C$5,1,1)) + 1) &gt; 0, IFERROR(VALUE($I110),0)=0),
        AND(MAX(0, MIN($J$1, DATE(Initialisatie!$C$5,12,31)) - MAX($J$2, DATE(Initialisatie!$C$5,1,1)) + 1) &gt; 0, IFERROR(VALUE($J110),0)=0)
    ),
    0,
    SUM(
        IFERROR(VALUE($E110),0) * MAX(0, MIN($E$1, DATE(Initialisatie!$C$5,12,31)) - MAX($E$2, DATE(Initialisatie!$C$5,1,1)) + 1),
        IFERROR(VALUE($F110),0) * MAX(0, MIN($F$1, DATE(Initialisatie!$C$5,12,31)) - MAX($F$2, DATE(Initialisatie!$C$5,1,1)) + 1),
        IFERROR(VALUE($G110),0) * MAX(0, MIN($G$1, DATE(Initialisatie!$C$5,12,31)) - MAX($G$2, DATE(Initialisatie!$C$5,1,1)) + 1),
        IFERROR(VALUE($H110),0) * MAX(0, MIN($H$1, DATE(Initialisatie!$C$5,12,31)) - MAX($H$2, DATE(Initialisatie!$C$5,1,1)) + 1),
        IFERROR(VALUE($I110),0) * MAX(0, MIN($I$1, DATE(Initialisatie!$C$5,12,31)) - MAX($I$2, DATE(Initialisatie!$C$5,1,1)) + 1),
        IFERROR(VALUE($J110),0) * MAX(0, MIN($J$1, DATE(Initialisatie!$C$5,12,31)) - MAX($J$2, DATE(Initialisatie!$C$5,1,1)) + 1)
    ) / (DATE(Initialisatie!$C$5,12,31) - DATE(Initialisatie!$C$5,1,1) + 1)
)</f>
        <v>4096</v>
      </c>
    </row>
    <row r="111" spans="1:12" x14ac:dyDescent="0.45">
      <c r="A111" s="988">
        <v>6</v>
      </c>
      <c r="B111" s="35" t="s">
        <v>517</v>
      </c>
      <c r="C111" s="35" t="s">
        <v>517</v>
      </c>
      <c r="D111" s="35" t="s">
        <v>604</v>
      </c>
      <c r="E111">
        <v>2375</v>
      </c>
      <c r="F111">
        <v>2423</v>
      </c>
      <c r="G111">
        <v>2593</v>
      </c>
      <c r="H111">
        <v>2697</v>
      </c>
      <c r="I111">
        <v>2805</v>
      </c>
      <c r="J111">
        <v>2805</v>
      </c>
      <c r="L111">
        <f>IF(
    OR(
        AND(MAX(0, MIN($E$1, DATE(Initialisatie!$C$5,12,31)) - MAX($E$2, DATE(Initialisatie!$C$5,1,1)) + 1) &gt; 0, IFERROR(VALUE($E111),0)=0),
        AND(MAX(0, MIN($F$1, DATE(Initialisatie!$C$5,12,31)) - MAX($F$2, DATE(Initialisatie!$C$5,1,1)) + 1) &gt; 0, IFERROR(VALUE($F111),0)=0),
        AND(MAX(0, MIN($G$1, DATE(Initialisatie!$C$5,12,31)) - MAX($G$2, DATE(Initialisatie!$C$5,1,1)) + 1) &gt; 0, IFERROR(VALUE($G111),0)=0),
        AND(MAX(0, MIN($H$1, DATE(Initialisatie!$C$5,12,31)) - MAX($H$2, DATE(Initialisatie!$C$5,1,1)) + 1) &gt; 0, IFERROR(VALUE($H111),0)=0),
        AND(MAX(0, MIN($I$1, DATE(Initialisatie!$C$5,12,31)) - MAX($I$2, DATE(Initialisatie!$C$5,1,1)) + 1) &gt; 0, IFERROR(VALUE($I111),0)=0),
        AND(MAX(0, MIN($J$1, DATE(Initialisatie!$C$5,12,31)) - MAX($J$2, DATE(Initialisatie!$C$5,1,1)) + 1) &gt; 0, IFERROR(VALUE($J111),0)=0)
    ),
    0,
    SUM(
        IFERROR(VALUE($E111),0) * MAX(0, MIN($E$1, DATE(Initialisatie!$C$5,12,31)) - MAX($E$2, DATE(Initialisatie!$C$5,1,1)) + 1),
        IFERROR(VALUE($F111),0) * MAX(0, MIN($F$1, DATE(Initialisatie!$C$5,12,31)) - MAX($F$2, DATE(Initialisatie!$C$5,1,1)) + 1),
        IFERROR(VALUE($G111),0) * MAX(0, MIN($G$1, DATE(Initialisatie!$C$5,12,31)) - MAX($G$2, DATE(Initialisatie!$C$5,1,1)) + 1),
        IFERROR(VALUE($H111),0) * MAX(0, MIN($H$1, DATE(Initialisatie!$C$5,12,31)) - MAX($H$2, DATE(Initialisatie!$C$5,1,1)) + 1),
        IFERROR(VALUE($I111),0) * MAX(0, MIN($I$1, DATE(Initialisatie!$C$5,12,31)) - MAX($I$2, DATE(Initialisatie!$C$5,1,1)) + 1),
        IFERROR(VALUE($J111),0) * MAX(0, MIN($J$1, DATE(Initialisatie!$C$5,12,31)) - MAX($J$2, DATE(Initialisatie!$C$5,1,1)) + 1)
    ) / (DATE(Initialisatie!$C$5,12,31) - DATE(Initialisatie!$C$5,1,1) + 1)
)</f>
        <v>2805</v>
      </c>
    </row>
    <row r="112" spans="1:12" x14ac:dyDescent="0.45">
      <c r="A112" s="989"/>
      <c r="B112" s="35">
        <v>0</v>
      </c>
      <c r="C112" s="35">
        <v>0</v>
      </c>
      <c r="D112" s="35" t="s">
        <v>257</v>
      </c>
      <c r="E112">
        <v>2423</v>
      </c>
      <c r="F112">
        <v>2471</v>
      </c>
      <c r="G112">
        <v>2644</v>
      </c>
      <c r="H112">
        <v>2750</v>
      </c>
      <c r="I112">
        <v>2860</v>
      </c>
      <c r="J112">
        <v>2860</v>
      </c>
      <c r="L112">
        <f>IF(
    OR(
        AND(MAX(0, MIN($E$1, DATE(Initialisatie!$C$5,12,31)) - MAX($E$2, DATE(Initialisatie!$C$5,1,1)) + 1) &gt; 0, IFERROR(VALUE($E112),0)=0),
        AND(MAX(0, MIN($F$1, DATE(Initialisatie!$C$5,12,31)) - MAX($F$2, DATE(Initialisatie!$C$5,1,1)) + 1) &gt; 0, IFERROR(VALUE($F112),0)=0),
        AND(MAX(0, MIN($G$1, DATE(Initialisatie!$C$5,12,31)) - MAX($G$2, DATE(Initialisatie!$C$5,1,1)) + 1) &gt; 0, IFERROR(VALUE($G112),0)=0),
        AND(MAX(0, MIN($H$1, DATE(Initialisatie!$C$5,12,31)) - MAX($H$2, DATE(Initialisatie!$C$5,1,1)) + 1) &gt; 0, IFERROR(VALUE($H112),0)=0),
        AND(MAX(0, MIN($I$1, DATE(Initialisatie!$C$5,12,31)) - MAX($I$2, DATE(Initialisatie!$C$5,1,1)) + 1) &gt; 0, IFERROR(VALUE($I112),0)=0),
        AND(MAX(0, MIN($J$1, DATE(Initialisatie!$C$5,12,31)) - MAX($J$2, DATE(Initialisatie!$C$5,1,1)) + 1) &gt; 0, IFERROR(VALUE($J112),0)=0)
    ),
    0,
    SUM(
        IFERROR(VALUE($E112),0) * MAX(0, MIN($E$1, DATE(Initialisatie!$C$5,12,31)) - MAX($E$2, DATE(Initialisatie!$C$5,1,1)) + 1),
        IFERROR(VALUE($F112),0) * MAX(0, MIN($F$1, DATE(Initialisatie!$C$5,12,31)) - MAX($F$2, DATE(Initialisatie!$C$5,1,1)) + 1),
        IFERROR(VALUE($G112),0) * MAX(0, MIN($G$1, DATE(Initialisatie!$C$5,12,31)) - MAX($G$2, DATE(Initialisatie!$C$5,1,1)) + 1),
        IFERROR(VALUE($H112),0) * MAX(0, MIN($H$1, DATE(Initialisatie!$C$5,12,31)) - MAX($H$2, DATE(Initialisatie!$C$5,1,1)) + 1),
        IFERROR(VALUE($I112),0) * MAX(0, MIN($I$1, DATE(Initialisatie!$C$5,12,31)) - MAX($I$2, DATE(Initialisatie!$C$5,1,1)) + 1),
        IFERROR(VALUE($J112),0) * MAX(0, MIN($J$1, DATE(Initialisatie!$C$5,12,31)) - MAX($J$2, DATE(Initialisatie!$C$5,1,1)) + 1)
    ) / (DATE(Initialisatie!$C$5,12,31) - DATE(Initialisatie!$C$5,1,1) + 1)
)</f>
        <v>2860</v>
      </c>
    </row>
    <row r="113" spans="1:12" x14ac:dyDescent="0.45">
      <c r="A113" s="989"/>
      <c r="B113" s="35">
        <v>1</v>
      </c>
      <c r="C113" s="35">
        <v>1</v>
      </c>
      <c r="D113" s="35" t="s">
        <v>256</v>
      </c>
      <c r="E113">
        <v>2491</v>
      </c>
      <c r="F113">
        <v>2541</v>
      </c>
      <c r="G113">
        <v>2719</v>
      </c>
      <c r="H113">
        <v>2828</v>
      </c>
      <c r="I113">
        <v>2941</v>
      </c>
      <c r="J113">
        <v>2941</v>
      </c>
      <c r="L113">
        <f>IF(
    OR(
        AND(MAX(0, MIN($E$1, DATE(Initialisatie!$C$5,12,31)) - MAX($E$2, DATE(Initialisatie!$C$5,1,1)) + 1) &gt; 0, IFERROR(VALUE($E113),0)=0),
        AND(MAX(0, MIN($F$1, DATE(Initialisatie!$C$5,12,31)) - MAX($F$2, DATE(Initialisatie!$C$5,1,1)) + 1) &gt; 0, IFERROR(VALUE($F113),0)=0),
        AND(MAX(0, MIN($G$1, DATE(Initialisatie!$C$5,12,31)) - MAX($G$2, DATE(Initialisatie!$C$5,1,1)) + 1) &gt; 0, IFERROR(VALUE($G113),0)=0),
        AND(MAX(0, MIN($H$1, DATE(Initialisatie!$C$5,12,31)) - MAX($H$2, DATE(Initialisatie!$C$5,1,1)) + 1) &gt; 0, IFERROR(VALUE($H113),0)=0),
        AND(MAX(0, MIN($I$1, DATE(Initialisatie!$C$5,12,31)) - MAX($I$2, DATE(Initialisatie!$C$5,1,1)) + 1) &gt; 0, IFERROR(VALUE($I113),0)=0),
        AND(MAX(0, MIN($J$1, DATE(Initialisatie!$C$5,12,31)) - MAX($J$2, DATE(Initialisatie!$C$5,1,1)) + 1) &gt; 0, IFERROR(VALUE($J113),0)=0)
    ),
    0,
    SUM(
        IFERROR(VALUE($E113),0) * MAX(0, MIN($E$1, DATE(Initialisatie!$C$5,12,31)) - MAX($E$2, DATE(Initialisatie!$C$5,1,1)) + 1),
        IFERROR(VALUE($F113),0) * MAX(0, MIN($F$1, DATE(Initialisatie!$C$5,12,31)) - MAX($F$2, DATE(Initialisatie!$C$5,1,1)) + 1),
        IFERROR(VALUE($G113),0) * MAX(0, MIN($G$1, DATE(Initialisatie!$C$5,12,31)) - MAX($G$2, DATE(Initialisatie!$C$5,1,1)) + 1),
        IFERROR(VALUE($H113),0) * MAX(0, MIN($H$1, DATE(Initialisatie!$C$5,12,31)) - MAX($H$2, DATE(Initialisatie!$C$5,1,1)) + 1),
        IFERROR(VALUE($I113),0) * MAX(0, MIN($I$1, DATE(Initialisatie!$C$5,12,31)) - MAX($I$2, DATE(Initialisatie!$C$5,1,1)) + 1),
        IFERROR(VALUE($J113),0) * MAX(0, MIN($J$1, DATE(Initialisatie!$C$5,12,31)) - MAX($J$2, DATE(Initialisatie!$C$5,1,1)) + 1)
    ) / (DATE(Initialisatie!$C$5,12,31) - DATE(Initialisatie!$C$5,1,1) + 1)
)</f>
        <v>2941</v>
      </c>
    </row>
    <row r="114" spans="1:12" x14ac:dyDescent="0.45">
      <c r="A114" s="989"/>
      <c r="B114" s="35">
        <v>2</v>
      </c>
      <c r="C114" s="35">
        <v>2</v>
      </c>
      <c r="D114" s="35" t="s">
        <v>251</v>
      </c>
      <c r="E114">
        <v>2572</v>
      </c>
      <c r="F114">
        <v>2623</v>
      </c>
      <c r="G114">
        <v>2807</v>
      </c>
      <c r="H114">
        <v>2919</v>
      </c>
      <c r="I114">
        <v>3036</v>
      </c>
      <c r="J114">
        <v>3036</v>
      </c>
      <c r="L114">
        <f>IF(
    OR(
        AND(MAX(0, MIN($E$1, DATE(Initialisatie!$C$5,12,31)) - MAX($E$2, DATE(Initialisatie!$C$5,1,1)) + 1) &gt; 0, IFERROR(VALUE($E114),0)=0),
        AND(MAX(0, MIN($F$1, DATE(Initialisatie!$C$5,12,31)) - MAX($F$2, DATE(Initialisatie!$C$5,1,1)) + 1) &gt; 0, IFERROR(VALUE($F114),0)=0),
        AND(MAX(0, MIN($G$1, DATE(Initialisatie!$C$5,12,31)) - MAX($G$2, DATE(Initialisatie!$C$5,1,1)) + 1) &gt; 0, IFERROR(VALUE($G114),0)=0),
        AND(MAX(0, MIN($H$1, DATE(Initialisatie!$C$5,12,31)) - MAX($H$2, DATE(Initialisatie!$C$5,1,1)) + 1) &gt; 0, IFERROR(VALUE($H114),0)=0),
        AND(MAX(0, MIN($I$1, DATE(Initialisatie!$C$5,12,31)) - MAX($I$2, DATE(Initialisatie!$C$5,1,1)) + 1) &gt; 0, IFERROR(VALUE($I114),0)=0),
        AND(MAX(0, MIN($J$1, DATE(Initialisatie!$C$5,12,31)) - MAX($J$2, DATE(Initialisatie!$C$5,1,1)) + 1) &gt; 0, IFERROR(VALUE($J114),0)=0)
    ),
    0,
    SUM(
        IFERROR(VALUE($E114),0) * MAX(0, MIN($E$1, DATE(Initialisatie!$C$5,12,31)) - MAX($E$2, DATE(Initialisatie!$C$5,1,1)) + 1),
        IFERROR(VALUE($F114),0) * MAX(0, MIN($F$1, DATE(Initialisatie!$C$5,12,31)) - MAX($F$2, DATE(Initialisatie!$C$5,1,1)) + 1),
        IFERROR(VALUE($G114),0) * MAX(0, MIN($G$1, DATE(Initialisatie!$C$5,12,31)) - MAX($G$2, DATE(Initialisatie!$C$5,1,1)) + 1),
        IFERROR(VALUE($H114),0) * MAX(0, MIN($H$1, DATE(Initialisatie!$C$5,12,31)) - MAX($H$2, DATE(Initialisatie!$C$5,1,1)) + 1),
        IFERROR(VALUE($I114),0) * MAX(0, MIN($I$1, DATE(Initialisatie!$C$5,12,31)) - MAX($I$2, DATE(Initialisatie!$C$5,1,1)) + 1),
        IFERROR(VALUE($J114),0) * MAX(0, MIN($J$1, DATE(Initialisatie!$C$5,12,31)) - MAX($J$2, DATE(Initialisatie!$C$5,1,1)) + 1)
    ) / (DATE(Initialisatie!$C$5,12,31) - DATE(Initialisatie!$C$5,1,1) + 1)
)</f>
        <v>3036</v>
      </c>
    </row>
    <row r="115" spans="1:12" x14ac:dyDescent="0.45">
      <c r="A115" s="989"/>
      <c r="B115" s="35">
        <v>3</v>
      </c>
      <c r="C115" s="35">
        <v>3</v>
      </c>
      <c r="D115" s="35" t="s">
        <v>250</v>
      </c>
      <c r="E115">
        <v>2644</v>
      </c>
      <c r="F115">
        <v>2697</v>
      </c>
      <c r="G115">
        <v>2886</v>
      </c>
      <c r="H115">
        <v>3001</v>
      </c>
      <c r="I115">
        <v>3121</v>
      </c>
      <c r="J115">
        <v>3121</v>
      </c>
      <c r="L115">
        <f>IF(
    OR(
        AND(MAX(0, MIN($E$1, DATE(Initialisatie!$C$5,12,31)) - MAX($E$2, DATE(Initialisatie!$C$5,1,1)) + 1) &gt; 0, IFERROR(VALUE($E115),0)=0),
        AND(MAX(0, MIN($F$1, DATE(Initialisatie!$C$5,12,31)) - MAX($F$2, DATE(Initialisatie!$C$5,1,1)) + 1) &gt; 0, IFERROR(VALUE($F115),0)=0),
        AND(MAX(0, MIN($G$1, DATE(Initialisatie!$C$5,12,31)) - MAX($G$2, DATE(Initialisatie!$C$5,1,1)) + 1) &gt; 0, IFERROR(VALUE($G115),0)=0),
        AND(MAX(0, MIN($H$1, DATE(Initialisatie!$C$5,12,31)) - MAX($H$2, DATE(Initialisatie!$C$5,1,1)) + 1) &gt; 0, IFERROR(VALUE($H115),0)=0),
        AND(MAX(0, MIN($I$1, DATE(Initialisatie!$C$5,12,31)) - MAX($I$2, DATE(Initialisatie!$C$5,1,1)) + 1) &gt; 0, IFERROR(VALUE($I115),0)=0),
        AND(MAX(0, MIN($J$1, DATE(Initialisatie!$C$5,12,31)) - MAX($J$2, DATE(Initialisatie!$C$5,1,1)) + 1) &gt; 0, IFERROR(VALUE($J115),0)=0)
    ),
    0,
    SUM(
        IFERROR(VALUE($E115),0) * MAX(0, MIN($E$1, DATE(Initialisatie!$C$5,12,31)) - MAX($E$2, DATE(Initialisatie!$C$5,1,1)) + 1),
        IFERROR(VALUE($F115),0) * MAX(0, MIN($F$1, DATE(Initialisatie!$C$5,12,31)) - MAX($F$2, DATE(Initialisatie!$C$5,1,1)) + 1),
        IFERROR(VALUE($G115),0) * MAX(0, MIN($G$1, DATE(Initialisatie!$C$5,12,31)) - MAX($G$2, DATE(Initialisatie!$C$5,1,1)) + 1),
        IFERROR(VALUE($H115),0) * MAX(0, MIN($H$1, DATE(Initialisatie!$C$5,12,31)) - MAX($H$2, DATE(Initialisatie!$C$5,1,1)) + 1),
        IFERROR(VALUE($I115),0) * MAX(0, MIN($I$1, DATE(Initialisatie!$C$5,12,31)) - MAX($I$2, DATE(Initialisatie!$C$5,1,1)) + 1),
        IFERROR(VALUE($J115),0) * MAX(0, MIN($J$1, DATE(Initialisatie!$C$5,12,31)) - MAX($J$2, DATE(Initialisatie!$C$5,1,1)) + 1)
    ) / (DATE(Initialisatie!$C$5,12,31) - DATE(Initialisatie!$C$5,1,1) + 1)
)</f>
        <v>3121</v>
      </c>
    </row>
    <row r="116" spans="1:12" x14ac:dyDescent="0.45">
      <c r="A116" s="989"/>
      <c r="B116" s="35">
        <v>4</v>
      </c>
      <c r="C116" s="35">
        <v>4</v>
      </c>
      <c r="D116" s="35" t="s">
        <v>249</v>
      </c>
      <c r="E116">
        <v>2723</v>
      </c>
      <c r="F116">
        <v>2777</v>
      </c>
      <c r="G116">
        <v>2971</v>
      </c>
      <c r="H116">
        <v>3090</v>
      </c>
      <c r="I116">
        <v>3214</v>
      </c>
      <c r="J116">
        <v>3214</v>
      </c>
      <c r="L116">
        <f>IF(
    OR(
        AND(MAX(0, MIN($E$1, DATE(Initialisatie!$C$5,12,31)) - MAX($E$2, DATE(Initialisatie!$C$5,1,1)) + 1) &gt; 0, IFERROR(VALUE($E116),0)=0),
        AND(MAX(0, MIN($F$1, DATE(Initialisatie!$C$5,12,31)) - MAX($F$2, DATE(Initialisatie!$C$5,1,1)) + 1) &gt; 0, IFERROR(VALUE($F116),0)=0),
        AND(MAX(0, MIN($G$1, DATE(Initialisatie!$C$5,12,31)) - MAX($G$2, DATE(Initialisatie!$C$5,1,1)) + 1) &gt; 0, IFERROR(VALUE($G116),0)=0),
        AND(MAX(0, MIN($H$1, DATE(Initialisatie!$C$5,12,31)) - MAX($H$2, DATE(Initialisatie!$C$5,1,1)) + 1) &gt; 0, IFERROR(VALUE($H116),0)=0),
        AND(MAX(0, MIN($I$1, DATE(Initialisatie!$C$5,12,31)) - MAX($I$2, DATE(Initialisatie!$C$5,1,1)) + 1) &gt; 0, IFERROR(VALUE($I116),0)=0),
        AND(MAX(0, MIN($J$1, DATE(Initialisatie!$C$5,12,31)) - MAX($J$2, DATE(Initialisatie!$C$5,1,1)) + 1) &gt; 0, IFERROR(VALUE($J116),0)=0)
    ),
    0,
    SUM(
        IFERROR(VALUE($E116),0) * MAX(0, MIN($E$1, DATE(Initialisatie!$C$5,12,31)) - MAX($E$2, DATE(Initialisatie!$C$5,1,1)) + 1),
        IFERROR(VALUE($F116),0) * MAX(0, MIN($F$1, DATE(Initialisatie!$C$5,12,31)) - MAX($F$2, DATE(Initialisatie!$C$5,1,1)) + 1),
        IFERROR(VALUE($G116),0) * MAX(0, MIN($G$1, DATE(Initialisatie!$C$5,12,31)) - MAX($G$2, DATE(Initialisatie!$C$5,1,1)) + 1),
        IFERROR(VALUE($H116),0) * MAX(0, MIN($H$1, DATE(Initialisatie!$C$5,12,31)) - MAX($H$2, DATE(Initialisatie!$C$5,1,1)) + 1),
        IFERROR(VALUE($I116),0) * MAX(0, MIN($I$1, DATE(Initialisatie!$C$5,12,31)) - MAX($I$2, DATE(Initialisatie!$C$5,1,1)) + 1),
        IFERROR(VALUE($J116),0) * MAX(0, MIN($J$1, DATE(Initialisatie!$C$5,12,31)) - MAX($J$2, DATE(Initialisatie!$C$5,1,1)) + 1)
    ) / (DATE(Initialisatie!$C$5,12,31) - DATE(Initialisatie!$C$5,1,1) + 1)
)</f>
        <v>3214</v>
      </c>
    </row>
    <row r="117" spans="1:12" x14ac:dyDescent="0.45">
      <c r="A117" s="989"/>
      <c r="B117" s="35">
        <v>5</v>
      </c>
      <c r="C117" s="35">
        <v>5</v>
      </c>
      <c r="D117" s="35" t="s">
        <v>248</v>
      </c>
      <c r="E117">
        <v>2792</v>
      </c>
      <c r="F117">
        <v>2848</v>
      </c>
      <c r="G117">
        <v>3047</v>
      </c>
      <c r="H117">
        <v>3169</v>
      </c>
      <c r="I117">
        <v>3296</v>
      </c>
      <c r="J117">
        <v>3296</v>
      </c>
      <c r="L117">
        <f>IF(
    OR(
        AND(MAX(0, MIN($E$1, DATE(Initialisatie!$C$5,12,31)) - MAX($E$2, DATE(Initialisatie!$C$5,1,1)) + 1) &gt; 0, IFERROR(VALUE($E117),0)=0),
        AND(MAX(0, MIN($F$1, DATE(Initialisatie!$C$5,12,31)) - MAX($F$2, DATE(Initialisatie!$C$5,1,1)) + 1) &gt; 0, IFERROR(VALUE($F117),0)=0),
        AND(MAX(0, MIN($G$1, DATE(Initialisatie!$C$5,12,31)) - MAX($G$2, DATE(Initialisatie!$C$5,1,1)) + 1) &gt; 0, IFERROR(VALUE($G117),0)=0),
        AND(MAX(0, MIN($H$1, DATE(Initialisatie!$C$5,12,31)) - MAX($H$2, DATE(Initialisatie!$C$5,1,1)) + 1) &gt; 0, IFERROR(VALUE($H117),0)=0),
        AND(MAX(0, MIN($I$1, DATE(Initialisatie!$C$5,12,31)) - MAX($I$2, DATE(Initialisatie!$C$5,1,1)) + 1) &gt; 0, IFERROR(VALUE($I117),0)=0),
        AND(MAX(0, MIN($J$1, DATE(Initialisatie!$C$5,12,31)) - MAX($J$2, DATE(Initialisatie!$C$5,1,1)) + 1) &gt; 0, IFERROR(VALUE($J117),0)=0)
    ),
    0,
    SUM(
        IFERROR(VALUE($E117),0) * MAX(0, MIN($E$1, DATE(Initialisatie!$C$5,12,31)) - MAX($E$2, DATE(Initialisatie!$C$5,1,1)) + 1),
        IFERROR(VALUE($F117),0) * MAX(0, MIN($F$1, DATE(Initialisatie!$C$5,12,31)) - MAX($F$2, DATE(Initialisatie!$C$5,1,1)) + 1),
        IFERROR(VALUE($G117),0) * MAX(0, MIN($G$1, DATE(Initialisatie!$C$5,12,31)) - MAX($G$2, DATE(Initialisatie!$C$5,1,1)) + 1),
        IFERROR(VALUE($H117),0) * MAX(0, MIN($H$1, DATE(Initialisatie!$C$5,12,31)) - MAX($H$2, DATE(Initialisatie!$C$5,1,1)) + 1),
        IFERROR(VALUE($I117),0) * MAX(0, MIN($I$1, DATE(Initialisatie!$C$5,12,31)) - MAX($I$2, DATE(Initialisatie!$C$5,1,1)) + 1),
        IFERROR(VALUE($J117),0) * MAX(0, MIN($J$1, DATE(Initialisatie!$C$5,12,31)) - MAX($J$2, DATE(Initialisatie!$C$5,1,1)) + 1)
    ) / (DATE(Initialisatie!$C$5,12,31) - DATE(Initialisatie!$C$5,1,1) + 1)
)</f>
        <v>3296</v>
      </c>
    </row>
    <row r="118" spans="1:12" x14ac:dyDescent="0.45">
      <c r="A118" s="989"/>
      <c r="B118" s="35">
        <v>6</v>
      </c>
      <c r="C118" s="35">
        <v>6</v>
      </c>
      <c r="D118" s="35" t="s">
        <v>247</v>
      </c>
      <c r="E118">
        <v>2864</v>
      </c>
      <c r="F118">
        <v>2921</v>
      </c>
      <c r="G118">
        <v>3125</v>
      </c>
      <c r="H118">
        <v>3250</v>
      </c>
      <c r="I118">
        <v>3380</v>
      </c>
      <c r="J118">
        <v>3380</v>
      </c>
      <c r="L118">
        <f>IF(
    OR(
        AND(MAX(0, MIN($E$1, DATE(Initialisatie!$C$5,12,31)) - MAX($E$2, DATE(Initialisatie!$C$5,1,1)) + 1) &gt; 0, IFERROR(VALUE($E118),0)=0),
        AND(MAX(0, MIN($F$1, DATE(Initialisatie!$C$5,12,31)) - MAX($F$2, DATE(Initialisatie!$C$5,1,1)) + 1) &gt; 0, IFERROR(VALUE($F118),0)=0),
        AND(MAX(0, MIN($G$1, DATE(Initialisatie!$C$5,12,31)) - MAX($G$2, DATE(Initialisatie!$C$5,1,1)) + 1) &gt; 0, IFERROR(VALUE($G118),0)=0),
        AND(MAX(0, MIN($H$1, DATE(Initialisatie!$C$5,12,31)) - MAX($H$2, DATE(Initialisatie!$C$5,1,1)) + 1) &gt; 0, IFERROR(VALUE($H118),0)=0),
        AND(MAX(0, MIN($I$1, DATE(Initialisatie!$C$5,12,31)) - MAX($I$2, DATE(Initialisatie!$C$5,1,1)) + 1) &gt; 0, IFERROR(VALUE($I118),0)=0),
        AND(MAX(0, MIN($J$1, DATE(Initialisatie!$C$5,12,31)) - MAX($J$2, DATE(Initialisatie!$C$5,1,1)) + 1) &gt; 0, IFERROR(VALUE($J118),0)=0)
    ),
    0,
    SUM(
        IFERROR(VALUE($E118),0) * MAX(0, MIN($E$1, DATE(Initialisatie!$C$5,12,31)) - MAX($E$2, DATE(Initialisatie!$C$5,1,1)) + 1),
        IFERROR(VALUE($F118),0) * MAX(0, MIN($F$1, DATE(Initialisatie!$C$5,12,31)) - MAX($F$2, DATE(Initialisatie!$C$5,1,1)) + 1),
        IFERROR(VALUE($G118),0) * MAX(0, MIN($G$1, DATE(Initialisatie!$C$5,12,31)) - MAX($G$2, DATE(Initialisatie!$C$5,1,1)) + 1),
        IFERROR(VALUE($H118),0) * MAX(0, MIN($H$1, DATE(Initialisatie!$C$5,12,31)) - MAX($H$2, DATE(Initialisatie!$C$5,1,1)) + 1),
        IFERROR(VALUE($I118),0) * MAX(0, MIN($I$1, DATE(Initialisatie!$C$5,12,31)) - MAX($I$2, DATE(Initialisatie!$C$5,1,1)) + 1),
        IFERROR(VALUE($J118),0) * MAX(0, MIN($J$1, DATE(Initialisatie!$C$5,12,31)) - MAX($J$2, DATE(Initialisatie!$C$5,1,1)) + 1)
    ) / (DATE(Initialisatie!$C$5,12,31) - DATE(Initialisatie!$C$5,1,1) + 1)
)</f>
        <v>3380</v>
      </c>
    </row>
    <row r="119" spans="1:12" x14ac:dyDescent="0.45">
      <c r="A119" s="989"/>
      <c r="B119" s="35">
        <v>7</v>
      </c>
      <c r="C119" s="35">
        <v>7</v>
      </c>
      <c r="D119" s="35" t="s">
        <v>246</v>
      </c>
      <c r="E119">
        <v>2921</v>
      </c>
      <c r="F119">
        <v>2979</v>
      </c>
      <c r="G119">
        <v>3188</v>
      </c>
      <c r="H119">
        <v>3316</v>
      </c>
      <c r="I119">
        <v>3449</v>
      </c>
      <c r="J119">
        <v>3449</v>
      </c>
      <c r="L119">
        <f>IF(
    OR(
        AND(MAX(0, MIN($E$1, DATE(Initialisatie!$C$5,12,31)) - MAX($E$2, DATE(Initialisatie!$C$5,1,1)) + 1) &gt; 0, IFERROR(VALUE($E119),0)=0),
        AND(MAX(0, MIN($F$1, DATE(Initialisatie!$C$5,12,31)) - MAX($F$2, DATE(Initialisatie!$C$5,1,1)) + 1) &gt; 0, IFERROR(VALUE($F119),0)=0),
        AND(MAX(0, MIN($G$1, DATE(Initialisatie!$C$5,12,31)) - MAX($G$2, DATE(Initialisatie!$C$5,1,1)) + 1) &gt; 0, IFERROR(VALUE($G119),0)=0),
        AND(MAX(0, MIN($H$1, DATE(Initialisatie!$C$5,12,31)) - MAX($H$2, DATE(Initialisatie!$C$5,1,1)) + 1) &gt; 0, IFERROR(VALUE($H119),0)=0),
        AND(MAX(0, MIN($I$1, DATE(Initialisatie!$C$5,12,31)) - MAX($I$2, DATE(Initialisatie!$C$5,1,1)) + 1) &gt; 0, IFERROR(VALUE($I119),0)=0),
        AND(MAX(0, MIN($J$1, DATE(Initialisatie!$C$5,12,31)) - MAX($J$2, DATE(Initialisatie!$C$5,1,1)) + 1) &gt; 0, IFERROR(VALUE($J119),0)=0)
    ),
    0,
    SUM(
        IFERROR(VALUE($E119),0) * MAX(0, MIN($E$1, DATE(Initialisatie!$C$5,12,31)) - MAX($E$2, DATE(Initialisatie!$C$5,1,1)) + 1),
        IFERROR(VALUE($F119),0) * MAX(0, MIN($F$1, DATE(Initialisatie!$C$5,12,31)) - MAX($F$2, DATE(Initialisatie!$C$5,1,1)) + 1),
        IFERROR(VALUE($G119),0) * MAX(0, MIN($G$1, DATE(Initialisatie!$C$5,12,31)) - MAX($G$2, DATE(Initialisatie!$C$5,1,1)) + 1),
        IFERROR(VALUE($H119),0) * MAX(0, MIN($H$1, DATE(Initialisatie!$C$5,12,31)) - MAX($H$2, DATE(Initialisatie!$C$5,1,1)) + 1),
        IFERROR(VALUE($I119),0) * MAX(0, MIN($I$1, DATE(Initialisatie!$C$5,12,31)) - MAX($I$2, DATE(Initialisatie!$C$5,1,1)) + 1),
        IFERROR(VALUE($J119),0) * MAX(0, MIN($J$1, DATE(Initialisatie!$C$5,12,31)) - MAX($J$2, DATE(Initialisatie!$C$5,1,1)) + 1)
    ) / (DATE(Initialisatie!$C$5,12,31) - DATE(Initialisatie!$C$5,1,1) + 1)
)</f>
        <v>3449</v>
      </c>
    </row>
    <row r="120" spans="1:12" x14ac:dyDescent="0.45">
      <c r="A120" s="989"/>
      <c r="B120" s="35">
        <v>8</v>
      </c>
      <c r="C120" s="35">
        <v>8</v>
      </c>
      <c r="D120" s="35" t="s">
        <v>245</v>
      </c>
      <c r="E120">
        <v>2985</v>
      </c>
      <c r="F120">
        <v>3045</v>
      </c>
      <c r="G120">
        <v>3258</v>
      </c>
      <c r="H120">
        <v>3388</v>
      </c>
      <c r="I120">
        <v>3524</v>
      </c>
      <c r="J120">
        <v>3524</v>
      </c>
      <c r="L120">
        <f>IF(
    OR(
        AND(MAX(0, MIN($E$1, DATE(Initialisatie!$C$5,12,31)) - MAX($E$2, DATE(Initialisatie!$C$5,1,1)) + 1) &gt; 0, IFERROR(VALUE($E120),0)=0),
        AND(MAX(0, MIN($F$1, DATE(Initialisatie!$C$5,12,31)) - MAX($F$2, DATE(Initialisatie!$C$5,1,1)) + 1) &gt; 0, IFERROR(VALUE($F120),0)=0),
        AND(MAX(0, MIN($G$1, DATE(Initialisatie!$C$5,12,31)) - MAX($G$2, DATE(Initialisatie!$C$5,1,1)) + 1) &gt; 0, IFERROR(VALUE($G120),0)=0),
        AND(MAX(0, MIN($H$1, DATE(Initialisatie!$C$5,12,31)) - MAX($H$2, DATE(Initialisatie!$C$5,1,1)) + 1) &gt; 0, IFERROR(VALUE($H120),0)=0),
        AND(MAX(0, MIN($I$1, DATE(Initialisatie!$C$5,12,31)) - MAX($I$2, DATE(Initialisatie!$C$5,1,1)) + 1) &gt; 0, IFERROR(VALUE($I120),0)=0),
        AND(MAX(0, MIN($J$1, DATE(Initialisatie!$C$5,12,31)) - MAX($J$2, DATE(Initialisatie!$C$5,1,1)) + 1) &gt; 0, IFERROR(VALUE($J120),0)=0)
    ),
    0,
    SUM(
        IFERROR(VALUE($E120),0) * MAX(0, MIN($E$1, DATE(Initialisatie!$C$5,12,31)) - MAX($E$2, DATE(Initialisatie!$C$5,1,1)) + 1),
        IFERROR(VALUE($F120),0) * MAX(0, MIN($F$1, DATE(Initialisatie!$C$5,12,31)) - MAX($F$2, DATE(Initialisatie!$C$5,1,1)) + 1),
        IFERROR(VALUE($G120),0) * MAX(0, MIN($G$1, DATE(Initialisatie!$C$5,12,31)) - MAX($G$2, DATE(Initialisatie!$C$5,1,1)) + 1),
        IFERROR(VALUE($H120),0) * MAX(0, MIN($H$1, DATE(Initialisatie!$C$5,12,31)) - MAX($H$2, DATE(Initialisatie!$C$5,1,1)) + 1),
        IFERROR(VALUE($I120),0) * MAX(0, MIN($I$1, DATE(Initialisatie!$C$5,12,31)) - MAX($I$2, DATE(Initialisatie!$C$5,1,1)) + 1),
        IFERROR(VALUE($J120),0) * MAX(0, MIN($J$1, DATE(Initialisatie!$C$5,12,31)) - MAX($J$2, DATE(Initialisatie!$C$5,1,1)) + 1)
    ) / (DATE(Initialisatie!$C$5,12,31) - DATE(Initialisatie!$C$5,1,1) + 1)
)</f>
        <v>3524</v>
      </c>
    </row>
    <row r="121" spans="1:12" x14ac:dyDescent="0.45">
      <c r="A121" s="989"/>
      <c r="B121" s="35">
        <v>9</v>
      </c>
      <c r="C121" s="35">
        <v>9</v>
      </c>
      <c r="D121" s="35" t="s">
        <v>244</v>
      </c>
      <c r="E121">
        <v>3043</v>
      </c>
      <c r="F121">
        <v>3104</v>
      </c>
      <c r="G121">
        <v>3321</v>
      </c>
      <c r="H121">
        <v>3454</v>
      </c>
      <c r="I121">
        <v>3592</v>
      </c>
      <c r="J121">
        <v>3592</v>
      </c>
      <c r="L121">
        <f>IF(
    OR(
        AND(MAX(0, MIN($E$1, DATE(Initialisatie!$C$5,12,31)) - MAX($E$2, DATE(Initialisatie!$C$5,1,1)) + 1) &gt; 0, IFERROR(VALUE($E121),0)=0),
        AND(MAX(0, MIN($F$1, DATE(Initialisatie!$C$5,12,31)) - MAX($F$2, DATE(Initialisatie!$C$5,1,1)) + 1) &gt; 0, IFERROR(VALUE($F121),0)=0),
        AND(MAX(0, MIN($G$1, DATE(Initialisatie!$C$5,12,31)) - MAX($G$2, DATE(Initialisatie!$C$5,1,1)) + 1) &gt; 0, IFERROR(VALUE($G121),0)=0),
        AND(MAX(0, MIN($H$1, DATE(Initialisatie!$C$5,12,31)) - MAX($H$2, DATE(Initialisatie!$C$5,1,1)) + 1) &gt; 0, IFERROR(VALUE($H121),0)=0),
        AND(MAX(0, MIN($I$1, DATE(Initialisatie!$C$5,12,31)) - MAX($I$2, DATE(Initialisatie!$C$5,1,1)) + 1) &gt; 0, IFERROR(VALUE($I121),0)=0),
        AND(MAX(0, MIN($J$1, DATE(Initialisatie!$C$5,12,31)) - MAX($J$2, DATE(Initialisatie!$C$5,1,1)) + 1) &gt; 0, IFERROR(VALUE($J121),0)=0)
    ),
    0,
    SUM(
        IFERROR(VALUE($E121),0) * MAX(0, MIN($E$1, DATE(Initialisatie!$C$5,12,31)) - MAX($E$2, DATE(Initialisatie!$C$5,1,1)) + 1),
        IFERROR(VALUE($F121),0) * MAX(0, MIN($F$1, DATE(Initialisatie!$C$5,12,31)) - MAX($F$2, DATE(Initialisatie!$C$5,1,1)) + 1),
        IFERROR(VALUE($G121),0) * MAX(0, MIN($G$1, DATE(Initialisatie!$C$5,12,31)) - MAX($G$2, DATE(Initialisatie!$C$5,1,1)) + 1),
        IFERROR(VALUE($H121),0) * MAX(0, MIN($H$1, DATE(Initialisatie!$C$5,12,31)) - MAX($H$2, DATE(Initialisatie!$C$5,1,1)) + 1),
        IFERROR(VALUE($I121),0) * MAX(0, MIN($I$1, DATE(Initialisatie!$C$5,12,31)) - MAX($I$2, DATE(Initialisatie!$C$5,1,1)) + 1),
        IFERROR(VALUE($J121),0) * MAX(0, MIN($J$1, DATE(Initialisatie!$C$5,12,31)) - MAX($J$2, DATE(Initialisatie!$C$5,1,1)) + 1)
    ) / (DATE(Initialisatie!$C$5,12,31) - DATE(Initialisatie!$C$5,1,1) + 1)
)</f>
        <v>3592</v>
      </c>
    </row>
    <row r="122" spans="1:12" x14ac:dyDescent="0.45">
      <c r="A122" s="989"/>
      <c r="B122" s="35">
        <v>10</v>
      </c>
      <c r="C122" s="35">
        <v>10</v>
      </c>
      <c r="D122" s="35" t="s">
        <v>255</v>
      </c>
      <c r="E122">
        <v>3158</v>
      </c>
      <c r="F122">
        <v>3221</v>
      </c>
      <c r="G122">
        <v>3446</v>
      </c>
      <c r="H122">
        <v>3584</v>
      </c>
      <c r="I122">
        <v>3727</v>
      </c>
      <c r="J122">
        <v>3727</v>
      </c>
      <c r="L122">
        <f>IF(
    OR(
        AND(MAX(0, MIN($E$1, DATE(Initialisatie!$C$5,12,31)) - MAX($E$2, DATE(Initialisatie!$C$5,1,1)) + 1) &gt; 0, IFERROR(VALUE($E122),0)=0),
        AND(MAX(0, MIN($F$1, DATE(Initialisatie!$C$5,12,31)) - MAX($F$2, DATE(Initialisatie!$C$5,1,1)) + 1) &gt; 0, IFERROR(VALUE($F122),0)=0),
        AND(MAX(0, MIN($G$1, DATE(Initialisatie!$C$5,12,31)) - MAX($G$2, DATE(Initialisatie!$C$5,1,1)) + 1) &gt; 0, IFERROR(VALUE($G122),0)=0),
        AND(MAX(0, MIN($H$1, DATE(Initialisatie!$C$5,12,31)) - MAX($H$2, DATE(Initialisatie!$C$5,1,1)) + 1) &gt; 0, IFERROR(VALUE($H122),0)=0),
        AND(MAX(0, MIN($I$1, DATE(Initialisatie!$C$5,12,31)) - MAX($I$2, DATE(Initialisatie!$C$5,1,1)) + 1) &gt; 0, IFERROR(VALUE($I122),0)=0),
        AND(MAX(0, MIN($J$1, DATE(Initialisatie!$C$5,12,31)) - MAX($J$2, DATE(Initialisatie!$C$5,1,1)) + 1) &gt; 0, IFERROR(VALUE($J122),0)=0)
    ),
    0,
    SUM(
        IFERROR(VALUE($E122),0) * MAX(0, MIN($E$1, DATE(Initialisatie!$C$5,12,31)) - MAX($E$2, DATE(Initialisatie!$C$5,1,1)) + 1),
        IFERROR(VALUE($F122),0) * MAX(0, MIN($F$1, DATE(Initialisatie!$C$5,12,31)) - MAX($F$2, DATE(Initialisatie!$C$5,1,1)) + 1),
        IFERROR(VALUE($G122),0) * MAX(0, MIN($G$1, DATE(Initialisatie!$C$5,12,31)) - MAX($G$2, DATE(Initialisatie!$C$5,1,1)) + 1),
        IFERROR(VALUE($H122),0) * MAX(0, MIN($H$1, DATE(Initialisatie!$C$5,12,31)) - MAX($H$2, DATE(Initialisatie!$C$5,1,1)) + 1),
        IFERROR(VALUE($I122),0) * MAX(0, MIN($I$1, DATE(Initialisatie!$C$5,12,31)) - MAX($I$2, DATE(Initialisatie!$C$5,1,1)) + 1),
        IFERROR(VALUE($J122),0) * MAX(0, MIN($J$1, DATE(Initialisatie!$C$5,12,31)) - MAX($J$2, DATE(Initialisatie!$C$5,1,1)) + 1)
    ) / (DATE(Initialisatie!$C$5,12,31) - DATE(Initialisatie!$C$5,1,1) + 1)
)</f>
        <v>3727</v>
      </c>
    </row>
    <row r="123" spans="1:12" x14ac:dyDescent="0.45">
      <c r="A123" s="989"/>
      <c r="B123" s="35">
        <v>11</v>
      </c>
      <c r="C123" s="35">
        <v>11</v>
      </c>
      <c r="D123" s="35" t="s">
        <v>254</v>
      </c>
      <c r="E123">
        <v>3233</v>
      </c>
      <c r="F123">
        <v>3298</v>
      </c>
      <c r="G123">
        <v>3529</v>
      </c>
      <c r="H123">
        <v>3670</v>
      </c>
      <c r="I123">
        <v>3817</v>
      </c>
      <c r="J123">
        <v>3817</v>
      </c>
      <c r="L123">
        <f>IF(
    OR(
        AND(MAX(0, MIN($E$1, DATE(Initialisatie!$C$5,12,31)) - MAX($E$2, DATE(Initialisatie!$C$5,1,1)) + 1) &gt; 0, IFERROR(VALUE($E123),0)=0),
        AND(MAX(0, MIN($F$1, DATE(Initialisatie!$C$5,12,31)) - MAX($F$2, DATE(Initialisatie!$C$5,1,1)) + 1) &gt; 0, IFERROR(VALUE($F123),0)=0),
        AND(MAX(0, MIN($G$1, DATE(Initialisatie!$C$5,12,31)) - MAX($G$2, DATE(Initialisatie!$C$5,1,1)) + 1) &gt; 0, IFERROR(VALUE($G123),0)=0),
        AND(MAX(0, MIN($H$1, DATE(Initialisatie!$C$5,12,31)) - MAX($H$2, DATE(Initialisatie!$C$5,1,1)) + 1) &gt; 0, IFERROR(VALUE($H123),0)=0),
        AND(MAX(0, MIN($I$1, DATE(Initialisatie!$C$5,12,31)) - MAX($I$2, DATE(Initialisatie!$C$5,1,1)) + 1) &gt; 0, IFERROR(VALUE($I123),0)=0),
        AND(MAX(0, MIN($J$1, DATE(Initialisatie!$C$5,12,31)) - MAX($J$2, DATE(Initialisatie!$C$5,1,1)) + 1) &gt; 0, IFERROR(VALUE($J123),0)=0)
    ),
    0,
    SUM(
        IFERROR(VALUE($E123),0) * MAX(0, MIN($E$1, DATE(Initialisatie!$C$5,12,31)) - MAX($E$2, DATE(Initialisatie!$C$5,1,1)) + 1),
        IFERROR(VALUE($F123),0) * MAX(0, MIN($F$1, DATE(Initialisatie!$C$5,12,31)) - MAX($F$2, DATE(Initialisatie!$C$5,1,1)) + 1),
        IFERROR(VALUE($G123),0) * MAX(0, MIN($G$1, DATE(Initialisatie!$C$5,12,31)) - MAX($G$2, DATE(Initialisatie!$C$5,1,1)) + 1),
        IFERROR(VALUE($H123),0) * MAX(0, MIN($H$1, DATE(Initialisatie!$C$5,12,31)) - MAX($H$2, DATE(Initialisatie!$C$5,1,1)) + 1),
        IFERROR(VALUE($I123),0) * MAX(0, MIN($I$1, DATE(Initialisatie!$C$5,12,31)) - MAX($I$2, DATE(Initialisatie!$C$5,1,1)) + 1),
        IFERROR(VALUE($J123),0) * MAX(0, MIN($J$1, DATE(Initialisatie!$C$5,12,31)) - MAX($J$2, DATE(Initialisatie!$C$5,1,1)) + 1)
    ) / (DATE(Initialisatie!$C$5,12,31) - DATE(Initialisatie!$C$5,1,1) + 1)
)</f>
        <v>3817</v>
      </c>
    </row>
    <row r="124" spans="1:12" x14ac:dyDescent="0.45">
      <c r="A124" s="989"/>
      <c r="B124" s="35">
        <v>12</v>
      </c>
      <c r="C124" s="35">
        <v>12</v>
      </c>
      <c r="D124" s="35" t="s">
        <v>253</v>
      </c>
      <c r="E124">
        <v>3314</v>
      </c>
      <c r="F124">
        <v>3380</v>
      </c>
      <c r="G124">
        <v>3617</v>
      </c>
      <c r="H124">
        <v>3762</v>
      </c>
      <c r="I124">
        <v>3912</v>
      </c>
      <c r="J124">
        <v>3912</v>
      </c>
      <c r="L124">
        <f>IF(
    OR(
        AND(MAX(0, MIN($E$1, DATE(Initialisatie!$C$5,12,31)) - MAX($E$2, DATE(Initialisatie!$C$5,1,1)) + 1) &gt; 0, IFERROR(VALUE($E124),0)=0),
        AND(MAX(0, MIN($F$1, DATE(Initialisatie!$C$5,12,31)) - MAX($F$2, DATE(Initialisatie!$C$5,1,1)) + 1) &gt; 0, IFERROR(VALUE($F124),0)=0),
        AND(MAX(0, MIN($G$1, DATE(Initialisatie!$C$5,12,31)) - MAX($G$2, DATE(Initialisatie!$C$5,1,1)) + 1) &gt; 0, IFERROR(VALUE($G124),0)=0),
        AND(MAX(0, MIN($H$1, DATE(Initialisatie!$C$5,12,31)) - MAX($H$2, DATE(Initialisatie!$C$5,1,1)) + 1) &gt; 0, IFERROR(VALUE($H124),0)=0),
        AND(MAX(0, MIN($I$1, DATE(Initialisatie!$C$5,12,31)) - MAX($I$2, DATE(Initialisatie!$C$5,1,1)) + 1) &gt; 0, IFERROR(VALUE($I124),0)=0),
        AND(MAX(0, MIN($J$1, DATE(Initialisatie!$C$5,12,31)) - MAX($J$2, DATE(Initialisatie!$C$5,1,1)) + 1) &gt; 0, IFERROR(VALUE($J124),0)=0)
    ),
    0,
    SUM(
        IFERROR(VALUE($E124),0) * MAX(0, MIN($E$1, DATE(Initialisatie!$C$5,12,31)) - MAX($E$2, DATE(Initialisatie!$C$5,1,1)) + 1),
        IFERROR(VALUE($F124),0) * MAX(0, MIN($F$1, DATE(Initialisatie!$C$5,12,31)) - MAX($F$2, DATE(Initialisatie!$C$5,1,1)) + 1),
        IFERROR(VALUE($G124),0) * MAX(0, MIN($G$1, DATE(Initialisatie!$C$5,12,31)) - MAX($G$2, DATE(Initialisatie!$C$5,1,1)) + 1),
        IFERROR(VALUE($H124),0) * MAX(0, MIN($H$1, DATE(Initialisatie!$C$5,12,31)) - MAX($H$2, DATE(Initialisatie!$C$5,1,1)) + 1),
        IFERROR(VALUE($I124),0) * MAX(0, MIN($I$1, DATE(Initialisatie!$C$5,12,31)) - MAX($I$2, DATE(Initialisatie!$C$5,1,1)) + 1),
        IFERROR(VALUE($J124),0) * MAX(0, MIN($J$1, DATE(Initialisatie!$C$5,12,31)) - MAX($J$2, DATE(Initialisatie!$C$5,1,1)) + 1)
    ) / (DATE(Initialisatie!$C$5,12,31) - DATE(Initialisatie!$C$5,1,1) + 1)
)</f>
        <v>3912</v>
      </c>
    </row>
    <row r="125" spans="1:12" x14ac:dyDescent="0.45">
      <c r="A125" s="989"/>
      <c r="B125" s="35">
        <v>13</v>
      </c>
      <c r="C125" s="35">
        <v>13</v>
      </c>
      <c r="D125" s="35" t="s">
        <v>252</v>
      </c>
      <c r="E125">
        <v>3399</v>
      </c>
      <c r="F125">
        <v>3467</v>
      </c>
      <c r="G125">
        <v>3710</v>
      </c>
      <c r="H125">
        <v>3858</v>
      </c>
      <c r="I125">
        <v>4012</v>
      </c>
      <c r="J125">
        <v>4012</v>
      </c>
      <c r="L125">
        <f>IF(
    OR(
        AND(MAX(0, MIN($E$1, DATE(Initialisatie!$C$5,12,31)) - MAX($E$2, DATE(Initialisatie!$C$5,1,1)) + 1) &gt; 0, IFERROR(VALUE($E125),0)=0),
        AND(MAX(0, MIN($F$1, DATE(Initialisatie!$C$5,12,31)) - MAX($F$2, DATE(Initialisatie!$C$5,1,1)) + 1) &gt; 0, IFERROR(VALUE($F125),0)=0),
        AND(MAX(0, MIN($G$1, DATE(Initialisatie!$C$5,12,31)) - MAX($G$2, DATE(Initialisatie!$C$5,1,1)) + 1) &gt; 0, IFERROR(VALUE($G125),0)=0),
        AND(MAX(0, MIN($H$1, DATE(Initialisatie!$C$5,12,31)) - MAX($H$2, DATE(Initialisatie!$C$5,1,1)) + 1) &gt; 0, IFERROR(VALUE($H125),0)=0),
        AND(MAX(0, MIN($I$1, DATE(Initialisatie!$C$5,12,31)) - MAX($I$2, DATE(Initialisatie!$C$5,1,1)) + 1) &gt; 0, IFERROR(VALUE($I125),0)=0),
        AND(MAX(0, MIN($J$1, DATE(Initialisatie!$C$5,12,31)) - MAX($J$2, DATE(Initialisatie!$C$5,1,1)) + 1) &gt; 0, IFERROR(VALUE($J125),0)=0)
    ),
    0,
    SUM(
        IFERROR(VALUE($E125),0) * MAX(0, MIN($E$1, DATE(Initialisatie!$C$5,12,31)) - MAX($E$2, DATE(Initialisatie!$C$5,1,1)) + 1),
        IFERROR(VALUE($F125),0) * MAX(0, MIN($F$1, DATE(Initialisatie!$C$5,12,31)) - MAX($F$2, DATE(Initialisatie!$C$5,1,1)) + 1),
        IFERROR(VALUE($G125),0) * MAX(0, MIN($G$1, DATE(Initialisatie!$C$5,12,31)) - MAX($G$2, DATE(Initialisatie!$C$5,1,1)) + 1),
        IFERROR(VALUE($H125),0) * MAX(0, MIN($H$1, DATE(Initialisatie!$C$5,12,31)) - MAX($H$2, DATE(Initialisatie!$C$5,1,1)) + 1),
        IFERROR(VALUE($I125),0) * MAX(0, MIN($I$1, DATE(Initialisatie!$C$5,12,31)) - MAX($I$2, DATE(Initialisatie!$C$5,1,1)) + 1),
        IFERROR(VALUE($J125),0) * MAX(0, MIN($J$1, DATE(Initialisatie!$C$5,12,31)) - MAX($J$2, DATE(Initialisatie!$C$5,1,1)) + 1)
    ) / (DATE(Initialisatie!$C$5,12,31) - DATE(Initialisatie!$C$5,1,1) + 1)
)</f>
        <v>4012</v>
      </c>
    </row>
    <row r="126" spans="1:12" x14ac:dyDescent="0.45">
      <c r="A126" s="989"/>
      <c r="B126" s="35" t="s">
        <v>531</v>
      </c>
      <c r="C126" s="35" t="s">
        <v>531</v>
      </c>
      <c r="D126" s="35" t="s">
        <v>605</v>
      </c>
      <c r="E126">
        <v>3470</v>
      </c>
      <c r="F126">
        <v>3539</v>
      </c>
      <c r="G126">
        <v>3787</v>
      </c>
      <c r="H126">
        <v>3938</v>
      </c>
      <c r="I126">
        <v>4096</v>
      </c>
      <c r="J126">
        <v>4096</v>
      </c>
      <c r="L126">
        <f>IF(
    OR(
        AND(MAX(0, MIN($E$1, DATE(Initialisatie!$C$5,12,31)) - MAX($E$2, DATE(Initialisatie!$C$5,1,1)) + 1) &gt; 0, IFERROR(VALUE($E126),0)=0),
        AND(MAX(0, MIN($F$1, DATE(Initialisatie!$C$5,12,31)) - MAX($F$2, DATE(Initialisatie!$C$5,1,1)) + 1) &gt; 0, IFERROR(VALUE($F126),0)=0),
        AND(MAX(0, MIN($G$1, DATE(Initialisatie!$C$5,12,31)) - MAX($G$2, DATE(Initialisatie!$C$5,1,1)) + 1) &gt; 0, IFERROR(VALUE($G126),0)=0),
        AND(MAX(0, MIN($H$1, DATE(Initialisatie!$C$5,12,31)) - MAX($H$2, DATE(Initialisatie!$C$5,1,1)) + 1) &gt; 0, IFERROR(VALUE($H126),0)=0),
        AND(MAX(0, MIN($I$1, DATE(Initialisatie!$C$5,12,31)) - MAX($I$2, DATE(Initialisatie!$C$5,1,1)) + 1) &gt; 0, IFERROR(VALUE($I126),0)=0),
        AND(MAX(0, MIN($J$1, DATE(Initialisatie!$C$5,12,31)) - MAX($J$2, DATE(Initialisatie!$C$5,1,1)) + 1) &gt; 0, IFERROR(VALUE($J126),0)=0)
    ),
    0,
    SUM(
        IFERROR(VALUE($E126),0) * MAX(0, MIN($E$1, DATE(Initialisatie!$C$5,12,31)) - MAX($E$2, DATE(Initialisatie!$C$5,1,1)) + 1),
        IFERROR(VALUE($F126),0) * MAX(0, MIN($F$1, DATE(Initialisatie!$C$5,12,31)) - MAX($F$2, DATE(Initialisatie!$C$5,1,1)) + 1),
        IFERROR(VALUE($G126),0) * MAX(0, MIN($G$1, DATE(Initialisatie!$C$5,12,31)) - MAX($G$2, DATE(Initialisatie!$C$5,1,1)) + 1),
        IFERROR(VALUE($H126),0) * MAX(0, MIN($H$1, DATE(Initialisatie!$C$5,12,31)) - MAX($H$2, DATE(Initialisatie!$C$5,1,1)) + 1),
        IFERROR(VALUE($I126),0) * MAX(0, MIN($I$1, DATE(Initialisatie!$C$5,12,31)) - MAX($I$2, DATE(Initialisatie!$C$5,1,1)) + 1),
        IFERROR(VALUE($J126),0) * MAX(0, MIN($J$1, DATE(Initialisatie!$C$5,12,31)) - MAX($J$2, DATE(Initialisatie!$C$5,1,1)) + 1)
    ) / (DATE(Initialisatie!$C$5,12,31) - DATE(Initialisatie!$C$5,1,1) + 1)
)</f>
        <v>4096</v>
      </c>
    </row>
    <row r="127" spans="1:12" x14ac:dyDescent="0.45">
      <c r="A127" s="989"/>
      <c r="B127" s="35" t="s">
        <v>533</v>
      </c>
      <c r="C127" s="35" t="s">
        <v>533</v>
      </c>
      <c r="D127" s="35" t="s">
        <v>606</v>
      </c>
      <c r="E127">
        <v>3548</v>
      </c>
      <c r="F127">
        <v>3619</v>
      </c>
      <c r="G127">
        <v>3872</v>
      </c>
      <c r="H127">
        <v>4027</v>
      </c>
      <c r="I127">
        <v>4188</v>
      </c>
      <c r="J127">
        <v>4188</v>
      </c>
      <c r="L127">
        <f>IF(
    OR(
        AND(MAX(0, MIN($E$1, DATE(Initialisatie!$C$5,12,31)) - MAX($E$2, DATE(Initialisatie!$C$5,1,1)) + 1) &gt; 0, IFERROR(VALUE($E127),0)=0),
        AND(MAX(0, MIN($F$1, DATE(Initialisatie!$C$5,12,31)) - MAX($F$2, DATE(Initialisatie!$C$5,1,1)) + 1) &gt; 0, IFERROR(VALUE($F127),0)=0),
        AND(MAX(0, MIN($G$1, DATE(Initialisatie!$C$5,12,31)) - MAX($G$2, DATE(Initialisatie!$C$5,1,1)) + 1) &gt; 0, IFERROR(VALUE($G127),0)=0),
        AND(MAX(0, MIN($H$1, DATE(Initialisatie!$C$5,12,31)) - MAX($H$2, DATE(Initialisatie!$C$5,1,1)) + 1) &gt; 0, IFERROR(VALUE($H127),0)=0),
        AND(MAX(0, MIN($I$1, DATE(Initialisatie!$C$5,12,31)) - MAX($I$2, DATE(Initialisatie!$C$5,1,1)) + 1) &gt; 0, IFERROR(VALUE($I127),0)=0),
        AND(MAX(0, MIN($J$1, DATE(Initialisatie!$C$5,12,31)) - MAX($J$2, DATE(Initialisatie!$C$5,1,1)) + 1) &gt; 0, IFERROR(VALUE($J127),0)=0)
    ),
    0,
    SUM(
        IFERROR(VALUE($E127),0) * MAX(0, MIN($E$1, DATE(Initialisatie!$C$5,12,31)) - MAX($E$2, DATE(Initialisatie!$C$5,1,1)) + 1),
        IFERROR(VALUE($F127),0) * MAX(0, MIN($F$1, DATE(Initialisatie!$C$5,12,31)) - MAX($F$2, DATE(Initialisatie!$C$5,1,1)) + 1),
        IFERROR(VALUE($G127),0) * MAX(0, MIN($G$1, DATE(Initialisatie!$C$5,12,31)) - MAX($G$2, DATE(Initialisatie!$C$5,1,1)) + 1),
        IFERROR(VALUE($H127),0) * MAX(0, MIN($H$1, DATE(Initialisatie!$C$5,12,31)) - MAX($H$2, DATE(Initialisatie!$C$5,1,1)) + 1),
        IFERROR(VALUE($I127),0) * MAX(0, MIN($I$1, DATE(Initialisatie!$C$5,12,31)) - MAX($I$2, DATE(Initialisatie!$C$5,1,1)) + 1),
        IFERROR(VALUE($J127),0) * MAX(0, MIN($J$1, DATE(Initialisatie!$C$5,12,31)) - MAX($J$2, DATE(Initialisatie!$C$5,1,1)) + 1)
    ) / (DATE(Initialisatie!$C$5,12,31) - DATE(Initialisatie!$C$5,1,1) + 1)
)</f>
        <v>4188</v>
      </c>
    </row>
    <row r="128" spans="1:12" x14ac:dyDescent="0.45">
      <c r="A128" s="989"/>
      <c r="B128" s="35" t="s">
        <v>535</v>
      </c>
      <c r="C128" s="35" t="s">
        <v>535</v>
      </c>
      <c r="D128" s="35" t="s">
        <v>607</v>
      </c>
      <c r="E128">
        <v>3470</v>
      </c>
      <c r="F128">
        <v>3539</v>
      </c>
      <c r="G128">
        <v>3787</v>
      </c>
      <c r="H128">
        <v>3938</v>
      </c>
      <c r="I128">
        <v>4096</v>
      </c>
      <c r="J128">
        <v>4096</v>
      </c>
      <c r="L128">
        <f>IF(
    OR(
        AND(MAX(0, MIN($E$1, DATE(Initialisatie!$C$5,12,31)) - MAX($E$2, DATE(Initialisatie!$C$5,1,1)) + 1) &gt; 0, IFERROR(VALUE($E128),0)=0),
        AND(MAX(0, MIN($F$1, DATE(Initialisatie!$C$5,12,31)) - MAX($F$2, DATE(Initialisatie!$C$5,1,1)) + 1) &gt; 0, IFERROR(VALUE($F128),0)=0),
        AND(MAX(0, MIN($G$1, DATE(Initialisatie!$C$5,12,31)) - MAX($G$2, DATE(Initialisatie!$C$5,1,1)) + 1) &gt; 0, IFERROR(VALUE($G128),0)=0),
        AND(MAX(0, MIN($H$1, DATE(Initialisatie!$C$5,12,31)) - MAX($H$2, DATE(Initialisatie!$C$5,1,1)) + 1) &gt; 0, IFERROR(VALUE($H128),0)=0),
        AND(MAX(0, MIN($I$1, DATE(Initialisatie!$C$5,12,31)) - MAX($I$2, DATE(Initialisatie!$C$5,1,1)) + 1) &gt; 0, IFERROR(VALUE($I128),0)=0),
        AND(MAX(0, MIN($J$1, DATE(Initialisatie!$C$5,12,31)) - MAX($J$2, DATE(Initialisatie!$C$5,1,1)) + 1) &gt; 0, IFERROR(VALUE($J128),0)=0)
    ),
    0,
    SUM(
        IFERROR(VALUE($E128),0) * MAX(0, MIN($E$1, DATE(Initialisatie!$C$5,12,31)) - MAX($E$2, DATE(Initialisatie!$C$5,1,1)) + 1),
        IFERROR(VALUE($F128),0) * MAX(0, MIN($F$1, DATE(Initialisatie!$C$5,12,31)) - MAX($F$2, DATE(Initialisatie!$C$5,1,1)) + 1),
        IFERROR(VALUE($G128),0) * MAX(0, MIN($G$1, DATE(Initialisatie!$C$5,12,31)) - MAX($G$2, DATE(Initialisatie!$C$5,1,1)) + 1),
        IFERROR(VALUE($H128),0) * MAX(0, MIN($H$1, DATE(Initialisatie!$C$5,12,31)) - MAX($H$2, DATE(Initialisatie!$C$5,1,1)) + 1),
        IFERROR(VALUE($I128),0) * MAX(0, MIN($I$1, DATE(Initialisatie!$C$5,12,31)) - MAX($I$2, DATE(Initialisatie!$C$5,1,1)) + 1),
        IFERROR(VALUE($J128),0) * MAX(0, MIN($J$1, DATE(Initialisatie!$C$5,12,31)) - MAX($J$2, DATE(Initialisatie!$C$5,1,1)) + 1)
    ) / (DATE(Initialisatie!$C$5,12,31) - DATE(Initialisatie!$C$5,1,1) + 1)
)</f>
        <v>4096</v>
      </c>
    </row>
    <row r="129" spans="1:12" x14ac:dyDescent="0.45">
      <c r="A129" s="989"/>
      <c r="B129" s="35" t="s">
        <v>537</v>
      </c>
      <c r="C129" s="35" t="s">
        <v>537</v>
      </c>
      <c r="D129" s="35" t="s">
        <v>608</v>
      </c>
      <c r="E129">
        <v>3548</v>
      </c>
      <c r="F129">
        <v>3619</v>
      </c>
      <c r="G129">
        <v>3872</v>
      </c>
      <c r="H129">
        <v>4027</v>
      </c>
      <c r="I129">
        <v>4188</v>
      </c>
      <c r="J129">
        <v>4188</v>
      </c>
      <c r="L129">
        <f>IF(
    OR(
        AND(MAX(0, MIN($E$1, DATE(Initialisatie!$C$5,12,31)) - MAX($E$2, DATE(Initialisatie!$C$5,1,1)) + 1) &gt; 0, IFERROR(VALUE($E129),0)=0),
        AND(MAX(0, MIN($F$1, DATE(Initialisatie!$C$5,12,31)) - MAX($F$2, DATE(Initialisatie!$C$5,1,1)) + 1) &gt; 0, IFERROR(VALUE($F129),0)=0),
        AND(MAX(0, MIN($G$1, DATE(Initialisatie!$C$5,12,31)) - MAX($G$2, DATE(Initialisatie!$C$5,1,1)) + 1) &gt; 0, IFERROR(VALUE($G129),0)=0),
        AND(MAX(0, MIN($H$1, DATE(Initialisatie!$C$5,12,31)) - MAX($H$2, DATE(Initialisatie!$C$5,1,1)) + 1) &gt; 0, IFERROR(VALUE($H129),0)=0),
        AND(MAX(0, MIN($I$1, DATE(Initialisatie!$C$5,12,31)) - MAX($I$2, DATE(Initialisatie!$C$5,1,1)) + 1) &gt; 0, IFERROR(VALUE($I129),0)=0),
        AND(MAX(0, MIN($J$1, DATE(Initialisatie!$C$5,12,31)) - MAX($J$2, DATE(Initialisatie!$C$5,1,1)) + 1) &gt; 0, IFERROR(VALUE($J129),0)=0)
    ),
    0,
    SUM(
        IFERROR(VALUE($E129),0) * MAX(0, MIN($E$1, DATE(Initialisatie!$C$5,12,31)) - MAX($E$2, DATE(Initialisatie!$C$5,1,1)) + 1),
        IFERROR(VALUE($F129),0) * MAX(0, MIN($F$1, DATE(Initialisatie!$C$5,12,31)) - MAX($F$2, DATE(Initialisatie!$C$5,1,1)) + 1),
        IFERROR(VALUE($G129),0) * MAX(0, MIN($G$1, DATE(Initialisatie!$C$5,12,31)) - MAX($G$2, DATE(Initialisatie!$C$5,1,1)) + 1),
        IFERROR(VALUE($H129),0) * MAX(0, MIN($H$1, DATE(Initialisatie!$C$5,12,31)) - MAX($H$2, DATE(Initialisatie!$C$5,1,1)) + 1),
        IFERROR(VALUE($I129),0) * MAX(0, MIN($I$1, DATE(Initialisatie!$C$5,12,31)) - MAX($I$2, DATE(Initialisatie!$C$5,1,1)) + 1),
        IFERROR(VALUE($J129),0) * MAX(0, MIN($J$1, DATE(Initialisatie!$C$5,12,31)) - MAX($J$2, DATE(Initialisatie!$C$5,1,1)) + 1)
    ) / (DATE(Initialisatie!$C$5,12,31) - DATE(Initialisatie!$C$5,1,1) + 1)
)</f>
        <v>4188</v>
      </c>
    </row>
    <row r="130" spans="1:12" x14ac:dyDescent="0.45">
      <c r="A130" s="989"/>
      <c r="B130" s="35" t="s">
        <v>539</v>
      </c>
      <c r="C130" s="35" t="s">
        <v>539</v>
      </c>
      <c r="D130" s="35" t="s">
        <v>609</v>
      </c>
      <c r="E130">
        <v>3621</v>
      </c>
      <c r="F130">
        <v>3693</v>
      </c>
      <c r="G130">
        <v>3952</v>
      </c>
      <c r="H130">
        <v>4110</v>
      </c>
      <c r="I130">
        <v>4274</v>
      </c>
      <c r="J130">
        <v>4274</v>
      </c>
      <c r="L130">
        <f>IF(
    OR(
        AND(MAX(0, MIN($E$1, DATE(Initialisatie!$C$5,12,31)) - MAX($E$2, DATE(Initialisatie!$C$5,1,1)) + 1) &gt; 0, IFERROR(VALUE($E130),0)=0),
        AND(MAX(0, MIN($F$1, DATE(Initialisatie!$C$5,12,31)) - MAX($F$2, DATE(Initialisatie!$C$5,1,1)) + 1) &gt; 0, IFERROR(VALUE($F130),0)=0),
        AND(MAX(0, MIN($G$1, DATE(Initialisatie!$C$5,12,31)) - MAX($G$2, DATE(Initialisatie!$C$5,1,1)) + 1) &gt; 0, IFERROR(VALUE($G130),0)=0),
        AND(MAX(0, MIN($H$1, DATE(Initialisatie!$C$5,12,31)) - MAX($H$2, DATE(Initialisatie!$C$5,1,1)) + 1) &gt; 0, IFERROR(VALUE($H130),0)=0),
        AND(MAX(0, MIN($I$1, DATE(Initialisatie!$C$5,12,31)) - MAX($I$2, DATE(Initialisatie!$C$5,1,1)) + 1) &gt; 0, IFERROR(VALUE($I130),0)=0),
        AND(MAX(0, MIN($J$1, DATE(Initialisatie!$C$5,12,31)) - MAX($J$2, DATE(Initialisatie!$C$5,1,1)) + 1) &gt; 0, IFERROR(VALUE($J130),0)=0)
    ),
    0,
    SUM(
        IFERROR(VALUE($E130),0) * MAX(0, MIN($E$1, DATE(Initialisatie!$C$5,12,31)) - MAX($E$2, DATE(Initialisatie!$C$5,1,1)) + 1),
        IFERROR(VALUE($F130),0) * MAX(0, MIN($F$1, DATE(Initialisatie!$C$5,12,31)) - MAX($F$2, DATE(Initialisatie!$C$5,1,1)) + 1),
        IFERROR(VALUE($G130),0) * MAX(0, MIN($G$1, DATE(Initialisatie!$C$5,12,31)) - MAX($G$2, DATE(Initialisatie!$C$5,1,1)) + 1),
        IFERROR(VALUE($H130),0) * MAX(0, MIN($H$1, DATE(Initialisatie!$C$5,12,31)) - MAX($H$2, DATE(Initialisatie!$C$5,1,1)) + 1),
        IFERROR(VALUE($I130),0) * MAX(0, MIN($I$1, DATE(Initialisatie!$C$5,12,31)) - MAX($I$2, DATE(Initialisatie!$C$5,1,1)) + 1),
        IFERROR(VALUE($J130),0) * MAX(0, MIN($J$1, DATE(Initialisatie!$C$5,12,31)) - MAX($J$2, DATE(Initialisatie!$C$5,1,1)) + 1)
    ) / (DATE(Initialisatie!$C$5,12,31) - DATE(Initialisatie!$C$5,1,1) + 1)
)</f>
        <v>4274</v>
      </c>
    </row>
    <row r="131" spans="1:12" x14ac:dyDescent="0.45">
      <c r="A131" s="989"/>
      <c r="B131" s="35" t="s">
        <v>541</v>
      </c>
      <c r="C131" s="35" t="s">
        <v>541</v>
      </c>
      <c r="D131" s="35" t="s">
        <v>610</v>
      </c>
      <c r="E131">
        <v>3745</v>
      </c>
      <c r="F131">
        <v>3820</v>
      </c>
      <c r="G131">
        <v>4087</v>
      </c>
      <c r="H131">
        <v>4250</v>
      </c>
      <c r="I131">
        <v>4420</v>
      </c>
      <c r="J131">
        <v>4420</v>
      </c>
      <c r="L131">
        <f>IF(
    OR(
        AND(MAX(0, MIN($E$1, DATE(Initialisatie!$C$5,12,31)) - MAX($E$2, DATE(Initialisatie!$C$5,1,1)) + 1) &gt; 0, IFERROR(VALUE($E131),0)=0),
        AND(MAX(0, MIN($F$1, DATE(Initialisatie!$C$5,12,31)) - MAX($F$2, DATE(Initialisatie!$C$5,1,1)) + 1) &gt; 0, IFERROR(VALUE($F131),0)=0),
        AND(MAX(0, MIN($G$1, DATE(Initialisatie!$C$5,12,31)) - MAX($G$2, DATE(Initialisatie!$C$5,1,1)) + 1) &gt; 0, IFERROR(VALUE($G131),0)=0),
        AND(MAX(0, MIN($H$1, DATE(Initialisatie!$C$5,12,31)) - MAX($H$2, DATE(Initialisatie!$C$5,1,1)) + 1) &gt; 0, IFERROR(VALUE($H131),0)=0),
        AND(MAX(0, MIN($I$1, DATE(Initialisatie!$C$5,12,31)) - MAX($I$2, DATE(Initialisatie!$C$5,1,1)) + 1) &gt; 0, IFERROR(VALUE($I131),0)=0),
        AND(MAX(0, MIN($J$1, DATE(Initialisatie!$C$5,12,31)) - MAX($J$2, DATE(Initialisatie!$C$5,1,1)) + 1) &gt; 0, IFERROR(VALUE($J131),0)=0)
    ),
    0,
    SUM(
        IFERROR(VALUE($E131),0) * MAX(0, MIN($E$1, DATE(Initialisatie!$C$5,12,31)) - MAX($E$2, DATE(Initialisatie!$C$5,1,1)) + 1),
        IFERROR(VALUE($F131),0) * MAX(0, MIN($F$1, DATE(Initialisatie!$C$5,12,31)) - MAX($F$2, DATE(Initialisatie!$C$5,1,1)) + 1),
        IFERROR(VALUE($G131),0) * MAX(0, MIN($G$1, DATE(Initialisatie!$C$5,12,31)) - MAX($G$2, DATE(Initialisatie!$C$5,1,1)) + 1),
        IFERROR(VALUE($H131),0) * MAX(0, MIN($H$1, DATE(Initialisatie!$C$5,12,31)) - MAX($H$2, DATE(Initialisatie!$C$5,1,1)) + 1),
        IFERROR(VALUE($I131),0) * MAX(0, MIN($I$1, DATE(Initialisatie!$C$5,12,31)) - MAX($I$2, DATE(Initialisatie!$C$5,1,1)) + 1),
        IFERROR(VALUE($J131),0) * MAX(0, MIN($J$1, DATE(Initialisatie!$C$5,12,31)) - MAX($J$2, DATE(Initialisatie!$C$5,1,1)) + 1)
    ) / (DATE(Initialisatie!$C$5,12,31) - DATE(Initialisatie!$C$5,1,1) + 1)
)</f>
        <v>4420</v>
      </c>
    </row>
    <row r="132" spans="1:12" x14ac:dyDescent="0.45">
      <c r="A132" s="990"/>
      <c r="B132" s="35" t="s">
        <v>543</v>
      </c>
      <c r="C132" s="35" t="s">
        <v>543</v>
      </c>
      <c r="D132" s="35" t="s">
        <v>611</v>
      </c>
      <c r="E132">
        <v>3874</v>
      </c>
      <c r="F132">
        <v>3951</v>
      </c>
      <c r="G132">
        <v>4228</v>
      </c>
      <c r="H132">
        <v>4397</v>
      </c>
      <c r="I132">
        <v>4573</v>
      </c>
      <c r="J132">
        <v>4573</v>
      </c>
      <c r="L132">
        <f>IF(
    OR(
        AND(MAX(0, MIN($E$1, DATE(Initialisatie!$C$5,12,31)) - MAX($E$2, DATE(Initialisatie!$C$5,1,1)) + 1) &gt; 0, IFERROR(VALUE($E132),0)=0),
        AND(MAX(0, MIN($F$1, DATE(Initialisatie!$C$5,12,31)) - MAX($F$2, DATE(Initialisatie!$C$5,1,1)) + 1) &gt; 0, IFERROR(VALUE($F132),0)=0),
        AND(MAX(0, MIN($G$1, DATE(Initialisatie!$C$5,12,31)) - MAX($G$2, DATE(Initialisatie!$C$5,1,1)) + 1) &gt; 0, IFERROR(VALUE($G132),0)=0),
        AND(MAX(0, MIN($H$1, DATE(Initialisatie!$C$5,12,31)) - MAX($H$2, DATE(Initialisatie!$C$5,1,1)) + 1) &gt; 0, IFERROR(VALUE($H132),0)=0),
        AND(MAX(0, MIN($I$1, DATE(Initialisatie!$C$5,12,31)) - MAX($I$2, DATE(Initialisatie!$C$5,1,1)) + 1) &gt; 0, IFERROR(VALUE($I132),0)=0),
        AND(MAX(0, MIN($J$1, DATE(Initialisatie!$C$5,12,31)) - MAX($J$2, DATE(Initialisatie!$C$5,1,1)) + 1) &gt; 0, IFERROR(VALUE($J132),0)=0)
    ),
    0,
    SUM(
        IFERROR(VALUE($E132),0) * MAX(0, MIN($E$1, DATE(Initialisatie!$C$5,12,31)) - MAX($E$2, DATE(Initialisatie!$C$5,1,1)) + 1),
        IFERROR(VALUE($F132),0) * MAX(0, MIN($F$1, DATE(Initialisatie!$C$5,12,31)) - MAX($F$2, DATE(Initialisatie!$C$5,1,1)) + 1),
        IFERROR(VALUE($G132),0) * MAX(0, MIN($G$1, DATE(Initialisatie!$C$5,12,31)) - MAX($G$2, DATE(Initialisatie!$C$5,1,1)) + 1),
        IFERROR(VALUE($H132),0) * MAX(0, MIN($H$1, DATE(Initialisatie!$C$5,12,31)) - MAX($H$2, DATE(Initialisatie!$C$5,1,1)) + 1),
        IFERROR(VALUE($I132),0) * MAX(0, MIN($I$1, DATE(Initialisatie!$C$5,12,31)) - MAX($I$2, DATE(Initialisatie!$C$5,1,1)) + 1),
        IFERROR(VALUE($J132),0) * MAX(0, MIN($J$1, DATE(Initialisatie!$C$5,12,31)) - MAX($J$2, DATE(Initialisatie!$C$5,1,1)) + 1)
    ) / (DATE(Initialisatie!$C$5,12,31) - DATE(Initialisatie!$C$5,1,1) + 1)
)</f>
        <v>4573</v>
      </c>
    </row>
    <row r="133" spans="1:12" x14ac:dyDescent="0.45">
      <c r="A133" s="988">
        <v>7</v>
      </c>
      <c r="B133" s="35" t="s">
        <v>517</v>
      </c>
      <c r="C133" s="35" t="s">
        <v>517</v>
      </c>
      <c r="D133" s="35" t="s">
        <v>612</v>
      </c>
      <c r="E133">
        <v>2593</v>
      </c>
      <c r="F133">
        <v>2645</v>
      </c>
      <c r="G133">
        <v>2830</v>
      </c>
      <c r="H133">
        <v>2943</v>
      </c>
      <c r="I133">
        <v>3061</v>
      </c>
      <c r="J133">
        <v>3061</v>
      </c>
      <c r="L133">
        <f>IF(
    OR(
        AND(MAX(0, MIN($E$1, DATE(Initialisatie!$C$5,12,31)) - MAX($E$2, DATE(Initialisatie!$C$5,1,1)) + 1) &gt; 0, IFERROR(VALUE($E133),0)=0),
        AND(MAX(0, MIN($F$1, DATE(Initialisatie!$C$5,12,31)) - MAX($F$2, DATE(Initialisatie!$C$5,1,1)) + 1) &gt; 0, IFERROR(VALUE($F133),0)=0),
        AND(MAX(0, MIN($G$1, DATE(Initialisatie!$C$5,12,31)) - MAX($G$2, DATE(Initialisatie!$C$5,1,1)) + 1) &gt; 0, IFERROR(VALUE($G133),0)=0),
        AND(MAX(0, MIN($H$1, DATE(Initialisatie!$C$5,12,31)) - MAX($H$2, DATE(Initialisatie!$C$5,1,1)) + 1) &gt; 0, IFERROR(VALUE($H133),0)=0),
        AND(MAX(0, MIN($I$1, DATE(Initialisatie!$C$5,12,31)) - MAX($I$2, DATE(Initialisatie!$C$5,1,1)) + 1) &gt; 0, IFERROR(VALUE($I133),0)=0),
        AND(MAX(0, MIN($J$1, DATE(Initialisatie!$C$5,12,31)) - MAX($J$2, DATE(Initialisatie!$C$5,1,1)) + 1) &gt; 0, IFERROR(VALUE($J133),0)=0)
    ),
    0,
    SUM(
        IFERROR(VALUE($E133),0) * MAX(0, MIN($E$1, DATE(Initialisatie!$C$5,12,31)) - MAX($E$2, DATE(Initialisatie!$C$5,1,1)) + 1),
        IFERROR(VALUE($F133),0) * MAX(0, MIN($F$1, DATE(Initialisatie!$C$5,12,31)) - MAX($F$2, DATE(Initialisatie!$C$5,1,1)) + 1),
        IFERROR(VALUE($G133),0) * MAX(0, MIN($G$1, DATE(Initialisatie!$C$5,12,31)) - MAX($G$2, DATE(Initialisatie!$C$5,1,1)) + 1),
        IFERROR(VALUE($H133),0) * MAX(0, MIN($H$1, DATE(Initialisatie!$C$5,12,31)) - MAX($H$2, DATE(Initialisatie!$C$5,1,1)) + 1),
        IFERROR(VALUE($I133),0) * MAX(0, MIN($I$1, DATE(Initialisatie!$C$5,12,31)) - MAX($I$2, DATE(Initialisatie!$C$5,1,1)) + 1),
        IFERROR(VALUE($J133),0) * MAX(0, MIN($J$1, DATE(Initialisatie!$C$5,12,31)) - MAX($J$2, DATE(Initialisatie!$C$5,1,1)) + 1)
    ) / (DATE(Initialisatie!$C$5,12,31) - DATE(Initialisatie!$C$5,1,1) + 1)
)</f>
        <v>3061</v>
      </c>
    </row>
    <row r="134" spans="1:12" x14ac:dyDescent="0.45">
      <c r="A134" s="989"/>
      <c r="B134" s="35">
        <v>0</v>
      </c>
      <c r="C134" s="35">
        <v>0</v>
      </c>
      <c r="D134" s="35" t="s">
        <v>241</v>
      </c>
      <c r="E134">
        <v>2644</v>
      </c>
      <c r="F134">
        <v>2697</v>
      </c>
      <c r="G134">
        <v>2886</v>
      </c>
      <c r="H134">
        <v>3001</v>
      </c>
      <c r="I134">
        <v>3121</v>
      </c>
      <c r="J134">
        <v>3121</v>
      </c>
      <c r="L134">
        <f>IF(
    OR(
        AND(MAX(0, MIN($E$1, DATE(Initialisatie!$C$5,12,31)) - MAX($E$2, DATE(Initialisatie!$C$5,1,1)) + 1) &gt; 0, IFERROR(VALUE($E134),0)=0),
        AND(MAX(0, MIN($F$1, DATE(Initialisatie!$C$5,12,31)) - MAX($F$2, DATE(Initialisatie!$C$5,1,1)) + 1) &gt; 0, IFERROR(VALUE($F134),0)=0),
        AND(MAX(0, MIN($G$1, DATE(Initialisatie!$C$5,12,31)) - MAX($G$2, DATE(Initialisatie!$C$5,1,1)) + 1) &gt; 0, IFERROR(VALUE($G134),0)=0),
        AND(MAX(0, MIN($H$1, DATE(Initialisatie!$C$5,12,31)) - MAX($H$2, DATE(Initialisatie!$C$5,1,1)) + 1) &gt; 0, IFERROR(VALUE($H134),0)=0),
        AND(MAX(0, MIN($I$1, DATE(Initialisatie!$C$5,12,31)) - MAX($I$2, DATE(Initialisatie!$C$5,1,1)) + 1) &gt; 0, IFERROR(VALUE($I134),0)=0),
        AND(MAX(0, MIN($J$1, DATE(Initialisatie!$C$5,12,31)) - MAX($J$2, DATE(Initialisatie!$C$5,1,1)) + 1) &gt; 0, IFERROR(VALUE($J134),0)=0)
    ),
    0,
    SUM(
        IFERROR(VALUE($E134),0) * MAX(0, MIN($E$1, DATE(Initialisatie!$C$5,12,31)) - MAX($E$2, DATE(Initialisatie!$C$5,1,1)) + 1),
        IFERROR(VALUE($F134),0) * MAX(0, MIN($F$1, DATE(Initialisatie!$C$5,12,31)) - MAX($F$2, DATE(Initialisatie!$C$5,1,1)) + 1),
        IFERROR(VALUE($G134),0) * MAX(0, MIN($G$1, DATE(Initialisatie!$C$5,12,31)) - MAX($G$2, DATE(Initialisatie!$C$5,1,1)) + 1),
        IFERROR(VALUE($H134),0) * MAX(0, MIN($H$1, DATE(Initialisatie!$C$5,12,31)) - MAX($H$2, DATE(Initialisatie!$C$5,1,1)) + 1),
        IFERROR(VALUE($I134),0) * MAX(0, MIN($I$1, DATE(Initialisatie!$C$5,12,31)) - MAX($I$2, DATE(Initialisatie!$C$5,1,1)) + 1),
        IFERROR(VALUE($J134),0) * MAX(0, MIN($J$1, DATE(Initialisatie!$C$5,12,31)) - MAX($J$2, DATE(Initialisatie!$C$5,1,1)) + 1)
    ) / (DATE(Initialisatie!$C$5,12,31) - DATE(Initialisatie!$C$5,1,1) + 1)
)</f>
        <v>3121</v>
      </c>
    </row>
    <row r="135" spans="1:12" x14ac:dyDescent="0.45">
      <c r="A135" s="989"/>
      <c r="B135" s="35">
        <v>1</v>
      </c>
      <c r="C135" s="35">
        <v>1</v>
      </c>
      <c r="D135" s="35" t="s">
        <v>240</v>
      </c>
      <c r="E135">
        <v>2723</v>
      </c>
      <c r="F135">
        <v>2777</v>
      </c>
      <c r="G135">
        <v>2971</v>
      </c>
      <c r="H135">
        <v>3090</v>
      </c>
      <c r="I135">
        <v>3214</v>
      </c>
      <c r="J135">
        <v>3214</v>
      </c>
      <c r="L135">
        <f>IF(
    OR(
        AND(MAX(0, MIN($E$1, DATE(Initialisatie!$C$5,12,31)) - MAX($E$2, DATE(Initialisatie!$C$5,1,1)) + 1) &gt; 0, IFERROR(VALUE($E135),0)=0),
        AND(MAX(0, MIN($F$1, DATE(Initialisatie!$C$5,12,31)) - MAX($F$2, DATE(Initialisatie!$C$5,1,1)) + 1) &gt; 0, IFERROR(VALUE($F135),0)=0),
        AND(MAX(0, MIN($G$1, DATE(Initialisatie!$C$5,12,31)) - MAX($G$2, DATE(Initialisatie!$C$5,1,1)) + 1) &gt; 0, IFERROR(VALUE($G135),0)=0),
        AND(MAX(0, MIN($H$1, DATE(Initialisatie!$C$5,12,31)) - MAX($H$2, DATE(Initialisatie!$C$5,1,1)) + 1) &gt; 0, IFERROR(VALUE($H135),0)=0),
        AND(MAX(0, MIN($I$1, DATE(Initialisatie!$C$5,12,31)) - MAX($I$2, DATE(Initialisatie!$C$5,1,1)) + 1) &gt; 0, IFERROR(VALUE($I135),0)=0),
        AND(MAX(0, MIN($J$1, DATE(Initialisatie!$C$5,12,31)) - MAX($J$2, DATE(Initialisatie!$C$5,1,1)) + 1) &gt; 0, IFERROR(VALUE($J135),0)=0)
    ),
    0,
    SUM(
        IFERROR(VALUE($E135),0) * MAX(0, MIN($E$1, DATE(Initialisatie!$C$5,12,31)) - MAX($E$2, DATE(Initialisatie!$C$5,1,1)) + 1),
        IFERROR(VALUE($F135),0) * MAX(0, MIN($F$1, DATE(Initialisatie!$C$5,12,31)) - MAX($F$2, DATE(Initialisatie!$C$5,1,1)) + 1),
        IFERROR(VALUE($G135),0) * MAX(0, MIN($G$1, DATE(Initialisatie!$C$5,12,31)) - MAX($G$2, DATE(Initialisatie!$C$5,1,1)) + 1),
        IFERROR(VALUE($H135),0) * MAX(0, MIN($H$1, DATE(Initialisatie!$C$5,12,31)) - MAX($H$2, DATE(Initialisatie!$C$5,1,1)) + 1),
        IFERROR(VALUE($I135),0) * MAX(0, MIN($I$1, DATE(Initialisatie!$C$5,12,31)) - MAX($I$2, DATE(Initialisatie!$C$5,1,1)) + 1),
        IFERROR(VALUE($J135),0) * MAX(0, MIN($J$1, DATE(Initialisatie!$C$5,12,31)) - MAX($J$2, DATE(Initialisatie!$C$5,1,1)) + 1)
    ) / (DATE(Initialisatie!$C$5,12,31) - DATE(Initialisatie!$C$5,1,1) + 1)
)</f>
        <v>3214</v>
      </c>
    </row>
    <row r="136" spans="1:12" x14ac:dyDescent="0.45">
      <c r="A136" s="989"/>
      <c r="B136" s="35">
        <v>2</v>
      </c>
      <c r="C136" s="35">
        <v>2</v>
      </c>
      <c r="D136" s="35" t="s">
        <v>235</v>
      </c>
      <c r="E136">
        <v>2792</v>
      </c>
      <c r="F136">
        <v>2848</v>
      </c>
      <c r="G136">
        <v>3047</v>
      </c>
      <c r="H136">
        <v>3169</v>
      </c>
      <c r="I136">
        <v>3296</v>
      </c>
      <c r="J136">
        <v>3296</v>
      </c>
      <c r="L136">
        <f>IF(
    OR(
        AND(MAX(0, MIN($E$1, DATE(Initialisatie!$C$5,12,31)) - MAX($E$2, DATE(Initialisatie!$C$5,1,1)) + 1) &gt; 0, IFERROR(VALUE($E136),0)=0),
        AND(MAX(0, MIN($F$1, DATE(Initialisatie!$C$5,12,31)) - MAX($F$2, DATE(Initialisatie!$C$5,1,1)) + 1) &gt; 0, IFERROR(VALUE($F136),0)=0),
        AND(MAX(0, MIN($G$1, DATE(Initialisatie!$C$5,12,31)) - MAX($G$2, DATE(Initialisatie!$C$5,1,1)) + 1) &gt; 0, IFERROR(VALUE($G136),0)=0),
        AND(MAX(0, MIN($H$1, DATE(Initialisatie!$C$5,12,31)) - MAX($H$2, DATE(Initialisatie!$C$5,1,1)) + 1) &gt; 0, IFERROR(VALUE($H136),0)=0),
        AND(MAX(0, MIN($I$1, DATE(Initialisatie!$C$5,12,31)) - MAX($I$2, DATE(Initialisatie!$C$5,1,1)) + 1) &gt; 0, IFERROR(VALUE($I136),0)=0),
        AND(MAX(0, MIN($J$1, DATE(Initialisatie!$C$5,12,31)) - MAX($J$2, DATE(Initialisatie!$C$5,1,1)) + 1) &gt; 0, IFERROR(VALUE($J136),0)=0)
    ),
    0,
    SUM(
        IFERROR(VALUE($E136),0) * MAX(0, MIN($E$1, DATE(Initialisatie!$C$5,12,31)) - MAX($E$2, DATE(Initialisatie!$C$5,1,1)) + 1),
        IFERROR(VALUE($F136),0) * MAX(0, MIN($F$1, DATE(Initialisatie!$C$5,12,31)) - MAX($F$2, DATE(Initialisatie!$C$5,1,1)) + 1),
        IFERROR(VALUE($G136),0) * MAX(0, MIN($G$1, DATE(Initialisatie!$C$5,12,31)) - MAX($G$2, DATE(Initialisatie!$C$5,1,1)) + 1),
        IFERROR(VALUE($H136),0) * MAX(0, MIN($H$1, DATE(Initialisatie!$C$5,12,31)) - MAX($H$2, DATE(Initialisatie!$C$5,1,1)) + 1),
        IFERROR(VALUE($I136),0) * MAX(0, MIN($I$1, DATE(Initialisatie!$C$5,12,31)) - MAX($I$2, DATE(Initialisatie!$C$5,1,1)) + 1),
        IFERROR(VALUE($J136),0) * MAX(0, MIN($J$1, DATE(Initialisatie!$C$5,12,31)) - MAX($J$2, DATE(Initialisatie!$C$5,1,1)) + 1)
    ) / (DATE(Initialisatie!$C$5,12,31) - DATE(Initialisatie!$C$5,1,1) + 1)
)</f>
        <v>3296</v>
      </c>
    </row>
    <row r="137" spans="1:12" x14ac:dyDescent="0.45">
      <c r="A137" s="989"/>
      <c r="B137" s="35">
        <v>3</v>
      </c>
      <c r="C137" s="35">
        <v>3</v>
      </c>
      <c r="D137" s="35" t="s">
        <v>234</v>
      </c>
      <c r="E137">
        <v>2864</v>
      </c>
      <c r="F137">
        <v>2921</v>
      </c>
      <c r="G137">
        <v>3125</v>
      </c>
      <c r="H137">
        <v>3250</v>
      </c>
      <c r="I137">
        <v>3380</v>
      </c>
      <c r="J137">
        <v>3380</v>
      </c>
      <c r="L137">
        <f>IF(
    OR(
        AND(MAX(0, MIN($E$1, DATE(Initialisatie!$C$5,12,31)) - MAX($E$2, DATE(Initialisatie!$C$5,1,1)) + 1) &gt; 0, IFERROR(VALUE($E137),0)=0),
        AND(MAX(0, MIN($F$1, DATE(Initialisatie!$C$5,12,31)) - MAX($F$2, DATE(Initialisatie!$C$5,1,1)) + 1) &gt; 0, IFERROR(VALUE($F137),0)=0),
        AND(MAX(0, MIN($G$1, DATE(Initialisatie!$C$5,12,31)) - MAX($G$2, DATE(Initialisatie!$C$5,1,1)) + 1) &gt; 0, IFERROR(VALUE($G137),0)=0),
        AND(MAX(0, MIN($H$1, DATE(Initialisatie!$C$5,12,31)) - MAX($H$2, DATE(Initialisatie!$C$5,1,1)) + 1) &gt; 0, IFERROR(VALUE($H137),0)=0),
        AND(MAX(0, MIN($I$1, DATE(Initialisatie!$C$5,12,31)) - MAX($I$2, DATE(Initialisatie!$C$5,1,1)) + 1) &gt; 0, IFERROR(VALUE($I137),0)=0),
        AND(MAX(0, MIN($J$1, DATE(Initialisatie!$C$5,12,31)) - MAX($J$2, DATE(Initialisatie!$C$5,1,1)) + 1) &gt; 0, IFERROR(VALUE($J137),0)=0)
    ),
    0,
    SUM(
        IFERROR(VALUE($E137),0) * MAX(0, MIN($E$1, DATE(Initialisatie!$C$5,12,31)) - MAX($E$2, DATE(Initialisatie!$C$5,1,1)) + 1),
        IFERROR(VALUE($F137),0) * MAX(0, MIN($F$1, DATE(Initialisatie!$C$5,12,31)) - MAX($F$2, DATE(Initialisatie!$C$5,1,1)) + 1),
        IFERROR(VALUE($G137),0) * MAX(0, MIN($G$1, DATE(Initialisatie!$C$5,12,31)) - MAX($G$2, DATE(Initialisatie!$C$5,1,1)) + 1),
        IFERROR(VALUE($H137),0) * MAX(0, MIN($H$1, DATE(Initialisatie!$C$5,12,31)) - MAX($H$2, DATE(Initialisatie!$C$5,1,1)) + 1),
        IFERROR(VALUE($I137),0) * MAX(0, MIN($I$1, DATE(Initialisatie!$C$5,12,31)) - MAX($I$2, DATE(Initialisatie!$C$5,1,1)) + 1),
        IFERROR(VALUE($J137),0) * MAX(0, MIN($J$1, DATE(Initialisatie!$C$5,12,31)) - MAX($J$2, DATE(Initialisatie!$C$5,1,1)) + 1)
    ) / (DATE(Initialisatie!$C$5,12,31) - DATE(Initialisatie!$C$5,1,1) + 1)
)</f>
        <v>3380</v>
      </c>
    </row>
    <row r="138" spans="1:12" x14ac:dyDescent="0.45">
      <c r="A138" s="989"/>
      <c r="B138" s="35">
        <v>4</v>
      </c>
      <c r="C138" s="35">
        <v>4</v>
      </c>
      <c r="D138" s="35" t="s">
        <v>233</v>
      </c>
      <c r="E138">
        <v>2921</v>
      </c>
      <c r="F138">
        <v>2979</v>
      </c>
      <c r="G138">
        <v>3188</v>
      </c>
      <c r="H138">
        <v>3316</v>
      </c>
      <c r="I138">
        <v>3449</v>
      </c>
      <c r="J138">
        <v>3449</v>
      </c>
      <c r="L138">
        <f>IF(
    OR(
        AND(MAX(0, MIN($E$1, DATE(Initialisatie!$C$5,12,31)) - MAX($E$2, DATE(Initialisatie!$C$5,1,1)) + 1) &gt; 0, IFERROR(VALUE($E138),0)=0),
        AND(MAX(0, MIN($F$1, DATE(Initialisatie!$C$5,12,31)) - MAX($F$2, DATE(Initialisatie!$C$5,1,1)) + 1) &gt; 0, IFERROR(VALUE($F138),0)=0),
        AND(MAX(0, MIN($G$1, DATE(Initialisatie!$C$5,12,31)) - MAX($G$2, DATE(Initialisatie!$C$5,1,1)) + 1) &gt; 0, IFERROR(VALUE($G138),0)=0),
        AND(MAX(0, MIN($H$1, DATE(Initialisatie!$C$5,12,31)) - MAX($H$2, DATE(Initialisatie!$C$5,1,1)) + 1) &gt; 0, IFERROR(VALUE($H138),0)=0),
        AND(MAX(0, MIN($I$1, DATE(Initialisatie!$C$5,12,31)) - MAX($I$2, DATE(Initialisatie!$C$5,1,1)) + 1) &gt; 0, IFERROR(VALUE($I138),0)=0),
        AND(MAX(0, MIN($J$1, DATE(Initialisatie!$C$5,12,31)) - MAX($J$2, DATE(Initialisatie!$C$5,1,1)) + 1) &gt; 0, IFERROR(VALUE($J138),0)=0)
    ),
    0,
    SUM(
        IFERROR(VALUE($E138),0) * MAX(0, MIN($E$1, DATE(Initialisatie!$C$5,12,31)) - MAX($E$2, DATE(Initialisatie!$C$5,1,1)) + 1),
        IFERROR(VALUE($F138),0) * MAX(0, MIN($F$1, DATE(Initialisatie!$C$5,12,31)) - MAX($F$2, DATE(Initialisatie!$C$5,1,1)) + 1),
        IFERROR(VALUE($G138),0) * MAX(0, MIN($G$1, DATE(Initialisatie!$C$5,12,31)) - MAX($G$2, DATE(Initialisatie!$C$5,1,1)) + 1),
        IFERROR(VALUE($H138),0) * MAX(0, MIN($H$1, DATE(Initialisatie!$C$5,12,31)) - MAX($H$2, DATE(Initialisatie!$C$5,1,1)) + 1),
        IFERROR(VALUE($I138),0) * MAX(0, MIN($I$1, DATE(Initialisatie!$C$5,12,31)) - MAX($I$2, DATE(Initialisatie!$C$5,1,1)) + 1),
        IFERROR(VALUE($J138),0) * MAX(0, MIN($J$1, DATE(Initialisatie!$C$5,12,31)) - MAX($J$2, DATE(Initialisatie!$C$5,1,1)) + 1)
    ) / (DATE(Initialisatie!$C$5,12,31) - DATE(Initialisatie!$C$5,1,1) + 1)
)</f>
        <v>3449</v>
      </c>
    </row>
    <row r="139" spans="1:12" x14ac:dyDescent="0.45">
      <c r="A139" s="989"/>
      <c r="B139" s="35">
        <v>5</v>
      </c>
      <c r="C139" s="35">
        <v>5</v>
      </c>
      <c r="D139" s="35" t="s">
        <v>232</v>
      </c>
      <c r="E139">
        <v>2985</v>
      </c>
      <c r="F139">
        <v>3045</v>
      </c>
      <c r="G139">
        <v>3258</v>
      </c>
      <c r="H139">
        <v>3388</v>
      </c>
      <c r="I139">
        <v>3524</v>
      </c>
      <c r="J139">
        <v>3524</v>
      </c>
      <c r="L139">
        <f>IF(
    OR(
        AND(MAX(0, MIN($E$1, DATE(Initialisatie!$C$5,12,31)) - MAX($E$2, DATE(Initialisatie!$C$5,1,1)) + 1) &gt; 0, IFERROR(VALUE($E139),0)=0),
        AND(MAX(0, MIN($F$1, DATE(Initialisatie!$C$5,12,31)) - MAX($F$2, DATE(Initialisatie!$C$5,1,1)) + 1) &gt; 0, IFERROR(VALUE($F139),0)=0),
        AND(MAX(0, MIN($G$1, DATE(Initialisatie!$C$5,12,31)) - MAX($G$2, DATE(Initialisatie!$C$5,1,1)) + 1) &gt; 0, IFERROR(VALUE($G139),0)=0),
        AND(MAX(0, MIN($H$1, DATE(Initialisatie!$C$5,12,31)) - MAX($H$2, DATE(Initialisatie!$C$5,1,1)) + 1) &gt; 0, IFERROR(VALUE($H139),0)=0),
        AND(MAX(0, MIN($I$1, DATE(Initialisatie!$C$5,12,31)) - MAX($I$2, DATE(Initialisatie!$C$5,1,1)) + 1) &gt; 0, IFERROR(VALUE($I139),0)=0),
        AND(MAX(0, MIN($J$1, DATE(Initialisatie!$C$5,12,31)) - MAX($J$2, DATE(Initialisatie!$C$5,1,1)) + 1) &gt; 0, IFERROR(VALUE($J139),0)=0)
    ),
    0,
    SUM(
        IFERROR(VALUE($E139),0) * MAX(0, MIN($E$1, DATE(Initialisatie!$C$5,12,31)) - MAX($E$2, DATE(Initialisatie!$C$5,1,1)) + 1),
        IFERROR(VALUE($F139),0) * MAX(0, MIN($F$1, DATE(Initialisatie!$C$5,12,31)) - MAX($F$2, DATE(Initialisatie!$C$5,1,1)) + 1),
        IFERROR(VALUE($G139),0) * MAX(0, MIN($G$1, DATE(Initialisatie!$C$5,12,31)) - MAX($G$2, DATE(Initialisatie!$C$5,1,1)) + 1),
        IFERROR(VALUE($H139),0) * MAX(0, MIN($H$1, DATE(Initialisatie!$C$5,12,31)) - MAX($H$2, DATE(Initialisatie!$C$5,1,1)) + 1),
        IFERROR(VALUE($I139),0) * MAX(0, MIN($I$1, DATE(Initialisatie!$C$5,12,31)) - MAX($I$2, DATE(Initialisatie!$C$5,1,1)) + 1),
        IFERROR(VALUE($J139),0) * MAX(0, MIN($J$1, DATE(Initialisatie!$C$5,12,31)) - MAX($J$2, DATE(Initialisatie!$C$5,1,1)) + 1)
    ) / (DATE(Initialisatie!$C$5,12,31) - DATE(Initialisatie!$C$5,1,1) + 1)
)</f>
        <v>3524</v>
      </c>
    </row>
    <row r="140" spans="1:12" x14ac:dyDescent="0.45">
      <c r="A140" s="989"/>
      <c r="B140" s="35">
        <v>6</v>
      </c>
      <c r="C140" s="35">
        <v>6</v>
      </c>
      <c r="D140" s="35" t="s">
        <v>231</v>
      </c>
      <c r="E140">
        <v>3043</v>
      </c>
      <c r="F140">
        <v>3104</v>
      </c>
      <c r="G140">
        <v>3321</v>
      </c>
      <c r="H140">
        <v>3454</v>
      </c>
      <c r="I140">
        <v>3592</v>
      </c>
      <c r="J140">
        <v>3592</v>
      </c>
      <c r="L140">
        <f>IF(
    OR(
        AND(MAX(0, MIN($E$1, DATE(Initialisatie!$C$5,12,31)) - MAX($E$2, DATE(Initialisatie!$C$5,1,1)) + 1) &gt; 0, IFERROR(VALUE($E140),0)=0),
        AND(MAX(0, MIN($F$1, DATE(Initialisatie!$C$5,12,31)) - MAX($F$2, DATE(Initialisatie!$C$5,1,1)) + 1) &gt; 0, IFERROR(VALUE($F140),0)=0),
        AND(MAX(0, MIN($G$1, DATE(Initialisatie!$C$5,12,31)) - MAX($G$2, DATE(Initialisatie!$C$5,1,1)) + 1) &gt; 0, IFERROR(VALUE($G140),0)=0),
        AND(MAX(0, MIN($H$1, DATE(Initialisatie!$C$5,12,31)) - MAX($H$2, DATE(Initialisatie!$C$5,1,1)) + 1) &gt; 0, IFERROR(VALUE($H140),0)=0),
        AND(MAX(0, MIN($I$1, DATE(Initialisatie!$C$5,12,31)) - MAX($I$2, DATE(Initialisatie!$C$5,1,1)) + 1) &gt; 0, IFERROR(VALUE($I140),0)=0),
        AND(MAX(0, MIN($J$1, DATE(Initialisatie!$C$5,12,31)) - MAX($J$2, DATE(Initialisatie!$C$5,1,1)) + 1) &gt; 0, IFERROR(VALUE($J140),0)=0)
    ),
    0,
    SUM(
        IFERROR(VALUE($E140),0) * MAX(0, MIN($E$1, DATE(Initialisatie!$C$5,12,31)) - MAX($E$2, DATE(Initialisatie!$C$5,1,1)) + 1),
        IFERROR(VALUE($F140),0) * MAX(0, MIN($F$1, DATE(Initialisatie!$C$5,12,31)) - MAX($F$2, DATE(Initialisatie!$C$5,1,1)) + 1),
        IFERROR(VALUE($G140),0) * MAX(0, MIN($G$1, DATE(Initialisatie!$C$5,12,31)) - MAX($G$2, DATE(Initialisatie!$C$5,1,1)) + 1),
        IFERROR(VALUE($H140),0) * MAX(0, MIN($H$1, DATE(Initialisatie!$C$5,12,31)) - MAX($H$2, DATE(Initialisatie!$C$5,1,1)) + 1),
        IFERROR(VALUE($I140),0) * MAX(0, MIN($I$1, DATE(Initialisatie!$C$5,12,31)) - MAX($I$2, DATE(Initialisatie!$C$5,1,1)) + 1),
        IFERROR(VALUE($J140),0) * MAX(0, MIN($J$1, DATE(Initialisatie!$C$5,12,31)) - MAX($J$2, DATE(Initialisatie!$C$5,1,1)) + 1)
    ) / (DATE(Initialisatie!$C$5,12,31) - DATE(Initialisatie!$C$5,1,1) + 1)
)</f>
        <v>3592</v>
      </c>
    </row>
    <row r="141" spans="1:12" x14ac:dyDescent="0.45">
      <c r="A141" s="989"/>
      <c r="B141" s="35">
        <v>7</v>
      </c>
      <c r="C141" s="35">
        <v>7</v>
      </c>
      <c r="D141" s="35" t="s">
        <v>230</v>
      </c>
      <c r="E141">
        <v>3158</v>
      </c>
      <c r="F141">
        <v>3221</v>
      </c>
      <c r="G141">
        <v>3446</v>
      </c>
      <c r="H141">
        <v>3584</v>
      </c>
      <c r="I141">
        <v>3727</v>
      </c>
      <c r="J141">
        <v>3727</v>
      </c>
      <c r="L141">
        <f>IF(
    OR(
        AND(MAX(0, MIN($E$1, DATE(Initialisatie!$C$5,12,31)) - MAX($E$2, DATE(Initialisatie!$C$5,1,1)) + 1) &gt; 0, IFERROR(VALUE($E141),0)=0),
        AND(MAX(0, MIN($F$1, DATE(Initialisatie!$C$5,12,31)) - MAX($F$2, DATE(Initialisatie!$C$5,1,1)) + 1) &gt; 0, IFERROR(VALUE($F141),0)=0),
        AND(MAX(0, MIN($G$1, DATE(Initialisatie!$C$5,12,31)) - MAX($G$2, DATE(Initialisatie!$C$5,1,1)) + 1) &gt; 0, IFERROR(VALUE($G141),0)=0),
        AND(MAX(0, MIN($H$1, DATE(Initialisatie!$C$5,12,31)) - MAX($H$2, DATE(Initialisatie!$C$5,1,1)) + 1) &gt; 0, IFERROR(VALUE($H141),0)=0),
        AND(MAX(0, MIN($I$1, DATE(Initialisatie!$C$5,12,31)) - MAX($I$2, DATE(Initialisatie!$C$5,1,1)) + 1) &gt; 0, IFERROR(VALUE($I141),0)=0),
        AND(MAX(0, MIN($J$1, DATE(Initialisatie!$C$5,12,31)) - MAX($J$2, DATE(Initialisatie!$C$5,1,1)) + 1) &gt; 0, IFERROR(VALUE($J141),0)=0)
    ),
    0,
    SUM(
        IFERROR(VALUE($E141),0) * MAX(0, MIN($E$1, DATE(Initialisatie!$C$5,12,31)) - MAX($E$2, DATE(Initialisatie!$C$5,1,1)) + 1),
        IFERROR(VALUE($F141),0) * MAX(0, MIN($F$1, DATE(Initialisatie!$C$5,12,31)) - MAX($F$2, DATE(Initialisatie!$C$5,1,1)) + 1),
        IFERROR(VALUE($G141),0) * MAX(0, MIN($G$1, DATE(Initialisatie!$C$5,12,31)) - MAX($G$2, DATE(Initialisatie!$C$5,1,1)) + 1),
        IFERROR(VALUE($H141),0) * MAX(0, MIN($H$1, DATE(Initialisatie!$C$5,12,31)) - MAX($H$2, DATE(Initialisatie!$C$5,1,1)) + 1),
        IFERROR(VALUE($I141),0) * MAX(0, MIN($I$1, DATE(Initialisatie!$C$5,12,31)) - MAX($I$2, DATE(Initialisatie!$C$5,1,1)) + 1),
        IFERROR(VALUE($J141),0) * MAX(0, MIN($J$1, DATE(Initialisatie!$C$5,12,31)) - MAX($J$2, DATE(Initialisatie!$C$5,1,1)) + 1)
    ) / (DATE(Initialisatie!$C$5,12,31) - DATE(Initialisatie!$C$5,1,1) + 1)
)</f>
        <v>3727</v>
      </c>
    </row>
    <row r="142" spans="1:12" x14ac:dyDescent="0.45">
      <c r="A142" s="989"/>
      <c r="B142" s="35">
        <v>8</v>
      </c>
      <c r="C142" s="35">
        <v>8</v>
      </c>
      <c r="D142" s="35" t="s">
        <v>229</v>
      </c>
      <c r="E142">
        <v>3233</v>
      </c>
      <c r="F142">
        <v>3298</v>
      </c>
      <c r="G142">
        <v>3529</v>
      </c>
      <c r="H142">
        <v>3670</v>
      </c>
      <c r="I142">
        <v>3817</v>
      </c>
      <c r="J142">
        <v>3817</v>
      </c>
      <c r="L142">
        <f>IF(
    OR(
        AND(MAX(0, MIN($E$1, DATE(Initialisatie!$C$5,12,31)) - MAX($E$2, DATE(Initialisatie!$C$5,1,1)) + 1) &gt; 0, IFERROR(VALUE($E142),0)=0),
        AND(MAX(0, MIN($F$1, DATE(Initialisatie!$C$5,12,31)) - MAX($F$2, DATE(Initialisatie!$C$5,1,1)) + 1) &gt; 0, IFERROR(VALUE($F142),0)=0),
        AND(MAX(0, MIN($G$1, DATE(Initialisatie!$C$5,12,31)) - MAX($G$2, DATE(Initialisatie!$C$5,1,1)) + 1) &gt; 0, IFERROR(VALUE($G142),0)=0),
        AND(MAX(0, MIN($H$1, DATE(Initialisatie!$C$5,12,31)) - MAX($H$2, DATE(Initialisatie!$C$5,1,1)) + 1) &gt; 0, IFERROR(VALUE($H142),0)=0),
        AND(MAX(0, MIN($I$1, DATE(Initialisatie!$C$5,12,31)) - MAX($I$2, DATE(Initialisatie!$C$5,1,1)) + 1) &gt; 0, IFERROR(VALUE($I142),0)=0),
        AND(MAX(0, MIN($J$1, DATE(Initialisatie!$C$5,12,31)) - MAX($J$2, DATE(Initialisatie!$C$5,1,1)) + 1) &gt; 0, IFERROR(VALUE($J142),0)=0)
    ),
    0,
    SUM(
        IFERROR(VALUE($E142),0) * MAX(0, MIN($E$1, DATE(Initialisatie!$C$5,12,31)) - MAX($E$2, DATE(Initialisatie!$C$5,1,1)) + 1),
        IFERROR(VALUE($F142),0) * MAX(0, MIN($F$1, DATE(Initialisatie!$C$5,12,31)) - MAX($F$2, DATE(Initialisatie!$C$5,1,1)) + 1),
        IFERROR(VALUE($G142),0) * MAX(0, MIN($G$1, DATE(Initialisatie!$C$5,12,31)) - MAX($G$2, DATE(Initialisatie!$C$5,1,1)) + 1),
        IFERROR(VALUE($H142),0) * MAX(0, MIN($H$1, DATE(Initialisatie!$C$5,12,31)) - MAX($H$2, DATE(Initialisatie!$C$5,1,1)) + 1),
        IFERROR(VALUE($I142),0) * MAX(0, MIN($I$1, DATE(Initialisatie!$C$5,12,31)) - MAX($I$2, DATE(Initialisatie!$C$5,1,1)) + 1),
        IFERROR(VALUE($J142),0) * MAX(0, MIN($J$1, DATE(Initialisatie!$C$5,12,31)) - MAX($J$2, DATE(Initialisatie!$C$5,1,1)) + 1)
    ) / (DATE(Initialisatie!$C$5,12,31) - DATE(Initialisatie!$C$5,1,1) + 1)
)</f>
        <v>3817</v>
      </c>
    </row>
    <row r="143" spans="1:12" x14ac:dyDescent="0.45">
      <c r="A143" s="989"/>
      <c r="B143" s="35">
        <v>9</v>
      </c>
      <c r="C143" s="35">
        <v>9</v>
      </c>
      <c r="D143" s="35" t="s">
        <v>228</v>
      </c>
      <c r="E143">
        <v>3314</v>
      </c>
      <c r="F143">
        <v>3380</v>
      </c>
      <c r="G143">
        <v>3617</v>
      </c>
      <c r="H143">
        <v>3762</v>
      </c>
      <c r="I143">
        <v>3912</v>
      </c>
      <c r="J143">
        <v>3912</v>
      </c>
      <c r="L143">
        <f>IF(
    OR(
        AND(MAX(0, MIN($E$1, DATE(Initialisatie!$C$5,12,31)) - MAX($E$2, DATE(Initialisatie!$C$5,1,1)) + 1) &gt; 0, IFERROR(VALUE($E143),0)=0),
        AND(MAX(0, MIN($F$1, DATE(Initialisatie!$C$5,12,31)) - MAX($F$2, DATE(Initialisatie!$C$5,1,1)) + 1) &gt; 0, IFERROR(VALUE($F143),0)=0),
        AND(MAX(0, MIN($G$1, DATE(Initialisatie!$C$5,12,31)) - MAX($G$2, DATE(Initialisatie!$C$5,1,1)) + 1) &gt; 0, IFERROR(VALUE($G143),0)=0),
        AND(MAX(0, MIN($H$1, DATE(Initialisatie!$C$5,12,31)) - MAX($H$2, DATE(Initialisatie!$C$5,1,1)) + 1) &gt; 0, IFERROR(VALUE($H143),0)=0),
        AND(MAX(0, MIN($I$1, DATE(Initialisatie!$C$5,12,31)) - MAX($I$2, DATE(Initialisatie!$C$5,1,1)) + 1) &gt; 0, IFERROR(VALUE($I143),0)=0),
        AND(MAX(0, MIN($J$1, DATE(Initialisatie!$C$5,12,31)) - MAX($J$2, DATE(Initialisatie!$C$5,1,1)) + 1) &gt; 0, IFERROR(VALUE($J143),0)=0)
    ),
    0,
    SUM(
        IFERROR(VALUE($E143),0) * MAX(0, MIN($E$1, DATE(Initialisatie!$C$5,12,31)) - MAX($E$2, DATE(Initialisatie!$C$5,1,1)) + 1),
        IFERROR(VALUE($F143),0) * MAX(0, MIN($F$1, DATE(Initialisatie!$C$5,12,31)) - MAX($F$2, DATE(Initialisatie!$C$5,1,1)) + 1),
        IFERROR(VALUE($G143),0) * MAX(0, MIN($G$1, DATE(Initialisatie!$C$5,12,31)) - MAX($G$2, DATE(Initialisatie!$C$5,1,1)) + 1),
        IFERROR(VALUE($H143),0) * MAX(0, MIN($H$1, DATE(Initialisatie!$C$5,12,31)) - MAX($H$2, DATE(Initialisatie!$C$5,1,1)) + 1),
        IFERROR(VALUE($I143),0) * MAX(0, MIN($I$1, DATE(Initialisatie!$C$5,12,31)) - MAX($I$2, DATE(Initialisatie!$C$5,1,1)) + 1),
        IFERROR(VALUE($J143),0) * MAX(0, MIN($J$1, DATE(Initialisatie!$C$5,12,31)) - MAX($J$2, DATE(Initialisatie!$C$5,1,1)) + 1)
    ) / (DATE(Initialisatie!$C$5,12,31) - DATE(Initialisatie!$C$5,1,1) + 1)
)</f>
        <v>3912</v>
      </c>
    </row>
    <row r="144" spans="1:12" x14ac:dyDescent="0.45">
      <c r="A144" s="989"/>
      <c r="B144" s="35">
        <v>10</v>
      </c>
      <c r="C144" s="35">
        <v>10</v>
      </c>
      <c r="D144" s="35" t="s">
        <v>239</v>
      </c>
      <c r="E144">
        <v>3399</v>
      </c>
      <c r="F144">
        <v>3467</v>
      </c>
      <c r="G144">
        <v>3710</v>
      </c>
      <c r="H144">
        <v>3858</v>
      </c>
      <c r="I144">
        <v>4012</v>
      </c>
      <c r="J144">
        <v>4012</v>
      </c>
      <c r="L144">
        <f>IF(
    OR(
        AND(MAX(0, MIN($E$1, DATE(Initialisatie!$C$5,12,31)) - MAX($E$2, DATE(Initialisatie!$C$5,1,1)) + 1) &gt; 0, IFERROR(VALUE($E144),0)=0),
        AND(MAX(0, MIN($F$1, DATE(Initialisatie!$C$5,12,31)) - MAX($F$2, DATE(Initialisatie!$C$5,1,1)) + 1) &gt; 0, IFERROR(VALUE($F144),0)=0),
        AND(MAX(0, MIN($G$1, DATE(Initialisatie!$C$5,12,31)) - MAX($G$2, DATE(Initialisatie!$C$5,1,1)) + 1) &gt; 0, IFERROR(VALUE($G144),0)=0),
        AND(MAX(0, MIN($H$1, DATE(Initialisatie!$C$5,12,31)) - MAX($H$2, DATE(Initialisatie!$C$5,1,1)) + 1) &gt; 0, IFERROR(VALUE($H144),0)=0),
        AND(MAX(0, MIN($I$1, DATE(Initialisatie!$C$5,12,31)) - MAX($I$2, DATE(Initialisatie!$C$5,1,1)) + 1) &gt; 0, IFERROR(VALUE($I144),0)=0),
        AND(MAX(0, MIN($J$1, DATE(Initialisatie!$C$5,12,31)) - MAX($J$2, DATE(Initialisatie!$C$5,1,1)) + 1) &gt; 0, IFERROR(VALUE($J144),0)=0)
    ),
    0,
    SUM(
        IFERROR(VALUE($E144),0) * MAX(0, MIN($E$1, DATE(Initialisatie!$C$5,12,31)) - MAX($E$2, DATE(Initialisatie!$C$5,1,1)) + 1),
        IFERROR(VALUE($F144),0) * MAX(0, MIN($F$1, DATE(Initialisatie!$C$5,12,31)) - MAX($F$2, DATE(Initialisatie!$C$5,1,1)) + 1),
        IFERROR(VALUE($G144),0) * MAX(0, MIN($G$1, DATE(Initialisatie!$C$5,12,31)) - MAX($G$2, DATE(Initialisatie!$C$5,1,1)) + 1),
        IFERROR(VALUE($H144),0) * MAX(0, MIN($H$1, DATE(Initialisatie!$C$5,12,31)) - MAX($H$2, DATE(Initialisatie!$C$5,1,1)) + 1),
        IFERROR(VALUE($I144),0) * MAX(0, MIN($I$1, DATE(Initialisatie!$C$5,12,31)) - MAX($I$2, DATE(Initialisatie!$C$5,1,1)) + 1),
        IFERROR(VALUE($J144),0) * MAX(0, MIN($J$1, DATE(Initialisatie!$C$5,12,31)) - MAX($J$2, DATE(Initialisatie!$C$5,1,1)) + 1)
    ) / (DATE(Initialisatie!$C$5,12,31) - DATE(Initialisatie!$C$5,1,1) + 1)
)</f>
        <v>4012</v>
      </c>
    </row>
    <row r="145" spans="1:12" x14ac:dyDescent="0.45">
      <c r="A145" s="989"/>
      <c r="B145" s="35">
        <v>11</v>
      </c>
      <c r="C145" s="35">
        <v>11</v>
      </c>
      <c r="D145" s="35" t="s">
        <v>238</v>
      </c>
      <c r="E145">
        <v>3470</v>
      </c>
      <c r="F145">
        <v>3539</v>
      </c>
      <c r="G145">
        <v>3787</v>
      </c>
      <c r="H145">
        <v>3938</v>
      </c>
      <c r="I145">
        <v>4096</v>
      </c>
      <c r="J145">
        <v>4096</v>
      </c>
      <c r="L145">
        <f>IF(
    OR(
        AND(MAX(0, MIN($E$1, DATE(Initialisatie!$C$5,12,31)) - MAX($E$2, DATE(Initialisatie!$C$5,1,1)) + 1) &gt; 0, IFERROR(VALUE($E145),0)=0),
        AND(MAX(0, MIN($F$1, DATE(Initialisatie!$C$5,12,31)) - MAX($F$2, DATE(Initialisatie!$C$5,1,1)) + 1) &gt; 0, IFERROR(VALUE($F145),0)=0),
        AND(MAX(0, MIN($G$1, DATE(Initialisatie!$C$5,12,31)) - MAX($G$2, DATE(Initialisatie!$C$5,1,1)) + 1) &gt; 0, IFERROR(VALUE($G145),0)=0),
        AND(MAX(0, MIN($H$1, DATE(Initialisatie!$C$5,12,31)) - MAX($H$2, DATE(Initialisatie!$C$5,1,1)) + 1) &gt; 0, IFERROR(VALUE($H145),0)=0),
        AND(MAX(0, MIN($I$1, DATE(Initialisatie!$C$5,12,31)) - MAX($I$2, DATE(Initialisatie!$C$5,1,1)) + 1) &gt; 0, IFERROR(VALUE($I145),0)=0),
        AND(MAX(0, MIN($J$1, DATE(Initialisatie!$C$5,12,31)) - MAX($J$2, DATE(Initialisatie!$C$5,1,1)) + 1) &gt; 0, IFERROR(VALUE($J145),0)=0)
    ),
    0,
    SUM(
        IFERROR(VALUE($E145),0) * MAX(0, MIN($E$1, DATE(Initialisatie!$C$5,12,31)) - MAX($E$2, DATE(Initialisatie!$C$5,1,1)) + 1),
        IFERROR(VALUE($F145),0) * MAX(0, MIN($F$1, DATE(Initialisatie!$C$5,12,31)) - MAX($F$2, DATE(Initialisatie!$C$5,1,1)) + 1),
        IFERROR(VALUE($G145),0) * MAX(0, MIN($G$1, DATE(Initialisatie!$C$5,12,31)) - MAX($G$2, DATE(Initialisatie!$C$5,1,1)) + 1),
        IFERROR(VALUE($H145),0) * MAX(0, MIN($H$1, DATE(Initialisatie!$C$5,12,31)) - MAX($H$2, DATE(Initialisatie!$C$5,1,1)) + 1),
        IFERROR(VALUE($I145),0) * MAX(0, MIN($I$1, DATE(Initialisatie!$C$5,12,31)) - MAX($I$2, DATE(Initialisatie!$C$5,1,1)) + 1),
        IFERROR(VALUE($J145),0) * MAX(0, MIN($J$1, DATE(Initialisatie!$C$5,12,31)) - MAX($J$2, DATE(Initialisatie!$C$5,1,1)) + 1)
    ) / (DATE(Initialisatie!$C$5,12,31) - DATE(Initialisatie!$C$5,1,1) + 1)
)</f>
        <v>4096</v>
      </c>
    </row>
    <row r="146" spans="1:12" x14ac:dyDescent="0.45">
      <c r="A146" s="989"/>
      <c r="B146" s="35">
        <v>12</v>
      </c>
      <c r="C146" s="35">
        <v>12</v>
      </c>
      <c r="D146" s="35" t="s">
        <v>237</v>
      </c>
      <c r="E146">
        <v>3548</v>
      </c>
      <c r="F146">
        <v>3619</v>
      </c>
      <c r="G146">
        <v>3872</v>
      </c>
      <c r="H146">
        <v>4027</v>
      </c>
      <c r="I146">
        <v>4188</v>
      </c>
      <c r="J146">
        <v>4188</v>
      </c>
      <c r="L146">
        <f>IF(
    OR(
        AND(MAX(0, MIN($E$1, DATE(Initialisatie!$C$5,12,31)) - MAX($E$2, DATE(Initialisatie!$C$5,1,1)) + 1) &gt; 0, IFERROR(VALUE($E146),0)=0),
        AND(MAX(0, MIN($F$1, DATE(Initialisatie!$C$5,12,31)) - MAX($F$2, DATE(Initialisatie!$C$5,1,1)) + 1) &gt; 0, IFERROR(VALUE($F146),0)=0),
        AND(MAX(0, MIN($G$1, DATE(Initialisatie!$C$5,12,31)) - MAX($G$2, DATE(Initialisatie!$C$5,1,1)) + 1) &gt; 0, IFERROR(VALUE($G146),0)=0),
        AND(MAX(0, MIN($H$1, DATE(Initialisatie!$C$5,12,31)) - MAX($H$2, DATE(Initialisatie!$C$5,1,1)) + 1) &gt; 0, IFERROR(VALUE($H146),0)=0),
        AND(MAX(0, MIN($I$1, DATE(Initialisatie!$C$5,12,31)) - MAX($I$2, DATE(Initialisatie!$C$5,1,1)) + 1) &gt; 0, IFERROR(VALUE($I146),0)=0),
        AND(MAX(0, MIN($J$1, DATE(Initialisatie!$C$5,12,31)) - MAX($J$2, DATE(Initialisatie!$C$5,1,1)) + 1) &gt; 0, IFERROR(VALUE($J146),0)=0)
    ),
    0,
    SUM(
        IFERROR(VALUE($E146),0) * MAX(0, MIN($E$1, DATE(Initialisatie!$C$5,12,31)) - MAX($E$2, DATE(Initialisatie!$C$5,1,1)) + 1),
        IFERROR(VALUE($F146),0) * MAX(0, MIN($F$1, DATE(Initialisatie!$C$5,12,31)) - MAX($F$2, DATE(Initialisatie!$C$5,1,1)) + 1),
        IFERROR(VALUE($G146),0) * MAX(0, MIN($G$1, DATE(Initialisatie!$C$5,12,31)) - MAX($G$2, DATE(Initialisatie!$C$5,1,1)) + 1),
        IFERROR(VALUE($H146),0) * MAX(0, MIN($H$1, DATE(Initialisatie!$C$5,12,31)) - MAX($H$2, DATE(Initialisatie!$C$5,1,1)) + 1),
        IFERROR(VALUE($I146),0) * MAX(0, MIN($I$1, DATE(Initialisatie!$C$5,12,31)) - MAX($I$2, DATE(Initialisatie!$C$5,1,1)) + 1),
        IFERROR(VALUE($J146),0) * MAX(0, MIN($J$1, DATE(Initialisatie!$C$5,12,31)) - MAX($J$2, DATE(Initialisatie!$C$5,1,1)) + 1)
    ) / (DATE(Initialisatie!$C$5,12,31) - DATE(Initialisatie!$C$5,1,1) + 1)
)</f>
        <v>4188</v>
      </c>
    </row>
    <row r="147" spans="1:12" x14ac:dyDescent="0.45">
      <c r="A147" s="989"/>
      <c r="B147" s="35">
        <v>13</v>
      </c>
      <c r="C147" s="35">
        <v>13</v>
      </c>
      <c r="D147" s="35" t="s">
        <v>236</v>
      </c>
      <c r="E147">
        <v>3621</v>
      </c>
      <c r="F147">
        <v>3693</v>
      </c>
      <c r="G147">
        <v>3952</v>
      </c>
      <c r="H147">
        <v>4110</v>
      </c>
      <c r="I147">
        <v>4274</v>
      </c>
      <c r="J147">
        <v>4274</v>
      </c>
      <c r="L147">
        <f>IF(
    OR(
        AND(MAX(0, MIN($E$1, DATE(Initialisatie!$C$5,12,31)) - MAX($E$2, DATE(Initialisatie!$C$5,1,1)) + 1) &gt; 0, IFERROR(VALUE($E147),0)=0),
        AND(MAX(0, MIN($F$1, DATE(Initialisatie!$C$5,12,31)) - MAX($F$2, DATE(Initialisatie!$C$5,1,1)) + 1) &gt; 0, IFERROR(VALUE($F147),0)=0),
        AND(MAX(0, MIN($G$1, DATE(Initialisatie!$C$5,12,31)) - MAX($G$2, DATE(Initialisatie!$C$5,1,1)) + 1) &gt; 0, IFERROR(VALUE($G147),0)=0),
        AND(MAX(0, MIN($H$1, DATE(Initialisatie!$C$5,12,31)) - MAX($H$2, DATE(Initialisatie!$C$5,1,1)) + 1) &gt; 0, IFERROR(VALUE($H147),0)=0),
        AND(MAX(0, MIN($I$1, DATE(Initialisatie!$C$5,12,31)) - MAX($I$2, DATE(Initialisatie!$C$5,1,1)) + 1) &gt; 0, IFERROR(VALUE($I147),0)=0),
        AND(MAX(0, MIN($J$1, DATE(Initialisatie!$C$5,12,31)) - MAX($J$2, DATE(Initialisatie!$C$5,1,1)) + 1) &gt; 0, IFERROR(VALUE($J147),0)=0)
    ),
    0,
    SUM(
        IFERROR(VALUE($E147),0) * MAX(0, MIN($E$1, DATE(Initialisatie!$C$5,12,31)) - MAX($E$2, DATE(Initialisatie!$C$5,1,1)) + 1),
        IFERROR(VALUE($F147),0) * MAX(0, MIN($F$1, DATE(Initialisatie!$C$5,12,31)) - MAX($F$2, DATE(Initialisatie!$C$5,1,1)) + 1),
        IFERROR(VALUE($G147),0) * MAX(0, MIN($G$1, DATE(Initialisatie!$C$5,12,31)) - MAX($G$2, DATE(Initialisatie!$C$5,1,1)) + 1),
        IFERROR(VALUE($H147),0) * MAX(0, MIN($H$1, DATE(Initialisatie!$C$5,12,31)) - MAX($H$2, DATE(Initialisatie!$C$5,1,1)) + 1),
        IFERROR(VALUE($I147),0) * MAX(0, MIN($I$1, DATE(Initialisatie!$C$5,12,31)) - MAX($I$2, DATE(Initialisatie!$C$5,1,1)) + 1),
        IFERROR(VALUE($J147),0) * MAX(0, MIN($J$1, DATE(Initialisatie!$C$5,12,31)) - MAX($J$2, DATE(Initialisatie!$C$5,1,1)) + 1)
    ) / (DATE(Initialisatie!$C$5,12,31) - DATE(Initialisatie!$C$5,1,1) + 1)
)</f>
        <v>4274</v>
      </c>
    </row>
    <row r="148" spans="1:12" x14ac:dyDescent="0.45">
      <c r="A148" s="989"/>
      <c r="B148" s="35" t="s">
        <v>531</v>
      </c>
      <c r="C148" s="35" t="s">
        <v>531</v>
      </c>
      <c r="D148" s="35" t="s">
        <v>613</v>
      </c>
      <c r="E148">
        <v>3745</v>
      </c>
      <c r="F148">
        <v>3820</v>
      </c>
      <c r="G148">
        <v>4087</v>
      </c>
      <c r="H148">
        <v>4250</v>
      </c>
      <c r="I148">
        <v>4420</v>
      </c>
      <c r="J148">
        <v>4420</v>
      </c>
      <c r="L148">
        <f>IF(
    OR(
        AND(MAX(0, MIN($E$1, DATE(Initialisatie!$C$5,12,31)) - MAX($E$2, DATE(Initialisatie!$C$5,1,1)) + 1) &gt; 0, IFERROR(VALUE($E148),0)=0),
        AND(MAX(0, MIN($F$1, DATE(Initialisatie!$C$5,12,31)) - MAX($F$2, DATE(Initialisatie!$C$5,1,1)) + 1) &gt; 0, IFERROR(VALUE($F148),0)=0),
        AND(MAX(0, MIN($G$1, DATE(Initialisatie!$C$5,12,31)) - MAX($G$2, DATE(Initialisatie!$C$5,1,1)) + 1) &gt; 0, IFERROR(VALUE($G148),0)=0),
        AND(MAX(0, MIN($H$1, DATE(Initialisatie!$C$5,12,31)) - MAX($H$2, DATE(Initialisatie!$C$5,1,1)) + 1) &gt; 0, IFERROR(VALUE($H148),0)=0),
        AND(MAX(0, MIN($I$1, DATE(Initialisatie!$C$5,12,31)) - MAX($I$2, DATE(Initialisatie!$C$5,1,1)) + 1) &gt; 0, IFERROR(VALUE($I148),0)=0),
        AND(MAX(0, MIN($J$1, DATE(Initialisatie!$C$5,12,31)) - MAX($J$2, DATE(Initialisatie!$C$5,1,1)) + 1) &gt; 0, IFERROR(VALUE($J148),0)=0)
    ),
    0,
    SUM(
        IFERROR(VALUE($E148),0) * MAX(0, MIN($E$1, DATE(Initialisatie!$C$5,12,31)) - MAX($E$2, DATE(Initialisatie!$C$5,1,1)) + 1),
        IFERROR(VALUE($F148),0) * MAX(0, MIN($F$1, DATE(Initialisatie!$C$5,12,31)) - MAX($F$2, DATE(Initialisatie!$C$5,1,1)) + 1),
        IFERROR(VALUE($G148),0) * MAX(0, MIN($G$1, DATE(Initialisatie!$C$5,12,31)) - MAX($G$2, DATE(Initialisatie!$C$5,1,1)) + 1),
        IFERROR(VALUE($H148),0) * MAX(0, MIN($H$1, DATE(Initialisatie!$C$5,12,31)) - MAX($H$2, DATE(Initialisatie!$C$5,1,1)) + 1),
        IFERROR(VALUE($I148),0) * MAX(0, MIN($I$1, DATE(Initialisatie!$C$5,12,31)) - MAX($I$2, DATE(Initialisatie!$C$5,1,1)) + 1),
        IFERROR(VALUE($J148),0) * MAX(0, MIN($J$1, DATE(Initialisatie!$C$5,12,31)) - MAX($J$2, DATE(Initialisatie!$C$5,1,1)) + 1)
    ) / (DATE(Initialisatie!$C$5,12,31) - DATE(Initialisatie!$C$5,1,1) + 1)
)</f>
        <v>4420</v>
      </c>
    </row>
    <row r="149" spans="1:12" x14ac:dyDescent="0.45">
      <c r="A149" s="989"/>
      <c r="B149" s="35" t="s">
        <v>533</v>
      </c>
      <c r="C149" s="35" t="s">
        <v>533</v>
      </c>
      <c r="D149" s="35" t="s">
        <v>614</v>
      </c>
      <c r="E149">
        <v>3874</v>
      </c>
      <c r="F149">
        <v>3951</v>
      </c>
      <c r="G149">
        <v>4228</v>
      </c>
      <c r="H149">
        <v>4397</v>
      </c>
      <c r="I149">
        <v>4573</v>
      </c>
      <c r="J149">
        <v>4573</v>
      </c>
      <c r="L149">
        <f>IF(
    OR(
        AND(MAX(0, MIN($E$1, DATE(Initialisatie!$C$5,12,31)) - MAX($E$2, DATE(Initialisatie!$C$5,1,1)) + 1) &gt; 0, IFERROR(VALUE($E149),0)=0),
        AND(MAX(0, MIN($F$1, DATE(Initialisatie!$C$5,12,31)) - MAX($F$2, DATE(Initialisatie!$C$5,1,1)) + 1) &gt; 0, IFERROR(VALUE($F149),0)=0),
        AND(MAX(0, MIN($G$1, DATE(Initialisatie!$C$5,12,31)) - MAX($G$2, DATE(Initialisatie!$C$5,1,1)) + 1) &gt; 0, IFERROR(VALUE($G149),0)=0),
        AND(MAX(0, MIN($H$1, DATE(Initialisatie!$C$5,12,31)) - MAX($H$2, DATE(Initialisatie!$C$5,1,1)) + 1) &gt; 0, IFERROR(VALUE($H149),0)=0),
        AND(MAX(0, MIN($I$1, DATE(Initialisatie!$C$5,12,31)) - MAX($I$2, DATE(Initialisatie!$C$5,1,1)) + 1) &gt; 0, IFERROR(VALUE($I149),0)=0),
        AND(MAX(0, MIN($J$1, DATE(Initialisatie!$C$5,12,31)) - MAX($J$2, DATE(Initialisatie!$C$5,1,1)) + 1) &gt; 0, IFERROR(VALUE($J149),0)=0)
    ),
    0,
    SUM(
        IFERROR(VALUE($E149),0) * MAX(0, MIN($E$1, DATE(Initialisatie!$C$5,12,31)) - MAX($E$2, DATE(Initialisatie!$C$5,1,1)) + 1),
        IFERROR(VALUE($F149),0) * MAX(0, MIN($F$1, DATE(Initialisatie!$C$5,12,31)) - MAX($F$2, DATE(Initialisatie!$C$5,1,1)) + 1),
        IFERROR(VALUE($G149),0) * MAX(0, MIN($G$1, DATE(Initialisatie!$C$5,12,31)) - MAX($G$2, DATE(Initialisatie!$C$5,1,1)) + 1),
        IFERROR(VALUE($H149),0) * MAX(0, MIN($H$1, DATE(Initialisatie!$C$5,12,31)) - MAX($H$2, DATE(Initialisatie!$C$5,1,1)) + 1),
        IFERROR(VALUE($I149),0) * MAX(0, MIN($I$1, DATE(Initialisatie!$C$5,12,31)) - MAX($I$2, DATE(Initialisatie!$C$5,1,1)) + 1),
        IFERROR(VALUE($J149),0) * MAX(0, MIN($J$1, DATE(Initialisatie!$C$5,12,31)) - MAX($J$2, DATE(Initialisatie!$C$5,1,1)) + 1)
    ) / (DATE(Initialisatie!$C$5,12,31) - DATE(Initialisatie!$C$5,1,1) + 1)
)</f>
        <v>4573</v>
      </c>
    </row>
    <row r="150" spans="1:12" x14ac:dyDescent="0.45">
      <c r="A150" s="989"/>
      <c r="B150" s="35" t="s">
        <v>535</v>
      </c>
      <c r="C150" s="35" t="s">
        <v>535</v>
      </c>
      <c r="D150" s="35" t="s">
        <v>615</v>
      </c>
      <c r="E150">
        <v>3745</v>
      </c>
      <c r="F150">
        <v>3820</v>
      </c>
      <c r="G150">
        <v>4087</v>
      </c>
      <c r="H150">
        <v>4250</v>
      </c>
      <c r="I150">
        <v>4420</v>
      </c>
      <c r="J150">
        <v>4420</v>
      </c>
      <c r="L150">
        <f>IF(
    OR(
        AND(MAX(0, MIN($E$1, DATE(Initialisatie!$C$5,12,31)) - MAX($E$2, DATE(Initialisatie!$C$5,1,1)) + 1) &gt; 0, IFERROR(VALUE($E150),0)=0),
        AND(MAX(0, MIN($F$1, DATE(Initialisatie!$C$5,12,31)) - MAX($F$2, DATE(Initialisatie!$C$5,1,1)) + 1) &gt; 0, IFERROR(VALUE($F150),0)=0),
        AND(MAX(0, MIN($G$1, DATE(Initialisatie!$C$5,12,31)) - MAX($G$2, DATE(Initialisatie!$C$5,1,1)) + 1) &gt; 0, IFERROR(VALUE($G150),0)=0),
        AND(MAX(0, MIN($H$1, DATE(Initialisatie!$C$5,12,31)) - MAX($H$2, DATE(Initialisatie!$C$5,1,1)) + 1) &gt; 0, IFERROR(VALUE($H150),0)=0),
        AND(MAX(0, MIN($I$1, DATE(Initialisatie!$C$5,12,31)) - MAX($I$2, DATE(Initialisatie!$C$5,1,1)) + 1) &gt; 0, IFERROR(VALUE($I150),0)=0),
        AND(MAX(0, MIN($J$1, DATE(Initialisatie!$C$5,12,31)) - MAX($J$2, DATE(Initialisatie!$C$5,1,1)) + 1) &gt; 0, IFERROR(VALUE($J150),0)=0)
    ),
    0,
    SUM(
        IFERROR(VALUE($E150),0) * MAX(0, MIN($E$1, DATE(Initialisatie!$C$5,12,31)) - MAX($E$2, DATE(Initialisatie!$C$5,1,1)) + 1),
        IFERROR(VALUE($F150),0) * MAX(0, MIN($F$1, DATE(Initialisatie!$C$5,12,31)) - MAX($F$2, DATE(Initialisatie!$C$5,1,1)) + 1),
        IFERROR(VALUE($G150),0) * MAX(0, MIN($G$1, DATE(Initialisatie!$C$5,12,31)) - MAX($G$2, DATE(Initialisatie!$C$5,1,1)) + 1),
        IFERROR(VALUE($H150),0) * MAX(0, MIN($H$1, DATE(Initialisatie!$C$5,12,31)) - MAX($H$2, DATE(Initialisatie!$C$5,1,1)) + 1),
        IFERROR(VALUE($I150),0) * MAX(0, MIN($I$1, DATE(Initialisatie!$C$5,12,31)) - MAX($I$2, DATE(Initialisatie!$C$5,1,1)) + 1),
        IFERROR(VALUE($J150),0) * MAX(0, MIN($J$1, DATE(Initialisatie!$C$5,12,31)) - MAX($J$2, DATE(Initialisatie!$C$5,1,1)) + 1)
    ) / (DATE(Initialisatie!$C$5,12,31) - DATE(Initialisatie!$C$5,1,1) + 1)
)</f>
        <v>4420</v>
      </c>
    </row>
    <row r="151" spans="1:12" x14ac:dyDescent="0.45">
      <c r="A151" s="989"/>
      <c r="B151" s="35" t="s">
        <v>537</v>
      </c>
      <c r="C151" s="35" t="s">
        <v>537</v>
      </c>
      <c r="D151" s="35" t="s">
        <v>616</v>
      </c>
      <c r="E151">
        <v>3874</v>
      </c>
      <c r="F151">
        <v>3951</v>
      </c>
      <c r="G151">
        <v>4228</v>
      </c>
      <c r="H151">
        <v>4397</v>
      </c>
      <c r="I151">
        <v>4573</v>
      </c>
      <c r="J151">
        <v>4573</v>
      </c>
      <c r="L151">
        <f>IF(
    OR(
        AND(MAX(0, MIN($E$1, DATE(Initialisatie!$C$5,12,31)) - MAX($E$2, DATE(Initialisatie!$C$5,1,1)) + 1) &gt; 0, IFERROR(VALUE($E151),0)=0),
        AND(MAX(0, MIN($F$1, DATE(Initialisatie!$C$5,12,31)) - MAX($F$2, DATE(Initialisatie!$C$5,1,1)) + 1) &gt; 0, IFERROR(VALUE($F151),0)=0),
        AND(MAX(0, MIN($G$1, DATE(Initialisatie!$C$5,12,31)) - MAX($G$2, DATE(Initialisatie!$C$5,1,1)) + 1) &gt; 0, IFERROR(VALUE($G151),0)=0),
        AND(MAX(0, MIN($H$1, DATE(Initialisatie!$C$5,12,31)) - MAX($H$2, DATE(Initialisatie!$C$5,1,1)) + 1) &gt; 0, IFERROR(VALUE($H151),0)=0),
        AND(MAX(0, MIN($I$1, DATE(Initialisatie!$C$5,12,31)) - MAX($I$2, DATE(Initialisatie!$C$5,1,1)) + 1) &gt; 0, IFERROR(VALUE($I151),0)=0),
        AND(MAX(0, MIN($J$1, DATE(Initialisatie!$C$5,12,31)) - MAX($J$2, DATE(Initialisatie!$C$5,1,1)) + 1) &gt; 0, IFERROR(VALUE($J151),0)=0)
    ),
    0,
    SUM(
        IFERROR(VALUE($E151),0) * MAX(0, MIN($E$1, DATE(Initialisatie!$C$5,12,31)) - MAX($E$2, DATE(Initialisatie!$C$5,1,1)) + 1),
        IFERROR(VALUE($F151),0) * MAX(0, MIN($F$1, DATE(Initialisatie!$C$5,12,31)) - MAX($F$2, DATE(Initialisatie!$C$5,1,1)) + 1),
        IFERROR(VALUE($G151),0) * MAX(0, MIN($G$1, DATE(Initialisatie!$C$5,12,31)) - MAX($G$2, DATE(Initialisatie!$C$5,1,1)) + 1),
        IFERROR(VALUE($H151),0) * MAX(0, MIN($H$1, DATE(Initialisatie!$C$5,12,31)) - MAX($H$2, DATE(Initialisatie!$C$5,1,1)) + 1),
        IFERROR(VALUE($I151),0) * MAX(0, MIN($I$1, DATE(Initialisatie!$C$5,12,31)) - MAX($I$2, DATE(Initialisatie!$C$5,1,1)) + 1),
        IFERROR(VALUE($J151),0) * MAX(0, MIN($J$1, DATE(Initialisatie!$C$5,12,31)) - MAX($J$2, DATE(Initialisatie!$C$5,1,1)) + 1)
    ) / (DATE(Initialisatie!$C$5,12,31) - DATE(Initialisatie!$C$5,1,1) + 1)
)</f>
        <v>4573</v>
      </c>
    </row>
    <row r="152" spans="1:12" x14ac:dyDescent="0.45">
      <c r="A152" s="989"/>
      <c r="B152" s="35" t="s">
        <v>539</v>
      </c>
      <c r="C152" s="35" t="s">
        <v>539</v>
      </c>
      <c r="D152" s="35" t="s">
        <v>617</v>
      </c>
      <c r="E152">
        <v>4006</v>
      </c>
      <c r="F152">
        <v>4086</v>
      </c>
      <c r="G152">
        <v>4372</v>
      </c>
      <c r="H152">
        <v>4547</v>
      </c>
      <c r="I152">
        <v>4729</v>
      </c>
      <c r="J152">
        <v>4729</v>
      </c>
      <c r="L152">
        <f>IF(
    OR(
        AND(MAX(0, MIN($E$1, DATE(Initialisatie!$C$5,12,31)) - MAX($E$2, DATE(Initialisatie!$C$5,1,1)) + 1) &gt; 0, IFERROR(VALUE($E152),0)=0),
        AND(MAX(0, MIN($F$1, DATE(Initialisatie!$C$5,12,31)) - MAX($F$2, DATE(Initialisatie!$C$5,1,1)) + 1) &gt; 0, IFERROR(VALUE($F152),0)=0),
        AND(MAX(0, MIN($G$1, DATE(Initialisatie!$C$5,12,31)) - MAX($G$2, DATE(Initialisatie!$C$5,1,1)) + 1) &gt; 0, IFERROR(VALUE($G152),0)=0),
        AND(MAX(0, MIN($H$1, DATE(Initialisatie!$C$5,12,31)) - MAX($H$2, DATE(Initialisatie!$C$5,1,1)) + 1) &gt; 0, IFERROR(VALUE($H152),0)=0),
        AND(MAX(0, MIN($I$1, DATE(Initialisatie!$C$5,12,31)) - MAX($I$2, DATE(Initialisatie!$C$5,1,1)) + 1) &gt; 0, IFERROR(VALUE($I152),0)=0),
        AND(MAX(0, MIN($J$1, DATE(Initialisatie!$C$5,12,31)) - MAX($J$2, DATE(Initialisatie!$C$5,1,1)) + 1) &gt; 0, IFERROR(VALUE($J152),0)=0)
    ),
    0,
    SUM(
        IFERROR(VALUE($E152),0) * MAX(0, MIN($E$1, DATE(Initialisatie!$C$5,12,31)) - MAX($E$2, DATE(Initialisatie!$C$5,1,1)) + 1),
        IFERROR(VALUE($F152),0) * MAX(0, MIN($F$1, DATE(Initialisatie!$C$5,12,31)) - MAX($F$2, DATE(Initialisatie!$C$5,1,1)) + 1),
        IFERROR(VALUE($G152),0) * MAX(0, MIN($G$1, DATE(Initialisatie!$C$5,12,31)) - MAX($G$2, DATE(Initialisatie!$C$5,1,1)) + 1),
        IFERROR(VALUE($H152),0) * MAX(0, MIN($H$1, DATE(Initialisatie!$C$5,12,31)) - MAX($H$2, DATE(Initialisatie!$C$5,1,1)) + 1),
        IFERROR(VALUE($I152),0) * MAX(0, MIN($I$1, DATE(Initialisatie!$C$5,12,31)) - MAX($I$2, DATE(Initialisatie!$C$5,1,1)) + 1),
        IFERROR(VALUE($J152),0) * MAX(0, MIN($J$1, DATE(Initialisatie!$C$5,12,31)) - MAX($J$2, DATE(Initialisatie!$C$5,1,1)) + 1)
    ) / (DATE(Initialisatie!$C$5,12,31) - DATE(Initialisatie!$C$5,1,1) + 1)
)</f>
        <v>4729</v>
      </c>
    </row>
    <row r="153" spans="1:12" x14ac:dyDescent="0.45">
      <c r="A153" s="989"/>
      <c r="B153" s="35" t="s">
        <v>541</v>
      </c>
      <c r="C153" s="35" t="s">
        <v>541</v>
      </c>
      <c r="D153" s="35" t="s">
        <v>618</v>
      </c>
      <c r="E153">
        <v>4136</v>
      </c>
      <c r="F153">
        <v>4219</v>
      </c>
      <c r="G153">
        <v>4514</v>
      </c>
      <c r="H153">
        <v>4695</v>
      </c>
      <c r="I153">
        <v>4883</v>
      </c>
      <c r="J153">
        <v>4883</v>
      </c>
      <c r="L153">
        <f>IF(
    OR(
        AND(MAX(0, MIN($E$1, DATE(Initialisatie!$C$5,12,31)) - MAX($E$2, DATE(Initialisatie!$C$5,1,1)) + 1) &gt; 0, IFERROR(VALUE($E153),0)=0),
        AND(MAX(0, MIN($F$1, DATE(Initialisatie!$C$5,12,31)) - MAX($F$2, DATE(Initialisatie!$C$5,1,1)) + 1) &gt; 0, IFERROR(VALUE($F153),0)=0),
        AND(MAX(0, MIN($G$1, DATE(Initialisatie!$C$5,12,31)) - MAX($G$2, DATE(Initialisatie!$C$5,1,1)) + 1) &gt; 0, IFERROR(VALUE($G153),0)=0),
        AND(MAX(0, MIN($H$1, DATE(Initialisatie!$C$5,12,31)) - MAX($H$2, DATE(Initialisatie!$C$5,1,1)) + 1) &gt; 0, IFERROR(VALUE($H153),0)=0),
        AND(MAX(0, MIN($I$1, DATE(Initialisatie!$C$5,12,31)) - MAX($I$2, DATE(Initialisatie!$C$5,1,1)) + 1) &gt; 0, IFERROR(VALUE($I153),0)=0),
        AND(MAX(0, MIN($J$1, DATE(Initialisatie!$C$5,12,31)) - MAX($J$2, DATE(Initialisatie!$C$5,1,1)) + 1) &gt; 0, IFERROR(VALUE($J153),0)=0)
    ),
    0,
    SUM(
        IFERROR(VALUE($E153),0) * MAX(0, MIN($E$1, DATE(Initialisatie!$C$5,12,31)) - MAX($E$2, DATE(Initialisatie!$C$5,1,1)) + 1),
        IFERROR(VALUE($F153),0) * MAX(0, MIN($F$1, DATE(Initialisatie!$C$5,12,31)) - MAX($F$2, DATE(Initialisatie!$C$5,1,1)) + 1),
        IFERROR(VALUE($G153),0) * MAX(0, MIN($G$1, DATE(Initialisatie!$C$5,12,31)) - MAX($G$2, DATE(Initialisatie!$C$5,1,1)) + 1),
        IFERROR(VALUE($H153),0) * MAX(0, MIN($H$1, DATE(Initialisatie!$C$5,12,31)) - MAX($H$2, DATE(Initialisatie!$C$5,1,1)) + 1),
        IFERROR(VALUE($I153),0) * MAX(0, MIN($I$1, DATE(Initialisatie!$C$5,12,31)) - MAX($I$2, DATE(Initialisatie!$C$5,1,1)) + 1),
        IFERROR(VALUE($J153),0) * MAX(0, MIN($J$1, DATE(Initialisatie!$C$5,12,31)) - MAX($J$2, DATE(Initialisatie!$C$5,1,1)) + 1)
    ) / (DATE(Initialisatie!$C$5,12,31) - DATE(Initialisatie!$C$5,1,1) + 1)
)</f>
        <v>4883</v>
      </c>
    </row>
    <row r="154" spans="1:12" x14ac:dyDescent="0.45">
      <c r="A154" s="990"/>
      <c r="B154" s="35" t="s">
        <v>543</v>
      </c>
      <c r="C154" s="35" t="s">
        <v>543</v>
      </c>
      <c r="D154" s="35" t="s">
        <v>619</v>
      </c>
      <c r="E154">
        <v>4270</v>
      </c>
      <c r="F154">
        <v>4355</v>
      </c>
      <c r="G154">
        <v>4660</v>
      </c>
      <c r="H154">
        <v>4846</v>
      </c>
      <c r="I154">
        <v>5040</v>
      </c>
      <c r="J154">
        <v>5040</v>
      </c>
      <c r="L154">
        <f>IF(
    OR(
        AND(MAX(0, MIN($E$1, DATE(Initialisatie!$C$5,12,31)) - MAX($E$2, DATE(Initialisatie!$C$5,1,1)) + 1) &gt; 0, IFERROR(VALUE($E154),0)=0),
        AND(MAX(0, MIN($F$1, DATE(Initialisatie!$C$5,12,31)) - MAX($F$2, DATE(Initialisatie!$C$5,1,1)) + 1) &gt; 0, IFERROR(VALUE($F154),0)=0),
        AND(MAX(0, MIN($G$1, DATE(Initialisatie!$C$5,12,31)) - MAX($G$2, DATE(Initialisatie!$C$5,1,1)) + 1) &gt; 0, IFERROR(VALUE($G154),0)=0),
        AND(MAX(0, MIN($H$1, DATE(Initialisatie!$C$5,12,31)) - MAX($H$2, DATE(Initialisatie!$C$5,1,1)) + 1) &gt; 0, IFERROR(VALUE($H154),0)=0),
        AND(MAX(0, MIN($I$1, DATE(Initialisatie!$C$5,12,31)) - MAX($I$2, DATE(Initialisatie!$C$5,1,1)) + 1) &gt; 0, IFERROR(VALUE($I154),0)=0),
        AND(MAX(0, MIN($J$1, DATE(Initialisatie!$C$5,12,31)) - MAX($J$2, DATE(Initialisatie!$C$5,1,1)) + 1) &gt; 0, IFERROR(VALUE($J154),0)=0)
    ),
    0,
    SUM(
        IFERROR(VALUE($E154),0) * MAX(0, MIN($E$1, DATE(Initialisatie!$C$5,12,31)) - MAX($E$2, DATE(Initialisatie!$C$5,1,1)) + 1),
        IFERROR(VALUE($F154),0) * MAX(0, MIN($F$1, DATE(Initialisatie!$C$5,12,31)) - MAX($F$2, DATE(Initialisatie!$C$5,1,1)) + 1),
        IFERROR(VALUE($G154),0) * MAX(0, MIN($G$1, DATE(Initialisatie!$C$5,12,31)) - MAX($G$2, DATE(Initialisatie!$C$5,1,1)) + 1),
        IFERROR(VALUE($H154),0) * MAX(0, MIN($H$1, DATE(Initialisatie!$C$5,12,31)) - MAX($H$2, DATE(Initialisatie!$C$5,1,1)) + 1),
        IFERROR(VALUE($I154),0) * MAX(0, MIN($I$1, DATE(Initialisatie!$C$5,12,31)) - MAX($I$2, DATE(Initialisatie!$C$5,1,1)) + 1),
        IFERROR(VALUE($J154),0) * MAX(0, MIN($J$1, DATE(Initialisatie!$C$5,12,31)) - MAX($J$2, DATE(Initialisatie!$C$5,1,1)) + 1)
    ) / (DATE(Initialisatie!$C$5,12,31) - DATE(Initialisatie!$C$5,1,1) + 1)
)</f>
        <v>5040</v>
      </c>
    </row>
    <row r="155" spans="1:12" x14ac:dyDescent="0.45">
      <c r="A155" s="988">
        <v>8</v>
      </c>
      <c r="B155" s="35" t="s">
        <v>517</v>
      </c>
      <c r="C155" s="35" t="s">
        <v>517</v>
      </c>
      <c r="D155" s="35" t="s">
        <v>620</v>
      </c>
      <c r="E155">
        <v>2811</v>
      </c>
      <c r="F155">
        <v>2867</v>
      </c>
      <c r="G155">
        <v>3068</v>
      </c>
      <c r="H155">
        <v>3191</v>
      </c>
      <c r="I155">
        <v>3319</v>
      </c>
      <c r="J155">
        <v>3319</v>
      </c>
      <c r="L155">
        <f>IF(
    OR(
        AND(MAX(0, MIN($E$1, DATE(Initialisatie!$C$5,12,31)) - MAX($E$2, DATE(Initialisatie!$C$5,1,1)) + 1) &gt; 0, IFERROR(VALUE($E155),0)=0),
        AND(MAX(0, MIN($F$1, DATE(Initialisatie!$C$5,12,31)) - MAX($F$2, DATE(Initialisatie!$C$5,1,1)) + 1) &gt; 0, IFERROR(VALUE($F155),0)=0),
        AND(MAX(0, MIN($G$1, DATE(Initialisatie!$C$5,12,31)) - MAX($G$2, DATE(Initialisatie!$C$5,1,1)) + 1) &gt; 0, IFERROR(VALUE($G155),0)=0),
        AND(MAX(0, MIN($H$1, DATE(Initialisatie!$C$5,12,31)) - MAX($H$2, DATE(Initialisatie!$C$5,1,1)) + 1) &gt; 0, IFERROR(VALUE($H155),0)=0),
        AND(MAX(0, MIN($I$1, DATE(Initialisatie!$C$5,12,31)) - MAX($I$2, DATE(Initialisatie!$C$5,1,1)) + 1) &gt; 0, IFERROR(VALUE($I155),0)=0),
        AND(MAX(0, MIN($J$1, DATE(Initialisatie!$C$5,12,31)) - MAX($J$2, DATE(Initialisatie!$C$5,1,1)) + 1) &gt; 0, IFERROR(VALUE($J155),0)=0)
    ),
    0,
    SUM(
        IFERROR(VALUE($E155),0) * MAX(0, MIN($E$1, DATE(Initialisatie!$C$5,12,31)) - MAX($E$2, DATE(Initialisatie!$C$5,1,1)) + 1),
        IFERROR(VALUE($F155),0) * MAX(0, MIN($F$1, DATE(Initialisatie!$C$5,12,31)) - MAX($F$2, DATE(Initialisatie!$C$5,1,1)) + 1),
        IFERROR(VALUE($G155),0) * MAX(0, MIN($G$1, DATE(Initialisatie!$C$5,12,31)) - MAX($G$2, DATE(Initialisatie!$C$5,1,1)) + 1),
        IFERROR(VALUE($H155),0) * MAX(0, MIN($H$1, DATE(Initialisatie!$C$5,12,31)) - MAX($H$2, DATE(Initialisatie!$C$5,1,1)) + 1),
        IFERROR(VALUE($I155),0) * MAX(0, MIN($I$1, DATE(Initialisatie!$C$5,12,31)) - MAX($I$2, DATE(Initialisatie!$C$5,1,1)) + 1),
        IFERROR(VALUE($J155),0) * MAX(0, MIN($J$1, DATE(Initialisatie!$C$5,12,31)) - MAX($J$2, DATE(Initialisatie!$C$5,1,1)) + 1)
    ) / (DATE(Initialisatie!$C$5,12,31) - DATE(Initialisatie!$C$5,1,1) + 1)
)</f>
        <v>3319</v>
      </c>
    </row>
    <row r="156" spans="1:12" x14ac:dyDescent="0.45">
      <c r="A156" s="989"/>
      <c r="B156" s="35">
        <v>0</v>
      </c>
      <c r="C156" s="35">
        <v>0</v>
      </c>
      <c r="D156" s="35" t="s">
        <v>225</v>
      </c>
      <c r="E156">
        <v>2864</v>
      </c>
      <c r="F156">
        <v>2921</v>
      </c>
      <c r="G156">
        <v>3125</v>
      </c>
      <c r="H156">
        <v>3250</v>
      </c>
      <c r="I156">
        <v>3380</v>
      </c>
      <c r="J156">
        <v>3380</v>
      </c>
      <c r="L156">
        <f>IF(
    OR(
        AND(MAX(0, MIN($E$1, DATE(Initialisatie!$C$5,12,31)) - MAX($E$2, DATE(Initialisatie!$C$5,1,1)) + 1) &gt; 0, IFERROR(VALUE($E156),0)=0),
        AND(MAX(0, MIN($F$1, DATE(Initialisatie!$C$5,12,31)) - MAX($F$2, DATE(Initialisatie!$C$5,1,1)) + 1) &gt; 0, IFERROR(VALUE($F156),0)=0),
        AND(MAX(0, MIN($G$1, DATE(Initialisatie!$C$5,12,31)) - MAX($G$2, DATE(Initialisatie!$C$5,1,1)) + 1) &gt; 0, IFERROR(VALUE($G156),0)=0),
        AND(MAX(0, MIN($H$1, DATE(Initialisatie!$C$5,12,31)) - MAX($H$2, DATE(Initialisatie!$C$5,1,1)) + 1) &gt; 0, IFERROR(VALUE($H156),0)=0),
        AND(MAX(0, MIN($I$1, DATE(Initialisatie!$C$5,12,31)) - MAX($I$2, DATE(Initialisatie!$C$5,1,1)) + 1) &gt; 0, IFERROR(VALUE($I156),0)=0),
        AND(MAX(0, MIN($J$1, DATE(Initialisatie!$C$5,12,31)) - MAX($J$2, DATE(Initialisatie!$C$5,1,1)) + 1) &gt; 0, IFERROR(VALUE($J156),0)=0)
    ),
    0,
    SUM(
        IFERROR(VALUE($E156),0) * MAX(0, MIN($E$1, DATE(Initialisatie!$C$5,12,31)) - MAX($E$2, DATE(Initialisatie!$C$5,1,1)) + 1),
        IFERROR(VALUE($F156),0) * MAX(0, MIN($F$1, DATE(Initialisatie!$C$5,12,31)) - MAX($F$2, DATE(Initialisatie!$C$5,1,1)) + 1),
        IFERROR(VALUE($G156),0) * MAX(0, MIN($G$1, DATE(Initialisatie!$C$5,12,31)) - MAX($G$2, DATE(Initialisatie!$C$5,1,1)) + 1),
        IFERROR(VALUE($H156),0) * MAX(0, MIN($H$1, DATE(Initialisatie!$C$5,12,31)) - MAX($H$2, DATE(Initialisatie!$C$5,1,1)) + 1),
        IFERROR(VALUE($I156),0) * MAX(0, MIN($I$1, DATE(Initialisatie!$C$5,12,31)) - MAX($I$2, DATE(Initialisatie!$C$5,1,1)) + 1),
        IFERROR(VALUE($J156),0) * MAX(0, MIN($J$1, DATE(Initialisatie!$C$5,12,31)) - MAX($J$2, DATE(Initialisatie!$C$5,1,1)) + 1)
    ) / (DATE(Initialisatie!$C$5,12,31) - DATE(Initialisatie!$C$5,1,1) + 1)
)</f>
        <v>3380</v>
      </c>
    </row>
    <row r="157" spans="1:12" x14ac:dyDescent="0.45">
      <c r="A157" s="989"/>
      <c r="B157" s="35">
        <v>1</v>
      </c>
      <c r="C157" s="35">
        <v>1</v>
      </c>
      <c r="D157" s="35" t="s">
        <v>224</v>
      </c>
      <c r="E157">
        <v>2921</v>
      </c>
      <c r="F157">
        <v>2979</v>
      </c>
      <c r="G157">
        <v>3188</v>
      </c>
      <c r="H157">
        <v>3316</v>
      </c>
      <c r="I157">
        <v>3449</v>
      </c>
      <c r="J157">
        <v>3449</v>
      </c>
      <c r="L157">
        <f>IF(
    OR(
        AND(MAX(0, MIN($E$1, DATE(Initialisatie!$C$5,12,31)) - MAX($E$2, DATE(Initialisatie!$C$5,1,1)) + 1) &gt; 0, IFERROR(VALUE($E157),0)=0),
        AND(MAX(0, MIN($F$1, DATE(Initialisatie!$C$5,12,31)) - MAX($F$2, DATE(Initialisatie!$C$5,1,1)) + 1) &gt; 0, IFERROR(VALUE($F157),0)=0),
        AND(MAX(0, MIN($G$1, DATE(Initialisatie!$C$5,12,31)) - MAX($G$2, DATE(Initialisatie!$C$5,1,1)) + 1) &gt; 0, IFERROR(VALUE($G157),0)=0),
        AND(MAX(0, MIN($H$1, DATE(Initialisatie!$C$5,12,31)) - MAX($H$2, DATE(Initialisatie!$C$5,1,1)) + 1) &gt; 0, IFERROR(VALUE($H157),0)=0),
        AND(MAX(0, MIN($I$1, DATE(Initialisatie!$C$5,12,31)) - MAX($I$2, DATE(Initialisatie!$C$5,1,1)) + 1) &gt; 0, IFERROR(VALUE($I157),0)=0),
        AND(MAX(0, MIN($J$1, DATE(Initialisatie!$C$5,12,31)) - MAX($J$2, DATE(Initialisatie!$C$5,1,1)) + 1) &gt; 0, IFERROR(VALUE($J157),0)=0)
    ),
    0,
    SUM(
        IFERROR(VALUE($E157),0) * MAX(0, MIN($E$1, DATE(Initialisatie!$C$5,12,31)) - MAX($E$2, DATE(Initialisatie!$C$5,1,1)) + 1),
        IFERROR(VALUE($F157),0) * MAX(0, MIN($F$1, DATE(Initialisatie!$C$5,12,31)) - MAX($F$2, DATE(Initialisatie!$C$5,1,1)) + 1),
        IFERROR(VALUE($G157),0) * MAX(0, MIN($G$1, DATE(Initialisatie!$C$5,12,31)) - MAX($G$2, DATE(Initialisatie!$C$5,1,1)) + 1),
        IFERROR(VALUE($H157),0) * MAX(0, MIN($H$1, DATE(Initialisatie!$C$5,12,31)) - MAX($H$2, DATE(Initialisatie!$C$5,1,1)) + 1),
        IFERROR(VALUE($I157),0) * MAX(0, MIN($I$1, DATE(Initialisatie!$C$5,12,31)) - MAX($I$2, DATE(Initialisatie!$C$5,1,1)) + 1),
        IFERROR(VALUE($J157),0) * MAX(0, MIN($J$1, DATE(Initialisatie!$C$5,12,31)) - MAX($J$2, DATE(Initialisatie!$C$5,1,1)) + 1)
    ) / (DATE(Initialisatie!$C$5,12,31) - DATE(Initialisatie!$C$5,1,1) + 1)
)</f>
        <v>3449</v>
      </c>
    </row>
    <row r="158" spans="1:12" x14ac:dyDescent="0.45">
      <c r="A158" s="989"/>
      <c r="B158" s="35">
        <v>2</v>
      </c>
      <c r="C158" s="35">
        <v>2</v>
      </c>
      <c r="D158" s="35" t="s">
        <v>219</v>
      </c>
      <c r="E158">
        <v>2985</v>
      </c>
      <c r="F158">
        <v>3045</v>
      </c>
      <c r="G158">
        <v>3258</v>
      </c>
      <c r="H158">
        <v>3388</v>
      </c>
      <c r="I158">
        <v>3524</v>
      </c>
      <c r="J158">
        <v>3524</v>
      </c>
      <c r="L158">
        <f>IF(
    OR(
        AND(MAX(0, MIN($E$1, DATE(Initialisatie!$C$5,12,31)) - MAX($E$2, DATE(Initialisatie!$C$5,1,1)) + 1) &gt; 0, IFERROR(VALUE($E158),0)=0),
        AND(MAX(0, MIN($F$1, DATE(Initialisatie!$C$5,12,31)) - MAX($F$2, DATE(Initialisatie!$C$5,1,1)) + 1) &gt; 0, IFERROR(VALUE($F158),0)=0),
        AND(MAX(0, MIN($G$1, DATE(Initialisatie!$C$5,12,31)) - MAX($G$2, DATE(Initialisatie!$C$5,1,1)) + 1) &gt; 0, IFERROR(VALUE($G158),0)=0),
        AND(MAX(0, MIN($H$1, DATE(Initialisatie!$C$5,12,31)) - MAX($H$2, DATE(Initialisatie!$C$5,1,1)) + 1) &gt; 0, IFERROR(VALUE($H158),0)=0),
        AND(MAX(0, MIN($I$1, DATE(Initialisatie!$C$5,12,31)) - MAX($I$2, DATE(Initialisatie!$C$5,1,1)) + 1) &gt; 0, IFERROR(VALUE($I158),0)=0),
        AND(MAX(0, MIN($J$1, DATE(Initialisatie!$C$5,12,31)) - MAX($J$2, DATE(Initialisatie!$C$5,1,1)) + 1) &gt; 0, IFERROR(VALUE($J158),0)=0)
    ),
    0,
    SUM(
        IFERROR(VALUE($E158),0) * MAX(0, MIN($E$1, DATE(Initialisatie!$C$5,12,31)) - MAX($E$2, DATE(Initialisatie!$C$5,1,1)) + 1),
        IFERROR(VALUE($F158),0) * MAX(0, MIN($F$1, DATE(Initialisatie!$C$5,12,31)) - MAX($F$2, DATE(Initialisatie!$C$5,1,1)) + 1),
        IFERROR(VALUE($G158),0) * MAX(0, MIN($G$1, DATE(Initialisatie!$C$5,12,31)) - MAX($G$2, DATE(Initialisatie!$C$5,1,1)) + 1),
        IFERROR(VALUE($H158),0) * MAX(0, MIN($H$1, DATE(Initialisatie!$C$5,12,31)) - MAX($H$2, DATE(Initialisatie!$C$5,1,1)) + 1),
        IFERROR(VALUE($I158),0) * MAX(0, MIN($I$1, DATE(Initialisatie!$C$5,12,31)) - MAX($I$2, DATE(Initialisatie!$C$5,1,1)) + 1),
        IFERROR(VALUE($J158),0) * MAX(0, MIN($J$1, DATE(Initialisatie!$C$5,12,31)) - MAX($J$2, DATE(Initialisatie!$C$5,1,1)) + 1)
    ) / (DATE(Initialisatie!$C$5,12,31) - DATE(Initialisatie!$C$5,1,1) + 1)
)</f>
        <v>3524</v>
      </c>
    </row>
    <row r="159" spans="1:12" x14ac:dyDescent="0.45">
      <c r="A159" s="989"/>
      <c r="B159" s="35">
        <v>3</v>
      </c>
      <c r="C159" s="35">
        <v>3</v>
      </c>
      <c r="D159" s="35" t="s">
        <v>218</v>
      </c>
      <c r="E159">
        <v>3043</v>
      </c>
      <c r="F159">
        <v>3104</v>
      </c>
      <c r="G159">
        <v>3321</v>
      </c>
      <c r="H159">
        <v>3454</v>
      </c>
      <c r="I159">
        <v>3592</v>
      </c>
      <c r="J159">
        <v>3592</v>
      </c>
      <c r="L159">
        <f>IF(
    OR(
        AND(MAX(0, MIN($E$1, DATE(Initialisatie!$C$5,12,31)) - MAX($E$2, DATE(Initialisatie!$C$5,1,1)) + 1) &gt; 0, IFERROR(VALUE($E159),0)=0),
        AND(MAX(0, MIN($F$1, DATE(Initialisatie!$C$5,12,31)) - MAX($F$2, DATE(Initialisatie!$C$5,1,1)) + 1) &gt; 0, IFERROR(VALUE($F159),0)=0),
        AND(MAX(0, MIN($G$1, DATE(Initialisatie!$C$5,12,31)) - MAX($G$2, DATE(Initialisatie!$C$5,1,1)) + 1) &gt; 0, IFERROR(VALUE($G159),0)=0),
        AND(MAX(0, MIN($H$1, DATE(Initialisatie!$C$5,12,31)) - MAX($H$2, DATE(Initialisatie!$C$5,1,1)) + 1) &gt; 0, IFERROR(VALUE($H159),0)=0),
        AND(MAX(0, MIN($I$1, DATE(Initialisatie!$C$5,12,31)) - MAX($I$2, DATE(Initialisatie!$C$5,1,1)) + 1) &gt; 0, IFERROR(VALUE($I159),0)=0),
        AND(MAX(0, MIN($J$1, DATE(Initialisatie!$C$5,12,31)) - MAX($J$2, DATE(Initialisatie!$C$5,1,1)) + 1) &gt; 0, IFERROR(VALUE($J159),0)=0)
    ),
    0,
    SUM(
        IFERROR(VALUE($E159),0) * MAX(0, MIN($E$1, DATE(Initialisatie!$C$5,12,31)) - MAX($E$2, DATE(Initialisatie!$C$5,1,1)) + 1),
        IFERROR(VALUE($F159),0) * MAX(0, MIN($F$1, DATE(Initialisatie!$C$5,12,31)) - MAX($F$2, DATE(Initialisatie!$C$5,1,1)) + 1),
        IFERROR(VALUE($G159),0) * MAX(0, MIN($G$1, DATE(Initialisatie!$C$5,12,31)) - MAX($G$2, DATE(Initialisatie!$C$5,1,1)) + 1),
        IFERROR(VALUE($H159),0) * MAX(0, MIN($H$1, DATE(Initialisatie!$C$5,12,31)) - MAX($H$2, DATE(Initialisatie!$C$5,1,1)) + 1),
        IFERROR(VALUE($I159),0) * MAX(0, MIN($I$1, DATE(Initialisatie!$C$5,12,31)) - MAX($I$2, DATE(Initialisatie!$C$5,1,1)) + 1),
        IFERROR(VALUE($J159),0) * MAX(0, MIN($J$1, DATE(Initialisatie!$C$5,12,31)) - MAX($J$2, DATE(Initialisatie!$C$5,1,1)) + 1)
    ) / (DATE(Initialisatie!$C$5,12,31) - DATE(Initialisatie!$C$5,1,1) + 1)
)</f>
        <v>3592</v>
      </c>
    </row>
    <row r="160" spans="1:12" x14ac:dyDescent="0.45">
      <c r="A160" s="989"/>
      <c r="B160" s="35">
        <v>4</v>
      </c>
      <c r="C160" s="35">
        <v>4</v>
      </c>
      <c r="D160" s="35" t="s">
        <v>217</v>
      </c>
      <c r="E160">
        <v>3158</v>
      </c>
      <c r="F160">
        <v>3221</v>
      </c>
      <c r="G160">
        <v>3446</v>
      </c>
      <c r="H160">
        <v>3584</v>
      </c>
      <c r="I160">
        <v>3727</v>
      </c>
      <c r="J160">
        <v>3727</v>
      </c>
      <c r="L160">
        <f>IF(
    OR(
        AND(MAX(0, MIN($E$1, DATE(Initialisatie!$C$5,12,31)) - MAX($E$2, DATE(Initialisatie!$C$5,1,1)) + 1) &gt; 0, IFERROR(VALUE($E160),0)=0),
        AND(MAX(0, MIN($F$1, DATE(Initialisatie!$C$5,12,31)) - MAX($F$2, DATE(Initialisatie!$C$5,1,1)) + 1) &gt; 0, IFERROR(VALUE($F160),0)=0),
        AND(MAX(0, MIN($G$1, DATE(Initialisatie!$C$5,12,31)) - MAX($G$2, DATE(Initialisatie!$C$5,1,1)) + 1) &gt; 0, IFERROR(VALUE($G160),0)=0),
        AND(MAX(0, MIN($H$1, DATE(Initialisatie!$C$5,12,31)) - MAX($H$2, DATE(Initialisatie!$C$5,1,1)) + 1) &gt; 0, IFERROR(VALUE($H160),0)=0),
        AND(MAX(0, MIN($I$1, DATE(Initialisatie!$C$5,12,31)) - MAX($I$2, DATE(Initialisatie!$C$5,1,1)) + 1) &gt; 0, IFERROR(VALUE($I160),0)=0),
        AND(MAX(0, MIN($J$1, DATE(Initialisatie!$C$5,12,31)) - MAX($J$2, DATE(Initialisatie!$C$5,1,1)) + 1) &gt; 0, IFERROR(VALUE($J160),0)=0)
    ),
    0,
    SUM(
        IFERROR(VALUE($E160),0) * MAX(0, MIN($E$1, DATE(Initialisatie!$C$5,12,31)) - MAX($E$2, DATE(Initialisatie!$C$5,1,1)) + 1),
        IFERROR(VALUE($F160),0) * MAX(0, MIN($F$1, DATE(Initialisatie!$C$5,12,31)) - MAX($F$2, DATE(Initialisatie!$C$5,1,1)) + 1),
        IFERROR(VALUE($G160),0) * MAX(0, MIN($G$1, DATE(Initialisatie!$C$5,12,31)) - MAX($G$2, DATE(Initialisatie!$C$5,1,1)) + 1),
        IFERROR(VALUE($H160),0) * MAX(0, MIN($H$1, DATE(Initialisatie!$C$5,12,31)) - MAX($H$2, DATE(Initialisatie!$C$5,1,1)) + 1),
        IFERROR(VALUE($I160),0) * MAX(0, MIN($I$1, DATE(Initialisatie!$C$5,12,31)) - MAX($I$2, DATE(Initialisatie!$C$5,1,1)) + 1),
        IFERROR(VALUE($J160),0) * MAX(0, MIN($J$1, DATE(Initialisatie!$C$5,12,31)) - MAX($J$2, DATE(Initialisatie!$C$5,1,1)) + 1)
    ) / (DATE(Initialisatie!$C$5,12,31) - DATE(Initialisatie!$C$5,1,1) + 1)
)</f>
        <v>3727</v>
      </c>
    </row>
    <row r="161" spans="1:12" x14ac:dyDescent="0.45">
      <c r="A161" s="989"/>
      <c r="B161" s="35">
        <v>5</v>
      </c>
      <c r="C161" s="35">
        <v>5</v>
      </c>
      <c r="D161" s="35" t="s">
        <v>216</v>
      </c>
      <c r="E161">
        <v>3233</v>
      </c>
      <c r="F161">
        <v>3298</v>
      </c>
      <c r="G161">
        <v>3529</v>
      </c>
      <c r="H161">
        <v>3670</v>
      </c>
      <c r="I161">
        <v>3817</v>
      </c>
      <c r="J161">
        <v>3817</v>
      </c>
      <c r="L161">
        <f>IF(
    OR(
        AND(MAX(0, MIN($E$1, DATE(Initialisatie!$C$5,12,31)) - MAX($E$2, DATE(Initialisatie!$C$5,1,1)) + 1) &gt; 0, IFERROR(VALUE($E161),0)=0),
        AND(MAX(0, MIN($F$1, DATE(Initialisatie!$C$5,12,31)) - MAX($F$2, DATE(Initialisatie!$C$5,1,1)) + 1) &gt; 0, IFERROR(VALUE($F161),0)=0),
        AND(MAX(0, MIN($G$1, DATE(Initialisatie!$C$5,12,31)) - MAX($G$2, DATE(Initialisatie!$C$5,1,1)) + 1) &gt; 0, IFERROR(VALUE($G161),0)=0),
        AND(MAX(0, MIN($H$1, DATE(Initialisatie!$C$5,12,31)) - MAX($H$2, DATE(Initialisatie!$C$5,1,1)) + 1) &gt; 0, IFERROR(VALUE($H161),0)=0),
        AND(MAX(0, MIN($I$1, DATE(Initialisatie!$C$5,12,31)) - MAX($I$2, DATE(Initialisatie!$C$5,1,1)) + 1) &gt; 0, IFERROR(VALUE($I161),0)=0),
        AND(MAX(0, MIN($J$1, DATE(Initialisatie!$C$5,12,31)) - MAX($J$2, DATE(Initialisatie!$C$5,1,1)) + 1) &gt; 0, IFERROR(VALUE($J161),0)=0)
    ),
    0,
    SUM(
        IFERROR(VALUE($E161),0) * MAX(0, MIN($E$1, DATE(Initialisatie!$C$5,12,31)) - MAX($E$2, DATE(Initialisatie!$C$5,1,1)) + 1),
        IFERROR(VALUE($F161),0) * MAX(0, MIN($F$1, DATE(Initialisatie!$C$5,12,31)) - MAX($F$2, DATE(Initialisatie!$C$5,1,1)) + 1),
        IFERROR(VALUE($G161),0) * MAX(0, MIN($G$1, DATE(Initialisatie!$C$5,12,31)) - MAX($G$2, DATE(Initialisatie!$C$5,1,1)) + 1),
        IFERROR(VALUE($H161),0) * MAX(0, MIN($H$1, DATE(Initialisatie!$C$5,12,31)) - MAX($H$2, DATE(Initialisatie!$C$5,1,1)) + 1),
        IFERROR(VALUE($I161),0) * MAX(0, MIN($I$1, DATE(Initialisatie!$C$5,12,31)) - MAX($I$2, DATE(Initialisatie!$C$5,1,1)) + 1),
        IFERROR(VALUE($J161),0) * MAX(0, MIN($J$1, DATE(Initialisatie!$C$5,12,31)) - MAX($J$2, DATE(Initialisatie!$C$5,1,1)) + 1)
    ) / (DATE(Initialisatie!$C$5,12,31) - DATE(Initialisatie!$C$5,1,1) + 1)
)</f>
        <v>3817</v>
      </c>
    </row>
    <row r="162" spans="1:12" x14ac:dyDescent="0.45">
      <c r="A162" s="989"/>
      <c r="B162" s="35">
        <v>6</v>
      </c>
      <c r="C162" s="35">
        <v>6</v>
      </c>
      <c r="D162" s="35" t="s">
        <v>215</v>
      </c>
      <c r="E162">
        <v>3314</v>
      </c>
      <c r="F162">
        <v>3380</v>
      </c>
      <c r="G162">
        <v>3617</v>
      </c>
      <c r="H162">
        <v>3762</v>
      </c>
      <c r="I162">
        <v>3912</v>
      </c>
      <c r="J162">
        <v>3912</v>
      </c>
      <c r="L162">
        <f>IF(
    OR(
        AND(MAX(0, MIN($E$1, DATE(Initialisatie!$C$5,12,31)) - MAX($E$2, DATE(Initialisatie!$C$5,1,1)) + 1) &gt; 0, IFERROR(VALUE($E162),0)=0),
        AND(MAX(0, MIN($F$1, DATE(Initialisatie!$C$5,12,31)) - MAX($F$2, DATE(Initialisatie!$C$5,1,1)) + 1) &gt; 0, IFERROR(VALUE($F162),0)=0),
        AND(MAX(0, MIN($G$1, DATE(Initialisatie!$C$5,12,31)) - MAX($G$2, DATE(Initialisatie!$C$5,1,1)) + 1) &gt; 0, IFERROR(VALUE($G162),0)=0),
        AND(MAX(0, MIN($H$1, DATE(Initialisatie!$C$5,12,31)) - MAX($H$2, DATE(Initialisatie!$C$5,1,1)) + 1) &gt; 0, IFERROR(VALUE($H162),0)=0),
        AND(MAX(0, MIN($I$1, DATE(Initialisatie!$C$5,12,31)) - MAX($I$2, DATE(Initialisatie!$C$5,1,1)) + 1) &gt; 0, IFERROR(VALUE($I162),0)=0),
        AND(MAX(0, MIN($J$1, DATE(Initialisatie!$C$5,12,31)) - MAX($J$2, DATE(Initialisatie!$C$5,1,1)) + 1) &gt; 0, IFERROR(VALUE($J162),0)=0)
    ),
    0,
    SUM(
        IFERROR(VALUE($E162),0) * MAX(0, MIN($E$1, DATE(Initialisatie!$C$5,12,31)) - MAX($E$2, DATE(Initialisatie!$C$5,1,1)) + 1),
        IFERROR(VALUE($F162),0) * MAX(0, MIN($F$1, DATE(Initialisatie!$C$5,12,31)) - MAX($F$2, DATE(Initialisatie!$C$5,1,1)) + 1),
        IFERROR(VALUE($G162),0) * MAX(0, MIN($G$1, DATE(Initialisatie!$C$5,12,31)) - MAX($G$2, DATE(Initialisatie!$C$5,1,1)) + 1),
        IFERROR(VALUE($H162),0) * MAX(0, MIN($H$1, DATE(Initialisatie!$C$5,12,31)) - MAX($H$2, DATE(Initialisatie!$C$5,1,1)) + 1),
        IFERROR(VALUE($I162),0) * MAX(0, MIN($I$1, DATE(Initialisatie!$C$5,12,31)) - MAX($I$2, DATE(Initialisatie!$C$5,1,1)) + 1),
        IFERROR(VALUE($J162),0) * MAX(0, MIN($J$1, DATE(Initialisatie!$C$5,12,31)) - MAX($J$2, DATE(Initialisatie!$C$5,1,1)) + 1)
    ) / (DATE(Initialisatie!$C$5,12,31) - DATE(Initialisatie!$C$5,1,1) + 1)
)</f>
        <v>3912</v>
      </c>
    </row>
    <row r="163" spans="1:12" x14ac:dyDescent="0.45">
      <c r="A163" s="989"/>
      <c r="B163" s="35">
        <v>7</v>
      </c>
      <c r="C163" s="35">
        <v>7</v>
      </c>
      <c r="D163" s="35" t="s">
        <v>214</v>
      </c>
      <c r="E163">
        <v>3399</v>
      </c>
      <c r="F163">
        <v>3467</v>
      </c>
      <c r="G163">
        <v>3710</v>
      </c>
      <c r="H163">
        <v>3858</v>
      </c>
      <c r="I163">
        <v>4012</v>
      </c>
      <c r="J163">
        <v>4012</v>
      </c>
      <c r="L163">
        <f>IF(
    OR(
        AND(MAX(0, MIN($E$1, DATE(Initialisatie!$C$5,12,31)) - MAX($E$2, DATE(Initialisatie!$C$5,1,1)) + 1) &gt; 0, IFERROR(VALUE($E163),0)=0),
        AND(MAX(0, MIN($F$1, DATE(Initialisatie!$C$5,12,31)) - MAX($F$2, DATE(Initialisatie!$C$5,1,1)) + 1) &gt; 0, IFERROR(VALUE($F163),0)=0),
        AND(MAX(0, MIN($G$1, DATE(Initialisatie!$C$5,12,31)) - MAX($G$2, DATE(Initialisatie!$C$5,1,1)) + 1) &gt; 0, IFERROR(VALUE($G163),0)=0),
        AND(MAX(0, MIN($H$1, DATE(Initialisatie!$C$5,12,31)) - MAX($H$2, DATE(Initialisatie!$C$5,1,1)) + 1) &gt; 0, IFERROR(VALUE($H163),0)=0),
        AND(MAX(0, MIN($I$1, DATE(Initialisatie!$C$5,12,31)) - MAX($I$2, DATE(Initialisatie!$C$5,1,1)) + 1) &gt; 0, IFERROR(VALUE($I163),0)=0),
        AND(MAX(0, MIN($J$1, DATE(Initialisatie!$C$5,12,31)) - MAX($J$2, DATE(Initialisatie!$C$5,1,1)) + 1) &gt; 0, IFERROR(VALUE($J163),0)=0)
    ),
    0,
    SUM(
        IFERROR(VALUE($E163),0) * MAX(0, MIN($E$1, DATE(Initialisatie!$C$5,12,31)) - MAX($E$2, DATE(Initialisatie!$C$5,1,1)) + 1),
        IFERROR(VALUE($F163),0) * MAX(0, MIN($F$1, DATE(Initialisatie!$C$5,12,31)) - MAX($F$2, DATE(Initialisatie!$C$5,1,1)) + 1),
        IFERROR(VALUE($G163),0) * MAX(0, MIN($G$1, DATE(Initialisatie!$C$5,12,31)) - MAX($G$2, DATE(Initialisatie!$C$5,1,1)) + 1),
        IFERROR(VALUE($H163),0) * MAX(0, MIN($H$1, DATE(Initialisatie!$C$5,12,31)) - MAX($H$2, DATE(Initialisatie!$C$5,1,1)) + 1),
        IFERROR(VALUE($I163),0) * MAX(0, MIN($I$1, DATE(Initialisatie!$C$5,12,31)) - MAX($I$2, DATE(Initialisatie!$C$5,1,1)) + 1),
        IFERROR(VALUE($J163),0) * MAX(0, MIN($J$1, DATE(Initialisatie!$C$5,12,31)) - MAX($J$2, DATE(Initialisatie!$C$5,1,1)) + 1)
    ) / (DATE(Initialisatie!$C$5,12,31) - DATE(Initialisatie!$C$5,1,1) + 1)
)</f>
        <v>4012</v>
      </c>
    </row>
    <row r="164" spans="1:12" x14ac:dyDescent="0.45">
      <c r="A164" s="989"/>
      <c r="B164" s="35">
        <v>8</v>
      </c>
      <c r="C164" s="35">
        <v>8</v>
      </c>
      <c r="D164" s="35" t="s">
        <v>213</v>
      </c>
      <c r="E164">
        <v>3470</v>
      </c>
      <c r="F164">
        <v>3539</v>
      </c>
      <c r="G164">
        <v>3787</v>
      </c>
      <c r="H164">
        <v>3938</v>
      </c>
      <c r="I164">
        <v>4096</v>
      </c>
      <c r="J164">
        <v>4096</v>
      </c>
      <c r="L164">
        <f>IF(
    OR(
        AND(MAX(0, MIN($E$1, DATE(Initialisatie!$C$5,12,31)) - MAX($E$2, DATE(Initialisatie!$C$5,1,1)) + 1) &gt; 0, IFERROR(VALUE($E164),0)=0),
        AND(MAX(0, MIN($F$1, DATE(Initialisatie!$C$5,12,31)) - MAX($F$2, DATE(Initialisatie!$C$5,1,1)) + 1) &gt; 0, IFERROR(VALUE($F164),0)=0),
        AND(MAX(0, MIN($G$1, DATE(Initialisatie!$C$5,12,31)) - MAX($G$2, DATE(Initialisatie!$C$5,1,1)) + 1) &gt; 0, IFERROR(VALUE($G164),0)=0),
        AND(MAX(0, MIN($H$1, DATE(Initialisatie!$C$5,12,31)) - MAX($H$2, DATE(Initialisatie!$C$5,1,1)) + 1) &gt; 0, IFERROR(VALUE($H164),0)=0),
        AND(MAX(0, MIN($I$1, DATE(Initialisatie!$C$5,12,31)) - MAX($I$2, DATE(Initialisatie!$C$5,1,1)) + 1) &gt; 0, IFERROR(VALUE($I164),0)=0),
        AND(MAX(0, MIN($J$1, DATE(Initialisatie!$C$5,12,31)) - MAX($J$2, DATE(Initialisatie!$C$5,1,1)) + 1) &gt; 0, IFERROR(VALUE($J164),0)=0)
    ),
    0,
    SUM(
        IFERROR(VALUE($E164),0) * MAX(0, MIN($E$1, DATE(Initialisatie!$C$5,12,31)) - MAX($E$2, DATE(Initialisatie!$C$5,1,1)) + 1),
        IFERROR(VALUE($F164),0) * MAX(0, MIN($F$1, DATE(Initialisatie!$C$5,12,31)) - MAX($F$2, DATE(Initialisatie!$C$5,1,1)) + 1),
        IFERROR(VALUE($G164),0) * MAX(0, MIN($G$1, DATE(Initialisatie!$C$5,12,31)) - MAX($G$2, DATE(Initialisatie!$C$5,1,1)) + 1),
        IFERROR(VALUE($H164),0) * MAX(0, MIN($H$1, DATE(Initialisatie!$C$5,12,31)) - MAX($H$2, DATE(Initialisatie!$C$5,1,1)) + 1),
        IFERROR(VALUE($I164),0) * MAX(0, MIN($I$1, DATE(Initialisatie!$C$5,12,31)) - MAX($I$2, DATE(Initialisatie!$C$5,1,1)) + 1),
        IFERROR(VALUE($J164),0) * MAX(0, MIN($J$1, DATE(Initialisatie!$C$5,12,31)) - MAX($J$2, DATE(Initialisatie!$C$5,1,1)) + 1)
    ) / (DATE(Initialisatie!$C$5,12,31) - DATE(Initialisatie!$C$5,1,1) + 1)
)</f>
        <v>4096</v>
      </c>
    </row>
    <row r="165" spans="1:12" x14ac:dyDescent="0.45">
      <c r="A165" s="989"/>
      <c r="B165" s="35">
        <v>9</v>
      </c>
      <c r="C165" s="35">
        <v>9</v>
      </c>
      <c r="D165" s="35" t="s">
        <v>212</v>
      </c>
      <c r="E165">
        <v>3548</v>
      </c>
      <c r="F165">
        <v>3619</v>
      </c>
      <c r="G165">
        <v>3872</v>
      </c>
      <c r="H165">
        <v>4027</v>
      </c>
      <c r="I165">
        <v>4188</v>
      </c>
      <c r="J165">
        <v>4188</v>
      </c>
      <c r="L165">
        <f>IF(
    OR(
        AND(MAX(0, MIN($E$1, DATE(Initialisatie!$C$5,12,31)) - MAX($E$2, DATE(Initialisatie!$C$5,1,1)) + 1) &gt; 0, IFERROR(VALUE($E165),0)=0),
        AND(MAX(0, MIN($F$1, DATE(Initialisatie!$C$5,12,31)) - MAX($F$2, DATE(Initialisatie!$C$5,1,1)) + 1) &gt; 0, IFERROR(VALUE($F165),0)=0),
        AND(MAX(0, MIN($G$1, DATE(Initialisatie!$C$5,12,31)) - MAX($G$2, DATE(Initialisatie!$C$5,1,1)) + 1) &gt; 0, IFERROR(VALUE($G165),0)=0),
        AND(MAX(0, MIN($H$1, DATE(Initialisatie!$C$5,12,31)) - MAX($H$2, DATE(Initialisatie!$C$5,1,1)) + 1) &gt; 0, IFERROR(VALUE($H165),0)=0),
        AND(MAX(0, MIN($I$1, DATE(Initialisatie!$C$5,12,31)) - MAX($I$2, DATE(Initialisatie!$C$5,1,1)) + 1) &gt; 0, IFERROR(VALUE($I165),0)=0),
        AND(MAX(0, MIN($J$1, DATE(Initialisatie!$C$5,12,31)) - MAX($J$2, DATE(Initialisatie!$C$5,1,1)) + 1) &gt; 0, IFERROR(VALUE($J165),0)=0)
    ),
    0,
    SUM(
        IFERROR(VALUE($E165),0) * MAX(0, MIN($E$1, DATE(Initialisatie!$C$5,12,31)) - MAX($E$2, DATE(Initialisatie!$C$5,1,1)) + 1),
        IFERROR(VALUE($F165),0) * MAX(0, MIN($F$1, DATE(Initialisatie!$C$5,12,31)) - MAX($F$2, DATE(Initialisatie!$C$5,1,1)) + 1),
        IFERROR(VALUE($G165),0) * MAX(0, MIN($G$1, DATE(Initialisatie!$C$5,12,31)) - MAX($G$2, DATE(Initialisatie!$C$5,1,1)) + 1),
        IFERROR(VALUE($H165),0) * MAX(0, MIN($H$1, DATE(Initialisatie!$C$5,12,31)) - MAX($H$2, DATE(Initialisatie!$C$5,1,1)) + 1),
        IFERROR(VALUE($I165),0) * MAX(0, MIN($I$1, DATE(Initialisatie!$C$5,12,31)) - MAX($I$2, DATE(Initialisatie!$C$5,1,1)) + 1),
        IFERROR(VALUE($J165),0) * MAX(0, MIN($J$1, DATE(Initialisatie!$C$5,12,31)) - MAX($J$2, DATE(Initialisatie!$C$5,1,1)) + 1)
    ) / (DATE(Initialisatie!$C$5,12,31) - DATE(Initialisatie!$C$5,1,1) + 1)
)</f>
        <v>4188</v>
      </c>
    </row>
    <row r="166" spans="1:12" x14ac:dyDescent="0.45">
      <c r="A166" s="989"/>
      <c r="B166" s="35">
        <v>10</v>
      </c>
      <c r="C166" s="35">
        <v>10</v>
      </c>
      <c r="D166" s="35" t="s">
        <v>223</v>
      </c>
      <c r="E166">
        <v>3621</v>
      </c>
      <c r="F166">
        <v>3693</v>
      </c>
      <c r="G166">
        <v>3952</v>
      </c>
      <c r="H166">
        <v>4110</v>
      </c>
      <c r="I166">
        <v>4274</v>
      </c>
      <c r="J166">
        <v>4274</v>
      </c>
      <c r="L166">
        <f>IF(
    OR(
        AND(MAX(0, MIN($E$1, DATE(Initialisatie!$C$5,12,31)) - MAX($E$2, DATE(Initialisatie!$C$5,1,1)) + 1) &gt; 0, IFERROR(VALUE($E166),0)=0),
        AND(MAX(0, MIN($F$1, DATE(Initialisatie!$C$5,12,31)) - MAX($F$2, DATE(Initialisatie!$C$5,1,1)) + 1) &gt; 0, IFERROR(VALUE($F166),0)=0),
        AND(MAX(0, MIN($G$1, DATE(Initialisatie!$C$5,12,31)) - MAX($G$2, DATE(Initialisatie!$C$5,1,1)) + 1) &gt; 0, IFERROR(VALUE($G166),0)=0),
        AND(MAX(0, MIN($H$1, DATE(Initialisatie!$C$5,12,31)) - MAX($H$2, DATE(Initialisatie!$C$5,1,1)) + 1) &gt; 0, IFERROR(VALUE($H166),0)=0),
        AND(MAX(0, MIN($I$1, DATE(Initialisatie!$C$5,12,31)) - MAX($I$2, DATE(Initialisatie!$C$5,1,1)) + 1) &gt; 0, IFERROR(VALUE($I166),0)=0),
        AND(MAX(0, MIN($J$1, DATE(Initialisatie!$C$5,12,31)) - MAX($J$2, DATE(Initialisatie!$C$5,1,1)) + 1) &gt; 0, IFERROR(VALUE($J166),0)=0)
    ),
    0,
    SUM(
        IFERROR(VALUE($E166),0) * MAX(0, MIN($E$1, DATE(Initialisatie!$C$5,12,31)) - MAX($E$2, DATE(Initialisatie!$C$5,1,1)) + 1),
        IFERROR(VALUE($F166),0) * MAX(0, MIN($F$1, DATE(Initialisatie!$C$5,12,31)) - MAX($F$2, DATE(Initialisatie!$C$5,1,1)) + 1),
        IFERROR(VALUE($G166),0) * MAX(0, MIN($G$1, DATE(Initialisatie!$C$5,12,31)) - MAX($G$2, DATE(Initialisatie!$C$5,1,1)) + 1),
        IFERROR(VALUE($H166),0) * MAX(0, MIN($H$1, DATE(Initialisatie!$C$5,12,31)) - MAX($H$2, DATE(Initialisatie!$C$5,1,1)) + 1),
        IFERROR(VALUE($I166),0) * MAX(0, MIN($I$1, DATE(Initialisatie!$C$5,12,31)) - MAX($I$2, DATE(Initialisatie!$C$5,1,1)) + 1),
        IFERROR(VALUE($J166),0) * MAX(0, MIN($J$1, DATE(Initialisatie!$C$5,12,31)) - MAX($J$2, DATE(Initialisatie!$C$5,1,1)) + 1)
    ) / (DATE(Initialisatie!$C$5,12,31) - DATE(Initialisatie!$C$5,1,1) + 1)
)</f>
        <v>4274</v>
      </c>
    </row>
    <row r="167" spans="1:12" x14ac:dyDescent="0.45">
      <c r="A167" s="989"/>
      <c r="B167" s="35">
        <v>11</v>
      </c>
      <c r="C167" s="35">
        <v>11</v>
      </c>
      <c r="D167" s="35" t="s">
        <v>222</v>
      </c>
      <c r="E167">
        <v>3745</v>
      </c>
      <c r="F167">
        <v>3820</v>
      </c>
      <c r="G167">
        <v>4087</v>
      </c>
      <c r="H167">
        <v>4250</v>
      </c>
      <c r="I167">
        <v>4420</v>
      </c>
      <c r="J167">
        <v>4420</v>
      </c>
      <c r="L167">
        <f>IF(
    OR(
        AND(MAX(0, MIN($E$1, DATE(Initialisatie!$C$5,12,31)) - MAX($E$2, DATE(Initialisatie!$C$5,1,1)) + 1) &gt; 0, IFERROR(VALUE($E167),0)=0),
        AND(MAX(0, MIN($F$1, DATE(Initialisatie!$C$5,12,31)) - MAX($F$2, DATE(Initialisatie!$C$5,1,1)) + 1) &gt; 0, IFERROR(VALUE($F167),0)=0),
        AND(MAX(0, MIN($G$1, DATE(Initialisatie!$C$5,12,31)) - MAX($G$2, DATE(Initialisatie!$C$5,1,1)) + 1) &gt; 0, IFERROR(VALUE($G167),0)=0),
        AND(MAX(0, MIN($H$1, DATE(Initialisatie!$C$5,12,31)) - MAX($H$2, DATE(Initialisatie!$C$5,1,1)) + 1) &gt; 0, IFERROR(VALUE($H167),0)=0),
        AND(MAX(0, MIN($I$1, DATE(Initialisatie!$C$5,12,31)) - MAX($I$2, DATE(Initialisatie!$C$5,1,1)) + 1) &gt; 0, IFERROR(VALUE($I167),0)=0),
        AND(MAX(0, MIN($J$1, DATE(Initialisatie!$C$5,12,31)) - MAX($J$2, DATE(Initialisatie!$C$5,1,1)) + 1) &gt; 0, IFERROR(VALUE($J167),0)=0)
    ),
    0,
    SUM(
        IFERROR(VALUE($E167),0) * MAX(0, MIN($E$1, DATE(Initialisatie!$C$5,12,31)) - MAX($E$2, DATE(Initialisatie!$C$5,1,1)) + 1),
        IFERROR(VALUE($F167),0) * MAX(0, MIN($F$1, DATE(Initialisatie!$C$5,12,31)) - MAX($F$2, DATE(Initialisatie!$C$5,1,1)) + 1),
        IFERROR(VALUE($G167),0) * MAX(0, MIN($G$1, DATE(Initialisatie!$C$5,12,31)) - MAX($G$2, DATE(Initialisatie!$C$5,1,1)) + 1),
        IFERROR(VALUE($H167),0) * MAX(0, MIN($H$1, DATE(Initialisatie!$C$5,12,31)) - MAX($H$2, DATE(Initialisatie!$C$5,1,1)) + 1),
        IFERROR(VALUE($I167),0) * MAX(0, MIN($I$1, DATE(Initialisatie!$C$5,12,31)) - MAX($I$2, DATE(Initialisatie!$C$5,1,1)) + 1),
        IFERROR(VALUE($J167),0) * MAX(0, MIN($J$1, DATE(Initialisatie!$C$5,12,31)) - MAX($J$2, DATE(Initialisatie!$C$5,1,1)) + 1)
    ) / (DATE(Initialisatie!$C$5,12,31) - DATE(Initialisatie!$C$5,1,1) + 1)
)</f>
        <v>4420</v>
      </c>
    </row>
    <row r="168" spans="1:12" x14ac:dyDescent="0.45">
      <c r="A168" s="989"/>
      <c r="B168" s="35">
        <v>12</v>
      </c>
      <c r="C168" s="35">
        <v>12</v>
      </c>
      <c r="D168" s="35" t="s">
        <v>221</v>
      </c>
      <c r="E168">
        <v>3874</v>
      </c>
      <c r="F168">
        <v>3951</v>
      </c>
      <c r="G168">
        <v>4228</v>
      </c>
      <c r="H168">
        <v>4397</v>
      </c>
      <c r="I168">
        <v>4573</v>
      </c>
      <c r="J168">
        <v>4573</v>
      </c>
      <c r="L168">
        <f>IF(
    OR(
        AND(MAX(0, MIN($E$1, DATE(Initialisatie!$C$5,12,31)) - MAX($E$2, DATE(Initialisatie!$C$5,1,1)) + 1) &gt; 0, IFERROR(VALUE($E168),0)=0),
        AND(MAX(0, MIN($F$1, DATE(Initialisatie!$C$5,12,31)) - MAX($F$2, DATE(Initialisatie!$C$5,1,1)) + 1) &gt; 0, IFERROR(VALUE($F168),0)=0),
        AND(MAX(0, MIN($G$1, DATE(Initialisatie!$C$5,12,31)) - MAX($G$2, DATE(Initialisatie!$C$5,1,1)) + 1) &gt; 0, IFERROR(VALUE($G168),0)=0),
        AND(MAX(0, MIN($H$1, DATE(Initialisatie!$C$5,12,31)) - MAX($H$2, DATE(Initialisatie!$C$5,1,1)) + 1) &gt; 0, IFERROR(VALUE($H168),0)=0),
        AND(MAX(0, MIN($I$1, DATE(Initialisatie!$C$5,12,31)) - MAX($I$2, DATE(Initialisatie!$C$5,1,1)) + 1) &gt; 0, IFERROR(VALUE($I168),0)=0),
        AND(MAX(0, MIN($J$1, DATE(Initialisatie!$C$5,12,31)) - MAX($J$2, DATE(Initialisatie!$C$5,1,1)) + 1) &gt; 0, IFERROR(VALUE($J168),0)=0)
    ),
    0,
    SUM(
        IFERROR(VALUE($E168),0) * MAX(0, MIN($E$1, DATE(Initialisatie!$C$5,12,31)) - MAX($E$2, DATE(Initialisatie!$C$5,1,1)) + 1),
        IFERROR(VALUE($F168),0) * MAX(0, MIN($F$1, DATE(Initialisatie!$C$5,12,31)) - MAX($F$2, DATE(Initialisatie!$C$5,1,1)) + 1),
        IFERROR(VALUE($G168),0) * MAX(0, MIN($G$1, DATE(Initialisatie!$C$5,12,31)) - MAX($G$2, DATE(Initialisatie!$C$5,1,1)) + 1),
        IFERROR(VALUE($H168),0) * MAX(0, MIN($H$1, DATE(Initialisatie!$C$5,12,31)) - MAX($H$2, DATE(Initialisatie!$C$5,1,1)) + 1),
        IFERROR(VALUE($I168),0) * MAX(0, MIN($I$1, DATE(Initialisatie!$C$5,12,31)) - MAX($I$2, DATE(Initialisatie!$C$5,1,1)) + 1),
        IFERROR(VALUE($J168),0) * MAX(0, MIN($J$1, DATE(Initialisatie!$C$5,12,31)) - MAX($J$2, DATE(Initialisatie!$C$5,1,1)) + 1)
    ) / (DATE(Initialisatie!$C$5,12,31) - DATE(Initialisatie!$C$5,1,1) + 1)
)</f>
        <v>4573</v>
      </c>
    </row>
    <row r="169" spans="1:12" x14ac:dyDescent="0.45">
      <c r="A169" s="989"/>
      <c r="B169" s="35">
        <v>13</v>
      </c>
      <c r="C169" s="35">
        <v>13</v>
      </c>
      <c r="D169" s="35" t="s">
        <v>220</v>
      </c>
      <c r="E169">
        <v>4006</v>
      </c>
      <c r="F169">
        <v>4086</v>
      </c>
      <c r="G169">
        <v>4372</v>
      </c>
      <c r="H169">
        <v>4547</v>
      </c>
      <c r="I169">
        <v>4729</v>
      </c>
      <c r="J169">
        <v>4729</v>
      </c>
      <c r="L169">
        <f>IF(
    OR(
        AND(MAX(0, MIN($E$1, DATE(Initialisatie!$C$5,12,31)) - MAX($E$2, DATE(Initialisatie!$C$5,1,1)) + 1) &gt; 0, IFERROR(VALUE($E169),0)=0),
        AND(MAX(0, MIN($F$1, DATE(Initialisatie!$C$5,12,31)) - MAX($F$2, DATE(Initialisatie!$C$5,1,1)) + 1) &gt; 0, IFERROR(VALUE($F169),0)=0),
        AND(MAX(0, MIN($G$1, DATE(Initialisatie!$C$5,12,31)) - MAX($G$2, DATE(Initialisatie!$C$5,1,1)) + 1) &gt; 0, IFERROR(VALUE($G169),0)=0),
        AND(MAX(0, MIN($H$1, DATE(Initialisatie!$C$5,12,31)) - MAX($H$2, DATE(Initialisatie!$C$5,1,1)) + 1) &gt; 0, IFERROR(VALUE($H169),0)=0),
        AND(MAX(0, MIN($I$1, DATE(Initialisatie!$C$5,12,31)) - MAX($I$2, DATE(Initialisatie!$C$5,1,1)) + 1) &gt; 0, IFERROR(VALUE($I169),0)=0),
        AND(MAX(0, MIN($J$1, DATE(Initialisatie!$C$5,12,31)) - MAX($J$2, DATE(Initialisatie!$C$5,1,1)) + 1) &gt; 0, IFERROR(VALUE($J169),0)=0)
    ),
    0,
    SUM(
        IFERROR(VALUE($E169),0) * MAX(0, MIN($E$1, DATE(Initialisatie!$C$5,12,31)) - MAX($E$2, DATE(Initialisatie!$C$5,1,1)) + 1),
        IFERROR(VALUE($F169),0) * MAX(0, MIN($F$1, DATE(Initialisatie!$C$5,12,31)) - MAX($F$2, DATE(Initialisatie!$C$5,1,1)) + 1),
        IFERROR(VALUE($G169),0) * MAX(0, MIN($G$1, DATE(Initialisatie!$C$5,12,31)) - MAX($G$2, DATE(Initialisatie!$C$5,1,1)) + 1),
        IFERROR(VALUE($H169),0) * MAX(0, MIN($H$1, DATE(Initialisatie!$C$5,12,31)) - MAX($H$2, DATE(Initialisatie!$C$5,1,1)) + 1),
        IFERROR(VALUE($I169),0) * MAX(0, MIN($I$1, DATE(Initialisatie!$C$5,12,31)) - MAX($I$2, DATE(Initialisatie!$C$5,1,1)) + 1),
        IFERROR(VALUE($J169),0) * MAX(0, MIN($J$1, DATE(Initialisatie!$C$5,12,31)) - MAX($J$2, DATE(Initialisatie!$C$5,1,1)) + 1)
    ) / (DATE(Initialisatie!$C$5,12,31) - DATE(Initialisatie!$C$5,1,1) + 1)
)</f>
        <v>4729</v>
      </c>
    </row>
    <row r="170" spans="1:12" x14ac:dyDescent="0.45">
      <c r="A170" s="989"/>
      <c r="B170" s="35" t="s">
        <v>531</v>
      </c>
      <c r="C170" s="35" t="s">
        <v>531</v>
      </c>
      <c r="D170" s="35" t="s">
        <v>621</v>
      </c>
      <c r="E170">
        <v>4136</v>
      </c>
      <c r="F170">
        <v>4219</v>
      </c>
      <c r="G170">
        <v>4514</v>
      </c>
      <c r="H170">
        <v>4695</v>
      </c>
      <c r="I170">
        <v>4883</v>
      </c>
      <c r="J170">
        <v>4883</v>
      </c>
      <c r="L170">
        <f>IF(
    OR(
        AND(MAX(0, MIN($E$1, DATE(Initialisatie!$C$5,12,31)) - MAX($E$2, DATE(Initialisatie!$C$5,1,1)) + 1) &gt; 0, IFERROR(VALUE($E170),0)=0),
        AND(MAX(0, MIN($F$1, DATE(Initialisatie!$C$5,12,31)) - MAX($F$2, DATE(Initialisatie!$C$5,1,1)) + 1) &gt; 0, IFERROR(VALUE($F170),0)=0),
        AND(MAX(0, MIN($G$1, DATE(Initialisatie!$C$5,12,31)) - MAX($G$2, DATE(Initialisatie!$C$5,1,1)) + 1) &gt; 0, IFERROR(VALUE($G170),0)=0),
        AND(MAX(0, MIN($H$1, DATE(Initialisatie!$C$5,12,31)) - MAX($H$2, DATE(Initialisatie!$C$5,1,1)) + 1) &gt; 0, IFERROR(VALUE($H170),0)=0),
        AND(MAX(0, MIN($I$1, DATE(Initialisatie!$C$5,12,31)) - MAX($I$2, DATE(Initialisatie!$C$5,1,1)) + 1) &gt; 0, IFERROR(VALUE($I170),0)=0),
        AND(MAX(0, MIN($J$1, DATE(Initialisatie!$C$5,12,31)) - MAX($J$2, DATE(Initialisatie!$C$5,1,1)) + 1) &gt; 0, IFERROR(VALUE($J170),0)=0)
    ),
    0,
    SUM(
        IFERROR(VALUE($E170),0) * MAX(0, MIN($E$1, DATE(Initialisatie!$C$5,12,31)) - MAX($E$2, DATE(Initialisatie!$C$5,1,1)) + 1),
        IFERROR(VALUE($F170),0) * MAX(0, MIN($F$1, DATE(Initialisatie!$C$5,12,31)) - MAX($F$2, DATE(Initialisatie!$C$5,1,1)) + 1),
        IFERROR(VALUE($G170),0) * MAX(0, MIN($G$1, DATE(Initialisatie!$C$5,12,31)) - MAX($G$2, DATE(Initialisatie!$C$5,1,1)) + 1),
        IFERROR(VALUE($H170),0) * MAX(0, MIN($H$1, DATE(Initialisatie!$C$5,12,31)) - MAX($H$2, DATE(Initialisatie!$C$5,1,1)) + 1),
        IFERROR(VALUE($I170),0) * MAX(0, MIN($I$1, DATE(Initialisatie!$C$5,12,31)) - MAX($I$2, DATE(Initialisatie!$C$5,1,1)) + 1),
        IFERROR(VALUE($J170),0) * MAX(0, MIN($J$1, DATE(Initialisatie!$C$5,12,31)) - MAX($J$2, DATE(Initialisatie!$C$5,1,1)) + 1)
    ) / (DATE(Initialisatie!$C$5,12,31) - DATE(Initialisatie!$C$5,1,1) + 1)
)</f>
        <v>4883</v>
      </c>
    </row>
    <row r="171" spans="1:12" x14ac:dyDescent="0.45">
      <c r="A171" s="989"/>
      <c r="B171" s="35" t="s">
        <v>533</v>
      </c>
      <c r="C171" s="35" t="s">
        <v>533</v>
      </c>
      <c r="D171" s="35" t="s">
        <v>622</v>
      </c>
      <c r="E171">
        <v>4270</v>
      </c>
      <c r="F171">
        <v>4355</v>
      </c>
      <c r="G171">
        <v>4660</v>
      </c>
      <c r="H171">
        <v>4846</v>
      </c>
      <c r="I171">
        <v>5040</v>
      </c>
      <c r="J171">
        <v>5040</v>
      </c>
      <c r="L171">
        <f>IF(
    OR(
        AND(MAX(0, MIN($E$1, DATE(Initialisatie!$C$5,12,31)) - MAX($E$2, DATE(Initialisatie!$C$5,1,1)) + 1) &gt; 0, IFERROR(VALUE($E171),0)=0),
        AND(MAX(0, MIN($F$1, DATE(Initialisatie!$C$5,12,31)) - MAX($F$2, DATE(Initialisatie!$C$5,1,1)) + 1) &gt; 0, IFERROR(VALUE($F171),0)=0),
        AND(MAX(0, MIN($G$1, DATE(Initialisatie!$C$5,12,31)) - MAX($G$2, DATE(Initialisatie!$C$5,1,1)) + 1) &gt; 0, IFERROR(VALUE($G171),0)=0),
        AND(MAX(0, MIN($H$1, DATE(Initialisatie!$C$5,12,31)) - MAX($H$2, DATE(Initialisatie!$C$5,1,1)) + 1) &gt; 0, IFERROR(VALUE($H171),0)=0),
        AND(MAX(0, MIN($I$1, DATE(Initialisatie!$C$5,12,31)) - MAX($I$2, DATE(Initialisatie!$C$5,1,1)) + 1) &gt; 0, IFERROR(VALUE($I171),0)=0),
        AND(MAX(0, MIN($J$1, DATE(Initialisatie!$C$5,12,31)) - MAX($J$2, DATE(Initialisatie!$C$5,1,1)) + 1) &gt; 0, IFERROR(VALUE($J171),0)=0)
    ),
    0,
    SUM(
        IFERROR(VALUE($E171),0) * MAX(0, MIN($E$1, DATE(Initialisatie!$C$5,12,31)) - MAX($E$2, DATE(Initialisatie!$C$5,1,1)) + 1),
        IFERROR(VALUE($F171),0) * MAX(0, MIN($F$1, DATE(Initialisatie!$C$5,12,31)) - MAX($F$2, DATE(Initialisatie!$C$5,1,1)) + 1),
        IFERROR(VALUE($G171),0) * MAX(0, MIN($G$1, DATE(Initialisatie!$C$5,12,31)) - MAX($G$2, DATE(Initialisatie!$C$5,1,1)) + 1),
        IFERROR(VALUE($H171),0) * MAX(0, MIN($H$1, DATE(Initialisatie!$C$5,12,31)) - MAX($H$2, DATE(Initialisatie!$C$5,1,1)) + 1),
        IFERROR(VALUE($I171),0) * MAX(0, MIN($I$1, DATE(Initialisatie!$C$5,12,31)) - MAX($I$2, DATE(Initialisatie!$C$5,1,1)) + 1),
        IFERROR(VALUE($J171),0) * MAX(0, MIN($J$1, DATE(Initialisatie!$C$5,12,31)) - MAX($J$2, DATE(Initialisatie!$C$5,1,1)) + 1)
    ) / (DATE(Initialisatie!$C$5,12,31) - DATE(Initialisatie!$C$5,1,1) + 1)
)</f>
        <v>5040</v>
      </c>
    </row>
    <row r="172" spans="1:12" x14ac:dyDescent="0.45">
      <c r="A172" s="989"/>
      <c r="B172" s="35" t="s">
        <v>535</v>
      </c>
      <c r="C172" s="35" t="s">
        <v>535</v>
      </c>
      <c r="D172" s="35" t="s">
        <v>623</v>
      </c>
      <c r="E172">
        <v>4136</v>
      </c>
      <c r="F172">
        <v>4219</v>
      </c>
      <c r="G172">
        <v>4514</v>
      </c>
      <c r="H172">
        <v>4695</v>
      </c>
      <c r="I172">
        <v>4883</v>
      </c>
      <c r="J172">
        <v>4883</v>
      </c>
      <c r="L172">
        <f>IF(
    OR(
        AND(MAX(0, MIN($E$1, DATE(Initialisatie!$C$5,12,31)) - MAX($E$2, DATE(Initialisatie!$C$5,1,1)) + 1) &gt; 0, IFERROR(VALUE($E172),0)=0),
        AND(MAX(0, MIN($F$1, DATE(Initialisatie!$C$5,12,31)) - MAX($F$2, DATE(Initialisatie!$C$5,1,1)) + 1) &gt; 0, IFERROR(VALUE($F172),0)=0),
        AND(MAX(0, MIN($G$1, DATE(Initialisatie!$C$5,12,31)) - MAX($G$2, DATE(Initialisatie!$C$5,1,1)) + 1) &gt; 0, IFERROR(VALUE($G172),0)=0),
        AND(MAX(0, MIN($H$1, DATE(Initialisatie!$C$5,12,31)) - MAX($H$2, DATE(Initialisatie!$C$5,1,1)) + 1) &gt; 0, IFERROR(VALUE($H172),0)=0),
        AND(MAX(0, MIN($I$1, DATE(Initialisatie!$C$5,12,31)) - MAX($I$2, DATE(Initialisatie!$C$5,1,1)) + 1) &gt; 0, IFERROR(VALUE($I172),0)=0),
        AND(MAX(0, MIN($J$1, DATE(Initialisatie!$C$5,12,31)) - MAX($J$2, DATE(Initialisatie!$C$5,1,1)) + 1) &gt; 0, IFERROR(VALUE($J172),0)=0)
    ),
    0,
    SUM(
        IFERROR(VALUE($E172),0) * MAX(0, MIN($E$1, DATE(Initialisatie!$C$5,12,31)) - MAX($E$2, DATE(Initialisatie!$C$5,1,1)) + 1),
        IFERROR(VALUE($F172),0) * MAX(0, MIN($F$1, DATE(Initialisatie!$C$5,12,31)) - MAX($F$2, DATE(Initialisatie!$C$5,1,1)) + 1),
        IFERROR(VALUE($G172),0) * MAX(0, MIN($G$1, DATE(Initialisatie!$C$5,12,31)) - MAX($G$2, DATE(Initialisatie!$C$5,1,1)) + 1),
        IFERROR(VALUE($H172),0) * MAX(0, MIN($H$1, DATE(Initialisatie!$C$5,12,31)) - MAX($H$2, DATE(Initialisatie!$C$5,1,1)) + 1),
        IFERROR(VALUE($I172),0) * MAX(0, MIN($I$1, DATE(Initialisatie!$C$5,12,31)) - MAX($I$2, DATE(Initialisatie!$C$5,1,1)) + 1),
        IFERROR(VALUE($J172),0) * MAX(0, MIN($J$1, DATE(Initialisatie!$C$5,12,31)) - MAX($J$2, DATE(Initialisatie!$C$5,1,1)) + 1)
    ) / (DATE(Initialisatie!$C$5,12,31) - DATE(Initialisatie!$C$5,1,1) + 1)
)</f>
        <v>4883</v>
      </c>
    </row>
    <row r="173" spans="1:12" x14ac:dyDescent="0.45">
      <c r="A173" s="989"/>
      <c r="B173" s="35" t="s">
        <v>537</v>
      </c>
      <c r="C173" s="35" t="s">
        <v>537</v>
      </c>
      <c r="D173" s="35" t="s">
        <v>624</v>
      </c>
      <c r="E173">
        <v>4270</v>
      </c>
      <c r="F173">
        <v>4355</v>
      </c>
      <c r="G173">
        <v>4660</v>
      </c>
      <c r="H173">
        <v>4846</v>
      </c>
      <c r="I173">
        <v>5040</v>
      </c>
      <c r="J173">
        <v>5040</v>
      </c>
      <c r="L173">
        <f>IF(
    OR(
        AND(MAX(0, MIN($E$1, DATE(Initialisatie!$C$5,12,31)) - MAX($E$2, DATE(Initialisatie!$C$5,1,1)) + 1) &gt; 0, IFERROR(VALUE($E173),0)=0),
        AND(MAX(0, MIN($F$1, DATE(Initialisatie!$C$5,12,31)) - MAX($F$2, DATE(Initialisatie!$C$5,1,1)) + 1) &gt; 0, IFERROR(VALUE($F173),0)=0),
        AND(MAX(0, MIN($G$1, DATE(Initialisatie!$C$5,12,31)) - MAX($G$2, DATE(Initialisatie!$C$5,1,1)) + 1) &gt; 0, IFERROR(VALUE($G173),0)=0),
        AND(MAX(0, MIN($H$1, DATE(Initialisatie!$C$5,12,31)) - MAX($H$2, DATE(Initialisatie!$C$5,1,1)) + 1) &gt; 0, IFERROR(VALUE($H173),0)=0),
        AND(MAX(0, MIN($I$1, DATE(Initialisatie!$C$5,12,31)) - MAX($I$2, DATE(Initialisatie!$C$5,1,1)) + 1) &gt; 0, IFERROR(VALUE($I173),0)=0),
        AND(MAX(0, MIN($J$1, DATE(Initialisatie!$C$5,12,31)) - MAX($J$2, DATE(Initialisatie!$C$5,1,1)) + 1) &gt; 0, IFERROR(VALUE($J173),0)=0)
    ),
    0,
    SUM(
        IFERROR(VALUE($E173),0) * MAX(0, MIN($E$1, DATE(Initialisatie!$C$5,12,31)) - MAX($E$2, DATE(Initialisatie!$C$5,1,1)) + 1),
        IFERROR(VALUE($F173),0) * MAX(0, MIN($F$1, DATE(Initialisatie!$C$5,12,31)) - MAX($F$2, DATE(Initialisatie!$C$5,1,1)) + 1),
        IFERROR(VALUE($G173),0) * MAX(0, MIN($G$1, DATE(Initialisatie!$C$5,12,31)) - MAX($G$2, DATE(Initialisatie!$C$5,1,1)) + 1),
        IFERROR(VALUE($H173),0) * MAX(0, MIN($H$1, DATE(Initialisatie!$C$5,12,31)) - MAX($H$2, DATE(Initialisatie!$C$5,1,1)) + 1),
        IFERROR(VALUE($I173),0) * MAX(0, MIN($I$1, DATE(Initialisatie!$C$5,12,31)) - MAX($I$2, DATE(Initialisatie!$C$5,1,1)) + 1),
        IFERROR(VALUE($J173),0) * MAX(0, MIN($J$1, DATE(Initialisatie!$C$5,12,31)) - MAX($J$2, DATE(Initialisatie!$C$5,1,1)) + 1)
    ) / (DATE(Initialisatie!$C$5,12,31) - DATE(Initialisatie!$C$5,1,1) + 1)
)</f>
        <v>5040</v>
      </c>
    </row>
    <row r="174" spans="1:12" x14ac:dyDescent="0.45">
      <c r="A174" s="989"/>
      <c r="B174" s="35" t="s">
        <v>539</v>
      </c>
      <c r="C174" s="35" t="s">
        <v>539</v>
      </c>
      <c r="D174" s="35" t="s">
        <v>625</v>
      </c>
      <c r="E174">
        <v>4407</v>
      </c>
      <c r="F174">
        <v>4495</v>
      </c>
      <c r="G174">
        <v>4810</v>
      </c>
      <c r="H174">
        <v>5002</v>
      </c>
      <c r="I174">
        <v>5202</v>
      </c>
      <c r="J174">
        <v>5202</v>
      </c>
      <c r="L174">
        <f>IF(
    OR(
        AND(MAX(0, MIN($E$1, DATE(Initialisatie!$C$5,12,31)) - MAX($E$2, DATE(Initialisatie!$C$5,1,1)) + 1) &gt; 0, IFERROR(VALUE($E174),0)=0),
        AND(MAX(0, MIN($F$1, DATE(Initialisatie!$C$5,12,31)) - MAX($F$2, DATE(Initialisatie!$C$5,1,1)) + 1) &gt; 0, IFERROR(VALUE($F174),0)=0),
        AND(MAX(0, MIN($G$1, DATE(Initialisatie!$C$5,12,31)) - MAX($G$2, DATE(Initialisatie!$C$5,1,1)) + 1) &gt; 0, IFERROR(VALUE($G174),0)=0),
        AND(MAX(0, MIN($H$1, DATE(Initialisatie!$C$5,12,31)) - MAX($H$2, DATE(Initialisatie!$C$5,1,1)) + 1) &gt; 0, IFERROR(VALUE($H174),0)=0),
        AND(MAX(0, MIN($I$1, DATE(Initialisatie!$C$5,12,31)) - MAX($I$2, DATE(Initialisatie!$C$5,1,1)) + 1) &gt; 0, IFERROR(VALUE($I174),0)=0),
        AND(MAX(0, MIN($J$1, DATE(Initialisatie!$C$5,12,31)) - MAX($J$2, DATE(Initialisatie!$C$5,1,1)) + 1) &gt; 0, IFERROR(VALUE($J174),0)=0)
    ),
    0,
    SUM(
        IFERROR(VALUE($E174),0) * MAX(0, MIN($E$1, DATE(Initialisatie!$C$5,12,31)) - MAX($E$2, DATE(Initialisatie!$C$5,1,1)) + 1),
        IFERROR(VALUE($F174),0) * MAX(0, MIN($F$1, DATE(Initialisatie!$C$5,12,31)) - MAX($F$2, DATE(Initialisatie!$C$5,1,1)) + 1),
        IFERROR(VALUE($G174),0) * MAX(0, MIN($G$1, DATE(Initialisatie!$C$5,12,31)) - MAX($G$2, DATE(Initialisatie!$C$5,1,1)) + 1),
        IFERROR(VALUE($H174),0) * MAX(0, MIN($H$1, DATE(Initialisatie!$C$5,12,31)) - MAX($H$2, DATE(Initialisatie!$C$5,1,1)) + 1),
        IFERROR(VALUE($I174),0) * MAX(0, MIN($I$1, DATE(Initialisatie!$C$5,12,31)) - MAX($I$2, DATE(Initialisatie!$C$5,1,1)) + 1),
        IFERROR(VALUE($J174),0) * MAX(0, MIN($J$1, DATE(Initialisatie!$C$5,12,31)) - MAX($J$2, DATE(Initialisatie!$C$5,1,1)) + 1)
    ) / (DATE(Initialisatie!$C$5,12,31) - DATE(Initialisatie!$C$5,1,1) + 1)
)</f>
        <v>5202</v>
      </c>
    </row>
    <row r="175" spans="1:12" x14ac:dyDescent="0.45">
      <c r="A175" s="989"/>
      <c r="B175" s="35" t="s">
        <v>541</v>
      </c>
      <c r="C175" s="35" t="s">
        <v>541</v>
      </c>
      <c r="D175" s="35" t="s">
        <v>626</v>
      </c>
      <c r="E175">
        <v>4560</v>
      </c>
      <c r="F175">
        <v>4651</v>
      </c>
      <c r="G175">
        <v>4977</v>
      </c>
      <c r="H175">
        <v>5176</v>
      </c>
      <c r="I175">
        <v>5383</v>
      </c>
      <c r="J175">
        <v>5383</v>
      </c>
      <c r="L175">
        <f>IF(
    OR(
        AND(MAX(0, MIN($E$1, DATE(Initialisatie!$C$5,12,31)) - MAX($E$2, DATE(Initialisatie!$C$5,1,1)) + 1) &gt; 0, IFERROR(VALUE($E175),0)=0),
        AND(MAX(0, MIN($F$1, DATE(Initialisatie!$C$5,12,31)) - MAX($F$2, DATE(Initialisatie!$C$5,1,1)) + 1) &gt; 0, IFERROR(VALUE($F175),0)=0),
        AND(MAX(0, MIN($G$1, DATE(Initialisatie!$C$5,12,31)) - MAX($G$2, DATE(Initialisatie!$C$5,1,1)) + 1) &gt; 0, IFERROR(VALUE($G175),0)=0),
        AND(MAX(0, MIN($H$1, DATE(Initialisatie!$C$5,12,31)) - MAX($H$2, DATE(Initialisatie!$C$5,1,1)) + 1) &gt; 0, IFERROR(VALUE($H175),0)=0),
        AND(MAX(0, MIN($I$1, DATE(Initialisatie!$C$5,12,31)) - MAX($I$2, DATE(Initialisatie!$C$5,1,1)) + 1) &gt; 0, IFERROR(VALUE($I175),0)=0),
        AND(MAX(0, MIN($J$1, DATE(Initialisatie!$C$5,12,31)) - MAX($J$2, DATE(Initialisatie!$C$5,1,1)) + 1) &gt; 0, IFERROR(VALUE($J175),0)=0)
    ),
    0,
    SUM(
        IFERROR(VALUE($E175),0) * MAX(0, MIN($E$1, DATE(Initialisatie!$C$5,12,31)) - MAX($E$2, DATE(Initialisatie!$C$5,1,1)) + 1),
        IFERROR(VALUE($F175),0) * MAX(0, MIN($F$1, DATE(Initialisatie!$C$5,12,31)) - MAX($F$2, DATE(Initialisatie!$C$5,1,1)) + 1),
        IFERROR(VALUE($G175),0) * MAX(0, MIN($G$1, DATE(Initialisatie!$C$5,12,31)) - MAX($G$2, DATE(Initialisatie!$C$5,1,1)) + 1),
        IFERROR(VALUE($H175),0) * MAX(0, MIN($H$1, DATE(Initialisatie!$C$5,12,31)) - MAX($H$2, DATE(Initialisatie!$C$5,1,1)) + 1),
        IFERROR(VALUE($I175),0) * MAX(0, MIN($I$1, DATE(Initialisatie!$C$5,12,31)) - MAX($I$2, DATE(Initialisatie!$C$5,1,1)) + 1),
        IFERROR(VALUE($J175),0) * MAX(0, MIN($J$1, DATE(Initialisatie!$C$5,12,31)) - MAX($J$2, DATE(Initialisatie!$C$5,1,1)) + 1)
    ) / (DATE(Initialisatie!$C$5,12,31) - DATE(Initialisatie!$C$5,1,1) + 1)
)</f>
        <v>5383</v>
      </c>
    </row>
    <row r="176" spans="1:12" x14ac:dyDescent="0.45">
      <c r="A176" s="990"/>
      <c r="B176" s="35" t="s">
        <v>543</v>
      </c>
      <c r="C176" s="35" t="s">
        <v>543</v>
      </c>
      <c r="D176" s="35" t="s">
        <v>627</v>
      </c>
      <c r="E176">
        <v>4723</v>
      </c>
      <c r="F176">
        <v>4817</v>
      </c>
      <c r="G176">
        <v>5154</v>
      </c>
      <c r="H176">
        <v>5360</v>
      </c>
      <c r="I176">
        <v>5574</v>
      </c>
      <c r="J176">
        <v>5574</v>
      </c>
      <c r="L176">
        <f>IF(
    OR(
        AND(MAX(0, MIN($E$1, DATE(Initialisatie!$C$5,12,31)) - MAX($E$2, DATE(Initialisatie!$C$5,1,1)) + 1) &gt; 0, IFERROR(VALUE($E176),0)=0),
        AND(MAX(0, MIN($F$1, DATE(Initialisatie!$C$5,12,31)) - MAX($F$2, DATE(Initialisatie!$C$5,1,1)) + 1) &gt; 0, IFERROR(VALUE($F176),0)=0),
        AND(MAX(0, MIN($G$1, DATE(Initialisatie!$C$5,12,31)) - MAX($G$2, DATE(Initialisatie!$C$5,1,1)) + 1) &gt; 0, IFERROR(VALUE($G176),0)=0),
        AND(MAX(0, MIN($H$1, DATE(Initialisatie!$C$5,12,31)) - MAX($H$2, DATE(Initialisatie!$C$5,1,1)) + 1) &gt; 0, IFERROR(VALUE($H176),0)=0),
        AND(MAX(0, MIN($I$1, DATE(Initialisatie!$C$5,12,31)) - MAX($I$2, DATE(Initialisatie!$C$5,1,1)) + 1) &gt; 0, IFERROR(VALUE($I176),0)=0),
        AND(MAX(0, MIN($J$1, DATE(Initialisatie!$C$5,12,31)) - MAX($J$2, DATE(Initialisatie!$C$5,1,1)) + 1) &gt; 0, IFERROR(VALUE($J176),0)=0)
    ),
    0,
    SUM(
        IFERROR(VALUE($E176),0) * MAX(0, MIN($E$1, DATE(Initialisatie!$C$5,12,31)) - MAX($E$2, DATE(Initialisatie!$C$5,1,1)) + 1),
        IFERROR(VALUE($F176),0) * MAX(0, MIN($F$1, DATE(Initialisatie!$C$5,12,31)) - MAX($F$2, DATE(Initialisatie!$C$5,1,1)) + 1),
        IFERROR(VALUE($G176),0) * MAX(0, MIN($G$1, DATE(Initialisatie!$C$5,12,31)) - MAX($G$2, DATE(Initialisatie!$C$5,1,1)) + 1),
        IFERROR(VALUE($H176),0) * MAX(0, MIN($H$1, DATE(Initialisatie!$C$5,12,31)) - MAX($H$2, DATE(Initialisatie!$C$5,1,1)) + 1),
        IFERROR(VALUE($I176),0) * MAX(0, MIN($I$1, DATE(Initialisatie!$C$5,12,31)) - MAX($I$2, DATE(Initialisatie!$C$5,1,1)) + 1),
        IFERROR(VALUE($J176),0) * MAX(0, MIN($J$1, DATE(Initialisatie!$C$5,12,31)) - MAX($J$2, DATE(Initialisatie!$C$5,1,1)) + 1)
    ) / (DATE(Initialisatie!$C$5,12,31) - DATE(Initialisatie!$C$5,1,1) + 1)
)</f>
        <v>5574</v>
      </c>
    </row>
    <row r="177" spans="1:12" x14ac:dyDescent="0.45">
      <c r="A177" s="988">
        <v>9</v>
      </c>
      <c r="B177" s="35" t="s">
        <v>517</v>
      </c>
      <c r="C177" s="35" t="s">
        <v>517</v>
      </c>
      <c r="D177" s="35" t="s">
        <v>628</v>
      </c>
      <c r="E177">
        <v>2989</v>
      </c>
      <c r="F177">
        <v>3049</v>
      </c>
      <c r="G177">
        <v>3262</v>
      </c>
      <c r="H177">
        <v>3392</v>
      </c>
      <c r="I177">
        <v>3528</v>
      </c>
      <c r="J177">
        <v>3528</v>
      </c>
      <c r="L177">
        <f>IF(
    OR(
        AND(MAX(0, MIN($E$1, DATE(Initialisatie!$C$5,12,31)) - MAX($E$2, DATE(Initialisatie!$C$5,1,1)) + 1) &gt; 0, IFERROR(VALUE($E177),0)=0),
        AND(MAX(0, MIN($F$1, DATE(Initialisatie!$C$5,12,31)) - MAX($F$2, DATE(Initialisatie!$C$5,1,1)) + 1) &gt; 0, IFERROR(VALUE($F177),0)=0),
        AND(MAX(0, MIN($G$1, DATE(Initialisatie!$C$5,12,31)) - MAX($G$2, DATE(Initialisatie!$C$5,1,1)) + 1) &gt; 0, IFERROR(VALUE($G177),0)=0),
        AND(MAX(0, MIN($H$1, DATE(Initialisatie!$C$5,12,31)) - MAX($H$2, DATE(Initialisatie!$C$5,1,1)) + 1) &gt; 0, IFERROR(VALUE($H177),0)=0),
        AND(MAX(0, MIN($I$1, DATE(Initialisatie!$C$5,12,31)) - MAX($I$2, DATE(Initialisatie!$C$5,1,1)) + 1) &gt; 0, IFERROR(VALUE($I177),0)=0),
        AND(MAX(0, MIN($J$1, DATE(Initialisatie!$C$5,12,31)) - MAX($J$2, DATE(Initialisatie!$C$5,1,1)) + 1) &gt; 0, IFERROR(VALUE($J177),0)=0)
    ),
    0,
    SUM(
        IFERROR(VALUE($E177),0) * MAX(0, MIN($E$1, DATE(Initialisatie!$C$5,12,31)) - MAX($E$2, DATE(Initialisatie!$C$5,1,1)) + 1),
        IFERROR(VALUE($F177),0) * MAX(0, MIN($F$1, DATE(Initialisatie!$C$5,12,31)) - MAX($F$2, DATE(Initialisatie!$C$5,1,1)) + 1),
        IFERROR(VALUE($G177),0) * MAX(0, MIN($G$1, DATE(Initialisatie!$C$5,12,31)) - MAX($G$2, DATE(Initialisatie!$C$5,1,1)) + 1),
        IFERROR(VALUE($H177),0) * MAX(0, MIN($H$1, DATE(Initialisatie!$C$5,12,31)) - MAX($H$2, DATE(Initialisatie!$C$5,1,1)) + 1),
        IFERROR(VALUE($I177),0) * MAX(0, MIN($I$1, DATE(Initialisatie!$C$5,12,31)) - MAX($I$2, DATE(Initialisatie!$C$5,1,1)) + 1),
        IFERROR(VALUE($J177),0) * MAX(0, MIN($J$1, DATE(Initialisatie!$C$5,12,31)) - MAX($J$2, DATE(Initialisatie!$C$5,1,1)) + 1)
    ) / (DATE(Initialisatie!$C$5,12,31) - DATE(Initialisatie!$C$5,1,1) + 1)
)</f>
        <v>3528</v>
      </c>
    </row>
    <row r="178" spans="1:12" x14ac:dyDescent="0.45">
      <c r="A178" s="989"/>
      <c r="B178" s="35">
        <v>0</v>
      </c>
      <c r="C178" s="35">
        <v>0</v>
      </c>
      <c r="D178" s="35" t="s">
        <v>209</v>
      </c>
      <c r="E178">
        <v>3043</v>
      </c>
      <c r="F178">
        <v>3104</v>
      </c>
      <c r="G178">
        <v>3321</v>
      </c>
      <c r="H178">
        <v>3454</v>
      </c>
      <c r="I178">
        <v>3592</v>
      </c>
      <c r="J178">
        <v>3592</v>
      </c>
      <c r="L178">
        <f>IF(
    OR(
        AND(MAX(0, MIN($E$1, DATE(Initialisatie!$C$5,12,31)) - MAX($E$2, DATE(Initialisatie!$C$5,1,1)) + 1) &gt; 0, IFERROR(VALUE($E178),0)=0),
        AND(MAX(0, MIN($F$1, DATE(Initialisatie!$C$5,12,31)) - MAX($F$2, DATE(Initialisatie!$C$5,1,1)) + 1) &gt; 0, IFERROR(VALUE($F178),0)=0),
        AND(MAX(0, MIN($G$1, DATE(Initialisatie!$C$5,12,31)) - MAX($G$2, DATE(Initialisatie!$C$5,1,1)) + 1) &gt; 0, IFERROR(VALUE($G178),0)=0),
        AND(MAX(0, MIN($H$1, DATE(Initialisatie!$C$5,12,31)) - MAX($H$2, DATE(Initialisatie!$C$5,1,1)) + 1) &gt; 0, IFERROR(VALUE($H178),0)=0),
        AND(MAX(0, MIN($I$1, DATE(Initialisatie!$C$5,12,31)) - MAX($I$2, DATE(Initialisatie!$C$5,1,1)) + 1) &gt; 0, IFERROR(VALUE($I178),0)=0),
        AND(MAX(0, MIN($J$1, DATE(Initialisatie!$C$5,12,31)) - MAX($J$2, DATE(Initialisatie!$C$5,1,1)) + 1) &gt; 0, IFERROR(VALUE($J178),0)=0)
    ),
    0,
    SUM(
        IFERROR(VALUE($E178),0) * MAX(0, MIN($E$1, DATE(Initialisatie!$C$5,12,31)) - MAX($E$2, DATE(Initialisatie!$C$5,1,1)) + 1),
        IFERROR(VALUE($F178),0) * MAX(0, MIN($F$1, DATE(Initialisatie!$C$5,12,31)) - MAX($F$2, DATE(Initialisatie!$C$5,1,1)) + 1),
        IFERROR(VALUE($G178),0) * MAX(0, MIN($G$1, DATE(Initialisatie!$C$5,12,31)) - MAX($G$2, DATE(Initialisatie!$C$5,1,1)) + 1),
        IFERROR(VALUE($H178),0) * MAX(0, MIN($H$1, DATE(Initialisatie!$C$5,12,31)) - MAX($H$2, DATE(Initialisatie!$C$5,1,1)) + 1),
        IFERROR(VALUE($I178),0) * MAX(0, MIN($I$1, DATE(Initialisatie!$C$5,12,31)) - MAX($I$2, DATE(Initialisatie!$C$5,1,1)) + 1),
        IFERROR(VALUE($J178),0) * MAX(0, MIN($J$1, DATE(Initialisatie!$C$5,12,31)) - MAX($J$2, DATE(Initialisatie!$C$5,1,1)) + 1)
    ) / (DATE(Initialisatie!$C$5,12,31) - DATE(Initialisatie!$C$5,1,1) + 1)
)</f>
        <v>3592</v>
      </c>
    </row>
    <row r="179" spans="1:12" x14ac:dyDescent="0.45">
      <c r="A179" s="989"/>
      <c r="B179" s="35">
        <v>1</v>
      </c>
      <c r="C179" s="35">
        <v>1</v>
      </c>
      <c r="D179" s="35" t="s">
        <v>208</v>
      </c>
      <c r="E179">
        <v>3158</v>
      </c>
      <c r="F179">
        <v>3221</v>
      </c>
      <c r="G179">
        <v>3446</v>
      </c>
      <c r="H179">
        <v>3584</v>
      </c>
      <c r="I179">
        <v>3727</v>
      </c>
      <c r="J179">
        <v>3727</v>
      </c>
      <c r="L179">
        <f>IF(
    OR(
        AND(MAX(0, MIN($E$1, DATE(Initialisatie!$C$5,12,31)) - MAX($E$2, DATE(Initialisatie!$C$5,1,1)) + 1) &gt; 0, IFERROR(VALUE($E179),0)=0),
        AND(MAX(0, MIN($F$1, DATE(Initialisatie!$C$5,12,31)) - MAX($F$2, DATE(Initialisatie!$C$5,1,1)) + 1) &gt; 0, IFERROR(VALUE($F179),0)=0),
        AND(MAX(0, MIN($G$1, DATE(Initialisatie!$C$5,12,31)) - MAX($G$2, DATE(Initialisatie!$C$5,1,1)) + 1) &gt; 0, IFERROR(VALUE($G179),0)=0),
        AND(MAX(0, MIN($H$1, DATE(Initialisatie!$C$5,12,31)) - MAX($H$2, DATE(Initialisatie!$C$5,1,1)) + 1) &gt; 0, IFERROR(VALUE($H179),0)=0),
        AND(MAX(0, MIN($I$1, DATE(Initialisatie!$C$5,12,31)) - MAX($I$2, DATE(Initialisatie!$C$5,1,1)) + 1) &gt; 0, IFERROR(VALUE($I179),0)=0),
        AND(MAX(0, MIN($J$1, DATE(Initialisatie!$C$5,12,31)) - MAX($J$2, DATE(Initialisatie!$C$5,1,1)) + 1) &gt; 0, IFERROR(VALUE($J179),0)=0)
    ),
    0,
    SUM(
        IFERROR(VALUE($E179),0) * MAX(0, MIN($E$1, DATE(Initialisatie!$C$5,12,31)) - MAX($E$2, DATE(Initialisatie!$C$5,1,1)) + 1),
        IFERROR(VALUE($F179),0) * MAX(0, MIN($F$1, DATE(Initialisatie!$C$5,12,31)) - MAX($F$2, DATE(Initialisatie!$C$5,1,1)) + 1),
        IFERROR(VALUE($G179),0) * MAX(0, MIN($G$1, DATE(Initialisatie!$C$5,12,31)) - MAX($G$2, DATE(Initialisatie!$C$5,1,1)) + 1),
        IFERROR(VALUE($H179),0) * MAX(0, MIN($H$1, DATE(Initialisatie!$C$5,12,31)) - MAX($H$2, DATE(Initialisatie!$C$5,1,1)) + 1),
        IFERROR(VALUE($I179),0) * MAX(0, MIN($I$1, DATE(Initialisatie!$C$5,12,31)) - MAX($I$2, DATE(Initialisatie!$C$5,1,1)) + 1),
        IFERROR(VALUE($J179),0) * MAX(0, MIN($J$1, DATE(Initialisatie!$C$5,12,31)) - MAX($J$2, DATE(Initialisatie!$C$5,1,1)) + 1)
    ) / (DATE(Initialisatie!$C$5,12,31) - DATE(Initialisatie!$C$5,1,1) + 1)
)</f>
        <v>3727</v>
      </c>
    </row>
    <row r="180" spans="1:12" x14ac:dyDescent="0.45">
      <c r="A180" s="989"/>
      <c r="B180" s="35">
        <v>2</v>
      </c>
      <c r="C180" s="35">
        <v>2</v>
      </c>
      <c r="D180" s="35" t="s">
        <v>203</v>
      </c>
      <c r="E180">
        <v>3233</v>
      </c>
      <c r="F180">
        <v>3298</v>
      </c>
      <c r="G180">
        <v>3529</v>
      </c>
      <c r="H180">
        <v>3670</v>
      </c>
      <c r="I180">
        <v>3817</v>
      </c>
      <c r="J180">
        <v>3817</v>
      </c>
      <c r="L180">
        <f>IF(
    OR(
        AND(MAX(0, MIN($E$1, DATE(Initialisatie!$C$5,12,31)) - MAX($E$2, DATE(Initialisatie!$C$5,1,1)) + 1) &gt; 0, IFERROR(VALUE($E180),0)=0),
        AND(MAX(0, MIN($F$1, DATE(Initialisatie!$C$5,12,31)) - MAX($F$2, DATE(Initialisatie!$C$5,1,1)) + 1) &gt; 0, IFERROR(VALUE($F180),0)=0),
        AND(MAX(0, MIN($G$1, DATE(Initialisatie!$C$5,12,31)) - MAX($G$2, DATE(Initialisatie!$C$5,1,1)) + 1) &gt; 0, IFERROR(VALUE($G180),0)=0),
        AND(MAX(0, MIN($H$1, DATE(Initialisatie!$C$5,12,31)) - MAX($H$2, DATE(Initialisatie!$C$5,1,1)) + 1) &gt; 0, IFERROR(VALUE($H180),0)=0),
        AND(MAX(0, MIN($I$1, DATE(Initialisatie!$C$5,12,31)) - MAX($I$2, DATE(Initialisatie!$C$5,1,1)) + 1) &gt; 0, IFERROR(VALUE($I180),0)=0),
        AND(MAX(0, MIN($J$1, DATE(Initialisatie!$C$5,12,31)) - MAX($J$2, DATE(Initialisatie!$C$5,1,1)) + 1) &gt; 0, IFERROR(VALUE($J180),0)=0)
    ),
    0,
    SUM(
        IFERROR(VALUE($E180),0) * MAX(0, MIN($E$1, DATE(Initialisatie!$C$5,12,31)) - MAX($E$2, DATE(Initialisatie!$C$5,1,1)) + 1),
        IFERROR(VALUE($F180),0) * MAX(0, MIN($F$1, DATE(Initialisatie!$C$5,12,31)) - MAX($F$2, DATE(Initialisatie!$C$5,1,1)) + 1),
        IFERROR(VALUE($G180),0) * MAX(0, MIN($G$1, DATE(Initialisatie!$C$5,12,31)) - MAX($G$2, DATE(Initialisatie!$C$5,1,1)) + 1),
        IFERROR(VALUE($H180),0) * MAX(0, MIN($H$1, DATE(Initialisatie!$C$5,12,31)) - MAX($H$2, DATE(Initialisatie!$C$5,1,1)) + 1),
        IFERROR(VALUE($I180),0) * MAX(0, MIN($I$1, DATE(Initialisatie!$C$5,12,31)) - MAX($I$2, DATE(Initialisatie!$C$5,1,1)) + 1),
        IFERROR(VALUE($J180),0) * MAX(0, MIN($J$1, DATE(Initialisatie!$C$5,12,31)) - MAX($J$2, DATE(Initialisatie!$C$5,1,1)) + 1)
    ) / (DATE(Initialisatie!$C$5,12,31) - DATE(Initialisatie!$C$5,1,1) + 1)
)</f>
        <v>3817</v>
      </c>
    </row>
    <row r="181" spans="1:12" x14ac:dyDescent="0.45">
      <c r="A181" s="989"/>
      <c r="B181" s="35">
        <v>3</v>
      </c>
      <c r="C181" s="35">
        <v>3</v>
      </c>
      <c r="D181" s="35" t="s">
        <v>202</v>
      </c>
      <c r="E181">
        <v>3314</v>
      </c>
      <c r="F181">
        <v>3380</v>
      </c>
      <c r="G181">
        <v>3617</v>
      </c>
      <c r="H181">
        <v>3762</v>
      </c>
      <c r="I181">
        <v>3912</v>
      </c>
      <c r="J181">
        <v>3912</v>
      </c>
      <c r="L181">
        <f>IF(
    OR(
        AND(MAX(0, MIN($E$1, DATE(Initialisatie!$C$5,12,31)) - MAX($E$2, DATE(Initialisatie!$C$5,1,1)) + 1) &gt; 0, IFERROR(VALUE($E181),0)=0),
        AND(MAX(0, MIN($F$1, DATE(Initialisatie!$C$5,12,31)) - MAX($F$2, DATE(Initialisatie!$C$5,1,1)) + 1) &gt; 0, IFERROR(VALUE($F181),0)=0),
        AND(MAX(0, MIN($G$1, DATE(Initialisatie!$C$5,12,31)) - MAX($G$2, DATE(Initialisatie!$C$5,1,1)) + 1) &gt; 0, IFERROR(VALUE($G181),0)=0),
        AND(MAX(0, MIN($H$1, DATE(Initialisatie!$C$5,12,31)) - MAX($H$2, DATE(Initialisatie!$C$5,1,1)) + 1) &gt; 0, IFERROR(VALUE($H181),0)=0),
        AND(MAX(0, MIN($I$1, DATE(Initialisatie!$C$5,12,31)) - MAX($I$2, DATE(Initialisatie!$C$5,1,1)) + 1) &gt; 0, IFERROR(VALUE($I181),0)=0),
        AND(MAX(0, MIN($J$1, DATE(Initialisatie!$C$5,12,31)) - MAX($J$2, DATE(Initialisatie!$C$5,1,1)) + 1) &gt; 0, IFERROR(VALUE($J181),0)=0)
    ),
    0,
    SUM(
        IFERROR(VALUE($E181),0) * MAX(0, MIN($E$1, DATE(Initialisatie!$C$5,12,31)) - MAX($E$2, DATE(Initialisatie!$C$5,1,1)) + 1),
        IFERROR(VALUE($F181),0) * MAX(0, MIN($F$1, DATE(Initialisatie!$C$5,12,31)) - MAX($F$2, DATE(Initialisatie!$C$5,1,1)) + 1),
        IFERROR(VALUE($G181),0) * MAX(0, MIN($G$1, DATE(Initialisatie!$C$5,12,31)) - MAX($G$2, DATE(Initialisatie!$C$5,1,1)) + 1),
        IFERROR(VALUE($H181),0) * MAX(0, MIN($H$1, DATE(Initialisatie!$C$5,12,31)) - MAX($H$2, DATE(Initialisatie!$C$5,1,1)) + 1),
        IFERROR(VALUE($I181),0) * MAX(0, MIN($I$1, DATE(Initialisatie!$C$5,12,31)) - MAX($I$2, DATE(Initialisatie!$C$5,1,1)) + 1),
        IFERROR(VALUE($J181),0) * MAX(0, MIN($J$1, DATE(Initialisatie!$C$5,12,31)) - MAX($J$2, DATE(Initialisatie!$C$5,1,1)) + 1)
    ) / (DATE(Initialisatie!$C$5,12,31) - DATE(Initialisatie!$C$5,1,1) + 1)
)</f>
        <v>3912</v>
      </c>
    </row>
    <row r="182" spans="1:12" x14ac:dyDescent="0.45">
      <c r="A182" s="989"/>
      <c r="B182" s="35">
        <v>4</v>
      </c>
      <c r="C182" s="35">
        <v>4</v>
      </c>
      <c r="D182" s="35" t="s">
        <v>201</v>
      </c>
      <c r="E182">
        <v>3399</v>
      </c>
      <c r="F182">
        <v>3467</v>
      </c>
      <c r="G182">
        <v>3710</v>
      </c>
      <c r="H182">
        <v>3858</v>
      </c>
      <c r="I182">
        <v>4012</v>
      </c>
      <c r="J182">
        <v>4012</v>
      </c>
      <c r="L182">
        <f>IF(
    OR(
        AND(MAX(0, MIN($E$1, DATE(Initialisatie!$C$5,12,31)) - MAX($E$2, DATE(Initialisatie!$C$5,1,1)) + 1) &gt; 0, IFERROR(VALUE($E182),0)=0),
        AND(MAX(0, MIN($F$1, DATE(Initialisatie!$C$5,12,31)) - MAX($F$2, DATE(Initialisatie!$C$5,1,1)) + 1) &gt; 0, IFERROR(VALUE($F182),0)=0),
        AND(MAX(0, MIN($G$1, DATE(Initialisatie!$C$5,12,31)) - MAX($G$2, DATE(Initialisatie!$C$5,1,1)) + 1) &gt; 0, IFERROR(VALUE($G182),0)=0),
        AND(MAX(0, MIN($H$1, DATE(Initialisatie!$C$5,12,31)) - MAX($H$2, DATE(Initialisatie!$C$5,1,1)) + 1) &gt; 0, IFERROR(VALUE($H182),0)=0),
        AND(MAX(0, MIN($I$1, DATE(Initialisatie!$C$5,12,31)) - MAX($I$2, DATE(Initialisatie!$C$5,1,1)) + 1) &gt; 0, IFERROR(VALUE($I182),0)=0),
        AND(MAX(0, MIN($J$1, DATE(Initialisatie!$C$5,12,31)) - MAX($J$2, DATE(Initialisatie!$C$5,1,1)) + 1) &gt; 0, IFERROR(VALUE($J182),0)=0)
    ),
    0,
    SUM(
        IFERROR(VALUE($E182),0) * MAX(0, MIN($E$1, DATE(Initialisatie!$C$5,12,31)) - MAX($E$2, DATE(Initialisatie!$C$5,1,1)) + 1),
        IFERROR(VALUE($F182),0) * MAX(0, MIN($F$1, DATE(Initialisatie!$C$5,12,31)) - MAX($F$2, DATE(Initialisatie!$C$5,1,1)) + 1),
        IFERROR(VALUE($G182),0) * MAX(0, MIN($G$1, DATE(Initialisatie!$C$5,12,31)) - MAX($G$2, DATE(Initialisatie!$C$5,1,1)) + 1),
        IFERROR(VALUE($H182),0) * MAX(0, MIN($H$1, DATE(Initialisatie!$C$5,12,31)) - MAX($H$2, DATE(Initialisatie!$C$5,1,1)) + 1),
        IFERROR(VALUE($I182),0) * MAX(0, MIN($I$1, DATE(Initialisatie!$C$5,12,31)) - MAX($I$2, DATE(Initialisatie!$C$5,1,1)) + 1),
        IFERROR(VALUE($J182),0) * MAX(0, MIN($J$1, DATE(Initialisatie!$C$5,12,31)) - MAX($J$2, DATE(Initialisatie!$C$5,1,1)) + 1)
    ) / (DATE(Initialisatie!$C$5,12,31) - DATE(Initialisatie!$C$5,1,1) + 1)
)</f>
        <v>4012</v>
      </c>
    </row>
    <row r="183" spans="1:12" x14ac:dyDescent="0.45">
      <c r="A183" s="989"/>
      <c r="B183" s="35">
        <v>5</v>
      </c>
      <c r="C183" s="35">
        <v>5</v>
      </c>
      <c r="D183" s="35" t="s">
        <v>200</v>
      </c>
      <c r="E183">
        <v>3470</v>
      </c>
      <c r="F183">
        <v>3539</v>
      </c>
      <c r="G183">
        <v>3787</v>
      </c>
      <c r="H183">
        <v>3938</v>
      </c>
      <c r="I183">
        <v>4096</v>
      </c>
      <c r="J183">
        <v>4096</v>
      </c>
      <c r="L183">
        <f>IF(
    OR(
        AND(MAX(0, MIN($E$1, DATE(Initialisatie!$C$5,12,31)) - MAX($E$2, DATE(Initialisatie!$C$5,1,1)) + 1) &gt; 0, IFERROR(VALUE($E183),0)=0),
        AND(MAX(0, MIN($F$1, DATE(Initialisatie!$C$5,12,31)) - MAX($F$2, DATE(Initialisatie!$C$5,1,1)) + 1) &gt; 0, IFERROR(VALUE($F183),0)=0),
        AND(MAX(0, MIN($G$1, DATE(Initialisatie!$C$5,12,31)) - MAX($G$2, DATE(Initialisatie!$C$5,1,1)) + 1) &gt; 0, IFERROR(VALUE($G183),0)=0),
        AND(MAX(0, MIN($H$1, DATE(Initialisatie!$C$5,12,31)) - MAX($H$2, DATE(Initialisatie!$C$5,1,1)) + 1) &gt; 0, IFERROR(VALUE($H183),0)=0),
        AND(MAX(0, MIN($I$1, DATE(Initialisatie!$C$5,12,31)) - MAX($I$2, DATE(Initialisatie!$C$5,1,1)) + 1) &gt; 0, IFERROR(VALUE($I183),0)=0),
        AND(MAX(0, MIN($J$1, DATE(Initialisatie!$C$5,12,31)) - MAX($J$2, DATE(Initialisatie!$C$5,1,1)) + 1) &gt; 0, IFERROR(VALUE($J183),0)=0)
    ),
    0,
    SUM(
        IFERROR(VALUE($E183),0) * MAX(0, MIN($E$1, DATE(Initialisatie!$C$5,12,31)) - MAX($E$2, DATE(Initialisatie!$C$5,1,1)) + 1),
        IFERROR(VALUE($F183),0) * MAX(0, MIN($F$1, DATE(Initialisatie!$C$5,12,31)) - MAX($F$2, DATE(Initialisatie!$C$5,1,1)) + 1),
        IFERROR(VALUE($G183),0) * MAX(0, MIN($G$1, DATE(Initialisatie!$C$5,12,31)) - MAX($G$2, DATE(Initialisatie!$C$5,1,1)) + 1),
        IFERROR(VALUE($H183),0) * MAX(0, MIN($H$1, DATE(Initialisatie!$C$5,12,31)) - MAX($H$2, DATE(Initialisatie!$C$5,1,1)) + 1),
        IFERROR(VALUE($I183),0) * MAX(0, MIN($I$1, DATE(Initialisatie!$C$5,12,31)) - MAX($I$2, DATE(Initialisatie!$C$5,1,1)) + 1),
        IFERROR(VALUE($J183),0) * MAX(0, MIN($J$1, DATE(Initialisatie!$C$5,12,31)) - MAX($J$2, DATE(Initialisatie!$C$5,1,1)) + 1)
    ) / (DATE(Initialisatie!$C$5,12,31) - DATE(Initialisatie!$C$5,1,1) + 1)
)</f>
        <v>4096</v>
      </c>
    </row>
    <row r="184" spans="1:12" x14ac:dyDescent="0.45">
      <c r="A184" s="989"/>
      <c r="B184" s="35">
        <v>6</v>
      </c>
      <c r="C184" s="35">
        <v>6</v>
      </c>
      <c r="D184" s="35" t="s">
        <v>199</v>
      </c>
      <c r="E184">
        <v>3548</v>
      </c>
      <c r="F184">
        <v>3619</v>
      </c>
      <c r="G184">
        <v>3872</v>
      </c>
      <c r="H184">
        <v>4027</v>
      </c>
      <c r="I184">
        <v>4188</v>
      </c>
      <c r="J184">
        <v>4188</v>
      </c>
      <c r="L184">
        <f>IF(
    OR(
        AND(MAX(0, MIN($E$1, DATE(Initialisatie!$C$5,12,31)) - MAX($E$2, DATE(Initialisatie!$C$5,1,1)) + 1) &gt; 0, IFERROR(VALUE($E184),0)=0),
        AND(MAX(0, MIN($F$1, DATE(Initialisatie!$C$5,12,31)) - MAX($F$2, DATE(Initialisatie!$C$5,1,1)) + 1) &gt; 0, IFERROR(VALUE($F184),0)=0),
        AND(MAX(0, MIN($G$1, DATE(Initialisatie!$C$5,12,31)) - MAX($G$2, DATE(Initialisatie!$C$5,1,1)) + 1) &gt; 0, IFERROR(VALUE($G184),0)=0),
        AND(MAX(0, MIN($H$1, DATE(Initialisatie!$C$5,12,31)) - MAX($H$2, DATE(Initialisatie!$C$5,1,1)) + 1) &gt; 0, IFERROR(VALUE($H184),0)=0),
        AND(MAX(0, MIN($I$1, DATE(Initialisatie!$C$5,12,31)) - MAX($I$2, DATE(Initialisatie!$C$5,1,1)) + 1) &gt; 0, IFERROR(VALUE($I184),0)=0),
        AND(MAX(0, MIN($J$1, DATE(Initialisatie!$C$5,12,31)) - MAX($J$2, DATE(Initialisatie!$C$5,1,1)) + 1) &gt; 0, IFERROR(VALUE($J184),0)=0)
    ),
    0,
    SUM(
        IFERROR(VALUE($E184),0) * MAX(0, MIN($E$1, DATE(Initialisatie!$C$5,12,31)) - MAX($E$2, DATE(Initialisatie!$C$5,1,1)) + 1),
        IFERROR(VALUE($F184),0) * MAX(0, MIN($F$1, DATE(Initialisatie!$C$5,12,31)) - MAX($F$2, DATE(Initialisatie!$C$5,1,1)) + 1),
        IFERROR(VALUE($G184),0) * MAX(0, MIN($G$1, DATE(Initialisatie!$C$5,12,31)) - MAX($G$2, DATE(Initialisatie!$C$5,1,1)) + 1),
        IFERROR(VALUE($H184),0) * MAX(0, MIN($H$1, DATE(Initialisatie!$C$5,12,31)) - MAX($H$2, DATE(Initialisatie!$C$5,1,1)) + 1),
        IFERROR(VALUE($I184),0) * MAX(0, MIN($I$1, DATE(Initialisatie!$C$5,12,31)) - MAX($I$2, DATE(Initialisatie!$C$5,1,1)) + 1),
        IFERROR(VALUE($J184),0) * MAX(0, MIN($J$1, DATE(Initialisatie!$C$5,12,31)) - MAX($J$2, DATE(Initialisatie!$C$5,1,1)) + 1)
    ) / (DATE(Initialisatie!$C$5,12,31) - DATE(Initialisatie!$C$5,1,1) + 1)
)</f>
        <v>4188</v>
      </c>
    </row>
    <row r="185" spans="1:12" x14ac:dyDescent="0.45">
      <c r="A185" s="989"/>
      <c r="B185" s="35">
        <v>7</v>
      </c>
      <c r="C185" s="35">
        <v>7</v>
      </c>
      <c r="D185" s="35" t="s">
        <v>198</v>
      </c>
      <c r="E185">
        <v>3621</v>
      </c>
      <c r="F185">
        <v>3693</v>
      </c>
      <c r="G185">
        <v>3952</v>
      </c>
      <c r="H185">
        <v>4110</v>
      </c>
      <c r="I185">
        <v>4274</v>
      </c>
      <c r="J185">
        <v>4274</v>
      </c>
      <c r="L185">
        <f>IF(
    OR(
        AND(MAX(0, MIN($E$1, DATE(Initialisatie!$C$5,12,31)) - MAX($E$2, DATE(Initialisatie!$C$5,1,1)) + 1) &gt; 0, IFERROR(VALUE($E185),0)=0),
        AND(MAX(0, MIN($F$1, DATE(Initialisatie!$C$5,12,31)) - MAX($F$2, DATE(Initialisatie!$C$5,1,1)) + 1) &gt; 0, IFERROR(VALUE($F185),0)=0),
        AND(MAX(0, MIN($G$1, DATE(Initialisatie!$C$5,12,31)) - MAX($G$2, DATE(Initialisatie!$C$5,1,1)) + 1) &gt; 0, IFERROR(VALUE($G185),0)=0),
        AND(MAX(0, MIN($H$1, DATE(Initialisatie!$C$5,12,31)) - MAX($H$2, DATE(Initialisatie!$C$5,1,1)) + 1) &gt; 0, IFERROR(VALUE($H185),0)=0),
        AND(MAX(0, MIN($I$1, DATE(Initialisatie!$C$5,12,31)) - MAX($I$2, DATE(Initialisatie!$C$5,1,1)) + 1) &gt; 0, IFERROR(VALUE($I185),0)=0),
        AND(MAX(0, MIN($J$1, DATE(Initialisatie!$C$5,12,31)) - MAX($J$2, DATE(Initialisatie!$C$5,1,1)) + 1) &gt; 0, IFERROR(VALUE($J185),0)=0)
    ),
    0,
    SUM(
        IFERROR(VALUE($E185),0) * MAX(0, MIN($E$1, DATE(Initialisatie!$C$5,12,31)) - MAX($E$2, DATE(Initialisatie!$C$5,1,1)) + 1),
        IFERROR(VALUE($F185),0) * MAX(0, MIN($F$1, DATE(Initialisatie!$C$5,12,31)) - MAX($F$2, DATE(Initialisatie!$C$5,1,1)) + 1),
        IFERROR(VALUE($G185),0) * MAX(0, MIN($G$1, DATE(Initialisatie!$C$5,12,31)) - MAX($G$2, DATE(Initialisatie!$C$5,1,1)) + 1),
        IFERROR(VALUE($H185),0) * MAX(0, MIN($H$1, DATE(Initialisatie!$C$5,12,31)) - MAX($H$2, DATE(Initialisatie!$C$5,1,1)) + 1),
        IFERROR(VALUE($I185),0) * MAX(0, MIN($I$1, DATE(Initialisatie!$C$5,12,31)) - MAX($I$2, DATE(Initialisatie!$C$5,1,1)) + 1),
        IFERROR(VALUE($J185),0) * MAX(0, MIN($J$1, DATE(Initialisatie!$C$5,12,31)) - MAX($J$2, DATE(Initialisatie!$C$5,1,1)) + 1)
    ) / (DATE(Initialisatie!$C$5,12,31) - DATE(Initialisatie!$C$5,1,1) + 1)
)</f>
        <v>4274</v>
      </c>
    </row>
    <row r="186" spans="1:12" x14ac:dyDescent="0.45">
      <c r="A186" s="989"/>
      <c r="B186" s="35">
        <v>8</v>
      </c>
      <c r="C186" s="35">
        <v>8</v>
      </c>
      <c r="D186" s="35" t="s">
        <v>197</v>
      </c>
      <c r="E186">
        <v>3745</v>
      </c>
      <c r="F186">
        <v>3820</v>
      </c>
      <c r="G186">
        <v>4087</v>
      </c>
      <c r="H186">
        <v>4250</v>
      </c>
      <c r="I186">
        <v>4420</v>
      </c>
      <c r="J186">
        <v>4420</v>
      </c>
      <c r="L186">
        <f>IF(
    OR(
        AND(MAX(0, MIN($E$1, DATE(Initialisatie!$C$5,12,31)) - MAX($E$2, DATE(Initialisatie!$C$5,1,1)) + 1) &gt; 0, IFERROR(VALUE($E186),0)=0),
        AND(MAX(0, MIN($F$1, DATE(Initialisatie!$C$5,12,31)) - MAX($F$2, DATE(Initialisatie!$C$5,1,1)) + 1) &gt; 0, IFERROR(VALUE($F186),0)=0),
        AND(MAX(0, MIN($G$1, DATE(Initialisatie!$C$5,12,31)) - MAX($G$2, DATE(Initialisatie!$C$5,1,1)) + 1) &gt; 0, IFERROR(VALUE($G186),0)=0),
        AND(MAX(0, MIN($H$1, DATE(Initialisatie!$C$5,12,31)) - MAX($H$2, DATE(Initialisatie!$C$5,1,1)) + 1) &gt; 0, IFERROR(VALUE($H186),0)=0),
        AND(MAX(0, MIN($I$1, DATE(Initialisatie!$C$5,12,31)) - MAX($I$2, DATE(Initialisatie!$C$5,1,1)) + 1) &gt; 0, IFERROR(VALUE($I186),0)=0),
        AND(MAX(0, MIN($J$1, DATE(Initialisatie!$C$5,12,31)) - MAX($J$2, DATE(Initialisatie!$C$5,1,1)) + 1) &gt; 0, IFERROR(VALUE($J186),0)=0)
    ),
    0,
    SUM(
        IFERROR(VALUE($E186),0) * MAX(0, MIN($E$1, DATE(Initialisatie!$C$5,12,31)) - MAX($E$2, DATE(Initialisatie!$C$5,1,1)) + 1),
        IFERROR(VALUE($F186),0) * MAX(0, MIN($F$1, DATE(Initialisatie!$C$5,12,31)) - MAX($F$2, DATE(Initialisatie!$C$5,1,1)) + 1),
        IFERROR(VALUE($G186),0) * MAX(0, MIN($G$1, DATE(Initialisatie!$C$5,12,31)) - MAX($G$2, DATE(Initialisatie!$C$5,1,1)) + 1),
        IFERROR(VALUE($H186),0) * MAX(0, MIN($H$1, DATE(Initialisatie!$C$5,12,31)) - MAX($H$2, DATE(Initialisatie!$C$5,1,1)) + 1),
        IFERROR(VALUE($I186),0) * MAX(0, MIN($I$1, DATE(Initialisatie!$C$5,12,31)) - MAX($I$2, DATE(Initialisatie!$C$5,1,1)) + 1),
        IFERROR(VALUE($J186),0) * MAX(0, MIN($J$1, DATE(Initialisatie!$C$5,12,31)) - MAX($J$2, DATE(Initialisatie!$C$5,1,1)) + 1)
    ) / (DATE(Initialisatie!$C$5,12,31) - DATE(Initialisatie!$C$5,1,1) + 1)
)</f>
        <v>4420</v>
      </c>
    </row>
    <row r="187" spans="1:12" x14ac:dyDescent="0.45">
      <c r="A187" s="989"/>
      <c r="B187" s="35">
        <v>9</v>
      </c>
      <c r="C187" s="35">
        <v>9</v>
      </c>
      <c r="D187" s="35" t="s">
        <v>196</v>
      </c>
      <c r="E187">
        <v>3874</v>
      </c>
      <c r="F187">
        <v>3951</v>
      </c>
      <c r="G187">
        <v>4228</v>
      </c>
      <c r="H187">
        <v>4397</v>
      </c>
      <c r="I187">
        <v>4573</v>
      </c>
      <c r="J187">
        <v>4573</v>
      </c>
      <c r="L187">
        <f>IF(
    OR(
        AND(MAX(0, MIN($E$1, DATE(Initialisatie!$C$5,12,31)) - MAX($E$2, DATE(Initialisatie!$C$5,1,1)) + 1) &gt; 0, IFERROR(VALUE($E187),0)=0),
        AND(MAX(0, MIN($F$1, DATE(Initialisatie!$C$5,12,31)) - MAX($F$2, DATE(Initialisatie!$C$5,1,1)) + 1) &gt; 0, IFERROR(VALUE($F187),0)=0),
        AND(MAX(0, MIN($G$1, DATE(Initialisatie!$C$5,12,31)) - MAX($G$2, DATE(Initialisatie!$C$5,1,1)) + 1) &gt; 0, IFERROR(VALUE($G187),0)=0),
        AND(MAX(0, MIN($H$1, DATE(Initialisatie!$C$5,12,31)) - MAX($H$2, DATE(Initialisatie!$C$5,1,1)) + 1) &gt; 0, IFERROR(VALUE($H187),0)=0),
        AND(MAX(0, MIN($I$1, DATE(Initialisatie!$C$5,12,31)) - MAX($I$2, DATE(Initialisatie!$C$5,1,1)) + 1) &gt; 0, IFERROR(VALUE($I187),0)=0),
        AND(MAX(0, MIN($J$1, DATE(Initialisatie!$C$5,12,31)) - MAX($J$2, DATE(Initialisatie!$C$5,1,1)) + 1) &gt; 0, IFERROR(VALUE($J187),0)=0)
    ),
    0,
    SUM(
        IFERROR(VALUE($E187),0) * MAX(0, MIN($E$1, DATE(Initialisatie!$C$5,12,31)) - MAX($E$2, DATE(Initialisatie!$C$5,1,1)) + 1),
        IFERROR(VALUE($F187),0) * MAX(0, MIN($F$1, DATE(Initialisatie!$C$5,12,31)) - MAX($F$2, DATE(Initialisatie!$C$5,1,1)) + 1),
        IFERROR(VALUE($G187),0) * MAX(0, MIN($G$1, DATE(Initialisatie!$C$5,12,31)) - MAX($G$2, DATE(Initialisatie!$C$5,1,1)) + 1),
        IFERROR(VALUE($H187),0) * MAX(0, MIN($H$1, DATE(Initialisatie!$C$5,12,31)) - MAX($H$2, DATE(Initialisatie!$C$5,1,1)) + 1),
        IFERROR(VALUE($I187),0) * MAX(0, MIN($I$1, DATE(Initialisatie!$C$5,12,31)) - MAX($I$2, DATE(Initialisatie!$C$5,1,1)) + 1),
        IFERROR(VALUE($J187),0) * MAX(0, MIN($J$1, DATE(Initialisatie!$C$5,12,31)) - MAX($J$2, DATE(Initialisatie!$C$5,1,1)) + 1)
    ) / (DATE(Initialisatie!$C$5,12,31) - DATE(Initialisatie!$C$5,1,1) + 1)
)</f>
        <v>4573</v>
      </c>
    </row>
    <row r="188" spans="1:12" x14ac:dyDescent="0.45">
      <c r="A188" s="989"/>
      <c r="B188" s="35">
        <v>10</v>
      </c>
      <c r="C188" s="35">
        <v>10</v>
      </c>
      <c r="D188" s="35" t="s">
        <v>207</v>
      </c>
      <c r="E188">
        <v>4006</v>
      </c>
      <c r="F188">
        <v>4086</v>
      </c>
      <c r="G188">
        <v>4372</v>
      </c>
      <c r="H188">
        <v>4547</v>
      </c>
      <c r="I188">
        <v>4729</v>
      </c>
      <c r="J188">
        <v>4729</v>
      </c>
      <c r="L188">
        <f>IF(
    OR(
        AND(MAX(0, MIN($E$1, DATE(Initialisatie!$C$5,12,31)) - MAX($E$2, DATE(Initialisatie!$C$5,1,1)) + 1) &gt; 0, IFERROR(VALUE($E188),0)=0),
        AND(MAX(0, MIN($F$1, DATE(Initialisatie!$C$5,12,31)) - MAX($F$2, DATE(Initialisatie!$C$5,1,1)) + 1) &gt; 0, IFERROR(VALUE($F188),0)=0),
        AND(MAX(0, MIN($G$1, DATE(Initialisatie!$C$5,12,31)) - MAX($G$2, DATE(Initialisatie!$C$5,1,1)) + 1) &gt; 0, IFERROR(VALUE($G188),0)=0),
        AND(MAX(0, MIN($H$1, DATE(Initialisatie!$C$5,12,31)) - MAX($H$2, DATE(Initialisatie!$C$5,1,1)) + 1) &gt; 0, IFERROR(VALUE($H188),0)=0),
        AND(MAX(0, MIN($I$1, DATE(Initialisatie!$C$5,12,31)) - MAX($I$2, DATE(Initialisatie!$C$5,1,1)) + 1) &gt; 0, IFERROR(VALUE($I188),0)=0),
        AND(MAX(0, MIN($J$1, DATE(Initialisatie!$C$5,12,31)) - MAX($J$2, DATE(Initialisatie!$C$5,1,1)) + 1) &gt; 0, IFERROR(VALUE($J188),0)=0)
    ),
    0,
    SUM(
        IFERROR(VALUE($E188),0) * MAX(0, MIN($E$1, DATE(Initialisatie!$C$5,12,31)) - MAX($E$2, DATE(Initialisatie!$C$5,1,1)) + 1),
        IFERROR(VALUE($F188),0) * MAX(0, MIN($F$1, DATE(Initialisatie!$C$5,12,31)) - MAX($F$2, DATE(Initialisatie!$C$5,1,1)) + 1),
        IFERROR(VALUE($G188),0) * MAX(0, MIN($G$1, DATE(Initialisatie!$C$5,12,31)) - MAX($G$2, DATE(Initialisatie!$C$5,1,1)) + 1),
        IFERROR(VALUE($H188),0) * MAX(0, MIN($H$1, DATE(Initialisatie!$C$5,12,31)) - MAX($H$2, DATE(Initialisatie!$C$5,1,1)) + 1),
        IFERROR(VALUE($I188),0) * MAX(0, MIN($I$1, DATE(Initialisatie!$C$5,12,31)) - MAX($I$2, DATE(Initialisatie!$C$5,1,1)) + 1),
        IFERROR(VALUE($J188),0) * MAX(0, MIN($J$1, DATE(Initialisatie!$C$5,12,31)) - MAX($J$2, DATE(Initialisatie!$C$5,1,1)) + 1)
    ) / (DATE(Initialisatie!$C$5,12,31) - DATE(Initialisatie!$C$5,1,1) + 1)
)</f>
        <v>4729</v>
      </c>
    </row>
    <row r="189" spans="1:12" x14ac:dyDescent="0.45">
      <c r="A189" s="989"/>
      <c r="B189" s="35">
        <v>11</v>
      </c>
      <c r="C189" s="35">
        <v>11</v>
      </c>
      <c r="D189" s="35" t="s">
        <v>206</v>
      </c>
      <c r="E189">
        <v>4136</v>
      </c>
      <c r="F189">
        <v>4219</v>
      </c>
      <c r="G189">
        <v>4514</v>
      </c>
      <c r="H189">
        <v>4695</v>
      </c>
      <c r="I189">
        <v>4883</v>
      </c>
      <c r="J189">
        <v>4883</v>
      </c>
      <c r="L189">
        <f>IF(
    OR(
        AND(MAX(0, MIN($E$1, DATE(Initialisatie!$C$5,12,31)) - MAX($E$2, DATE(Initialisatie!$C$5,1,1)) + 1) &gt; 0, IFERROR(VALUE($E189),0)=0),
        AND(MAX(0, MIN($F$1, DATE(Initialisatie!$C$5,12,31)) - MAX($F$2, DATE(Initialisatie!$C$5,1,1)) + 1) &gt; 0, IFERROR(VALUE($F189),0)=0),
        AND(MAX(0, MIN($G$1, DATE(Initialisatie!$C$5,12,31)) - MAX($G$2, DATE(Initialisatie!$C$5,1,1)) + 1) &gt; 0, IFERROR(VALUE($G189),0)=0),
        AND(MAX(0, MIN($H$1, DATE(Initialisatie!$C$5,12,31)) - MAX($H$2, DATE(Initialisatie!$C$5,1,1)) + 1) &gt; 0, IFERROR(VALUE($H189),0)=0),
        AND(MAX(0, MIN($I$1, DATE(Initialisatie!$C$5,12,31)) - MAX($I$2, DATE(Initialisatie!$C$5,1,1)) + 1) &gt; 0, IFERROR(VALUE($I189),0)=0),
        AND(MAX(0, MIN($J$1, DATE(Initialisatie!$C$5,12,31)) - MAX($J$2, DATE(Initialisatie!$C$5,1,1)) + 1) &gt; 0, IFERROR(VALUE($J189),0)=0)
    ),
    0,
    SUM(
        IFERROR(VALUE($E189),0) * MAX(0, MIN($E$1, DATE(Initialisatie!$C$5,12,31)) - MAX($E$2, DATE(Initialisatie!$C$5,1,1)) + 1),
        IFERROR(VALUE($F189),0) * MAX(0, MIN($F$1, DATE(Initialisatie!$C$5,12,31)) - MAX($F$2, DATE(Initialisatie!$C$5,1,1)) + 1),
        IFERROR(VALUE($G189),0) * MAX(0, MIN($G$1, DATE(Initialisatie!$C$5,12,31)) - MAX($G$2, DATE(Initialisatie!$C$5,1,1)) + 1),
        IFERROR(VALUE($H189),0) * MAX(0, MIN($H$1, DATE(Initialisatie!$C$5,12,31)) - MAX($H$2, DATE(Initialisatie!$C$5,1,1)) + 1),
        IFERROR(VALUE($I189),0) * MAX(0, MIN($I$1, DATE(Initialisatie!$C$5,12,31)) - MAX($I$2, DATE(Initialisatie!$C$5,1,1)) + 1),
        IFERROR(VALUE($J189),0) * MAX(0, MIN($J$1, DATE(Initialisatie!$C$5,12,31)) - MAX($J$2, DATE(Initialisatie!$C$5,1,1)) + 1)
    ) / (DATE(Initialisatie!$C$5,12,31) - DATE(Initialisatie!$C$5,1,1) + 1)
)</f>
        <v>4883</v>
      </c>
    </row>
    <row r="190" spans="1:12" x14ac:dyDescent="0.45">
      <c r="A190" s="989"/>
      <c r="B190" s="35">
        <v>12</v>
      </c>
      <c r="C190" s="35">
        <v>12</v>
      </c>
      <c r="D190" s="35" t="s">
        <v>205</v>
      </c>
      <c r="E190">
        <v>4270</v>
      </c>
      <c r="F190">
        <v>4355</v>
      </c>
      <c r="G190">
        <v>4660</v>
      </c>
      <c r="H190">
        <v>4846</v>
      </c>
      <c r="I190">
        <v>5040</v>
      </c>
      <c r="J190">
        <v>5040</v>
      </c>
      <c r="L190">
        <f>IF(
    OR(
        AND(MAX(0, MIN($E$1, DATE(Initialisatie!$C$5,12,31)) - MAX($E$2, DATE(Initialisatie!$C$5,1,1)) + 1) &gt; 0, IFERROR(VALUE($E190),0)=0),
        AND(MAX(0, MIN($F$1, DATE(Initialisatie!$C$5,12,31)) - MAX($F$2, DATE(Initialisatie!$C$5,1,1)) + 1) &gt; 0, IFERROR(VALUE($F190),0)=0),
        AND(MAX(0, MIN($G$1, DATE(Initialisatie!$C$5,12,31)) - MAX($G$2, DATE(Initialisatie!$C$5,1,1)) + 1) &gt; 0, IFERROR(VALUE($G190),0)=0),
        AND(MAX(0, MIN($H$1, DATE(Initialisatie!$C$5,12,31)) - MAX($H$2, DATE(Initialisatie!$C$5,1,1)) + 1) &gt; 0, IFERROR(VALUE($H190),0)=0),
        AND(MAX(0, MIN($I$1, DATE(Initialisatie!$C$5,12,31)) - MAX($I$2, DATE(Initialisatie!$C$5,1,1)) + 1) &gt; 0, IFERROR(VALUE($I190),0)=0),
        AND(MAX(0, MIN($J$1, DATE(Initialisatie!$C$5,12,31)) - MAX($J$2, DATE(Initialisatie!$C$5,1,1)) + 1) &gt; 0, IFERROR(VALUE($J190),0)=0)
    ),
    0,
    SUM(
        IFERROR(VALUE($E190),0) * MAX(0, MIN($E$1, DATE(Initialisatie!$C$5,12,31)) - MAX($E$2, DATE(Initialisatie!$C$5,1,1)) + 1),
        IFERROR(VALUE($F190),0) * MAX(0, MIN($F$1, DATE(Initialisatie!$C$5,12,31)) - MAX($F$2, DATE(Initialisatie!$C$5,1,1)) + 1),
        IFERROR(VALUE($G190),0) * MAX(0, MIN($G$1, DATE(Initialisatie!$C$5,12,31)) - MAX($G$2, DATE(Initialisatie!$C$5,1,1)) + 1),
        IFERROR(VALUE($H190),0) * MAX(0, MIN($H$1, DATE(Initialisatie!$C$5,12,31)) - MAX($H$2, DATE(Initialisatie!$C$5,1,1)) + 1),
        IFERROR(VALUE($I190),0) * MAX(0, MIN($I$1, DATE(Initialisatie!$C$5,12,31)) - MAX($I$2, DATE(Initialisatie!$C$5,1,1)) + 1),
        IFERROR(VALUE($J190),0) * MAX(0, MIN($J$1, DATE(Initialisatie!$C$5,12,31)) - MAX($J$2, DATE(Initialisatie!$C$5,1,1)) + 1)
    ) / (DATE(Initialisatie!$C$5,12,31) - DATE(Initialisatie!$C$5,1,1) + 1)
)</f>
        <v>5040</v>
      </c>
    </row>
    <row r="191" spans="1:12" x14ac:dyDescent="0.45">
      <c r="A191" s="989"/>
      <c r="B191" s="35">
        <v>13</v>
      </c>
      <c r="C191" s="35">
        <v>13</v>
      </c>
      <c r="D191" s="35" t="s">
        <v>204</v>
      </c>
      <c r="E191">
        <v>4407</v>
      </c>
      <c r="F191">
        <v>4495</v>
      </c>
      <c r="G191">
        <v>4810</v>
      </c>
      <c r="H191">
        <v>5002</v>
      </c>
      <c r="I191">
        <v>5202</v>
      </c>
      <c r="J191">
        <v>5202</v>
      </c>
      <c r="L191">
        <f>IF(
    OR(
        AND(MAX(0, MIN($E$1, DATE(Initialisatie!$C$5,12,31)) - MAX($E$2, DATE(Initialisatie!$C$5,1,1)) + 1) &gt; 0, IFERROR(VALUE($E191),0)=0),
        AND(MAX(0, MIN($F$1, DATE(Initialisatie!$C$5,12,31)) - MAX($F$2, DATE(Initialisatie!$C$5,1,1)) + 1) &gt; 0, IFERROR(VALUE($F191),0)=0),
        AND(MAX(0, MIN($G$1, DATE(Initialisatie!$C$5,12,31)) - MAX($G$2, DATE(Initialisatie!$C$5,1,1)) + 1) &gt; 0, IFERROR(VALUE($G191),0)=0),
        AND(MAX(0, MIN($H$1, DATE(Initialisatie!$C$5,12,31)) - MAX($H$2, DATE(Initialisatie!$C$5,1,1)) + 1) &gt; 0, IFERROR(VALUE($H191),0)=0),
        AND(MAX(0, MIN($I$1, DATE(Initialisatie!$C$5,12,31)) - MAX($I$2, DATE(Initialisatie!$C$5,1,1)) + 1) &gt; 0, IFERROR(VALUE($I191),0)=0),
        AND(MAX(0, MIN($J$1, DATE(Initialisatie!$C$5,12,31)) - MAX($J$2, DATE(Initialisatie!$C$5,1,1)) + 1) &gt; 0, IFERROR(VALUE($J191),0)=0)
    ),
    0,
    SUM(
        IFERROR(VALUE($E191),0) * MAX(0, MIN($E$1, DATE(Initialisatie!$C$5,12,31)) - MAX($E$2, DATE(Initialisatie!$C$5,1,1)) + 1),
        IFERROR(VALUE($F191),0) * MAX(0, MIN($F$1, DATE(Initialisatie!$C$5,12,31)) - MAX($F$2, DATE(Initialisatie!$C$5,1,1)) + 1),
        IFERROR(VALUE($G191),0) * MAX(0, MIN($G$1, DATE(Initialisatie!$C$5,12,31)) - MAX($G$2, DATE(Initialisatie!$C$5,1,1)) + 1),
        IFERROR(VALUE($H191),0) * MAX(0, MIN($H$1, DATE(Initialisatie!$C$5,12,31)) - MAX($H$2, DATE(Initialisatie!$C$5,1,1)) + 1),
        IFERROR(VALUE($I191),0) * MAX(0, MIN($I$1, DATE(Initialisatie!$C$5,12,31)) - MAX($I$2, DATE(Initialisatie!$C$5,1,1)) + 1),
        IFERROR(VALUE($J191),0) * MAX(0, MIN($J$1, DATE(Initialisatie!$C$5,12,31)) - MAX($J$2, DATE(Initialisatie!$C$5,1,1)) + 1)
    ) / (DATE(Initialisatie!$C$5,12,31) - DATE(Initialisatie!$C$5,1,1) + 1)
)</f>
        <v>5202</v>
      </c>
    </row>
    <row r="192" spans="1:12" x14ac:dyDescent="0.45">
      <c r="A192" s="989"/>
      <c r="B192" s="35" t="s">
        <v>531</v>
      </c>
      <c r="C192" s="35" t="s">
        <v>531</v>
      </c>
      <c r="D192" s="35" t="s">
        <v>629</v>
      </c>
      <c r="E192">
        <v>4560</v>
      </c>
      <c r="F192">
        <v>4651</v>
      </c>
      <c r="G192">
        <v>4977</v>
      </c>
      <c r="H192">
        <v>5176</v>
      </c>
      <c r="I192">
        <v>5383</v>
      </c>
      <c r="J192">
        <v>5383</v>
      </c>
      <c r="L192">
        <f>IF(
    OR(
        AND(MAX(0, MIN($E$1, DATE(Initialisatie!$C$5,12,31)) - MAX($E$2, DATE(Initialisatie!$C$5,1,1)) + 1) &gt; 0, IFERROR(VALUE($E192),0)=0),
        AND(MAX(0, MIN($F$1, DATE(Initialisatie!$C$5,12,31)) - MAX($F$2, DATE(Initialisatie!$C$5,1,1)) + 1) &gt; 0, IFERROR(VALUE($F192),0)=0),
        AND(MAX(0, MIN($G$1, DATE(Initialisatie!$C$5,12,31)) - MAX($G$2, DATE(Initialisatie!$C$5,1,1)) + 1) &gt; 0, IFERROR(VALUE($G192),0)=0),
        AND(MAX(0, MIN($H$1, DATE(Initialisatie!$C$5,12,31)) - MAX($H$2, DATE(Initialisatie!$C$5,1,1)) + 1) &gt; 0, IFERROR(VALUE($H192),0)=0),
        AND(MAX(0, MIN($I$1, DATE(Initialisatie!$C$5,12,31)) - MAX($I$2, DATE(Initialisatie!$C$5,1,1)) + 1) &gt; 0, IFERROR(VALUE($I192),0)=0),
        AND(MAX(0, MIN($J$1, DATE(Initialisatie!$C$5,12,31)) - MAX($J$2, DATE(Initialisatie!$C$5,1,1)) + 1) &gt; 0, IFERROR(VALUE($J192),0)=0)
    ),
    0,
    SUM(
        IFERROR(VALUE($E192),0) * MAX(0, MIN($E$1, DATE(Initialisatie!$C$5,12,31)) - MAX($E$2, DATE(Initialisatie!$C$5,1,1)) + 1),
        IFERROR(VALUE($F192),0) * MAX(0, MIN($F$1, DATE(Initialisatie!$C$5,12,31)) - MAX($F$2, DATE(Initialisatie!$C$5,1,1)) + 1),
        IFERROR(VALUE($G192),0) * MAX(0, MIN($G$1, DATE(Initialisatie!$C$5,12,31)) - MAX($G$2, DATE(Initialisatie!$C$5,1,1)) + 1),
        IFERROR(VALUE($H192),0) * MAX(0, MIN($H$1, DATE(Initialisatie!$C$5,12,31)) - MAX($H$2, DATE(Initialisatie!$C$5,1,1)) + 1),
        IFERROR(VALUE($I192),0) * MAX(0, MIN($I$1, DATE(Initialisatie!$C$5,12,31)) - MAX($I$2, DATE(Initialisatie!$C$5,1,1)) + 1),
        IFERROR(VALUE($J192),0) * MAX(0, MIN($J$1, DATE(Initialisatie!$C$5,12,31)) - MAX($J$2, DATE(Initialisatie!$C$5,1,1)) + 1)
    ) / (DATE(Initialisatie!$C$5,12,31) - DATE(Initialisatie!$C$5,1,1) + 1)
)</f>
        <v>5383</v>
      </c>
    </row>
    <row r="193" spans="1:12" x14ac:dyDescent="0.45">
      <c r="A193" s="989"/>
      <c r="B193" s="35" t="s">
        <v>533</v>
      </c>
      <c r="C193" s="35" t="s">
        <v>533</v>
      </c>
      <c r="D193" s="35" t="s">
        <v>630</v>
      </c>
      <c r="E193">
        <v>4723</v>
      </c>
      <c r="F193">
        <v>4817</v>
      </c>
      <c r="G193">
        <v>5154</v>
      </c>
      <c r="H193">
        <v>5360</v>
      </c>
      <c r="I193">
        <v>5574</v>
      </c>
      <c r="J193">
        <v>5574</v>
      </c>
      <c r="L193">
        <f>IF(
    OR(
        AND(MAX(0, MIN($E$1, DATE(Initialisatie!$C$5,12,31)) - MAX($E$2, DATE(Initialisatie!$C$5,1,1)) + 1) &gt; 0, IFERROR(VALUE($E193),0)=0),
        AND(MAX(0, MIN($F$1, DATE(Initialisatie!$C$5,12,31)) - MAX($F$2, DATE(Initialisatie!$C$5,1,1)) + 1) &gt; 0, IFERROR(VALUE($F193),0)=0),
        AND(MAX(0, MIN($G$1, DATE(Initialisatie!$C$5,12,31)) - MAX($G$2, DATE(Initialisatie!$C$5,1,1)) + 1) &gt; 0, IFERROR(VALUE($G193),0)=0),
        AND(MAX(0, MIN($H$1, DATE(Initialisatie!$C$5,12,31)) - MAX($H$2, DATE(Initialisatie!$C$5,1,1)) + 1) &gt; 0, IFERROR(VALUE($H193),0)=0),
        AND(MAX(0, MIN($I$1, DATE(Initialisatie!$C$5,12,31)) - MAX($I$2, DATE(Initialisatie!$C$5,1,1)) + 1) &gt; 0, IFERROR(VALUE($I193),0)=0),
        AND(MAX(0, MIN($J$1, DATE(Initialisatie!$C$5,12,31)) - MAX($J$2, DATE(Initialisatie!$C$5,1,1)) + 1) &gt; 0, IFERROR(VALUE($J193),0)=0)
    ),
    0,
    SUM(
        IFERROR(VALUE($E193),0) * MAX(0, MIN($E$1, DATE(Initialisatie!$C$5,12,31)) - MAX($E$2, DATE(Initialisatie!$C$5,1,1)) + 1),
        IFERROR(VALUE($F193),0) * MAX(0, MIN($F$1, DATE(Initialisatie!$C$5,12,31)) - MAX($F$2, DATE(Initialisatie!$C$5,1,1)) + 1),
        IFERROR(VALUE($G193),0) * MAX(0, MIN($G$1, DATE(Initialisatie!$C$5,12,31)) - MAX($G$2, DATE(Initialisatie!$C$5,1,1)) + 1),
        IFERROR(VALUE($H193),0) * MAX(0, MIN($H$1, DATE(Initialisatie!$C$5,12,31)) - MAX($H$2, DATE(Initialisatie!$C$5,1,1)) + 1),
        IFERROR(VALUE($I193),0) * MAX(0, MIN($I$1, DATE(Initialisatie!$C$5,12,31)) - MAX($I$2, DATE(Initialisatie!$C$5,1,1)) + 1),
        IFERROR(VALUE($J193),0) * MAX(0, MIN($J$1, DATE(Initialisatie!$C$5,12,31)) - MAX($J$2, DATE(Initialisatie!$C$5,1,1)) + 1)
    ) / (DATE(Initialisatie!$C$5,12,31) - DATE(Initialisatie!$C$5,1,1) + 1)
)</f>
        <v>5574</v>
      </c>
    </row>
    <row r="194" spans="1:12" x14ac:dyDescent="0.45">
      <c r="A194" s="989"/>
      <c r="B194" s="35" t="s">
        <v>535</v>
      </c>
      <c r="C194" s="35" t="s">
        <v>535</v>
      </c>
      <c r="D194" s="35" t="s">
        <v>631</v>
      </c>
      <c r="E194">
        <v>4560</v>
      </c>
      <c r="F194">
        <v>4651</v>
      </c>
      <c r="G194">
        <v>4977</v>
      </c>
      <c r="H194">
        <v>5176</v>
      </c>
      <c r="I194">
        <v>5383</v>
      </c>
      <c r="J194">
        <v>5383</v>
      </c>
      <c r="L194">
        <f>IF(
    OR(
        AND(MAX(0, MIN($E$1, DATE(Initialisatie!$C$5,12,31)) - MAX($E$2, DATE(Initialisatie!$C$5,1,1)) + 1) &gt; 0, IFERROR(VALUE($E194),0)=0),
        AND(MAX(0, MIN($F$1, DATE(Initialisatie!$C$5,12,31)) - MAX($F$2, DATE(Initialisatie!$C$5,1,1)) + 1) &gt; 0, IFERROR(VALUE($F194),0)=0),
        AND(MAX(0, MIN($G$1, DATE(Initialisatie!$C$5,12,31)) - MAX($G$2, DATE(Initialisatie!$C$5,1,1)) + 1) &gt; 0, IFERROR(VALUE($G194),0)=0),
        AND(MAX(0, MIN($H$1, DATE(Initialisatie!$C$5,12,31)) - MAX($H$2, DATE(Initialisatie!$C$5,1,1)) + 1) &gt; 0, IFERROR(VALUE($H194),0)=0),
        AND(MAX(0, MIN($I$1, DATE(Initialisatie!$C$5,12,31)) - MAX($I$2, DATE(Initialisatie!$C$5,1,1)) + 1) &gt; 0, IFERROR(VALUE($I194),0)=0),
        AND(MAX(0, MIN($J$1, DATE(Initialisatie!$C$5,12,31)) - MAX($J$2, DATE(Initialisatie!$C$5,1,1)) + 1) &gt; 0, IFERROR(VALUE($J194),0)=0)
    ),
    0,
    SUM(
        IFERROR(VALUE($E194),0) * MAX(0, MIN($E$1, DATE(Initialisatie!$C$5,12,31)) - MAX($E$2, DATE(Initialisatie!$C$5,1,1)) + 1),
        IFERROR(VALUE($F194),0) * MAX(0, MIN($F$1, DATE(Initialisatie!$C$5,12,31)) - MAX($F$2, DATE(Initialisatie!$C$5,1,1)) + 1),
        IFERROR(VALUE($G194),0) * MAX(0, MIN($G$1, DATE(Initialisatie!$C$5,12,31)) - MAX($G$2, DATE(Initialisatie!$C$5,1,1)) + 1),
        IFERROR(VALUE($H194),0) * MAX(0, MIN($H$1, DATE(Initialisatie!$C$5,12,31)) - MAX($H$2, DATE(Initialisatie!$C$5,1,1)) + 1),
        IFERROR(VALUE($I194),0) * MAX(0, MIN($I$1, DATE(Initialisatie!$C$5,12,31)) - MAX($I$2, DATE(Initialisatie!$C$5,1,1)) + 1),
        IFERROR(VALUE($J194),0) * MAX(0, MIN($J$1, DATE(Initialisatie!$C$5,12,31)) - MAX($J$2, DATE(Initialisatie!$C$5,1,1)) + 1)
    ) / (DATE(Initialisatie!$C$5,12,31) - DATE(Initialisatie!$C$5,1,1) + 1)
)</f>
        <v>5383</v>
      </c>
    </row>
    <row r="195" spans="1:12" x14ac:dyDescent="0.45">
      <c r="A195" s="989"/>
      <c r="B195" s="35" t="s">
        <v>537</v>
      </c>
      <c r="C195" s="35" t="s">
        <v>537</v>
      </c>
      <c r="D195" s="35" t="s">
        <v>632</v>
      </c>
      <c r="E195">
        <v>4723</v>
      </c>
      <c r="F195">
        <v>4817</v>
      </c>
      <c r="G195">
        <v>5154</v>
      </c>
      <c r="H195">
        <v>5360</v>
      </c>
      <c r="I195">
        <v>5574</v>
      </c>
      <c r="J195">
        <v>5574</v>
      </c>
      <c r="L195">
        <f>IF(
    OR(
        AND(MAX(0, MIN($E$1, DATE(Initialisatie!$C$5,12,31)) - MAX($E$2, DATE(Initialisatie!$C$5,1,1)) + 1) &gt; 0, IFERROR(VALUE($E195),0)=0),
        AND(MAX(0, MIN($F$1, DATE(Initialisatie!$C$5,12,31)) - MAX($F$2, DATE(Initialisatie!$C$5,1,1)) + 1) &gt; 0, IFERROR(VALUE($F195),0)=0),
        AND(MAX(0, MIN($G$1, DATE(Initialisatie!$C$5,12,31)) - MAX($G$2, DATE(Initialisatie!$C$5,1,1)) + 1) &gt; 0, IFERROR(VALUE($G195),0)=0),
        AND(MAX(0, MIN($H$1, DATE(Initialisatie!$C$5,12,31)) - MAX($H$2, DATE(Initialisatie!$C$5,1,1)) + 1) &gt; 0, IFERROR(VALUE($H195),0)=0),
        AND(MAX(0, MIN($I$1, DATE(Initialisatie!$C$5,12,31)) - MAX($I$2, DATE(Initialisatie!$C$5,1,1)) + 1) &gt; 0, IFERROR(VALUE($I195),0)=0),
        AND(MAX(0, MIN($J$1, DATE(Initialisatie!$C$5,12,31)) - MAX($J$2, DATE(Initialisatie!$C$5,1,1)) + 1) &gt; 0, IFERROR(VALUE($J195),0)=0)
    ),
    0,
    SUM(
        IFERROR(VALUE($E195),0) * MAX(0, MIN($E$1, DATE(Initialisatie!$C$5,12,31)) - MAX($E$2, DATE(Initialisatie!$C$5,1,1)) + 1),
        IFERROR(VALUE($F195),0) * MAX(0, MIN($F$1, DATE(Initialisatie!$C$5,12,31)) - MAX($F$2, DATE(Initialisatie!$C$5,1,1)) + 1),
        IFERROR(VALUE($G195),0) * MAX(0, MIN($G$1, DATE(Initialisatie!$C$5,12,31)) - MAX($G$2, DATE(Initialisatie!$C$5,1,1)) + 1),
        IFERROR(VALUE($H195),0) * MAX(0, MIN($H$1, DATE(Initialisatie!$C$5,12,31)) - MAX($H$2, DATE(Initialisatie!$C$5,1,1)) + 1),
        IFERROR(VALUE($I195),0) * MAX(0, MIN($I$1, DATE(Initialisatie!$C$5,12,31)) - MAX($I$2, DATE(Initialisatie!$C$5,1,1)) + 1),
        IFERROR(VALUE($J195),0) * MAX(0, MIN($J$1, DATE(Initialisatie!$C$5,12,31)) - MAX($J$2, DATE(Initialisatie!$C$5,1,1)) + 1)
    ) / (DATE(Initialisatie!$C$5,12,31) - DATE(Initialisatie!$C$5,1,1) + 1)
)</f>
        <v>5574</v>
      </c>
    </row>
    <row r="196" spans="1:12" x14ac:dyDescent="0.45">
      <c r="A196" s="989"/>
      <c r="B196" s="35" t="s">
        <v>539</v>
      </c>
      <c r="C196" s="35" t="s">
        <v>539</v>
      </c>
      <c r="D196" s="35" t="s">
        <v>633</v>
      </c>
      <c r="E196">
        <v>4885</v>
      </c>
      <c r="F196">
        <v>4983</v>
      </c>
      <c r="G196">
        <v>5332</v>
      </c>
      <c r="H196">
        <v>5545</v>
      </c>
      <c r="I196">
        <v>5767</v>
      </c>
      <c r="J196">
        <v>5767</v>
      </c>
      <c r="L196">
        <f>IF(
    OR(
        AND(MAX(0, MIN($E$1, DATE(Initialisatie!$C$5,12,31)) - MAX($E$2, DATE(Initialisatie!$C$5,1,1)) + 1) &gt; 0, IFERROR(VALUE($E196),0)=0),
        AND(MAX(0, MIN($F$1, DATE(Initialisatie!$C$5,12,31)) - MAX($F$2, DATE(Initialisatie!$C$5,1,1)) + 1) &gt; 0, IFERROR(VALUE($F196),0)=0),
        AND(MAX(0, MIN($G$1, DATE(Initialisatie!$C$5,12,31)) - MAX($G$2, DATE(Initialisatie!$C$5,1,1)) + 1) &gt; 0, IFERROR(VALUE($G196),0)=0),
        AND(MAX(0, MIN($H$1, DATE(Initialisatie!$C$5,12,31)) - MAX($H$2, DATE(Initialisatie!$C$5,1,1)) + 1) &gt; 0, IFERROR(VALUE($H196),0)=0),
        AND(MAX(0, MIN($I$1, DATE(Initialisatie!$C$5,12,31)) - MAX($I$2, DATE(Initialisatie!$C$5,1,1)) + 1) &gt; 0, IFERROR(VALUE($I196),0)=0),
        AND(MAX(0, MIN($J$1, DATE(Initialisatie!$C$5,12,31)) - MAX($J$2, DATE(Initialisatie!$C$5,1,1)) + 1) &gt; 0, IFERROR(VALUE($J196),0)=0)
    ),
    0,
    SUM(
        IFERROR(VALUE($E196),0) * MAX(0, MIN($E$1, DATE(Initialisatie!$C$5,12,31)) - MAX($E$2, DATE(Initialisatie!$C$5,1,1)) + 1),
        IFERROR(VALUE($F196),0) * MAX(0, MIN($F$1, DATE(Initialisatie!$C$5,12,31)) - MAX($F$2, DATE(Initialisatie!$C$5,1,1)) + 1),
        IFERROR(VALUE($G196),0) * MAX(0, MIN($G$1, DATE(Initialisatie!$C$5,12,31)) - MAX($G$2, DATE(Initialisatie!$C$5,1,1)) + 1),
        IFERROR(VALUE($H196),0) * MAX(0, MIN($H$1, DATE(Initialisatie!$C$5,12,31)) - MAX($H$2, DATE(Initialisatie!$C$5,1,1)) + 1),
        IFERROR(VALUE($I196),0) * MAX(0, MIN($I$1, DATE(Initialisatie!$C$5,12,31)) - MAX($I$2, DATE(Initialisatie!$C$5,1,1)) + 1),
        IFERROR(VALUE($J196),0) * MAX(0, MIN($J$1, DATE(Initialisatie!$C$5,12,31)) - MAX($J$2, DATE(Initialisatie!$C$5,1,1)) + 1)
    ) / (DATE(Initialisatie!$C$5,12,31) - DATE(Initialisatie!$C$5,1,1) + 1)
)</f>
        <v>5767</v>
      </c>
    </row>
    <row r="197" spans="1:12" x14ac:dyDescent="0.45">
      <c r="A197" s="989"/>
      <c r="B197" s="35" t="s">
        <v>541</v>
      </c>
      <c r="C197" s="35" t="s">
        <v>541</v>
      </c>
      <c r="D197" s="35" t="s">
        <v>634</v>
      </c>
      <c r="E197">
        <v>5060</v>
      </c>
      <c r="F197">
        <v>5161</v>
      </c>
      <c r="G197">
        <v>5522</v>
      </c>
      <c r="H197">
        <v>5743</v>
      </c>
      <c r="I197">
        <v>5973</v>
      </c>
      <c r="J197">
        <v>5973</v>
      </c>
      <c r="L197">
        <f>IF(
    OR(
        AND(MAX(0, MIN($E$1, DATE(Initialisatie!$C$5,12,31)) - MAX($E$2, DATE(Initialisatie!$C$5,1,1)) + 1) &gt; 0, IFERROR(VALUE($E197),0)=0),
        AND(MAX(0, MIN($F$1, DATE(Initialisatie!$C$5,12,31)) - MAX($F$2, DATE(Initialisatie!$C$5,1,1)) + 1) &gt; 0, IFERROR(VALUE($F197),0)=0),
        AND(MAX(0, MIN($G$1, DATE(Initialisatie!$C$5,12,31)) - MAX($G$2, DATE(Initialisatie!$C$5,1,1)) + 1) &gt; 0, IFERROR(VALUE($G197),0)=0),
        AND(MAX(0, MIN($H$1, DATE(Initialisatie!$C$5,12,31)) - MAX($H$2, DATE(Initialisatie!$C$5,1,1)) + 1) &gt; 0, IFERROR(VALUE($H197),0)=0),
        AND(MAX(0, MIN($I$1, DATE(Initialisatie!$C$5,12,31)) - MAX($I$2, DATE(Initialisatie!$C$5,1,1)) + 1) &gt; 0, IFERROR(VALUE($I197),0)=0),
        AND(MAX(0, MIN($J$1, DATE(Initialisatie!$C$5,12,31)) - MAX($J$2, DATE(Initialisatie!$C$5,1,1)) + 1) &gt; 0, IFERROR(VALUE($J197),0)=0)
    ),
    0,
    SUM(
        IFERROR(VALUE($E197),0) * MAX(0, MIN($E$1, DATE(Initialisatie!$C$5,12,31)) - MAX($E$2, DATE(Initialisatie!$C$5,1,1)) + 1),
        IFERROR(VALUE($F197),0) * MAX(0, MIN($F$1, DATE(Initialisatie!$C$5,12,31)) - MAX($F$2, DATE(Initialisatie!$C$5,1,1)) + 1),
        IFERROR(VALUE($G197),0) * MAX(0, MIN($G$1, DATE(Initialisatie!$C$5,12,31)) - MAX($G$2, DATE(Initialisatie!$C$5,1,1)) + 1),
        IFERROR(VALUE($H197),0) * MAX(0, MIN($H$1, DATE(Initialisatie!$C$5,12,31)) - MAX($H$2, DATE(Initialisatie!$C$5,1,1)) + 1),
        IFERROR(VALUE($I197),0) * MAX(0, MIN($I$1, DATE(Initialisatie!$C$5,12,31)) - MAX($I$2, DATE(Initialisatie!$C$5,1,1)) + 1),
        IFERROR(VALUE($J197),0) * MAX(0, MIN($J$1, DATE(Initialisatie!$C$5,12,31)) - MAX($J$2, DATE(Initialisatie!$C$5,1,1)) + 1)
    ) / (DATE(Initialisatie!$C$5,12,31) - DATE(Initialisatie!$C$5,1,1) + 1)
)</f>
        <v>5973</v>
      </c>
    </row>
    <row r="198" spans="1:12" x14ac:dyDescent="0.45">
      <c r="A198" s="990"/>
      <c r="B198" s="35" t="s">
        <v>543</v>
      </c>
      <c r="C198" s="35" t="s">
        <v>543</v>
      </c>
      <c r="D198" s="35" t="s">
        <v>635</v>
      </c>
      <c r="E198">
        <v>5232</v>
      </c>
      <c r="F198">
        <v>5337</v>
      </c>
      <c r="G198">
        <v>5711</v>
      </c>
      <c r="H198">
        <v>5939</v>
      </c>
      <c r="I198">
        <v>6177</v>
      </c>
      <c r="J198">
        <v>6177</v>
      </c>
      <c r="L198">
        <f>IF(
    OR(
        AND(MAX(0, MIN($E$1, DATE(Initialisatie!$C$5,12,31)) - MAX($E$2, DATE(Initialisatie!$C$5,1,1)) + 1) &gt; 0, IFERROR(VALUE($E198),0)=0),
        AND(MAX(0, MIN($F$1, DATE(Initialisatie!$C$5,12,31)) - MAX($F$2, DATE(Initialisatie!$C$5,1,1)) + 1) &gt; 0, IFERROR(VALUE($F198),0)=0),
        AND(MAX(0, MIN($G$1, DATE(Initialisatie!$C$5,12,31)) - MAX($G$2, DATE(Initialisatie!$C$5,1,1)) + 1) &gt; 0, IFERROR(VALUE($G198),0)=0),
        AND(MAX(0, MIN($H$1, DATE(Initialisatie!$C$5,12,31)) - MAX($H$2, DATE(Initialisatie!$C$5,1,1)) + 1) &gt; 0, IFERROR(VALUE($H198),0)=0),
        AND(MAX(0, MIN($I$1, DATE(Initialisatie!$C$5,12,31)) - MAX($I$2, DATE(Initialisatie!$C$5,1,1)) + 1) &gt; 0, IFERROR(VALUE($I198),0)=0),
        AND(MAX(0, MIN($J$1, DATE(Initialisatie!$C$5,12,31)) - MAX($J$2, DATE(Initialisatie!$C$5,1,1)) + 1) &gt; 0, IFERROR(VALUE($J198),0)=0)
    ),
    0,
    SUM(
        IFERROR(VALUE($E198),0) * MAX(0, MIN($E$1, DATE(Initialisatie!$C$5,12,31)) - MAX($E$2, DATE(Initialisatie!$C$5,1,1)) + 1),
        IFERROR(VALUE($F198),0) * MAX(0, MIN($F$1, DATE(Initialisatie!$C$5,12,31)) - MAX($F$2, DATE(Initialisatie!$C$5,1,1)) + 1),
        IFERROR(VALUE($G198),0) * MAX(0, MIN($G$1, DATE(Initialisatie!$C$5,12,31)) - MAX($G$2, DATE(Initialisatie!$C$5,1,1)) + 1),
        IFERROR(VALUE($H198),0) * MAX(0, MIN($H$1, DATE(Initialisatie!$C$5,12,31)) - MAX($H$2, DATE(Initialisatie!$C$5,1,1)) + 1),
        IFERROR(VALUE($I198),0) * MAX(0, MIN($I$1, DATE(Initialisatie!$C$5,12,31)) - MAX($I$2, DATE(Initialisatie!$C$5,1,1)) + 1),
        IFERROR(VALUE($J198),0) * MAX(0, MIN($J$1, DATE(Initialisatie!$C$5,12,31)) - MAX($J$2, DATE(Initialisatie!$C$5,1,1)) + 1)
    ) / (DATE(Initialisatie!$C$5,12,31) - DATE(Initialisatie!$C$5,1,1) + 1)
)</f>
        <v>6177</v>
      </c>
    </row>
    <row r="199" spans="1:12" x14ac:dyDescent="0.45">
      <c r="A199" s="988">
        <v>10</v>
      </c>
      <c r="B199" s="35" t="s">
        <v>517</v>
      </c>
      <c r="C199" s="35" t="s">
        <v>517</v>
      </c>
      <c r="D199" s="35" t="s">
        <v>636</v>
      </c>
      <c r="E199">
        <v>3221</v>
      </c>
      <c r="F199">
        <v>3285</v>
      </c>
      <c r="G199">
        <v>3515</v>
      </c>
      <c r="H199">
        <v>3656</v>
      </c>
      <c r="I199">
        <v>3802</v>
      </c>
      <c r="J199">
        <v>3802</v>
      </c>
      <c r="L199">
        <f>IF(
    OR(
        AND(MAX(0, MIN($E$1, DATE(Initialisatie!$C$5,12,31)) - MAX($E$2, DATE(Initialisatie!$C$5,1,1)) + 1) &gt; 0, IFERROR(VALUE($E199),0)=0),
        AND(MAX(0, MIN($F$1, DATE(Initialisatie!$C$5,12,31)) - MAX($F$2, DATE(Initialisatie!$C$5,1,1)) + 1) &gt; 0, IFERROR(VALUE($F199),0)=0),
        AND(MAX(0, MIN($G$1, DATE(Initialisatie!$C$5,12,31)) - MAX($G$2, DATE(Initialisatie!$C$5,1,1)) + 1) &gt; 0, IFERROR(VALUE($G199),0)=0),
        AND(MAX(0, MIN($H$1, DATE(Initialisatie!$C$5,12,31)) - MAX($H$2, DATE(Initialisatie!$C$5,1,1)) + 1) &gt; 0, IFERROR(VALUE($H199),0)=0),
        AND(MAX(0, MIN($I$1, DATE(Initialisatie!$C$5,12,31)) - MAX($I$2, DATE(Initialisatie!$C$5,1,1)) + 1) &gt; 0, IFERROR(VALUE($I199),0)=0),
        AND(MAX(0, MIN($J$1, DATE(Initialisatie!$C$5,12,31)) - MAX($J$2, DATE(Initialisatie!$C$5,1,1)) + 1) &gt; 0, IFERROR(VALUE($J199),0)=0)
    ),
    0,
    SUM(
        IFERROR(VALUE($E199),0) * MAX(0, MIN($E$1, DATE(Initialisatie!$C$5,12,31)) - MAX($E$2, DATE(Initialisatie!$C$5,1,1)) + 1),
        IFERROR(VALUE($F199),0) * MAX(0, MIN($F$1, DATE(Initialisatie!$C$5,12,31)) - MAX($F$2, DATE(Initialisatie!$C$5,1,1)) + 1),
        IFERROR(VALUE($G199),0) * MAX(0, MIN($G$1, DATE(Initialisatie!$C$5,12,31)) - MAX($G$2, DATE(Initialisatie!$C$5,1,1)) + 1),
        IFERROR(VALUE($H199),0) * MAX(0, MIN($H$1, DATE(Initialisatie!$C$5,12,31)) - MAX($H$2, DATE(Initialisatie!$C$5,1,1)) + 1),
        IFERROR(VALUE($I199),0) * MAX(0, MIN($I$1, DATE(Initialisatie!$C$5,12,31)) - MAX($I$2, DATE(Initialisatie!$C$5,1,1)) + 1),
        IFERROR(VALUE($J199),0) * MAX(0, MIN($J$1, DATE(Initialisatie!$C$5,12,31)) - MAX($J$2, DATE(Initialisatie!$C$5,1,1)) + 1)
    ) / (DATE(Initialisatie!$C$5,12,31) - DATE(Initialisatie!$C$5,1,1) + 1)
)</f>
        <v>3802</v>
      </c>
    </row>
    <row r="200" spans="1:12" x14ac:dyDescent="0.45">
      <c r="A200" s="989"/>
      <c r="B200" s="35">
        <v>0</v>
      </c>
      <c r="C200" s="35">
        <v>0</v>
      </c>
      <c r="D200" s="35" t="s">
        <v>193</v>
      </c>
      <c r="E200">
        <v>3277</v>
      </c>
      <c r="F200">
        <v>3343</v>
      </c>
      <c r="G200">
        <v>3577</v>
      </c>
      <c r="H200">
        <v>3720</v>
      </c>
      <c r="I200">
        <v>3869</v>
      </c>
      <c r="J200">
        <v>3869</v>
      </c>
      <c r="L200">
        <f>IF(
    OR(
        AND(MAX(0, MIN($E$1, DATE(Initialisatie!$C$5,12,31)) - MAX($E$2, DATE(Initialisatie!$C$5,1,1)) + 1) &gt; 0, IFERROR(VALUE($E200),0)=0),
        AND(MAX(0, MIN($F$1, DATE(Initialisatie!$C$5,12,31)) - MAX($F$2, DATE(Initialisatie!$C$5,1,1)) + 1) &gt; 0, IFERROR(VALUE($F200),0)=0),
        AND(MAX(0, MIN($G$1, DATE(Initialisatie!$C$5,12,31)) - MAX($G$2, DATE(Initialisatie!$C$5,1,1)) + 1) &gt; 0, IFERROR(VALUE($G200),0)=0),
        AND(MAX(0, MIN($H$1, DATE(Initialisatie!$C$5,12,31)) - MAX($H$2, DATE(Initialisatie!$C$5,1,1)) + 1) &gt; 0, IFERROR(VALUE($H200),0)=0),
        AND(MAX(0, MIN($I$1, DATE(Initialisatie!$C$5,12,31)) - MAX($I$2, DATE(Initialisatie!$C$5,1,1)) + 1) &gt; 0, IFERROR(VALUE($I200),0)=0),
        AND(MAX(0, MIN($J$1, DATE(Initialisatie!$C$5,12,31)) - MAX($J$2, DATE(Initialisatie!$C$5,1,1)) + 1) &gt; 0, IFERROR(VALUE($J200),0)=0)
    ),
    0,
    SUM(
        IFERROR(VALUE($E200),0) * MAX(0, MIN($E$1, DATE(Initialisatie!$C$5,12,31)) - MAX($E$2, DATE(Initialisatie!$C$5,1,1)) + 1),
        IFERROR(VALUE($F200),0) * MAX(0, MIN($F$1, DATE(Initialisatie!$C$5,12,31)) - MAX($F$2, DATE(Initialisatie!$C$5,1,1)) + 1),
        IFERROR(VALUE($G200),0) * MAX(0, MIN($G$1, DATE(Initialisatie!$C$5,12,31)) - MAX($G$2, DATE(Initialisatie!$C$5,1,1)) + 1),
        IFERROR(VALUE($H200),0) * MAX(0, MIN($H$1, DATE(Initialisatie!$C$5,12,31)) - MAX($H$2, DATE(Initialisatie!$C$5,1,1)) + 1),
        IFERROR(VALUE($I200),0) * MAX(0, MIN($I$1, DATE(Initialisatie!$C$5,12,31)) - MAX($I$2, DATE(Initialisatie!$C$5,1,1)) + 1),
        IFERROR(VALUE($J200),0) * MAX(0, MIN($J$1, DATE(Initialisatie!$C$5,12,31)) - MAX($J$2, DATE(Initialisatie!$C$5,1,1)) + 1)
    ) / (DATE(Initialisatie!$C$5,12,31) - DATE(Initialisatie!$C$5,1,1) + 1)
)</f>
        <v>3869</v>
      </c>
    </row>
    <row r="201" spans="1:12" x14ac:dyDescent="0.45">
      <c r="A201" s="989"/>
      <c r="B201" s="35">
        <v>1</v>
      </c>
      <c r="C201" s="35">
        <v>1</v>
      </c>
      <c r="D201" s="35" t="s">
        <v>192</v>
      </c>
      <c r="E201">
        <v>3361</v>
      </c>
      <c r="F201">
        <v>3428</v>
      </c>
      <c r="G201">
        <v>3668</v>
      </c>
      <c r="H201">
        <v>3815</v>
      </c>
      <c r="I201">
        <v>3968</v>
      </c>
      <c r="J201">
        <v>3968</v>
      </c>
      <c r="L201">
        <f>IF(
    OR(
        AND(MAX(0, MIN($E$1, DATE(Initialisatie!$C$5,12,31)) - MAX($E$2, DATE(Initialisatie!$C$5,1,1)) + 1) &gt; 0, IFERROR(VALUE($E201),0)=0),
        AND(MAX(0, MIN($F$1, DATE(Initialisatie!$C$5,12,31)) - MAX($F$2, DATE(Initialisatie!$C$5,1,1)) + 1) &gt; 0, IFERROR(VALUE($F201),0)=0),
        AND(MAX(0, MIN($G$1, DATE(Initialisatie!$C$5,12,31)) - MAX($G$2, DATE(Initialisatie!$C$5,1,1)) + 1) &gt; 0, IFERROR(VALUE($G201),0)=0),
        AND(MAX(0, MIN($H$1, DATE(Initialisatie!$C$5,12,31)) - MAX($H$2, DATE(Initialisatie!$C$5,1,1)) + 1) &gt; 0, IFERROR(VALUE($H201),0)=0),
        AND(MAX(0, MIN($I$1, DATE(Initialisatie!$C$5,12,31)) - MAX($I$2, DATE(Initialisatie!$C$5,1,1)) + 1) &gt; 0, IFERROR(VALUE($I201),0)=0),
        AND(MAX(0, MIN($J$1, DATE(Initialisatie!$C$5,12,31)) - MAX($J$2, DATE(Initialisatie!$C$5,1,1)) + 1) &gt; 0, IFERROR(VALUE($J201),0)=0)
    ),
    0,
    SUM(
        IFERROR(VALUE($E201),0) * MAX(0, MIN($E$1, DATE(Initialisatie!$C$5,12,31)) - MAX($E$2, DATE(Initialisatie!$C$5,1,1)) + 1),
        IFERROR(VALUE($F201),0) * MAX(0, MIN($F$1, DATE(Initialisatie!$C$5,12,31)) - MAX($F$2, DATE(Initialisatie!$C$5,1,1)) + 1),
        IFERROR(VALUE($G201),0) * MAX(0, MIN($G$1, DATE(Initialisatie!$C$5,12,31)) - MAX($G$2, DATE(Initialisatie!$C$5,1,1)) + 1),
        IFERROR(VALUE($H201),0) * MAX(0, MIN($H$1, DATE(Initialisatie!$C$5,12,31)) - MAX($H$2, DATE(Initialisatie!$C$5,1,1)) + 1),
        IFERROR(VALUE($I201),0) * MAX(0, MIN($I$1, DATE(Initialisatie!$C$5,12,31)) - MAX($I$2, DATE(Initialisatie!$C$5,1,1)) + 1),
        IFERROR(VALUE($J201),0) * MAX(0, MIN($J$1, DATE(Initialisatie!$C$5,12,31)) - MAX($J$2, DATE(Initialisatie!$C$5,1,1)) + 1)
    ) / (DATE(Initialisatie!$C$5,12,31) - DATE(Initialisatie!$C$5,1,1) + 1)
)</f>
        <v>3968</v>
      </c>
    </row>
    <row r="202" spans="1:12" x14ac:dyDescent="0.45">
      <c r="A202" s="989"/>
      <c r="B202" s="35">
        <v>2</v>
      </c>
      <c r="C202" s="35">
        <v>2</v>
      </c>
      <c r="D202" s="35" t="s">
        <v>187</v>
      </c>
      <c r="E202">
        <v>3431</v>
      </c>
      <c r="F202">
        <v>3500</v>
      </c>
      <c r="G202">
        <v>3745</v>
      </c>
      <c r="H202">
        <v>3895</v>
      </c>
      <c r="I202">
        <v>4051</v>
      </c>
      <c r="J202">
        <v>4051</v>
      </c>
      <c r="L202">
        <f>IF(
    OR(
        AND(MAX(0, MIN($E$1, DATE(Initialisatie!$C$5,12,31)) - MAX($E$2, DATE(Initialisatie!$C$5,1,1)) + 1) &gt; 0, IFERROR(VALUE($E202),0)=0),
        AND(MAX(0, MIN($F$1, DATE(Initialisatie!$C$5,12,31)) - MAX($F$2, DATE(Initialisatie!$C$5,1,1)) + 1) &gt; 0, IFERROR(VALUE($F202),0)=0),
        AND(MAX(0, MIN($G$1, DATE(Initialisatie!$C$5,12,31)) - MAX($G$2, DATE(Initialisatie!$C$5,1,1)) + 1) &gt; 0, IFERROR(VALUE($G202),0)=0),
        AND(MAX(0, MIN($H$1, DATE(Initialisatie!$C$5,12,31)) - MAX($H$2, DATE(Initialisatie!$C$5,1,1)) + 1) &gt; 0, IFERROR(VALUE($H202),0)=0),
        AND(MAX(0, MIN($I$1, DATE(Initialisatie!$C$5,12,31)) - MAX($I$2, DATE(Initialisatie!$C$5,1,1)) + 1) &gt; 0, IFERROR(VALUE($I202),0)=0),
        AND(MAX(0, MIN($J$1, DATE(Initialisatie!$C$5,12,31)) - MAX($J$2, DATE(Initialisatie!$C$5,1,1)) + 1) &gt; 0, IFERROR(VALUE($J202),0)=0)
    ),
    0,
    SUM(
        IFERROR(VALUE($E202),0) * MAX(0, MIN($E$1, DATE(Initialisatie!$C$5,12,31)) - MAX($E$2, DATE(Initialisatie!$C$5,1,1)) + 1),
        IFERROR(VALUE($F202),0) * MAX(0, MIN($F$1, DATE(Initialisatie!$C$5,12,31)) - MAX($F$2, DATE(Initialisatie!$C$5,1,1)) + 1),
        IFERROR(VALUE($G202),0) * MAX(0, MIN($G$1, DATE(Initialisatie!$C$5,12,31)) - MAX($G$2, DATE(Initialisatie!$C$5,1,1)) + 1),
        IFERROR(VALUE($H202),0) * MAX(0, MIN($H$1, DATE(Initialisatie!$C$5,12,31)) - MAX($H$2, DATE(Initialisatie!$C$5,1,1)) + 1),
        IFERROR(VALUE($I202),0) * MAX(0, MIN($I$1, DATE(Initialisatie!$C$5,12,31)) - MAX($I$2, DATE(Initialisatie!$C$5,1,1)) + 1),
        IFERROR(VALUE($J202),0) * MAX(0, MIN($J$1, DATE(Initialisatie!$C$5,12,31)) - MAX($J$2, DATE(Initialisatie!$C$5,1,1)) + 1)
    ) / (DATE(Initialisatie!$C$5,12,31) - DATE(Initialisatie!$C$5,1,1) + 1)
)</f>
        <v>4051</v>
      </c>
    </row>
    <row r="203" spans="1:12" x14ac:dyDescent="0.45">
      <c r="A203" s="989"/>
      <c r="B203" s="35">
        <v>3</v>
      </c>
      <c r="C203" s="35">
        <v>3</v>
      </c>
      <c r="D203" s="35" t="s">
        <v>186</v>
      </c>
      <c r="E203">
        <v>3508</v>
      </c>
      <c r="F203">
        <v>3578</v>
      </c>
      <c r="G203">
        <v>3828</v>
      </c>
      <c r="H203">
        <v>3981</v>
      </c>
      <c r="I203">
        <v>4140</v>
      </c>
      <c r="J203">
        <v>4140</v>
      </c>
      <c r="L203">
        <f>IF(
    OR(
        AND(MAX(0, MIN($E$1, DATE(Initialisatie!$C$5,12,31)) - MAX($E$2, DATE(Initialisatie!$C$5,1,1)) + 1) &gt; 0, IFERROR(VALUE($E203),0)=0),
        AND(MAX(0, MIN($F$1, DATE(Initialisatie!$C$5,12,31)) - MAX($F$2, DATE(Initialisatie!$C$5,1,1)) + 1) &gt; 0, IFERROR(VALUE($F203),0)=0),
        AND(MAX(0, MIN($G$1, DATE(Initialisatie!$C$5,12,31)) - MAX($G$2, DATE(Initialisatie!$C$5,1,1)) + 1) &gt; 0, IFERROR(VALUE($G203),0)=0),
        AND(MAX(0, MIN($H$1, DATE(Initialisatie!$C$5,12,31)) - MAX($H$2, DATE(Initialisatie!$C$5,1,1)) + 1) &gt; 0, IFERROR(VALUE($H203),0)=0),
        AND(MAX(0, MIN($I$1, DATE(Initialisatie!$C$5,12,31)) - MAX($I$2, DATE(Initialisatie!$C$5,1,1)) + 1) &gt; 0, IFERROR(VALUE($I203),0)=0),
        AND(MAX(0, MIN($J$1, DATE(Initialisatie!$C$5,12,31)) - MAX($J$2, DATE(Initialisatie!$C$5,1,1)) + 1) &gt; 0, IFERROR(VALUE($J203),0)=0)
    ),
    0,
    SUM(
        IFERROR(VALUE($E203),0) * MAX(0, MIN($E$1, DATE(Initialisatie!$C$5,12,31)) - MAX($E$2, DATE(Initialisatie!$C$5,1,1)) + 1),
        IFERROR(VALUE($F203),0) * MAX(0, MIN($F$1, DATE(Initialisatie!$C$5,12,31)) - MAX($F$2, DATE(Initialisatie!$C$5,1,1)) + 1),
        IFERROR(VALUE($G203),0) * MAX(0, MIN($G$1, DATE(Initialisatie!$C$5,12,31)) - MAX($G$2, DATE(Initialisatie!$C$5,1,1)) + 1),
        IFERROR(VALUE($H203),0) * MAX(0, MIN($H$1, DATE(Initialisatie!$C$5,12,31)) - MAX($H$2, DATE(Initialisatie!$C$5,1,1)) + 1),
        IFERROR(VALUE($I203),0) * MAX(0, MIN($I$1, DATE(Initialisatie!$C$5,12,31)) - MAX($I$2, DATE(Initialisatie!$C$5,1,1)) + 1),
        IFERROR(VALUE($J203),0) * MAX(0, MIN($J$1, DATE(Initialisatie!$C$5,12,31)) - MAX($J$2, DATE(Initialisatie!$C$5,1,1)) + 1)
    ) / (DATE(Initialisatie!$C$5,12,31) - DATE(Initialisatie!$C$5,1,1) + 1)
)</f>
        <v>4140</v>
      </c>
    </row>
    <row r="204" spans="1:12" x14ac:dyDescent="0.45">
      <c r="A204" s="989"/>
      <c r="B204" s="35">
        <v>4</v>
      </c>
      <c r="C204" s="35">
        <v>4</v>
      </c>
      <c r="D204" s="35" t="s">
        <v>185</v>
      </c>
      <c r="E204">
        <v>3581</v>
      </c>
      <c r="F204">
        <v>3653</v>
      </c>
      <c r="G204">
        <v>3909</v>
      </c>
      <c r="H204">
        <v>4065</v>
      </c>
      <c r="I204">
        <v>4228</v>
      </c>
      <c r="J204">
        <v>4228</v>
      </c>
      <c r="L204">
        <f>IF(
    OR(
        AND(MAX(0, MIN($E$1, DATE(Initialisatie!$C$5,12,31)) - MAX($E$2, DATE(Initialisatie!$C$5,1,1)) + 1) &gt; 0, IFERROR(VALUE($E204),0)=0),
        AND(MAX(0, MIN($F$1, DATE(Initialisatie!$C$5,12,31)) - MAX($F$2, DATE(Initialisatie!$C$5,1,1)) + 1) &gt; 0, IFERROR(VALUE($F204),0)=0),
        AND(MAX(0, MIN($G$1, DATE(Initialisatie!$C$5,12,31)) - MAX($G$2, DATE(Initialisatie!$C$5,1,1)) + 1) &gt; 0, IFERROR(VALUE($G204),0)=0),
        AND(MAX(0, MIN($H$1, DATE(Initialisatie!$C$5,12,31)) - MAX($H$2, DATE(Initialisatie!$C$5,1,1)) + 1) &gt; 0, IFERROR(VALUE($H204),0)=0),
        AND(MAX(0, MIN($I$1, DATE(Initialisatie!$C$5,12,31)) - MAX($I$2, DATE(Initialisatie!$C$5,1,1)) + 1) &gt; 0, IFERROR(VALUE($I204),0)=0),
        AND(MAX(0, MIN($J$1, DATE(Initialisatie!$C$5,12,31)) - MAX($J$2, DATE(Initialisatie!$C$5,1,1)) + 1) &gt; 0, IFERROR(VALUE($J204),0)=0)
    ),
    0,
    SUM(
        IFERROR(VALUE($E204),0) * MAX(0, MIN($E$1, DATE(Initialisatie!$C$5,12,31)) - MAX($E$2, DATE(Initialisatie!$C$5,1,1)) + 1),
        IFERROR(VALUE($F204),0) * MAX(0, MIN($F$1, DATE(Initialisatie!$C$5,12,31)) - MAX($F$2, DATE(Initialisatie!$C$5,1,1)) + 1),
        IFERROR(VALUE($G204),0) * MAX(0, MIN($G$1, DATE(Initialisatie!$C$5,12,31)) - MAX($G$2, DATE(Initialisatie!$C$5,1,1)) + 1),
        IFERROR(VALUE($H204),0) * MAX(0, MIN($H$1, DATE(Initialisatie!$C$5,12,31)) - MAX($H$2, DATE(Initialisatie!$C$5,1,1)) + 1),
        IFERROR(VALUE($I204),0) * MAX(0, MIN($I$1, DATE(Initialisatie!$C$5,12,31)) - MAX($I$2, DATE(Initialisatie!$C$5,1,1)) + 1),
        IFERROR(VALUE($J204),0) * MAX(0, MIN($J$1, DATE(Initialisatie!$C$5,12,31)) - MAX($J$2, DATE(Initialisatie!$C$5,1,1)) + 1)
    ) / (DATE(Initialisatie!$C$5,12,31) - DATE(Initialisatie!$C$5,1,1) + 1)
)</f>
        <v>4228</v>
      </c>
    </row>
    <row r="205" spans="1:12" x14ac:dyDescent="0.45">
      <c r="A205" s="989"/>
      <c r="B205" s="35">
        <v>5</v>
      </c>
      <c r="C205" s="35">
        <v>5</v>
      </c>
      <c r="D205" s="35" t="s">
        <v>184</v>
      </c>
      <c r="E205">
        <v>3703</v>
      </c>
      <c r="F205">
        <v>3777</v>
      </c>
      <c r="G205">
        <v>4041</v>
      </c>
      <c r="H205">
        <v>4203</v>
      </c>
      <c r="I205">
        <v>4371</v>
      </c>
      <c r="J205">
        <v>4371</v>
      </c>
      <c r="L205">
        <f>IF(
    OR(
        AND(MAX(0, MIN($E$1, DATE(Initialisatie!$C$5,12,31)) - MAX($E$2, DATE(Initialisatie!$C$5,1,1)) + 1) &gt; 0, IFERROR(VALUE($E205),0)=0),
        AND(MAX(0, MIN($F$1, DATE(Initialisatie!$C$5,12,31)) - MAX($F$2, DATE(Initialisatie!$C$5,1,1)) + 1) &gt; 0, IFERROR(VALUE($F205),0)=0),
        AND(MAX(0, MIN($G$1, DATE(Initialisatie!$C$5,12,31)) - MAX($G$2, DATE(Initialisatie!$C$5,1,1)) + 1) &gt; 0, IFERROR(VALUE($G205),0)=0),
        AND(MAX(0, MIN($H$1, DATE(Initialisatie!$C$5,12,31)) - MAX($H$2, DATE(Initialisatie!$C$5,1,1)) + 1) &gt; 0, IFERROR(VALUE($H205),0)=0),
        AND(MAX(0, MIN($I$1, DATE(Initialisatie!$C$5,12,31)) - MAX($I$2, DATE(Initialisatie!$C$5,1,1)) + 1) &gt; 0, IFERROR(VALUE($I205),0)=0),
        AND(MAX(0, MIN($J$1, DATE(Initialisatie!$C$5,12,31)) - MAX($J$2, DATE(Initialisatie!$C$5,1,1)) + 1) &gt; 0, IFERROR(VALUE($J205),0)=0)
    ),
    0,
    SUM(
        IFERROR(VALUE($E205),0) * MAX(0, MIN($E$1, DATE(Initialisatie!$C$5,12,31)) - MAX($E$2, DATE(Initialisatie!$C$5,1,1)) + 1),
        IFERROR(VALUE($F205),0) * MAX(0, MIN($F$1, DATE(Initialisatie!$C$5,12,31)) - MAX($F$2, DATE(Initialisatie!$C$5,1,1)) + 1),
        IFERROR(VALUE($G205),0) * MAX(0, MIN($G$1, DATE(Initialisatie!$C$5,12,31)) - MAX($G$2, DATE(Initialisatie!$C$5,1,1)) + 1),
        IFERROR(VALUE($H205),0) * MAX(0, MIN($H$1, DATE(Initialisatie!$C$5,12,31)) - MAX($H$2, DATE(Initialisatie!$C$5,1,1)) + 1),
        IFERROR(VALUE($I205),0) * MAX(0, MIN($I$1, DATE(Initialisatie!$C$5,12,31)) - MAX($I$2, DATE(Initialisatie!$C$5,1,1)) + 1),
        IFERROR(VALUE($J205),0) * MAX(0, MIN($J$1, DATE(Initialisatie!$C$5,12,31)) - MAX($J$2, DATE(Initialisatie!$C$5,1,1)) + 1)
    ) / (DATE(Initialisatie!$C$5,12,31) - DATE(Initialisatie!$C$5,1,1) + 1)
)</f>
        <v>4371</v>
      </c>
    </row>
    <row r="206" spans="1:12" x14ac:dyDescent="0.45">
      <c r="A206" s="989"/>
      <c r="B206" s="35">
        <v>6</v>
      </c>
      <c r="C206" s="35">
        <v>6</v>
      </c>
      <c r="D206" s="35" t="s">
        <v>183</v>
      </c>
      <c r="E206">
        <v>3831</v>
      </c>
      <c r="F206">
        <v>3908</v>
      </c>
      <c r="G206">
        <v>4182</v>
      </c>
      <c r="H206">
        <v>4349</v>
      </c>
      <c r="I206">
        <v>4523</v>
      </c>
      <c r="J206">
        <v>4523</v>
      </c>
      <c r="L206">
        <f>IF(
    OR(
        AND(MAX(0, MIN($E$1, DATE(Initialisatie!$C$5,12,31)) - MAX($E$2, DATE(Initialisatie!$C$5,1,1)) + 1) &gt; 0, IFERROR(VALUE($E206),0)=0),
        AND(MAX(0, MIN($F$1, DATE(Initialisatie!$C$5,12,31)) - MAX($F$2, DATE(Initialisatie!$C$5,1,1)) + 1) &gt; 0, IFERROR(VALUE($F206),0)=0),
        AND(MAX(0, MIN($G$1, DATE(Initialisatie!$C$5,12,31)) - MAX($G$2, DATE(Initialisatie!$C$5,1,1)) + 1) &gt; 0, IFERROR(VALUE($G206),0)=0),
        AND(MAX(0, MIN($H$1, DATE(Initialisatie!$C$5,12,31)) - MAX($H$2, DATE(Initialisatie!$C$5,1,1)) + 1) &gt; 0, IFERROR(VALUE($H206),0)=0),
        AND(MAX(0, MIN($I$1, DATE(Initialisatie!$C$5,12,31)) - MAX($I$2, DATE(Initialisatie!$C$5,1,1)) + 1) &gt; 0, IFERROR(VALUE($I206),0)=0),
        AND(MAX(0, MIN($J$1, DATE(Initialisatie!$C$5,12,31)) - MAX($J$2, DATE(Initialisatie!$C$5,1,1)) + 1) &gt; 0, IFERROR(VALUE($J206),0)=0)
    ),
    0,
    SUM(
        IFERROR(VALUE($E206),0) * MAX(0, MIN($E$1, DATE(Initialisatie!$C$5,12,31)) - MAX($E$2, DATE(Initialisatie!$C$5,1,1)) + 1),
        IFERROR(VALUE($F206),0) * MAX(0, MIN($F$1, DATE(Initialisatie!$C$5,12,31)) - MAX($F$2, DATE(Initialisatie!$C$5,1,1)) + 1),
        IFERROR(VALUE($G206),0) * MAX(0, MIN($G$1, DATE(Initialisatie!$C$5,12,31)) - MAX($G$2, DATE(Initialisatie!$C$5,1,1)) + 1),
        IFERROR(VALUE($H206),0) * MAX(0, MIN($H$1, DATE(Initialisatie!$C$5,12,31)) - MAX($H$2, DATE(Initialisatie!$C$5,1,1)) + 1),
        IFERROR(VALUE($I206),0) * MAX(0, MIN($I$1, DATE(Initialisatie!$C$5,12,31)) - MAX($I$2, DATE(Initialisatie!$C$5,1,1)) + 1),
        IFERROR(VALUE($J206),0) * MAX(0, MIN($J$1, DATE(Initialisatie!$C$5,12,31)) - MAX($J$2, DATE(Initialisatie!$C$5,1,1)) + 1)
    ) / (DATE(Initialisatie!$C$5,12,31) - DATE(Initialisatie!$C$5,1,1) + 1)
)</f>
        <v>4523</v>
      </c>
    </row>
    <row r="207" spans="1:12" x14ac:dyDescent="0.45">
      <c r="A207" s="989"/>
      <c r="B207" s="35">
        <v>7</v>
      </c>
      <c r="C207" s="35">
        <v>7</v>
      </c>
      <c r="D207" s="35" t="s">
        <v>182</v>
      </c>
      <c r="E207">
        <v>3961</v>
      </c>
      <c r="F207">
        <v>4040</v>
      </c>
      <c r="G207">
        <v>4323</v>
      </c>
      <c r="H207">
        <v>4496</v>
      </c>
      <c r="I207">
        <v>4676</v>
      </c>
      <c r="J207">
        <v>4676</v>
      </c>
      <c r="L207">
        <f>IF(
    OR(
        AND(MAX(0, MIN($E$1, DATE(Initialisatie!$C$5,12,31)) - MAX($E$2, DATE(Initialisatie!$C$5,1,1)) + 1) &gt; 0, IFERROR(VALUE($E207),0)=0),
        AND(MAX(0, MIN($F$1, DATE(Initialisatie!$C$5,12,31)) - MAX($F$2, DATE(Initialisatie!$C$5,1,1)) + 1) &gt; 0, IFERROR(VALUE($F207),0)=0),
        AND(MAX(0, MIN($G$1, DATE(Initialisatie!$C$5,12,31)) - MAX($G$2, DATE(Initialisatie!$C$5,1,1)) + 1) &gt; 0, IFERROR(VALUE($G207),0)=0),
        AND(MAX(0, MIN($H$1, DATE(Initialisatie!$C$5,12,31)) - MAX($H$2, DATE(Initialisatie!$C$5,1,1)) + 1) &gt; 0, IFERROR(VALUE($H207),0)=0),
        AND(MAX(0, MIN($I$1, DATE(Initialisatie!$C$5,12,31)) - MAX($I$2, DATE(Initialisatie!$C$5,1,1)) + 1) &gt; 0, IFERROR(VALUE($I207),0)=0),
        AND(MAX(0, MIN($J$1, DATE(Initialisatie!$C$5,12,31)) - MAX($J$2, DATE(Initialisatie!$C$5,1,1)) + 1) &gt; 0, IFERROR(VALUE($J207),0)=0)
    ),
    0,
    SUM(
        IFERROR(VALUE($E207),0) * MAX(0, MIN($E$1, DATE(Initialisatie!$C$5,12,31)) - MAX($E$2, DATE(Initialisatie!$C$5,1,1)) + 1),
        IFERROR(VALUE($F207),0) * MAX(0, MIN($F$1, DATE(Initialisatie!$C$5,12,31)) - MAX($F$2, DATE(Initialisatie!$C$5,1,1)) + 1),
        IFERROR(VALUE($G207),0) * MAX(0, MIN($G$1, DATE(Initialisatie!$C$5,12,31)) - MAX($G$2, DATE(Initialisatie!$C$5,1,1)) + 1),
        IFERROR(VALUE($H207),0) * MAX(0, MIN($H$1, DATE(Initialisatie!$C$5,12,31)) - MAX($H$2, DATE(Initialisatie!$C$5,1,1)) + 1),
        IFERROR(VALUE($I207),0) * MAX(0, MIN($I$1, DATE(Initialisatie!$C$5,12,31)) - MAX($I$2, DATE(Initialisatie!$C$5,1,1)) + 1),
        IFERROR(VALUE($J207),0) * MAX(0, MIN($J$1, DATE(Initialisatie!$C$5,12,31)) - MAX($J$2, DATE(Initialisatie!$C$5,1,1)) + 1)
    ) / (DATE(Initialisatie!$C$5,12,31) - DATE(Initialisatie!$C$5,1,1) + 1)
)</f>
        <v>4676</v>
      </c>
    </row>
    <row r="208" spans="1:12" x14ac:dyDescent="0.45">
      <c r="A208" s="989"/>
      <c r="B208" s="35">
        <v>8</v>
      </c>
      <c r="C208" s="35">
        <v>8</v>
      </c>
      <c r="D208" s="35" t="s">
        <v>181</v>
      </c>
      <c r="E208">
        <v>4090</v>
      </c>
      <c r="F208">
        <v>4172</v>
      </c>
      <c r="G208">
        <v>4464</v>
      </c>
      <c r="H208">
        <v>4643</v>
      </c>
      <c r="I208">
        <v>4829</v>
      </c>
      <c r="J208">
        <v>4829</v>
      </c>
      <c r="L208">
        <f>IF(
    OR(
        AND(MAX(0, MIN($E$1, DATE(Initialisatie!$C$5,12,31)) - MAX($E$2, DATE(Initialisatie!$C$5,1,1)) + 1) &gt; 0, IFERROR(VALUE($E208),0)=0),
        AND(MAX(0, MIN($F$1, DATE(Initialisatie!$C$5,12,31)) - MAX($F$2, DATE(Initialisatie!$C$5,1,1)) + 1) &gt; 0, IFERROR(VALUE($F208),0)=0),
        AND(MAX(0, MIN($G$1, DATE(Initialisatie!$C$5,12,31)) - MAX($G$2, DATE(Initialisatie!$C$5,1,1)) + 1) &gt; 0, IFERROR(VALUE($G208),0)=0),
        AND(MAX(0, MIN($H$1, DATE(Initialisatie!$C$5,12,31)) - MAX($H$2, DATE(Initialisatie!$C$5,1,1)) + 1) &gt; 0, IFERROR(VALUE($H208),0)=0),
        AND(MAX(0, MIN($I$1, DATE(Initialisatie!$C$5,12,31)) - MAX($I$2, DATE(Initialisatie!$C$5,1,1)) + 1) &gt; 0, IFERROR(VALUE($I208),0)=0),
        AND(MAX(0, MIN($J$1, DATE(Initialisatie!$C$5,12,31)) - MAX($J$2, DATE(Initialisatie!$C$5,1,1)) + 1) &gt; 0, IFERROR(VALUE($J208),0)=0)
    ),
    0,
    SUM(
        IFERROR(VALUE($E208),0) * MAX(0, MIN($E$1, DATE(Initialisatie!$C$5,12,31)) - MAX($E$2, DATE(Initialisatie!$C$5,1,1)) + 1),
        IFERROR(VALUE($F208),0) * MAX(0, MIN($F$1, DATE(Initialisatie!$C$5,12,31)) - MAX($F$2, DATE(Initialisatie!$C$5,1,1)) + 1),
        IFERROR(VALUE($G208),0) * MAX(0, MIN($G$1, DATE(Initialisatie!$C$5,12,31)) - MAX($G$2, DATE(Initialisatie!$C$5,1,1)) + 1),
        IFERROR(VALUE($H208),0) * MAX(0, MIN($H$1, DATE(Initialisatie!$C$5,12,31)) - MAX($H$2, DATE(Initialisatie!$C$5,1,1)) + 1),
        IFERROR(VALUE($I208),0) * MAX(0, MIN($I$1, DATE(Initialisatie!$C$5,12,31)) - MAX($I$2, DATE(Initialisatie!$C$5,1,1)) + 1),
        IFERROR(VALUE($J208),0) * MAX(0, MIN($J$1, DATE(Initialisatie!$C$5,12,31)) - MAX($J$2, DATE(Initialisatie!$C$5,1,1)) + 1)
    ) / (DATE(Initialisatie!$C$5,12,31) - DATE(Initialisatie!$C$5,1,1) + 1)
)</f>
        <v>4829</v>
      </c>
    </row>
    <row r="209" spans="1:12" x14ac:dyDescent="0.45">
      <c r="A209" s="989"/>
      <c r="B209" s="35">
        <v>9</v>
      </c>
      <c r="C209" s="35">
        <v>9</v>
      </c>
      <c r="D209" s="35" t="s">
        <v>180</v>
      </c>
      <c r="E209">
        <v>4222</v>
      </c>
      <c r="F209">
        <v>4306</v>
      </c>
      <c r="G209">
        <v>4607</v>
      </c>
      <c r="H209">
        <v>4791</v>
      </c>
      <c r="I209">
        <v>4983</v>
      </c>
      <c r="J209">
        <v>4983</v>
      </c>
      <c r="L209">
        <f>IF(
    OR(
        AND(MAX(0, MIN($E$1, DATE(Initialisatie!$C$5,12,31)) - MAX($E$2, DATE(Initialisatie!$C$5,1,1)) + 1) &gt; 0, IFERROR(VALUE($E209),0)=0),
        AND(MAX(0, MIN($F$1, DATE(Initialisatie!$C$5,12,31)) - MAX($F$2, DATE(Initialisatie!$C$5,1,1)) + 1) &gt; 0, IFERROR(VALUE($F209),0)=0),
        AND(MAX(0, MIN($G$1, DATE(Initialisatie!$C$5,12,31)) - MAX($G$2, DATE(Initialisatie!$C$5,1,1)) + 1) &gt; 0, IFERROR(VALUE($G209),0)=0),
        AND(MAX(0, MIN($H$1, DATE(Initialisatie!$C$5,12,31)) - MAX($H$2, DATE(Initialisatie!$C$5,1,1)) + 1) &gt; 0, IFERROR(VALUE($H209),0)=0),
        AND(MAX(0, MIN($I$1, DATE(Initialisatie!$C$5,12,31)) - MAX($I$2, DATE(Initialisatie!$C$5,1,1)) + 1) &gt; 0, IFERROR(VALUE($I209),0)=0),
        AND(MAX(0, MIN($J$1, DATE(Initialisatie!$C$5,12,31)) - MAX($J$2, DATE(Initialisatie!$C$5,1,1)) + 1) &gt; 0, IFERROR(VALUE($J209),0)=0)
    ),
    0,
    SUM(
        IFERROR(VALUE($E209),0) * MAX(0, MIN($E$1, DATE(Initialisatie!$C$5,12,31)) - MAX($E$2, DATE(Initialisatie!$C$5,1,1)) + 1),
        IFERROR(VALUE($F209),0) * MAX(0, MIN($F$1, DATE(Initialisatie!$C$5,12,31)) - MAX($F$2, DATE(Initialisatie!$C$5,1,1)) + 1),
        IFERROR(VALUE($G209),0) * MAX(0, MIN($G$1, DATE(Initialisatie!$C$5,12,31)) - MAX($G$2, DATE(Initialisatie!$C$5,1,1)) + 1),
        IFERROR(VALUE($H209),0) * MAX(0, MIN($H$1, DATE(Initialisatie!$C$5,12,31)) - MAX($H$2, DATE(Initialisatie!$C$5,1,1)) + 1),
        IFERROR(VALUE($I209),0) * MAX(0, MIN($I$1, DATE(Initialisatie!$C$5,12,31)) - MAX($I$2, DATE(Initialisatie!$C$5,1,1)) + 1),
        IFERROR(VALUE($J209),0) * MAX(0, MIN($J$1, DATE(Initialisatie!$C$5,12,31)) - MAX($J$2, DATE(Initialisatie!$C$5,1,1)) + 1)
    ) / (DATE(Initialisatie!$C$5,12,31) - DATE(Initialisatie!$C$5,1,1) + 1)
)</f>
        <v>4983</v>
      </c>
    </row>
    <row r="210" spans="1:12" x14ac:dyDescent="0.45">
      <c r="A210" s="989"/>
      <c r="B210" s="35">
        <v>10</v>
      </c>
      <c r="C210" s="35">
        <v>10</v>
      </c>
      <c r="D210" s="35" t="s">
        <v>191</v>
      </c>
      <c r="E210">
        <v>4358</v>
      </c>
      <c r="F210">
        <v>4445</v>
      </c>
      <c r="G210">
        <v>4756</v>
      </c>
      <c r="H210">
        <v>4946</v>
      </c>
      <c r="I210">
        <v>5144</v>
      </c>
      <c r="J210">
        <v>5144</v>
      </c>
      <c r="L210">
        <f>IF(
    OR(
        AND(MAX(0, MIN($E$1, DATE(Initialisatie!$C$5,12,31)) - MAX($E$2, DATE(Initialisatie!$C$5,1,1)) + 1) &gt; 0, IFERROR(VALUE($E210),0)=0),
        AND(MAX(0, MIN($F$1, DATE(Initialisatie!$C$5,12,31)) - MAX($F$2, DATE(Initialisatie!$C$5,1,1)) + 1) &gt; 0, IFERROR(VALUE($F210),0)=0),
        AND(MAX(0, MIN($G$1, DATE(Initialisatie!$C$5,12,31)) - MAX($G$2, DATE(Initialisatie!$C$5,1,1)) + 1) &gt; 0, IFERROR(VALUE($G210),0)=0),
        AND(MAX(0, MIN($H$1, DATE(Initialisatie!$C$5,12,31)) - MAX($H$2, DATE(Initialisatie!$C$5,1,1)) + 1) &gt; 0, IFERROR(VALUE($H210),0)=0),
        AND(MAX(0, MIN($I$1, DATE(Initialisatie!$C$5,12,31)) - MAX($I$2, DATE(Initialisatie!$C$5,1,1)) + 1) &gt; 0, IFERROR(VALUE($I210),0)=0),
        AND(MAX(0, MIN($J$1, DATE(Initialisatie!$C$5,12,31)) - MAX($J$2, DATE(Initialisatie!$C$5,1,1)) + 1) &gt; 0, IFERROR(VALUE($J210),0)=0)
    ),
    0,
    SUM(
        IFERROR(VALUE($E210),0) * MAX(0, MIN($E$1, DATE(Initialisatie!$C$5,12,31)) - MAX($E$2, DATE(Initialisatie!$C$5,1,1)) + 1),
        IFERROR(VALUE($F210),0) * MAX(0, MIN($F$1, DATE(Initialisatie!$C$5,12,31)) - MAX($F$2, DATE(Initialisatie!$C$5,1,1)) + 1),
        IFERROR(VALUE($G210),0) * MAX(0, MIN($G$1, DATE(Initialisatie!$C$5,12,31)) - MAX($G$2, DATE(Initialisatie!$C$5,1,1)) + 1),
        IFERROR(VALUE($H210),0) * MAX(0, MIN($H$1, DATE(Initialisatie!$C$5,12,31)) - MAX($H$2, DATE(Initialisatie!$C$5,1,1)) + 1),
        IFERROR(VALUE($I210),0) * MAX(0, MIN($I$1, DATE(Initialisatie!$C$5,12,31)) - MAX($I$2, DATE(Initialisatie!$C$5,1,1)) + 1),
        IFERROR(VALUE($J210),0) * MAX(0, MIN($J$1, DATE(Initialisatie!$C$5,12,31)) - MAX($J$2, DATE(Initialisatie!$C$5,1,1)) + 1)
    ) / (DATE(Initialisatie!$C$5,12,31) - DATE(Initialisatie!$C$5,1,1) + 1)
)</f>
        <v>5144</v>
      </c>
    </row>
    <row r="211" spans="1:12" x14ac:dyDescent="0.45">
      <c r="A211" s="989"/>
      <c r="B211" s="35">
        <v>11</v>
      </c>
      <c r="C211" s="35">
        <v>11</v>
      </c>
      <c r="D211" s="35" t="s">
        <v>190</v>
      </c>
      <c r="E211">
        <v>4509</v>
      </c>
      <c r="F211">
        <v>4599</v>
      </c>
      <c r="G211">
        <v>4921</v>
      </c>
      <c r="H211">
        <v>5118</v>
      </c>
      <c r="I211">
        <v>5323</v>
      </c>
      <c r="J211">
        <v>5323</v>
      </c>
      <c r="L211">
        <f>IF(
    OR(
        AND(MAX(0, MIN($E$1, DATE(Initialisatie!$C$5,12,31)) - MAX($E$2, DATE(Initialisatie!$C$5,1,1)) + 1) &gt; 0, IFERROR(VALUE($E211),0)=0),
        AND(MAX(0, MIN($F$1, DATE(Initialisatie!$C$5,12,31)) - MAX($F$2, DATE(Initialisatie!$C$5,1,1)) + 1) &gt; 0, IFERROR(VALUE($F211),0)=0),
        AND(MAX(0, MIN($G$1, DATE(Initialisatie!$C$5,12,31)) - MAX($G$2, DATE(Initialisatie!$C$5,1,1)) + 1) &gt; 0, IFERROR(VALUE($G211),0)=0),
        AND(MAX(0, MIN($H$1, DATE(Initialisatie!$C$5,12,31)) - MAX($H$2, DATE(Initialisatie!$C$5,1,1)) + 1) &gt; 0, IFERROR(VALUE($H211),0)=0),
        AND(MAX(0, MIN($I$1, DATE(Initialisatie!$C$5,12,31)) - MAX($I$2, DATE(Initialisatie!$C$5,1,1)) + 1) &gt; 0, IFERROR(VALUE($I211),0)=0),
        AND(MAX(0, MIN($J$1, DATE(Initialisatie!$C$5,12,31)) - MAX($J$2, DATE(Initialisatie!$C$5,1,1)) + 1) &gt; 0, IFERROR(VALUE($J211),0)=0)
    ),
    0,
    SUM(
        IFERROR(VALUE($E211),0) * MAX(0, MIN($E$1, DATE(Initialisatie!$C$5,12,31)) - MAX($E$2, DATE(Initialisatie!$C$5,1,1)) + 1),
        IFERROR(VALUE($F211),0) * MAX(0, MIN($F$1, DATE(Initialisatie!$C$5,12,31)) - MAX($F$2, DATE(Initialisatie!$C$5,1,1)) + 1),
        IFERROR(VALUE($G211),0) * MAX(0, MIN($G$1, DATE(Initialisatie!$C$5,12,31)) - MAX($G$2, DATE(Initialisatie!$C$5,1,1)) + 1),
        IFERROR(VALUE($H211),0) * MAX(0, MIN($H$1, DATE(Initialisatie!$C$5,12,31)) - MAX($H$2, DATE(Initialisatie!$C$5,1,1)) + 1),
        IFERROR(VALUE($I211),0) * MAX(0, MIN($I$1, DATE(Initialisatie!$C$5,12,31)) - MAX($I$2, DATE(Initialisatie!$C$5,1,1)) + 1),
        IFERROR(VALUE($J211),0) * MAX(0, MIN($J$1, DATE(Initialisatie!$C$5,12,31)) - MAX($J$2, DATE(Initialisatie!$C$5,1,1)) + 1)
    ) / (DATE(Initialisatie!$C$5,12,31) - DATE(Initialisatie!$C$5,1,1) + 1)
)</f>
        <v>5323</v>
      </c>
    </row>
    <row r="212" spans="1:12" x14ac:dyDescent="0.45">
      <c r="A212" s="989"/>
      <c r="B212" s="35">
        <v>12</v>
      </c>
      <c r="C212" s="35">
        <v>12</v>
      </c>
      <c r="D212" s="35" t="s">
        <v>189</v>
      </c>
      <c r="E212">
        <v>4670</v>
      </c>
      <c r="F212">
        <v>4763</v>
      </c>
      <c r="G212">
        <v>5096</v>
      </c>
      <c r="H212">
        <v>5300</v>
      </c>
      <c r="I212">
        <v>5512</v>
      </c>
      <c r="J212">
        <v>5512</v>
      </c>
      <c r="L212">
        <f>IF(
    OR(
        AND(MAX(0, MIN($E$1, DATE(Initialisatie!$C$5,12,31)) - MAX($E$2, DATE(Initialisatie!$C$5,1,1)) + 1) &gt; 0, IFERROR(VALUE($E212),0)=0),
        AND(MAX(0, MIN($F$1, DATE(Initialisatie!$C$5,12,31)) - MAX($F$2, DATE(Initialisatie!$C$5,1,1)) + 1) &gt; 0, IFERROR(VALUE($F212),0)=0),
        AND(MAX(0, MIN($G$1, DATE(Initialisatie!$C$5,12,31)) - MAX($G$2, DATE(Initialisatie!$C$5,1,1)) + 1) &gt; 0, IFERROR(VALUE($G212),0)=0),
        AND(MAX(0, MIN($H$1, DATE(Initialisatie!$C$5,12,31)) - MAX($H$2, DATE(Initialisatie!$C$5,1,1)) + 1) &gt; 0, IFERROR(VALUE($H212),0)=0),
        AND(MAX(0, MIN($I$1, DATE(Initialisatie!$C$5,12,31)) - MAX($I$2, DATE(Initialisatie!$C$5,1,1)) + 1) &gt; 0, IFERROR(VALUE($I212),0)=0),
        AND(MAX(0, MIN($J$1, DATE(Initialisatie!$C$5,12,31)) - MAX($J$2, DATE(Initialisatie!$C$5,1,1)) + 1) &gt; 0, IFERROR(VALUE($J212),0)=0)
    ),
    0,
    SUM(
        IFERROR(VALUE($E212),0) * MAX(0, MIN($E$1, DATE(Initialisatie!$C$5,12,31)) - MAX($E$2, DATE(Initialisatie!$C$5,1,1)) + 1),
        IFERROR(VALUE($F212),0) * MAX(0, MIN($F$1, DATE(Initialisatie!$C$5,12,31)) - MAX($F$2, DATE(Initialisatie!$C$5,1,1)) + 1),
        IFERROR(VALUE($G212),0) * MAX(0, MIN($G$1, DATE(Initialisatie!$C$5,12,31)) - MAX($G$2, DATE(Initialisatie!$C$5,1,1)) + 1),
        IFERROR(VALUE($H212),0) * MAX(0, MIN($H$1, DATE(Initialisatie!$C$5,12,31)) - MAX($H$2, DATE(Initialisatie!$C$5,1,1)) + 1),
        IFERROR(VALUE($I212),0) * MAX(0, MIN($I$1, DATE(Initialisatie!$C$5,12,31)) - MAX($I$2, DATE(Initialisatie!$C$5,1,1)) + 1),
        IFERROR(VALUE($J212),0) * MAX(0, MIN($J$1, DATE(Initialisatie!$C$5,12,31)) - MAX($J$2, DATE(Initialisatie!$C$5,1,1)) + 1)
    ) / (DATE(Initialisatie!$C$5,12,31) - DATE(Initialisatie!$C$5,1,1) + 1)
)</f>
        <v>5512</v>
      </c>
    </row>
    <row r="213" spans="1:12" x14ac:dyDescent="0.45">
      <c r="A213" s="989"/>
      <c r="B213" s="35">
        <v>13</v>
      </c>
      <c r="C213" s="35">
        <v>13</v>
      </c>
      <c r="D213" s="35" t="s">
        <v>188</v>
      </c>
      <c r="E213">
        <v>4830</v>
      </c>
      <c r="F213">
        <v>4927</v>
      </c>
      <c r="G213">
        <v>5272</v>
      </c>
      <c r="H213">
        <v>5483</v>
      </c>
      <c r="I213">
        <v>5702</v>
      </c>
      <c r="J213">
        <v>5702</v>
      </c>
      <c r="L213">
        <f>IF(
    OR(
        AND(MAX(0, MIN($E$1, DATE(Initialisatie!$C$5,12,31)) - MAX($E$2, DATE(Initialisatie!$C$5,1,1)) + 1) &gt; 0, IFERROR(VALUE($E213),0)=0),
        AND(MAX(0, MIN($F$1, DATE(Initialisatie!$C$5,12,31)) - MAX($F$2, DATE(Initialisatie!$C$5,1,1)) + 1) &gt; 0, IFERROR(VALUE($F213),0)=0),
        AND(MAX(0, MIN($G$1, DATE(Initialisatie!$C$5,12,31)) - MAX($G$2, DATE(Initialisatie!$C$5,1,1)) + 1) &gt; 0, IFERROR(VALUE($G213),0)=0),
        AND(MAX(0, MIN($H$1, DATE(Initialisatie!$C$5,12,31)) - MAX($H$2, DATE(Initialisatie!$C$5,1,1)) + 1) &gt; 0, IFERROR(VALUE($H213),0)=0),
        AND(MAX(0, MIN($I$1, DATE(Initialisatie!$C$5,12,31)) - MAX($I$2, DATE(Initialisatie!$C$5,1,1)) + 1) &gt; 0, IFERROR(VALUE($I213),0)=0),
        AND(MAX(0, MIN($J$1, DATE(Initialisatie!$C$5,12,31)) - MAX($J$2, DATE(Initialisatie!$C$5,1,1)) + 1) &gt; 0, IFERROR(VALUE($J213),0)=0)
    ),
    0,
    SUM(
        IFERROR(VALUE($E213),0) * MAX(0, MIN($E$1, DATE(Initialisatie!$C$5,12,31)) - MAX($E$2, DATE(Initialisatie!$C$5,1,1)) + 1),
        IFERROR(VALUE($F213),0) * MAX(0, MIN($F$1, DATE(Initialisatie!$C$5,12,31)) - MAX($F$2, DATE(Initialisatie!$C$5,1,1)) + 1),
        IFERROR(VALUE($G213),0) * MAX(0, MIN($G$1, DATE(Initialisatie!$C$5,12,31)) - MAX($G$2, DATE(Initialisatie!$C$5,1,1)) + 1),
        IFERROR(VALUE($H213),0) * MAX(0, MIN($H$1, DATE(Initialisatie!$C$5,12,31)) - MAX($H$2, DATE(Initialisatie!$C$5,1,1)) + 1),
        IFERROR(VALUE($I213),0) * MAX(0, MIN($I$1, DATE(Initialisatie!$C$5,12,31)) - MAX($I$2, DATE(Initialisatie!$C$5,1,1)) + 1),
        IFERROR(VALUE($J213),0) * MAX(0, MIN($J$1, DATE(Initialisatie!$C$5,12,31)) - MAX($J$2, DATE(Initialisatie!$C$5,1,1)) + 1)
    ) / (DATE(Initialisatie!$C$5,12,31) - DATE(Initialisatie!$C$5,1,1) + 1)
)</f>
        <v>5702</v>
      </c>
    </row>
    <row r="214" spans="1:12" x14ac:dyDescent="0.45">
      <c r="A214" s="989"/>
      <c r="B214" s="35" t="s">
        <v>531</v>
      </c>
      <c r="C214" s="35" t="s">
        <v>531</v>
      </c>
      <c r="D214" s="35" t="s">
        <v>637</v>
      </c>
      <c r="E214">
        <v>5003</v>
      </c>
      <c r="F214">
        <v>5103</v>
      </c>
      <c r="G214">
        <v>5460</v>
      </c>
      <c r="H214">
        <v>5678</v>
      </c>
      <c r="I214">
        <v>5905</v>
      </c>
      <c r="J214">
        <v>5905</v>
      </c>
      <c r="L214">
        <f>IF(
    OR(
        AND(MAX(0, MIN($E$1, DATE(Initialisatie!$C$5,12,31)) - MAX($E$2, DATE(Initialisatie!$C$5,1,1)) + 1) &gt; 0, IFERROR(VALUE($E214),0)=0),
        AND(MAX(0, MIN($F$1, DATE(Initialisatie!$C$5,12,31)) - MAX($F$2, DATE(Initialisatie!$C$5,1,1)) + 1) &gt; 0, IFERROR(VALUE($F214),0)=0),
        AND(MAX(0, MIN($G$1, DATE(Initialisatie!$C$5,12,31)) - MAX($G$2, DATE(Initialisatie!$C$5,1,1)) + 1) &gt; 0, IFERROR(VALUE($G214),0)=0),
        AND(MAX(0, MIN($H$1, DATE(Initialisatie!$C$5,12,31)) - MAX($H$2, DATE(Initialisatie!$C$5,1,1)) + 1) &gt; 0, IFERROR(VALUE($H214),0)=0),
        AND(MAX(0, MIN($I$1, DATE(Initialisatie!$C$5,12,31)) - MAX($I$2, DATE(Initialisatie!$C$5,1,1)) + 1) &gt; 0, IFERROR(VALUE($I214),0)=0),
        AND(MAX(0, MIN($J$1, DATE(Initialisatie!$C$5,12,31)) - MAX($J$2, DATE(Initialisatie!$C$5,1,1)) + 1) &gt; 0, IFERROR(VALUE($J214),0)=0)
    ),
    0,
    SUM(
        IFERROR(VALUE($E214),0) * MAX(0, MIN($E$1, DATE(Initialisatie!$C$5,12,31)) - MAX($E$2, DATE(Initialisatie!$C$5,1,1)) + 1),
        IFERROR(VALUE($F214),0) * MAX(0, MIN($F$1, DATE(Initialisatie!$C$5,12,31)) - MAX($F$2, DATE(Initialisatie!$C$5,1,1)) + 1),
        IFERROR(VALUE($G214),0) * MAX(0, MIN($G$1, DATE(Initialisatie!$C$5,12,31)) - MAX($G$2, DATE(Initialisatie!$C$5,1,1)) + 1),
        IFERROR(VALUE($H214),0) * MAX(0, MIN($H$1, DATE(Initialisatie!$C$5,12,31)) - MAX($H$2, DATE(Initialisatie!$C$5,1,1)) + 1),
        IFERROR(VALUE($I214),0) * MAX(0, MIN($I$1, DATE(Initialisatie!$C$5,12,31)) - MAX($I$2, DATE(Initialisatie!$C$5,1,1)) + 1),
        IFERROR(VALUE($J214),0) * MAX(0, MIN($J$1, DATE(Initialisatie!$C$5,12,31)) - MAX($J$2, DATE(Initialisatie!$C$5,1,1)) + 1)
    ) / (DATE(Initialisatie!$C$5,12,31) - DATE(Initialisatie!$C$5,1,1) + 1)
)</f>
        <v>5905</v>
      </c>
    </row>
    <row r="215" spans="1:12" x14ac:dyDescent="0.45">
      <c r="A215" s="989"/>
      <c r="B215" s="35" t="s">
        <v>533</v>
      </c>
      <c r="C215" s="35" t="s">
        <v>533</v>
      </c>
      <c r="D215" s="35" t="s">
        <v>638</v>
      </c>
      <c r="E215">
        <v>5174</v>
      </c>
      <c r="F215">
        <v>5277</v>
      </c>
      <c r="G215">
        <v>5646</v>
      </c>
      <c r="H215">
        <v>5872</v>
      </c>
      <c r="I215">
        <v>6107</v>
      </c>
      <c r="J215">
        <v>6107</v>
      </c>
      <c r="L215">
        <f>IF(
    OR(
        AND(MAX(0, MIN($E$1, DATE(Initialisatie!$C$5,12,31)) - MAX($E$2, DATE(Initialisatie!$C$5,1,1)) + 1) &gt; 0, IFERROR(VALUE($E215),0)=0),
        AND(MAX(0, MIN($F$1, DATE(Initialisatie!$C$5,12,31)) - MAX($F$2, DATE(Initialisatie!$C$5,1,1)) + 1) &gt; 0, IFERROR(VALUE($F215),0)=0),
        AND(MAX(0, MIN($G$1, DATE(Initialisatie!$C$5,12,31)) - MAX($G$2, DATE(Initialisatie!$C$5,1,1)) + 1) &gt; 0, IFERROR(VALUE($G215),0)=0),
        AND(MAX(0, MIN($H$1, DATE(Initialisatie!$C$5,12,31)) - MAX($H$2, DATE(Initialisatie!$C$5,1,1)) + 1) &gt; 0, IFERROR(VALUE($H215),0)=0),
        AND(MAX(0, MIN($I$1, DATE(Initialisatie!$C$5,12,31)) - MAX($I$2, DATE(Initialisatie!$C$5,1,1)) + 1) &gt; 0, IFERROR(VALUE($I215),0)=0),
        AND(MAX(0, MIN($J$1, DATE(Initialisatie!$C$5,12,31)) - MAX($J$2, DATE(Initialisatie!$C$5,1,1)) + 1) &gt; 0, IFERROR(VALUE($J215),0)=0)
    ),
    0,
    SUM(
        IFERROR(VALUE($E215),0) * MAX(0, MIN($E$1, DATE(Initialisatie!$C$5,12,31)) - MAX($E$2, DATE(Initialisatie!$C$5,1,1)) + 1),
        IFERROR(VALUE($F215),0) * MAX(0, MIN($F$1, DATE(Initialisatie!$C$5,12,31)) - MAX($F$2, DATE(Initialisatie!$C$5,1,1)) + 1),
        IFERROR(VALUE($G215),0) * MAX(0, MIN($G$1, DATE(Initialisatie!$C$5,12,31)) - MAX($G$2, DATE(Initialisatie!$C$5,1,1)) + 1),
        IFERROR(VALUE($H215),0) * MAX(0, MIN($H$1, DATE(Initialisatie!$C$5,12,31)) - MAX($H$2, DATE(Initialisatie!$C$5,1,1)) + 1),
        IFERROR(VALUE($I215),0) * MAX(0, MIN($I$1, DATE(Initialisatie!$C$5,12,31)) - MAX($I$2, DATE(Initialisatie!$C$5,1,1)) + 1),
        IFERROR(VALUE($J215),0) * MAX(0, MIN($J$1, DATE(Initialisatie!$C$5,12,31)) - MAX($J$2, DATE(Initialisatie!$C$5,1,1)) + 1)
    ) / (DATE(Initialisatie!$C$5,12,31) - DATE(Initialisatie!$C$5,1,1) + 1)
)</f>
        <v>6107</v>
      </c>
    </row>
    <row r="216" spans="1:12" x14ac:dyDescent="0.45">
      <c r="A216" s="989"/>
      <c r="B216" s="35" t="s">
        <v>535</v>
      </c>
      <c r="C216" s="35" t="s">
        <v>535</v>
      </c>
      <c r="D216" s="35" t="s">
        <v>639</v>
      </c>
      <c r="E216">
        <v>5003</v>
      </c>
      <c r="F216">
        <v>5103</v>
      </c>
      <c r="G216">
        <v>5460</v>
      </c>
      <c r="H216">
        <v>5678</v>
      </c>
      <c r="I216">
        <v>5905</v>
      </c>
      <c r="J216">
        <v>5905</v>
      </c>
      <c r="L216">
        <f>IF(
    OR(
        AND(MAX(0, MIN($E$1, DATE(Initialisatie!$C$5,12,31)) - MAX($E$2, DATE(Initialisatie!$C$5,1,1)) + 1) &gt; 0, IFERROR(VALUE($E216),0)=0),
        AND(MAX(0, MIN($F$1, DATE(Initialisatie!$C$5,12,31)) - MAX($F$2, DATE(Initialisatie!$C$5,1,1)) + 1) &gt; 0, IFERROR(VALUE($F216),0)=0),
        AND(MAX(0, MIN($G$1, DATE(Initialisatie!$C$5,12,31)) - MAX($G$2, DATE(Initialisatie!$C$5,1,1)) + 1) &gt; 0, IFERROR(VALUE($G216),0)=0),
        AND(MAX(0, MIN($H$1, DATE(Initialisatie!$C$5,12,31)) - MAX($H$2, DATE(Initialisatie!$C$5,1,1)) + 1) &gt; 0, IFERROR(VALUE($H216),0)=0),
        AND(MAX(0, MIN($I$1, DATE(Initialisatie!$C$5,12,31)) - MAX($I$2, DATE(Initialisatie!$C$5,1,1)) + 1) &gt; 0, IFERROR(VALUE($I216),0)=0),
        AND(MAX(0, MIN($J$1, DATE(Initialisatie!$C$5,12,31)) - MAX($J$2, DATE(Initialisatie!$C$5,1,1)) + 1) &gt; 0, IFERROR(VALUE($J216),0)=0)
    ),
    0,
    SUM(
        IFERROR(VALUE($E216),0) * MAX(0, MIN($E$1, DATE(Initialisatie!$C$5,12,31)) - MAX($E$2, DATE(Initialisatie!$C$5,1,1)) + 1),
        IFERROR(VALUE($F216),0) * MAX(0, MIN($F$1, DATE(Initialisatie!$C$5,12,31)) - MAX($F$2, DATE(Initialisatie!$C$5,1,1)) + 1),
        IFERROR(VALUE($G216),0) * MAX(0, MIN($G$1, DATE(Initialisatie!$C$5,12,31)) - MAX($G$2, DATE(Initialisatie!$C$5,1,1)) + 1),
        IFERROR(VALUE($H216),0) * MAX(0, MIN($H$1, DATE(Initialisatie!$C$5,12,31)) - MAX($H$2, DATE(Initialisatie!$C$5,1,1)) + 1),
        IFERROR(VALUE($I216),0) * MAX(0, MIN($I$1, DATE(Initialisatie!$C$5,12,31)) - MAX($I$2, DATE(Initialisatie!$C$5,1,1)) + 1),
        IFERROR(VALUE($J216),0) * MAX(0, MIN($J$1, DATE(Initialisatie!$C$5,12,31)) - MAX($J$2, DATE(Initialisatie!$C$5,1,1)) + 1)
    ) / (DATE(Initialisatie!$C$5,12,31) - DATE(Initialisatie!$C$5,1,1) + 1)
)</f>
        <v>5905</v>
      </c>
    </row>
    <row r="217" spans="1:12" x14ac:dyDescent="0.45">
      <c r="A217" s="989"/>
      <c r="B217" s="35" t="s">
        <v>537</v>
      </c>
      <c r="C217" s="35" t="s">
        <v>537</v>
      </c>
      <c r="D217" s="35" t="s">
        <v>640</v>
      </c>
      <c r="E217">
        <v>5174</v>
      </c>
      <c r="F217">
        <v>5277</v>
      </c>
      <c r="G217">
        <v>5646</v>
      </c>
      <c r="H217">
        <v>5872</v>
      </c>
      <c r="I217">
        <v>6107</v>
      </c>
      <c r="J217">
        <v>6107</v>
      </c>
      <c r="L217">
        <f>IF(
    OR(
        AND(MAX(0, MIN($E$1, DATE(Initialisatie!$C$5,12,31)) - MAX($E$2, DATE(Initialisatie!$C$5,1,1)) + 1) &gt; 0, IFERROR(VALUE($E217),0)=0),
        AND(MAX(0, MIN($F$1, DATE(Initialisatie!$C$5,12,31)) - MAX($F$2, DATE(Initialisatie!$C$5,1,1)) + 1) &gt; 0, IFERROR(VALUE($F217),0)=0),
        AND(MAX(0, MIN($G$1, DATE(Initialisatie!$C$5,12,31)) - MAX($G$2, DATE(Initialisatie!$C$5,1,1)) + 1) &gt; 0, IFERROR(VALUE($G217),0)=0),
        AND(MAX(0, MIN($H$1, DATE(Initialisatie!$C$5,12,31)) - MAX($H$2, DATE(Initialisatie!$C$5,1,1)) + 1) &gt; 0, IFERROR(VALUE($H217),0)=0),
        AND(MAX(0, MIN($I$1, DATE(Initialisatie!$C$5,12,31)) - MAX($I$2, DATE(Initialisatie!$C$5,1,1)) + 1) &gt; 0, IFERROR(VALUE($I217),0)=0),
        AND(MAX(0, MIN($J$1, DATE(Initialisatie!$C$5,12,31)) - MAX($J$2, DATE(Initialisatie!$C$5,1,1)) + 1) &gt; 0, IFERROR(VALUE($J217),0)=0)
    ),
    0,
    SUM(
        IFERROR(VALUE($E217),0) * MAX(0, MIN($E$1, DATE(Initialisatie!$C$5,12,31)) - MAX($E$2, DATE(Initialisatie!$C$5,1,1)) + 1),
        IFERROR(VALUE($F217),0) * MAX(0, MIN($F$1, DATE(Initialisatie!$C$5,12,31)) - MAX($F$2, DATE(Initialisatie!$C$5,1,1)) + 1),
        IFERROR(VALUE($G217),0) * MAX(0, MIN($G$1, DATE(Initialisatie!$C$5,12,31)) - MAX($G$2, DATE(Initialisatie!$C$5,1,1)) + 1),
        IFERROR(VALUE($H217),0) * MAX(0, MIN($H$1, DATE(Initialisatie!$C$5,12,31)) - MAX($H$2, DATE(Initialisatie!$C$5,1,1)) + 1),
        IFERROR(VALUE($I217),0) * MAX(0, MIN($I$1, DATE(Initialisatie!$C$5,12,31)) - MAX($I$2, DATE(Initialisatie!$C$5,1,1)) + 1),
        IFERROR(VALUE($J217),0) * MAX(0, MIN($J$1, DATE(Initialisatie!$C$5,12,31)) - MAX($J$2, DATE(Initialisatie!$C$5,1,1)) + 1)
    ) / (DATE(Initialisatie!$C$5,12,31) - DATE(Initialisatie!$C$5,1,1) + 1)
)</f>
        <v>6107</v>
      </c>
    </row>
    <row r="218" spans="1:12" x14ac:dyDescent="0.45">
      <c r="A218" s="989"/>
      <c r="B218" s="35" t="s">
        <v>539</v>
      </c>
      <c r="C218" s="35" t="s">
        <v>539</v>
      </c>
      <c r="D218" s="35" t="s">
        <v>641</v>
      </c>
      <c r="E218">
        <v>5356</v>
      </c>
      <c r="F218">
        <v>5463</v>
      </c>
      <c r="G218">
        <v>5845</v>
      </c>
      <c r="H218">
        <v>6079</v>
      </c>
      <c r="I218">
        <v>6322</v>
      </c>
      <c r="J218">
        <v>6322</v>
      </c>
      <c r="L218">
        <f>IF(
    OR(
        AND(MAX(0, MIN($E$1, DATE(Initialisatie!$C$5,12,31)) - MAX($E$2, DATE(Initialisatie!$C$5,1,1)) + 1) &gt; 0, IFERROR(VALUE($E218),0)=0),
        AND(MAX(0, MIN($F$1, DATE(Initialisatie!$C$5,12,31)) - MAX($F$2, DATE(Initialisatie!$C$5,1,1)) + 1) &gt; 0, IFERROR(VALUE($F218),0)=0),
        AND(MAX(0, MIN($G$1, DATE(Initialisatie!$C$5,12,31)) - MAX($G$2, DATE(Initialisatie!$C$5,1,1)) + 1) &gt; 0, IFERROR(VALUE($G218),0)=0),
        AND(MAX(0, MIN($H$1, DATE(Initialisatie!$C$5,12,31)) - MAX($H$2, DATE(Initialisatie!$C$5,1,1)) + 1) &gt; 0, IFERROR(VALUE($H218),0)=0),
        AND(MAX(0, MIN($I$1, DATE(Initialisatie!$C$5,12,31)) - MAX($I$2, DATE(Initialisatie!$C$5,1,1)) + 1) &gt; 0, IFERROR(VALUE($I218),0)=0),
        AND(MAX(0, MIN($J$1, DATE(Initialisatie!$C$5,12,31)) - MAX($J$2, DATE(Initialisatie!$C$5,1,1)) + 1) &gt; 0, IFERROR(VALUE($J218),0)=0)
    ),
    0,
    SUM(
        IFERROR(VALUE($E218),0) * MAX(0, MIN($E$1, DATE(Initialisatie!$C$5,12,31)) - MAX($E$2, DATE(Initialisatie!$C$5,1,1)) + 1),
        IFERROR(VALUE($F218),0) * MAX(0, MIN($F$1, DATE(Initialisatie!$C$5,12,31)) - MAX($F$2, DATE(Initialisatie!$C$5,1,1)) + 1),
        IFERROR(VALUE($G218),0) * MAX(0, MIN($G$1, DATE(Initialisatie!$C$5,12,31)) - MAX($G$2, DATE(Initialisatie!$C$5,1,1)) + 1),
        IFERROR(VALUE($H218),0) * MAX(0, MIN($H$1, DATE(Initialisatie!$C$5,12,31)) - MAX($H$2, DATE(Initialisatie!$C$5,1,1)) + 1),
        IFERROR(VALUE($I218),0) * MAX(0, MIN($I$1, DATE(Initialisatie!$C$5,12,31)) - MAX($I$2, DATE(Initialisatie!$C$5,1,1)) + 1),
        IFERROR(VALUE($J218),0) * MAX(0, MIN($J$1, DATE(Initialisatie!$C$5,12,31)) - MAX($J$2, DATE(Initialisatie!$C$5,1,1)) + 1)
    ) / (DATE(Initialisatie!$C$5,12,31) - DATE(Initialisatie!$C$5,1,1) + 1)
)</f>
        <v>6322</v>
      </c>
    </row>
    <row r="219" spans="1:12" x14ac:dyDescent="0.45">
      <c r="A219" s="989"/>
      <c r="B219" s="35" t="s">
        <v>541</v>
      </c>
      <c r="C219" s="35" t="s">
        <v>541</v>
      </c>
      <c r="D219" s="35" t="s">
        <v>642</v>
      </c>
      <c r="E219">
        <v>5548</v>
      </c>
      <c r="F219">
        <v>5659</v>
      </c>
      <c r="G219">
        <v>6055</v>
      </c>
      <c r="H219">
        <v>6297</v>
      </c>
      <c r="I219">
        <v>6549</v>
      </c>
      <c r="J219">
        <v>6549</v>
      </c>
      <c r="L219">
        <f>IF(
    OR(
        AND(MAX(0, MIN($E$1, DATE(Initialisatie!$C$5,12,31)) - MAX($E$2, DATE(Initialisatie!$C$5,1,1)) + 1) &gt; 0, IFERROR(VALUE($E219),0)=0),
        AND(MAX(0, MIN($F$1, DATE(Initialisatie!$C$5,12,31)) - MAX($F$2, DATE(Initialisatie!$C$5,1,1)) + 1) &gt; 0, IFERROR(VALUE($F219),0)=0),
        AND(MAX(0, MIN($G$1, DATE(Initialisatie!$C$5,12,31)) - MAX($G$2, DATE(Initialisatie!$C$5,1,1)) + 1) &gt; 0, IFERROR(VALUE($G219),0)=0),
        AND(MAX(0, MIN($H$1, DATE(Initialisatie!$C$5,12,31)) - MAX($H$2, DATE(Initialisatie!$C$5,1,1)) + 1) &gt; 0, IFERROR(VALUE($H219),0)=0),
        AND(MAX(0, MIN($I$1, DATE(Initialisatie!$C$5,12,31)) - MAX($I$2, DATE(Initialisatie!$C$5,1,1)) + 1) &gt; 0, IFERROR(VALUE($I219),0)=0),
        AND(MAX(0, MIN($J$1, DATE(Initialisatie!$C$5,12,31)) - MAX($J$2, DATE(Initialisatie!$C$5,1,1)) + 1) &gt; 0, IFERROR(VALUE($J219),0)=0)
    ),
    0,
    SUM(
        IFERROR(VALUE($E219),0) * MAX(0, MIN($E$1, DATE(Initialisatie!$C$5,12,31)) - MAX($E$2, DATE(Initialisatie!$C$5,1,1)) + 1),
        IFERROR(VALUE($F219),0) * MAX(0, MIN($F$1, DATE(Initialisatie!$C$5,12,31)) - MAX($F$2, DATE(Initialisatie!$C$5,1,1)) + 1),
        IFERROR(VALUE($G219),0) * MAX(0, MIN($G$1, DATE(Initialisatie!$C$5,12,31)) - MAX($G$2, DATE(Initialisatie!$C$5,1,1)) + 1),
        IFERROR(VALUE($H219),0) * MAX(0, MIN($H$1, DATE(Initialisatie!$C$5,12,31)) - MAX($H$2, DATE(Initialisatie!$C$5,1,1)) + 1),
        IFERROR(VALUE($I219),0) * MAX(0, MIN($I$1, DATE(Initialisatie!$C$5,12,31)) - MAX($I$2, DATE(Initialisatie!$C$5,1,1)) + 1),
        IFERROR(VALUE($J219),0) * MAX(0, MIN($J$1, DATE(Initialisatie!$C$5,12,31)) - MAX($J$2, DATE(Initialisatie!$C$5,1,1)) + 1)
    ) / (DATE(Initialisatie!$C$5,12,31) - DATE(Initialisatie!$C$5,1,1) + 1)
)</f>
        <v>6549</v>
      </c>
    </row>
    <row r="220" spans="1:12" x14ac:dyDescent="0.45">
      <c r="A220" s="990"/>
      <c r="B220" s="35" t="s">
        <v>543</v>
      </c>
      <c r="C220" s="35" t="s">
        <v>543</v>
      </c>
      <c r="D220" s="35" t="s">
        <v>643</v>
      </c>
      <c r="E220">
        <v>5743</v>
      </c>
      <c r="F220">
        <v>5858</v>
      </c>
      <c r="G220">
        <v>6268</v>
      </c>
      <c r="H220">
        <v>6519</v>
      </c>
      <c r="I220">
        <v>6780</v>
      </c>
      <c r="J220">
        <v>6780</v>
      </c>
      <c r="L220">
        <f>IF(
    OR(
        AND(MAX(0, MIN($E$1, DATE(Initialisatie!$C$5,12,31)) - MAX($E$2, DATE(Initialisatie!$C$5,1,1)) + 1) &gt; 0, IFERROR(VALUE($E220),0)=0),
        AND(MAX(0, MIN($F$1, DATE(Initialisatie!$C$5,12,31)) - MAX($F$2, DATE(Initialisatie!$C$5,1,1)) + 1) &gt; 0, IFERROR(VALUE($F220),0)=0),
        AND(MAX(0, MIN($G$1, DATE(Initialisatie!$C$5,12,31)) - MAX($G$2, DATE(Initialisatie!$C$5,1,1)) + 1) &gt; 0, IFERROR(VALUE($G220),0)=0),
        AND(MAX(0, MIN($H$1, DATE(Initialisatie!$C$5,12,31)) - MAX($H$2, DATE(Initialisatie!$C$5,1,1)) + 1) &gt; 0, IFERROR(VALUE($H220),0)=0),
        AND(MAX(0, MIN($I$1, DATE(Initialisatie!$C$5,12,31)) - MAX($I$2, DATE(Initialisatie!$C$5,1,1)) + 1) &gt; 0, IFERROR(VALUE($I220),0)=0),
        AND(MAX(0, MIN($J$1, DATE(Initialisatie!$C$5,12,31)) - MAX($J$2, DATE(Initialisatie!$C$5,1,1)) + 1) &gt; 0, IFERROR(VALUE($J220),0)=0)
    ),
    0,
    SUM(
        IFERROR(VALUE($E220),0) * MAX(0, MIN($E$1, DATE(Initialisatie!$C$5,12,31)) - MAX($E$2, DATE(Initialisatie!$C$5,1,1)) + 1),
        IFERROR(VALUE($F220),0) * MAX(0, MIN($F$1, DATE(Initialisatie!$C$5,12,31)) - MAX($F$2, DATE(Initialisatie!$C$5,1,1)) + 1),
        IFERROR(VALUE($G220),0) * MAX(0, MIN($G$1, DATE(Initialisatie!$C$5,12,31)) - MAX($G$2, DATE(Initialisatie!$C$5,1,1)) + 1),
        IFERROR(VALUE($H220),0) * MAX(0, MIN($H$1, DATE(Initialisatie!$C$5,12,31)) - MAX($H$2, DATE(Initialisatie!$C$5,1,1)) + 1),
        IFERROR(VALUE($I220),0) * MAX(0, MIN($I$1, DATE(Initialisatie!$C$5,12,31)) - MAX($I$2, DATE(Initialisatie!$C$5,1,1)) + 1),
        IFERROR(VALUE($J220),0) * MAX(0, MIN($J$1, DATE(Initialisatie!$C$5,12,31)) - MAX($J$2, DATE(Initialisatie!$C$5,1,1)) + 1)
    ) / (DATE(Initialisatie!$C$5,12,31) - DATE(Initialisatie!$C$5,1,1) + 1)
)</f>
        <v>6780</v>
      </c>
    </row>
    <row r="221" spans="1:12" x14ac:dyDescent="0.45">
      <c r="A221" s="988">
        <v>11</v>
      </c>
      <c r="B221" s="35" t="s">
        <v>517</v>
      </c>
      <c r="C221" s="35" t="s">
        <v>517</v>
      </c>
      <c r="D221" s="35" t="s">
        <v>644</v>
      </c>
      <c r="E221">
        <v>3449</v>
      </c>
      <c r="F221">
        <v>3518</v>
      </c>
      <c r="G221">
        <v>3764</v>
      </c>
      <c r="H221">
        <v>3915</v>
      </c>
      <c r="I221">
        <v>4072</v>
      </c>
      <c r="J221">
        <v>4072</v>
      </c>
      <c r="L221">
        <f>IF(
    OR(
        AND(MAX(0, MIN($E$1, DATE(Initialisatie!$C$5,12,31)) - MAX($E$2, DATE(Initialisatie!$C$5,1,1)) + 1) &gt; 0, IFERROR(VALUE($E221),0)=0),
        AND(MAX(0, MIN($F$1, DATE(Initialisatie!$C$5,12,31)) - MAX($F$2, DATE(Initialisatie!$C$5,1,1)) + 1) &gt; 0, IFERROR(VALUE($F221),0)=0),
        AND(MAX(0, MIN($G$1, DATE(Initialisatie!$C$5,12,31)) - MAX($G$2, DATE(Initialisatie!$C$5,1,1)) + 1) &gt; 0, IFERROR(VALUE($G221),0)=0),
        AND(MAX(0, MIN($H$1, DATE(Initialisatie!$C$5,12,31)) - MAX($H$2, DATE(Initialisatie!$C$5,1,1)) + 1) &gt; 0, IFERROR(VALUE($H221),0)=0),
        AND(MAX(0, MIN($I$1, DATE(Initialisatie!$C$5,12,31)) - MAX($I$2, DATE(Initialisatie!$C$5,1,1)) + 1) &gt; 0, IFERROR(VALUE($I221),0)=0),
        AND(MAX(0, MIN($J$1, DATE(Initialisatie!$C$5,12,31)) - MAX($J$2, DATE(Initialisatie!$C$5,1,1)) + 1) &gt; 0, IFERROR(VALUE($J221),0)=0)
    ),
    0,
    SUM(
        IFERROR(VALUE($E221),0) * MAX(0, MIN($E$1, DATE(Initialisatie!$C$5,12,31)) - MAX($E$2, DATE(Initialisatie!$C$5,1,1)) + 1),
        IFERROR(VALUE($F221),0) * MAX(0, MIN($F$1, DATE(Initialisatie!$C$5,12,31)) - MAX($F$2, DATE(Initialisatie!$C$5,1,1)) + 1),
        IFERROR(VALUE($G221),0) * MAX(0, MIN($G$1, DATE(Initialisatie!$C$5,12,31)) - MAX($G$2, DATE(Initialisatie!$C$5,1,1)) + 1),
        IFERROR(VALUE($H221),0) * MAX(0, MIN($H$1, DATE(Initialisatie!$C$5,12,31)) - MAX($H$2, DATE(Initialisatie!$C$5,1,1)) + 1),
        IFERROR(VALUE($I221),0) * MAX(0, MIN($I$1, DATE(Initialisatie!$C$5,12,31)) - MAX($I$2, DATE(Initialisatie!$C$5,1,1)) + 1),
        IFERROR(VALUE($J221),0) * MAX(0, MIN($J$1, DATE(Initialisatie!$C$5,12,31)) - MAX($J$2, DATE(Initialisatie!$C$5,1,1)) + 1)
    ) / (DATE(Initialisatie!$C$5,12,31) - DATE(Initialisatie!$C$5,1,1) + 1)
)</f>
        <v>4072</v>
      </c>
    </row>
    <row r="222" spans="1:12" x14ac:dyDescent="0.45">
      <c r="A222" s="989"/>
      <c r="B222" s="35">
        <v>0</v>
      </c>
      <c r="C222" s="35">
        <v>0</v>
      </c>
      <c r="D222" s="35" t="s">
        <v>177</v>
      </c>
      <c r="E222">
        <v>3508</v>
      </c>
      <c r="F222">
        <v>3578</v>
      </c>
      <c r="G222">
        <v>3828</v>
      </c>
      <c r="H222">
        <v>3981</v>
      </c>
      <c r="I222">
        <v>4140</v>
      </c>
      <c r="J222">
        <v>4140</v>
      </c>
      <c r="L222">
        <f>IF(
    OR(
        AND(MAX(0, MIN($E$1, DATE(Initialisatie!$C$5,12,31)) - MAX($E$2, DATE(Initialisatie!$C$5,1,1)) + 1) &gt; 0, IFERROR(VALUE($E222),0)=0),
        AND(MAX(0, MIN($F$1, DATE(Initialisatie!$C$5,12,31)) - MAX($F$2, DATE(Initialisatie!$C$5,1,1)) + 1) &gt; 0, IFERROR(VALUE($F222),0)=0),
        AND(MAX(0, MIN($G$1, DATE(Initialisatie!$C$5,12,31)) - MAX($G$2, DATE(Initialisatie!$C$5,1,1)) + 1) &gt; 0, IFERROR(VALUE($G222),0)=0),
        AND(MAX(0, MIN($H$1, DATE(Initialisatie!$C$5,12,31)) - MAX($H$2, DATE(Initialisatie!$C$5,1,1)) + 1) &gt; 0, IFERROR(VALUE($H222),0)=0),
        AND(MAX(0, MIN($I$1, DATE(Initialisatie!$C$5,12,31)) - MAX($I$2, DATE(Initialisatie!$C$5,1,1)) + 1) &gt; 0, IFERROR(VALUE($I222),0)=0),
        AND(MAX(0, MIN($J$1, DATE(Initialisatie!$C$5,12,31)) - MAX($J$2, DATE(Initialisatie!$C$5,1,1)) + 1) &gt; 0, IFERROR(VALUE($J222),0)=0)
    ),
    0,
    SUM(
        IFERROR(VALUE($E222),0) * MAX(0, MIN($E$1, DATE(Initialisatie!$C$5,12,31)) - MAX($E$2, DATE(Initialisatie!$C$5,1,1)) + 1),
        IFERROR(VALUE($F222),0) * MAX(0, MIN($F$1, DATE(Initialisatie!$C$5,12,31)) - MAX($F$2, DATE(Initialisatie!$C$5,1,1)) + 1),
        IFERROR(VALUE($G222),0) * MAX(0, MIN($G$1, DATE(Initialisatie!$C$5,12,31)) - MAX($G$2, DATE(Initialisatie!$C$5,1,1)) + 1),
        IFERROR(VALUE($H222),0) * MAX(0, MIN($H$1, DATE(Initialisatie!$C$5,12,31)) - MAX($H$2, DATE(Initialisatie!$C$5,1,1)) + 1),
        IFERROR(VALUE($I222),0) * MAX(0, MIN($I$1, DATE(Initialisatie!$C$5,12,31)) - MAX($I$2, DATE(Initialisatie!$C$5,1,1)) + 1),
        IFERROR(VALUE($J222),0) * MAX(0, MIN($J$1, DATE(Initialisatie!$C$5,12,31)) - MAX($J$2, DATE(Initialisatie!$C$5,1,1)) + 1)
    ) / (DATE(Initialisatie!$C$5,12,31) - DATE(Initialisatie!$C$5,1,1) + 1)
)</f>
        <v>4140</v>
      </c>
    </row>
    <row r="223" spans="1:12" x14ac:dyDescent="0.45">
      <c r="A223" s="989"/>
      <c r="B223" s="35">
        <v>1</v>
      </c>
      <c r="C223" s="35">
        <v>1</v>
      </c>
      <c r="D223" s="35" t="s">
        <v>176</v>
      </c>
      <c r="E223">
        <v>3581</v>
      </c>
      <c r="F223">
        <v>3653</v>
      </c>
      <c r="G223">
        <v>3909</v>
      </c>
      <c r="H223">
        <v>4065</v>
      </c>
      <c r="I223">
        <v>4228</v>
      </c>
      <c r="J223">
        <v>4228</v>
      </c>
      <c r="L223">
        <f>IF(
    OR(
        AND(MAX(0, MIN($E$1, DATE(Initialisatie!$C$5,12,31)) - MAX($E$2, DATE(Initialisatie!$C$5,1,1)) + 1) &gt; 0, IFERROR(VALUE($E223),0)=0),
        AND(MAX(0, MIN($F$1, DATE(Initialisatie!$C$5,12,31)) - MAX($F$2, DATE(Initialisatie!$C$5,1,1)) + 1) &gt; 0, IFERROR(VALUE($F223),0)=0),
        AND(MAX(0, MIN($G$1, DATE(Initialisatie!$C$5,12,31)) - MAX($G$2, DATE(Initialisatie!$C$5,1,1)) + 1) &gt; 0, IFERROR(VALUE($G223),0)=0),
        AND(MAX(0, MIN($H$1, DATE(Initialisatie!$C$5,12,31)) - MAX($H$2, DATE(Initialisatie!$C$5,1,1)) + 1) &gt; 0, IFERROR(VALUE($H223),0)=0),
        AND(MAX(0, MIN($I$1, DATE(Initialisatie!$C$5,12,31)) - MAX($I$2, DATE(Initialisatie!$C$5,1,1)) + 1) &gt; 0, IFERROR(VALUE($I223),0)=0),
        AND(MAX(0, MIN($J$1, DATE(Initialisatie!$C$5,12,31)) - MAX($J$2, DATE(Initialisatie!$C$5,1,1)) + 1) &gt; 0, IFERROR(VALUE($J223),0)=0)
    ),
    0,
    SUM(
        IFERROR(VALUE($E223),0) * MAX(0, MIN($E$1, DATE(Initialisatie!$C$5,12,31)) - MAX($E$2, DATE(Initialisatie!$C$5,1,1)) + 1),
        IFERROR(VALUE($F223),0) * MAX(0, MIN($F$1, DATE(Initialisatie!$C$5,12,31)) - MAX($F$2, DATE(Initialisatie!$C$5,1,1)) + 1),
        IFERROR(VALUE($G223),0) * MAX(0, MIN($G$1, DATE(Initialisatie!$C$5,12,31)) - MAX($G$2, DATE(Initialisatie!$C$5,1,1)) + 1),
        IFERROR(VALUE($H223),0) * MAX(0, MIN($H$1, DATE(Initialisatie!$C$5,12,31)) - MAX($H$2, DATE(Initialisatie!$C$5,1,1)) + 1),
        IFERROR(VALUE($I223),0) * MAX(0, MIN($I$1, DATE(Initialisatie!$C$5,12,31)) - MAX($I$2, DATE(Initialisatie!$C$5,1,1)) + 1),
        IFERROR(VALUE($J223),0) * MAX(0, MIN($J$1, DATE(Initialisatie!$C$5,12,31)) - MAX($J$2, DATE(Initialisatie!$C$5,1,1)) + 1)
    ) / (DATE(Initialisatie!$C$5,12,31) - DATE(Initialisatie!$C$5,1,1) + 1)
)</f>
        <v>4228</v>
      </c>
    </row>
    <row r="224" spans="1:12" x14ac:dyDescent="0.45">
      <c r="A224" s="989"/>
      <c r="B224" s="35">
        <v>2</v>
      </c>
      <c r="C224" s="35">
        <v>2</v>
      </c>
      <c r="D224" s="35" t="s">
        <v>171</v>
      </c>
      <c r="E224">
        <v>3703</v>
      </c>
      <c r="F224">
        <v>3777</v>
      </c>
      <c r="G224">
        <v>4041</v>
      </c>
      <c r="H224">
        <v>4203</v>
      </c>
      <c r="I224">
        <v>4371</v>
      </c>
      <c r="J224">
        <v>4371</v>
      </c>
      <c r="L224">
        <f>IF(
    OR(
        AND(MAX(0, MIN($E$1, DATE(Initialisatie!$C$5,12,31)) - MAX($E$2, DATE(Initialisatie!$C$5,1,1)) + 1) &gt; 0, IFERROR(VALUE($E224),0)=0),
        AND(MAX(0, MIN($F$1, DATE(Initialisatie!$C$5,12,31)) - MAX($F$2, DATE(Initialisatie!$C$5,1,1)) + 1) &gt; 0, IFERROR(VALUE($F224),0)=0),
        AND(MAX(0, MIN($G$1, DATE(Initialisatie!$C$5,12,31)) - MAX($G$2, DATE(Initialisatie!$C$5,1,1)) + 1) &gt; 0, IFERROR(VALUE($G224),0)=0),
        AND(MAX(0, MIN($H$1, DATE(Initialisatie!$C$5,12,31)) - MAX($H$2, DATE(Initialisatie!$C$5,1,1)) + 1) &gt; 0, IFERROR(VALUE($H224),0)=0),
        AND(MAX(0, MIN($I$1, DATE(Initialisatie!$C$5,12,31)) - MAX($I$2, DATE(Initialisatie!$C$5,1,1)) + 1) &gt; 0, IFERROR(VALUE($I224),0)=0),
        AND(MAX(0, MIN($J$1, DATE(Initialisatie!$C$5,12,31)) - MAX($J$2, DATE(Initialisatie!$C$5,1,1)) + 1) &gt; 0, IFERROR(VALUE($J224),0)=0)
    ),
    0,
    SUM(
        IFERROR(VALUE($E224),0) * MAX(0, MIN($E$1, DATE(Initialisatie!$C$5,12,31)) - MAX($E$2, DATE(Initialisatie!$C$5,1,1)) + 1),
        IFERROR(VALUE($F224),0) * MAX(0, MIN($F$1, DATE(Initialisatie!$C$5,12,31)) - MAX($F$2, DATE(Initialisatie!$C$5,1,1)) + 1),
        IFERROR(VALUE($G224),0) * MAX(0, MIN($G$1, DATE(Initialisatie!$C$5,12,31)) - MAX($G$2, DATE(Initialisatie!$C$5,1,1)) + 1),
        IFERROR(VALUE($H224),0) * MAX(0, MIN($H$1, DATE(Initialisatie!$C$5,12,31)) - MAX($H$2, DATE(Initialisatie!$C$5,1,1)) + 1),
        IFERROR(VALUE($I224),0) * MAX(0, MIN($I$1, DATE(Initialisatie!$C$5,12,31)) - MAX($I$2, DATE(Initialisatie!$C$5,1,1)) + 1),
        IFERROR(VALUE($J224),0) * MAX(0, MIN($J$1, DATE(Initialisatie!$C$5,12,31)) - MAX($J$2, DATE(Initialisatie!$C$5,1,1)) + 1)
    ) / (DATE(Initialisatie!$C$5,12,31) - DATE(Initialisatie!$C$5,1,1) + 1)
)</f>
        <v>4371</v>
      </c>
    </row>
    <row r="225" spans="1:12" x14ac:dyDescent="0.45">
      <c r="A225" s="989"/>
      <c r="B225" s="35">
        <v>3</v>
      </c>
      <c r="C225" s="35">
        <v>3</v>
      </c>
      <c r="D225" s="35" t="s">
        <v>170</v>
      </c>
      <c r="E225">
        <v>3831</v>
      </c>
      <c r="F225">
        <v>3908</v>
      </c>
      <c r="G225">
        <v>4182</v>
      </c>
      <c r="H225">
        <v>4349</v>
      </c>
      <c r="I225">
        <v>4523</v>
      </c>
      <c r="J225">
        <v>4523</v>
      </c>
      <c r="L225">
        <f>IF(
    OR(
        AND(MAX(0, MIN($E$1, DATE(Initialisatie!$C$5,12,31)) - MAX($E$2, DATE(Initialisatie!$C$5,1,1)) + 1) &gt; 0, IFERROR(VALUE($E225),0)=0),
        AND(MAX(0, MIN($F$1, DATE(Initialisatie!$C$5,12,31)) - MAX($F$2, DATE(Initialisatie!$C$5,1,1)) + 1) &gt; 0, IFERROR(VALUE($F225),0)=0),
        AND(MAX(0, MIN($G$1, DATE(Initialisatie!$C$5,12,31)) - MAX($G$2, DATE(Initialisatie!$C$5,1,1)) + 1) &gt; 0, IFERROR(VALUE($G225),0)=0),
        AND(MAX(0, MIN($H$1, DATE(Initialisatie!$C$5,12,31)) - MAX($H$2, DATE(Initialisatie!$C$5,1,1)) + 1) &gt; 0, IFERROR(VALUE($H225),0)=0),
        AND(MAX(0, MIN($I$1, DATE(Initialisatie!$C$5,12,31)) - MAX($I$2, DATE(Initialisatie!$C$5,1,1)) + 1) &gt; 0, IFERROR(VALUE($I225),0)=0),
        AND(MAX(0, MIN($J$1, DATE(Initialisatie!$C$5,12,31)) - MAX($J$2, DATE(Initialisatie!$C$5,1,1)) + 1) &gt; 0, IFERROR(VALUE($J225),0)=0)
    ),
    0,
    SUM(
        IFERROR(VALUE($E225),0) * MAX(0, MIN($E$1, DATE(Initialisatie!$C$5,12,31)) - MAX($E$2, DATE(Initialisatie!$C$5,1,1)) + 1),
        IFERROR(VALUE($F225),0) * MAX(0, MIN($F$1, DATE(Initialisatie!$C$5,12,31)) - MAX($F$2, DATE(Initialisatie!$C$5,1,1)) + 1),
        IFERROR(VALUE($G225),0) * MAX(0, MIN($G$1, DATE(Initialisatie!$C$5,12,31)) - MAX($G$2, DATE(Initialisatie!$C$5,1,1)) + 1),
        IFERROR(VALUE($H225),0) * MAX(0, MIN($H$1, DATE(Initialisatie!$C$5,12,31)) - MAX($H$2, DATE(Initialisatie!$C$5,1,1)) + 1),
        IFERROR(VALUE($I225),0) * MAX(0, MIN($I$1, DATE(Initialisatie!$C$5,12,31)) - MAX($I$2, DATE(Initialisatie!$C$5,1,1)) + 1),
        IFERROR(VALUE($J225),0) * MAX(0, MIN($J$1, DATE(Initialisatie!$C$5,12,31)) - MAX($J$2, DATE(Initialisatie!$C$5,1,1)) + 1)
    ) / (DATE(Initialisatie!$C$5,12,31) - DATE(Initialisatie!$C$5,1,1) + 1)
)</f>
        <v>4523</v>
      </c>
    </row>
    <row r="226" spans="1:12" x14ac:dyDescent="0.45">
      <c r="A226" s="989"/>
      <c r="B226" s="35">
        <v>4</v>
      </c>
      <c r="C226" s="35">
        <v>4</v>
      </c>
      <c r="D226" s="35" t="s">
        <v>169</v>
      </c>
      <c r="E226">
        <v>3961</v>
      </c>
      <c r="F226">
        <v>4040</v>
      </c>
      <c r="G226">
        <v>4323</v>
      </c>
      <c r="H226">
        <v>4496</v>
      </c>
      <c r="I226">
        <v>4676</v>
      </c>
      <c r="J226">
        <v>4676</v>
      </c>
      <c r="L226">
        <f>IF(
    OR(
        AND(MAX(0, MIN($E$1, DATE(Initialisatie!$C$5,12,31)) - MAX($E$2, DATE(Initialisatie!$C$5,1,1)) + 1) &gt; 0, IFERROR(VALUE($E226),0)=0),
        AND(MAX(0, MIN($F$1, DATE(Initialisatie!$C$5,12,31)) - MAX($F$2, DATE(Initialisatie!$C$5,1,1)) + 1) &gt; 0, IFERROR(VALUE($F226),0)=0),
        AND(MAX(0, MIN($G$1, DATE(Initialisatie!$C$5,12,31)) - MAX($G$2, DATE(Initialisatie!$C$5,1,1)) + 1) &gt; 0, IFERROR(VALUE($G226),0)=0),
        AND(MAX(0, MIN($H$1, DATE(Initialisatie!$C$5,12,31)) - MAX($H$2, DATE(Initialisatie!$C$5,1,1)) + 1) &gt; 0, IFERROR(VALUE($H226),0)=0),
        AND(MAX(0, MIN($I$1, DATE(Initialisatie!$C$5,12,31)) - MAX($I$2, DATE(Initialisatie!$C$5,1,1)) + 1) &gt; 0, IFERROR(VALUE($I226),0)=0),
        AND(MAX(0, MIN($J$1, DATE(Initialisatie!$C$5,12,31)) - MAX($J$2, DATE(Initialisatie!$C$5,1,1)) + 1) &gt; 0, IFERROR(VALUE($J226),0)=0)
    ),
    0,
    SUM(
        IFERROR(VALUE($E226),0) * MAX(0, MIN($E$1, DATE(Initialisatie!$C$5,12,31)) - MAX($E$2, DATE(Initialisatie!$C$5,1,1)) + 1),
        IFERROR(VALUE($F226),0) * MAX(0, MIN($F$1, DATE(Initialisatie!$C$5,12,31)) - MAX($F$2, DATE(Initialisatie!$C$5,1,1)) + 1),
        IFERROR(VALUE($G226),0) * MAX(0, MIN($G$1, DATE(Initialisatie!$C$5,12,31)) - MAX($G$2, DATE(Initialisatie!$C$5,1,1)) + 1),
        IFERROR(VALUE($H226),0) * MAX(0, MIN($H$1, DATE(Initialisatie!$C$5,12,31)) - MAX($H$2, DATE(Initialisatie!$C$5,1,1)) + 1),
        IFERROR(VALUE($I226),0) * MAX(0, MIN($I$1, DATE(Initialisatie!$C$5,12,31)) - MAX($I$2, DATE(Initialisatie!$C$5,1,1)) + 1),
        IFERROR(VALUE($J226),0) * MAX(0, MIN($J$1, DATE(Initialisatie!$C$5,12,31)) - MAX($J$2, DATE(Initialisatie!$C$5,1,1)) + 1)
    ) / (DATE(Initialisatie!$C$5,12,31) - DATE(Initialisatie!$C$5,1,1) + 1)
)</f>
        <v>4676</v>
      </c>
    </row>
    <row r="227" spans="1:12" x14ac:dyDescent="0.45">
      <c r="A227" s="989"/>
      <c r="B227" s="35">
        <v>5</v>
      </c>
      <c r="C227" s="35">
        <v>5</v>
      </c>
      <c r="D227" s="35" t="s">
        <v>168</v>
      </c>
      <c r="E227">
        <v>4090</v>
      </c>
      <c r="F227">
        <v>4172</v>
      </c>
      <c r="G227">
        <v>4464</v>
      </c>
      <c r="H227">
        <v>4643</v>
      </c>
      <c r="I227">
        <v>4829</v>
      </c>
      <c r="J227">
        <v>4829</v>
      </c>
      <c r="L227">
        <f>IF(
    OR(
        AND(MAX(0, MIN($E$1, DATE(Initialisatie!$C$5,12,31)) - MAX($E$2, DATE(Initialisatie!$C$5,1,1)) + 1) &gt; 0, IFERROR(VALUE($E227),0)=0),
        AND(MAX(0, MIN($F$1, DATE(Initialisatie!$C$5,12,31)) - MAX($F$2, DATE(Initialisatie!$C$5,1,1)) + 1) &gt; 0, IFERROR(VALUE($F227),0)=0),
        AND(MAX(0, MIN($G$1, DATE(Initialisatie!$C$5,12,31)) - MAX($G$2, DATE(Initialisatie!$C$5,1,1)) + 1) &gt; 0, IFERROR(VALUE($G227),0)=0),
        AND(MAX(0, MIN($H$1, DATE(Initialisatie!$C$5,12,31)) - MAX($H$2, DATE(Initialisatie!$C$5,1,1)) + 1) &gt; 0, IFERROR(VALUE($H227),0)=0),
        AND(MAX(0, MIN($I$1, DATE(Initialisatie!$C$5,12,31)) - MAX($I$2, DATE(Initialisatie!$C$5,1,1)) + 1) &gt; 0, IFERROR(VALUE($I227),0)=0),
        AND(MAX(0, MIN($J$1, DATE(Initialisatie!$C$5,12,31)) - MAX($J$2, DATE(Initialisatie!$C$5,1,1)) + 1) &gt; 0, IFERROR(VALUE($J227),0)=0)
    ),
    0,
    SUM(
        IFERROR(VALUE($E227),0) * MAX(0, MIN($E$1, DATE(Initialisatie!$C$5,12,31)) - MAX($E$2, DATE(Initialisatie!$C$5,1,1)) + 1),
        IFERROR(VALUE($F227),0) * MAX(0, MIN($F$1, DATE(Initialisatie!$C$5,12,31)) - MAX($F$2, DATE(Initialisatie!$C$5,1,1)) + 1),
        IFERROR(VALUE($G227),0) * MAX(0, MIN($G$1, DATE(Initialisatie!$C$5,12,31)) - MAX($G$2, DATE(Initialisatie!$C$5,1,1)) + 1),
        IFERROR(VALUE($H227),0) * MAX(0, MIN($H$1, DATE(Initialisatie!$C$5,12,31)) - MAX($H$2, DATE(Initialisatie!$C$5,1,1)) + 1),
        IFERROR(VALUE($I227),0) * MAX(0, MIN($I$1, DATE(Initialisatie!$C$5,12,31)) - MAX($I$2, DATE(Initialisatie!$C$5,1,1)) + 1),
        IFERROR(VALUE($J227),0) * MAX(0, MIN($J$1, DATE(Initialisatie!$C$5,12,31)) - MAX($J$2, DATE(Initialisatie!$C$5,1,1)) + 1)
    ) / (DATE(Initialisatie!$C$5,12,31) - DATE(Initialisatie!$C$5,1,1) + 1)
)</f>
        <v>4829</v>
      </c>
    </row>
    <row r="228" spans="1:12" x14ac:dyDescent="0.45">
      <c r="A228" s="989"/>
      <c r="B228" s="35">
        <v>6</v>
      </c>
      <c r="C228" s="35">
        <v>6</v>
      </c>
      <c r="D228" s="35" t="s">
        <v>167</v>
      </c>
      <c r="E228">
        <v>4222</v>
      </c>
      <c r="F228">
        <v>4306</v>
      </c>
      <c r="G228">
        <v>4607</v>
      </c>
      <c r="H228">
        <v>4791</v>
      </c>
      <c r="I228">
        <v>4983</v>
      </c>
      <c r="J228">
        <v>4983</v>
      </c>
      <c r="L228">
        <f>IF(
    OR(
        AND(MAX(0, MIN($E$1, DATE(Initialisatie!$C$5,12,31)) - MAX($E$2, DATE(Initialisatie!$C$5,1,1)) + 1) &gt; 0, IFERROR(VALUE($E228),0)=0),
        AND(MAX(0, MIN($F$1, DATE(Initialisatie!$C$5,12,31)) - MAX($F$2, DATE(Initialisatie!$C$5,1,1)) + 1) &gt; 0, IFERROR(VALUE($F228),0)=0),
        AND(MAX(0, MIN($G$1, DATE(Initialisatie!$C$5,12,31)) - MAX($G$2, DATE(Initialisatie!$C$5,1,1)) + 1) &gt; 0, IFERROR(VALUE($G228),0)=0),
        AND(MAX(0, MIN($H$1, DATE(Initialisatie!$C$5,12,31)) - MAX($H$2, DATE(Initialisatie!$C$5,1,1)) + 1) &gt; 0, IFERROR(VALUE($H228),0)=0),
        AND(MAX(0, MIN($I$1, DATE(Initialisatie!$C$5,12,31)) - MAX($I$2, DATE(Initialisatie!$C$5,1,1)) + 1) &gt; 0, IFERROR(VALUE($I228),0)=0),
        AND(MAX(0, MIN($J$1, DATE(Initialisatie!$C$5,12,31)) - MAX($J$2, DATE(Initialisatie!$C$5,1,1)) + 1) &gt; 0, IFERROR(VALUE($J228),0)=0)
    ),
    0,
    SUM(
        IFERROR(VALUE($E228),0) * MAX(0, MIN($E$1, DATE(Initialisatie!$C$5,12,31)) - MAX($E$2, DATE(Initialisatie!$C$5,1,1)) + 1),
        IFERROR(VALUE($F228),0) * MAX(0, MIN($F$1, DATE(Initialisatie!$C$5,12,31)) - MAX($F$2, DATE(Initialisatie!$C$5,1,1)) + 1),
        IFERROR(VALUE($G228),0) * MAX(0, MIN($G$1, DATE(Initialisatie!$C$5,12,31)) - MAX($G$2, DATE(Initialisatie!$C$5,1,1)) + 1),
        IFERROR(VALUE($H228),0) * MAX(0, MIN($H$1, DATE(Initialisatie!$C$5,12,31)) - MAX($H$2, DATE(Initialisatie!$C$5,1,1)) + 1),
        IFERROR(VALUE($I228),0) * MAX(0, MIN($I$1, DATE(Initialisatie!$C$5,12,31)) - MAX($I$2, DATE(Initialisatie!$C$5,1,1)) + 1),
        IFERROR(VALUE($J228),0) * MAX(0, MIN($J$1, DATE(Initialisatie!$C$5,12,31)) - MAX($J$2, DATE(Initialisatie!$C$5,1,1)) + 1)
    ) / (DATE(Initialisatie!$C$5,12,31) - DATE(Initialisatie!$C$5,1,1) + 1)
)</f>
        <v>4983</v>
      </c>
    </row>
    <row r="229" spans="1:12" x14ac:dyDescent="0.45">
      <c r="A229" s="989"/>
      <c r="B229" s="35">
        <v>7</v>
      </c>
      <c r="C229" s="35">
        <v>7</v>
      </c>
      <c r="D229" s="35" t="s">
        <v>166</v>
      </c>
      <c r="E229">
        <v>4358</v>
      </c>
      <c r="F229">
        <v>4445</v>
      </c>
      <c r="G229">
        <v>4756</v>
      </c>
      <c r="H229">
        <v>4946</v>
      </c>
      <c r="I229">
        <v>5144</v>
      </c>
      <c r="J229">
        <v>5144</v>
      </c>
      <c r="L229">
        <f>IF(
    OR(
        AND(MAX(0, MIN($E$1, DATE(Initialisatie!$C$5,12,31)) - MAX($E$2, DATE(Initialisatie!$C$5,1,1)) + 1) &gt; 0, IFERROR(VALUE($E229),0)=0),
        AND(MAX(0, MIN($F$1, DATE(Initialisatie!$C$5,12,31)) - MAX($F$2, DATE(Initialisatie!$C$5,1,1)) + 1) &gt; 0, IFERROR(VALUE($F229),0)=0),
        AND(MAX(0, MIN($G$1, DATE(Initialisatie!$C$5,12,31)) - MAX($G$2, DATE(Initialisatie!$C$5,1,1)) + 1) &gt; 0, IFERROR(VALUE($G229),0)=0),
        AND(MAX(0, MIN($H$1, DATE(Initialisatie!$C$5,12,31)) - MAX($H$2, DATE(Initialisatie!$C$5,1,1)) + 1) &gt; 0, IFERROR(VALUE($H229),0)=0),
        AND(MAX(0, MIN($I$1, DATE(Initialisatie!$C$5,12,31)) - MAX($I$2, DATE(Initialisatie!$C$5,1,1)) + 1) &gt; 0, IFERROR(VALUE($I229),0)=0),
        AND(MAX(0, MIN($J$1, DATE(Initialisatie!$C$5,12,31)) - MAX($J$2, DATE(Initialisatie!$C$5,1,1)) + 1) &gt; 0, IFERROR(VALUE($J229),0)=0)
    ),
    0,
    SUM(
        IFERROR(VALUE($E229),0) * MAX(0, MIN($E$1, DATE(Initialisatie!$C$5,12,31)) - MAX($E$2, DATE(Initialisatie!$C$5,1,1)) + 1),
        IFERROR(VALUE($F229),0) * MAX(0, MIN($F$1, DATE(Initialisatie!$C$5,12,31)) - MAX($F$2, DATE(Initialisatie!$C$5,1,1)) + 1),
        IFERROR(VALUE($G229),0) * MAX(0, MIN($G$1, DATE(Initialisatie!$C$5,12,31)) - MAX($G$2, DATE(Initialisatie!$C$5,1,1)) + 1),
        IFERROR(VALUE($H229),0) * MAX(0, MIN($H$1, DATE(Initialisatie!$C$5,12,31)) - MAX($H$2, DATE(Initialisatie!$C$5,1,1)) + 1),
        IFERROR(VALUE($I229),0) * MAX(0, MIN($I$1, DATE(Initialisatie!$C$5,12,31)) - MAX($I$2, DATE(Initialisatie!$C$5,1,1)) + 1),
        IFERROR(VALUE($J229),0) * MAX(0, MIN($J$1, DATE(Initialisatie!$C$5,12,31)) - MAX($J$2, DATE(Initialisatie!$C$5,1,1)) + 1)
    ) / (DATE(Initialisatie!$C$5,12,31) - DATE(Initialisatie!$C$5,1,1) + 1)
)</f>
        <v>5144</v>
      </c>
    </row>
    <row r="230" spans="1:12" x14ac:dyDescent="0.45">
      <c r="A230" s="989"/>
      <c r="B230" s="35">
        <v>8</v>
      </c>
      <c r="C230" s="35">
        <v>8</v>
      </c>
      <c r="D230" s="35" t="s">
        <v>165</v>
      </c>
      <c r="E230">
        <v>4509</v>
      </c>
      <c r="F230">
        <v>4599</v>
      </c>
      <c r="G230">
        <v>4921</v>
      </c>
      <c r="H230">
        <v>5118</v>
      </c>
      <c r="I230">
        <v>5323</v>
      </c>
      <c r="J230">
        <v>5323</v>
      </c>
      <c r="L230">
        <f>IF(
    OR(
        AND(MAX(0, MIN($E$1, DATE(Initialisatie!$C$5,12,31)) - MAX($E$2, DATE(Initialisatie!$C$5,1,1)) + 1) &gt; 0, IFERROR(VALUE($E230),0)=0),
        AND(MAX(0, MIN($F$1, DATE(Initialisatie!$C$5,12,31)) - MAX($F$2, DATE(Initialisatie!$C$5,1,1)) + 1) &gt; 0, IFERROR(VALUE($F230),0)=0),
        AND(MAX(0, MIN($G$1, DATE(Initialisatie!$C$5,12,31)) - MAX($G$2, DATE(Initialisatie!$C$5,1,1)) + 1) &gt; 0, IFERROR(VALUE($G230),0)=0),
        AND(MAX(0, MIN($H$1, DATE(Initialisatie!$C$5,12,31)) - MAX($H$2, DATE(Initialisatie!$C$5,1,1)) + 1) &gt; 0, IFERROR(VALUE($H230),0)=0),
        AND(MAX(0, MIN($I$1, DATE(Initialisatie!$C$5,12,31)) - MAX($I$2, DATE(Initialisatie!$C$5,1,1)) + 1) &gt; 0, IFERROR(VALUE($I230),0)=0),
        AND(MAX(0, MIN($J$1, DATE(Initialisatie!$C$5,12,31)) - MAX($J$2, DATE(Initialisatie!$C$5,1,1)) + 1) &gt; 0, IFERROR(VALUE($J230),0)=0)
    ),
    0,
    SUM(
        IFERROR(VALUE($E230),0) * MAX(0, MIN($E$1, DATE(Initialisatie!$C$5,12,31)) - MAX($E$2, DATE(Initialisatie!$C$5,1,1)) + 1),
        IFERROR(VALUE($F230),0) * MAX(0, MIN($F$1, DATE(Initialisatie!$C$5,12,31)) - MAX($F$2, DATE(Initialisatie!$C$5,1,1)) + 1),
        IFERROR(VALUE($G230),0) * MAX(0, MIN($G$1, DATE(Initialisatie!$C$5,12,31)) - MAX($G$2, DATE(Initialisatie!$C$5,1,1)) + 1),
        IFERROR(VALUE($H230),0) * MAX(0, MIN($H$1, DATE(Initialisatie!$C$5,12,31)) - MAX($H$2, DATE(Initialisatie!$C$5,1,1)) + 1),
        IFERROR(VALUE($I230),0) * MAX(0, MIN($I$1, DATE(Initialisatie!$C$5,12,31)) - MAX($I$2, DATE(Initialisatie!$C$5,1,1)) + 1),
        IFERROR(VALUE($J230),0) * MAX(0, MIN($J$1, DATE(Initialisatie!$C$5,12,31)) - MAX($J$2, DATE(Initialisatie!$C$5,1,1)) + 1)
    ) / (DATE(Initialisatie!$C$5,12,31) - DATE(Initialisatie!$C$5,1,1) + 1)
)</f>
        <v>5323</v>
      </c>
    </row>
    <row r="231" spans="1:12" x14ac:dyDescent="0.45">
      <c r="A231" s="989"/>
      <c r="B231" s="35">
        <v>9</v>
      </c>
      <c r="C231" s="35">
        <v>9</v>
      </c>
      <c r="D231" s="35" t="s">
        <v>164</v>
      </c>
      <c r="E231">
        <v>4670</v>
      </c>
      <c r="F231">
        <v>4763</v>
      </c>
      <c r="G231">
        <v>5096</v>
      </c>
      <c r="H231">
        <v>5300</v>
      </c>
      <c r="I231">
        <v>5512</v>
      </c>
      <c r="J231">
        <v>5512</v>
      </c>
      <c r="L231">
        <f>IF(
    OR(
        AND(MAX(0, MIN($E$1, DATE(Initialisatie!$C$5,12,31)) - MAX($E$2, DATE(Initialisatie!$C$5,1,1)) + 1) &gt; 0, IFERROR(VALUE($E231),0)=0),
        AND(MAX(0, MIN($F$1, DATE(Initialisatie!$C$5,12,31)) - MAX($F$2, DATE(Initialisatie!$C$5,1,1)) + 1) &gt; 0, IFERROR(VALUE($F231),0)=0),
        AND(MAX(0, MIN($G$1, DATE(Initialisatie!$C$5,12,31)) - MAX($G$2, DATE(Initialisatie!$C$5,1,1)) + 1) &gt; 0, IFERROR(VALUE($G231),0)=0),
        AND(MAX(0, MIN($H$1, DATE(Initialisatie!$C$5,12,31)) - MAX($H$2, DATE(Initialisatie!$C$5,1,1)) + 1) &gt; 0, IFERROR(VALUE($H231),0)=0),
        AND(MAX(0, MIN($I$1, DATE(Initialisatie!$C$5,12,31)) - MAX($I$2, DATE(Initialisatie!$C$5,1,1)) + 1) &gt; 0, IFERROR(VALUE($I231),0)=0),
        AND(MAX(0, MIN($J$1, DATE(Initialisatie!$C$5,12,31)) - MAX($J$2, DATE(Initialisatie!$C$5,1,1)) + 1) &gt; 0, IFERROR(VALUE($J231),0)=0)
    ),
    0,
    SUM(
        IFERROR(VALUE($E231),0) * MAX(0, MIN($E$1, DATE(Initialisatie!$C$5,12,31)) - MAX($E$2, DATE(Initialisatie!$C$5,1,1)) + 1),
        IFERROR(VALUE($F231),0) * MAX(0, MIN($F$1, DATE(Initialisatie!$C$5,12,31)) - MAX($F$2, DATE(Initialisatie!$C$5,1,1)) + 1),
        IFERROR(VALUE($G231),0) * MAX(0, MIN($G$1, DATE(Initialisatie!$C$5,12,31)) - MAX($G$2, DATE(Initialisatie!$C$5,1,1)) + 1),
        IFERROR(VALUE($H231),0) * MAX(0, MIN($H$1, DATE(Initialisatie!$C$5,12,31)) - MAX($H$2, DATE(Initialisatie!$C$5,1,1)) + 1),
        IFERROR(VALUE($I231),0) * MAX(0, MIN($I$1, DATE(Initialisatie!$C$5,12,31)) - MAX($I$2, DATE(Initialisatie!$C$5,1,1)) + 1),
        IFERROR(VALUE($J231),0) * MAX(0, MIN($J$1, DATE(Initialisatie!$C$5,12,31)) - MAX($J$2, DATE(Initialisatie!$C$5,1,1)) + 1)
    ) / (DATE(Initialisatie!$C$5,12,31) - DATE(Initialisatie!$C$5,1,1) + 1)
)</f>
        <v>5512</v>
      </c>
    </row>
    <row r="232" spans="1:12" x14ac:dyDescent="0.45">
      <c r="A232" s="989"/>
      <c r="B232" s="35">
        <v>10</v>
      </c>
      <c r="C232" s="35">
        <v>10</v>
      </c>
      <c r="D232" s="35" t="s">
        <v>175</v>
      </c>
      <c r="E232">
        <v>4830</v>
      </c>
      <c r="F232">
        <v>4927</v>
      </c>
      <c r="G232">
        <v>5272</v>
      </c>
      <c r="H232">
        <v>5483</v>
      </c>
      <c r="I232">
        <v>5702</v>
      </c>
      <c r="J232">
        <v>5702</v>
      </c>
      <c r="L232">
        <f>IF(
    OR(
        AND(MAX(0, MIN($E$1, DATE(Initialisatie!$C$5,12,31)) - MAX($E$2, DATE(Initialisatie!$C$5,1,1)) + 1) &gt; 0, IFERROR(VALUE($E232),0)=0),
        AND(MAX(0, MIN($F$1, DATE(Initialisatie!$C$5,12,31)) - MAX($F$2, DATE(Initialisatie!$C$5,1,1)) + 1) &gt; 0, IFERROR(VALUE($F232),0)=0),
        AND(MAX(0, MIN($G$1, DATE(Initialisatie!$C$5,12,31)) - MAX($G$2, DATE(Initialisatie!$C$5,1,1)) + 1) &gt; 0, IFERROR(VALUE($G232),0)=0),
        AND(MAX(0, MIN($H$1, DATE(Initialisatie!$C$5,12,31)) - MAX($H$2, DATE(Initialisatie!$C$5,1,1)) + 1) &gt; 0, IFERROR(VALUE($H232),0)=0),
        AND(MAX(0, MIN($I$1, DATE(Initialisatie!$C$5,12,31)) - MAX($I$2, DATE(Initialisatie!$C$5,1,1)) + 1) &gt; 0, IFERROR(VALUE($I232),0)=0),
        AND(MAX(0, MIN($J$1, DATE(Initialisatie!$C$5,12,31)) - MAX($J$2, DATE(Initialisatie!$C$5,1,1)) + 1) &gt; 0, IFERROR(VALUE($J232),0)=0)
    ),
    0,
    SUM(
        IFERROR(VALUE($E232),0) * MAX(0, MIN($E$1, DATE(Initialisatie!$C$5,12,31)) - MAX($E$2, DATE(Initialisatie!$C$5,1,1)) + 1),
        IFERROR(VALUE($F232),0) * MAX(0, MIN($F$1, DATE(Initialisatie!$C$5,12,31)) - MAX($F$2, DATE(Initialisatie!$C$5,1,1)) + 1),
        IFERROR(VALUE($G232),0) * MAX(0, MIN($G$1, DATE(Initialisatie!$C$5,12,31)) - MAX($G$2, DATE(Initialisatie!$C$5,1,1)) + 1),
        IFERROR(VALUE($H232),0) * MAX(0, MIN($H$1, DATE(Initialisatie!$C$5,12,31)) - MAX($H$2, DATE(Initialisatie!$C$5,1,1)) + 1),
        IFERROR(VALUE($I232),0) * MAX(0, MIN($I$1, DATE(Initialisatie!$C$5,12,31)) - MAX($I$2, DATE(Initialisatie!$C$5,1,1)) + 1),
        IFERROR(VALUE($J232),0) * MAX(0, MIN($J$1, DATE(Initialisatie!$C$5,12,31)) - MAX($J$2, DATE(Initialisatie!$C$5,1,1)) + 1)
    ) / (DATE(Initialisatie!$C$5,12,31) - DATE(Initialisatie!$C$5,1,1) + 1)
)</f>
        <v>5702</v>
      </c>
    </row>
    <row r="233" spans="1:12" x14ac:dyDescent="0.45">
      <c r="A233" s="989"/>
      <c r="B233" s="35">
        <v>11</v>
      </c>
      <c r="C233" s="35">
        <v>11</v>
      </c>
      <c r="D233" s="35" t="s">
        <v>174</v>
      </c>
      <c r="E233">
        <v>5003</v>
      </c>
      <c r="F233">
        <v>5103</v>
      </c>
      <c r="G233">
        <v>5460</v>
      </c>
      <c r="H233">
        <v>5678</v>
      </c>
      <c r="I233">
        <v>5905</v>
      </c>
      <c r="J233">
        <v>5905</v>
      </c>
      <c r="L233">
        <f>IF(
    OR(
        AND(MAX(0, MIN($E$1, DATE(Initialisatie!$C$5,12,31)) - MAX($E$2, DATE(Initialisatie!$C$5,1,1)) + 1) &gt; 0, IFERROR(VALUE($E233),0)=0),
        AND(MAX(0, MIN($F$1, DATE(Initialisatie!$C$5,12,31)) - MAX($F$2, DATE(Initialisatie!$C$5,1,1)) + 1) &gt; 0, IFERROR(VALUE($F233),0)=0),
        AND(MAX(0, MIN($G$1, DATE(Initialisatie!$C$5,12,31)) - MAX($G$2, DATE(Initialisatie!$C$5,1,1)) + 1) &gt; 0, IFERROR(VALUE($G233),0)=0),
        AND(MAX(0, MIN($H$1, DATE(Initialisatie!$C$5,12,31)) - MAX($H$2, DATE(Initialisatie!$C$5,1,1)) + 1) &gt; 0, IFERROR(VALUE($H233),0)=0),
        AND(MAX(0, MIN($I$1, DATE(Initialisatie!$C$5,12,31)) - MAX($I$2, DATE(Initialisatie!$C$5,1,1)) + 1) &gt; 0, IFERROR(VALUE($I233),0)=0),
        AND(MAX(0, MIN($J$1, DATE(Initialisatie!$C$5,12,31)) - MAX($J$2, DATE(Initialisatie!$C$5,1,1)) + 1) &gt; 0, IFERROR(VALUE($J233),0)=0)
    ),
    0,
    SUM(
        IFERROR(VALUE($E233),0) * MAX(0, MIN($E$1, DATE(Initialisatie!$C$5,12,31)) - MAX($E$2, DATE(Initialisatie!$C$5,1,1)) + 1),
        IFERROR(VALUE($F233),0) * MAX(0, MIN($F$1, DATE(Initialisatie!$C$5,12,31)) - MAX($F$2, DATE(Initialisatie!$C$5,1,1)) + 1),
        IFERROR(VALUE($G233),0) * MAX(0, MIN($G$1, DATE(Initialisatie!$C$5,12,31)) - MAX($G$2, DATE(Initialisatie!$C$5,1,1)) + 1),
        IFERROR(VALUE($H233),0) * MAX(0, MIN($H$1, DATE(Initialisatie!$C$5,12,31)) - MAX($H$2, DATE(Initialisatie!$C$5,1,1)) + 1),
        IFERROR(VALUE($I233),0) * MAX(0, MIN($I$1, DATE(Initialisatie!$C$5,12,31)) - MAX($I$2, DATE(Initialisatie!$C$5,1,1)) + 1),
        IFERROR(VALUE($J233),0) * MAX(0, MIN($J$1, DATE(Initialisatie!$C$5,12,31)) - MAX($J$2, DATE(Initialisatie!$C$5,1,1)) + 1)
    ) / (DATE(Initialisatie!$C$5,12,31) - DATE(Initialisatie!$C$5,1,1) + 1)
)</f>
        <v>5905</v>
      </c>
    </row>
    <row r="234" spans="1:12" x14ac:dyDescent="0.45">
      <c r="A234" s="989"/>
      <c r="B234" s="35">
        <v>12</v>
      </c>
      <c r="C234" s="35">
        <v>12</v>
      </c>
      <c r="D234" s="35" t="s">
        <v>173</v>
      </c>
      <c r="E234">
        <v>5174</v>
      </c>
      <c r="F234">
        <v>5277</v>
      </c>
      <c r="G234">
        <v>5646</v>
      </c>
      <c r="H234">
        <v>5872</v>
      </c>
      <c r="I234">
        <v>6107</v>
      </c>
      <c r="J234">
        <v>6107</v>
      </c>
      <c r="L234">
        <f>IF(
    OR(
        AND(MAX(0, MIN($E$1, DATE(Initialisatie!$C$5,12,31)) - MAX($E$2, DATE(Initialisatie!$C$5,1,1)) + 1) &gt; 0, IFERROR(VALUE($E234),0)=0),
        AND(MAX(0, MIN($F$1, DATE(Initialisatie!$C$5,12,31)) - MAX($F$2, DATE(Initialisatie!$C$5,1,1)) + 1) &gt; 0, IFERROR(VALUE($F234),0)=0),
        AND(MAX(0, MIN($G$1, DATE(Initialisatie!$C$5,12,31)) - MAX($G$2, DATE(Initialisatie!$C$5,1,1)) + 1) &gt; 0, IFERROR(VALUE($G234),0)=0),
        AND(MAX(0, MIN($H$1, DATE(Initialisatie!$C$5,12,31)) - MAX($H$2, DATE(Initialisatie!$C$5,1,1)) + 1) &gt; 0, IFERROR(VALUE($H234),0)=0),
        AND(MAX(0, MIN($I$1, DATE(Initialisatie!$C$5,12,31)) - MAX($I$2, DATE(Initialisatie!$C$5,1,1)) + 1) &gt; 0, IFERROR(VALUE($I234),0)=0),
        AND(MAX(0, MIN($J$1, DATE(Initialisatie!$C$5,12,31)) - MAX($J$2, DATE(Initialisatie!$C$5,1,1)) + 1) &gt; 0, IFERROR(VALUE($J234),0)=0)
    ),
    0,
    SUM(
        IFERROR(VALUE($E234),0) * MAX(0, MIN($E$1, DATE(Initialisatie!$C$5,12,31)) - MAX($E$2, DATE(Initialisatie!$C$5,1,1)) + 1),
        IFERROR(VALUE($F234),0) * MAX(0, MIN($F$1, DATE(Initialisatie!$C$5,12,31)) - MAX($F$2, DATE(Initialisatie!$C$5,1,1)) + 1),
        IFERROR(VALUE($G234),0) * MAX(0, MIN($G$1, DATE(Initialisatie!$C$5,12,31)) - MAX($G$2, DATE(Initialisatie!$C$5,1,1)) + 1),
        IFERROR(VALUE($H234),0) * MAX(0, MIN($H$1, DATE(Initialisatie!$C$5,12,31)) - MAX($H$2, DATE(Initialisatie!$C$5,1,1)) + 1),
        IFERROR(VALUE($I234),0) * MAX(0, MIN($I$1, DATE(Initialisatie!$C$5,12,31)) - MAX($I$2, DATE(Initialisatie!$C$5,1,1)) + 1),
        IFERROR(VALUE($J234),0) * MAX(0, MIN($J$1, DATE(Initialisatie!$C$5,12,31)) - MAX($J$2, DATE(Initialisatie!$C$5,1,1)) + 1)
    ) / (DATE(Initialisatie!$C$5,12,31) - DATE(Initialisatie!$C$5,1,1) + 1)
)</f>
        <v>6107</v>
      </c>
    </row>
    <row r="235" spans="1:12" x14ac:dyDescent="0.45">
      <c r="A235" s="989"/>
      <c r="B235" s="35">
        <v>13</v>
      </c>
      <c r="C235" s="35">
        <v>13</v>
      </c>
      <c r="D235" s="35" t="s">
        <v>172</v>
      </c>
      <c r="E235">
        <v>5356</v>
      </c>
      <c r="F235">
        <v>5463</v>
      </c>
      <c r="G235">
        <v>5845</v>
      </c>
      <c r="H235">
        <v>6079</v>
      </c>
      <c r="I235">
        <v>6322</v>
      </c>
      <c r="J235">
        <v>6322</v>
      </c>
      <c r="L235">
        <f>IF(
    OR(
        AND(MAX(0, MIN($E$1, DATE(Initialisatie!$C$5,12,31)) - MAX($E$2, DATE(Initialisatie!$C$5,1,1)) + 1) &gt; 0, IFERROR(VALUE($E235),0)=0),
        AND(MAX(0, MIN($F$1, DATE(Initialisatie!$C$5,12,31)) - MAX($F$2, DATE(Initialisatie!$C$5,1,1)) + 1) &gt; 0, IFERROR(VALUE($F235),0)=0),
        AND(MAX(0, MIN($G$1, DATE(Initialisatie!$C$5,12,31)) - MAX($G$2, DATE(Initialisatie!$C$5,1,1)) + 1) &gt; 0, IFERROR(VALUE($G235),0)=0),
        AND(MAX(0, MIN($H$1, DATE(Initialisatie!$C$5,12,31)) - MAX($H$2, DATE(Initialisatie!$C$5,1,1)) + 1) &gt; 0, IFERROR(VALUE($H235),0)=0),
        AND(MAX(0, MIN($I$1, DATE(Initialisatie!$C$5,12,31)) - MAX($I$2, DATE(Initialisatie!$C$5,1,1)) + 1) &gt; 0, IFERROR(VALUE($I235),0)=0),
        AND(MAX(0, MIN($J$1, DATE(Initialisatie!$C$5,12,31)) - MAX($J$2, DATE(Initialisatie!$C$5,1,1)) + 1) &gt; 0, IFERROR(VALUE($J235),0)=0)
    ),
    0,
    SUM(
        IFERROR(VALUE($E235),0) * MAX(0, MIN($E$1, DATE(Initialisatie!$C$5,12,31)) - MAX($E$2, DATE(Initialisatie!$C$5,1,1)) + 1),
        IFERROR(VALUE($F235),0) * MAX(0, MIN($F$1, DATE(Initialisatie!$C$5,12,31)) - MAX($F$2, DATE(Initialisatie!$C$5,1,1)) + 1),
        IFERROR(VALUE($G235),0) * MAX(0, MIN($G$1, DATE(Initialisatie!$C$5,12,31)) - MAX($G$2, DATE(Initialisatie!$C$5,1,1)) + 1),
        IFERROR(VALUE($H235),0) * MAX(0, MIN($H$1, DATE(Initialisatie!$C$5,12,31)) - MAX($H$2, DATE(Initialisatie!$C$5,1,1)) + 1),
        IFERROR(VALUE($I235),0) * MAX(0, MIN($I$1, DATE(Initialisatie!$C$5,12,31)) - MAX($I$2, DATE(Initialisatie!$C$5,1,1)) + 1),
        IFERROR(VALUE($J235),0) * MAX(0, MIN($J$1, DATE(Initialisatie!$C$5,12,31)) - MAX($J$2, DATE(Initialisatie!$C$5,1,1)) + 1)
    ) / (DATE(Initialisatie!$C$5,12,31) - DATE(Initialisatie!$C$5,1,1) + 1)
)</f>
        <v>6322</v>
      </c>
    </row>
    <row r="236" spans="1:12" x14ac:dyDescent="0.45">
      <c r="A236" s="989"/>
      <c r="B236" s="35" t="s">
        <v>531</v>
      </c>
      <c r="C236" s="35" t="s">
        <v>531</v>
      </c>
      <c r="D236" s="35" t="s">
        <v>645</v>
      </c>
      <c r="E236">
        <v>5548</v>
      </c>
      <c r="F236">
        <v>5659</v>
      </c>
      <c r="G236">
        <v>6055</v>
      </c>
      <c r="H236">
        <v>6297</v>
      </c>
      <c r="I236">
        <v>6549</v>
      </c>
      <c r="J236">
        <v>6549</v>
      </c>
      <c r="L236">
        <f>IF(
    OR(
        AND(MAX(0, MIN($E$1, DATE(Initialisatie!$C$5,12,31)) - MAX($E$2, DATE(Initialisatie!$C$5,1,1)) + 1) &gt; 0, IFERROR(VALUE($E236),0)=0),
        AND(MAX(0, MIN($F$1, DATE(Initialisatie!$C$5,12,31)) - MAX($F$2, DATE(Initialisatie!$C$5,1,1)) + 1) &gt; 0, IFERROR(VALUE($F236),0)=0),
        AND(MAX(0, MIN($G$1, DATE(Initialisatie!$C$5,12,31)) - MAX($G$2, DATE(Initialisatie!$C$5,1,1)) + 1) &gt; 0, IFERROR(VALUE($G236),0)=0),
        AND(MAX(0, MIN($H$1, DATE(Initialisatie!$C$5,12,31)) - MAX($H$2, DATE(Initialisatie!$C$5,1,1)) + 1) &gt; 0, IFERROR(VALUE($H236),0)=0),
        AND(MAX(0, MIN($I$1, DATE(Initialisatie!$C$5,12,31)) - MAX($I$2, DATE(Initialisatie!$C$5,1,1)) + 1) &gt; 0, IFERROR(VALUE($I236),0)=0),
        AND(MAX(0, MIN($J$1, DATE(Initialisatie!$C$5,12,31)) - MAX($J$2, DATE(Initialisatie!$C$5,1,1)) + 1) &gt; 0, IFERROR(VALUE($J236),0)=0)
    ),
    0,
    SUM(
        IFERROR(VALUE($E236),0) * MAX(0, MIN($E$1, DATE(Initialisatie!$C$5,12,31)) - MAX($E$2, DATE(Initialisatie!$C$5,1,1)) + 1),
        IFERROR(VALUE($F236),0) * MAX(0, MIN($F$1, DATE(Initialisatie!$C$5,12,31)) - MAX($F$2, DATE(Initialisatie!$C$5,1,1)) + 1),
        IFERROR(VALUE($G236),0) * MAX(0, MIN($G$1, DATE(Initialisatie!$C$5,12,31)) - MAX($G$2, DATE(Initialisatie!$C$5,1,1)) + 1),
        IFERROR(VALUE($H236),0) * MAX(0, MIN($H$1, DATE(Initialisatie!$C$5,12,31)) - MAX($H$2, DATE(Initialisatie!$C$5,1,1)) + 1),
        IFERROR(VALUE($I236),0) * MAX(0, MIN($I$1, DATE(Initialisatie!$C$5,12,31)) - MAX($I$2, DATE(Initialisatie!$C$5,1,1)) + 1),
        IFERROR(VALUE($J236),0) * MAX(0, MIN($J$1, DATE(Initialisatie!$C$5,12,31)) - MAX($J$2, DATE(Initialisatie!$C$5,1,1)) + 1)
    ) / (DATE(Initialisatie!$C$5,12,31) - DATE(Initialisatie!$C$5,1,1) + 1)
)</f>
        <v>6549</v>
      </c>
    </row>
    <row r="237" spans="1:12" x14ac:dyDescent="0.45">
      <c r="A237" s="989"/>
      <c r="B237" s="35" t="s">
        <v>533</v>
      </c>
      <c r="C237" s="35" t="s">
        <v>533</v>
      </c>
      <c r="D237" s="35" t="s">
        <v>646</v>
      </c>
      <c r="E237">
        <v>5743</v>
      </c>
      <c r="F237">
        <v>5858</v>
      </c>
      <c r="G237">
        <v>6268</v>
      </c>
      <c r="H237">
        <v>6519</v>
      </c>
      <c r="I237">
        <v>6780</v>
      </c>
      <c r="J237">
        <v>6780</v>
      </c>
      <c r="L237">
        <f>IF(
    OR(
        AND(MAX(0, MIN($E$1, DATE(Initialisatie!$C$5,12,31)) - MAX($E$2, DATE(Initialisatie!$C$5,1,1)) + 1) &gt; 0, IFERROR(VALUE($E237),0)=0),
        AND(MAX(0, MIN($F$1, DATE(Initialisatie!$C$5,12,31)) - MAX($F$2, DATE(Initialisatie!$C$5,1,1)) + 1) &gt; 0, IFERROR(VALUE($F237),0)=0),
        AND(MAX(0, MIN($G$1, DATE(Initialisatie!$C$5,12,31)) - MAX($G$2, DATE(Initialisatie!$C$5,1,1)) + 1) &gt; 0, IFERROR(VALUE($G237),0)=0),
        AND(MAX(0, MIN($H$1, DATE(Initialisatie!$C$5,12,31)) - MAX($H$2, DATE(Initialisatie!$C$5,1,1)) + 1) &gt; 0, IFERROR(VALUE($H237),0)=0),
        AND(MAX(0, MIN($I$1, DATE(Initialisatie!$C$5,12,31)) - MAX($I$2, DATE(Initialisatie!$C$5,1,1)) + 1) &gt; 0, IFERROR(VALUE($I237),0)=0),
        AND(MAX(0, MIN($J$1, DATE(Initialisatie!$C$5,12,31)) - MAX($J$2, DATE(Initialisatie!$C$5,1,1)) + 1) &gt; 0, IFERROR(VALUE($J237),0)=0)
    ),
    0,
    SUM(
        IFERROR(VALUE($E237),0) * MAX(0, MIN($E$1, DATE(Initialisatie!$C$5,12,31)) - MAX($E$2, DATE(Initialisatie!$C$5,1,1)) + 1),
        IFERROR(VALUE($F237),0) * MAX(0, MIN($F$1, DATE(Initialisatie!$C$5,12,31)) - MAX($F$2, DATE(Initialisatie!$C$5,1,1)) + 1),
        IFERROR(VALUE($G237),0) * MAX(0, MIN($G$1, DATE(Initialisatie!$C$5,12,31)) - MAX($G$2, DATE(Initialisatie!$C$5,1,1)) + 1),
        IFERROR(VALUE($H237),0) * MAX(0, MIN($H$1, DATE(Initialisatie!$C$5,12,31)) - MAX($H$2, DATE(Initialisatie!$C$5,1,1)) + 1),
        IFERROR(VALUE($I237),0) * MAX(0, MIN($I$1, DATE(Initialisatie!$C$5,12,31)) - MAX($I$2, DATE(Initialisatie!$C$5,1,1)) + 1),
        IFERROR(VALUE($J237),0) * MAX(0, MIN($J$1, DATE(Initialisatie!$C$5,12,31)) - MAX($J$2, DATE(Initialisatie!$C$5,1,1)) + 1)
    ) / (DATE(Initialisatie!$C$5,12,31) - DATE(Initialisatie!$C$5,1,1) + 1)
)</f>
        <v>6780</v>
      </c>
    </row>
    <row r="238" spans="1:12" x14ac:dyDescent="0.45">
      <c r="A238" s="989"/>
      <c r="B238" s="35" t="s">
        <v>535</v>
      </c>
      <c r="C238" s="35" t="s">
        <v>535</v>
      </c>
      <c r="D238" s="35" t="s">
        <v>647</v>
      </c>
      <c r="E238">
        <v>5548</v>
      </c>
      <c r="F238">
        <v>5659</v>
      </c>
      <c r="G238">
        <v>6055</v>
      </c>
      <c r="H238">
        <v>6297</v>
      </c>
      <c r="I238">
        <v>6549</v>
      </c>
      <c r="J238">
        <v>6549</v>
      </c>
      <c r="L238">
        <f>IF(
    OR(
        AND(MAX(0, MIN($E$1, DATE(Initialisatie!$C$5,12,31)) - MAX($E$2, DATE(Initialisatie!$C$5,1,1)) + 1) &gt; 0, IFERROR(VALUE($E238),0)=0),
        AND(MAX(0, MIN($F$1, DATE(Initialisatie!$C$5,12,31)) - MAX($F$2, DATE(Initialisatie!$C$5,1,1)) + 1) &gt; 0, IFERROR(VALUE($F238),0)=0),
        AND(MAX(0, MIN($G$1, DATE(Initialisatie!$C$5,12,31)) - MAX($G$2, DATE(Initialisatie!$C$5,1,1)) + 1) &gt; 0, IFERROR(VALUE($G238),0)=0),
        AND(MAX(0, MIN($H$1, DATE(Initialisatie!$C$5,12,31)) - MAX($H$2, DATE(Initialisatie!$C$5,1,1)) + 1) &gt; 0, IFERROR(VALUE($H238),0)=0),
        AND(MAX(0, MIN($I$1, DATE(Initialisatie!$C$5,12,31)) - MAX($I$2, DATE(Initialisatie!$C$5,1,1)) + 1) &gt; 0, IFERROR(VALUE($I238),0)=0),
        AND(MAX(0, MIN($J$1, DATE(Initialisatie!$C$5,12,31)) - MAX($J$2, DATE(Initialisatie!$C$5,1,1)) + 1) &gt; 0, IFERROR(VALUE($J238),0)=0)
    ),
    0,
    SUM(
        IFERROR(VALUE($E238),0) * MAX(0, MIN($E$1, DATE(Initialisatie!$C$5,12,31)) - MAX($E$2, DATE(Initialisatie!$C$5,1,1)) + 1),
        IFERROR(VALUE($F238),0) * MAX(0, MIN($F$1, DATE(Initialisatie!$C$5,12,31)) - MAX($F$2, DATE(Initialisatie!$C$5,1,1)) + 1),
        IFERROR(VALUE($G238),0) * MAX(0, MIN($G$1, DATE(Initialisatie!$C$5,12,31)) - MAX($G$2, DATE(Initialisatie!$C$5,1,1)) + 1),
        IFERROR(VALUE($H238),0) * MAX(0, MIN($H$1, DATE(Initialisatie!$C$5,12,31)) - MAX($H$2, DATE(Initialisatie!$C$5,1,1)) + 1),
        IFERROR(VALUE($I238),0) * MAX(0, MIN($I$1, DATE(Initialisatie!$C$5,12,31)) - MAX($I$2, DATE(Initialisatie!$C$5,1,1)) + 1),
        IFERROR(VALUE($J238),0) * MAX(0, MIN($J$1, DATE(Initialisatie!$C$5,12,31)) - MAX($J$2, DATE(Initialisatie!$C$5,1,1)) + 1)
    ) / (DATE(Initialisatie!$C$5,12,31) - DATE(Initialisatie!$C$5,1,1) + 1)
)</f>
        <v>6549</v>
      </c>
    </row>
    <row r="239" spans="1:12" x14ac:dyDescent="0.45">
      <c r="A239" s="989"/>
      <c r="B239" s="35" t="s">
        <v>537</v>
      </c>
      <c r="C239" s="35" t="s">
        <v>537</v>
      </c>
      <c r="D239" s="35" t="s">
        <v>648</v>
      </c>
      <c r="E239">
        <v>5743</v>
      </c>
      <c r="F239">
        <v>5858</v>
      </c>
      <c r="G239">
        <v>6268</v>
      </c>
      <c r="H239">
        <v>6519</v>
      </c>
      <c r="I239">
        <v>6780</v>
      </c>
      <c r="J239">
        <v>6780</v>
      </c>
      <c r="L239">
        <f>IF(
    OR(
        AND(MAX(0, MIN($E$1, DATE(Initialisatie!$C$5,12,31)) - MAX($E$2, DATE(Initialisatie!$C$5,1,1)) + 1) &gt; 0, IFERROR(VALUE($E239),0)=0),
        AND(MAX(0, MIN($F$1, DATE(Initialisatie!$C$5,12,31)) - MAX($F$2, DATE(Initialisatie!$C$5,1,1)) + 1) &gt; 0, IFERROR(VALUE($F239),0)=0),
        AND(MAX(0, MIN($G$1, DATE(Initialisatie!$C$5,12,31)) - MAX($G$2, DATE(Initialisatie!$C$5,1,1)) + 1) &gt; 0, IFERROR(VALUE($G239),0)=0),
        AND(MAX(0, MIN($H$1, DATE(Initialisatie!$C$5,12,31)) - MAX($H$2, DATE(Initialisatie!$C$5,1,1)) + 1) &gt; 0, IFERROR(VALUE($H239),0)=0),
        AND(MAX(0, MIN($I$1, DATE(Initialisatie!$C$5,12,31)) - MAX($I$2, DATE(Initialisatie!$C$5,1,1)) + 1) &gt; 0, IFERROR(VALUE($I239),0)=0),
        AND(MAX(0, MIN($J$1, DATE(Initialisatie!$C$5,12,31)) - MAX($J$2, DATE(Initialisatie!$C$5,1,1)) + 1) &gt; 0, IFERROR(VALUE($J239),0)=0)
    ),
    0,
    SUM(
        IFERROR(VALUE($E239),0) * MAX(0, MIN($E$1, DATE(Initialisatie!$C$5,12,31)) - MAX($E$2, DATE(Initialisatie!$C$5,1,1)) + 1),
        IFERROR(VALUE($F239),0) * MAX(0, MIN($F$1, DATE(Initialisatie!$C$5,12,31)) - MAX($F$2, DATE(Initialisatie!$C$5,1,1)) + 1),
        IFERROR(VALUE($G239),0) * MAX(0, MIN($G$1, DATE(Initialisatie!$C$5,12,31)) - MAX($G$2, DATE(Initialisatie!$C$5,1,1)) + 1),
        IFERROR(VALUE($H239),0) * MAX(0, MIN($H$1, DATE(Initialisatie!$C$5,12,31)) - MAX($H$2, DATE(Initialisatie!$C$5,1,1)) + 1),
        IFERROR(VALUE($I239),0) * MAX(0, MIN($I$1, DATE(Initialisatie!$C$5,12,31)) - MAX($I$2, DATE(Initialisatie!$C$5,1,1)) + 1),
        IFERROR(VALUE($J239),0) * MAX(0, MIN($J$1, DATE(Initialisatie!$C$5,12,31)) - MAX($J$2, DATE(Initialisatie!$C$5,1,1)) + 1)
    ) / (DATE(Initialisatie!$C$5,12,31) - DATE(Initialisatie!$C$5,1,1) + 1)
)</f>
        <v>6780</v>
      </c>
    </row>
    <row r="240" spans="1:12" x14ac:dyDescent="0.45">
      <c r="A240" s="989"/>
      <c r="B240" s="35" t="s">
        <v>539</v>
      </c>
      <c r="C240" s="35" t="s">
        <v>539</v>
      </c>
      <c r="D240" s="35" t="s">
        <v>649</v>
      </c>
      <c r="E240">
        <v>5946</v>
      </c>
      <c r="F240">
        <v>6065</v>
      </c>
      <c r="G240">
        <v>6490</v>
      </c>
      <c r="H240">
        <v>6750</v>
      </c>
      <c r="I240">
        <v>7020</v>
      </c>
      <c r="J240">
        <v>7020</v>
      </c>
      <c r="L240">
        <f>IF(
    OR(
        AND(MAX(0, MIN($E$1, DATE(Initialisatie!$C$5,12,31)) - MAX($E$2, DATE(Initialisatie!$C$5,1,1)) + 1) &gt; 0, IFERROR(VALUE($E240),0)=0),
        AND(MAX(0, MIN($F$1, DATE(Initialisatie!$C$5,12,31)) - MAX($F$2, DATE(Initialisatie!$C$5,1,1)) + 1) &gt; 0, IFERROR(VALUE($F240),0)=0),
        AND(MAX(0, MIN($G$1, DATE(Initialisatie!$C$5,12,31)) - MAX($G$2, DATE(Initialisatie!$C$5,1,1)) + 1) &gt; 0, IFERROR(VALUE($G240),0)=0),
        AND(MAX(0, MIN($H$1, DATE(Initialisatie!$C$5,12,31)) - MAX($H$2, DATE(Initialisatie!$C$5,1,1)) + 1) &gt; 0, IFERROR(VALUE($H240),0)=0),
        AND(MAX(0, MIN($I$1, DATE(Initialisatie!$C$5,12,31)) - MAX($I$2, DATE(Initialisatie!$C$5,1,1)) + 1) &gt; 0, IFERROR(VALUE($I240),0)=0),
        AND(MAX(0, MIN($J$1, DATE(Initialisatie!$C$5,12,31)) - MAX($J$2, DATE(Initialisatie!$C$5,1,1)) + 1) &gt; 0, IFERROR(VALUE($J240),0)=0)
    ),
    0,
    SUM(
        IFERROR(VALUE($E240),0) * MAX(0, MIN($E$1, DATE(Initialisatie!$C$5,12,31)) - MAX($E$2, DATE(Initialisatie!$C$5,1,1)) + 1),
        IFERROR(VALUE($F240),0) * MAX(0, MIN($F$1, DATE(Initialisatie!$C$5,12,31)) - MAX($F$2, DATE(Initialisatie!$C$5,1,1)) + 1),
        IFERROR(VALUE($G240),0) * MAX(0, MIN($G$1, DATE(Initialisatie!$C$5,12,31)) - MAX($G$2, DATE(Initialisatie!$C$5,1,1)) + 1),
        IFERROR(VALUE($H240),0) * MAX(0, MIN($H$1, DATE(Initialisatie!$C$5,12,31)) - MAX($H$2, DATE(Initialisatie!$C$5,1,1)) + 1),
        IFERROR(VALUE($I240),0) * MAX(0, MIN($I$1, DATE(Initialisatie!$C$5,12,31)) - MAX($I$2, DATE(Initialisatie!$C$5,1,1)) + 1),
        IFERROR(VALUE($J240),0) * MAX(0, MIN($J$1, DATE(Initialisatie!$C$5,12,31)) - MAX($J$2, DATE(Initialisatie!$C$5,1,1)) + 1)
    ) / (DATE(Initialisatie!$C$5,12,31) - DATE(Initialisatie!$C$5,1,1) + 1)
)</f>
        <v>7020</v>
      </c>
    </row>
    <row r="241" spans="1:12" x14ac:dyDescent="0.45">
      <c r="A241" s="989"/>
      <c r="B241" s="35" t="s">
        <v>541</v>
      </c>
      <c r="C241" s="35" t="s">
        <v>541</v>
      </c>
      <c r="D241" s="35" t="s">
        <v>650</v>
      </c>
      <c r="E241">
        <v>6165</v>
      </c>
      <c r="F241">
        <v>6288</v>
      </c>
      <c r="G241">
        <v>6728</v>
      </c>
      <c r="H241">
        <v>6997</v>
      </c>
      <c r="I241">
        <v>7277</v>
      </c>
      <c r="J241">
        <v>7277</v>
      </c>
      <c r="L241">
        <f>IF(
    OR(
        AND(MAX(0, MIN($E$1, DATE(Initialisatie!$C$5,12,31)) - MAX($E$2, DATE(Initialisatie!$C$5,1,1)) + 1) &gt; 0, IFERROR(VALUE($E241),0)=0),
        AND(MAX(0, MIN($F$1, DATE(Initialisatie!$C$5,12,31)) - MAX($F$2, DATE(Initialisatie!$C$5,1,1)) + 1) &gt; 0, IFERROR(VALUE($F241),0)=0),
        AND(MAX(0, MIN($G$1, DATE(Initialisatie!$C$5,12,31)) - MAX($G$2, DATE(Initialisatie!$C$5,1,1)) + 1) &gt; 0, IFERROR(VALUE($G241),0)=0),
        AND(MAX(0, MIN($H$1, DATE(Initialisatie!$C$5,12,31)) - MAX($H$2, DATE(Initialisatie!$C$5,1,1)) + 1) &gt; 0, IFERROR(VALUE($H241),0)=0),
        AND(MAX(0, MIN($I$1, DATE(Initialisatie!$C$5,12,31)) - MAX($I$2, DATE(Initialisatie!$C$5,1,1)) + 1) &gt; 0, IFERROR(VALUE($I241),0)=0),
        AND(MAX(0, MIN($J$1, DATE(Initialisatie!$C$5,12,31)) - MAX($J$2, DATE(Initialisatie!$C$5,1,1)) + 1) &gt; 0, IFERROR(VALUE($J241),0)=0)
    ),
    0,
    SUM(
        IFERROR(VALUE($E241),0) * MAX(0, MIN($E$1, DATE(Initialisatie!$C$5,12,31)) - MAX($E$2, DATE(Initialisatie!$C$5,1,1)) + 1),
        IFERROR(VALUE($F241),0) * MAX(0, MIN($F$1, DATE(Initialisatie!$C$5,12,31)) - MAX($F$2, DATE(Initialisatie!$C$5,1,1)) + 1),
        IFERROR(VALUE($G241),0) * MAX(0, MIN($G$1, DATE(Initialisatie!$C$5,12,31)) - MAX($G$2, DATE(Initialisatie!$C$5,1,1)) + 1),
        IFERROR(VALUE($H241),0) * MAX(0, MIN($H$1, DATE(Initialisatie!$C$5,12,31)) - MAX($H$2, DATE(Initialisatie!$C$5,1,1)) + 1),
        IFERROR(VALUE($I241),0) * MAX(0, MIN($I$1, DATE(Initialisatie!$C$5,12,31)) - MAX($I$2, DATE(Initialisatie!$C$5,1,1)) + 1),
        IFERROR(VALUE($J241),0) * MAX(0, MIN($J$1, DATE(Initialisatie!$C$5,12,31)) - MAX($J$2, DATE(Initialisatie!$C$5,1,1)) + 1)
    ) / (DATE(Initialisatie!$C$5,12,31) - DATE(Initialisatie!$C$5,1,1) + 1)
)</f>
        <v>7277</v>
      </c>
    </row>
    <row r="242" spans="1:12" x14ac:dyDescent="0.45">
      <c r="A242" s="990"/>
      <c r="B242" s="35" t="s">
        <v>543</v>
      </c>
      <c r="C242" s="35" t="s">
        <v>543</v>
      </c>
      <c r="D242" s="35" t="s">
        <v>651</v>
      </c>
      <c r="E242">
        <v>6391</v>
      </c>
      <c r="F242">
        <v>6519</v>
      </c>
      <c r="G242">
        <v>6975</v>
      </c>
      <c r="H242">
        <v>7254</v>
      </c>
      <c r="I242">
        <v>7544</v>
      </c>
      <c r="J242">
        <v>7544</v>
      </c>
      <c r="L242">
        <f>IF(
    OR(
        AND(MAX(0, MIN($E$1, DATE(Initialisatie!$C$5,12,31)) - MAX($E$2, DATE(Initialisatie!$C$5,1,1)) + 1) &gt; 0, IFERROR(VALUE($E242),0)=0),
        AND(MAX(0, MIN($F$1, DATE(Initialisatie!$C$5,12,31)) - MAX($F$2, DATE(Initialisatie!$C$5,1,1)) + 1) &gt; 0, IFERROR(VALUE($F242),0)=0),
        AND(MAX(0, MIN($G$1, DATE(Initialisatie!$C$5,12,31)) - MAX($G$2, DATE(Initialisatie!$C$5,1,1)) + 1) &gt; 0, IFERROR(VALUE($G242),0)=0),
        AND(MAX(0, MIN($H$1, DATE(Initialisatie!$C$5,12,31)) - MAX($H$2, DATE(Initialisatie!$C$5,1,1)) + 1) &gt; 0, IFERROR(VALUE($H242),0)=0),
        AND(MAX(0, MIN($I$1, DATE(Initialisatie!$C$5,12,31)) - MAX($I$2, DATE(Initialisatie!$C$5,1,1)) + 1) &gt; 0, IFERROR(VALUE($I242),0)=0),
        AND(MAX(0, MIN($J$1, DATE(Initialisatie!$C$5,12,31)) - MAX($J$2, DATE(Initialisatie!$C$5,1,1)) + 1) &gt; 0, IFERROR(VALUE($J242),0)=0)
    ),
    0,
    SUM(
        IFERROR(VALUE($E242),0) * MAX(0, MIN($E$1, DATE(Initialisatie!$C$5,12,31)) - MAX($E$2, DATE(Initialisatie!$C$5,1,1)) + 1),
        IFERROR(VALUE($F242),0) * MAX(0, MIN($F$1, DATE(Initialisatie!$C$5,12,31)) - MAX($F$2, DATE(Initialisatie!$C$5,1,1)) + 1),
        IFERROR(VALUE($G242),0) * MAX(0, MIN($G$1, DATE(Initialisatie!$C$5,12,31)) - MAX($G$2, DATE(Initialisatie!$C$5,1,1)) + 1),
        IFERROR(VALUE($H242),0) * MAX(0, MIN($H$1, DATE(Initialisatie!$C$5,12,31)) - MAX($H$2, DATE(Initialisatie!$C$5,1,1)) + 1),
        IFERROR(VALUE($I242),0) * MAX(0, MIN($I$1, DATE(Initialisatie!$C$5,12,31)) - MAX($I$2, DATE(Initialisatie!$C$5,1,1)) + 1),
        IFERROR(VALUE($J242),0) * MAX(0, MIN($J$1, DATE(Initialisatie!$C$5,12,31)) - MAX($J$2, DATE(Initialisatie!$C$5,1,1)) + 1)
    ) / (DATE(Initialisatie!$C$5,12,31) - DATE(Initialisatie!$C$5,1,1) + 1)
)</f>
        <v>7544</v>
      </c>
    </row>
    <row r="243" spans="1:12" x14ac:dyDescent="0.45">
      <c r="A243" s="988">
        <v>12</v>
      </c>
      <c r="B243" s="35" t="s">
        <v>517</v>
      </c>
      <c r="C243" s="35" t="s">
        <v>517</v>
      </c>
      <c r="D243" s="35" t="s">
        <v>652</v>
      </c>
      <c r="E243">
        <v>3770</v>
      </c>
      <c r="F243">
        <v>3845</v>
      </c>
      <c r="G243">
        <v>4114</v>
      </c>
      <c r="H243">
        <v>4279</v>
      </c>
      <c r="I243">
        <v>4450</v>
      </c>
      <c r="J243">
        <v>4450</v>
      </c>
      <c r="L243">
        <f>IF(
    OR(
        AND(MAX(0, MIN($E$1, DATE(Initialisatie!$C$5,12,31)) - MAX($E$2, DATE(Initialisatie!$C$5,1,1)) + 1) &gt; 0, IFERROR(VALUE($E243),0)=0),
        AND(MAX(0, MIN($F$1, DATE(Initialisatie!$C$5,12,31)) - MAX($F$2, DATE(Initialisatie!$C$5,1,1)) + 1) &gt; 0, IFERROR(VALUE($F243),0)=0),
        AND(MAX(0, MIN($G$1, DATE(Initialisatie!$C$5,12,31)) - MAX($G$2, DATE(Initialisatie!$C$5,1,1)) + 1) &gt; 0, IFERROR(VALUE($G243),0)=0),
        AND(MAX(0, MIN($H$1, DATE(Initialisatie!$C$5,12,31)) - MAX($H$2, DATE(Initialisatie!$C$5,1,1)) + 1) &gt; 0, IFERROR(VALUE($H243),0)=0),
        AND(MAX(0, MIN($I$1, DATE(Initialisatie!$C$5,12,31)) - MAX($I$2, DATE(Initialisatie!$C$5,1,1)) + 1) &gt; 0, IFERROR(VALUE($I243),0)=0),
        AND(MAX(0, MIN($J$1, DATE(Initialisatie!$C$5,12,31)) - MAX($J$2, DATE(Initialisatie!$C$5,1,1)) + 1) &gt; 0, IFERROR(VALUE($J243),0)=0)
    ),
    0,
    SUM(
        IFERROR(VALUE($E243),0) * MAX(0, MIN($E$1, DATE(Initialisatie!$C$5,12,31)) - MAX($E$2, DATE(Initialisatie!$C$5,1,1)) + 1),
        IFERROR(VALUE($F243),0) * MAX(0, MIN($F$1, DATE(Initialisatie!$C$5,12,31)) - MAX($F$2, DATE(Initialisatie!$C$5,1,1)) + 1),
        IFERROR(VALUE($G243),0) * MAX(0, MIN($G$1, DATE(Initialisatie!$C$5,12,31)) - MAX($G$2, DATE(Initialisatie!$C$5,1,1)) + 1),
        IFERROR(VALUE($H243),0) * MAX(0, MIN($H$1, DATE(Initialisatie!$C$5,12,31)) - MAX($H$2, DATE(Initialisatie!$C$5,1,1)) + 1),
        IFERROR(VALUE($I243),0) * MAX(0, MIN($I$1, DATE(Initialisatie!$C$5,12,31)) - MAX($I$2, DATE(Initialisatie!$C$5,1,1)) + 1),
        IFERROR(VALUE($J243),0) * MAX(0, MIN($J$1, DATE(Initialisatie!$C$5,12,31)) - MAX($J$2, DATE(Initialisatie!$C$5,1,1)) + 1)
    ) / (DATE(Initialisatie!$C$5,12,31) - DATE(Initialisatie!$C$5,1,1) + 1)
)</f>
        <v>4450</v>
      </c>
    </row>
    <row r="244" spans="1:12" x14ac:dyDescent="0.45">
      <c r="A244" s="989"/>
      <c r="B244" s="35">
        <v>0</v>
      </c>
      <c r="C244" s="35">
        <v>0</v>
      </c>
      <c r="D244" s="35" t="s">
        <v>161</v>
      </c>
      <c r="E244">
        <v>3831</v>
      </c>
      <c r="F244">
        <v>3908</v>
      </c>
      <c r="G244">
        <v>4182</v>
      </c>
      <c r="H244">
        <v>4349</v>
      </c>
      <c r="I244">
        <v>4523</v>
      </c>
      <c r="J244">
        <v>4523</v>
      </c>
      <c r="L244">
        <f>IF(
    OR(
        AND(MAX(0, MIN($E$1, DATE(Initialisatie!$C$5,12,31)) - MAX($E$2, DATE(Initialisatie!$C$5,1,1)) + 1) &gt; 0, IFERROR(VALUE($E244),0)=0),
        AND(MAX(0, MIN($F$1, DATE(Initialisatie!$C$5,12,31)) - MAX($F$2, DATE(Initialisatie!$C$5,1,1)) + 1) &gt; 0, IFERROR(VALUE($F244),0)=0),
        AND(MAX(0, MIN($G$1, DATE(Initialisatie!$C$5,12,31)) - MAX($G$2, DATE(Initialisatie!$C$5,1,1)) + 1) &gt; 0, IFERROR(VALUE($G244),0)=0),
        AND(MAX(0, MIN($H$1, DATE(Initialisatie!$C$5,12,31)) - MAX($H$2, DATE(Initialisatie!$C$5,1,1)) + 1) &gt; 0, IFERROR(VALUE($H244),0)=0),
        AND(MAX(0, MIN($I$1, DATE(Initialisatie!$C$5,12,31)) - MAX($I$2, DATE(Initialisatie!$C$5,1,1)) + 1) &gt; 0, IFERROR(VALUE($I244),0)=0),
        AND(MAX(0, MIN($J$1, DATE(Initialisatie!$C$5,12,31)) - MAX($J$2, DATE(Initialisatie!$C$5,1,1)) + 1) &gt; 0, IFERROR(VALUE($J244),0)=0)
    ),
    0,
    SUM(
        IFERROR(VALUE($E244),0) * MAX(0, MIN($E$1, DATE(Initialisatie!$C$5,12,31)) - MAX($E$2, DATE(Initialisatie!$C$5,1,1)) + 1),
        IFERROR(VALUE($F244),0) * MAX(0, MIN($F$1, DATE(Initialisatie!$C$5,12,31)) - MAX($F$2, DATE(Initialisatie!$C$5,1,1)) + 1),
        IFERROR(VALUE($G244),0) * MAX(0, MIN($G$1, DATE(Initialisatie!$C$5,12,31)) - MAX($G$2, DATE(Initialisatie!$C$5,1,1)) + 1),
        IFERROR(VALUE($H244),0) * MAX(0, MIN($H$1, DATE(Initialisatie!$C$5,12,31)) - MAX($H$2, DATE(Initialisatie!$C$5,1,1)) + 1),
        IFERROR(VALUE($I244),0) * MAX(0, MIN($I$1, DATE(Initialisatie!$C$5,12,31)) - MAX($I$2, DATE(Initialisatie!$C$5,1,1)) + 1),
        IFERROR(VALUE($J244),0) * MAX(0, MIN($J$1, DATE(Initialisatie!$C$5,12,31)) - MAX($J$2, DATE(Initialisatie!$C$5,1,1)) + 1)
    ) / (DATE(Initialisatie!$C$5,12,31) - DATE(Initialisatie!$C$5,1,1) + 1)
)</f>
        <v>4523</v>
      </c>
    </row>
    <row r="245" spans="1:12" x14ac:dyDescent="0.45">
      <c r="A245" s="989"/>
      <c r="B245" s="35">
        <v>1</v>
      </c>
      <c r="C245" s="35">
        <v>1</v>
      </c>
      <c r="D245" s="35" t="s">
        <v>160</v>
      </c>
      <c r="E245">
        <v>3961</v>
      </c>
      <c r="F245">
        <v>4040</v>
      </c>
      <c r="G245">
        <v>4323</v>
      </c>
      <c r="H245">
        <v>4496</v>
      </c>
      <c r="I245">
        <v>4676</v>
      </c>
      <c r="J245">
        <v>4676</v>
      </c>
      <c r="L245">
        <f>IF(
    OR(
        AND(MAX(0, MIN($E$1, DATE(Initialisatie!$C$5,12,31)) - MAX($E$2, DATE(Initialisatie!$C$5,1,1)) + 1) &gt; 0, IFERROR(VALUE($E245),0)=0),
        AND(MAX(0, MIN($F$1, DATE(Initialisatie!$C$5,12,31)) - MAX($F$2, DATE(Initialisatie!$C$5,1,1)) + 1) &gt; 0, IFERROR(VALUE($F245),0)=0),
        AND(MAX(0, MIN($G$1, DATE(Initialisatie!$C$5,12,31)) - MAX($G$2, DATE(Initialisatie!$C$5,1,1)) + 1) &gt; 0, IFERROR(VALUE($G245),0)=0),
        AND(MAX(0, MIN($H$1, DATE(Initialisatie!$C$5,12,31)) - MAX($H$2, DATE(Initialisatie!$C$5,1,1)) + 1) &gt; 0, IFERROR(VALUE($H245),0)=0),
        AND(MAX(0, MIN($I$1, DATE(Initialisatie!$C$5,12,31)) - MAX($I$2, DATE(Initialisatie!$C$5,1,1)) + 1) &gt; 0, IFERROR(VALUE($I245),0)=0),
        AND(MAX(0, MIN($J$1, DATE(Initialisatie!$C$5,12,31)) - MAX($J$2, DATE(Initialisatie!$C$5,1,1)) + 1) &gt; 0, IFERROR(VALUE($J245),0)=0)
    ),
    0,
    SUM(
        IFERROR(VALUE($E245),0) * MAX(0, MIN($E$1, DATE(Initialisatie!$C$5,12,31)) - MAX($E$2, DATE(Initialisatie!$C$5,1,1)) + 1),
        IFERROR(VALUE($F245),0) * MAX(0, MIN($F$1, DATE(Initialisatie!$C$5,12,31)) - MAX($F$2, DATE(Initialisatie!$C$5,1,1)) + 1),
        IFERROR(VALUE($G245),0) * MAX(0, MIN($G$1, DATE(Initialisatie!$C$5,12,31)) - MAX($G$2, DATE(Initialisatie!$C$5,1,1)) + 1),
        IFERROR(VALUE($H245),0) * MAX(0, MIN($H$1, DATE(Initialisatie!$C$5,12,31)) - MAX($H$2, DATE(Initialisatie!$C$5,1,1)) + 1),
        IFERROR(VALUE($I245),0) * MAX(0, MIN($I$1, DATE(Initialisatie!$C$5,12,31)) - MAX($I$2, DATE(Initialisatie!$C$5,1,1)) + 1),
        IFERROR(VALUE($J245),0) * MAX(0, MIN($J$1, DATE(Initialisatie!$C$5,12,31)) - MAX($J$2, DATE(Initialisatie!$C$5,1,1)) + 1)
    ) / (DATE(Initialisatie!$C$5,12,31) - DATE(Initialisatie!$C$5,1,1) + 1)
)</f>
        <v>4676</v>
      </c>
    </row>
    <row r="246" spans="1:12" x14ac:dyDescent="0.45">
      <c r="A246" s="989"/>
      <c r="B246" s="35">
        <v>2</v>
      </c>
      <c r="C246" s="35">
        <v>2</v>
      </c>
      <c r="D246" s="35" t="s">
        <v>155</v>
      </c>
      <c r="E246">
        <v>4090</v>
      </c>
      <c r="F246">
        <v>4172</v>
      </c>
      <c r="G246">
        <v>4464</v>
      </c>
      <c r="H246">
        <v>4643</v>
      </c>
      <c r="I246">
        <v>4829</v>
      </c>
      <c r="J246">
        <v>4829</v>
      </c>
      <c r="L246">
        <f>IF(
    OR(
        AND(MAX(0, MIN($E$1, DATE(Initialisatie!$C$5,12,31)) - MAX($E$2, DATE(Initialisatie!$C$5,1,1)) + 1) &gt; 0, IFERROR(VALUE($E246),0)=0),
        AND(MAX(0, MIN($F$1, DATE(Initialisatie!$C$5,12,31)) - MAX($F$2, DATE(Initialisatie!$C$5,1,1)) + 1) &gt; 0, IFERROR(VALUE($F246),0)=0),
        AND(MAX(0, MIN($G$1, DATE(Initialisatie!$C$5,12,31)) - MAX($G$2, DATE(Initialisatie!$C$5,1,1)) + 1) &gt; 0, IFERROR(VALUE($G246),0)=0),
        AND(MAX(0, MIN($H$1, DATE(Initialisatie!$C$5,12,31)) - MAX($H$2, DATE(Initialisatie!$C$5,1,1)) + 1) &gt; 0, IFERROR(VALUE($H246),0)=0),
        AND(MAX(0, MIN($I$1, DATE(Initialisatie!$C$5,12,31)) - MAX($I$2, DATE(Initialisatie!$C$5,1,1)) + 1) &gt; 0, IFERROR(VALUE($I246),0)=0),
        AND(MAX(0, MIN($J$1, DATE(Initialisatie!$C$5,12,31)) - MAX($J$2, DATE(Initialisatie!$C$5,1,1)) + 1) &gt; 0, IFERROR(VALUE($J246),0)=0)
    ),
    0,
    SUM(
        IFERROR(VALUE($E246),0) * MAX(0, MIN($E$1, DATE(Initialisatie!$C$5,12,31)) - MAX($E$2, DATE(Initialisatie!$C$5,1,1)) + 1),
        IFERROR(VALUE($F246),0) * MAX(0, MIN($F$1, DATE(Initialisatie!$C$5,12,31)) - MAX($F$2, DATE(Initialisatie!$C$5,1,1)) + 1),
        IFERROR(VALUE($G246),0) * MAX(0, MIN($G$1, DATE(Initialisatie!$C$5,12,31)) - MAX($G$2, DATE(Initialisatie!$C$5,1,1)) + 1),
        IFERROR(VALUE($H246),0) * MAX(0, MIN($H$1, DATE(Initialisatie!$C$5,12,31)) - MAX($H$2, DATE(Initialisatie!$C$5,1,1)) + 1),
        IFERROR(VALUE($I246),0) * MAX(0, MIN($I$1, DATE(Initialisatie!$C$5,12,31)) - MAX($I$2, DATE(Initialisatie!$C$5,1,1)) + 1),
        IFERROR(VALUE($J246),0) * MAX(0, MIN($J$1, DATE(Initialisatie!$C$5,12,31)) - MAX($J$2, DATE(Initialisatie!$C$5,1,1)) + 1)
    ) / (DATE(Initialisatie!$C$5,12,31) - DATE(Initialisatie!$C$5,1,1) + 1)
)</f>
        <v>4829</v>
      </c>
    </row>
    <row r="247" spans="1:12" x14ac:dyDescent="0.45">
      <c r="A247" s="989"/>
      <c r="B247" s="35">
        <v>3</v>
      </c>
      <c r="C247" s="35">
        <v>3</v>
      </c>
      <c r="D247" s="35" t="s">
        <v>154</v>
      </c>
      <c r="E247">
        <v>4222</v>
      </c>
      <c r="F247">
        <v>4306</v>
      </c>
      <c r="G247">
        <v>4607</v>
      </c>
      <c r="H247">
        <v>4791</v>
      </c>
      <c r="I247">
        <v>4983</v>
      </c>
      <c r="J247">
        <v>4983</v>
      </c>
      <c r="L247">
        <f>IF(
    OR(
        AND(MAX(0, MIN($E$1, DATE(Initialisatie!$C$5,12,31)) - MAX($E$2, DATE(Initialisatie!$C$5,1,1)) + 1) &gt; 0, IFERROR(VALUE($E247),0)=0),
        AND(MAX(0, MIN($F$1, DATE(Initialisatie!$C$5,12,31)) - MAX($F$2, DATE(Initialisatie!$C$5,1,1)) + 1) &gt; 0, IFERROR(VALUE($F247),0)=0),
        AND(MAX(0, MIN($G$1, DATE(Initialisatie!$C$5,12,31)) - MAX($G$2, DATE(Initialisatie!$C$5,1,1)) + 1) &gt; 0, IFERROR(VALUE($G247),0)=0),
        AND(MAX(0, MIN($H$1, DATE(Initialisatie!$C$5,12,31)) - MAX($H$2, DATE(Initialisatie!$C$5,1,1)) + 1) &gt; 0, IFERROR(VALUE($H247),0)=0),
        AND(MAX(0, MIN($I$1, DATE(Initialisatie!$C$5,12,31)) - MAX($I$2, DATE(Initialisatie!$C$5,1,1)) + 1) &gt; 0, IFERROR(VALUE($I247),0)=0),
        AND(MAX(0, MIN($J$1, DATE(Initialisatie!$C$5,12,31)) - MAX($J$2, DATE(Initialisatie!$C$5,1,1)) + 1) &gt; 0, IFERROR(VALUE($J247),0)=0)
    ),
    0,
    SUM(
        IFERROR(VALUE($E247),0) * MAX(0, MIN($E$1, DATE(Initialisatie!$C$5,12,31)) - MAX($E$2, DATE(Initialisatie!$C$5,1,1)) + 1),
        IFERROR(VALUE($F247),0) * MAX(0, MIN($F$1, DATE(Initialisatie!$C$5,12,31)) - MAX($F$2, DATE(Initialisatie!$C$5,1,1)) + 1),
        IFERROR(VALUE($G247),0) * MAX(0, MIN($G$1, DATE(Initialisatie!$C$5,12,31)) - MAX($G$2, DATE(Initialisatie!$C$5,1,1)) + 1),
        IFERROR(VALUE($H247),0) * MAX(0, MIN($H$1, DATE(Initialisatie!$C$5,12,31)) - MAX($H$2, DATE(Initialisatie!$C$5,1,1)) + 1),
        IFERROR(VALUE($I247),0) * MAX(0, MIN($I$1, DATE(Initialisatie!$C$5,12,31)) - MAX($I$2, DATE(Initialisatie!$C$5,1,1)) + 1),
        IFERROR(VALUE($J247),0) * MAX(0, MIN($J$1, DATE(Initialisatie!$C$5,12,31)) - MAX($J$2, DATE(Initialisatie!$C$5,1,1)) + 1)
    ) / (DATE(Initialisatie!$C$5,12,31) - DATE(Initialisatie!$C$5,1,1) + 1)
)</f>
        <v>4983</v>
      </c>
    </row>
    <row r="248" spans="1:12" x14ac:dyDescent="0.45">
      <c r="A248" s="989"/>
      <c r="B248" s="35">
        <v>4</v>
      </c>
      <c r="C248" s="35">
        <v>4</v>
      </c>
      <c r="D248" s="35" t="s">
        <v>153</v>
      </c>
      <c r="E248">
        <v>4358</v>
      </c>
      <c r="F248">
        <v>4445</v>
      </c>
      <c r="G248">
        <v>4756</v>
      </c>
      <c r="H248">
        <v>4946</v>
      </c>
      <c r="I248">
        <v>5144</v>
      </c>
      <c r="J248">
        <v>5144</v>
      </c>
      <c r="L248">
        <f>IF(
    OR(
        AND(MAX(0, MIN($E$1, DATE(Initialisatie!$C$5,12,31)) - MAX($E$2, DATE(Initialisatie!$C$5,1,1)) + 1) &gt; 0, IFERROR(VALUE($E248),0)=0),
        AND(MAX(0, MIN($F$1, DATE(Initialisatie!$C$5,12,31)) - MAX($F$2, DATE(Initialisatie!$C$5,1,1)) + 1) &gt; 0, IFERROR(VALUE($F248),0)=0),
        AND(MAX(0, MIN($G$1, DATE(Initialisatie!$C$5,12,31)) - MAX($G$2, DATE(Initialisatie!$C$5,1,1)) + 1) &gt; 0, IFERROR(VALUE($G248),0)=0),
        AND(MAX(0, MIN($H$1, DATE(Initialisatie!$C$5,12,31)) - MAX($H$2, DATE(Initialisatie!$C$5,1,1)) + 1) &gt; 0, IFERROR(VALUE($H248),0)=0),
        AND(MAX(0, MIN($I$1, DATE(Initialisatie!$C$5,12,31)) - MAX($I$2, DATE(Initialisatie!$C$5,1,1)) + 1) &gt; 0, IFERROR(VALUE($I248),0)=0),
        AND(MAX(0, MIN($J$1, DATE(Initialisatie!$C$5,12,31)) - MAX($J$2, DATE(Initialisatie!$C$5,1,1)) + 1) &gt; 0, IFERROR(VALUE($J248),0)=0)
    ),
    0,
    SUM(
        IFERROR(VALUE($E248),0) * MAX(0, MIN($E$1, DATE(Initialisatie!$C$5,12,31)) - MAX($E$2, DATE(Initialisatie!$C$5,1,1)) + 1),
        IFERROR(VALUE($F248),0) * MAX(0, MIN($F$1, DATE(Initialisatie!$C$5,12,31)) - MAX($F$2, DATE(Initialisatie!$C$5,1,1)) + 1),
        IFERROR(VALUE($G248),0) * MAX(0, MIN($G$1, DATE(Initialisatie!$C$5,12,31)) - MAX($G$2, DATE(Initialisatie!$C$5,1,1)) + 1),
        IFERROR(VALUE($H248),0) * MAX(0, MIN($H$1, DATE(Initialisatie!$C$5,12,31)) - MAX($H$2, DATE(Initialisatie!$C$5,1,1)) + 1),
        IFERROR(VALUE($I248),0) * MAX(0, MIN($I$1, DATE(Initialisatie!$C$5,12,31)) - MAX($I$2, DATE(Initialisatie!$C$5,1,1)) + 1),
        IFERROR(VALUE($J248),0) * MAX(0, MIN($J$1, DATE(Initialisatie!$C$5,12,31)) - MAX($J$2, DATE(Initialisatie!$C$5,1,1)) + 1)
    ) / (DATE(Initialisatie!$C$5,12,31) - DATE(Initialisatie!$C$5,1,1) + 1)
)</f>
        <v>5144</v>
      </c>
    </row>
    <row r="249" spans="1:12" x14ac:dyDescent="0.45">
      <c r="A249" s="989"/>
      <c r="B249" s="35">
        <v>5</v>
      </c>
      <c r="C249" s="35">
        <v>5</v>
      </c>
      <c r="D249" s="35" t="s">
        <v>152</v>
      </c>
      <c r="E249">
        <v>4509</v>
      </c>
      <c r="F249">
        <v>4599</v>
      </c>
      <c r="G249">
        <v>4921</v>
      </c>
      <c r="H249">
        <v>5118</v>
      </c>
      <c r="I249">
        <v>5323</v>
      </c>
      <c r="J249">
        <v>5323</v>
      </c>
      <c r="L249">
        <f>IF(
    OR(
        AND(MAX(0, MIN($E$1, DATE(Initialisatie!$C$5,12,31)) - MAX($E$2, DATE(Initialisatie!$C$5,1,1)) + 1) &gt; 0, IFERROR(VALUE($E249),0)=0),
        AND(MAX(0, MIN($F$1, DATE(Initialisatie!$C$5,12,31)) - MAX($F$2, DATE(Initialisatie!$C$5,1,1)) + 1) &gt; 0, IFERROR(VALUE($F249),0)=0),
        AND(MAX(0, MIN($G$1, DATE(Initialisatie!$C$5,12,31)) - MAX($G$2, DATE(Initialisatie!$C$5,1,1)) + 1) &gt; 0, IFERROR(VALUE($G249),0)=0),
        AND(MAX(0, MIN($H$1, DATE(Initialisatie!$C$5,12,31)) - MAX($H$2, DATE(Initialisatie!$C$5,1,1)) + 1) &gt; 0, IFERROR(VALUE($H249),0)=0),
        AND(MAX(0, MIN($I$1, DATE(Initialisatie!$C$5,12,31)) - MAX($I$2, DATE(Initialisatie!$C$5,1,1)) + 1) &gt; 0, IFERROR(VALUE($I249),0)=0),
        AND(MAX(0, MIN($J$1, DATE(Initialisatie!$C$5,12,31)) - MAX($J$2, DATE(Initialisatie!$C$5,1,1)) + 1) &gt; 0, IFERROR(VALUE($J249),0)=0)
    ),
    0,
    SUM(
        IFERROR(VALUE($E249),0) * MAX(0, MIN($E$1, DATE(Initialisatie!$C$5,12,31)) - MAX($E$2, DATE(Initialisatie!$C$5,1,1)) + 1),
        IFERROR(VALUE($F249),0) * MAX(0, MIN($F$1, DATE(Initialisatie!$C$5,12,31)) - MAX($F$2, DATE(Initialisatie!$C$5,1,1)) + 1),
        IFERROR(VALUE($G249),0) * MAX(0, MIN($G$1, DATE(Initialisatie!$C$5,12,31)) - MAX($G$2, DATE(Initialisatie!$C$5,1,1)) + 1),
        IFERROR(VALUE($H249),0) * MAX(0, MIN($H$1, DATE(Initialisatie!$C$5,12,31)) - MAX($H$2, DATE(Initialisatie!$C$5,1,1)) + 1),
        IFERROR(VALUE($I249),0) * MAX(0, MIN($I$1, DATE(Initialisatie!$C$5,12,31)) - MAX($I$2, DATE(Initialisatie!$C$5,1,1)) + 1),
        IFERROR(VALUE($J249),0) * MAX(0, MIN($J$1, DATE(Initialisatie!$C$5,12,31)) - MAX($J$2, DATE(Initialisatie!$C$5,1,1)) + 1)
    ) / (DATE(Initialisatie!$C$5,12,31) - DATE(Initialisatie!$C$5,1,1) + 1)
)</f>
        <v>5323</v>
      </c>
    </row>
    <row r="250" spans="1:12" x14ac:dyDescent="0.45">
      <c r="A250" s="989"/>
      <c r="B250" s="35">
        <v>6</v>
      </c>
      <c r="C250" s="35">
        <v>6</v>
      </c>
      <c r="D250" s="35" t="s">
        <v>151</v>
      </c>
      <c r="E250">
        <v>4670</v>
      </c>
      <c r="F250">
        <v>4763</v>
      </c>
      <c r="G250">
        <v>5096</v>
      </c>
      <c r="H250">
        <v>5300</v>
      </c>
      <c r="I250">
        <v>5512</v>
      </c>
      <c r="J250">
        <v>5512</v>
      </c>
      <c r="L250">
        <f>IF(
    OR(
        AND(MAX(0, MIN($E$1, DATE(Initialisatie!$C$5,12,31)) - MAX($E$2, DATE(Initialisatie!$C$5,1,1)) + 1) &gt; 0, IFERROR(VALUE($E250),0)=0),
        AND(MAX(0, MIN($F$1, DATE(Initialisatie!$C$5,12,31)) - MAX($F$2, DATE(Initialisatie!$C$5,1,1)) + 1) &gt; 0, IFERROR(VALUE($F250),0)=0),
        AND(MAX(0, MIN($G$1, DATE(Initialisatie!$C$5,12,31)) - MAX($G$2, DATE(Initialisatie!$C$5,1,1)) + 1) &gt; 0, IFERROR(VALUE($G250),0)=0),
        AND(MAX(0, MIN($H$1, DATE(Initialisatie!$C$5,12,31)) - MAX($H$2, DATE(Initialisatie!$C$5,1,1)) + 1) &gt; 0, IFERROR(VALUE($H250),0)=0),
        AND(MAX(0, MIN($I$1, DATE(Initialisatie!$C$5,12,31)) - MAX($I$2, DATE(Initialisatie!$C$5,1,1)) + 1) &gt; 0, IFERROR(VALUE($I250),0)=0),
        AND(MAX(0, MIN($J$1, DATE(Initialisatie!$C$5,12,31)) - MAX($J$2, DATE(Initialisatie!$C$5,1,1)) + 1) &gt; 0, IFERROR(VALUE($J250),0)=0)
    ),
    0,
    SUM(
        IFERROR(VALUE($E250),0) * MAX(0, MIN($E$1, DATE(Initialisatie!$C$5,12,31)) - MAX($E$2, DATE(Initialisatie!$C$5,1,1)) + 1),
        IFERROR(VALUE($F250),0) * MAX(0, MIN($F$1, DATE(Initialisatie!$C$5,12,31)) - MAX($F$2, DATE(Initialisatie!$C$5,1,1)) + 1),
        IFERROR(VALUE($G250),0) * MAX(0, MIN($G$1, DATE(Initialisatie!$C$5,12,31)) - MAX($G$2, DATE(Initialisatie!$C$5,1,1)) + 1),
        IFERROR(VALUE($H250),0) * MAX(0, MIN($H$1, DATE(Initialisatie!$C$5,12,31)) - MAX($H$2, DATE(Initialisatie!$C$5,1,1)) + 1),
        IFERROR(VALUE($I250),0) * MAX(0, MIN($I$1, DATE(Initialisatie!$C$5,12,31)) - MAX($I$2, DATE(Initialisatie!$C$5,1,1)) + 1),
        IFERROR(VALUE($J250),0) * MAX(0, MIN($J$1, DATE(Initialisatie!$C$5,12,31)) - MAX($J$2, DATE(Initialisatie!$C$5,1,1)) + 1)
    ) / (DATE(Initialisatie!$C$5,12,31) - DATE(Initialisatie!$C$5,1,1) + 1)
)</f>
        <v>5512</v>
      </c>
    </row>
    <row r="251" spans="1:12" x14ac:dyDescent="0.45">
      <c r="A251" s="989"/>
      <c r="B251" s="35">
        <v>7</v>
      </c>
      <c r="C251" s="35">
        <v>7</v>
      </c>
      <c r="D251" s="35" t="s">
        <v>150</v>
      </c>
      <c r="E251">
        <v>4830</v>
      </c>
      <c r="F251">
        <v>4927</v>
      </c>
      <c r="G251">
        <v>5272</v>
      </c>
      <c r="H251">
        <v>5483</v>
      </c>
      <c r="I251">
        <v>5702</v>
      </c>
      <c r="J251">
        <v>5702</v>
      </c>
      <c r="L251">
        <f>IF(
    OR(
        AND(MAX(0, MIN($E$1, DATE(Initialisatie!$C$5,12,31)) - MAX($E$2, DATE(Initialisatie!$C$5,1,1)) + 1) &gt; 0, IFERROR(VALUE($E251),0)=0),
        AND(MAX(0, MIN($F$1, DATE(Initialisatie!$C$5,12,31)) - MAX($F$2, DATE(Initialisatie!$C$5,1,1)) + 1) &gt; 0, IFERROR(VALUE($F251),0)=0),
        AND(MAX(0, MIN($G$1, DATE(Initialisatie!$C$5,12,31)) - MAX($G$2, DATE(Initialisatie!$C$5,1,1)) + 1) &gt; 0, IFERROR(VALUE($G251),0)=0),
        AND(MAX(0, MIN($H$1, DATE(Initialisatie!$C$5,12,31)) - MAX($H$2, DATE(Initialisatie!$C$5,1,1)) + 1) &gt; 0, IFERROR(VALUE($H251),0)=0),
        AND(MAX(0, MIN($I$1, DATE(Initialisatie!$C$5,12,31)) - MAX($I$2, DATE(Initialisatie!$C$5,1,1)) + 1) &gt; 0, IFERROR(VALUE($I251),0)=0),
        AND(MAX(0, MIN($J$1, DATE(Initialisatie!$C$5,12,31)) - MAX($J$2, DATE(Initialisatie!$C$5,1,1)) + 1) &gt; 0, IFERROR(VALUE($J251),0)=0)
    ),
    0,
    SUM(
        IFERROR(VALUE($E251),0) * MAX(0, MIN($E$1, DATE(Initialisatie!$C$5,12,31)) - MAX($E$2, DATE(Initialisatie!$C$5,1,1)) + 1),
        IFERROR(VALUE($F251),0) * MAX(0, MIN($F$1, DATE(Initialisatie!$C$5,12,31)) - MAX($F$2, DATE(Initialisatie!$C$5,1,1)) + 1),
        IFERROR(VALUE($G251),0) * MAX(0, MIN($G$1, DATE(Initialisatie!$C$5,12,31)) - MAX($G$2, DATE(Initialisatie!$C$5,1,1)) + 1),
        IFERROR(VALUE($H251),0) * MAX(0, MIN($H$1, DATE(Initialisatie!$C$5,12,31)) - MAX($H$2, DATE(Initialisatie!$C$5,1,1)) + 1),
        IFERROR(VALUE($I251),0) * MAX(0, MIN($I$1, DATE(Initialisatie!$C$5,12,31)) - MAX($I$2, DATE(Initialisatie!$C$5,1,1)) + 1),
        IFERROR(VALUE($J251),0) * MAX(0, MIN($J$1, DATE(Initialisatie!$C$5,12,31)) - MAX($J$2, DATE(Initialisatie!$C$5,1,1)) + 1)
    ) / (DATE(Initialisatie!$C$5,12,31) - DATE(Initialisatie!$C$5,1,1) + 1)
)</f>
        <v>5702</v>
      </c>
    </row>
    <row r="252" spans="1:12" x14ac:dyDescent="0.45">
      <c r="A252" s="989"/>
      <c r="B252" s="35">
        <v>8</v>
      </c>
      <c r="C252" s="35">
        <v>8</v>
      </c>
      <c r="D252" s="35" t="s">
        <v>149</v>
      </c>
      <c r="E252">
        <v>5003</v>
      </c>
      <c r="F252">
        <v>5103</v>
      </c>
      <c r="G252">
        <v>5460</v>
      </c>
      <c r="H252">
        <v>5678</v>
      </c>
      <c r="I252">
        <v>5905</v>
      </c>
      <c r="J252">
        <v>5905</v>
      </c>
      <c r="L252">
        <f>IF(
    OR(
        AND(MAX(0, MIN($E$1, DATE(Initialisatie!$C$5,12,31)) - MAX($E$2, DATE(Initialisatie!$C$5,1,1)) + 1) &gt; 0, IFERROR(VALUE($E252),0)=0),
        AND(MAX(0, MIN($F$1, DATE(Initialisatie!$C$5,12,31)) - MAX($F$2, DATE(Initialisatie!$C$5,1,1)) + 1) &gt; 0, IFERROR(VALUE($F252),0)=0),
        AND(MAX(0, MIN($G$1, DATE(Initialisatie!$C$5,12,31)) - MAX($G$2, DATE(Initialisatie!$C$5,1,1)) + 1) &gt; 0, IFERROR(VALUE($G252),0)=0),
        AND(MAX(0, MIN($H$1, DATE(Initialisatie!$C$5,12,31)) - MAX($H$2, DATE(Initialisatie!$C$5,1,1)) + 1) &gt; 0, IFERROR(VALUE($H252),0)=0),
        AND(MAX(0, MIN($I$1, DATE(Initialisatie!$C$5,12,31)) - MAX($I$2, DATE(Initialisatie!$C$5,1,1)) + 1) &gt; 0, IFERROR(VALUE($I252),0)=0),
        AND(MAX(0, MIN($J$1, DATE(Initialisatie!$C$5,12,31)) - MAX($J$2, DATE(Initialisatie!$C$5,1,1)) + 1) &gt; 0, IFERROR(VALUE($J252),0)=0)
    ),
    0,
    SUM(
        IFERROR(VALUE($E252),0) * MAX(0, MIN($E$1, DATE(Initialisatie!$C$5,12,31)) - MAX($E$2, DATE(Initialisatie!$C$5,1,1)) + 1),
        IFERROR(VALUE($F252),0) * MAX(0, MIN($F$1, DATE(Initialisatie!$C$5,12,31)) - MAX($F$2, DATE(Initialisatie!$C$5,1,1)) + 1),
        IFERROR(VALUE($G252),0) * MAX(0, MIN($G$1, DATE(Initialisatie!$C$5,12,31)) - MAX($G$2, DATE(Initialisatie!$C$5,1,1)) + 1),
        IFERROR(VALUE($H252),0) * MAX(0, MIN($H$1, DATE(Initialisatie!$C$5,12,31)) - MAX($H$2, DATE(Initialisatie!$C$5,1,1)) + 1),
        IFERROR(VALUE($I252),0) * MAX(0, MIN($I$1, DATE(Initialisatie!$C$5,12,31)) - MAX($I$2, DATE(Initialisatie!$C$5,1,1)) + 1),
        IFERROR(VALUE($J252),0) * MAX(0, MIN($J$1, DATE(Initialisatie!$C$5,12,31)) - MAX($J$2, DATE(Initialisatie!$C$5,1,1)) + 1)
    ) / (DATE(Initialisatie!$C$5,12,31) - DATE(Initialisatie!$C$5,1,1) + 1)
)</f>
        <v>5905</v>
      </c>
    </row>
    <row r="253" spans="1:12" x14ac:dyDescent="0.45">
      <c r="A253" s="989"/>
      <c r="B253" s="35">
        <v>9</v>
      </c>
      <c r="C253" s="35">
        <v>9</v>
      </c>
      <c r="D253" s="35" t="s">
        <v>148</v>
      </c>
      <c r="E253">
        <v>5174</v>
      </c>
      <c r="F253">
        <v>5277</v>
      </c>
      <c r="G253">
        <v>5646</v>
      </c>
      <c r="H253">
        <v>5872</v>
      </c>
      <c r="I253">
        <v>6107</v>
      </c>
      <c r="J253">
        <v>6107</v>
      </c>
      <c r="L253">
        <f>IF(
    OR(
        AND(MAX(0, MIN($E$1, DATE(Initialisatie!$C$5,12,31)) - MAX($E$2, DATE(Initialisatie!$C$5,1,1)) + 1) &gt; 0, IFERROR(VALUE($E253),0)=0),
        AND(MAX(0, MIN($F$1, DATE(Initialisatie!$C$5,12,31)) - MAX($F$2, DATE(Initialisatie!$C$5,1,1)) + 1) &gt; 0, IFERROR(VALUE($F253),0)=0),
        AND(MAX(0, MIN($G$1, DATE(Initialisatie!$C$5,12,31)) - MAX($G$2, DATE(Initialisatie!$C$5,1,1)) + 1) &gt; 0, IFERROR(VALUE($G253),0)=0),
        AND(MAX(0, MIN($H$1, DATE(Initialisatie!$C$5,12,31)) - MAX($H$2, DATE(Initialisatie!$C$5,1,1)) + 1) &gt; 0, IFERROR(VALUE($H253),0)=0),
        AND(MAX(0, MIN($I$1, DATE(Initialisatie!$C$5,12,31)) - MAX($I$2, DATE(Initialisatie!$C$5,1,1)) + 1) &gt; 0, IFERROR(VALUE($I253),0)=0),
        AND(MAX(0, MIN($J$1, DATE(Initialisatie!$C$5,12,31)) - MAX($J$2, DATE(Initialisatie!$C$5,1,1)) + 1) &gt; 0, IFERROR(VALUE($J253),0)=0)
    ),
    0,
    SUM(
        IFERROR(VALUE($E253),0) * MAX(0, MIN($E$1, DATE(Initialisatie!$C$5,12,31)) - MAX($E$2, DATE(Initialisatie!$C$5,1,1)) + 1),
        IFERROR(VALUE($F253),0) * MAX(0, MIN($F$1, DATE(Initialisatie!$C$5,12,31)) - MAX($F$2, DATE(Initialisatie!$C$5,1,1)) + 1),
        IFERROR(VALUE($G253),0) * MAX(0, MIN($G$1, DATE(Initialisatie!$C$5,12,31)) - MAX($G$2, DATE(Initialisatie!$C$5,1,1)) + 1),
        IFERROR(VALUE($H253),0) * MAX(0, MIN($H$1, DATE(Initialisatie!$C$5,12,31)) - MAX($H$2, DATE(Initialisatie!$C$5,1,1)) + 1),
        IFERROR(VALUE($I253),0) * MAX(0, MIN($I$1, DATE(Initialisatie!$C$5,12,31)) - MAX($I$2, DATE(Initialisatie!$C$5,1,1)) + 1),
        IFERROR(VALUE($J253),0) * MAX(0, MIN($J$1, DATE(Initialisatie!$C$5,12,31)) - MAX($J$2, DATE(Initialisatie!$C$5,1,1)) + 1)
    ) / (DATE(Initialisatie!$C$5,12,31) - DATE(Initialisatie!$C$5,1,1) + 1)
)</f>
        <v>6107</v>
      </c>
    </row>
    <row r="254" spans="1:12" x14ac:dyDescent="0.45">
      <c r="A254" s="989"/>
      <c r="B254" s="35">
        <v>10</v>
      </c>
      <c r="C254" s="35">
        <v>10</v>
      </c>
      <c r="D254" s="35" t="s">
        <v>159</v>
      </c>
      <c r="E254">
        <v>5356</v>
      </c>
      <c r="F254">
        <v>5463</v>
      </c>
      <c r="G254">
        <v>5845</v>
      </c>
      <c r="H254">
        <v>6079</v>
      </c>
      <c r="I254">
        <v>6322</v>
      </c>
      <c r="J254">
        <v>6322</v>
      </c>
      <c r="L254">
        <f>IF(
    OR(
        AND(MAX(0, MIN($E$1, DATE(Initialisatie!$C$5,12,31)) - MAX($E$2, DATE(Initialisatie!$C$5,1,1)) + 1) &gt; 0, IFERROR(VALUE($E254),0)=0),
        AND(MAX(0, MIN($F$1, DATE(Initialisatie!$C$5,12,31)) - MAX($F$2, DATE(Initialisatie!$C$5,1,1)) + 1) &gt; 0, IFERROR(VALUE($F254),0)=0),
        AND(MAX(0, MIN($G$1, DATE(Initialisatie!$C$5,12,31)) - MAX($G$2, DATE(Initialisatie!$C$5,1,1)) + 1) &gt; 0, IFERROR(VALUE($G254),0)=0),
        AND(MAX(0, MIN($H$1, DATE(Initialisatie!$C$5,12,31)) - MAX($H$2, DATE(Initialisatie!$C$5,1,1)) + 1) &gt; 0, IFERROR(VALUE($H254),0)=0),
        AND(MAX(0, MIN($I$1, DATE(Initialisatie!$C$5,12,31)) - MAX($I$2, DATE(Initialisatie!$C$5,1,1)) + 1) &gt; 0, IFERROR(VALUE($I254),0)=0),
        AND(MAX(0, MIN($J$1, DATE(Initialisatie!$C$5,12,31)) - MAX($J$2, DATE(Initialisatie!$C$5,1,1)) + 1) &gt; 0, IFERROR(VALUE($J254),0)=0)
    ),
    0,
    SUM(
        IFERROR(VALUE($E254),0) * MAX(0, MIN($E$1, DATE(Initialisatie!$C$5,12,31)) - MAX($E$2, DATE(Initialisatie!$C$5,1,1)) + 1),
        IFERROR(VALUE($F254),0) * MAX(0, MIN($F$1, DATE(Initialisatie!$C$5,12,31)) - MAX($F$2, DATE(Initialisatie!$C$5,1,1)) + 1),
        IFERROR(VALUE($G254),0) * MAX(0, MIN($G$1, DATE(Initialisatie!$C$5,12,31)) - MAX($G$2, DATE(Initialisatie!$C$5,1,1)) + 1),
        IFERROR(VALUE($H254),0) * MAX(0, MIN($H$1, DATE(Initialisatie!$C$5,12,31)) - MAX($H$2, DATE(Initialisatie!$C$5,1,1)) + 1),
        IFERROR(VALUE($I254),0) * MAX(0, MIN($I$1, DATE(Initialisatie!$C$5,12,31)) - MAX($I$2, DATE(Initialisatie!$C$5,1,1)) + 1),
        IFERROR(VALUE($J254),0) * MAX(0, MIN($J$1, DATE(Initialisatie!$C$5,12,31)) - MAX($J$2, DATE(Initialisatie!$C$5,1,1)) + 1)
    ) / (DATE(Initialisatie!$C$5,12,31) - DATE(Initialisatie!$C$5,1,1) + 1)
)</f>
        <v>6322</v>
      </c>
    </row>
    <row r="255" spans="1:12" x14ac:dyDescent="0.45">
      <c r="A255" s="989"/>
      <c r="B255" s="35">
        <v>11</v>
      </c>
      <c r="C255" s="35">
        <v>11</v>
      </c>
      <c r="D255" s="35" t="s">
        <v>158</v>
      </c>
      <c r="E255">
        <v>5548</v>
      </c>
      <c r="F255">
        <v>5659</v>
      </c>
      <c r="G255">
        <v>6055</v>
      </c>
      <c r="H255">
        <v>6297</v>
      </c>
      <c r="I255">
        <v>6549</v>
      </c>
      <c r="J255">
        <v>6549</v>
      </c>
      <c r="L255">
        <f>IF(
    OR(
        AND(MAX(0, MIN($E$1, DATE(Initialisatie!$C$5,12,31)) - MAX($E$2, DATE(Initialisatie!$C$5,1,1)) + 1) &gt; 0, IFERROR(VALUE($E255),0)=0),
        AND(MAX(0, MIN($F$1, DATE(Initialisatie!$C$5,12,31)) - MAX($F$2, DATE(Initialisatie!$C$5,1,1)) + 1) &gt; 0, IFERROR(VALUE($F255),0)=0),
        AND(MAX(0, MIN($G$1, DATE(Initialisatie!$C$5,12,31)) - MAX($G$2, DATE(Initialisatie!$C$5,1,1)) + 1) &gt; 0, IFERROR(VALUE($G255),0)=0),
        AND(MAX(0, MIN($H$1, DATE(Initialisatie!$C$5,12,31)) - MAX($H$2, DATE(Initialisatie!$C$5,1,1)) + 1) &gt; 0, IFERROR(VALUE($H255),0)=0),
        AND(MAX(0, MIN($I$1, DATE(Initialisatie!$C$5,12,31)) - MAX($I$2, DATE(Initialisatie!$C$5,1,1)) + 1) &gt; 0, IFERROR(VALUE($I255),0)=0),
        AND(MAX(0, MIN($J$1, DATE(Initialisatie!$C$5,12,31)) - MAX($J$2, DATE(Initialisatie!$C$5,1,1)) + 1) &gt; 0, IFERROR(VALUE($J255),0)=0)
    ),
    0,
    SUM(
        IFERROR(VALUE($E255),0) * MAX(0, MIN($E$1, DATE(Initialisatie!$C$5,12,31)) - MAX($E$2, DATE(Initialisatie!$C$5,1,1)) + 1),
        IFERROR(VALUE($F255),0) * MAX(0, MIN($F$1, DATE(Initialisatie!$C$5,12,31)) - MAX($F$2, DATE(Initialisatie!$C$5,1,1)) + 1),
        IFERROR(VALUE($G255),0) * MAX(0, MIN($G$1, DATE(Initialisatie!$C$5,12,31)) - MAX($G$2, DATE(Initialisatie!$C$5,1,1)) + 1),
        IFERROR(VALUE($H255),0) * MAX(0, MIN($H$1, DATE(Initialisatie!$C$5,12,31)) - MAX($H$2, DATE(Initialisatie!$C$5,1,1)) + 1),
        IFERROR(VALUE($I255),0) * MAX(0, MIN($I$1, DATE(Initialisatie!$C$5,12,31)) - MAX($I$2, DATE(Initialisatie!$C$5,1,1)) + 1),
        IFERROR(VALUE($J255),0) * MAX(0, MIN($J$1, DATE(Initialisatie!$C$5,12,31)) - MAX($J$2, DATE(Initialisatie!$C$5,1,1)) + 1)
    ) / (DATE(Initialisatie!$C$5,12,31) - DATE(Initialisatie!$C$5,1,1) + 1)
)</f>
        <v>6549</v>
      </c>
    </row>
    <row r="256" spans="1:12" x14ac:dyDescent="0.45">
      <c r="A256" s="989"/>
      <c r="B256" s="35">
        <v>12</v>
      </c>
      <c r="C256" s="35">
        <v>12</v>
      </c>
      <c r="D256" s="35" t="s">
        <v>157</v>
      </c>
      <c r="E256">
        <v>5743</v>
      </c>
      <c r="F256">
        <v>5858</v>
      </c>
      <c r="G256">
        <v>6268</v>
      </c>
      <c r="H256">
        <v>6519</v>
      </c>
      <c r="I256">
        <v>6780</v>
      </c>
      <c r="J256">
        <v>6780</v>
      </c>
      <c r="L256">
        <f>IF(
    OR(
        AND(MAX(0, MIN($E$1, DATE(Initialisatie!$C$5,12,31)) - MAX($E$2, DATE(Initialisatie!$C$5,1,1)) + 1) &gt; 0, IFERROR(VALUE($E256),0)=0),
        AND(MAX(0, MIN($F$1, DATE(Initialisatie!$C$5,12,31)) - MAX($F$2, DATE(Initialisatie!$C$5,1,1)) + 1) &gt; 0, IFERROR(VALUE($F256),0)=0),
        AND(MAX(0, MIN($G$1, DATE(Initialisatie!$C$5,12,31)) - MAX($G$2, DATE(Initialisatie!$C$5,1,1)) + 1) &gt; 0, IFERROR(VALUE($G256),0)=0),
        AND(MAX(0, MIN($H$1, DATE(Initialisatie!$C$5,12,31)) - MAX($H$2, DATE(Initialisatie!$C$5,1,1)) + 1) &gt; 0, IFERROR(VALUE($H256),0)=0),
        AND(MAX(0, MIN($I$1, DATE(Initialisatie!$C$5,12,31)) - MAX($I$2, DATE(Initialisatie!$C$5,1,1)) + 1) &gt; 0, IFERROR(VALUE($I256),0)=0),
        AND(MAX(0, MIN($J$1, DATE(Initialisatie!$C$5,12,31)) - MAX($J$2, DATE(Initialisatie!$C$5,1,1)) + 1) &gt; 0, IFERROR(VALUE($J256),0)=0)
    ),
    0,
    SUM(
        IFERROR(VALUE($E256),0) * MAX(0, MIN($E$1, DATE(Initialisatie!$C$5,12,31)) - MAX($E$2, DATE(Initialisatie!$C$5,1,1)) + 1),
        IFERROR(VALUE($F256),0) * MAX(0, MIN($F$1, DATE(Initialisatie!$C$5,12,31)) - MAX($F$2, DATE(Initialisatie!$C$5,1,1)) + 1),
        IFERROR(VALUE($G256),0) * MAX(0, MIN($G$1, DATE(Initialisatie!$C$5,12,31)) - MAX($G$2, DATE(Initialisatie!$C$5,1,1)) + 1),
        IFERROR(VALUE($H256),0) * MAX(0, MIN($H$1, DATE(Initialisatie!$C$5,12,31)) - MAX($H$2, DATE(Initialisatie!$C$5,1,1)) + 1),
        IFERROR(VALUE($I256),0) * MAX(0, MIN($I$1, DATE(Initialisatie!$C$5,12,31)) - MAX($I$2, DATE(Initialisatie!$C$5,1,1)) + 1),
        IFERROR(VALUE($J256),0) * MAX(0, MIN($J$1, DATE(Initialisatie!$C$5,12,31)) - MAX($J$2, DATE(Initialisatie!$C$5,1,1)) + 1)
    ) / (DATE(Initialisatie!$C$5,12,31) - DATE(Initialisatie!$C$5,1,1) + 1)
)</f>
        <v>6780</v>
      </c>
    </row>
    <row r="257" spans="1:12" x14ac:dyDescent="0.45">
      <c r="A257" s="989"/>
      <c r="B257" s="35">
        <v>13</v>
      </c>
      <c r="C257" s="35">
        <v>13</v>
      </c>
      <c r="D257" s="35" t="s">
        <v>156</v>
      </c>
      <c r="E257">
        <v>5946</v>
      </c>
      <c r="F257">
        <v>6065</v>
      </c>
      <c r="G257">
        <v>6490</v>
      </c>
      <c r="H257">
        <v>6750</v>
      </c>
      <c r="I257">
        <v>7020</v>
      </c>
      <c r="J257">
        <v>7020</v>
      </c>
      <c r="L257">
        <f>IF(
    OR(
        AND(MAX(0, MIN($E$1, DATE(Initialisatie!$C$5,12,31)) - MAX($E$2, DATE(Initialisatie!$C$5,1,1)) + 1) &gt; 0, IFERROR(VALUE($E257),0)=0),
        AND(MAX(0, MIN($F$1, DATE(Initialisatie!$C$5,12,31)) - MAX($F$2, DATE(Initialisatie!$C$5,1,1)) + 1) &gt; 0, IFERROR(VALUE($F257),0)=0),
        AND(MAX(0, MIN($G$1, DATE(Initialisatie!$C$5,12,31)) - MAX($G$2, DATE(Initialisatie!$C$5,1,1)) + 1) &gt; 0, IFERROR(VALUE($G257),0)=0),
        AND(MAX(0, MIN($H$1, DATE(Initialisatie!$C$5,12,31)) - MAX($H$2, DATE(Initialisatie!$C$5,1,1)) + 1) &gt; 0, IFERROR(VALUE($H257),0)=0),
        AND(MAX(0, MIN($I$1, DATE(Initialisatie!$C$5,12,31)) - MAX($I$2, DATE(Initialisatie!$C$5,1,1)) + 1) &gt; 0, IFERROR(VALUE($I257),0)=0),
        AND(MAX(0, MIN($J$1, DATE(Initialisatie!$C$5,12,31)) - MAX($J$2, DATE(Initialisatie!$C$5,1,1)) + 1) &gt; 0, IFERROR(VALUE($J257),0)=0)
    ),
    0,
    SUM(
        IFERROR(VALUE($E257),0) * MAX(0, MIN($E$1, DATE(Initialisatie!$C$5,12,31)) - MAX($E$2, DATE(Initialisatie!$C$5,1,1)) + 1),
        IFERROR(VALUE($F257),0) * MAX(0, MIN($F$1, DATE(Initialisatie!$C$5,12,31)) - MAX($F$2, DATE(Initialisatie!$C$5,1,1)) + 1),
        IFERROR(VALUE($G257),0) * MAX(0, MIN($G$1, DATE(Initialisatie!$C$5,12,31)) - MAX($G$2, DATE(Initialisatie!$C$5,1,1)) + 1),
        IFERROR(VALUE($H257),0) * MAX(0, MIN($H$1, DATE(Initialisatie!$C$5,12,31)) - MAX($H$2, DATE(Initialisatie!$C$5,1,1)) + 1),
        IFERROR(VALUE($I257),0) * MAX(0, MIN($I$1, DATE(Initialisatie!$C$5,12,31)) - MAX($I$2, DATE(Initialisatie!$C$5,1,1)) + 1),
        IFERROR(VALUE($J257),0) * MAX(0, MIN($J$1, DATE(Initialisatie!$C$5,12,31)) - MAX($J$2, DATE(Initialisatie!$C$5,1,1)) + 1)
    ) / (DATE(Initialisatie!$C$5,12,31) - DATE(Initialisatie!$C$5,1,1) + 1)
)</f>
        <v>7020</v>
      </c>
    </row>
    <row r="258" spans="1:12" x14ac:dyDescent="0.45">
      <c r="A258" s="989"/>
      <c r="B258" s="35" t="s">
        <v>531</v>
      </c>
      <c r="C258" s="35" t="s">
        <v>531</v>
      </c>
      <c r="D258" s="35" t="s">
        <v>653</v>
      </c>
      <c r="E258">
        <v>6165</v>
      </c>
      <c r="F258">
        <v>6288</v>
      </c>
      <c r="G258">
        <v>6728</v>
      </c>
      <c r="H258">
        <v>6997</v>
      </c>
      <c r="I258">
        <v>7277</v>
      </c>
      <c r="J258">
        <v>7277</v>
      </c>
      <c r="L258">
        <f>IF(
    OR(
        AND(MAX(0, MIN($E$1, DATE(Initialisatie!$C$5,12,31)) - MAX($E$2, DATE(Initialisatie!$C$5,1,1)) + 1) &gt; 0, IFERROR(VALUE($E258),0)=0),
        AND(MAX(0, MIN($F$1, DATE(Initialisatie!$C$5,12,31)) - MAX($F$2, DATE(Initialisatie!$C$5,1,1)) + 1) &gt; 0, IFERROR(VALUE($F258),0)=0),
        AND(MAX(0, MIN($G$1, DATE(Initialisatie!$C$5,12,31)) - MAX($G$2, DATE(Initialisatie!$C$5,1,1)) + 1) &gt; 0, IFERROR(VALUE($G258),0)=0),
        AND(MAX(0, MIN($H$1, DATE(Initialisatie!$C$5,12,31)) - MAX($H$2, DATE(Initialisatie!$C$5,1,1)) + 1) &gt; 0, IFERROR(VALUE($H258),0)=0),
        AND(MAX(0, MIN($I$1, DATE(Initialisatie!$C$5,12,31)) - MAX($I$2, DATE(Initialisatie!$C$5,1,1)) + 1) &gt; 0, IFERROR(VALUE($I258),0)=0),
        AND(MAX(0, MIN($J$1, DATE(Initialisatie!$C$5,12,31)) - MAX($J$2, DATE(Initialisatie!$C$5,1,1)) + 1) &gt; 0, IFERROR(VALUE($J258),0)=0)
    ),
    0,
    SUM(
        IFERROR(VALUE($E258),0) * MAX(0, MIN($E$1, DATE(Initialisatie!$C$5,12,31)) - MAX($E$2, DATE(Initialisatie!$C$5,1,1)) + 1),
        IFERROR(VALUE($F258),0) * MAX(0, MIN($F$1, DATE(Initialisatie!$C$5,12,31)) - MAX($F$2, DATE(Initialisatie!$C$5,1,1)) + 1),
        IFERROR(VALUE($G258),0) * MAX(0, MIN($G$1, DATE(Initialisatie!$C$5,12,31)) - MAX($G$2, DATE(Initialisatie!$C$5,1,1)) + 1),
        IFERROR(VALUE($H258),0) * MAX(0, MIN($H$1, DATE(Initialisatie!$C$5,12,31)) - MAX($H$2, DATE(Initialisatie!$C$5,1,1)) + 1),
        IFERROR(VALUE($I258),0) * MAX(0, MIN($I$1, DATE(Initialisatie!$C$5,12,31)) - MAX($I$2, DATE(Initialisatie!$C$5,1,1)) + 1),
        IFERROR(VALUE($J258),0) * MAX(0, MIN($J$1, DATE(Initialisatie!$C$5,12,31)) - MAX($J$2, DATE(Initialisatie!$C$5,1,1)) + 1)
    ) / (DATE(Initialisatie!$C$5,12,31) - DATE(Initialisatie!$C$5,1,1) + 1)
)</f>
        <v>7277</v>
      </c>
    </row>
    <row r="259" spans="1:12" x14ac:dyDescent="0.45">
      <c r="A259" s="989"/>
      <c r="B259" s="35" t="s">
        <v>533</v>
      </c>
      <c r="C259" s="35" t="s">
        <v>533</v>
      </c>
      <c r="D259" s="35" t="s">
        <v>654</v>
      </c>
      <c r="E259">
        <v>6391</v>
      </c>
      <c r="F259">
        <v>6519</v>
      </c>
      <c r="G259">
        <v>6975</v>
      </c>
      <c r="H259">
        <v>7254</v>
      </c>
      <c r="I259">
        <v>7544</v>
      </c>
      <c r="J259">
        <v>7544</v>
      </c>
      <c r="L259">
        <f>IF(
    OR(
        AND(MAX(0, MIN($E$1, DATE(Initialisatie!$C$5,12,31)) - MAX($E$2, DATE(Initialisatie!$C$5,1,1)) + 1) &gt; 0, IFERROR(VALUE($E259),0)=0),
        AND(MAX(0, MIN($F$1, DATE(Initialisatie!$C$5,12,31)) - MAX($F$2, DATE(Initialisatie!$C$5,1,1)) + 1) &gt; 0, IFERROR(VALUE($F259),0)=0),
        AND(MAX(0, MIN($G$1, DATE(Initialisatie!$C$5,12,31)) - MAX($G$2, DATE(Initialisatie!$C$5,1,1)) + 1) &gt; 0, IFERROR(VALUE($G259),0)=0),
        AND(MAX(0, MIN($H$1, DATE(Initialisatie!$C$5,12,31)) - MAX($H$2, DATE(Initialisatie!$C$5,1,1)) + 1) &gt; 0, IFERROR(VALUE($H259),0)=0),
        AND(MAX(0, MIN($I$1, DATE(Initialisatie!$C$5,12,31)) - MAX($I$2, DATE(Initialisatie!$C$5,1,1)) + 1) &gt; 0, IFERROR(VALUE($I259),0)=0),
        AND(MAX(0, MIN($J$1, DATE(Initialisatie!$C$5,12,31)) - MAX($J$2, DATE(Initialisatie!$C$5,1,1)) + 1) &gt; 0, IFERROR(VALUE($J259),0)=0)
    ),
    0,
    SUM(
        IFERROR(VALUE($E259),0) * MAX(0, MIN($E$1, DATE(Initialisatie!$C$5,12,31)) - MAX($E$2, DATE(Initialisatie!$C$5,1,1)) + 1),
        IFERROR(VALUE($F259),0) * MAX(0, MIN($F$1, DATE(Initialisatie!$C$5,12,31)) - MAX($F$2, DATE(Initialisatie!$C$5,1,1)) + 1),
        IFERROR(VALUE($G259),0) * MAX(0, MIN($G$1, DATE(Initialisatie!$C$5,12,31)) - MAX($G$2, DATE(Initialisatie!$C$5,1,1)) + 1),
        IFERROR(VALUE($H259),0) * MAX(0, MIN($H$1, DATE(Initialisatie!$C$5,12,31)) - MAX($H$2, DATE(Initialisatie!$C$5,1,1)) + 1),
        IFERROR(VALUE($I259),0) * MAX(0, MIN($I$1, DATE(Initialisatie!$C$5,12,31)) - MAX($I$2, DATE(Initialisatie!$C$5,1,1)) + 1),
        IFERROR(VALUE($J259),0) * MAX(0, MIN($J$1, DATE(Initialisatie!$C$5,12,31)) - MAX($J$2, DATE(Initialisatie!$C$5,1,1)) + 1)
    ) / (DATE(Initialisatie!$C$5,12,31) - DATE(Initialisatie!$C$5,1,1) + 1)
)</f>
        <v>7544</v>
      </c>
    </row>
    <row r="260" spans="1:12" x14ac:dyDescent="0.45">
      <c r="A260" s="989"/>
      <c r="B260" s="35" t="s">
        <v>535</v>
      </c>
      <c r="C260" s="35" t="s">
        <v>535</v>
      </c>
      <c r="D260" s="35" t="s">
        <v>655</v>
      </c>
      <c r="E260">
        <v>6165</v>
      </c>
      <c r="F260">
        <v>6288</v>
      </c>
      <c r="G260">
        <v>6728</v>
      </c>
      <c r="H260">
        <v>6997</v>
      </c>
      <c r="I260">
        <v>7277</v>
      </c>
      <c r="J260">
        <v>7277</v>
      </c>
      <c r="L260">
        <f>IF(
    OR(
        AND(MAX(0, MIN($E$1, DATE(Initialisatie!$C$5,12,31)) - MAX($E$2, DATE(Initialisatie!$C$5,1,1)) + 1) &gt; 0, IFERROR(VALUE($E260),0)=0),
        AND(MAX(0, MIN($F$1, DATE(Initialisatie!$C$5,12,31)) - MAX($F$2, DATE(Initialisatie!$C$5,1,1)) + 1) &gt; 0, IFERROR(VALUE($F260),0)=0),
        AND(MAX(0, MIN($G$1, DATE(Initialisatie!$C$5,12,31)) - MAX($G$2, DATE(Initialisatie!$C$5,1,1)) + 1) &gt; 0, IFERROR(VALUE($G260),0)=0),
        AND(MAX(0, MIN($H$1, DATE(Initialisatie!$C$5,12,31)) - MAX($H$2, DATE(Initialisatie!$C$5,1,1)) + 1) &gt; 0, IFERROR(VALUE($H260),0)=0),
        AND(MAX(0, MIN($I$1, DATE(Initialisatie!$C$5,12,31)) - MAX($I$2, DATE(Initialisatie!$C$5,1,1)) + 1) &gt; 0, IFERROR(VALUE($I260),0)=0),
        AND(MAX(0, MIN($J$1, DATE(Initialisatie!$C$5,12,31)) - MAX($J$2, DATE(Initialisatie!$C$5,1,1)) + 1) &gt; 0, IFERROR(VALUE($J260),0)=0)
    ),
    0,
    SUM(
        IFERROR(VALUE($E260),0) * MAX(0, MIN($E$1, DATE(Initialisatie!$C$5,12,31)) - MAX($E$2, DATE(Initialisatie!$C$5,1,1)) + 1),
        IFERROR(VALUE($F260),0) * MAX(0, MIN($F$1, DATE(Initialisatie!$C$5,12,31)) - MAX($F$2, DATE(Initialisatie!$C$5,1,1)) + 1),
        IFERROR(VALUE($G260),0) * MAX(0, MIN($G$1, DATE(Initialisatie!$C$5,12,31)) - MAX($G$2, DATE(Initialisatie!$C$5,1,1)) + 1),
        IFERROR(VALUE($H260),0) * MAX(0, MIN($H$1, DATE(Initialisatie!$C$5,12,31)) - MAX($H$2, DATE(Initialisatie!$C$5,1,1)) + 1),
        IFERROR(VALUE($I260),0) * MAX(0, MIN($I$1, DATE(Initialisatie!$C$5,12,31)) - MAX($I$2, DATE(Initialisatie!$C$5,1,1)) + 1),
        IFERROR(VALUE($J260),0) * MAX(0, MIN($J$1, DATE(Initialisatie!$C$5,12,31)) - MAX($J$2, DATE(Initialisatie!$C$5,1,1)) + 1)
    ) / (DATE(Initialisatie!$C$5,12,31) - DATE(Initialisatie!$C$5,1,1) + 1)
)</f>
        <v>7277</v>
      </c>
    </row>
    <row r="261" spans="1:12" x14ac:dyDescent="0.45">
      <c r="A261" s="989"/>
      <c r="B261" s="35" t="s">
        <v>537</v>
      </c>
      <c r="C261" s="35" t="s">
        <v>537</v>
      </c>
      <c r="D261" s="35" t="s">
        <v>656</v>
      </c>
      <c r="E261">
        <v>6391</v>
      </c>
      <c r="F261">
        <v>6519</v>
      </c>
      <c r="G261">
        <v>6975</v>
      </c>
      <c r="H261">
        <v>7254</v>
      </c>
      <c r="I261">
        <v>7544</v>
      </c>
      <c r="J261">
        <v>7544</v>
      </c>
      <c r="L261">
        <f>IF(
    OR(
        AND(MAX(0, MIN($E$1, DATE(Initialisatie!$C$5,12,31)) - MAX($E$2, DATE(Initialisatie!$C$5,1,1)) + 1) &gt; 0, IFERROR(VALUE($E261),0)=0),
        AND(MAX(0, MIN($F$1, DATE(Initialisatie!$C$5,12,31)) - MAX($F$2, DATE(Initialisatie!$C$5,1,1)) + 1) &gt; 0, IFERROR(VALUE($F261),0)=0),
        AND(MAX(0, MIN($G$1, DATE(Initialisatie!$C$5,12,31)) - MAX($G$2, DATE(Initialisatie!$C$5,1,1)) + 1) &gt; 0, IFERROR(VALUE($G261),0)=0),
        AND(MAX(0, MIN($H$1, DATE(Initialisatie!$C$5,12,31)) - MAX($H$2, DATE(Initialisatie!$C$5,1,1)) + 1) &gt; 0, IFERROR(VALUE($H261),0)=0),
        AND(MAX(0, MIN($I$1, DATE(Initialisatie!$C$5,12,31)) - MAX($I$2, DATE(Initialisatie!$C$5,1,1)) + 1) &gt; 0, IFERROR(VALUE($I261),0)=0),
        AND(MAX(0, MIN($J$1, DATE(Initialisatie!$C$5,12,31)) - MAX($J$2, DATE(Initialisatie!$C$5,1,1)) + 1) &gt; 0, IFERROR(VALUE($J261),0)=0)
    ),
    0,
    SUM(
        IFERROR(VALUE($E261),0) * MAX(0, MIN($E$1, DATE(Initialisatie!$C$5,12,31)) - MAX($E$2, DATE(Initialisatie!$C$5,1,1)) + 1),
        IFERROR(VALUE($F261),0) * MAX(0, MIN($F$1, DATE(Initialisatie!$C$5,12,31)) - MAX($F$2, DATE(Initialisatie!$C$5,1,1)) + 1),
        IFERROR(VALUE($G261),0) * MAX(0, MIN($G$1, DATE(Initialisatie!$C$5,12,31)) - MAX($G$2, DATE(Initialisatie!$C$5,1,1)) + 1),
        IFERROR(VALUE($H261),0) * MAX(0, MIN($H$1, DATE(Initialisatie!$C$5,12,31)) - MAX($H$2, DATE(Initialisatie!$C$5,1,1)) + 1),
        IFERROR(VALUE($I261),0) * MAX(0, MIN($I$1, DATE(Initialisatie!$C$5,12,31)) - MAX($I$2, DATE(Initialisatie!$C$5,1,1)) + 1),
        IFERROR(VALUE($J261),0) * MAX(0, MIN($J$1, DATE(Initialisatie!$C$5,12,31)) - MAX($J$2, DATE(Initialisatie!$C$5,1,1)) + 1)
    ) / (DATE(Initialisatie!$C$5,12,31) - DATE(Initialisatie!$C$5,1,1) + 1)
)</f>
        <v>7544</v>
      </c>
    </row>
    <row r="262" spans="1:12" x14ac:dyDescent="0.45">
      <c r="A262" s="989"/>
      <c r="B262" s="35" t="s">
        <v>539</v>
      </c>
      <c r="C262" s="35" t="s">
        <v>539</v>
      </c>
      <c r="D262" s="35" t="s">
        <v>657</v>
      </c>
      <c r="E262">
        <v>6628</v>
      </c>
      <c r="F262">
        <v>6761</v>
      </c>
      <c r="G262">
        <v>7234</v>
      </c>
      <c r="H262">
        <v>7523</v>
      </c>
      <c r="I262">
        <v>7824</v>
      </c>
      <c r="J262">
        <v>7824</v>
      </c>
      <c r="L262">
        <f>IF(
    OR(
        AND(MAX(0, MIN($E$1, DATE(Initialisatie!$C$5,12,31)) - MAX($E$2, DATE(Initialisatie!$C$5,1,1)) + 1) &gt; 0, IFERROR(VALUE($E262),0)=0),
        AND(MAX(0, MIN($F$1, DATE(Initialisatie!$C$5,12,31)) - MAX($F$2, DATE(Initialisatie!$C$5,1,1)) + 1) &gt; 0, IFERROR(VALUE($F262),0)=0),
        AND(MAX(0, MIN($G$1, DATE(Initialisatie!$C$5,12,31)) - MAX($G$2, DATE(Initialisatie!$C$5,1,1)) + 1) &gt; 0, IFERROR(VALUE($G262),0)=0),
        AND(MAX(0, MIN($H$1, DATE(Initialisatie!$C$5,12,31)) - MAX($H$2, DATE(Initialisatie!$C$5,1,1)) + 1) &gt; 0, IFERROR(VALUE($H262),0)=0),
        AND(MAX(0, MIN($I$1, DATE(Initialisatie!$C$5,12,31)) - MAX($I$2, DATE(Initialisatie!$C$5,1,1)) + 1) &gt; 0, IFERROR(VALUE($I262),0)=0),
        AND(MAX(0, MIN($J$1, DATE(Initialisatie!$C$5,12,31)) - MAX($J$2, DATE(Initialisatie!$C$5,1,1)) + 1) &gt; 0, IFERROR(VALUE($J262),0)=0)
    ),
    0,
    SUM(
        IFERROR(VALUE($E262),0) * MAX(0, MIN($E$1, DATE(Initialisatie!$C$5,12,31)) - MAX($E$2, DATE(Initialisatie!$C$5,1,1)) + 1),
        IFERROR(VALUE($F262),0) * MAX(0, MIN($F$1, DATE(Initialisatie!$C$5,12,31)) - MAX($F$2, DATE(Initialisatie!$C$5,1,1)) + 1),
        IFERROR(VALUE($G262),0) * MAX(0, MIN($G$1, DATE(Initialisatie!$C$5,12,31)) - MAX($G$2, DATE(Initialisatie!$C$5,1,1)) + 1),
        IFERROR(VALUE($H262),0) * MAX(0, MIN($H$1, DATE(Initialisatie!$C$5,12,31)) - MAX($H$2, DATE(Initialisatie!$C$5,1,1)) + 1),
        IFERROR(VALUE($I262),0) * MAX(0, MIN($I$1, DATE(Initialisatie!$C$5,12,31)) - MAX($I$2, DATE(Initialisatie!$C$5,1,1)) + 1),
        IFERROR(VALUE($J262),0) * MAX(0, MIN($J$1, DATE(Initialisatie!$C$5,12,31)) - MAX($J$2, DATE(Initialisatie!$C$5,1,1)) + 1)
    ) / (DATE(Initialisatie!$C$5,12,31) - DATE(Initialisatie!$C$5,1,1) + 1)
)</f>
        <v>7824</v>
      </c>
    </row>
    <row r="263" spans="1:12" x14ac:dyDescent="0.45">
      <c r="A263" s="989"/>
      <c r="B263" s="35" t="s">
        <v>541</v>
      </c>
      <c r="C263" s="35" t="s">
        <v>541</v>
      </c>
      <c r="D263" s="35" t="s">
        <v>658</v>
      </c>
      <c r="E263">
        <v>6987</v>
      </c>
      <c r="F263">
        <v>7127</v>
      </c>
      <c r="G263">
        <v>7626</v>
      </c>
      <c r="H263">
        <v>7931</v>
      </c>
      <c r="I263">
        <v>8248</v>
      </c>
      <c r="J263">
        <v>8248</v>
      </c>
      <c r="L263">
        <f>IF(
    OR(
        AND(MAX(0, MIN($E$1, DATE(Initialisatie!$C$5,12,31)) - MAX($E$2, DATE(Initialisatie!$C$5,1,1)) + 1) &gt; 0, IFERROR(VALUE($E263),0)=0),
        AND(MAX(0, MIN($F$1, DATE(Initialisatie!$C$5,12,31)) - MAX($F$2, DATE(Initialisatie!$C$5,1,1)) + 1) &gt; 0, IFERROR(VALUE($F263),0)=0),
        AND(MAX(0, MIN($G$1, DATE(Initialisatie!$C$5,12,31)) - MAX($G$2, DATE(Initialisatie!$C$5,1,1)) + 1) &gt; 0, IFERROR(VALUE($G263),0)=0),
        AND(MAX(0, MIN($H$1, DATE(Initialisatie!$C$5,12,31)) - MAX($H$2, DATE(Initialisatie!$C$5,1,1)) + 1) &gt; 0, IFERROR(VALUE($H263),0)=0),
        AND(MAX(0, MIN($I$1, DATE(Initialisatie!$C$5,12,31)) - MAX($I$2, DATE(Initialisatie!$C$5,1,1)) + 1) &gt; 0, IFERROR(VALUE($I263),0)=0),
        AND(MAX(0, MIN($J$1, DATE(Initialisatie!$C$5,12,31)) - MAX($J$2, DATE(Initialisatie!$C$5,1,1)) + 1) &gt; 0, IFERROR(VALUE($J263),0)=0)
    ),
    0,
    SUM(
        IFERROR(VALUE($E263),0) * MAX(0, MIN($E$1, DATE(Initialisatie!$C$5,12,31)) - MAX($E$2, DATE(Initialisatie!$C$5,1,1)) + 1),
        IFERROR(VALUE($F263),0) * MAX(0, MIN($F$1, DATE(Initialisatie!$C$5,12,31)) - MAX($F$2, DATE(Initialisatie!$C$5,1,1)) + 1),
        IFERROR(VALUE($G263),0) * MAX(0, MIN($G$1, DATE(Initialisatie!$C$5,12,31)) - MAX($G$2, DATE(Initialisatie!$C$5,1,1)) + 1),
        IFERROR(VALUE($H263),0) * MAX(0, MIN($H$1, DATE(Initialisatie!$C$5,12,31)) - MAX($H$2, DATE(Initialisatie!$C$5,1,1)) + 1),
        IFERROR(VALUE($I263),0) * MAX(0, MIN($I$1, DATE(Initialisatie!$C$5,12,31)) - MAX($I$2, DATE(Initialisatie!$C$5,1,1)) + 1),
        IFERROR(VALUE($J263),0) * MAX(0, MIN($J$1, DATE(Initialisatie!$C$5,12,31)) - MAX($J$2, DATE(Initialisatie!$C$5,1,1)) + 1)
    ) / (DATE(Initialisatie!$C$5,12,31) - DATE(Initialisatie!$C$5,1,1) + 1)
)</f>
        <v>8248</v>
      </c>
    </row>
    <row r="264" spans="1:12" x14ac:dyDescent="0.45">
      <c r="A264" s="990"/>
      <c r="B264" s="35" t="s">
        <v>543</v>
      </c>
      <c r="C264" s="35" t="s">
        <v>543</v>
      </c>
      <c r="D264" s="35" t="s">
        <v>659</v>
      </c>
      <c r="E264">
        <v>7363</v>
      </c>
      <c r="F264">
        <v>7510</v>
      </c>
      <c r="G264">
        <v>8036</v>
      </c>
      <c r="H264">
        <v>8357</v>
      </c>
      <c r="I264">
        <v>8691</v>
      </c>
      <c r="J264">
        <v>8691</v>
      </c>
      <c r="L264">
        <f>IF(
    OR(
        AND(MAX(0, MIN($E$1, DATE(Initialisatie!$C$5,12,31)) - MAX($E$2, DATE(Initialisatie!$C$5,1,1)) + 1) &gt; 0, IFERROR(VALUE($E264),0)=0),
        AND(MAX(0, MIN($F$1, DATE(Initialisatie!$C$5,12,31)) - MAX($F$2, DATE(Initialisatie!$C$5,1,1)) + 1) &gt; 0, IFERROR(VALUE($F264),0)=0),
        AND(MAX(0, MIN($G$1, DATE(Initialisatie!$C$5,12,31)) - MAX($G$2, DATE(Initialisatie!$C$5,1,1)) + 1) &gt; 0, IFERROR(VALUE($G264),0)=0),
        AND(MAX(0, MIN($H$1, DATE(Initialisatie!$C$5,12,31)) - MAX($H$2, DATE(Initialisatie!$C$5,1,1)) + 1) &gt; 0, IFERROR(VALUE($H264),0)=0),
        AND(MAX(0, MIN($I$1, DATE(Initialisatie!$C$5,12,31)) - MAX($I$2, DATE(Initialisatie!$C$5,1,1)) + 1) &gt; 0, IFERROR(VALUE($I264),0)=0),
        AND(MAX(0, MIN($J$1, DATE(Initialisatie!$C$5,12,31)) - MAX($J$2, DATE(Initialisatie!$C$5,1,1)) + 1) &gt; 0, IFERROR(VALUE($J264),0)=0)
    ),
    0,
    SUM(
        IFERROR(VALUE($E264),0) * MAX(0, MIN($E$1, DATE(Initialisatie!$C$5,12,31)) - MAX($E$2, DATE(Initialisatie!$C$5,1,1)) + 1),
        IFERROR(VALUE($F264),0) * MAX(0, MIN($F$1, DATE(Initialisatie!$C$5,12,31)) - MAX($F$2, DATE(Initialisatie!$C$5,1,1)) + 1),
        IFERROR(VALUE($G264),0) * MAX(0, MIN($G$1, DATE(Initialisatie!$C$5,12,31)) - MAX($G$2, DATE(Initialisatie!$C$5,1,1)) + 1),
        IFERROR(VALUE($H264),0) * MAX(0, MIN($H$1, DATE(Initialisatie!$C$5,12,31)) - MAX($H$2, DATE(Initialisatie!$C$5,1,1)) + 1),
        IFERROR(VALUE($I264),0) * MAX(0, MIN($I$1, DATE(Initialisatie!$C$5,12,31)) - MAX($I$2, DATE(Initialisatie!$C$5,1,1)) + 1),
        IFERROR(VALUE($J264),0) * MAX(0, MIN($J$1, DATE(Initialisatie!$C$5,12,31)) - MAX($J$2, DATE(Initialisatie!$C$5,1,1)) + 1)
    ) / (DATE(Initialisatie!$C$5,12,31) - DATE(Initialisatie!$C$5,1,1) + 1)
)</f>
        <v>8691</v>
      </c>
    </row>
    <row r="265" spans="1:12" x14ac:dyDescent="0.45">
      <c r="A265" s="988">
        <v>13</v>
      </c>
      <c r="B265" s="35" t="s">
        <v>517</v>
      </c>
      <c r="C265" s="35" t="s">
        <v>517</v>
      </c>
      <c r="D265" s="35" t="s">
        <v>660</v>
      </c>
      <c r="E265">
        <v>4157</v>
      </c>
      <c r="F265">
        <v>4240</v>
      </c>
      <c r="G265">
        <v>4537</v>
      </c>
      <c r="H265">
        <v>4718</v>
      </c>
      <c r="I265">
        <v>4907</v>
      </c>
      <c r="J265">
        <v>4907</v>
      </c>
      <c r="L265">
        <f>IF(
    OR(
        AND(MAX(0, MIN($E$1, DATE(Initialisatie!$C$5,12,31)) - MAX($E$2, DATE(Initialisatie!$C$5,1,1)) + 1) &gt; 0, IFERROR(VALUE($E265),0)=0),
        AND(MAX(0, MIN($F$1, DATE(Initialisatie!$C$5,12,31)) - MAX($F$2, DATE(Initialisatie!$C$5,1,1)) + 1) &gt; 0, IFERROR(VALUE($F265),0)=0),
        AND(MAX(0, MIN($G$1, DATE(Initialisatie!$C$5,12,31)) - MAX($G$2, DATE(Initialisatie!$C$5,1,1)) + 1) &gt; 0, IFERROR(VALUE($G265),0)=0),
        AND(MAX(0, MIN($H$1, DATE(Initialisatie!$C$5,12,31)) - MAX($H$2, DATE(Initialisatie!$C$5,1,1)) + 1) &gt; 0, IFERROR(VALUE($H265),0)=0),
        AND(MAX(0, MIN($I$1, DATE(Initialisatie!$C$5,12,31)) - MAX($I$2, DATE(Initialisatie!$C$5,1,1)) + 1) &gt; 0, IFERROR(VALUE($I265),0)=0),
        AND(MAX(0, MIN($J$1, DATE(Initialisatie!$C$5,12,31)) - MAX($J$2, DATE(Initialisatie!$C$5,1,1)) + 1) &gt; 0, IFERROR(VALUE($J265),0)=0)
    ),
    0,
    SUM(
        IFERROR(VALUE($E265),0) * MAX(0, MIN($E$1, DATE(Initialisatie!$C$5,12,31)) - MAX($E$2, DATE(Initialisatie!$C$5,1,1)) + 1),
        IFERROR(VALUE($F265),0) * MAX(0, MIN($F$1, DATE(Initialisatie!$C$5,12,31)) - MAX($F$2, DATE(Initialisatie!$C$5,1,1)) + 1),
        IFERROR(VALUE($G265),0) * MAX(0, MIN($G$1, DATE(Initialisatie!$C$5,12,31)) - MAX($G$2, DATE(Initialisatie!$C$5,1,1)) + 1),
        IFERROR(VALUE($H265),0) * MAX(0, MIN($H$1, DATE(Initialisatie!$C$5,12,31)) - MAX($H$2, DATE(Initialisatie!$C$5,1,1)) + 1),
        IFERROR(VALUE($I265),0) * MAX(0, MIN($I$1, DATE(Initialisatie!$C$5,12,31)) - MAX($I$2, DATE(Initialisatie!$C$5,1,1)) + 1),
        IFERROR(VALUE($J265),0) * MAX(0, MIN($J$1, DATE(Initialisatie!$C$5,12,31)) - MAX($J$2, DATE(Initialisatie!$C$5,1,1)) + 1)
    ) / (DATE(Initialisatie!$C$5,12,31) - DATE(Initialisatie!$C$5,1,1) + 1)
)</f>
        <v>4907</v>
      </c>
    </row>
    <row r="266" spans="1:12" x14ac:dyDescent="0.45">
      <c r="A266" s="989"/>
      <c r="B266" s="35">
        <v>0</v>
      </c>
      <c r="C266" s="35">
        <v>0</v>
      </c>
      <c r="D266" s="35" t="s">
        <v>145</v>
      </c>
      <c r="E266">
        <v>4222</v>
      </c>
      <c r="F266">
        <v>4306</v>
      </c>
      <c r="G266">
        <v>4607</v>
      </c>
      <c r="H266">
        <v>4791</v>
      </c>
      <c r="I266">
        <v>4983</v>
      </c>
      <c r="J266">
        <v>4983</v>
      </c>
      <c r="L266">
        <f>IF(
    OR(
        AND(MAX(0, MIN($E$1, DATE(Initialisatie!$C$5,12,31)) - MAX($E$2, DATE(Initialisatie!$C$5,1,1)) + 1) &gt; 0, IFERROR(VALUE($E266),0)=0),
        AND(MAX(0, MIN($F$1, DATE(Initialisatie!$C$5,12,31)) - MAX($F$2, DATE(Initialisatie!$C$5,1,1)) + 1) &gt; 0, IFERROR(VALUE($F266),0)=0),
        AND(MAX(0, MIN($G$1, DATE(Initialisatie!$C$5,12,31)) - MAX($G$2, DATE(Initialisatie!$C$5,1,1)) + 1) &gt; 0, IFERROR(VALUE($G266),0)=0),
        AND(MAX(0, MIN($H$1, DATE(Initialisatie!$C$5,12,31)) - MAX($H$2, DATE(Initialisatie!$C$5,1,1)) + 1) &gt; 0, IFERROR(VALUE($H266),0)=0),
        AND(MAX(0, MIN($I$1, DATE(Initialisatie!$C$5,12,31)) - MAX($I$2, DATE(Initialisatie!$C$5,1,1)) + 1) &gt; 0, IFERROR(VALUE($I266),0)=0),
        AND(MAX(0, MIN($J$1, DATE(Initialisatie!$C$5,12,31)) - MAX($J$2, DATE(Initialisatie!$C$5,1,1)) + 1) &gt; 0, IFERROR(VALUE($J266),0)=0)
    ),
    0,
    SUM(
        IFERROR(VALUE($E266),0) * MAX(0, MIN($E$1, DATE(Initialisatie!$C$5,12,31)) - MAX($E$2, DATE(Initialisatie!$C$5,1,1)) + 1),
        IFERROR(VALUE($F266),0) * MAX(0, MIN($F$1, DATE(Initialisatie!$C$5,12,31)) - MAX($F$2, DATE(Initialisatie!$C$5,1,1)) + 1),
        IFERROR(VALUE($G266),0) * MAX(0, MIN($G$1, DATE(Initialisatie!$C$5,12,31)) - MAX($G$2, DATE(Initialisatie!$C$5,1,1)) + 1),
        IFERROR(VALUE($H266),0) * MAX(0, MIN($H$1, DATE(Initialisatie!$C$5,12,31)) - MAX($H$2, DATE(Initialisatie!$C$5,1,1)) + 1),
        IFERROR(VALUE($I266),0) * MAX(0, MIN($I$1, DATE(Initialisatie!$C$5,12,31)) - MAX($I$2, DATE(Initialisatie!$C$5,1,1)) + 1),
        IFERROR(VALUE($J266),0) * MAX(0, MIN($J$1, DATE(Initialisatie!$C$5,12,31)) - MAX($J$2, DATE(Initialisatie!$C$5,1,1)) + 1)
    ) / (DATE(Initialisatie!$C$5,12,31) - DATE(Initialisatie!$C$5,1,1) + 1)
)</f>
        <v>4983</v>
      </c>
    </row>
    <row r="267" spans="1:12" x14ac:dyDescent="0.45">
      <c r="A267" s="989"/>
      <c r="B267" s="35">
        <v>1</v>
      </c>
      <c r="C267" s="35">
        <v>1</v>
      </c>
      <c r="D267" s="35" t="s">
        <v>144</v>
      </c>
      <c r="E267">
        <v>4358</v>
      </c>
      <c r="F267">
        <v>4445</v>
      </c>
      <c r="G267">
        <v>4756</v>
      </c>
      <c r="H267">
        <v>4946</v>
      </c>
      <c r="I267">
        <v>5144</v>
      </c>
      <c r="J267">
        <v>5144</v>
      </c>
      <c r="L267">
        <f>IF(
    OR(
        AND(MAX(0, MIN($E$1, DATE(Initialisatie!$C$5,12,31)) - MAX($E$2, DATE(Initialisatie!$C$5,1,1)) + 1) &gt; 0, IFERROR(VALUE($E267),0)=0),
        AND(MAX(0, MIN($F$1, DATE(Initialisatie!$C$5,12,31)) - MAX($F$2, DATE(Initialisatie!$C$5,1,1)) + 1) &gt; 0, IFERROR(VALUE($F267),0)=0),
        AND(MAX(0, MIN($G$1, DATE(Initialisatie!$C$5,12,31)) - MAX($G$2, DATE(Initialisatie!$C$5,1,1)) + 1) &gt; 0, IFERROR(VALUE($G267),0)=0),
        AND(MAX(0, MIN($H$1, DATE(Initialisatie!$C$5,12,31)) - MAX($H$2, DATE(Initialisatie!$C$5,1,1)) + 1) &gt; 0, IFERROR(VALUE($H267),0)=0),
        AND(MAX(0, MIN($I$1, DATE(Initialisatie!$C$5,12,31)) - MAX($I$2, DATE(Initialisatie!$C$5,1,1)) + 1) &gt; 0, IFERROR(VALUE($I267),0)=0),
        AND(MAX(0, MIN($J$1, DATE(Initialisatie!$C$5,12,31)) - MAX($J$2, DATE(Initialisatie!$C$5,1,1)) + 1) &gt; 0, IFERROR(VALUE($J267),0)=0)
    ),
    0,
    SUM(
        IFERROR(VALUE($E267),0) * MAX(0, MIN($E$1, DATE(Initialisatie!$C$5,12,31)) - MAX($E$2, DATE(Initialisatie!$C$5,1,1)) + 1),
        IFERROR(VALUE($F267),0) * MAX(0, MIN($F$1, DATE(Initialisatie!$C$5,12,31)) - MAX($F$2, DATE(Initialisatie!$C$5,1,1)) + 1),
        IFERROR(VALUE($G267),0) * MAX(0, MIN($G$1, DATE(Initialisatie!$C$5,12,31)) - MAX($G$2, DATE(Initialisatie!$C$5,1,1)) + 1),
        IFERROR(VALUE($H267),0) * MAX(0, MIN($H$1, DATE(Initialisatie!$C$5,12,31)) - MAX($H$2, DATE(Initialisatie!$C$5,1,1)) + 1),
        IFERROR(VALUE($I267),0) * MAX(0, MIN($I$1, DATE(Initialisatie!$C$5,12,31)) - MAX($I$2, DATE(Initialisatie!$C$5,1,1)) + 1),
        IFERROR(VALUE($J267),0) * MAX(0, MIN($J$1, DATE(Initialisatie!$C$5,12,31)) - MAX($J$2, DATE(Initialisatie!$C$5,1,1)) + 1)
    ) / (DATE(Initialisatie!$C$5,12,31) - DATE(Initialisatie!$C$5,1,1) + 1)
)</f>
        <v>5144</v>
      </c>
    </row>
    <row r="268" spans="1:12" x14ac:dyDescent="0.45">
      <c r="A268" s="989"/>
      <c r="B268" s="35">
        <v>2</v>
      </c>
      <c r="C268" s="35">
        <v>2</v>
      </c>
      <c r="D268" s="35" t="s">
        <v>139</v>
      </c>
      <c r="E268">
        <v>4509</v>
      </c>
      <c r="F268">
        <v>4599</v>
      </c>
      <c r="G268">
        <v>4921</v>
      </c>
      <c r="H268">
        <v>5118</v>
      </c>
      <c r="I268">
        <v>5323</v>
      </c>
      <c r="J268">
        <v>5323</v>
      </c>
      <c r="L268">
        <f>IF(
    OR(
        AND(MAX(0, MIN($E$1, DATE(Initialisatie!$C$5,12,31)) - MAX($E$2, DATE(Initialisatie!$C$5,1,1)) + 1) &gt; 0, IFERROR(VALUE($E268),0)=0),
        AND(MAX(0, MIN($F$1, DATE(Initialisatie!$C$5,12,31)) - MAX($F$2, DATE(Initialisatie!$C$5,1,1)) + 1) &gt; 0, IFERROR(VALUE($F268),0)=0),
        AND(MAX(0, MIN($G$1, DATE(Initialisatie!$C$5,12,31)) - MAX($G$2, DATE(Initialisatie!$C$5,1,1)) + 1) &gt; 0, IFERROR(VALUE($G268),0)=0),
        AND(MAX(0, MIN($H$1, DATE(Initialisatie!$C$5,12,31)) - MAX($H$2, DATE(Initialisatie!$C$5,1,1)) + 1) &gt; 0, IFERROR(VALUE($H268),0)=0),
        AND(MAX(0, MIN($I$1, DATE(Initialisatie!$C$5,12,31)) - MAX($I$2, DATE(Initialisatie!$C$5,1,1)) + 1) &gt; 0, IFERROR(VALUE($I268),0)=0),
        AND(MAX(0, MIN($J$1, DATE(Initialisatie!$C$5,12,31)) - MAX($J$2, DATE(Initialisatie!$C$5,1,1)) + 1) &gt; 0, IFERROR(VALUE($J268),0)=0)
    ),
    0,
    SUM(
        IFERROR(VALUE($E268),0) * MAX(0, MIN($E$1, DATE(Initialisatie!$C$5,12,31)) - MAX($E$2, DATE(Initialisatie!$C$5,1,1)) + 1),
        IFERROR(VALUE($F268),0) * MAX(0, MIN($F$1, DATE(Initialisatie!$C$5,12,31)) - MAX($F$2, DATE(Initialisatie!$C$5,1,1)) + 1),
        IFERROR(VALUE($G268),0) * MAX(0, MIN($G$1, DATE(Initialisatie!$C$5,12,31)) - MAX($G$2, DATE(Initialisatie!$C$5,1,1)) + 1),
        IFERROR(VALUE($H268),0) * MAX(0, MIN($H$1, DATE(Initialisatie!$C$5,12,31)) - MAX($H$2, DATE(Initialisatie!$C$5,1,1)) + 1),
        IFERROR(VALUE($I268),0) * MAX(0, MIN($I$1, DATE(Initialisatie!$C$5,12,31)) - MAX($I$2, DATE(Initialisatie!$C$5,1,1)) + 1),
        IFERROR(VALUE($J268),0) * MAX(0, MIN($J$1, DATE(Initialisatie!$C$5,12,31)) - MAX($J$2, DATE(Initialisatie!$C$5,1,1)) + 1)
    ) / (DATE(Initialisatie!$C$5,12,31) - DATE(Initialisatie!$C$5,1,1) + 1)
)</f>
        <v>5323</v>
      </c>
    </row>
    <row r="269" spans="1:12" x14ac:dyDescent="0.45">
      <c r="A269" s="989"/>
      <c r="B269" s="35">
        <v>3</v>
      </c>
      <c r="C269" s="35">
        <v>3</v>
      </c>
      <c r="D269" s="35" t="s">
        <v>138</v>
      </c>
      <c r="E269">
        <v>4670</v>
      </c>
      <c r="F269">
        <v>4763</v>
      </c>
      <c r="G269">
        <v>5096</v>
      </c>
      <c r="H269">
        <v>5300</v>
      </c>
      <c r="I269">
        <v>5512</v>
      </c>
      <c r="J269">
        <v>5512</v>
      </c>
      <c r="L269">
        <f>IF(
    OR(
        AND(MAX(0, MIN($E$1, DATE(Initialisatie!$C$5,12,31)) - MAX($E$2, DATE(Initialisatie!$C$5,1,1)) + 1) &gt; 0, IFERROR(VALUE($E269),0)=0),
        AND(MAX(0, MIN($F$1, DATE(Initialisatie!$C$5,12,31)) - MAX($F$2, DATE(Initialisatie!$C$5,1,1)) + 1) &gt; 0, IFERROR(VALUE($F269),0)=0),
        AND(MAX(0, MIN($G$1, DATE(Initialisatie!$C$5,12,31)) - MAX($G$2, DATE(Initialisatie!$C$5,1,1)) + 1) &gt; 0, IFERROR(VALUE($G269),0)=0),
        AND(MAX(0, MIN($H$1, DATE(Initialisatie!$C$5,12,31)) - MAX($H$2, DATE(Initialisatie!$C$5,1,1)) + 1) &gt; 0, IFERROR(VALUE($H269),0)=0),
        AND(MAX(0, MIN($I$1, DATE(Initialisatie!$C$5,12,31)) - MAX($I$2, DATE(Initialisatie!$C$5,1,1)) + 1) &gt; 0, IFERROR(VALUE($I269),0)=0),
        AND(MAX(0, MIN($J$1, DATE(Initialisatie!$C$5,12,31)) - MAX($J$2, DATE(Initialisatie!$C$5,1,1)) + 1) &gt; 0, IFERROR(VALUE($J269),0)=0)
    ),
    0,
    SUM(
        IFERROR(VALUE($E269),0) * MAX(0, MIN($E$1, DATE(Initialisatie!$C$5,12,31)) - MAX($E$2, DATE(Initialisatie!$C$5,1,1)) + 1),
        IFERROR(VALUE($F269),0) * MAX(0, MIN($F$1, DATE(Initialisatie!$C$5,12,31)) - MAX($F$2, DATE(Initialisatie!$C$5,1,1)) + 1),
        IFERROR(VALUE($G269),0) * MAX(0, MIN($G$1, DATE(Initialisatie!$C$5,12,31)) - MAX($G$2, DATE(Initialisatie!$C$5,1,1)) + 1),
        IFERROR(VALUE($H269),0) * MAX(0, MIN($H$1, DATE(Initialisatie!$C$5,12,31)) - MAX($H$2, DATE(Initialisatie!$C$5,1,1)) + 1),
        IFERROR(VALUE($I269),0) * MAX(0, MIN($I$1, DATE(Initialisatie!$C$5,12,31)) - MAX($I$2, DATE(Initialisatie!$C$5,1,1)) + 1),
        IFERROR(VALUE($J269),0) * MAX(0, MIN($J$1, DATE(Initialisatie!$C$5,12,31)) - MAX($J$2, DATE(Initialisatie!$C$5,1,1)) + 1)
    ) / (DATE(Initialisatie!$C$5,12,31) - DATE(Initialisatie!$C$5,1,1) + 1)
)</f>
        <v>5512</v>
      </c>
    </row>
    <row r="270" spans="1:12" x14ac:dyDescent="0.45">
      <c r="A270" s="989"/>
      <c r="B270" s="35">
        <v>4</v>
      </c>
      <c r="C270" s="35">
        <v>4</v>
      </c>
      <c r="D270" s="35" t="s">
        <v>137</v>
      </c>
      <c r="E270">
        <v>4830</v>
      </c>
      <c r="F270">
        <v>4927</v>
      </c>
      <c r="G270">
        <v>5272</v>
      </c>
      <c r="H270">
        <v>5483</v>
      </c>
      <c r="I270">
        <v>5702</v>
      </c>
      <c r="J270">
        <v>5702</v>
      </c>
      <c r="L270">
        <f>IF(
    OR(
        AND(MAX(0, MIN($E$1, DATE(Initialisatie!$C$5,12,31)) - MAX($E$2, DATE(Initialisatie!$C$5,1,1)) + 1) &gt; 0, IFERROR(VALUE($E270),0)=0),
        AND(MAX(0, MIN($F$1, DATE(Initialisatie!$C$5,12,31)) - MAX($F$2, DATE(Initialisatie!$C$5,1,1)) + 1) &gt; 0, IFERROR(VALUE($F270),0)=0),
        AND(MAX(0, MIN($G$1, DATE(Initialisatie!$C$5,12,31)) - MAX($G$2, DATE(Initialisatie!$C$5,1,1)) + 1) &gt; 0, IFERROR(VALUE($G270),0)=0),
        AND(MAX(0, MIN($H$1, DATE(Initialisatie!$C$5,12,31)) - MAX($H$2, DATE(Initialisatie!$C$5,1,1)) + 1) &gt; 0, IFERROR(VALUE($H270),0)=0),
        AND(MAX(0, MIN($I$1, DATE(Initialisatie!$C$5,12,31)) - MAX($I$2, DATE(Initialisatie!$C$5,1,1)) + 1) &gt; 0, IFERROR(VALUE($I270),0)=0),
        AND(MAX(0, MIN($J$1, DATE(Initialisatie!$C$5,12,31)) - MAX($J$2, DATE(Initialisatie!$C$5,1,1)) + 1) &gt; 0, IFERROR(VALUE($J270),0)=0)
    ),
    0,
    SUM(
        IFERROR(VALUE($E270),0) * MAX(0, MIN($E$1, DATE(Initialisatie!$C$5,12,31)) - MAX($E$2, DATE(Initialisatie!$C$5,1,1)) + 1),
        IFERROR(VALUE($F270),0) * MAX(0, MIN($F$1, DATE(Initialisatie!$C$5,12,31)) - MAX($F$2, DATE(Initialisatie!$C$5,1,1)) + 1),
        IFERROR(VALUE($G270),0) * MAX(0, MIN($G$1, DATE(Initialisatie!$C$5,12,31)) - MAX($G$2, DATE(Initialisatie!$C$5,1,1)) + 1),
        IFERROR(VALUE($H270),0) * MAX(0, MIN($H$1, DATE(Initialisatie!$C$5,12,31)) - MAX($H$2, DATE(Initialisatie!$C$5,1,1)) + 1),
        IFERROR(VALUE($I270),0) * MAX(0, MIN($I$1, DATE(Initialisatie!$C$5,12,31)) - MAX($I$2, DATE(Initialisatie!$C$5,1,1)) + 1),
        IFERROR(VALUE($J270),0) * MAX(0, MIN($J$1, DATE(Initialisatie!$C$5,12,31)) - MAX($J$2, DATE(Initialisatie!$C$5,1,1)) + 1)
    ) / (DATE(Initialisatie!$C$5,12,31) - DATE(Initialisatie!$C$5,1,1) + 1)
)</f>
        <v>5702</v>
      </c>
    </row>
    <row r="271" spans="1:12" x14ac:dyDescent="0.45">
      <c r="A271" s="989"/>
      <c r="B271" s="35">
        <v>5</v>
      </c>
      <c r="C271" s="35">
        <v>5</v>
      </c>
      <c r="D271" s="35" t="s">
        <v>136</v>
      </c>
      <c r="E271">
        <v>5003</v>
      </c>
      <c r="F271">
        <v>5103</v>
      </c>
      <c r="G271">
        <v>5460</v>
      </c>
      <c r="H271">
        <v>5678</v>
      </c>
      <c r="I271">
        <v>5905</v>
      </c>
      <c r="J271">
        <v>5905</v>
      </c>
      <c r="L271">
        <f>IF(
    OR(
        AND(MAX(0, MIN($E$1, DATE(Initialisatie!$C$5,12,31)) - MAX($E$2, DATE(Initialisatie!$C$5,1,1)) + 1) &gt; 0, IFERROR(VALUE($E271),0)=0),
        AND(MAX(0, MIN($F$1, DATE(Initialisatie!$C$5,12,31)) - MAX($F$2, DATE(Initialisatie!$C$5,1,1)) + 1) &gt; 0, IFERROR(VALUE($F271),0)=0),
        AND(MAX(0, MIN($G$1, DATE(Initialisatie!$C$5,12,31)) - MAX($G$2, DATE(Initialisatie!$C$5,1,1)) + 1) &gt; 0, IFERROR(VALUE($G271),0)=0),
        AND(MAX(0, MIN($H$1, DATE(Initialisatie!$C$5,12,31)) - MAX($H$2, DATE(Initialisatie!$C$5,1,1)) + 1) &gt; 0, IFERROR(VALUE($H271),0)=0),
        AND(MAX(0, MIN($I$1, DATE(Initialisatie!$C$5,12,31)) - MAX($I$2, DATE(Initialisatie!$C$5,1,1)) + 1) &gt; 0, IFERROR(VALUE($I271),0)=0),
        AND(MAX(0, MIN($J$1, DATE(Initialisatie!$C$5,12,31)) - MAX($J$2, DATE(Initialisatie!$C$5,1,1)) + 1) &gt; 0, IFERROR(VALUE($J271),0)=0)
    ),
    0,
    SUM(
        IFERROR(VALUE($E271),0) * MAX(0, MIN($E$1, DATE(Initialisatie!$C$5,12,31)) - MAX($E$2, DATE(Initialisatie!$C$5,1,1)) + 1),
        IFERROR(VALUE($F271),0) * MAX(0, MIN($F$1, DATE(Initialisatie!$C$5,12,31)) - MAX($F$2, DATE(Initialisatie!$C$5,1,1)) + 1),
        IFERROR(VALUE($G271),0) * MAX(0, MIN($G$1, DATE(Initialisatie!$C$5,12,31)) - MAX($G$2, DATE(Initialisatie!$C$5,1,1)) + 1),
        IFERROR(VALUE($H271),0) * MAX(0, MIN($H$1, DATE(Initialisatie!$C$5,12,31)) - MAX($H$2, DATE(Initialisatie!$C$5,1,1)) + 1),
        IFERROR(VALUE($I271),0) * MAX(0, MIN($I$1, DATE(Initialisatie!$C$5,12,31)) - MAX($I$2, DATE(Initialisatie!$C$5,1,1)) + 1),
        IFERROR(VALUE($J271),0) * MAX(0, MIN($J$1, DATE(Initialisatie!$C$5,12,31)) - MAX($J$2, DATE(Initialisatie!$C$5,1,1)) + 1)
    ) / (DATE(Initialisatie!$C$5,12,31) - DATE(Initialisatie!$C$5,1,1) + 1)
)</f>
        <v>5905</v>
      </c>
    </row>
    <row r="272" spans="1:12" x14ac:dyDescent="0.45">
      <c r="A272" s="989"/>
      <c r="B272" s="35">
        <v>6</v>
      </c>
      <c r="C272" s="35">
        <v>6</v>
      </c>
      <c r="D272" s="35" t="s">
        <v>135</v>
      </c>
      <c r="E272">
        <v>5174</v>
      </c>
      <c r="F272">
        <v>5277</v>
      </c>
      <c r="G272">
        <v>5646</v>
      </c>
      <c r="H272">
        <v>5872</v>
      </c>
      <c r="I272">
        <v>6107</v>
      </c>
      <c r="J272">
        <v>6107</v>
      </c>
      <c r="L272">
        <f>IF(
    OR(
        AND(MAX(0, MIN($E$1, DATE(Initialisatie!$C$5,12,31)) - MAX($E$2, DATE(Initialisatie!$C$5,1,1)) + 1) &gt; 0, IFERROR(VALUE($E272),0)=0),
        AND(MAX(0, MIN($F$1, DATE(Initialisatie!$C$5,12,31)) - MAX($F$2, DATE(Initialisatie!$C$5,1,1)) + 1) &gt; 0, IFERROR(VALUE($F272),0)=0),
        AND(MAX(0, MIN($G$1, DATE(Initialisatie!$C$5,12,31)) - MAX($G$2, DATE(Initialisatie!$C$5,1,1)) + 1) &gt; 0, IFERROR(VALUE($G272),0)=0),
        AND(MAX(0, MIN($H$1, DATE(Initialisatie!$C$5,12,31)) - MAX($H$2, DATE(Initialisatie!$C$5,1,1)) + 1) &gt; 0, IFERROR(VALUE($H272),0)=0),
        AND(MAX(0, MIN($I$1, DATE(Initialisatie!$C$5,12,31)) - MAX($I$2, DATE(Initialisatie!$C$5,1,1)) + 1) &gt; 0, IFERROR(VALUE($I272),0)=0),
        AND(MAX(0, MIN($J$1, DATE(Initialisatie!$C$5,12,31)) - MAX($J$2, DATE(Initialisatie!$C$5,1,1)) + 1) &gt; 0, IFERROR(VALUE($J272),0)=0)
    ),
    0,
    SUM(
        IFERROR(VALUE($E272),0) * MAX(0, MIN($E$1, DATE(Initialisatie!$C$5,12,31)) - MAX($E$2, DATE(Initialisatie!$C$5,1,1)) + 1),
        IFERROR(VALUE($F272),0) * MAX(0, MIN($F$1, DATE(Initialisatie!$C$5,12,31)) - MAX($F$2, DATE(Initialisatie!$C$5,1,1)) + 1),
        IFERROR(VALUE($G272),0) * MAX(0, MIN($G$1, DATE(Initialisatie!$C$5,12,31)) - MAX($G$2, DATE(Initialisatie!$C$5,1,1)) + 1),
        IFERROR(VALUE($H272),0) * MAX(0, MIN($H$1, DATE(Initialisatie!$C$5,12,31)) - MAX($H$2, DATE(Initialisatie!$C$5,1,1)) + 1),
        IFERROR(VALUE($I272),0) * MAX(0, MIN($I$1, DATE(Initialisatie!$C$5,12,31)) - MAX($I$2, DATE(Initialisatie!$C$5,1,1)) + 1),
        IFERROR(VALUE($J272),0) * MAX(0, MIN($J$1, DATE(Initialisatie!$C$5,12,31)) - MAX($J$2, DATE(Initialisatie!$C$5,1,1)) + 1)
    ) / (DATE(Initialisatie!$C$5,12,31) - DATE(Initialisatie!$C$5,1,1) + 1)
)</f>
        <v>6107</v>
      </c>
    </row>
    <row r="273" spans="1:12" x14ac:dyDescent="0.45">
      <c r="A273" s="989"/>
      <c r="B273" s="35">
        <v>7</v>
      </c>
      <c r="C273" s="35">
        <v>7</v>
      </c>
      <c r="D273" s="35" t="s">
        <v>134</v>
      </c>
      <c r="E273">
        <v>5356</v>
      </c>
      <c r="F273">
        <v>5463</v>
      </c>
      <c r="G273">
        <v>5845</v>
      </c>
      <c r="H273">
        <v>6079</v>
      </c>
      <c r="I273">
        <v>6322</v>
      </c>
      <c r="J273">
        <v>6322</v>
      </c>
      <c r="L273">
        <f>IF(
    OR(
        AND(MAX(0, MIN($E$1, DATE(Initialisatie!$C$5,12,31)) - MAX($E$2, DATE(Initialisatie!$C$5,1,1)) + 1) &gt; 0, IFERROR(VALUE($E273),0)=0),
        AND(MAX(0, MIN($F$1, DATE(Initialisatie!$C$5,12,31)) - MAX($F$2, DATE(Initialisatie!$C$5,1,1)) + 1) &gt; 0, IFERROR(VALUE($F273),0)=0),
        AND(MAX(0, MIN($G$1, DATE(Initialisatie!$C$5,12,31)) - MAX($G$2, DATE(Initialisatie!$C$5,1,1)) + 1) &gt; 0, IFERROR(VALUE($G273),0)=0),
        AND(MAX(0, MIN($H$1, DATE(Initialisatie!$C$5,12,31)) - MAX($H$2, DATE(Initialisatie!$C$5,1,1)) + 1) &gt; 0, IFERROR(VALUE($H273),0)=0),
        AND(MAX(0, MIN($I$1, DATE(Initialisatie!$C$5,12,31)) - MAX($I$2, DATE(Initialisatie!$C$5,1,1)) + 1) &gt; 0, IFERROR(VALUE($I273),0)=0),
        AND(MAX(0, MIN($J$1, DATE(Initialisatie!$C$5,12,31)) - MAX($J$2, DATE(Initialisatie!$C$5,1,1)) + 1) &gt; 0, IFERROR(VALUE($J273),0)=0)
    ),
    0,
    SUM(
        IFERROR(VALUE($E273),0) * MAX(0, MIN($E$1, DATE(Initialisatie!$C$5,12,31)) - MAX($E$2, DATE(Initialisatie!$C$5,1,1)) + 1),
        IFERROR(VALUE($F273),0) * MAX(0, MIN($F$1, DATE(Initialisatie!$C$5,12,31)) - MAX($F$2, DATE(Initialisatie!$C$5,1,1)) + 1),
        IFERROR(VALUE($G273),0) * MAX(0, MIN($G$1, DATE(Initialisatie!$C$5,12,31)) - MAX($G$2, DATE(Initialisatie!$C$5,1,1)) + 1),
        IFERROR(VALUE($H273),0) * MAX(0, MIN($H$1, DATE(Initialisatie!$C$5,12,31)) - MAX($H$2, DATE(Initialisatie!$C$5,1,1)) + 1),
        IFERROR(VALUE($I273),0) * MAX(0, MIN($I$1, DATE(Initialisatie!$C$5,12,31)) - MAX($I$2, DATE(Initialisatie!$C$5,1,1)) + 1),
        IFERROR(VALUE($J273),0) * MAX(0, MIN($J$1, DATE(Initialisatie!$C$5,12,31)) - MAX($J$2, DATE(Initialisatie!$C$5,1,1)) + 1)
    ) / (DATE(Initialisatie!$C$5,12,31) - DATE(Initialisatie!$C$5,1,1) + 1)
)</f>
        <v>6322</v>
      </c>
    </row>
    <row r="274" spans="1:12" x14ac:dyDescent="0.45">
      <c r="A274" s="989"/>
      <c r="B274" s="35">
        <v>8</v>
      </c>
      <c r="C274" s="35">
        <v>8</v>
      </c>
      <c r="D274" s="35" t="s">
        <v>133</v>
      </c>
      <c r="E274">
        <v>5548</v>
      </c>
      <c r="F274">
        <v>5659</v>
      </c>
      <c r="G274">
        <v>6055</v>
      </c>
      <c r="H274">
        <v>6297</v>
      </c>
      <c r="I274">
        <v>6549</v>
      </c>
      <c r="J274">
        <v>6549</v>
      </c>
      <c r="L274">
        <f>IF(
    OR(
        AND(MAX(0, MIN($E$1, DATE(Initialisatie!$C$5,12,31)) - MAX($E$2, DATE(Initialisatie!$C$5,1,1)) + 1) &gt; 0, IFERROR(VALUE($E274),0)=0),
        AND(MAX(0, MIN($F$1, DATE(Initialisatie!$C$5,12,31)) - MAX($F$2, DATE(Initialisatie!$C$5,1,1)) + 1) &gt; 0, IFERROR(VALUE($F274),0)=0),
        AND(MAX(0, MIN($G$1, DATE(Initialisatie!$C$5,12,31)) - MAX($G$2, DATE(Initialisatie!$C$5,1,1)) + 1) &gt; 0, IFERROR(VALUE($G274),0)=0),
        AND(MAX(0, MIN($H$1, DATE(Initialisatie!$C$5,12,31)) - MAX($H$2, DATE(Initialisatie!$C$5,1,1)) + 1) &gt; 0, IFERROR(VALUE($H274),0)=0),
        AND(MAX(0, MIN($I$1, DATE(Initialisatie!$C$5,12,31)) - MAX($I$2, DATE(Initialisatie!$C$5,1,1)) + 1) &gt; 0, IFERROR(VALUE($I274),0)=0),
        AND(MAX(0, MIN($J$1, DATE(Initialisatie!$C$5,12,31)) - MAX($J$2, DATE(Initialisatie!$C$5,1,1)) + 1) &gt; 0, IFERROR(VALUE($J274),0)=0)
    ),
    0,
    SUM(
        IFERROR(VALUE($E274),0) * MAX(0, MIN($E$1, DATE(Initialisatie!$C$5,12,31)) - MAX($E$2, DATE(Initialisatie!$C$5,1,1)) + 1),
        IFERROR(VALUE($F274),0) * MAX(0, MIN($F$1, DATE(Initialisatie!$C$5,12,31)) - MAX($F$2, DATE(Initialisatie!$C$5,1,1)) + 1),
        IFERROR(VALUE($G274),0) * MAX(0, MIN($G$1, DATE(Initialisatie!$C$5,12,31)) - MAX($G$2, DATE(Initialisatie!$C$5,1,1)) + 1),
        IFERROR(VALUE($H274),0) * MAX(0, MIN($H$1, DATE(Initialisatie!$C$5,12,31)) - MAX($H$2, DATE(Initialisatie!$C$5,1,1)) + 1),
        IFERROR(VALUE($I274),0) * MAX(0, MIN($I$1, DATE(Initialisatie!$C$5,12,31)) - MAX($I$2, DATE(Initialisatie!$C$5,1,1)) + 1),
        IFERROR(VALUE($J274),0) * MAX(0, MIN($J$1, DATE(Initialisatie!$C$5,12,31)) - MAX($J$2, DATE(Initialisatie!$C$5,1,1)) + 1)
    ) / (DATE(Initialisatie!$C$5,12,31) - DATE(Initialisatie!$C$5,1,1) + 1)
)</f>
        <v>6549</v>
      </c>
    </row>
    <row r="275" spans="1:12" x14ac:dyDescent="0.45">
      <c r="A275" s="989"/>
      <c r="B275" s="35">
        <v>9</v>
      </c>
      <c r="C275" s="35">
        <v>9</v>
      </c>
      <c r="D275" s="35" t="s">
        <v>132</v>
      </c>
      <c r="E275">
        <v>5743</v>
      </c>
      <c r="F275">
        <v>5858</v>
      </c>
      <c r="G275">
        <v>6268</v>
      </c>
      <c r="H275">
        <v>6519</v>
      </c>
      <c r="I275">
        <v>6780</v>
      </c>
      <c r="J275">
        <v>6780</v>
      </c>
      <c r="L275">
        <f>IF(
    OR(
        AND(MAX(0, MIN($E$1, DATE(Initialisatie!$C$5,12,31)) - MAX($E$2, DATE(Initialisatie!$C$5,1,1)) + 1) &gt; 0, IFERROR(VALUE($E275),0)=0),
        AND(MAX(0, MIN($F$1, DATE(Initialisatie!$C$5,12,31)) - MAX($F$2, DATE(Initialisatie!$C$5,1,1)) + 1) &gt; 0, IFERROR(VALUE($F275),0)=0),
        AND(MAX(0, MIN($G$1, DATE(Initialisatie!$C$5,12,31)) - MAX($G$2, DATE(Initialisatie!$C$5,1,1)) + 1) &gt; 0, IFERROR(VALUE($G275),0)=0),
        AND(MAX(0, MIN($H$1, DATE(Initialisatie!$C$5,12,31)) - MAX($H$2, DATE(Initialisatie!$C$5,1,1)) + 1) &gt; 0, IFERROR(VALUE($H275),0)=0),
        AND(MAX(0, MIN($I$1, DATE(Initialisatie!$C$5,12,31)) - MAX($I$2, DATE(Initialisatie!$C$5,1,1)) + 1) &gt; 0, IFERROR(VALUE($I275),0)=0),
        AND(MAX(0, MIN($J$1, DATE(Initialisatie!$C$5,12,31)) - MAX($J$2, DATE(Initialisatie!$C$5,1,1)) + 1) &gt; 0, IFERROR(VALUE($J275),0)=0)
    ),
    0,
    SUM(
        IFERROR(VALUE($E275),0) * MAX(0, MIN($E$1, DATE(Initialisatie!$C$5,12,31)) - MAX($E$2, DATE(Initialisatie!$C$5,1,1)) + 1),
        IFERROR(VALUE($F275),0) * MAX(0, MIN($F$1, DATE(Initialisatie!$C$5,12,31)) - MAX($F$2, DATE(Initialisatie!$C$5,1,1)) + 1),
        IFERROR(VALUE($G275),0) * MAX(0, MIN($G$1, DATE(Initialisatie!$C$5,12,31)) - MAX($G$2, DATE(Initialisatie!$C$5,1,1)) + 1),
        IFERROR(VALUE($H275),0) * MAX(0, MIN($H$1, DATE(Initialisatie!$C$5,12,31)) - MAX($H$2, DATE(Initialisatie!$C$5,1,1)) + 1),
        IFERROR(VALUE($I275),0) * MAX(0, MIN($I$1, DATE(Initialisatie!$C$5,12,31)) - MAX($I$2, DATE(Initialisatie!$C$5,1,1)) + 1),
        IFERROR(VALUE($J275),0) * MAX(0, MIN($J$1, DATE(Initialisatie!$C$5,12,31)) - MAX($J$2, DATE(Initialisatie!$C$5,1,1)) + 1)
    ) / (DATE(Initialisatie!$C$5,12,31) - DATE(Initialisatie!$C$5,1,1) + 1)
)</f>
        <v>6780</v>
      </c>
    </row>
    <row r="276" spans="1:12" x14ac:dyDescent="0.45">
      <c r="A276" s="989"/>
      <c r="B276" s="35">
        <v>10</v>
      </c>
      <c r="C276" s="35">
        <v>10</v>
      </c>
      <c r="D276" s="35" t="s">
        <v>143</v>
      </c>
      <c r="E276">
        <v>5946</v>
      </c>
      <c r="F276">
        <v>6065</v>
      </c>
      <c r="G276">
        <v>6490</v>
      </c>
      <c r="H276">
        <v>6750</v>
      </c>
      <c r="I276">
        <v>7020</v>
      </c>
      <c r="J276">
        <v>7020</v>
      </c>
      <c r="L276">
        <f>IF(
    OR(
        AND(MAX(0, MIN($E$1, DATE(Initialisatie!$C$5,12,31)) - MAX($E$2, DATE(Initialisatie!$C$5,1,1)) + 1) &gt; 0, IFERROR(VALUE($E276),0)=0),
        AND(MAX(0, MIN($F$1, DATE(Initialisatie!$C$5,12,31)) - MAX($F$2, DATE(Initialisatie!$C$5,1,1)) + 1) &gt; 0, IFERROR(VALUE($F276),0)=0),
        AND(MAX(0, MIN($G$1, DATE(Initialisatie!$C$5,12,31)) - MAX($G$2, DATE(Initialisatie!$C$5,1,1)) + 1) &gt; 0, IFERROR(VALUE($G276),0)=0),
        AND(MAX(0, MIN($H$1, DATE(Initialisatie!$C$5,12,31)) - MAX($H$2, DATE(Initialisatie!$C$5,1,1)) + 1) &gt; 0, IFERROR(VALUE($H276),0)=0),
        AND(MAX(0, MIN($I$1, DATE(Initialisatie!$C$5,12,31)) - MAX($I$2, DATE(Initialisatie!$C$5,1,1)) + 1) &gt; 0, IFERROR(VALUE($I276),0)=0),
        AND(MAX(0, MIN($J$1, DATE(Initialisatie!$C$5,12,31)) - MAX($J$2, DATE(Initialisatie!$C$5,1,1)) + 1) &gt; 0, IFERROR(VALUE($J276),0)=0)
    ),
    0,
    SUM(
        IFERROR(VALUE($E276),0) * MAX(0, MIN($E$1, DATE(Initialisatie!$C$5,12,31)) - MAX($E$2, DATE(Initialisatie!$C$5,1,1)) + 1),
        IFERROR(VALUE($F276),0) * MAX(0, MIN($F$1, DATE(Initialisatie!$C$5,12,31)) - MAX($F$2, DATE(Initialisatie!$C$5,1,1)) + 1),
        IFERROR(VALUE($G276),0) * MAX(0, MIN($G$1, DATE(Initialisatie!$C$5,12,31)) - MAX($G$2, DATE(Initialisatie!$C$5,1,1)) + 1),
        IFERROR(VALUE($H276),0) * MAX(0, MIN($H$1, DATE(Initialisatie!$C$5,12,31)) - MAX($H$2, DATE(Initialisatie!$C$5,1,1)) + 1),
        IFERROR(VALUE($I276),0) * MAX(0, MIN($I$1, DATE(Initialisatie!$C$5,12,31)) - MAX($I$2, DATE(Initialisatie!$C$5,1,1)) + 1),
        IFERROR(VALUE($J276),0) * MAX(0, MIN($J$1, DATE(Initialisatie!$C$5,12,31)) - MAX($J$2, DATE(Initialisatie!$C$5,1,1)) + 1)
    ) / (DATE(Initialisatie!$C$5,12,31) - DATE(Initialisatie!$C$5,1,1) + 1)
)</f>
        <v>7020</v>
      </c>
    </row>
    <row r="277" spans="1:12" x14ac:dyDescent="0.45">
      <c r="A277" s="989"/>
      <c r="B277" s="35">
        <v>11</v>
      </c>
      <c r="C277" s="35">
        <v>11</v>
      </c>
      <c r="D277" s="35" t="s">
        <v>142</v>
      </c>
      <c r="E277">
        <v>6165</v>
      </c>
      <c r="F277">
        <v>6288</v>
      </c>
      <c r="G277">
        <v>6728</v>
      </c>
      <c r="H277">
        <v>6997</v>
      </c>
      <c r="I277">
        <v>7277</v>
      </c>
      <c r="J277">
        <v>7277</v>
      </c>
      <c r="L277">
        <f>IF(
    OR(
        AND(MAX(0, MIN($E$1, DATE(Initialisatie!$C$5,12,31)) - MAX($E$2, DATE(Initialisatie!$C$5,1,1)) + 1) &gt; 0, IFERROR(VALUE($E277),0)=0),
        AND(MAX(0, MIN($F$1, DATE(Initialisatie!$C$5,12,31)) - MAX($F$2, DATE(Initialisatie!$C$5,1,1)) + 1) &gt; 0, IFERROR(VALUE($F277),0)=0),
        AND(MAX(0, MIN($G$1, DATE(Initialisatie!$C$5,12,31)) - MAX($G$2, DATE(Initialisatie!$C$5,1,1)) + 1) &gt; 0, IFERROR(VALUE($G277),0)=0),
        AND(MAX(0, MIN($H$1, DATE(Initialisatie!$C$5,12,31)) - MAX($H$2, DATE(Initialisatie!$C$5,1,1)) + 1) &gt; 0, IFERROR(VALUE($H277),0)=0),
        AND(MAX(0, MIN($I$1, DATE(Initialisatie!$C$5,12,31)) - MAX($I$2, DATE(Initialisatie!$C$5,1,1)) + 1) &gt; 0, IFERROR(VALUE($I277),0)=0),
        AND(MAX(0, MIN($J$1, DATE(Initialisatie!$C$5,12,31)) - MAX($J$2, DATE(Initialisatie!$C$5,1,1)) + 1) &gt; 0, IFERROR(VALUE($J277),0)=0)
    ),
    0,
    SUM(
        IFERROR(VALUE($E277),0) * MAX(0, MIN($E$1, DATE(Initialisatie!$C$5,12,31)) - MAX($E$2, DATE(Initialisatie!$C$5,1,1)) + 1),
        IFERROR(VALUE($F277),0) * MAX(0, MIN($F$1, DATE(Initialisatie!$C$5,12,31)) - MAX($F$2, DATE(Initialisatie!$C$5,1,1)) + 1),
        IFERROR(VALUE($G277),0) * MAX(0, MIN($G$1, DATE(Initialisatie!$C$5,12,31)) - MAX($G$2, DATE(Initialisatie!$C$5,1,1)) + 1),
        IFERROR(VALUE($H277),0) * MAX(0, MIN($H$1, DATE(Initialisatie!$C$5,12,31)) - MAX($H$2, DATE(Initialisatie!$C$5,1,1)) + 1),
        IFERROR(VALUE($I277),0) * MAX(0, MIN($I$1, DATE(Initialisatie!$C$5,12,31)) - MAX($I$2, DATE(Initialisatie!$C$5,1,1)) + 1),
        IFERROR(VALUE($J277),0) * MAX(0, MIN($J$1, DATE(Initialisatie!$C$5,12,31)) - MAX($J$2, DATE(Initialisatie!$C$5,1,1)) + 1)
    ) / (DATE(Initialisatie!$C$5,12,31) - DATE(Initialisatie!$C$5,1,1) + 1)
)</f>
        <v>7277</v>
      </c>
    </row>
    <row r="278" spans="1:12" x14ac:dyDescent="0.45">
      <c r="A278" s="989"/>
      <c r="B278" s="35">
        <v>12</v>
      </c>
      <c r="C278" s="35">
        <v>12</v>
      </c>
      <c r="D278" s="35" t="s">
        <v>141</v>
      </c>
      <c r="E278">
        <v>6391</v>
      </c>
      <c r="F278">
        <v>6519</v>
      </c>
      <c r="G278">
        <v>6975</v>
      </c>
      <c r="H278">
        <v>7254</v>
      </c>
      <c r="I278">
        <v>7544</v>
      </c>
      <c r="J278">
        <v>7544</v>
      </c>
      <c r="L278">
        <f>IF(
    OR(
        AND(MAX(0, MIN($E$1, DATE(Initialisatie!$C$5,12,31)) - MAX($E$2, DATE(Initialisatie!$C$5,1,1)) + 1) &gt; 0, IFERROR(VALUE($E278),0)=0),
        AND(MAX(0, MIN($F$1, DATE(Initialisatie!$C$5,12,31)) - MAX($F$2, DATE(Initialisatie!$C$5,1,1)) + 1) &gt; 0, IFERROR(VALUE($F278),0)=0),
        AND(MAX(0, MIN($G$1, DATE(Initialisatie!$C$5,12,31)) - MAX($G$2, DATE(Initialisatie!$C$5,1,1)) + 1) &gt; 0, IFERROR(VALUE($G278),0)=0),
        AND(MAX(0, MIN($H$1, DATE(Initialisatie!$C$5,12,31)) - MAX($H$2, DATE(Initialisatie!$C$5,1,1)) + 1) &gt; 0, IFERROR(VALUE($H278),0)=0),
        AND(MAX(0, MIN($I$1, DATE(Initialisatie!$C$5,12,31)) - MAX($I$2, DATE(Initialisatie!$C$5,1,1)) + 1) &gt; 0, IFERROR(VALUE($I278),0)=0),
        AND(MAX(0, MIN($J$1, DATE(Initialisatie!$C$5,12,31)) - MAX($J$2, DATE(Initialisatie!$C$5,1,1)) + 1) &gt; 0, IFERROR(VALUE($J278),0)=0)
    ),
    0,
    SUM(
        IFERROR(VALUE($E278),0) * MAX(0, MIN($E$1, DATE(Initialisatie!$C$5,12,31)) - MAX($E$2, DATE(Initialisatie!$C$5,1,1)) + 1),
        IFERROR(VALUE($F278),0) * MAX(0, MIN($F$1, DATE(Initialisatie!$C$5,12,31)) - MAX($F$2, DATE(Initialisatie!$C$5,1,1)) + 1),
        IFERROR(VALUE($G278),0) * MAX(0, MIN($G$1, DATE(Initialisatie!$C$5,12,31)) - MAX($G$2, DATE(Initialisatie!$C$5,1,1)) + 1),
        IFERROR(VALUE($H278),0) * MAX(0, MIN($H$1, DATE(Initialisatie!$C$5,12,31)) - MAX($H$2, DATE(Initialisatie!$C$5,1,1)) + 1),
        IFERROR(VALUE($I278),0) * MAX(0, MIN($I$1, DATE(Initialisatie!$C$5,12,31)) - MAX($I$2, DATE(Initialisatie!$C$5,1,1)) + 1),
        IFERROR(VALUE($J278),0) * MAX(0, MIN($J$1, DATE(Initialisatie!$C$5,12,31)) - MAX($J$2, DATE(Initialisatie!$C$5,1,1)) + 1)
    ) / (DATE(Initialisatie!$C$5,12,31) - DATE(Initialisatie!$C$5,1,1) + 1)
)</f>
        <v>7544</v>
      </c>
    </row>
    <row r="279" spans="1:12" x14ac:dyDescent="0.45">
      <c r="A279" s="989"/>
      <c r="B279" s="35">
        <v>13</v>
      </c>
      <c r="C279" s="35">
        <v>13</v>
      </c>
      <c r="D279" s="35" t="s">
        <v>140</v>
      </c>
      <c r="E279">
        <v>6628</v>
      </c>
      <c r="F279">
        <v>6761</v>
      </c>
      <c r="G279">
        <v>7234</v>
      </c>
      <c r="H279">
        <v>7523</v>
      </c>
      <c r="I279">
        <v>7824</v>
      </c>
      <c r="J279">
        <v>7824</v>
      </c>
      <c r="L279">
        <f>IF(
    OR(
        AND(MAX(0, MIN($E$1, DATE(Initialisatie!$C$5,12,31)) - MAX($E$2, DATE(Initialisatie!$C$5,1,1)) + 1) &gt; 0, IFERROR(VALUE($E279),0)=0),
        AND(MAX(0, MIN($F$1, DATE(Initialisatie!$C$5,12,31)) - MAX($F$2, DATE(Initialisatie!$C$5,1,1)) + 1) &gt; 0, IFERROR(VALUE($F279),0)=0),
        AND(MAX(0, MIN($G$1, DATE(Initialisatie!$C$5,12,31)) - MAX($G$2, DATE(Initialisatie!$C$5,1,1)) + 1) &gt; 0, IFERROR(VALUE($G279),0)=0),
        AND(MAX(0, MIN($H$1, DATE(Initialisatie!$C$5,12,31)) - MAX($H$2, DATE(Initialisatie!$C$5,1,1)) + 1) &gt; 0, IFERROR(VALUE($H279),0)=0),
        AND(MAX(0, MIN($I$1, DATE(Initialisatie!$C$5,12,31)) - MAX($I$2, DATE(Initialisatie!$C$5,1,1)) + 1) &gt; 0, IFERROR(VALUE($I279),0)=0),
        AND(MAX(0, MIN($J$1, DATE(Initialisatie!$C$5,12,31)) - MAX($J$2, DATE(Initialisatie!$C$5,1,1)) + 1) &gt; 0, IFERROR(VALUE($J279),0)=0)
    ),
    0,
    SUM(
        IFERROR(VALUE($E279),0) * MAX(0, MIN($E$1, DATE(Initialisatie!$C$5,12,31)) - MAX($E$2, DATE(Initialisatie!$C$5,1,1)) + 1),
        IFERROR(VALUE($F279),0) * MAX(0, MIN($F$1, DATE(Initialisatie!$C$5,12,31)) - MAX($F$2, DATE(Initialisatie!$C$5,1,1)) + 1),
        IFERROR(VALUE($G279),0) * MAX(0, MIN($G$1, DATE(Initialisatie!$C$5,12,31)) - MAX($G$2, DATE(Initialisatie!$C$5,1,1)) + 1),
        IFERROR(VALUE($H279),0) * MAX(0, MIN($H$1, DATE(Initialisatie!$C$5,12,31)) - MAX($H$2, DATE(Initialisatie!$C$5,1,1)) + 1),
        IFERROR(VALUE($I279),0) * MAX(0, MIN($I$1, DATE(Initialisatie!$C$5,12,31)) - MAX($I$2, DATE(Initialisatie!$C$5,1,1)) + 1),
        IFERROR(VALUE($J279),0) * MAX(0, MIN($J$1, DATE(Initialisatie!$C$5,12,31)) - MAX($J$2, DATE(Initialisatie!$C$5,1,1)) + 1)
    ) / (DATE(Initialisatie!$C$5,12,31) - DATE(Initialisatie!$C$5,1,1) + 1)
)</f>
        <v>7824</v>
      </c>
    </row>
    <row r="280" spans="1:12" x14ac:dyDescent="0.45">
      <c r="A280" s="989"/>
      <c r="B280" s="35" t="s">
        <v>531</v>
      </c>
      <c r="C280" s="35" t="s">
        <v>531</v>
      </c>
      <c r="D280" s="35" t="s">
        <v>661</v>
      </c>
      <c r="E280">
        <v>6987</v>
      </c>
      <c r="F280">
        <v>7127</v>
      </c>
      <c r="G280">
        <v>7626</v>
      </c>
      <c r="H280">
        <v>7931</v>
      </c>
      <c r="I280">
        <v>8248</v>
      </c>
      <c r="J280">
        <v>8248</v>
      </c>
      <c r="L280">
        <f>IF(
    OR(
        AND(MAX(0, MIN($E$1, DATE(Initialisatie!$C$5,12,31)) - MAX($E$2, DATE(Initialisatie!$C$5,1,1)) + 1) &gt; 0, IFERROR(VALUE($E280),0)=0),
        AND(MAX(0, MIN($F$1, DATE(Initialisatie!$C$5,12,31)) - MAX($F$2, DATE(Initialisatie!$C$5,1,1)) + 1) &gt; 0, IFERROR(VALUE($F280),0)=0),
        AND(MAX(0, MIN($G$1, DATE(Initialisatie!$C$5,12,31)) - MAX($G$2, DATE(Initialisatie!$C$5,1,1)) + 1) &gt; 0, IFERROR(VALUE($G280),0)=0),
        AND(MAX(0, MIN($H$1, DATE(Initialisatie!$C$5,12,31)) - MAX($H$2, DATE(Initialisatie!$C$5,1,1)) + 1) &gt; 0, IFERROR(VALUE($H280),0)=0),
        AND(MAX(0, MIN($I$1, DATE(Initialisatie!$C$5,12,31)) - MAX($I$2, DATE(Initialisatie!$C$5,1,1)) + 1) &gt; 0, IFERROR(VALUE($I280),0)=0),
        AND(MAX(0, MIN($J$1, DATE(Initialisatie!$C$5,12,31)) - MAX($J$2, DATE(Initialisatie!$C$5,1,1)) + 1) &gt; 0, IFERROR(VALUE($J280),0)=0)
    ),
    0,
    SUM(
        IFERROR(VALUE($E280),0) * MAX(0, MIN($E$1, DATE(Initialisatie!$C$5,12,31)) - MAX($E$2, DATE(Initialisatie!$C$5,1,1)) + 1),
        IFERROR(VALUE($F280),0) * MAX(0, MIN($F$1, DATE(Initialisatie!$C$5,12,31)) - MAX($F$2, DATE(Initialisatie!$C$5,1,1)) + 1),
        IFERROR(VALUE($G280),0) * MAX(0, MIN($G$1, DATE(Initialisatie!$C$5,12,31)) - MAX($G$2, DATE(Initialisatie!$C$5,1,1)) + 1),
        IFERROR(VALUE($H280),0) * MAX(0, MIN($H$1, DATE(Initialisatie!$C$5,12,31)) - MAX($H$2, DATE(Initialisatie!$C$5,1,1)) + 1),
        IFERROR(VALUE($I280),0) * MAX(0, MIN($I$1, DATE(Initialisatie!$C$5,12,31)) - MAX($I$2, DATE(Initialisatie!$C$5,1,1)) + 1),
        IFERROR(VALUE($J280),0) * MAX(0, MIN($J$1, DATE(Initialisatie!$C$5,12,31)) - MAX($J$2, DATE(Initialisatie!$C$5,1,1)) + 1)
    ) / (DATE(Initialisatie!$C$5,12,31) - DATE(Initialisatie!$C$5,1,1) + 1)
)</f>
        <v>8248</v>
      </c>
    </row>
    <row r="281" spans="1:12" x14ac:dyDescent="0.45">
      <c r="A281" s="989"/>
      <c r="B281" s="35" t="s">
        <v>533</v>
      </c>
      <c r="C281" s="35" t="s">
        <v>533</v>
      </c>
      <c r="D281" s="35" t="s">
        <v>662</v>
      </c>
      <c r="E281">
        <v>7363</v>
      </c>
      <c r="F281">
        <v>7510</v>
      </c>
      <c r="G281">
        <v>8036</v>
      </c>
      <c r="H281">
        <v>8357</v>
      </c>
      <c r="I281">
        <v>8691</v>
      </c>
      <c r="J281">
        <v>8691</v>
      </c>
      <c r="L281">
        <f>IF(
    OR(
        AND(MAX(0, MIN($E$1, DATE(Initialisatie!$C$5,12,31)) - MAX($E$2, DATE(Initialisatie!$C$5,1,1)) + 1) &gt; 0, IFERROR(VALUE($E281),0)=0),
        AND(MAX(0, MIN($F$1, DATE(Initialisatie!$C$5,12,31)) - MAX($F$2, DATE(Initialisatie!$C$5,1,1)) + 1) &gt; 0, IFERROR(VALUE($F281),0)=0),
        AND(MAX(0, MIN($G$1, DATE(Initialisatie!$C$5,12,31)) - MAX($G$2, DATE(Initialisatie!$C$5,1,1)) + 1) &gt; 0, IFERROR(VALUE($G281),0)=0),
        AND(MAX(0, MIN($H$1, DATE(Initialisatie!$C$5,12,31)) - MAX($H$2, DATE(Initialisatie!$C$5,1,1)) + 1) &gt; 0, IFERROR(VALUE($H281),0)=0),
        AND(MAX(0, MIN($I$1, DATE(Initialisatie!$C$5,12,31)) - MAX($I$2, DATE(Initialisatie!$C$5,1,1)) + 1) &gt; 0, IFERROR(VALUE($I281),0)=0),
        AND(MAX(0, MIN($J$1, DATE(Initialisatie!$C$5,12,31)) - MAX($J$2, DATE(Initialisatie!$C$5,1,1)) + 1) &gt; 0, IFERROR(VALUE($J281),0)=0)
    ),
    0,
    SUM(
        IFERROR(VALUE($E281),0) * MAX(0, MIN($E$1, DATE(Initialisatie!$C$5,12,31)) - MAX($E$2, DATE(Initialisatie!$C$5,1,1)) + 1),
        IFERROR(VALUE($F281),0) * MAX(0, MIN($F$1, DATE(Initialisatie!$C$5,12,31)) - MAX($F$2, DATE(Initialisatie!$C$5,1,1)) + 1),
        IFERROR(VALUE($G281),0) * MAX(0, MIN($G$1, DATE(Initialisatie!$C$5,12,31)) - MAX($G$2, DATE(Initialisatie!$C$5,1,1)) + 1),
        IFERROR(VALUE($H281),0) * MAX(0, MIN($H$1, DATE(Initialisatie!$C$5,12,31)) - MAX($H$2, DATE(Initialisatie!$C$5,1,1)) + 1),
        IFERROR(VALUE($I281),0) * MAX(0, MIN($I$1, DATE(Initialisatie!$C$5,12,31)) - MAX($I$2, DATE(Initialisatie!$C$5,1,1)) + 1),
        IFERROR(VALUE($J281),0) * MAX(0, MIN($J$1, DATE(Initialisatie!$C$5,12,31)) - MAX($J$2, DATE(Initialisatie!$C$5,1,1)) + 1)
    ) / (DATE(Initialisatie!$C$5,12,31) - DATE(Initialisatie!$C$5,1,1) + 1)
)</f>
        <v>8691</v>
      </c>
    </row>
    <row r="282" spans="1:12" x14ac:dyDescent="0.45">
      <c r="A282" s="989"/>
      <c r="B282" s="35" t="s">
        <v>535</v>
      </c>
      <c r="C282" s="35" t="s">
        <v>535</v>
      </c>
      <c r="D282" s="35" t="s">
        <v>663</v>
      </c>
      <c r="E282">
        <v>6987</v>
      </c>
      <c r="F282">
        <v>7127</v>
      </c>
      <c r="G282">
        <v>7626</v>
      </c>
      <c r="H282">
        <v>7931</v>
      </c>
      <c r="I282">
        <v>8248</v>
      </c>
      <c r="J282">
        <v>8248</v>
      </c>
      <c r="L282">
        <f>IF(
    OR(
        AND(MAX(0, MIN($E$1, DATE(Initialisatie!$C$5,12,31)) - MAX($E$2, DATE(Initialisatie!$C$5,1,1)) + 1) &gt; 0, IFERROR(VALUE($E282),0)=0),
        AND(MAX(0, MIN($F$1, DATE(Initialisatie!$C$5,12,31)) - MAX($F$2, DATE(Initialisatie!$C$5,1,1)) + 1) &gt; 0, IFERROR(VALUE($F282),0)=0),
        AND(MAX(0, MIN($G$1, DATE(Initialisatie!$C$5,12,31)) - MAX($G$2, DATE(Initialisatie!$C$5,1,1)) + 1) &gt; 0, IFERROR(VALUE($G282),0)=0),
        AND(MAX(0, MIN($H$1, DATE(Initialisatie!$C$5,12,31)) - MAX($H$2, DATE(Initialisatie!$C$5,1,1)) + 1) &gt; 0, IFERROR(VALUE($H282),0)=0),
        AND(MAX(0, MIN($I$1, DATE(Initialisatie!$C$5,12,31)) - MAX($I$2, DATE(Initialisatie!$C$5,1,1)) + 1) &gt; 0, IFERROR(VALUE($I282),0)=0),
        AND(MAX(0, MIN($J$1, DATE(Initialisatie!$C$5,12,31)) - MAX($J$2, DATE(Initialisatie!$C$5,1,1)) + 1) &gt; 0, IFERROR(VALUE($J282),0)=0)
    ),
    0,
    SUM(
        IFERROR(VALUE($E282),0) * MAX(0, MIN($E$1, DATE(Initialisatie!$C$5,12,31)) - MAX($E$2, DATE(Initialisatie!$C$5,1,1)) + 1),
        IFERROR(VALUE($F282),0) * MAX(0, MIN($F$1, DATE(Initialisatie!$C$5,12,31)) - MAX($F$2, DATE(Initialisatie!$C$5,1,1)) + 1),
        IFERROR(VALUE($G282),0) * MAX(0, MIN($G$1, DATE(Initialisatie!$C$5,12,31)) - MAX($G$2, DATE(Initialisatie!$C$5,1,1)) + 1),
        IFERROR(VALUE($H282),0) * MAX(0, MIN($H$1, DATE(Initialisatie!$C$5,12,31)) - MAX($H$2, DATE(Initialisatie!$C$5,1,1)) + 1),
        IFERROR(VALUE($I282),0) * MAX(0, MIN($I$1, DATE(Initialisatie!$C$5,12,31)) - MAX($I$2, DATE(Initialisatie!$C$5,1,1)) + 1),
        IFERROR(VALUE($J282),0) * MAX(0, MIN($J$1, DATE(Initialisatie!$C$5,12,31)) - MAX($J$2, DATE(Initialisatie!$C$5,1,1)) + 1)
    ) / (DATE(Initialisatie!$C$5,12,31) - DATE(Initialisatie!$C$5,1,1) + 1)
)</f>
        <v>8248</v>
      </c>
    </row>
    <row r="283" spans="1:12" x14ac:dyDescent="0.45">
      <c r="A283" s="989"/>
      <c r="B283" s="35" t="s">
        <v>537</v>
      </c>
      <c r="C283" s="35" t="s">
        <v>537</v>
      </c>
      <c r="D283" s="35" t="s">
        <v>664</v>
      </c>
      <c r="E283">
        <v>7363</v>
      </c>
      <c r="F283">
        <v>7510</v>
      </c>
      <c r="G283">
        <v>8036</v>
      </c>
      <c r="H283">
        <v>8357</v>
      </c>
      <c r="I283">
        <v>8691</v>
      </c>
      <c r="J283">
        <v>8691</v>
      </c>
      <c r="L283">
        <f>IF(
    OR(
        AND(MAX(0, MIN($E$1, DATE(Initialisatie!$C$5,12,31)) - MAX($E$2, DATE(Initialisatie!$C$5,1,1)) + 1) &gt; 0, IFERROR(VALUE($E283),0)=0),
        AND(MAX(0, MIN($F$1, DATE(Initialisatie!$C$5,12,31)) - MAX($F$2, DATE(Initialisatie!$C$5,1,1)) + 1) &gt; 0, IFERROR(VALUE($F283),0)=0),
        AND(MAX(0, MIN($G$1, DATE(Initialisatie!$C$5,12,31)) - MAX($G$2, DATE(Initialisatie!$C$5,1,1)) + 1) &gt; 0, IFERROR(VALUE($G283),0)=0),
        AND(MAX(0, MIN($H$1, DATE(Initialisatie!$C$5,12,31)) - MAX($H$2, DATE(Initialisatie!$C$5,1,1)) + 1) &gt; 0, IFERROR(VALUE($H283),0)=0),
        AND(MAX(0, MIN($I$1, DATE(Initialisatie!$C$5,12,31)) - MAX($I$2, DATE(Initialisatie!$C$5,1,1)) + 1) &gt; 0, IFERROR(VALUE($I283),0)=0),
        AND(MAX(0, MIN($J$1, DATE(Initialisatie!$C$5,12,31)) - MAX($J$2, DATE(Initialisatie!$C$5,1,1)) + 1) &gt; 0, IFERROR(VALUE($J283),0)=0)
    ),
    0,
    SUM(
        IFERROR(VALUE($E283),0) * MAX(0, MIN($E$1, DATE(Initialisatie!$C$5,12,31)) - MAX($E$2, DATE(Initialisatie!$C$5,1,1)) + 1),
        IFERROR(VALUE($F283),0) * MAX(0, MIN($F$1, DATE(Initialisatie!$C$5,12,31)) - MAX($F$2, DATE(Initialisatie!$C$5,1,1)) + 1),
        IFERROR(VALUE($G283),0) * MAX(0, MIN($G$1, DATE(Initialisatie!$C$5,12,31)) - MAX($G$2, DATE(Initialisatie!$C$5,1,1)) + 1),
        IFERROR(VALUE($H283),0) * MAX(0, MIN($H$1, DATE(Initialisatie!$C$5,12,31)) - MAX($H$2, DATE(Initialisatie!$C$5,1,1)) + 1),
        IFERROR(VALUE($I283),0) * MAX(0, MIN($I$1, DATE(Initialisatie!$C$5,12,31)) - MAX($I$2, DATE(Initialisatie!$C$5,1,1)) + 1),
        IFERROR(VALUE($J283),0) * MAX(0, MIN($J$1, DATE(Initialisatie!$C$5,12,31)) - MAX($J$2, DATE(Initialisatie!$C$5,1,1)) + 1)
    ) / (DATE(Initialisatie!$C$5,12,31) - DATE(Initialisatie!$C$5,1,1) + 1)
)</f>
        <v>8691</v>
      </c>
    </row>
    <row r="284" spans="1:12" x14ac:dyDescent="0.45">
      <c r="A284" s="989"/>
      <c r="B284" s="35" t="s">
        <v>539</v>
      </c>
      <c r="C284" s="35" t="s">
        <v>539</v>
      </c>
      <c r="D284" s="35" t="s">
        <v>665</v>
      </c>
      <c r="E284">
        <v>7757</v>
      </c>
      <c r="F284">
        <v>7912</v>
      </c>
      <c r="G284">
        <v>8466</v>
      </c>
      <c r="H284">
        <v>8805</v>
      </c>
      <c r="I284">
        <v>9157</v>
      </c>
      <c r="J284">
        <v>9157</v>
      </c>
      <c r="L284">
        <f>IF(
    OR(
        AND(MAX(0, MIN($E$1, DATE(Initialisatie!$C$5,12,31)) - MAX($E$2, DATE(Initialisatie!$C$5,1,1)) + 1) &gt; 0, IFERROR(VALUE($E284),0)=0),
        AND(MAX(0, MIN($F$1, DATE(Initialisatie!$C$5,12,31)) - MAX($F$2, DATE(Initialisatie!$C$5,1,1)) + 1) &gt; 0, IFERROR(VALUE($F284),0)=0),
        AND(MAX(0, MIN($G$1, DATE(Initialisatie!$C$5,12,31)) - MAX($G$2, DATE(Initialisatie!$C$5,1,1)) + 1) &gt; 0, IFERROR(VALUE($G284),0)=0),
        AND(MAX(0, MIN($H$1, DATE(Initialisatie!$C$5,12,31)) - MAX($H$2, DATE(Initialisatie!$C$5,1,1)) + 1) &gt; 0, IFERROR(VALUE($H284),0)=0),
        AND(MAX(0, MIN($I$1, DATE(Initialisatie!$C$5,12,31)) - MAX($I$2, DATE(Initialisatie!$C$5,1,1)) + 1) &gt; 0, IFERROR(VALUE($I284),0)=0),
        AND(MAX(0, MIN($J$1, DATE(Initialisatie!$C$5,12,31)) - MAX($J$2, DATE(Initialisatie!$C$5,1,1)) + 1) &gt; 0, IFERROR(VALUE($J284),0)=0)
    ),
    0,
    SUM(
        IFERROR(VALUE($E284),0) * MAX(0, MIN($E$1, DATE(Initialisatie!$C$5,12,31)) - MAX($E$2, DATE(Initialisatie!$C$5,1,1)) + 1),
        IFERROR(VALUE($F284),0) * MAX(0, MIN($F$1, DATE(Initialisatie!$C$5,12,31)) - MAX($F$2, DATE(Initialisatie!$C$5,1,1)) + 1),
        IFERROR(VALUE($G284),0) * MAX(0, MIN($G$1, DATE(Initialisatie!$C$5,12,31)) - MAX($G$2, DATE(Initialisatie!$C$5,1,1)) + 1),
        IFERROR(VALUE($H284),0) * MAX(0, MIN($H$1, DATE(Initialisatie!$C$5,12,31)) - MAX($H$2, DATE(Initialisatie!$C$5,1,1)) + 1),
        IFERROR(VALUE($I284),0) * MAX(0, MIN($I$1, DATE(Initialisatie!$C$5,12,31)) - MAX($I$2, DATE(Initialisatie!$C$5,1,1)) + 1),
        IFERROR(VALUE($J284),0) * MAX(0, MIN($J$1, DATE(Initialisatie!$C$5,12,31)) - MAX($J$2, DATE(Initialisatie!$C$5,1,1)) + 1)
    ) / (DATE(Initialisatie!$C$5,12,31) - DATE(Initialisatie!$C$5,1,1) + 1)
)</f>
        <v>9157</v>
      </c>
    </row>
    <row r="285" spans="1:12" x14ac:dyDescent="0.45">
      <c r="A285" s="989"/>
      <c r="B285" s="35" t="s">
        <v>541</v>
      </c>
      <c r="C285" s="35" t="s">
        <v>541</v>
      </c>
      <c r="D285" s="35" t="s">
        <v>666</v>
      </c>
      <c r="E285">
        <v>8175</v>
      </c>
      <c r="F285">
        <v>8339</v>
      </c>
      <c r="G285">
        <v>8923</v>
      </c>
      <c r="H285">
        <v>9280</v>
      </c>
      <c r="I285">
        <v>9651</v>
      </c>
      <c r="J285">
        <v>9651</v>
      </c>
      <c r="L285">
        <f>IF(
    OR(
        AND(MAX(0, MIN($E$1, DATE(Initialisatie!$C$5,12,31)) - MAX($E$2, DATE(Initialisatie!$C$5,1,1)) + 1) &gt; 0, IFERROR(VALUE($E285),0)=0),
        AND(MAX(0, MIN($F$1, DATE(Initialisatie!$C$5,12,31)) - MAX($F$2, DATE(Initialisatie!$C$5,1,1)) + 1) &gt; 0, IFERROR(VALUE($F285),0)=0),
        AND(MAX(0, MIN($G$1, DATE(Initialisatie!$C$5,12,31)) - MAX($G$2, DATE(Initialisatie!$C$5,1,1)) + 1) &gt; 0, IFERROR(VALUE($G285),0)=0),
        AND(MAX(0, MIN($H$1, DATE(Initialisatie!$C$5,12,31)) - MAX($H$2, DATE(Initialisatie!$C$5,1,1)) + 1) &gt; 0, IFERROR(VALUE($H285),0)=0),
        AND(MAX(0, MIN($I$1, DATE(Initialisatie!$C$5,12,31)) - MAX($I$2, DATE(Initialisatie!$C$5,1,1)) + 1) &gt; 0, IFERROR(VALUE($I285),0)=0),
        AND(MAX(0, MIN($J$1, DATE(Initialisatie!$C$5,12,31)) - MAX($J$2, DATE(Initialisatie!$C$5,1,1)) + 1) &gt; 0, IFERROR(VALUE($J285),0)=0)
    ),
    0,
    SUM(
        IFERROR(VALUE($E285),0) * MAX(0, MIN($E$1, DATE(Initialisatie!$C$5,12,31)) - MAX($E$2, DATE(Initialisatie!$C$5,1,1)) + 1),
        IFERROR(VALUE($F285),0) * MAX(0, MIN($F$1, DATE(Initialisatie!$C$5,12,31)) - MAX($F$2, DATE(Initialisatie!$C$5,1,1)) + 1),
        IFERROR(VALUE($G285),0) * MAX(0, MIN($G$1, DATE(Initialisatie!$C$5,12,31)) - MAX($G$2, DATE(Initialisatie!$C$5,1,1)) + 1),
        IFERROR(VALUE($H285),0) * MAX(0, MIN($H$1, DATE(Initialisatie!$C$5,12,31)) - MAX($H$2, DATE(Initialisatie!$C$5,1,1)) + 1),
        IFERROR(VALUE($I285),0) * MAX(0, MIN($I$1, DATE(Initialisatie!$C$5,12,31)) - MAX($I$2, DATE(Initialisatie!$C$5,1,1)) + 1),
        IFERROR(VALUE($J285),0) * MAX(0, MIN($J$1, DATE(Initialisatie!$C$5,12,31)) - MAX($J$2, DATE(Initialisatie!$C$5,1,1)) + 1)
    ) / (DATE(Initialisatie!$C$5,12,31) - DATE(Initialisatie!$C$5,1,1) + 1)
)</f>
        <v>9651</v>
      </c>
    </row>
    <row r="286" spans="1:12" x14ac:dyDescent="0.45">
      <c r="A286" s="990"/>
      <c r="B286" s="35" t="s">
        <v>543</v>
      </c>
      <c r="C286" s="35" t="s">
        <v>543</v>
      </c>
      <c r="D286" s="35" t="s">
        <v>667</v>
      </c>
      <c r="E286">
        <v>8614</v>
      </c>
      <c r="F286">
        <v>8786</v>
      </c>
      <c r="G286">
        <v>9401</v>
      </c>
      <c r="H286">
        <v>9777</v>
      </c>
      <c r="I286">
        <v>10168</v>
      </c>
      <c r="J286">
        <v>10168</v>
      </c>
      <c r="L286">
        <f>IF(
    OR(
        AND(MAX(0, MIN($E$1, DATE(Initialisatie!$C$5,12,31)) - MAX($E$2, DATE(Initialisatie!$C$5,1,1)) + 1) &gt; 0, IFERROR(VALUE($E286),0)=0),
        AND(MAX(0, MIN($F$1, DATE(Initialisatie!$C$5,12,31)) - MAX($F$2, DATE(Initialisatie!$C$5,1,1)) + 1) &gt; 0, IFERROR(VALUE($F286),0)=0),
        AND(MAX(0, MIN($G$1, DATE(Initialisatie!$C$5,12,31)) - MAX($G$2, DATE(Initialisatie!$C$5,1,1)) + 1) &gt; 0, IFERROR(VALUE($G286),0)=0),
        AND(MAX(0, MIN($H$1, DATE(Initialisatie!$C$5,12,31)) - MAX($H$2, DATE(Initialisatie!$C$5,1,1)) + 1) &gt; 0, IFERROR(VALUE($H286),0)=0),
        AND(MAX(0, MIN($I$1, DATE(Initialisatie!$C$5,12,31)) - MAX($I$2, DATE(Initialisatie!$C$5,1,1)) + 1) &gt; 0, IFERROR(VALUE($I286),0)=0),
        AND(MAX(0, MIN($J$1, DATE(Initialisatie!$C$5,12,31)) - MAX($J$2, DATE(Initialisatie!$C$5,1,1)) + 1) &gt; 0, IFERROR(VALUE($J286),0)=0)
    ),
    0,
    SUM(
        IFERROR(VALUE($E286),0) * MAX(0, MIN($E$1, DATE(Initialisatie!$C$5,12,31)) - MAX($E$2, DATE(Initialisatie!$C$5,1,1)) + 1),
        IFERROR(VALUE($F286),0) * MAX(0, MIN($F$1, DATE(Initialisatie!$C$5,12,31)) - MAX($F$2, DATE(Initialisatie!$C$5,1,1)) + 1),
        IFERROR(VALUE($G286),0) * MAX(0, MIN($G$1, DATE(Initialisatie!$C$5,12,31)) - MAX($G$2, DATE(Initialisatie!$C$5,1,1)) + 1),
        IFERROR(VALUE($H286),0) * MAX(0, MIN($H$1, DATE(Initialisatie!$C$5,12,31)) - MAX($H$2, DATE(Initialisatie!$C$5,1,1)) + 1),
        IFERROR(VALUE($I286),0) * MAX(0, MIN($I$1, DATE(Initialisatie!$C$5,12,31)) - MAX($I$2, DATE(Initialisatie!$C$5,1,1)) + 1),
        IFERROR(VALUE($J286),0) * MAX(0, MIN($J$1, DATE(Initialisatie!$C$5,12,31)) - MAX($J$2, DATE(Initialisatie!$C$5,1,1)) + 1)
    ) / (DATE(Initialisatie!$C$5,12,31) - DATE(Initialisatie!$C$5,1,1) + 1)
)</f>
        <v>10168</v>
      </c>
    </row>
    <row r="287" spans="1:12" x14ac:dyDescent="0.45">
      <c r="A287" s="988">
        <v>14</v>
      </c>
      <c r="B287" s="35" t="s">
        <v>517</v>
      </c>
      <c r="C287" s="35" t="s">
        <v>517</v>
      </c>
      <c r="D287" s="35" t="s">
        <v>668</v>
      </c>
      <c r="E287">
        <v>4441</v>
      </c>
      <c r="F287">
        <v>4530</v>
      </c>
      <c r="G287">
        <v>4847</v>
      </c>
      <c r="H287">
        <v>5041</v>
      </c>
      <c r="I287">
        <v>5243</v>
      </c>
      <c r="J287">
        <v>5243</v>
      </c>
      <c r="L287">
        <f>IF(
    OR(
        AND(MAX(0, MIN($E$1, DATE(Initialisatie!$C$5,12,31)) - MAX($E$2, DATE(Initialisatie!$C$5,1,1)) + 1) &gt; 0, IFERROR(VALUE($E287),0)=0),
        AND(MAX(0, MIN($F$1, DATE(Initialisatie!$C$5,12,31)) - MAX($F$2, DATE(Initialisatie!$C$5,1,1)) + 1) &gt; 0, IFERROR(VALUE($F287),0)=0),
        AND(MAX(0, MIN($G$1, DATE(Initialisatie!$C$5,12,31)) - MAX($G$2, DATE(Initialisatie!$C$5,1,1)) + 1) &gt; 0, IFERROR(VALUE($G287),0)=0),
        AND(MAX(0, MIN($H$1, DATE(Initialisatie!$C$5,12,31)) - MAX($H$2, DATE(Initialisatie!$C$5,1,1)) + 1) &gt; 0, IFERROR(VALUE($H287),0)=0),
        AND(MAX(0, MIN($I$1, DATE(Initialisatie!$C$5,12,31)) - MAX($I$2, DATE(Initialisatie!$C$5,1,1)) + 1) &gt; 0, IFERROR(VALUE($I287),0)=0),
        AND(MAX(0, MIN($J$1, DATE(Initialisatie!$C$5,12,31)) - MAX($J$2, DATE(Initialisatie!$C$5,1,1)) + 1) &gt; 0, IFERROR(VALUE($J287),0)=0)
    ),
    0,
    SUM(
        IFERROR(VALUE($E287),0) * MAX(0, MIN($E$1, DATE(Initialisatie!$C$5,12,31)) - MAX($E$2, DATE(Initialisatie!$C$5,1,1)) + 1),
        IFERROR(VALUE($F287),0) * MAX(0, MIN($F$1, DATE(Initialisatie!$C$5,12,31)) - MAX($F$2, DATE(Initialisatie!$C$5,1,1)) + 1),
        IFERROR(VALUE($G287),0) * MAX(0, MIN($G$1, DATE(Initialisatie!$C$5,12,31)) - MAX($G$2, DATE(Initialisatie!$C$5,1,1)) + 1),
        IFERROR(VALUE($H287),0) * MAX(0, MIN($H$1, DATE(Initialisatie!$C$5,12,31)) - MAX($H$2, DATE(Initialisatie!$C$5,1,1)) + 1),
        IFERROR(VALUE($I287),0) * MAX(0, MIN($I$1, DATE(Initialisatie!$C$5,12,31)) - MAX($I$2, DATE(Initialisatie!$C$5,1,1)) + 1),
        IFERROR(VALUE($J287),0) * MAX(0, MIN($J$1, DATE(Initialisatie!$C$5,12,31)) - MAX($J$2, DATE(Initialisatie!$C$5,1,1)) + 1)
    ) / (DATE(Initialisatie!$C$5,12,31) - DATE(Initialisatie!$C$5,1,1) + 1)
)</f>
        <v>5243</v>
      </c>
    </row>
    <row r="288" spans="1:12" x14ac:dyDescent="0.45">
      <c r="A288" s="989"/>
      <c r="B288" s="35">
        <v>0</v>
      </c>
      <c r="C288" s="35">
        <v>0</v>
      </c>
      <c r="D288" s="35" t="s">
        <v>129</v>
      </c>
      <c r="E288">
        <v>4509</v>
      </c>
      <c r="F288">
        <v>4599</v>
      </c>
      <c r="G288">
        <v>4921</v>
      </c>
      <c r="H288">
        <v>5118</v>
      </c>
      <c r="I288">
        <v>5323</v>
      </c>
      <c r="J288">
        <v>5323</v>
      </c>
      <c r="L288">
        <f>IF(
    OR(
        AND(MAX(0, MIN($E$1, DATE(Initialisatie!$C$5,12,31)) - MAX($E$2, DATE(Initialisatie!$C$5,1,1)) + 1) &gt; 0, IFERROR(VALUE($E288),0)=0),
        AND(MAX(0, MIN($F$1, DATE(Initialisatie!$C$5,12,31)) - MAX($F$2, DATE(Initialisatie!$C$5,1,1)) + 1) &gt; 0, IFERROR(VALUE($F288),0)=0),
        AND(MAX(0, MIN($G$1, DATE(Initialisatie!$C$5,12,31)) - MAX($G$2, DATE(Initialisatie!$C$5,1,1)) + 1) &gt; 0, IFERROR(VALUE($G288),0)=0),
        AND(MAX(0, MIN($H$1, DATE(Initialisatie!$C$5,12,31)) - MAX($H$2, DATE(Initialisatie!$C$5,1,1)) + 1) &gt; 0, IFERROR(VALUE($H288),0)=0),
        AND(MAX(0, MIN($I$1, DATE(Initialisatie!$C$5,12,31)) - MAX($I$2, DATE(Initialisatie!$C$5,1,1)) + 1) &gt; 0, IFERROR(VALUE($I288),0)=0),
        AND(MAX(0, MIN($J$1, DATE(Initialisatie!$C$5,12,31)) - MAX($J$2, DATE(Initialisatie!$C$5,1,1)) + 1) &gt; 0, IFERROR(VALUE($J288),0)=0)
    ),
    0,
    SUM(
        IFERROR(VALUE($E288),0) * MAX(0, MIN($E$1, DATE(Initialisatie!$C$5,12,31)) - MAX($E$2, DATE(Initialisatie!$C$5,1,1)) + 1),
        IFERROR(VALUE($F288),0) * MAX(0, MIN($F$1, DATE(Initialisatie!$C$5,12,31)) - MAX($F$2, DATE(Initialisatie!$C$5,1,1)) + 1),
        IFERROR(VALUE($G288),0) * MAX(0, MIN($G$1, DATE(Initialisatie!$C$5,12,31)) - MAX($G$2, DATE(Initialisatie!$C$5,1,1)) + 1),
        IFERROR(VALUE($H288),0) * MAX(0, MIN($H$1, DATE(Initialisatie!$C$5,12,31)) - MAX($H$2, DATE(Initialisatie!$C$5,1,1)) + 1),
        IFERROR(VALUE($I288),0) * MAX(0, MIN($I$1, DATE(Initialisatie!$C$5,12,31)) - MAX($I$2, DATE(Initialisatie!$C$5,1,1)) + 1),
        IFERROR(VALUE($J288),0) * MAX(0, MIN($J$1, DATE(Initialisatie!$C$5,12,31)) - MAX($J$2, DATE(Initialisatie!$C$5,1,1)) + 1)
    ) / (DATE(Initialisatie!$C$5,12,31) - DATE(Initialisatie!$C$5,1,1) + 1)
)</f>
        <v>5323</v>
      </c>
    </row>
    <row r="289" spans="1:12" x14ac:dyDescent="0.45">
      <c r="A289" s="989"/>
      <c r="B289" s="35">
        <v>1</v>
      </c>
      <c r="C289" s="35">
        <v>1</v>
      </c>
      <c r="D289" s="35" t="s">
        <v>128</v>
      </c>
      <c r="E289">
        <v>4670</v>
      </c>
      <c r="F289">
        <v>4763</v>
      </c>
      <c r="G289">
        <v>5096</v>
      </c>
      <c r="H289">
        <v>5300</v>
      </c>
      <c r="I289">
        <v>5512</v>
      </c>
      <c r="J289">
        <v>5512</v>
      </c>
      <c r="L289">
        <f>IF(
    OR(
        AND(MAX(0, MIN($E$1, DATE(Initialisatie!$C$5,12,31)) - MAX($E$2, DATE(Initialisatie!$C$5,1,1)) + 1) &gt; 0, IFERROR(VALUE($E289),0)=0),
        AND(MAX(0, MIN($F$1, DATE(Initialisatie!$C$5,12,31)) - MAX($F$2, DATE(Initialisatie!$C$5,1,1)) + 1) &gt; 0, IFERROR(VALUE($F289),0)=0),
        AND(MAX(0, MIN($G$1, DATE(Initialisatie!$C$5,12,31)) - MAX($G$2, DATE(Initialisatie!$C$5,1,1)) + 1) &gt; 0, IFERROR(VALUE($G289),0)=0),
        AND(MAX(0, MIN($H$1, DATE(Initialisatie!$C$5,12,31)) - MAX($H$2, DATE(Initialisatie!$C$5,1,1)) + 1) &gt; 0, IFERROR(VALUE($H289),0)=0),
        AND(MAX(0, MIN($I$1, DATE(Initialisatie!$C$5,12,31)) - MAX($I$2, DATE(Initialisatie!$C$5,1,1)) + 1) &gt; 0, IFERROR(VALUE($I289),0)=0),
        AND(MAX(0, MIN($J$1, DATE(Initialisatie!$C$5,12,31)) - MAX($J$2, DATE(Initialisatie!$C$5,1,1)) + 1) &gt; 0, IFERROR(VALUE($J289),0)=0)
    ),
    0,
    SUM(
        IFERROR(VALUE($E289),0) * MAX(0, MIN($E$1, DATE(Initialisatie!$C$5,12,31)) - MAX($E$2, DATE(Initialisatie!$C$5,1,1)) + 1),
        IFERROR(VALUE($F289),0) * MAX(0, MIN($F$1, DATE(Initialisatie!$C$5,12,31)) - MAX($F$2, DATE(Initialisatie!$C$5,1,1)) + 1),
        IFERROR(VALUE($G289),0) * MAX(0, MIN($G$1, DATE(Initialisatie!$C$5,12,31)) - MAX($G$2, DATE(Initialisatie!$C$5,1,1)) + 1),
        IFERROR(VALUE($H289),0) * MAX(0, MIN($H$1, DATE(Initialisatie!$C$5,12,31)) - MAX($H$2, DATE(Initialisatie!$C$5,1,1)) + 1),
        IFERROR(VALUE($I289),0) * MAX(0, MIN($I$1, DATE(Initialisatie!$C$5,12,31)) - MAX($I$2, DATE(Initialisatie!$C$5,1,1)) + 1),
        IFERROR(VALUE($J289),0) * MAX(0, MIN($J$1, DATE(Initialisatie!$C$5,12,31)) - MAX($J$2, DATE(Initialisatie!$C$5,1,1)) + 1)
    ) / (DATE(Initialisatie!$C$5,12,31) - DATE(Initialisatie!$C$5,1,1) + 1)
)</f>
        <v>5512</v>
      </c>
    </row>
    <row r="290" spans="1:12" x14ac:dyDescent="0.45">
      <c r="A290" s="989"/>
      <c r="B290" s="35">
        <v>2</v>
      </c>
      <c r="C290" s="35">
        <v>2</v>
      </c>
      <c r="D290" s="35" t="s">
        <v>123</v>
      </c>
      <c r="E290">
        <v>4830</v>
      </c>
      <c r="F290">
        <v>4927</v>
      </c>
      <c r="G290">
        <v>5272</v>
      </c>
      <c r="H290">
        <v>5483</v>
      </c>
      <c r="I290">
        <v>5702</v>
      </c>
      <c r="J290">
        <v>5702</v>
      </c>
      <c r="L290">
        <f>IF(
    OR(
        AND(MAX(0, MIN($E$1, DATE(Initialisatie!$C$5,12,31)) - MAX($E$2, DATE(Initialisatie!$C$5,1,1)) + 1) &gt; 0, IFERROR(VALUE($E290),0)=0),
        AND(MAX(0, MIN($F$1, DATE(Initialisatie!$C$5,12,31)) - MAX($F$2, DATE(Initialisatie!$C$5,1,1)) + 1) &gt; 0, IFERROR(VALUE($F290),0)=0),
        AND(MAX(0, MIN($G$1, DATE(Initialisatie!$C$5,12,31)) - MAX($G$2, DATE(Initialisatie!$C$5,1,1)) + 1) &gt; 0, IFERROR(VALUE($G290),0)=0),
        AND(MAX(0, MIN($H$1, DATE(Initialisatie!$C$5,12,31)) - MAX($H$2, DATE(Initialisatie!$C$5,1,1)) + 1) &gt; 0, IFERROR(VALUE($H290),0)=0),
        AND(MAX(0, MIN($I$1, DATE(Initialisatie!$C$5,12,31)) - MAX($I$2, DATE(Initialisatie!$C$5,1,1)) + 1) &gt; 0, IFERROR(VALUE($I290),0)=0),
        AND(MAX(0, MIN($J$1, DATE(Initialisatie!$C$5,12,31)) - MAX($J$2, DATE(Initialisatie!$C$5,1,1)) + 1) &gt; 0, IFERROR(VALUE($J290),0)=0)
    ),
    0,
    SUM(
        IFERROR(VALUE($E290),0) * MAX(0, MIN($E$1, DATE(Initialisatie!$C$5,12,31)) - MAX($E$2, DATE(Initialisatie!$C$5,1,1)) + 1),
        IFERROR(VALUE($F290),0) * MAX(0, MIN($F$1, DATE(Initialisatie!$C$5,12,31)) - MAX($F$2, DATE(Initialisatie!$C$5,1,1)) + 1),
        IFERROR(VALUE($G290),0) * MAX(0, MIN($G$1, DATE(Initialisatie!$C$5,12,31)) - MAX($G$2, DATE(Initialisatie!$C$5,1,1)) + 1),
        IFERROR(VALUE($H290),0) * MAX(0, MIN($H$1, DATE(Initialisatie!$C$5,12,31)) - MAX($H$2, DATE(Initialisatie!$C$5,1,1)) + 1),
        IFERROR(VALUE($I290),0) * MAX(0, MIN($I$1, DATE(Initialisatie!$C$5,12,31)) - MAX($I$2, DATE(Initialisatie!$C$5,1,1)) + 1),
        IFERROR(VALUE($J290),0) * MAX(0, MIN($J$1, DATE(Initialisatie!$C$5,12,31)) - MAX($J$2, DATE(Initialisatie!$C$5,1,1)) + 1)
    ) / (DATE(Initialisatie!$C$5,12,31) - DATE(Initialisatie!$C$5,1,1) + 1)
)</f>
        <v>5702</v>
      </c>
    </row>
    <row r="291" spans="1:12" x14ac:dyDescent="0.45">
      <c r="A291" s="989"/>
      <c r="B291" s="35">
        <v>3</v>
      </c>
      <c r="C291" s="35">
        <v>3</v>
      </c>
      <c r="D291" s="35" t="s">
        <v>122</v>
      </c>
      <c r="E291">
        <v>5003</v>
      </c>
      <c r="F291">
        <v>5103</v>
      </c>
      <c r="G291">
        <v>5460</v>
      </c>
      <c r="H291">
        <v>5678</v>
      </c>
      <c r="I291">
        <v>5905</v>
      </c>
      <c r="J291">
        <v>5905</v>
      </c>
      <c r="L291">
        <f>IF(
    OR(
        AND(MAX(0, MIN($E$1, DATE(Initialisatie!$C$5,12,31)) - MAX($E$2, DATE(Initialisatie!$C$5,1,1)) + 1) &gt; 0, IFERROR(VALUE($E291),0)=0),
        AND(MAX(0, MIN($F$1, DATE(Initialisatie!$C$5,12,31)) - MAX($F$2, DATE(Initialisatie!$C$5,1,1)) + 1) &gt; 0, IFERROR(VALUE($F291),0)=0),
        AND(MAX(0, MIN($G$1, DATE(Initialisatie!$C$5,12,31)) - MAX($G$2, DATE(Initialisatie!$C$5,1,1)) + 1) &gt; 0, IFERROR(VALUE($G291),0)=0),
        AND(MAX(0, MIN($H$1, DATE(Initialisatie!$C$5,12,31)) - MAX($H$2, DATE(Initialisatie!$C$5,1,1)) + 1) &gt; 0, IFERROR(VALUE($H291),0)=0),
        AND(MAX(0, MIN($I$1, DATE(Initialisatie!$C$5,12,31)) - MAX($I$2, DATE(Initialisatie!$C$5,1,1)) + 1) &gt; 0, IFERROR(VALUE($I291),0)=0),
        AND(MAX(0, MIN($J$1, DATE(Initialisatie!$C$5,12,31)) - MAX($J$2, DATE(Initialisatie!$C$5,1,1)) + 1) &gt; 0, IFERROR(VALUE($J291),0)=0)
    ),
    0,
    SUM(
        IFERROR(VALUE($E291),0) * MAX(0, MIN($E$1, DATE(Initialisatie!$C$5,12,31)) - MAX($E$2, DATE(Initialisatie!$C$5,1,1)) + 1),
        IFERROR(VALUE($F291),0) * MAX(0, MIN($F$1, DATE(Initialisatie!$C$5,12,31)) - MAX($F$2, DATE(Initialisatie!$C$5,1,1)) + 1),
        IFERROR(VALUE($G291),0) * MAX(0, MIN($G$1, DATE(Initialisatie!$C$5,12,31)) - MAX($G$2, DATE(Initialisatie!$C$5,1,1)) + 1),
        IFERROR(VALUE($H291),0) * MAX(0, MIN($H$1, DATE(Initialisatie!$C$5,12,31)) - MAX($H$2, DATE(Initialisatie!$C$5,1,1)) + 1),
        IFERROR(VALUE($I291),0) * MAX(0, MIN($I$1, DATE(Initialisatie!$C$5,12,31)) - MAX($I$2, DATE(Initialisatie!$C$5,1,1)) + 1),
        IFERROR(VALUE($J291),0) * MAX(0, MIN($J$1, DATE(Initialisatie!$C$5,12,31)) - MAX($J$2, DATE(Initialisatie!$C$5,1,1)) + 1)
    ) / (DATE(Initialisatie!$C$5,12,31) - DATE(Initialisatie!$C$5,1,1) + 1)
)</f>
        <v>5905</v>
      </c>
    </row>
    <row r="292" spans="1:12" x14ac:dyDescent="0.45">
      <c r="A292" s="989"/>
      <c r="B292" s="35">
        <v>4</v>
      </c>
      <c r="C292" s="35">
        <v>4</v>
      </c>
      <c r="D292" s="35" t="s">
        <v>121</v>
      </c>
      <c r="E292">
        <v>5174</v>
      </c>
      <c r="F292">
        <v>5277</v>
      </c>
      <c r="G292">
        <v>5646</v>
      </c>
      <c r="H292">
        <v>5872</v>
      </c>
      <c r="I292">
        <v>6107</v>
      </c>
      <c r="J292">
        <v>6107</v>
      </c>
      <c r="L292">
        <f>IF(
    OR(
        AND(MAX(0, MIN($E$1, DATE(Initialisatie!$C$5,12,31)) - MAX($E$2, DATE(Initialisatie!$C$5,1,1)) + 1) &gt; 0, IFERROR(VALUE($E292),0)=0),
        AND(MAX(0, MIN($F$1, DATE(Initialisatie!$C$5,12,31)) - MAX($F$2, DATE(Initialisatie!$C$5,1,1)) + 1) &gt; 0, IFERROR(VALUE($F292),0)=0),
        AND(MAX(0, MIN($G$1, DATE(Initialisatie!$C$5,12,31)) - MAX($G$2, DATE(Initialisatie!$C$5,1,1)) + 1) &gt; 0, IFERROR(VALUE($G292),0)=0),
        AND(MAX(0, MIN($H$1, DATE(Initialisatie!$C$5,12,31)) - MAX($H$2, DATE(Initialisatie!$C$5,1,1)) + 1) &gt; 0, IFERROR(VALUE($H292),0)=0),
        AND(MAX(0, MIN($I$1, DATE(Initialisatie!$C$5,12,31)) - MAX($I$2, DATE(Initialisatie!$C$5,1,1)) + 1) &gt; 0, IFERROR(VALUE($I292),0)=0),
        AND(MAX(0, MIN($J$1, DATE(Initialisatie!$C$5,12,31)) - MAX($J$2, DATE(Initialisatie!$C$5,1,1)) + 1) &gt; 0, IFERROR(VALUE($J292),0)=0)
    ),
    0,
    SUM(
        IFERROR(VALUE($E292),0) * MAX(0, MIN($E$1, DATE(Initialisatie!$C$5,12,31)) - MAX($E$2, DATE(Initialisatie!$C$5,1,1)) + 1),
        IFERROR(VALUE($F292),0) * MAX(0, MIN($F$1, DATE(Initialisatie!$C$5,12,31)) - MAX($F$2, DATE(Initialisatie!$C$5,1,1)) + 1),
        IFERROR(VALUE($G292),0) * MAX(0, MIN($G$1, DATE(Initialisatie!$C$5,12,31)) - MAX($G$2, DATE(Initialisatie!$C$5,1,1)) + 1),
        IFERROR(VALUE($H292),0) * MAX(0, MIN($H$1, DATE(Initialisatie!$C$5,12,31)) - MAX($H$2, DATE(Initialisatie!$C$5,1,1)) + 1),
        IFERROR(VALUE($I292),0) * MAX(0, MIN($I$1, DATE(Initialisatie!$C$5,12,31)) - MAX($I$2, DATE(Initialisatie!$C$5,1,1)) + 1),
        IFERROR(VALUE($J292),0) * MAX(0, MIN($J$1, DATE(Initialisatie!$C$5,12,31)) - MAX($J$2, DATE(Initialisatie!$C$5,1,1)) + 1)
    ) / (DATE(Initialisatie!$C$5,12,31) - DATE(Initialisatie!$C$5,1,1) + 1)
)</f>
        <v>6107</v>
      </c>
    </row>
    <row r="293" spans="1:12" x14ac:dyDescent="0.45">
      <c r="A293" s="989"/>
      <c r="B293" s="35">
        <v>5</v>
      </c>
      <c r="C293" s="35">
        <v>5</v>
      </c>
      <c r="D293" s="35" t="s">
        <v>120</v>
      </c>
      <c r="E293">
        <v>5356</v>
      </c>
      <c r="F293">
        <v>5463</v>
      </c>
      <c r="G293">
        <v>5845</v>
      </c>
      <c r="H293">
        <v>6079</v>
      </c>
      <c r="I293">
        <v>6322</v>
      </c>
      <c r="J293">
        <v>6322</v>
      </c>
      <c r="L293">
        <f>IF(
    OR(
        AND(MAX(0, MIN($E$1, DATE(Initialisatie!$C$5,12,31)) - MAX($E$2, DATE(Initialisatie!$C$5,1,1)) + 1) &gt; 0, IFERROR(VALUE($E293),0)=0),
        AND(MAX(0, MIN($F$1, DATE(Initialisatie!$C$5,12,31)) - MAX($F$2, DATE(Initialisatie!$C$5,1,1)) + 1) &gt; 0, IFERROR(VALUE($F293),0)=0),
        AND(MAX(0, MIN($G$1, DATE(Initialisatie!$C$5,12,31)) - MAX($G$2, DATE(Initialisatie!$C$5,1,1)) + 1) &gt; 0, IFERROR(VALUE($G293),0)=0),
        AND(MAX(0, MIN($H$1, DATE(Initialisatie!$C$5,12,31)) - MAX($H$2, DATE(Initialisatie!$C$5,1,1)) + 1) &gt; 0, IFERROR(VALUE($H293),0)=0),
        AND(MAX(0, MIN($I$1, DATE(Initialisatie!$C$5,12,31)) - MAX($I$2, DATE(Initialisatie!$C$5,1,1)) + 1) &gt; 0, IFERROR(VALUE($I293),0)=0),
        AND(MAX(0, MIN($J$1, DATE(Initialisatie!$C$5,12,31)) - MAX($J$2, DATE(Initialisatie!$C$5,1,1)) + 1) &gt; 0, IFERROR(VALUE($J293),0)=0)
    ),
    0,
    SUM(
        IFERROR(VALUE($E293),0) * MAX(0, MIN($E$1, DATE(Initialisatie!$C$5,12,31)) - MAX($E$2, DATE(Initialisatie!$C$5,1,1)) + 1),
        IFERROR(VALUE($F293),0) * MAX(0, MIN($F$1, DATE(Initialisatie!$C$5,12,31)) - MAX($F$2, DATE(Initialisatie!$C$5,1,1)) + 1),
        IFERROR(VALUE($G293),0) * MAX(0, MIN($G$1, DATE(Initialisatie!$C$5,12,31)) - MAX($G$2, DATE(Initialisatie!$C$5,1,1)) + 1),
        IFERROR(VALUE($H293),0) * MAX(0, MIN($H$1, DATE(Initialisatie!$C$5,12,31)) - MAX($H$2, DATE(Initialisatie!$C$5,1,1)) + 1),
        IFERROR(VALUE($I293),0) * MAX(0, MIN($I$1, DATE(Initialisatie!$C$5,12,31)) - MAX($I$2, DATE(Initialisatie!$C$5,1,1)) + 1),
        IFERROR(VALUE($J293),0) * MAX(0, MIN($J$1, DATE(Initialisatie!$C$5,12,31)) - MAX($J$2, DATE(Initialisatie!$C$5,1,1)) + 1)
    ) / (DATE(Initialisatie!$C$5,12,31) - DATE(Initialisatie!$C$5,1,1) + 1)
)</f>
        <v>6322</v>
      </c>
    </row>
    <row r="294" spans="1:12" x14ac:dyDescent="0.45">
      <c r="A294" s="989"/>
      <c r="B294" s="35">
        <v>6</v>
      </c>
      <c r="C294" s="35">
        <v>6</v>
      </c>
      <c r="D294" s="35" t="s">
        <v>119</v>
      </c>
      <c r="E294">
        <v>5548</v>
      </c>
      <c r="F294">
        <v>5659</v>
      </c>
      <c r="G294">
        <v>6055</v>
      </c>
      <c r="H294">
        <v>6297</v>
      </c>
      <c r="I294">
        <v>6549</v>
      </c>
      <c r="J294">
        <v>6549</v>
      </c>
      <c r="L294">
        <f>IF(
    OR(
        AND(MAX(0, MIN($E$1, DATE(Initialisatie!$C$5,12,31)) - MAX($E$2, DATE(Initialisatie!$C$5,1,1)) + 1) &gt; 0, IFERROR(VALUE($E294),0)=0),
        AND(MAX(0, MIN($F$1, DATE(Initialisatie!$C$5,12,31)) - MAX($F$2, DATE(Initialisatie!$C$5,1,1)) + 1) &gt; 0, IFERROR(VALUE($F294),0)=0),
        AND(MAX(0, MIN($G$1, DATE(Initialisatie!$C$5,12,31)) - MAX($G$2, DATE(Initialisatie!$C$5,1,1)) + 1) &gt; 0, IFERROR(VALUE($G294),0)=0),
        AND(MAX(0, MIN($H$1, DATE(Initialisatie!$C$5,12,31)) - MAX($H$2, DATE(Initialisatie!$C$5,1,1)) + 1) &gt; 0, IFERROR(VALUE($H294),0)=0),
        AND(MAX(0, MIN($I$1, DATE(Initialisatie!$C$5,12,31)) - MAX($I$2, DATE(Initialisatie!$C$5,1,1)) + 1) &gt; 0, IFERROR(VALUE($I294),0)=0),
        AND(MAX(0, MIN($J$1, DATE(Initialisatie!$C$5,12,31)) - MAX($J$2, DATE(Initialisatie!$C$5,1,1)) + 1) &gt; 0, IFERROR(VALUE($J294),0)=0)
    ),
    0,
    SUM(
        IFERROR(VALUE($E294),0) * MAX(0, MIN($E$1, DATE(Initialisatie!$C$5,12,31)) - MAX($E$2, DATE(Initialisatie!$C$5,1,1)) + 1),
        IFERROR(VALUE($F294),0) * MAX(0, MIN($F$1, DATE(Initialisatie!$C$5,12,31)) - MAX($F$2, DATE(Initialisatie!$C$5,1,1)) + 1),
        IFERROR(VALUE($G294),0) * MAX(0, MIN($G$1, DATE(Initialisatie!$C$5,12,31)) - MAX($G$2, DATE(Initialisatie!$C$5,1,1)) + 1),
        IFERROR(VALUE($H294),0) * MAX(0, MIN($H$1, DATE(Initialisatie!$C$5,12,31)) - MAX($H$2, DATE(Initialisatie!$C$5,1,1)) + 1),
        IFERROR(VALUE($I294),0) * MAX(0, MIN($I$1, DATE(Initialisatie!$C$5,12,31)) - MAX($I$2, DATE(Initialisatie!$C$5,1,1)) + 1),
        IFERROR(VALUE($J294),0) * MAX(0, MIN($J$1, DATE(Initialisatie!$C$5,12,31)) - MAX($J$2, DATE(Initialisatie!$C$5,1,1)) + 1)
    ) / (DATE(Initialisatie!$C$5,12,31) - DATE(Initialisatie!$C$5,1,1) + 1)
)</f>
        <v>6549</v>
      </c>
    </row>
    <row r="295" spans="1:12" x14ac:dyDescent="0.45">
      <c r="A295" s="989"/>
      <c r="B295" s="35">
        <v>7</v>
      </c>
      <c r="C295" s="35">
        <v>7</v>
      </c>
      <c r="D295" s="35" t="s">
        <v>118</v>
      </c>
      <c r="E295">
        <v>5743</v>
      </c>
      <c r="F295">
        <v>5858</v>
      </c>
      <c r="G295">
        <v>6268</v>
      </c>
      <c r="H295">
        <v>6519</v>
      </c>
      <c r="I295">
        <v>6780</v>
      </c>
      <c r="J295">
        <v>6780</v>
      </c>
      <c r="L295">
        <f>IF(
    OR(
        AND(MAX(0, MIN($E$1, DATE(Initialisatie!$C$5,12,31)) - MAX($E$2, DATE(Initialisatie!$C$5,1,1)) + 1) &gt; 0, IFERROR(VALUE($E295),0)=0),
        AND(MAX(0, MIN($F$1, DATE(Initialisatie!$C$5,12,31)) - MAX($F$2, DATE(Initialisatie!$C$5,1,1)) + 1) &gt; 0, IFERROR(VALUE($F295),0)=0),
        AND(MAX(0, MIN($G$1, DATE(Initialisatie!$C$5,12,31)) - MAX($G$2, DATE(Initialisatie!$C$5,1,1)) + 1) &gt; 0, IFERROR(VALUE($G295),0)=0),
        AND(MAX(0, MIN($H$1, DATE(Initialisatie!$C$5,12,31)) - MAX($H$2, DATE(Initialisatie!$C$5,1,1)) + 1) &gt; 0, IFERROR(VALUE($H295),0)=0),
        AND(MAX(0, MIN($I$1, DATE(Initialisatie!$C$5,12,31)) - MAX($I$2, DATE(Initialisatie!$C$5,1,1)) + 1) &gt; 0, IFERROR(VALUE($I295),0)=0),
        AND(MAX(0, MIN($J$1, DATE(Initialisatie!$C$5,12,31)) - MAX($J$2, DATE(Initialisatie!$C$5,1,1)) + 1) &gt; 0, IFERROR(VALUE($J295),0)=0)
    ),
    0,
    SUM(
        IFERROR(VALUE($E295),0) * MAX(0, MIN($E$1, DATE(Initialisatie!$C$5,12,31)) - MAX($E$2, DATE(Initialisatie!$C$5,1,1)) + 1),
        IFERROR(VALUE($F295),0) * MAX(0, MIN($F$1, DATE(Initialisatie!$C$5,12,31)) - MAX($F$2, DATE(Initialisatie!$C$5,1,1)) + 1),
        IFERROR(VALUE($G295),0) * MAX(0, MIN($G$1, DATE(Initialisatie!$C$5,12,31)) - MAX($G$2, DATE(Initialisatie!$C$5,1,1)) + 1),
        IFERROR(VALUE($H295),0) * MAX(0, MIN($H$1, DATE(Initialisatie!$C$5,12,31)) - MAX($H$2, DATE(Initialisatie!$C$5,1,1)) + 1),
        IFERROR(VALUE($I295),0) * MAX(0, MIN($I$1, DATE(Initialisatie!$C$5,12,31)) - MAX($I$2, DATE(Initialisatie!$C$5,1,1)) + 1),
        IFERROR(VALUE($J295),0) * MAX(0, MIN($J$1, DATE(Initialisatie!$C$5,12,31)) - MAX($J$2, DATE(Initialisatie!$C$5,1,1)) + 1)
    ) / (DATE(Initialisatie!$C$5,12,31) - DATE(Initialisatie!$C$5,1,1) + 1)
)</f>
        <v>6780</v>
      </c>
    </row>
    <row r="296" spans="1:12" x14ac:dyDescent="0.45">
      <c r="A296" s="989"/>
      <c r="B296" s="35">
        <v>8</v>
      </c>
      <c r="C296" s="35">
        <v>8</v>
      </c>
      <c r="D296" s="35" t="s">
        <v>117</v>
      </c>
      <c r="E296">
        <v>5946</v>
      </c>
      <c r="F296">
        <v>6065</v>
      </c>
      <c r="G296">
        <v>6490</v>
      </c>
      <c r="H296">
        <v>6750</v>
      </c>
      <c r="I296">
        <v>7020</v>
      </c>
      <c r="J296">
        <v>7020</v>
      </c>
      <c r="L296">
        <f>IF(
    OR(
        AND(MAX(0, MIN($E$1, DATE(Initialisatie!$C$5,12,31)) - MAX($E$2, DATE(Initialisatie!$C$5,1,1)) + 1) &gt; 0, IFERROR(VALUE($E296),0)=0),
        AND(MAX(0, MIN($F$1, DATE(Initialisatie!$C$5,12,31)) - MAX($F$2, DATE(Initialisatie!$C$5,1,1)) + 1) &gt; 0, IFERROR(VALUE($F296),0)=0),
        AND(MAX(0, MIN($G$1, DATE(Initialisatie!$C$5,12,31)) - MAX($G$2, DATE(Initialisatie!$C$5,1,1)) + 1) &gt; 0, IFERROR(VALUE($G296),0)=0),
        AND(MAX(0, MIN($H$1, DATE(Initialisatie!$C$5,12,31)) - MAX($H$2, DATE(Initialisatie!$C$5,1,1)) + 1) &gt; 0, IFERROR(VALUE($H296),0)=0),
        AND(MAX(0, MIN($I$1, DATE(Initialisatie!$C$5,12,31)) - MAX($I$2, DATE(Initialisatie!$C$5,1,1)) + 1) &gt; 0, IFERROR(VALUE($I296),0)=0),
        AND(MAX(0, MIN($J$1, DATE(Initialisatie!$C$5,12,31)) - MAX($J$2, DATE(Initialisatie!$C$5,1,1)) + 1) &gt; 0, IFERROR(VALUE($J296),0)=0)
    ),
    0,
    SUM(
        IFERROR(VALUE($E296),0) * MAX(0, MIN($E$1, DATE(Initialisatie!$C$5,12,31)) - MAX($E$2, DATE(Initialisatie!$C$5,1,1)) + 1),
        IFERROR(VALUE($F296),0) * MAX(0, MIN($F$1, DATE(Initialisatie!$C$5,12,31)) - MAX($F$2, DATE(Initialisatie!$C$5,1,1)) + 1),
        IFERROR(VALUE($G296),0) * MAX(0, MIN($G$1, DATE(Initialisatie!$C$5,12,31)) - MAX($G$2, DATE(Initialisatie!$C$5,1,1)) + 1),
        IFERROR(VALUE($H296),0) * MAX(0, MIN($H$1, DATE(Initialisatie!$C$5,12,31)) - MAX($H$2, DATE(Initialisatie!$C$5,1,1)) + 1),
        IFERROR(VALUE($I296),0) * MAX(0, MIN($I$1, DATE(Initialisatie!$C$5,12,31)) - MAX($I$2, DATE(Initialisatie!$C$5,1,1)) + 1),
        IFERROR(VALUE($J296),0) * MAX(0, MIN($J$1, DATE(Initialisatie!$C$5,12,31)) - MAX($J$2, DATE(Initialisatie!$C$5,1,1)) + 1)
    ) / (DATE(Initialisatie!$C$5,12,31) - DATE(Initialisatie!$C$5,1,1) + 1)
)</f>
        <v>7020</v>
      </c>
    </row>
    <row r="297" spans="1:12" x14ac:dyDescent="0.45">
      <c r="A297" s="989"/>
      <c r="B297" s="35">
        <v>9</v>
      </c>
      <c r="C297" s="35">
        <v>9</v>
      </c>
      <c r="D297" s="35" t="s">
        <v>116</v>
      </c>
      <c r="E297">
        <v>6165</v>
      </c>
      <c r="F297">
        <v>6288</v>
      </c>
      <c r="G297">
        <v>6728</v>
      </c>
      <c r="H297">
        <v>6997</v>
      </c>
      <c r="I297">
        <v>7277</v>
      </c>
      <c r="J297">
        <v>7277</v>
      </c>
      <c r="L297">
        <f>IF(
    OR(
        AND(MAX(0, MIN($E$1, DATE(Initialisatie!$C$5,12,31)) - MAX($E$2, DATE(Initialisatie!$C$5,1,1)) + 1) &gt; 0, IFERROR(VALUE($E297),0)=0),
        AND(MAX(0, MIN($F$1, DATE(Initialisatie!$C$5,12,31)) - MAX($F$2, DATE(Initialisatie!$C$5,1,1)) + 1) &gt; 0, IFERROR(VALUE($F297),0)=0),
        AND(MAX(0, MIN($G$1, DATE(Initialisatie!$C$5,12,31)) - MAX($G$2, DATE(Initialisatie!$C$5,1,1)) + 1) &gt; 0, IFERROR(VALUE($G297),0)=0),
        AND(MAX(0, MIN($H$1, DATE(Initialisatie!$C$5,12,31)) - MAX($H$2, DATE(Initialisatie!$C$5,1,1)) + 1) &gt; 0, IFERROR(VALUE($H297),0)=0),
        AND(MAX(0, MIN($I$1, DATE(Initialisatie!$C$5,12,31)) - MAX($I$2, DATE(Initialisatie!$C$5,1,1)) + 1) &gt; 0, IFERROR(VALUE($I297),0)=0),
        AND(MAX(0, MIN($J$1, DATE(Initialisatie!$C$5,12,31)) - MAX($J$2, DATE(Initialisatie!$C$5,1,1)) + 1) &gt; 0, IFERROR(VALUE($J297),0)=0)
    ),
    0,
    SUM(
        IFERROR(VALUE($E297),0) * MAX(0, MIN($E$1, DATE(Initialisatie!$C$5,12,31)) - MAX($E$2, DATE(Initialisatie!$C$5,1,1)) + 1),
        IFERROR(VALUE($F297),0) * MAX(0, MIN($F$1, DATE(Initialisatie!$C$5,12,31)) - MAX($F$2, DATE(Initialisatie!$C$5,1,1)) + 1),
        IFERROR(VALUE($G297),0) * MAX(0, MIN($G$1, DATE(Initialisatie!$C$5,12,31)) - MAX($G$2, DATE(Initialisatie!$C$5,1,1)) + 1),
        IFERROR(VALUE($H297),0) * MAX(0, MIN($H$1, DATE(Initialisatie!$C$5,12,31)) - MAX($H$2, DATE(Initialisatie!$C$5,1,1)) + 1),
        IFERROR(VALUE($I297),0) * MAX(0, MIN($I$1, DATE(Initialisatie!$C$5,12,31)) - MAX($I$2, DATE(Initialisatie!$C$5,1,1)) + 1),
        IFERROR(VALUE($J297),0) * MAX(0, MIN($J$1, DATE(Initialisatie!$C$5,12,31)) - MAX($J$2, DATE(Initialisatie!$C$5,1,1)) + 1)
    ) / (DATE(Initialisatie!$C$5,12,31) - DATE(Initialisatie!$C$5,1,1) + 1)
)</f>
        <v>7277</v>
      </c>
    </row>
    <row r="298" spans="1:12" x14ac:dyDescent="0.45">
      <c r="A298" s="989"/>
      <c r="B298" s="35">
        <v>10</v>
      </c>
      <c r="C298" s="35">
        <v>10</v>
      </c>
      <c r="D298" s="35" t="s">
        <v>127</v>
      </c>
      <c r="E298">
        <v>6391</v>
      </c>
      <c r="F298">
        <v>6519</v>
      </c>
      <c r="G298">
        <v>6975</v>
      </c>
      <c r="H298">
        <v>7254</v>
      </c>
      <c r="I298">
        <v>7544</v>
      </c>
      <c r="J298">
        <v>7544</v>
      </c>
      <c r="L298">
        <f>IF(
    OR(
        AND(MAX(0, MIN($E$1, DATE(Initialisatie!$C$5,12,31)) - MAX($E$2, DATE(Initialisatie!$C$5,1,1)) + 1) &gt; 0, IFERROR(VALUE($E298),0)=0),
        AND(MAX(0, MIN($F$1, DATE(Initialisatie!$C$5,12,31)) - MAX($F$2, DATE(Initialisatie!$C$5,1,1)) + 1) &gt; 0, IFERROR(VALUE($F298),0)=0),
        AND(MAX(0, MIN($G$1, DATE(Initialisatie!$C$5,12,31)) - MAX($G$2, DATE(Initialisatie!$C$5,1,1)) + 1) &gt; 0, IFERROR(VALUE($G298),0)=0),
        AND(MAX(0, MIN($H$1, DATE(Initialisatie!$C$5,12,31)) - MAX($H$2, DATE(Initialisatie!$C$5,1,1)) + 1) &gt; 0, IFERROR(VALUE($H298),0)=0),
        AND(MAX(0, MIN($I$1, DATE(Initialisatie!$C$5,12,31)) - MAX($I$2, DATE(Initialisatie!$C$5,1,1)) + 1) &gt; 0, IFERROR(VALUE($I298),0)=0),
        AND(MAX(0, MIN($J$1, DATE(Initialisatie!$C$5,12,31)) - MAX($J$2, DATE(Initialisatie!$C$5,1,1)) + 1) &gt; 0, IFERROR(VALUE($J298),0)=0)
    ),
    0,
    SUM(
        IFERROR(VALUE($E298),0) * MAX(0, MIN($E$1, DATE(Initialisatie!$C$5,12,31)) - MAX($E$2, DATE(Initialisatie!$C$5,1,1)) + 1),
        IFERROR(VALUE($F298),0) * MAX(0, MIN($F$1, DATE(Initialisatie!$C$5,12,31)) - MAX($F$2, DATE(Initialisatie!$C$5,1,1)) + 1),
        IFERROR(VALUE($G298),0) * MAX(0, MIN($G$1, DATE(Initialisatie!$C$5,12,31)) - MAX($G$2, DATE(Initialisatie!$C$5,1,1)) + 1),
        IFERROR(VALUE($H298),0) * MAX(0, MIN($H$1, DATE(Initialisatie!$C$5,12,31)) - MAX($H$2, DATE(Initialisatie!$C$5,1,1)) + 1),
        IFERROR(VALUE($I298),0) * MAX(0, MIN($I$1, DATE(Initialisatie!$C$5,12,31)) - MAX($I$2, DATE(Initialisatie!$C$5,1,1)) + 1),
        IFERROR(VALUE($J298),0) * MAX(0, MIN($J$1, DATE(Initialisatie!$C$5,12,31)) - MAX($J$2, DATE(Initialisatie!$C$5,1,1)) + 1)
    ) / (DATE(Initialisatie!$C$5,12,31) - DATE(Initialisatie!$C$5,1,1) + 1)
)</f>
        <v>7544</v>
      </c>
    </row>
    <row r="299" spans="1:12" x14ac:dyDescent="0.45">
      <c r="A299" s="989"/>
      <c r="B299" s="35">
        <v>11</v>
      </c>
      <c r="C299" s="35">
        <v>11</v>
      </c>
      <c r="D299" s="35" t="s">
        <v>126</v>
      </c>
      <c r="E299">
        <v>6628</v>
      </c>
      <c r="F299">
        <v>6761</v>
      </c>
      <c r="G299">
        <v>7234</v>
      </c>
      <c r="H299">
        <v>7523</v>
      </c>
      <c r="I299">
        <v>7824</v>
      </c>
      <c r="J299">
        <v>7824</v>
      </c>
      <c r="L299">
        <f>IF(
    OR(
        AND(MAX(0, MIN($E$1, DATE(Initialisatie!$C$5,12,31)) - MAX($E$2, DATE(Initialisatie!$C$5,1,1)) + 1) &gt; 0, IFERROR(VALUE($E299),0)=0),
        AND(MAX(0, MIN($F$1, DATE(Initialisatie!$C$5,12,31)) - MAX($F$2, DATE(Initialisatie!$C$5,1,1)) + 1) &gt; 0, IFERROR(VALUE($F299),0)=0),
        AND(MAX(0, MIN($G$1, DATE(Initialisatie!$C$5,12,31)) - MAX($G$2, DATE(Initialisatie!$C$5,1,1)) + 1) &gt; 0, IFERROR(VALUE($G299),0)=0),
        AND(MAX(0, MIN($H$1, DATE(Initialisatie!$C$5,12,31)) - MAX($H$2, DATE(Initialisatie!$C$5,1,1)) + 1) &gt; 0, IFERROR(VALUE($H299),0)=0),
        AND(MAX(0, MIN($I$1, DATE(Initialisatie!$C$5,12,31)) - MAX($I$2, DATE(Initialisatie!$C$5,1,1)) + 1) &gt; 0, IFERROR(VALUE($I299),0)=0),
        AND(MAX(0, MIN($J$1, DATE(Initialisatie!$C$5,12,31)) - MAX($J$2, DATE(Initialisatie!$C$5,1,1)) + 1) &gt; 0, IFERROR(VALUE($J299),0)=0)
    ),
    0,
    SUM(
        IFERROR(VALUE($E299),0) * MAX(0, MIN($E$1, DATE(Initialisatie!$C$5,12,31)) - MAX($E$2, DATE(Initialisatie!$C$5,1,1)) + 1),
        IFERROR(VALUE($F299),0) * MAX(0, MIN($F$1, DATE(Initialisatie!$C$5,12,31)) - MAX($F$2, DATE(Initialisatie!$C$5,1,1)) + 1),
        IFERROR(VALUE($G299),0) * MAX(0, MIN($G$1, DATE(Initialisatie!$C$5,12,31)) - MAX($G$2, DATE(Initialisatie!$C$5,1,1)) + 1),
        IFERROR(VALUE($H299),0) * MAX(0, MIN($H$1, DATE(Initialisatie!$C$5,12,31)) - MAX($H$2, DATE(Initialisatie!$C$5,1,1)) + 1),
        IFERROR(VALUE($I299),0) * MAX(0, MIN($I$1, DATE(Initialisatie!$C$5,12,31)) - MAX($I$2, DATE(Initialisatie!$C$5,1,1)) + 1),
        IFERROR(VALUE($J299),0) * MAX(0, MIN($J$1, DATE(Initialisatie!$C$5,12,31)) - MAX($J$2, DATE(Initialisatie!$C$5,1,1)) + 1)
    ) / (DATE(Initialisatie!$C$5,12,31) - DATE(Initialisatie!$C$5,1,1) + 1)
)</f>
        <v>7824</v>
      </c>
    </row>
    <row r="300" spans="1:12" x14ac:dyDescent="0.45">
      <c r="A300" s="989"/>
      <c r="B300" s="35">
        <v>12</v>
      </c>
      <c r="C300" s="35">
        <v>12</v>
      </c>
      <c r="D300" s="35" t="s">
        <v>125</v>
      </c>
      <c r="E300">
        <v>6987</v>
      </c>
      <c r="F300">
        <v>7127</v>
      </c>
      <c r="G300">
        <v>7626</v>
      </c>
      <c r="H300">
        <v>7931</v>
      </c>
      <c r="I300">
        <v>8248</v>
      </c>
      <c r="J300">
        <v>8248</v>
      </c>
      <c r="L300">
        <f>IF(
    OR(
        AND(MAX(0, MIN($E$1, DATE(Initialisatie!$C$5,12,31)) - MAX($E$2, DATE(Initialisatie!$C$5,1,1)) + 1) &gt; 0, IFERROR(VALUE($E300),0)=0),
        AND(MAX(0, MIN($F$1, DATE(Initialisatie!$C$5,12,31)) - MAX($F$2, DATE(Initialisatie!$C$5,1,1)) + 1) &gt; 0, IFERROR(VALUE($F300),0)=0),
        AND(MAX(0, MIN($G$1, DATE(Initialisatie!$C$5,12,31)) - MAX($G$2, DATE(Initialisatie!$C$5,1,1)) + 1) &gt; 0, IFERROR(VALUE($G300),0)=0),
        AND(MAX(0, MIN($H$1, DATE(Initialisatie!$C$5,12,31)) - MAX($H$2, DATE(Initialisatie!$C$5,1,1)) + 1) &gt; 0, IFERROR(VALUE($H300),0)=0),
        AND(MAX(0, MIN($I$1, DATE(Initialisatie!$C$5,12,31)) - MAX($I$2, DATE(Initialisatie!$C$5,1,1)) + 1) &gt; 0, IFERROR(VALUE($I300),0)=0),
        AND(MAX(0, MIN($J$1, DATE(Initialisatie!$C$5,12,31)) - MAX($J$2, DATE(Initialisatie!$C$5,1,1)) + 1) &gt; 0, IFERROR(VALUE($J300),0)=0)
    ),
    0,
    SUM(
        IFERROR(VALUE($E300),0) * MAX(0, MIN($E$1, DATE(Initialisatie!$C$5,12,31)) - MAX($E$2, DATE(Initialisatie!$C$5,1,1)) + 1),
        IFERROR(VALUE($F300),0) * MAX(0, MIN($F$1, DATE(Initialisatie!$C$5,12,31)) - MAX($F$2, DATE(Initialisatie!$C$5,1,1)) + 1),
        IFERROR(VALUE($G300),0) * MAX(0, MIN($G$1, DATE(Initialisatie!$C$5,12,31)) - MAX($G$2, DATE(Initialisatie!$C$5,1,1)) + 1),
        IFERROR(VALUE($H300),0) * MAX(0, MIN($H$1, DATE(Initialisatie!$C$5,12,31)) - MAX($H$2, DATE(Initialisatie!$C$5,1,1)) + 1),
        IFERROR(VALUE($I300),0) * MAX(0, MIN($I$1, DATE(Initialisatie!$C$5,12,31)) - MAX($I$2, DATE(Initialisatie!$C$5,1,1)) + 1),
        IFERROR(VALUE($J300),0) * MAX(0, MIN($J$1, DATE(Initialisatie!$C$5,12,31)) - MAX($J$2, DATE(Initialisatie!$C$5,1,1)) + 1)
    ) / (DATE(Initialisatie!$C$5,12,31) - DATE(Initialisatie!$C$5,1,1) + 1)
)</f>
        <v>8248</v>
      </c>
    </row>
    <row r="301" spans="1:12" x14ac:dyDescent="0.45">
      <c r="A301" s="989"/>
      <c r="B301" s="35">
        <v>13</v>
      </c>
      <c r="C301" s="35">
        <v>13</v>
      </c>
      <c r="D301" s="35" t="s">
        <v>124</v>
      </c>
      <c r="E301">
        <v>7363</v>
      </c>
      <c r="F301">
        <v>7510</v>
      </c>
      <c r="G301">
        <v>8036</v>
      </c>
      <c r="H301">
        <v>8357</v>
      </c>
      <c r="I301">
        <v>8691</v>
      </c>
      <c r="J301">
        <v>8691</v>
      </c>
      <c r="L301">
        <f>IF(
    OR(
        AND(MAX(0, MIN($E$1, DATE(Initialisatie!$C$5,12,31)) - MAX($E$2, DATE(Initialisatie!$C$5,1,1)) + 1) &gt; 0, IFERROR(VALUE($E301),0)=0),
        AND(MAX(0, MIN($F$1, DATE(Initialisatie!$C$5,12,31)) - MAX($F$2, DATE(Initialisatie!$C$5,1,1)) + 1) &gt; 0, IFERROR(VALUE($F301),0)=0),
        AND(MAX(0, MIN($G$1, DATE(Initialisatie!$C$5,12,31)) - MAX($G$2, DATE(Initialisatie!$C$5,1,1)) + 1) &gt; 0, IFERROR(VALUE($G301),0)=0),
        AND(MAX(0, MIN($H$1, DATE(Initialisatie!$C$5,12,31)) - MAX($H$2, DATE(Initialisatie!$C$5,1,1)) + 1) &gt; 0, IFERROR(VALUE($H301),0)=0),
        AND(MAX(0, MIN($I$1, DATE(Initialisatie!$C$5,12,31)) - MAX($I$2, DATE(Initialisatie!$C$5,1,1)) + 1) &gt; 0, IFERROR(VALUE($I301),0)=0),
        AND(MAX(0, MIN($J$1, DATE(Initialisatie!$C$5,12,31)) - MAX($J$2, DATE(Initialisatie!$C$5,1,1)) + 1) &gt; 0, IFERROR(VALUE($J301),0)=0)
    ),
    0,
    SUM(
        IFERROR(VALUE($E301),0) * MAX(0, MIN($E$1, DATE(Initialisatie!$C$5,12,31)) - MAX($E$2, DATE(Initialisatie!$C$5,1,1)) + 1),
        IFERROR(VALUE($F301),0) * MAX(0, MIN($F$1, DATE(Initialisatie!$C$5,12,31)) - MAX($F$2, DATE(Initialisatie!$C$5,1,1)) + 1),
        IFERROR(VALUE($G301),0) * MAX(0, MIN($G$1, DATE(Initialisatie!$C$5,12,31)) - MAX($G$2, DATE(Initialisatie!$C$5,1,1)) + 1),
        IFERROR(VALUE($H301),0) * MAX(0, MIN($H$1, DATE(Initialisatie!$C$5,12,31)) - MAX($H$2, DATE(Initialisatie!$C$5,1,1)) + 1),
        IFERROR(VALUE($I301),0) * MAX(0, MIN($I$1, DATE(Initialisatie!$C$5,12,31)) - MAX($I$2, DATE(Initialisatie!$C$5,1,1)) + 1),
        IFERROR(VALUE($J301),0) * MAX(0, MIN($J$1, DATE(Initialisatie!$C$5,12,31)) - MAX($J$2, DATE(Initialisatie!$C$5,1,1)) + 1)
    ) / (DATE(Initialisatie!$C$5,12,31) - DATE(Initialisatie!$C$5,1,1) + 1)
)</f>
        <v>8691</v>
      </c>
    </row>
    <row r="302" spans="1:12" x14ac:dyDescent="0.45">
      <c r="A302" s="989"/>
      <c r="B302" s="35" t="s">
        <v>531</v>
      </c>
      <c r="C302" s="35" t="s">
        <v>531</v>
      </c>
      <c r="D302" s="35" t="s">
        <v>669</v>
      </c>
      <c r="E302">
        <v>7757</v>
      </c>
      <c r="F302">
        <v>7912</v>
      </c>
      <c r="G302">
        <v>8466</v>
      </c>
      <c r="H302">
        <v>8805</v>
      </c>
      <c r="I302">
        <v>9157</v>
      </c>
      <c r="J302">
        <v>9157</v>
      </c>
      <c r="L302">
        <f>IF(
    OR(
        AND(MAX(0, MIN($E$1, DATE(Initialisatie!$C$5,12,31)) - MAX($E$2, DATE(Initialisatie!$C$5,1,1)) + 1) &gt; 0, IFERROR(VALUE($E302),0)=0),
        AND(MAX(0, MIN($F$1, DATE(Initialisatie!$C$5,12,31)) - MAX($F$2, DATE(Initialisatie!$C$5,1,1)) + 1) &gt; 0, IFERROR(VALUE($F302),0)=0),
        AND(MAX(0, MIN($G$1, DATE(Initialisatie!$C$5,12,31)) - MAX($G$2, DATE(Initialisatie!$C$5,1,1)) + 1) &gt; 0, IFERROR(VALUE($G302),0)=0),
        AND(MAX(0, MIN($H$1, DATE(Initialisatie!$C$5,12,31)) - MAX($H$2, DATE(Initialisatie!$C$5,1,1)) + 1) &gt; 0, IFERROR(VALUE($H302),0)=0),
        AND(MAX(0, MIN($I$1, DATE(Initialisatie!$C$5,12,31)) - MAX($I$2, DATE(Initialisatie!$C$5,1,1)) + 1) &gt; 0, IFERROR(VALUE($I302),0)=0),
        AND(MAX(0, MIN($J$1, DATE(Initialisatie!$C$5,12,31)) - MAX($J$2, DATE(Initialisatie!$C$5,1,1)) + 1) &gt; 0, IFERROR(VALUE($J302),0)=0)
    ),
    0,
    SUM(
        IFERROR(VALUE($E302),0) * MAX(0, MIN($E$1, DATE(Initialisatie!$C$5,12,31)) - MAX($E$2, DATE(Initialisatie!$C$5,1,1)) + 1),
        IFERROR(VALUE($F302),0) * MAX(0, MIN($F$1, DATE(Initialisatie!$C$5,12,31)) - MAX($F$2, DATE(Initialisatie!$C$5,1,1)) + 1),
        IFERROR(VALUE($G302),0) * MAX(0, MIN($G$1, DATE(Initialisatie!$C$5,12,31)) - MAX($G$2, DATE(Initialisatie!$C$5,1,1)) + 1),
        IFERROR(VALUE($H302),0) * MAX(0, MIN($H$1, DATE(Initialisatie!$C$5,12,31)) - MAX($H$2, DATE(Initialisatie!$C$5,1,1)) + 1),
        IFERROR(VALUE($I302),0) * MAX(0, MIN($I$1, DATE(Initialisatie!$C$5,12,31)) - MAX($I$2, DATE(Initialisatie!$C$5,1,1)) + 1),
        IFERROR(VALUE($J302),0) * MAX(0, MIN($J$1, DATE(Initialisatie!$C$5,12,31)) - MAX($J$2, DATE(Initialisatie!$C$5,1,1)) + 1)
    ) / (DATE(Initialisatie!$C$5,12,31) - DATE(Initialisatie!$C$5,1,1) + 1)
)</f>
        <v>9157</v>
      </c>
    </row>
    <row r="303" spans="1:12" x14ac:dyDescent="0.45">
      <c r="A303" s="989"/>
      <c r="B303" s="35" t="s">
        <v>533</v>
      </c>
      <c r="C303" s="35" t="s">
        <v>533</v>
      </c>
      <c r="D303" s="35" t="s">
        <v>670</v>
      </c>
      <c r="E303">
        <v>8175</v>
      </c>
      <c r="F303">
        <v>8339</v>
      </c>
      <c r="G303">
        <v>8923</v>
      </c>
      <c r="H303">
        <v>9280</v>
      </c>
      <c r="I303">
        <v>9651</v>
      </c>
      <c r="J303">
        <v>9651</v>
      </c>
      <c r="L303">
        <f>IF(
    OR(
        AND(MAX(0, MIN($E$1, DATE(Initialisatie!$C$5,12,31)) - MAX($E$2, DATE(Initialisatie!$C$5,1,1)) + 1) &gt; 0, IFERROR(VALUE($E303),0)=0),
        AND(MAX(0, MIN($F$1, DATE(Initialisatie!$C$5,12,31)) - MAX($F$2, DATE(Initialisatie!$C$5,1,1)) + 1) &gt; 0, IFERROR(VALUE($F303),0)=0),
        AND(MAX(0, MIN($G$1, DATE(Initialisatie!$C$5,12,31)) - MAX($G$2, DATE(Initialisatie!$C$5,1,1)) + 1) &gt; 0, IFERROR(VALUE($G303),0)=0),
        AND(MAX(0, MIN($H$1, DATE(Initialisatie!$C$5,12,31)) - MAX($H$2, DATE(Initialisatie!$C$5,1,1)) + 1) &gt; 0, IFERROR(VALUE($H303),0)=0),
        AND(MAX(0, MIN($I$1, DATE(Initialisatie!$C$5,12,31)) - MAX($I$2, DATE(Initialisatie!$C$5,1,1)) + 1) &gt; 0, IFERROR(VALUE($I303),0)=0),
        AND(MAX(0, MIN($J$1, DATE(Initialisatie!$C$5,12,31)) - MAX($J$2, DATE(Initialisatie!$C$5,1,1)) + 1) &gt; 0, IFERROR(VALUE($J303),0)=0)
    ),
    0,
    SUM(
        IFERROR(VALUE($E303),0) * MAX(0, MIN($E$1, DATE(Initialisatie!$C$5,12,31)) - MAX($E$2, DATE(Initialisatie!$C$5,1,1)) + 1),
        IFERROR(VALUE($F303),0) * MAX(0, MIN($F$1, DATE(Initialisatie!$C$5,12,31)) - MAX($F$2, DATE(Initialisatie!$C$5,1,1)) + 1),
        IFERROR(VALUE($G303),0) * MAX(0, MIN($G$1, DATE(Initialisatie!$C$5,12,31)) - MAX($G$2, DATE(Initialisatie!$C$5,1,1)) + 1),
        IFERROR(VALUE($H303),0) * MAX(0, MIN($H$1, DATE(Initialisatie!$C$5,12,31)) - MAX($H$2, DATE(Initialisatie!$C$5,1,1)) + 1),
        IFERROR(VALUE($I303),0) * MAX(0, MIN($I$1, DATE(Initialisatie!$C$5,12,31)) - MAX($I$2, DATE(Initialisatie!$C$5,1,1)) + 1),
        IFERROR(VALUE($J303),0) * MAX(0, MIN($J$1, DATE(Initialisatie!$C$5,12,31)) - MAX($J$2, DATE(Initialisatie!$C$5,1,1)) + 1)
    ) / (DATE(Initialisatie!$C$5,12,31) - DATE(Initialisatie!$C$5,1,1) + 1)
)</f>
        <v>9651</v>
      </c>
    </row>
    <row r="304" spans="1:12" x14ac:dyDescent="0.45">
      <c r="A304" s="989"/>
      <c r="B304" s="35" t="s">
        <v>535</v>
      </c>
      <c r="C304" s="35" t="s">
        <v>535</v>
      </c>
      <c r="D304" s="35" t="s">
        <v>671</v>
      </c>
      <c r="E304">
        <v>7757</v>
      </c>
      <c r="F304">
        <v>7912</v>
      </c>
      <c r="G304">
        <v>8466</v>
      </c>
      <c r="H304">
        <v>8805</v>
      </c>
      <c r="I304">
        <v>9157</v>
      </c>
      <c r="J304">
        <v>9157</v>
      </c>
      <c r="L304">
        <f>IF(
    OR(
        AND(MAX(0, MIN($E$1, DATE(Initialisatie!$C$5,12,31)) - MAX($E$2, DATE(Initialisatie!$C$5,1,1)) + 1) &gt; 0, IFERROR(VALUE($E304),0)=0),
        AND(MAX(0, MIN($F$1, DATE(Initialisatie!$C$5,12,31)) - MAX($F$2, DATE(Initialisatie!$C$5,1,1)) + 1) &gt; 0, IFERROR(VALUE($F304),0)=0),
        AND(MAX(0, MIN($G$1, DATE(Initialisatie!$C$5,12,31)) - MAX($G$2, DATE(Initialisatie!$C$5,1,1)) + 1) &gt; 0, IFERROR(VALUE($G304),0)=0),
        AND(MAX(0, MIN($H$1, DATE(Initialisatie!$C$5,12,31)) - MAX($H$2, DATE(Initialisatie!$C$5,1,1)) + 1) &gt; 0, IFERROR(VALUE($H304),0)=0),
        AND(MAX(0, MIN($I$1, DATE(Initialisatie!$C$5,12,31)) - MAX($I$2, DATE(Initialisatie!$C$5,1,1)) + 1) &gt; 0, IFERROR(VALUE($I304),0)=0),
        AND(MAX(0, MIN($J$1, DATE(Initialisatie!$C$5,12,31)) - MAX($J$2, DATE(Initialisatie!$C$5,1,1)) + 1) &gt; 0, IFERROR(VALUE($J304),0)=0)
    ),
    0,
    SUM(
        IFERROR(VALUE($E304),0) * MAX(0, MIN($E$1, DATE(Initialisatie!$C$5,12,31)) - MAX($E$2, DATE(Initialisatie!$C$5,1,1)) + 1),
        IFERROR(VALUE($F304),0) * MAX(0, MIN($F$1, DATE(Initialisatie!$C$5,12,31)) - MAX($F$2, DATE(Initialisatie!$C$5,1,1)) + 1),
        IFERROR(VALUE($G304),0) * MAX(0, MIN($G$1, DATE(Initialisatie!$C$5,12,31)) - MAX($G$2, DATE(Initialisatie!$C$5,1,1)) + 1),
        IFERROR(VALUE($H304),0) * MAX(0, MIN($H$1, DATE(Initialisatie!$C$5,12,31)) - MAX($H$2, DATE(Initialisatie!$C$5,1,1)) + 1),
        IFERROR(VALUE($I304),0) * MAX(0, MIN($I$1, DATE(Initialisatie!$C$5,12,31)) - MAX($I$2, DATE(Initialisatie!$C$5,1,1)) + 1),
        IFERROR(VALUE($J304),0) * MAX(0, MIN($J$1, DATE(Initialisatie!$C$5,12,31)) - MAX($J$2, DATE(Initialisatie!$C$5,1,1)) + 1)
    ) / (DATE(Initialisatie!$C$5,12,31) - DATE(Initialisatie!$C$5,1,1) + 1)
)</f>
        <v>9157</v>
      </c>
    </row>
    <row r="305" spans="1:12" x14ac:dyDescent="0.45">
      <c r="A305" s="989"/>
      <c r="B305" s="35" t="s">
        <v>537</v>
      </c>
      <c r="C305" s="35" t="s">
        <v>537</v>
      </c>
      <c r="D305" s="35" t="s">
        <v>672</v>
      </c>
      <c r="E305">
        <v>8175</v>
      </c>
      <c r="F305">
        <v>8339</v>
      </c>
      <c r="G305">
        <v>8923</v>
      </c>
      <c r="H305">
        <v>9280</v>
      </c>
      <c r="I305">
        <v>9651</v>
      </c>
      <c r="J305">
        <v>9651</v>
      </c>
      <c r="L305">
        <f>IF(
    OR(
        AND(MAX(0, MIN($E$1, DATE(Initialisatie!$C$5,12,31)) - MAX($E$2, DATE(Initialisatie!$C$5,1,1)) + 1) &gt; 0, IFERROR(VALUE($E305),0)=0),
        AND(MAX(0, MIN($F$1, DATE(Initialisatie!$C$5,12,31)) - MAX($F$2, DATE(Initialisatie!$C$5,1,1)) + 1) &gt; 0, IFERROR(VALUE($F305),0)=0),
        AND(MAX(0, MIN($G$1, DATE(Initialisatie!$C$5,12,31)) - MAX($G$2, DATE(Initialisatie!$C$5,1,1)) + 1) &gt; 0, IFERROR(VALUE($G305),0)=0),
        AND(MAX(0, MIN($H$1, DATE(Initialisatie!$C$5,12,31)) - MAX($H$2, DATE(Initialisatie!$C$5,1,1)) + 1) &gt; 0, IFERROR(VALUE($H305),0)=0),
        AND(MAX(0, MIN($I$1, DATE(Initialisatie!$C$5,12,31)) - MAX($I$2, DATE(Initialisatie!$C$5,1,1)) + 1) &gt; 0, IFERROR(VALUE($I305),0)=0),
        AND(MAX(0, MIN($J$1, DATE(Initialisatie!$C$5,12,31)) - MAX($J$2, DATE(Initialisatie!$C$5,1,1)) + 1) &gt; 0, IFERROR(VALUE($J305),0)=0)
    ),
    0,
    SUM(
        IFERROR(VALUE($E305),0) * MAX(0, MIN($E$1, DATE(Initialisatie!$C$5,12,31)) - MAX($E$2, DATE(Initialisatie!$C$5,1,1)) + 1),
        IFERROR(VALUE($F305),0) * MAX(0, MIN($F$1, DATE(Initialisatie!$C$5,12,31)) - MAX($F$2, DATE(Initialisatie!$C$5,1,1)) + 1),
        IFERROR(VALUE($G305),0) * MAX(0, MIN($G$1, DATE(Initialisatie!$C$5,12,31)) - MAX($G$2, DATE(Initialisatie!$C$5,1,1)) + 1),
        IFERROR(VALUE($H305),0) * MAX(0, MIN($H$1, DATE(Initialisatie!$C$5,12,31)) - MAX($H$2, DATE(Initialisatie!$C$5,1,1)) + 1),
        IFERROR(VALUE($I305),0) * MAX(0, MIN($I$1, DATE(Initialisatie!$C$5,12,31)) - MAX($I$2, DATE(Initialisatie!$C$5,1,1)) + 1),
        IFERROR(VALUE($J305),0) * MAX(0, MIN($J$1, DATE(Initialisatie!$C$5,12,31)) - MAX($J$2, DATE(Initialisatie!$C$5,1,1)) + 1)
    ) / (DATE(Initialisatie!$C$5,12,31) - DATE(Initialisatie!$C$5,1,1) + 1)
)</f>
        <v>9651</v>
      </c>
    </row>
    <row r="306" spans="1:12" x14ac:dyDescent="0.45">
      <c r="A306" s="989"/>
      <c r="B306" s="35" t="s">
        <v>539</v>
      </c>
      <c r="C306" s="35" t="s">
        <v>539</v>
      </c>
      <c r="D306" s="35" t="s">
        <v>673</v>
      </c>
      <c r="E306">
        <v>8614</v>
      </c>
      <c r="F306">
        <v>8786</v>
      </c>
      <c r="G306">
        <v>9401</v>
      </c>
      <c r="H306">
        <v>9777</v>
      </c>
      <c r="I306">
        <v>10168</v>
      </c>
      <c r="J306">
        <v>10168</v>
      </c>
      <c r="L306">
        <f>IF(
    OR(
        AND(MAX(0, MIN($E$1, DATE(Initialisatie!$C$5,12,31)) - MAX($E$2, DATE(Initialisatie!$C$5,1,1)) + 1) &gt; 0, IFERROR(VALUE($E306),0)=0),
        AND(MAX(0, MIN($F$1, DATE(Initialisatie!$C$5,12,31)) - MAX($F$2, DATE(Initialisatie!$C$5,1,1)) + 1) &gt; 0, IFERROR(VALUE($F306),0)=0),
        AND(MAX(0, MIN($G$1, DATE(Initialisatie!$C$5,12,31)) - MAX($G$2, DATE(Initialisatie!$C$5,1,1)) + 1) &gt; 0, IFERROR(VALUE($G306),0)=0),
        AND(MAX(0, MIN($H$1, DATE(Initialisatie!$C$5,12,31)) - MAX($H$2, DATE(Initialisatie!$C$5,1,1)) + 1) &gt; 0, IFERROR(VALUE($H306),0)=0),
        AND(MAX(0, MIN($I$1, DATE(Initialisatie!$C$5,12,31)) - MAX($I$2, DATE(Initialisatie!$C$5,1,1)) + 1) &gt; 0, IFERROR(VALUE($I306),0)=0),
        AND(MAX(0, MIN($J$1, DATE(Initialisatie!$C$5,12,31)) - MAX($J$2, DATE(Initialisatie!$C$5,1,1)) + 1) &gt; 0, IFERROR(VALUE($J306),0)=0)
    ),
    0,
    SUM(
        IFERROR(VALUE($E306),0) * MAX(0, MIN($E$1, DATE(Initialisatie!$C$5,12,31)) - MAX($E$2, DATE(Initialisatie!$C$5,1,1)) + 1),
        IFERROR(VALUE($F306),0) * MAX(0, MIN($F$1, DATE(Initialisatie!$C$5,12,31)) - MAX($F$2, DATE(Initialisatie!$C$5,1,1)) + 1),
        IFERROR(VALUE($G306),0) * MAX(0, MIN($G$1, DATE(Initialisatie!$C$5,12,31)) - MAX($G$2, DATE(Initialisatie!$C$5,1,1)) + 1),
        IFERROR(VALUE($H306),0) * MAX(0, MIN($H$1, DATE(Initialisatie!$C$5,12,31)) - MAX($H$2, DATE(Initialisatie!$C$5,1,1)) + 1),
        IFERROR(VALUE($I306),0) * MAX(0, MIN($I$1, DATE(Initialisatie!$C$5,12,31)) - MAX($I$2, DATE(Initialisatie!$C$5,1,1)) + 1),
        IFERROR(VALUE($J306),0) * MAX(0, MIN($J$1, DATE(Initialisatie!$C$5,12,31)) - MAX($J$2, DATE(Initialisatie!$C$5,1,1)) + 1)
    ) / (DATE(Initialisatie!$C$5,12,31) - DATE(Initialisatie!$C$5,1,1) + 1)
)</f>
        <v>10168</v>
      </c>
    </row>
    <row r="307" spans="1:12" x14ac:dyDescent="0.45">
      <c r="A307" s="989"/>
      <c r="B307" s="35" t="s">
        <v>541</v>
      </c>
      <c r="C307" s="35" t="s">
        <v>541</v>
      </c>
      <c r="D307" s="35" t="s">
        <v>674</v>
      </c>
      <c r="E307">
        <v>9077</v>
      </c>
      <c r="F307">
        <v>9259</v>
      </c>
      <c r="G307">
        <v>9907</v>
      </c>
      <c r="H307">
        <v>10303</v>
      </c>
      <c r="I307">
        <v>10715</v>
      </c>
      <c r="J307">
        <v>10715</v>
      </c>
      <c r="L307">
        <f>IF(
    OR(
        AND(MAX(0, MIN($E$1, DATE(Initialisatie!$C$5,12,31)) - MAX($E$2, DATE(Initialisatie!$C$5,1,1)) + 1) &gt; 0, IFERROR(VALUE($E307),0)=0),
        AND(MAX(0, MIN($F$1, DATE(Initialisatie!$C$5,12,31)) - MAX($F$2, DATE(Initialisatie!$C$5,1,1)) + 1) &gt; 0, IFERROR(VALUE($F307),0)=0),
        AND(MAX(0, MIN($G$1, DATE(Initialisatie!$C$5,12,31)) - MAX($G$2, DATE(Initialisatie!$C$5,1,1)) + 1) &gt; 0, IFERROR(VALUE($G307),0)=0),
        AND(MAX(0, MIN($H$1, DATE(Initialisatie!$C$5,12,31)) - MAX($H$2, DATE(Initialisatie!$C$5,1,1)) + 1) &gt; 0, IFERROR(VALUE($H307),0)=0),
        AND(MAX(0, MIN($I$1, DATE(Initialisatie!$C$5,12,31)) - MAX($I$2, DATE(Initialisatie!$C$5,1,1)) + 1) &gt; 0, IFERROR(VALUE($I307),0)=0),
        AND(MAX(0, MIN($J$1, DATE(Initialisatie!$C$5,12,31)) - MAX($J$2, DATE(Initialisatie!$C$5,1,1)) + 1) &gt; 0, IFERROR(VALUE($J307),0)=0)
    ),
    0,
    SUM(
        IFERROR(VALUE($E307),0) * MAX(0, MIN($E$1, DATE(Initialisatie!$C$5,12,31)) - MAX($E$2, DATE(Initialisatie!$C$5,1,1)) + 1),
        IFERROR(VALUE($F307),0) * MAX(0, MIN($F$1, DATE(Initialisatie!$C$5,12,31)) - MAX($F$2, DATE(Initialisatie!$C$5,1,1)) + 1),
        IFERROR(VALUE($G307),0) * MAX(0, MIN($G$1, DATE(Initialisatie!$C$5,12,31)) - MAX($G$2, DATE(Initialisatie!$C$5,1,1)) + 1),
        IFERROR(VALUE($H307),0) * MAX(0, MIN($H$1, DATE(Initialisatie!$C$5,12,31)) - MAX($H$2, DATE(Initialisatie!$C$5,1,1)) + 1),
        IFERROR(VALUE($I307),0) * MAX(0, MIN($I$1, DATE(Initialisatie!$C$5,12,31)) - MAX($I$2, DATE(Initialisatie!$C$5,1,1)) + 1),
        IFERROR(VALUE($J307),0) * MAX(0, MIN($J$1, DATE(Initialisatie!$C$5,12,31)) - MAX($J$2, DATE(Initialisatie!$C$5,1,1)) + 1)
    ) / (DATE(Initialisatie!$C$5,12,31) - DATE(Initialisatie!$C$5,1,1) + 1)
)</f>
        <v>10715</v>
      </c>
    </row>
    <row r="308" spans="1:12" x14ac:dyDescent="0.45">
      <c r="A308" s="990"/>
      <c r="B308" s="35" t="s">
        <v>543</v>
      </c>
      <c r="C308" s="35" t="s">
        <v>543</v>
      </c>
      <c r="D308" s="35" t="s">
        <v>675</v>
      </c>
      <c r="E308">
        <v>9568</v>
      </c>
      <c r="F308">
        <v>9759</v>
      </c>
      <c r="G308">
        <v>10442</v>
      </c>
      <c r="H308">
        <v>10860</v>
      </c>
      <c r="I308">
        <v>11294</v>
      </c>
      <c r="J308">
        <v>11294</v>
      </c>
      <c r="L308">
        <f>IF(
    OR(
        AND(MAX(0, MIN($E$1, DATE(Initialisatie!$C$5,12,31)) - MAX($E$2, DATE(Initialisatie!$C$5,1,1)) + 1) &gt; 0, IFERROR(VALUE($E308),0)=0),
        AND(MAX(0, MIN($F$1, DATE(Initialisatie!$C$5,12,31)) - MAX($F$2, DATE(Initialisatie!$C$5,1,1)) + 1) &gt; 0, IFERROR(VALUE($F308),0)=0),
        AND(MAX(0, MIN($G$1, DATE(Initialisatie!$C$5,12,31)) - MAX($G$2, DATE(Initialisatie!$C$5,1,1)) + 1) &gt; 0, IFERROR(VALUE($G308),0)=0),
        AND(MAX(0, MIN($H$1, DATE(Initialisatie!$C$5,12,31)) - MAX($H$2, DATE(Initialisatie!$C$5,1,1)) + 1) &gt; 0, IFERROR(VALUE($H308),0)=0),
        AND(MAX(0, MIN($I$1, DATE(Initialisatie!$C$5,12,31)) - MAX($I$2, DATE(Initialisatie!$C$5,1,1)) + 1) &gt; 0, IFERROR(VALUE($I308),0)=0),
        AND(MAX(0, MIN($J$1, DATE(Initialisatie!$C$5,12,31)) - MAX($J$2, DATE(Initialisatie!$C$5,1,1)) + 1) &gt; 0, IFERROR(VALUE($J308),0)=0)
    ),
    0,
    SUM(
        IFERROR(VALUE($E308),0) * MAX(0, MIN($E$1, DATE(Initialisatie!$C$5,12,31)) - MAX($E$2, DATE(Initialisatie!$C$5,1,1)) + 1),
        IFERROR(VALUE($F308),0) * MAX(0, MIN($F$1, DATE(Initialisatie!$C$5,12,31)) - MAX($F$2, DATE(Initialisatie!$C$5,1,1)) + 1),
        IFERROR(VALUE($G308),0) * MAX(0, MIN($G$1, DATE(Initialisatie!$C$5,12,31)) - MAX($G$2, DATE(Initialisatie!$C$5,1,1)) + 1),
        IFERROR(VALUE($H308),0) * MAX(0, MIN($H$1, DATE(Initialisatie!$C$5,12,31)) - MAX($H$2, DATE(Initialisatie!$C$5,1,1)) + 1),
        IFERROR(VALUE($I308),0) * MAX(0, MIN($I$1, DATE(Initialisatie!$C$5,12,31)) - MAX($I$2, DATE(Initialisatie!$C$5,1,1)) + 1),
        IFERROR(VALUE($J308),0) * MAX(0, MIN($J$1, DATE(Initialisatie!$C$5,12,31)) - MAX($J$2, DATE(Initialisatie!$C$5,1,1)) + 1)
    ) / (DATE(Initialisatie!$C$5,12,31) - DATE(Initialisatie!$C$5,1,1) + 1)
)</f>
        <v>11294</v>
      </c>
    </row>
    <row r="309" spans="1:12" x14ac:dyDescent="0.45">
      <c r="A309" s="988">
        <v>15</v>
      </c>
      <c r="B309" s="35" t="s">
        <v>517</v>
      </c>
      <c r="C309" s="35" t="s">
        <v>517</v>
      </c>
      <c r="D309" s="35" t="s">
        <v>676</v>
      </c>
      <c r="E309">
        <v>4758</v>
      </c>
      <c r="F309">
        <v>4853</v>
      </c>
      <c r="G309">
        <v>5193</v>
      </c>
      <c r="H309">
        <v>5401</v>
      </c>
      <c r="I309">
        <v>5617</v>
      </c>
      <c r="J309">
        <v>5617</v>
      </c>
      <c r="L309">
        <f>IF(
    OR(
        AND(MAX(0, MIN($E$1, DATE(Initialisatie!$C$5,12,31)) - MAX($E$2, DATE(Initialisatie!$C$5,1,1)) + 1) &gt; 0, IFERROR(VALUE($E309),0)=0),
        AND(MAX(0, MIN($F$1, DATE(Initialisatie!$C$5,12,31)) - MAX($F$2, DATE(Initialisatie!$C$5,1,1)) + 1) &gt; 0, IFERROR(VALUE($F309),0)=0),
        AND(MAX(0, MIN($G$1, DATE(Initialisatie!$C$5,12,31)) - MAX($G$2, DATE(Initialisatie!$C$5,1,1)) + 1) &gt; 0, IFERROR(VALUE($G309),0)=0),
        AND(MAX(0, MIN($H$1, DATE(Initialisatie!$C$5,12,31)) - MAX($H$2, DATE(Initialisatie!$C$5,1,1)) + 1) &gt; 0, IFERROR(VALUE($H309),0)=0),
        AND(MAX(0, MIN($I$1, DATE(Initialisatie!$C$5,12,31)) - MAX($I$2, DATE(Initialisatie!$C$5,1,1)) + 1) &gt; 0, IFERROR(VALUE($I309),0)=0),
        AND(MAX(0, MIN($J$1, DATE(Initialisatie!$C$5,12,31)) - MAX($J$2, DATE(Initialisatie!$C$5,1,1)) + 1) &gt; 0, IFERROR(VALUE($J309),0)=0)
    ),
    0,
    SUM(
        IFERROR(VALUE($E309),0) * MAX(0, MIN($E$1, DATE(Initialisatie!$C$5,12,31)) - MAX($E$2, DATE(Initialisatie!$C$5,1,1)) + 1),
        IFERROR(VALUE($F309),0) * MAX(0, MIN($F$1, DATE(Initialisatie!$C$5,12,31)) - MAX($F$2, DATE(Initialisatie!$C$5,1,1)) + 1),
        IFERROR(VALUE($G309),0) * MAX(0, MIN($G$1, DATE(Initialisatie!$C$5,12,31)) - MAX($G$2, DATE(Initialisatie!$C$5,1,1)) + 1),
        IFERROR(VALUE($H309),0) * MAX(0, MIN($H$1, DATE(Initialisatie!$C$5,12,31)) - MAX($H$2, DATE(Initialisatie!$C$5,1,1)) + 1),
        IFERROR(VALUE($I309),0) * MAX(0, MIN($I$1, DATE(Initialisatie!$C$5,12,31)) - MAX($I$2, DATE(Initialisatie!$C$5,1,1)) + 1),
        IFERROR(VALUE($J309),0) * MAX(0, MIN($J$1, DATE(Initialisatie!$C$5,12,31)) - MAX($J$2, DATE(Initialisatie!$C$5,1,1)) + 1)
    ) / (DATE(Initialisatie!$C$5,12,31) - DATE(Initialisatie!$C$5,1,1) + 1)
)</f>
        <v>5617</v>
      </c>
    </row>
    <row r="310" spans="1:12" x14ac:dyDescent="0.45">
      <c r="A310" s="989"/>
      <c r="B310" s="35">
        <v>0</v>
      </c>
      <c r="C310" s="35">
        <v>0</v>
      </c>
      <c r="D310" s="35" t="s">
        <v>112</v>
      </c>
      <c r="E310">
        <v>4830</v>
      </c>
      <c r="F310">
        <v>4927</v>
      </c>
      <c r="G310">
        <v>5272</v>
      </c>
      <c r="H310">
        <v>5483</v>
      </c>
      <c r="I310">
        <v>5702</v>
      </c>
      <c r="J310">
        <v>5702</v>
      </c>
      <c r="L310">
        <f>IF(
    OR(
        AND(MAX(0, MIN($E$1, DATE(Initialisatie!$C$5,12,31)) - MAX($E$2, DATE(Initialisatie!$C$5,1,1)) + 1) &gt; 0, IFERROR(VALUE($E310),0)=0),
        AND(MAX(0, MIN($F$1, DATE(Initialisatie!$C$5,12,31)) - MAX($F$2, DATE(Initialisatie!$C$5,1,1)) + 1) &gt; 0, IFERROR(VALUE($F310),0)=0),
        AND(MAX(0, MIN($G$1, DATE(Initialisatie!$C$5,12,31)) - MAX($G$2, DATE(Initialisatie!$C$5,1,1)) + 1) &gt; 0, IFERROR(VALUE($G310),0)=0),
        AND(MAX(0, MIN($H$1, DATE(Initialisatie!$C$5,12,31)) - MAX($H$2, DATE(Initialisatie!$C$5,1,1)) + 1) &gt; 0, IFERROR(VALUE($H310),0)=0),
        AND(MAX(0, MIN($I$1, DATE(Initialisatie!$C$5,12,31)) - MAX($I$2, DATE(Initialisatie!$C$5,1,1)) + 1) &gt; 0, IFERROR(VALUE($I310),0)=0),
        AND(MAX(0, MIN($J$1, DATE(Initialisatie!$C$5,12,31)) - MAX($J$2, DATE(Initialisatie!$C$5,1,1)) + 1) &gt; 0, IFERROR(VALUE($J310),0)=0)
    ),
    0,
    SUM(
        IFERROR(VALUE($E310),0) * MAX(0, MIN($E$1, DATE(Initialisatie!$C$5,12,31)) - MAX($E$2, DATE(Initialisatie!$C$5,1,1)) + 1),
        IFERROR(VALUE($F310),0) * MAX(0, MIN($F$1, DATE(Initialisatie!$C$5,12,31)) - MAX($F$2, DATE(Initialisatie!$C$5,1,1)) + 1),
        IFERROR(VALUE($G310),0) * MAX(0, MIN($G$1, DATE(Initialisatie!$C$5,12,31)) - MAX($G$2, DATE(Initialisatie!$C$5,1,1)) + 1),
        IFERROR(VALUE($H310),0) * MAX(0, MIN($H$1, DATE(Initialisatie!$C$5,12,31)) - MAX($H$2, DATE(Initialisatie!$C$5,1,1)) + 1),
        IFERROR(VALUE($I310),0) * MAX(0, MIN($I$1, DATE(Initialisatie!$C$5,12,31)) - MAX($I$2, DATE(Initialisatie!$C$5,1,1)) + 1),
        IFERROR(VALUE($J310),0) * MAX(0, MIN($J$1, DATE(Initialisatie!$C$5,12,31)) - MAX($J$2, DATE(Initialisatie!$C$5,1,1)) + 1)
    ) / (DATE(Initialisatie!$C$5,12,31) - DATE(Initialisatie!$C$5,1,1) + 1)
)</f>
        <v>5702</v>
      </c>
    </row>
    <row r="311" spans="1:12" x14ac:dyDescent="0.45">
      <c r="A311" s="989"/>
      <c r="B311" s="35">
        <v>1</v>
      </c>
      <c r="C311" s="35">
        <v>1</v>
      </c>
      <c r="D311" s="35" t="s">
        <v>110</v>
      </c>
      <c r="E311">
        <v>5003</v>
      </c>
      <c r="F311">
        <v>5103</v>
      </c>
      <c r="G311">
        <v>5460</v>
      </c>
      <c r="H311">
        <v>5678</v>
      </c>
      <c r="I311">
        <v>5905</v>
      </c>
      <c r="J311">
        <v>5905</v>
      </c>
      <c r="L311">
        <f>IF(
    OR(
        AND(MAX(0, MIN($E$1, DATE(Initialisatie!$C$5,12,31)) - MAX($E$2, DATE(Initialisatie!$C$5,1,1)) + 1) &gt; 0, IFERROR(VALUE($E311),0)=0),
        AND(MAX(0, MIN($F$1, DATE(Initialisatie!$C$5,12,31)) - MAX($F$2, DATE(Initialisatie!$C$5,1,1)) + 1) &gt; 0, IFERROR(VALUE($F311),0)=0),
        AND(MAX(0, MIN($G$1, DATE(Initialisatie!$C$5,12,31)) - MAX($G$2, DATE(Initialisatie!$C$5,1,1)) + 1) &gt; 0, IFERROR(VALUE($G311),0)=0),
        AND(MAX(0, MIN($H$1, DATE(Initialisatie!$C$5,12,31)) - MAX($H$2, DATE(Initialisatie!$C$5,1,1)) + 1) &gt; 0, IFERROR(VALUE($H311),0)=0),
        AND(MAX(0, MIN($I$1, DATE(Initialisatie!$C$5,12,31)) - MAX($I$2, DATE(Initialisatie!$C$5,1,1)) + 1) &gt; 0, IFERROR(VALUE($I311),0)=0),
        AND(MAX(0, MIN($J$1, DATE(Initialisatie!$C$5,12,31)) - MAX($J$2, DATE(Initialisatie!$C$5,1,1)) + 1) &gt; 0, IFERROR(VALUE($J311),0)=0)
    ),
    0,
    SUM(
        IFERROR(VALUE($E311),0) * MAX(0, MIN($E$1, DATE(Initialisatie!$C$5,12,31)) - MAX($E$2, DATE(Initialisatie!$C$5,1,1)) + 1),
        IFERROR(VALUE($F311),0) * MAX(0, MIN($F$1, DATE(Initialisatie!$C$5,12,31)) - MAX($F$2, DATE(Initialisatie!$C$5,1,1)) + 1),
        IFERROR(VALUE($G311),0) * MAX(0, MIN($G$1, DATE(Initialisatie!$C$5,12,31)) - MAX($G$2, DATE(Initialisatie!$C$5,1,1)) + 1),
        IFERROR(VALUE($H311),0) * MAX(0, MIN($H$1, DATE(Initialisatie!$C$5,12,31)) - MAX($H$2, DATE(Initialisatie!$C$5,1,1)) + 1),
        IFERROR(VALUE($I311),0) * MAX(0, MIN($I$1, DATE(Initialisatie!$C$5,12,31)) - MAX($I$2, DATE(Initialisatie!$C$5,1,1)) + 1),
        IFERROR(VALUE($J311),0) * MAX(0, MIN($J$1, DATE(Initialisatie!$C$5,12,31)) - MAX($J$2, DATE(Initialisatie!$C$5,1,1)) + 1)
    ) / (DATE(Initialisatie!$C$5,12,31) - DATE(Initialisatie!$C$5,1,1) + 1)
)</f>
        <v>5905</v>
      </c>
    </row>
    <row r="312" spans="1:12" x14ac:dyDescent="0.45">
      <c r="A312" s="989"/>
      <c r="B312" s="35">
        <v>2</v>
      </c>
      <c r="C312" s="35">
        <v>2</v>
      </c>
      <c r="D312" s="35" t="s">
        <v>100</v>
      </c>
      <c r="E312">
        <v>5174</v>
      </c>
      <c r="F312">
        <v>5277</v>
      </c>
      <c r="G312">
        <v>5646</v>
      </c>
      <c r="H312">
        <v>5872</v>
      </c>
      <c r="I312">
        <v>6107</v>
      </c>
      <c r="J312">
        <v>6107</v>
      </c>
      <c r="L312">
        <f>IF(
    OR(
        AND(MAX(0, MIN($E$1, DATE(Initialisatie!$C$5,12,31)) - MAX($E$2, DATE(Initialisatie!$C$5,1,1)) + 1) &gt; 0, IFERROR(VALUE($E312),0)=0),
        AND(MAX(0, MIN($F$1, DATE(Initialisatie!$C$5,12,31)) - MAX($F$2, DATE(Initialisatie!$C$5,1,1)) + 1) &gt; 0, IFERROR(VALUE($F312),0)=0),
        AND(MAX(0, MIN($G$1, DATE(Initialisatie!$C$5,12,31)) - MAX($G$2, DATE(Initialisatie!$C$5,1,1)) + 1) &gt; 0, IFERROR(VALUE($G312),0)=0),
        AND(MAX(0, MIN($H$1, DATE(Initialisatie!$C$5,12,31)) - MAX($H$2, DATE(Initialisatie!$C$5,1,1)) + 1) &gt; 0, IFERROR(VALUE($H312),0)=0),
        AND(MAX(0, MIN($I$1, DATE(Initialisatie!$C$5,12,31)) - MAX($I$2, DATE(Initialisatie!$C$5,1,1)) + 1) &gt; 0, IFERROR(VALUE($I312),0)=0),
        AND(MAX(0, MIN($J$1, DATE(Initialisatie!$C$5,12,31)) - MAX($J$2, DATE(Initialisatie!$C$5,1,1)) + 1) &gt; 0, IFERROR(VALUE($J312),0)=0)
    ),
    0,
    SUM(
        IFERROR(VALUE($E312),0) * MAX(0, MIN($E$1, DATE(Initialisatie!$C$5,12,31)) - MAX($E$2, DATE(Initialisatie!$C$5,1,1)) + 1),
        IFERROR(VALUE($F312),0) * MAX(0, MIN($F$1, DATE(Initialisatie!$C$5,12,31)) - MAX($F$2, DATE(Initialisatie!$C$5,1,1)) + 1),
        IFERROR(VALUE($G312),0) * MAX(0, MIN($G$1, DATE(Initialisatie!$C$5,12,31)) - MAX($G$2, DATE(Initialisatie!$C$5,1,1)) + 1),
        IFERROR(VALUE($H312),0) * MAX(0, MIN($H$1, DATE(Initialisatie!$C$5,12,31)) - MAX($H$2, DATE(Initialisatie!$C$5,1,1)) + 1),
        IFERROR(VALUE($I312),0) * MAX(0, MIN($I$1, DATE(Initialisatie!$C$5,12,31)) - MAX($I$2, DATE(Initialisatie!$C$5,1,1)) + 1),
        IFERROR(VALUE($J312),0) * MAX(0, MIN($J$1, DATE(Initialisatie!$C$5,12,31)) - MAX($J$2, DATE(Initialisatie!$C$5,1,1)) + 1)
    ) / (DATE(Initialisatie!$C$5,12,31) - DATE(Initialisatie!$C$5,1,1) + 1)
)</f>
        <v>6107</v>
      </c>
    </row>
    <row r="313" spans="1:12" x14ac:dyDescent="0.45">
      <c r="A313" s="989"/>
      <c r="B313" s="35">
        <v>3</v>
      </c>
      <c r="C313" s="35">
        <v>3</v>
      </c>
      <c r="D313" s="35" t="s">
        <v>98</v>
      </c>
      <c r="E313">
        <v>5356</v>
      </c>
      <c r="F313">
        <v>5463</v>
      </c>
      <c r="G313">
        <v>5845</v>
      </c>
      <c r="H313">
        <v>6079</v>
      </c>
      <c r="I313">
        <v>6322</v>
      </c>
      <c r="J313">
        <v>6322</v>
      </c>
      <c r="L313">
        <f>IF(
    OR(
        AND(MAX(0, MIN($E$1, DATE(Initialisatie!$C$5,12,31)) - MAX($E$2, DATE(Initialisatie!$C$5,1,1)) + 1) &gt; 0, IFERROR(VALUE($E313),0)=0),
        AND(MAX(0, MIN($F$1, DATE(Initialisatie!$C$5,12,31)) - MAX($F$2, DATE(Initialisatie!$C$5,1,1)) + 1) &gt; 0, IFERROR(VALUE($F313),0)=0),
        AND(MAX(0, MIN($G$1, DATE(Initialisatie!$C$5,12,31)) - MAX($G$2, DATE(Initialisatie!$C$5,1,1)) + 1) &gt; 0, IFERROR(VALUE($G313),0)=0),
        AND(MAX(0, MIN($H$1, DATE(Initialisatie!$C$5,12,31)) - MAX($H$2, DATE(Initialisatie!$C$5,1,1)) + 1) &gt; 0, IFERROR(VALUE($H313),0)=0),
        AND(MAX(0, MIN($I$1, DATE(Initialisatie!$C$5,12,31)) - MAX($I$2, DATE(Initialisatie!$C$5,1,1)) + 1) &gt; 0, IFERROR(VALUE($I313),0)=0),
        AND(MAX(0, MIN($J$1, DATE(Initialisatie!$C$5,12,31)) - MAX($J$2, DATE(Initialisatie!$C$5,1,1)) + 1) &gt; 0, IFERROR(VALUE($J313),0)=0)
    ),
    0,
    SUM(
        IFERROR(VALUE($E313),0) * MAX(0, MIN($E$1, DATE(Initialisatie!$C$5,12,31)) - MAX($E$2, DATE(Initialisatie!$C$5,1,1)) + 1),
        IFERROR(VALUE($F313),0) * MAX(0, MIN($F$1, DATE(Initialisatie!$C$5,12,31)) - MAX($F$2, DATE(Initialisatie!$C$5,1,1)) + 1),
        IFERROR(VALUE($G313),0) * MAX(0, MIN($G$1, DATE(Initialisatie!$C$5,12,31)) - MAX($G$2, DATE(Initialisatie!$C$5,1,1)) + 1),
        IFERROR(VALUE($H313),0) * MAX(0, MIN($H$1, DATE(Initialisatie!$C$5,12,31)) - MAX($H$2, DATE(Initialisatie!$C$5,1,1)) + 1),
        IFERROR(VALUE($I313),0) * MAX(0, MIN($I$1, DATE(Initialisatie!$C$5,12,31)) - MAX($I$2, DATE(Initialisatie!$C$5,1,1)) + 1),
        IFERROR(VALUE($J313),0) * MAX(0, MIN($J$1, DATE(Initialisatie!$C$5,12,31)) - MAX($J$2, DATE(Initialisatie!$C$5,1,1)) + 1)
    ) / (DATE(Initialisatie!$C$5,12,31) - DATE(Initialisatie!$C$5,1,1) + 1)
)</f>
        <v>6322</v>
      </c>
    </row>
    <row r="314" spans="1:12" x14ac:dyDescent="0.45">
      <c r="A314" s="989"/>
      <c r="B314" s="35">
        <v>4</v>
      </c>
      <c r="C314" s="35">
        <v>4</v>
      </c>
      <c r="D314" s="35" t="s">
        <v>96</v>
      </c>
      <c r="E314">
        <v>5548</v>
      </c>
      <c r="F314">
        <v>5659</v>
      </c>
      <c r="G314">
        <v>6055</v>
      </c>
      <c r="H314">
        <v>6297</v>
      </c>
      <c r="I314">
        <v>6549</v>
      </c>
      <c r="J314">
        <v>6549</v>
      </c>
      <c r="L314">
        <f>IF(
    OR(
        AND(MAX(0, MIN($E$1, DATE(Initialisatie!$C$5,12,31)) - MAX($E$2, DATE(Initialisatie!$C$5,1,1)) + 1) &gt; 0, IFERROR(VALUE($E314),0)=0),
        AND(MAX(0, MIN($F$1, DATE(Initialisatie!$C$5,12,31)) - MAX($F$2, DATE(Initialisatie!$C$5,1,1)) + 1) &gt; 0, IFERROR(VALUE($F314),0)=0),
        AND(MAX(0, MIN($G$1, DATE(Initialisatie!$C$5,12,31)) - MAX($G$2, DATE(Initialisatie!$C$5,1,1)) + 1) &gt; 0, IFERROR(VALUE($G314),0)=0),
        AND(MAX(0, MIN($H$1, DATE(Initialisatie!$C$5,12,31)) - MAX($H$2, DATE(Initialisatie!$C$5,1,1)) + 1) &gt; 0, IFERROR(VALUE($H314),0)=0),
        AND(MAX(0, MIN($I$1, DATE(Initialisatie!$C$5,12,31)) - MAX($I$2, DATE(Initialisatie!$C$5,1,1)) + 1) &gt; 0, IFERROR(VALUE($I314),0)=0),
        AND(MAX(0, MIN($J$1, DATE(Initialisatie!$C$5,12,31)) - MAX($J$2, DATE(Initialisatie!$C$5,1,1)) + 1) &gt; 0, IFERROR(VALUE($J314),0)=0)
    ),
    0,
    SUM(
        IFERROR(VALUE($E314),0) * MAX(0, MIN($E$1, DATE(Initialisatie!$C$5,12,31)) - MAX($E$2, DATE(Initialisatie!$C$5,1,1)) + 1),
        IFERROR(VALUE($F314),0) * MAX(0, MIN($F$1, DATE(Initialisatie!$C$5,12,31)) - MAX($F$2, DATE(Initialisatie!$C$5,1,1)) + 1),
        IFERROR(VALUE($G314),0) * MAX(0, MIN($G$1, DATE(Initialisatie!$C$5,12,31)) - MAX($G$2, DATE(Initialisatie!$C$5,1,1)) + 1),
        IFERROR(VALUE($H314),0) * MAX(0, MIN($H$1, DATE(Initialisatie!$C$5,12,31)) - MAX($H$2, DATE(Initialisatie!$C$5,1,1)) + 1),
        IFERROR(VALUE($I314),0) * MAX(0, MIN($I$1, DATE(Initialisatie!$C$5,12,31)) - MAX($I$2, DATE(Initialisatie!$C$5,1,1)) + 1),
        IFERROR(VALUE($J314),0) * MAX(0, MIN($J$1, DATE(Initialisatie!$C$5,12,31)) - MAX($J$2, DATE(Initialisatie!$C$5,1,1)) + 1)
    ) / (DATE(Initialisatie!$C$5,12,31) - DATE(Initialisatie!$C$5,1,1) + 1)
)</f>
        <v>6549</v>
      </c>
    </row>
    <row r="315" spans="1:12" x14ac:dyDescent="0.45">
      <c r="A315" s="989"/>
      <c r="B315" s="35">
        <v>5</v>
      </c>
      <c r="C315" s="35">
        <v>5</v>
      </c>
      <c r="D315" s="35" t="s">
        <v>94</v>
      </c>
      <c r="E315">
        <v>5743</v>
      </c>
      <c r="F315">
        <v>5858</v>
      </c>
      <c r="G315">
        <v>6268</v>
      </c>
      <c r="H315">
        <v>6519</v>
      </c>
      <c r="I315">
        <v>6780</v>
      </c>
      <c r="J315">
        <v>6780</v>
      </c>
      <c r="L315">
        <f>IF(
    OR(
        AND(MAX(0, MIN($E$1, DATE(Initialisatie!$C$5,12,31)) - MAX($E$2, DATE(Initialisatie!$C$5,1,1)) + 1) &gt; 0, IFERROR(VALUE($E315),0)=0),
        AND(MAX(0, MIN($F$1, DATE(Initialisatie!$C$5,12,31)) - MAX($F$2, DATE(Initialisatie!$C$5,1,1)) + 1) &gt; 0, IFERROR(VALUE($F315),0)=0),
        AND(MAX(0, MIN($G$1, DATE(Initialisatie!$C$5,12,31)) - MAX($G$2, DATE(Initialisatie!$C$5,1,1)) + 1) &gt; 0, IFERROR(VALUE($G315),0)=0),
        AND(MAX(0, MIN($H$1, DATE(Initialisatie!$C$5,12,31)) - MAX($H$2, DATE(Initialisatie!$C$5,1,1)) + 1) &gt; 0, IFERROR(VALUE($H315),0)=0),
        AND(MAX(0, MIN($I$1, DATE(Initialisatie!$C$5,12,31)) - MAX($I$2, DATE(Initialisatie!$C$5,1,1)) + 1) &gt; 0, IFERROR(VALUE($I315),0)=0),
        AND(MAX(0, MIN($J$1, DATE(Initialisatie!$C$5,12,31)) - MAX($J$2, DATE(Initialisatie!$C$5,1,1)) + 1) &gt; 0, IFERROR(VALUE($J315),0)=0)
    ),
    0,
    SUM(
        IFERROR(VALUE($E315),0) * MAX(0, MIN($E$1, DATE(Initialisatie!$C$5,12,31)) - MAX($E$2, DATE(Initialisatie!$C$5,1,1)) + 1),
        IFERROR(VALUE($F315),0) * MAX(0, MIN($F$1, DATE(Initialisatie!$C$5,12,31)) - MAX($F$2, DATE(Initialisatie!$C$5,1,1)) + 1),
        IFERROR(VALUE($G315),0) * MAX(0, MIN($G$1, DATE(Initialisatie!$C$5,12,31)) - MAX($G$2, DATE(Initialisatie!$C$5,1,1)) + 1),
        IFERROR(VALUE($H315),0) * MAX(0, MIN($H$1, DATE(Initialisatie!$C$5,12,31)) - MAX($H$2, DATE(Initialisatie!$C$5,1,1)) + 1),
        IFERROR(VALUE($I315),0) * MAX(0, MIN($I$1, DATE(Initialisatie!$C$5,12,31)) - MAX($I$2, DATE(Initialisatie!$C$5,1,1)) + 1),
        IFERROR(VALUE($J315),0) * MAX(0, MIN($J$1, DATE(Initialisatie!$C$5,12,31)) - MAX($J$2, DATE(Initialisatie!$C$5,1,1)) + 1)
    ) / (DATE(Initialisatie!$C$5,12,31) - DATE(Initialisatie!$C$5,1,1) + 1)
)</f>
        <v>6780</v>
      </c>
    </row>
    <row r="316" spans="1:12" x14ac:dyDescent="0.45">
      <c r="A316" s="989"/>
      <c r="B316" s="35">
        <v>6</v>
      </c>
      <c r="C316" s="35">
        <v>6</v>
      </c>
      <c r="D316" s="35" t="s">
        <v>92</v>
      </c>
      <c r="E316">
        <v>5946</v>
      </c>
      <c r="F316">
        <v>6065</v>
      </c>
      <c r="G316">
        <v>6490</v>
      </c>
      <c r="H316">
        <v>6750</v>
      </c>
      <c r="I316">
        <v>7020</v>
      </c>
      <c r="J316">
        <v>7020</v>
      </c>
      <c r="L316">
        <f>IF(
    OR(
        AND(MAX(0, MIN($E$1, DATE(Initialisatie!$C$5,12,31)) - MAX($E$2, DATE(Initialisatie!$C$5,1,1)) + 1) &gt; 0, IFERROR(VALUE($E316),0)=0),
        AND(MAX(0, MIN($F$1, DATE(Initialisatie!$C$5,12,31)) - MAX($F$2, DATE(Initialisatie!$C$5,1,1)) + 1) &gt; 0, IFERROR(VALUE($F316),0)=0),
        AND(MAX(0, MIN($G$1, DATE(Initialisatie!$C$5,12,31)) - MAX($G$2, DATE(Initialisatie!$C$5,1,1)) + 1) &gt; 0, IFERROR(VALUE($G316),0)=0),
        AND(MAX(0, MIN($H$1, DATE(Initialisatie!$C$5,12,31)) - MAX($H$2, DATE(Initialisatie!$C$5,1,1)) + 1) &gt; 0, IFERROR(VALUE($H316),0)=0),
        AND(MAX(0, MIN($I$1, DATE(Initialisatie!$C$5,12,31)) - MAX($I$2, DATE(Initialisatie!$C$5,1,1)) + 1) &gt; 0, IFERROR(VALUE($I316),0)=0),
        AND(MAX(0, MIN($J$1, DATE(Initialisatie!$C$5,12,31)) - MAX($J$2, DATE(Initialisatie!$C$5,1,1)) + 1) &gt; 0, IFERROR(VALUE($J316),0)=0)
    ),
    0,
    SUM(
        IFERROR(VALUE($E316),0) * MAX(0, MIN($E$1, DATE(Initialisatie!$C$5,12,31)) - MAX($E$2, DATE(Initialisatie!$C$5,1,1)) + 1),
        IFERROR(VALUE($F316),0) * MAX(0, MIN($F$1, DATE(Initialisatie!$C$5,12,31)) - MAX($F$2, DATE(Initialisatie!$C$5,1,1)) + 1),
        IFERROR(VALUE($G316),0) * MAX(0, MIN($G$1, DATE(Initialisatie!$C$5,12,31)) - MAX($G$2, DATE(Initialisatie!$C$5,1,1)) + 1),
        IFERROR(VALUE($H316),0) * MAX(0, MIN($H$1, DATE(Initialisatie!$C$5,12,31)) - MAX($H$2, DATE(Initialisatie!$C$5,1,1)) + 1),
        IFERROR(VALUE($I316),0) * MAX(0, MIN($I$1, DATE(Initialisatie!$C$5,12,31)) - MAX($I$2, DATE(Initialisatie!$C$5,1,1)) + 1),
        IFERROR(VALUE($J316),0) * MAX(0, MIN($J$1, DATE(Initialisatie!$C$5,12,31)) - MAX($J$2, DATE(Initialisatie!$C$5,1,1)) + 1)
    ) / (DATE(Initialisatie!$C$5,12,31) - DATE(Initialisatie!$C$5,1,1) + 1)
)</f>
        <v>7020</v>
      </c>
    </row>
    <row r="317" spans="1:12" x14ac:dyDescent="0.45">
      <c r="A317" s="989"/>
      <c r="B317" s="35">
        <v>7</v>
      </c>
      <c r="C317" s="35">
        <v>7</v>
      </c>
      <c r="D317" s="35" t="s">
        <v>90</v>
      </c>
      <c r="E317">
        <v>6165</v>
      </c>
      <c r="F317">
        <v>6288</v>
      </c>
      <c r="G317">
        <v>6728</v>
      </c>
      <c r="H317">
        <v>6997</v>
      </c>
      <c r="I317">
        <v>7277</v>
      </c>
      <c r="J317">
        <v>7277</v>
      </c>
      <c r="L317">
        <f>IF(
    OR(
        AND(MAX(0, MIN($E$1, DATE(Initialisatie!$C$5,12,31)) - MAX($E$2, DATE(Initialisatie!$C$5,1,1)) + 1) &gt; 0, IFERROR(VALUE($E317),0)=0),
        AND(MAX(0, MIN($F$1, DATE(Initialisatie!$C$5,12,31)) - MAX($F$2, DATE(Initialisatie!$C$5,1,1)) + 1) &gt; 0, IFERROR(VALUE($F317),0)=0),
        AND(MAX(0, MIN($G$1, DATE(Initialisatie!$C$5,12,31)) - MAX($G$2, DATE(Initialisatie!$C$5,1,1)) + 1) &gt; 0, IFERROR(VALUE($G317),0)=0),
        AND(MAX(0, MIN($H$1, DATE(Initialisatie!$C$5,12,31)) - MAX($H$2, DATE(Initialisatie!$C$5,1,1)) + 1) &gt; 0, IFERROR(VALUE($H317),0)=0),
        AND(MAX(0, MIN($I$1, DATE(Initialisatie!$C$5,12,31)) - MAX($I$2, DATE(Initialisatie!$C$5,1,1)) + 1) &gt; 0, IFERROR(VALUE($I317),0)=0),
        AND(MAX(0, MIN($J$1, DATE(Initialisatie!$C$5,12,31)) - MAX($J$2, DATE(Initialisatie!$C$5,1,1)) + 1) &gt; 0, IFERROR(VALUE($J317),0)=0)
    ),
    0,
    SUM(
        IFERROR(VALUE($E317),0) * MAX(0, MIN($E$1, DATE(Initialisatie!$C$5,12,31)) - MAX($E$2, DATE(Initialisatie!$C$5,1,1)) + 1),
        IFERROR(VALUE($F317),0) * MAX(0, MIN($F$1, DATE(Initialisatie!$C$5,12,31)) - MAX($F$2, DATE(Initialisatie!$C$5,1,1)) + 1),
        IFERROR(VALUE($G317),0) * MAX(0, MIN($G$1, DATE(Initialisatie!$C$5,12,31)) - MAX($G$2, DATE(Initialisatie!$C$5,1,1)) + 1),
        IFERROR(VALUE($H317),0) * MAX(0, MIN($H$1, DATE(Initialisatie!$C$5,12,31)) - MAX($H$2, DATE(Initialisatie!$C$5,1,1)) + 1),
        IFERROR(VALUE($I317),0) * MAX(0, MIN($I$1, DATE(Initialisatie!$C$5,12,31)) - MAX($I$2, DATE(Initialisatie!$C$5,1,1)) + 1),
        IFERROR(VALUE($J317),0) * MAX(0, MIN($J$1, DATE(Initialisatie!$C$5,12,31)) - MAX($J$2, DATE(Initialisatie!$C$5,1,1)) + 1)
    ) / (DATE(Initialisatie!$C$5,12,31) - DATE(Initialisatie!$C$5,1,1) + 1)
)</f>
        <v>7277</v>
      </c>
    </row>
    <row r="318" spans="1:12" x14ac:dyDescent="0.45">
      <c r="A318" s="989"/>
      <c r="B318" s="35">
        <v>8</v>
      </c>
      <c r="C318" s="35">
        <v>8</v>
      </c>
      <c r="D318" s="35" t="s">
        <v>88</v>
      </c>
      <c r="E318">
        <v>6391</v>
      </c>
      <c r="F318">
        <v>6519</v>
      </c>
      <c r="G318">
        <v>6975</v>
      </c>
      <c r="H318">
        <v>7254</v>
      </c>
      <c r="I318">
        <v>7544</v>
      </c>
      <c r="J318">
        <v>7544</v>
      </c>
      <c r="L318">
        <f>IF(
    OR(
        AND(MAX(0, MIN($E$1, DATE(Initialisatie!$C$5,12,31)) - MAX($E$2, DATE(Initialisatie!$C$5,1,1)) + 1) &gt; 0, IFERROR(VALUE($E318),0)=0),
        AND(MAX(0, MIN($F$1, DATE(Initialisatie!$C$5,12,31)) - MAX($F$2, DATE(Initialisatie!$C$5,1,1)) + 1) &gt; 0, IFERROR(VALUE($F318),0)=0),
        AND(MAX(0, MIN($G$1, DATE(Initialisatie!$C$5,12,31)) - MAX($G$2, DATE(Initialisatie!$C$5,1,1)) + 1) &gt; 0, IFERROR(VALUE($G318),0)=0),
        AND(MAX(0, MIN($H$1, DATE(Initialisatie!$C$5,12,31)) - MAX($H$2, DATE(Initialisatie!$C$5,1,1)) + 1) &gt; 0, IFERROR(VALUE($H318),0)=0),
        AND(MAX(0, MIN($I$1, DATE(Initialisatie!$C$5,12,31)) - MAX($I$2, DATE(Initialisatie!$C$5,1,1)) + 1) &gt; 0, IFERROR(VALUE($I318),0)=0),
        AND(MAX(0, MIN($J$1, DATE(Initialisatie!$C$5,12,31)) - MAX($J$2, DATE(Initialisatie!$C$5,1,1)) + 1) &gt; 0, IFERROR(VALUE($J318),0)=0)
    ),
    0,
    SUM(
        IFERROR(VALUE($E318),0) * MAX(0, MIN($E$1, DATE(Initialisatie!$C$5,12,31)) - MAX($E$2, DATE(Initialisatie!$C$5,1,1)) + 1),
        IFERROR(VALUE($F318),0) * MAX(0, MIN($F$1, DATE(Initialisatie!$C$5,12,31)) - MAX($F$2, DATE(Initialisatie!$C$5,1,1)) + 1),
        IFERROR(VALUE($G318),0) * MAX(0, MIN($G$1, DATE(Initialisatie!$C$5,12,31)) - MAX($G$2, DATE(Initialisatie!$C$5,1,1)) + 1),
        IFERROR(VALUE($H318),0) * MAX(0, MIN($H$1, DATE(Initialisatie!$C$5,12,31)) - MAX($H$2, DATE(Initialisatie!$C$5,1,1)) + 1),
        IFERROR(VALUE($I318),0) * MAX(0, MIN($I$1, DATE(Initialisatie!$C$5,12,31)) - MAX($I$2, DATE(Initialisatie!$C$5,1,1)) + 1),
        IFERROR(VALUE($J318),0) * MAX(0, MIN($J$1, DATE(Initialisatie!$C$5,12,31)) - MAX($J$2, DATE(Initialisatie!$C$5,1,1)) + 1)
    ) / (DATE(Initialisatie!$C$5,12,31) - DATE(Initialisatie!$C$5,1,1) + 1)
)</f>
        <v>7544</v>
      </c>
    </row>
    <row r="319" spans="1:12" x14ac:dyDescent="0.45">
      <c r="A319" s="989"/>
      <c r="B319" s="35">
        <v>9</v>
      </c>
      <c r="C319" s="35">
        <v>9</v>
      </c>
      <c r="D319" s="35" t="s">
        <v>86</v>
      </c>
      <c r="E319">
        <v>6628</v>
      </c>
      <c r="F319">
        <v>6761</v>
      </c>
      <c r="G319">
        <v>7234</v>
      </c>
      <c r="H319">
        <v>7523</v>
      </c>
      <c r="I319">
        <v>7824</v>
      </c>
      <c r="J319">
        <v>7824</v>
      </c>
      <c r="L319">
        <f>IF(
    OR(
        AND(MAX(0, MIN($E$1, DATE(Initialisatie!$C$5,12,31)) - MAX($E$2, DATE(Initialisatie!$C$5,1,1)) + 1) &gt; 0, IFERROR(VALUE($E319),0)=0),
        AND(MAX(0, MIN($F$1, DATE(Initialisatie!$C$5,12,31)) - MAX($F$2, DATE(Initialisatie!$C$5,1,1)) + 1) &gt; 0, IFERROR(VALUE($F319),0)=0),
        AND(MAX(0, MIN($G$1, DATE(Initialisatie!$C$5,12,31)) - MAX($G$2, DATE(Initialisatie!$C$5,1,1)) + 1) &gt; 0, IFERROR(VALUE($G319),0)=0),
        AND(MAX(0, MIN($H$1, DATE(Initialisatie!$C$5,12,31)) - MAX($H$2, DATE(Initialisatie!$C$5,1,1)) + 1) &gt; 0, IFERROR(VALUE($H319),0)=0),
        AND(MAX(0, MIN($I$1, DATE(Initialisatie!$C$5,12,31)) - MAX($I$2, DATE(Initialisatie!$C$5,1,1)) + 1) &gt; 0, IFERROR(VALUE($I319),0)=0),
        AND(MAX(0, MIN($J$1, DATE(Initialisatie!$C$5,12,31)) - MAX($J$2, DATE(Initialisatie!$C$5,1,1)) + 1) &gt; 0, IFERROR(VALUE($J319),0)=0)
    ),
    0,
    SUM(
        IFERROR(VALUE($E319),0) * MAX(0, MIN($E$1, DATE(Initialisatie!$C$5,12,31)) - MAX($E$2, DATE(Initialisatie!$C$5,1,1)) + 1),
        IFERROR(VALUE($F319),0) * MAX(0, MIN($F$1, DATE(Initialisatie!$C$5,12,31)) - MAX($F$2, DATE(Initialisatie!$C$5,1,1)) + 1),
        IFERROR(VALUE($G319),0) * MAX(0, MIN($G$1, DATE(Initialisatie!$C$5,12,31)) - MAX($G$2, DATE(Initialisatie!$C$5,1,1)) + 1),
        IFERROR(VALUE($H319),0) * MAX(0, MIN($H$1, DATE(Initialisatie!$C$5,12,31)) - MAX($H$2, DATE(Initialisatie!$C$5,1,1)) + 1),
        IFERROR(VALUE($I319),0) * MAX(0, MIN($I$1, DATE(Initialisatie!$C$5,12,31)) - MAX($I$2, DATE(Initialisatie!$C$5,1,1)) + 1),
        IFERROR(VALUE($J319),0) * MAX(0, MIN($J$1, DATE(Initialisatie!$C$5,12,31)) - MAX($J$2, DATE(Initialisatie!$C$5,1,1)) + 1)
    ) / (DATE(Initialisatie!$C$5,12,31) - DATE(Initialisatie!$C$5,1,1) + 1)
)</f>
        <v>7824</v>
      </c>
    </row>
    <row r="320" spans="1:12" x14ac:dyDescent="0.45">
      <c r="A320" s="989"/>
      <c r="B320" s="35">
        <v>10</v>
      </c>
      <c r="C320" s="35">
        <v>10</v>
      </c>
      <c r="D320" s="35" t="s">
        <v>108</v>
      </c>
      <c r="E320">
        <v>6987</v>
      </c>
      <c r="F320">
        <v>7127</v>
      </c>
      <c r="G320">
        <v>7626</v>
      </c>
      <c r="H320">
        <v>7931</v>
      </c>
      <c r="I320">
        <v>8248</v>
      </c>
      <c r="J320">
        <v>8248</v>
      </c>
      <c r="L320">
        <f>IF(
    OR(
        AND(MAX(0, MIN($E$1, DATE(Initialisatie!$C$5,12,31)) - MAX($E$2, DATE(Initialisatie!$C$5,1,1)) + 1) &gt; 0, IFERROR(VALUE($E320),0)=0),
        AND(MAX(0, MIN($F$1, DATE(Initialisatie!$C$5,12,31)) - MAX($F$2, DATE(Initialisatie!$C$5,1,1)) + 1) &gt; 0, IFERROR(VALUE($F320),0)=0),
        AND(MAX(0, MIN($G$1, DATE(Initialisatie!$C$5,12,31)) - MAX($G$2, DATE(Initialisatie!$C$5,1,1)) + 1) &gt; 0, IFERROR(VALUE($G320),0)=0),
        AND(MAX(0, MIN($H$1, DATE(Initialisatie!$C$5,12,31)) - MAX($H$2, DATE(Initialisatie!$C$5,1,1)) + 1) &gt; 0, IFERROR(VALUE($H320),0)=0),
        AND(MAX(0, MIN($I$1, DATE(Initialisatie!$C$5,12,31)) - MAX($I$2, DATE(Initialisatie!$C$5,1,1)) + 1) &gt; 0, IFERROR(VALUE($I320),0)=0),
        AND(MAX(0, MIN($J$1, DATE(Initialisatie!$C$5,12,31)) - MAX($J$2, DATE(Initialisatie!$C$5,1,1)) + 1) &gt; 0, IFERROR(VALUE($J320),0)=0)
    ),
    0,
    SUM(
        IFERROR(VALUE($E320),0) * MAX(0, MIN($E$1, DATE(Initialisatie!$C$5,12,31)) - MAX($E$2, DATE(Initialisatie!$C$5,1,1)) + 1),
        IFERROR(VALUE($F320),0) * MAX(0, MIN($F$1, DATE(Initialisatie!$C$5,12,31)) - MAX($F$2, DATE(Initialisatie!$C$5,1,1)) + 1),
        IFERROR(VALUE($G320),0) * MAX(0, MIN($G$1, DATE(Initialisatie!$C$5,12,31)) - MAX($G$2, DATE(Initialisatie!$C$5,1,1)) + 1),
        IFERROR(VALUE($H320),0) * MAX(0, MIN($H$1, DATE(Initialisatie!$C$5,12,31)) - MAX($H$2, DATE(Initialisatie!$C$5,1,1)) + 1),
        IFERROR(VALUE($I320),0) * MAX(0, MIN($I$1, DATE(Initialisatie!$C$5,12,31)) - MAX($I$2, DATE(Initialisatie!$C$5,1,1)) + 1),
        IFERROR(VALUE($J320),0) * MAX(0, MIN($J$1, DATE(Initialisatie!$C$5,12,31)) - MAX($J$2, DATE(Initialisatie!$C$5,1,1)) + 1)
    ) / (DATE(Initialisatie!$C$5,12,31) - DATE(Initialisatie!$C$5,1,1) + 1)
)</f>
        <v>8248</v>
      </c>
    </row>
    <row r="321" spans="1:12" x14ac:dyDescent="0.45">
      <c r="A321" s="989"/>
      <c r="B321" s="35">
        <v>11</v>
      </c>
      <c r="C321" s="35">
        <v>11</v>
      </c>
      <c r="D321" s="35" t="s">
        <v>106</v>
      </c>
      <c r="E321">
        <v>7363</v>
      </c>
      <c r="F321">
        <v>7510</v>
      </c>
      <c r="G321">
        <v>8036</v>
      </c>
      <c r="H321">
        <v>8357</v>
      </c>
      <c r="I321">
        <v>8691</v>
      </c>
      <c r="J321">
        <v>8691</v>
      </c>
      <c r="L321">
        <f>IF(
    OR(
        AND(MAX(0, MIN($E$1, DATE(Initialisatie!$C$5,12,31)) - MAX($E$2, DATE(Initialisatie!$C$5,1,1)) + 1) &gt; 0, IFERROR(VALUE($E321),0)=0),
        AND(MAX(0, MIN($F$1, DATE(Initialisatie!$C$5,12,31)) - MAX($F$2, DATE(Initialisatie!$C$5,1,1)) + 1) &gt; 0, IFERROR(VALUE($F321),0)=0),
        AND(MAX(0, MIN($G$1, DATE(Initialisatie!$C$5,12,31)) - MAX($G$2, DATE(Initialisatie!$C$5,1,1)) + 1) &gt; 0, IFERROR(VALUE($G321),0)=0),
        AND(MAX(0, MIN($H$1, DATE(Initialisatie!$C$5,12,31)) - MAX($H$2, DATE(Initialisatie!$C$5,1,1)) + 1) &gt; 0, IFERROR(VALUE($H321),0)=0),
        AND(MAX(0, MIN($I$1, DATE(Initialisatie!$C$5,12,31)) - MAX($I$2, DATE(Initialisatie!$C$5,1,1)) + 1) &gt; 0, IFERROR(VALUE($I321),0)=0),
        AND(MAX(0, MIN($J$1, DATE(Initialisatie!$C$5,12,31)) - MAX($J$2, DATE(Initialisatie!$C$5,1,1)) + 1) &gt; 0, IFERROR(VALUE($J321),0)=0)
    ),
    0,
    SUM(
        IFERROR(VALUE($E321),0) * MAX(0, MIN($E$1, DATE(Initialisatie!$C$5,12,31)) - MAX($E$2, DATE(Initialisatie!$C$5,1,1)) + 1),
        IFERROR(VALUE($F321),0) * MAX(0, MIN($F$1, DATE(Initialisatie!$C$5,12,31)) - MAX($F$2, DATE(Initialisatie!$C$5,1,1)) + 1),
        IFERROR(VALUE($G321),0) * MAX(0, MIN($G$1, DATE(Initialisatie!$C$5,12,31)) - MAX($G$2, DATE(Initialisatie!$C$5,1,1)) + 1),
        IFERROR(VALUE($H321),0) * MAX(0, MIN($H$1, DATE(Initialisatie!$C$5,12,31)) - MAX($H$2, DATE(Initialisatie!$C$5,1,1)) + 1),
        IFERROR(VALUE($I321),0) * MAX(0, MIN($I$1, DATE(Initialisatie!$C$5,12,31)) - MAX($I$2, DATE(Initialisatie!$C$5,1,1)) + 1),
        IFERROR(VALUE($J321),0) * MAX(0, MIN($J$1, DATE(Initialisatie!$C$5,12,31)) - MAX($J$2, DATE(Initialisatie!$C$5,1,1)) + 1)
    ) / (DATE(Initialisatie!$C$5,12,31) - DATE(Initialisatie!$C$5,1,1) + 1)
)</f>
        <v>8691</v>
      </c>
    </row>
    <row r="322" spans="1:12" x14ac:dyDescent="0.45">
      <c r="A322" s="989"/>
      <c r="B322" s="35">
        <v>12</v>
      </c>
      <c r="C322" s="35">
        <v>12</v>
      </c>
      <c r="D322" s="35" t="s">
        <v>104</v>
      </c>
      <c r="E322">
        <v>7757</v>
      </c>
      <c r="F322">
        <v>7912</v>
      </c>
      <c r="G322">
        <v>8466</v>
      </c>
      <c r="H322">
        <v>8805</v>
      </c>
      <c r="I322">
        <v>9157</v>
      </c>
      <c r="J322">
        <v>9157</v>
      </c>
      <c r="L322">
        <f>IF(
    OR(
        AND(MAX(0, MIN($E$1, DATE(Initialisatie!$C$5,12,31)) - MAX($E$2, DATE(Initialisatie!$C$5,1,1)) + 1) &gt; 0, IFERROR(VALUE($E322),0)=0),
        AND(MAX(0, MIN($F$1, DATE(Initialisatie!$C$5,12,31)) - MAX($F$2, DATE(Initialisatie!$C$5,1,1)) + 1) &gt; 0, IFERROR(VALUE($F322),0)=0),
        AND(MAX(0, MIN($G$1, DATE(Initialisatie!$C$5,12,31)) - MAX($G$2, DATE(Initialisatie!$C$5,1,1)) + 1) &gt; 0, IFERROR(VALUE($G322),0)=0),
        AND(MAX(0, MIN($H$1, DATE(Initialisatie!$C$5,12,31)) - MAX($H$2, DATE(Initialisatie!$C$5,1,1)) + 1) &gt; 0, IFERROR(VALUE($H322),0)=0),
        AND(MAX(0, MIN($I$1, DATE(Initialisatie!$C$5,12,31)) - MAX($I$2, DATE(Initialisatie!$C$5,1,1)) + 1) &gt; 0, IFERROR(VALUE($I322),0)=0),
        AND(MAX(0, MIN($J$1, DATE(Initialisatie!$C$5,12,31)) - MAX($J$2, DATE(Initialisatie!$C$5,1,1)) + 1) &gt; 0, IFERROR(VALUE($J322),0)=0)
    ),
    0,
    SUM(
        IFERROR(VALUE($E322),0) * MAX(0, MIN($E$1, DATE(Initialisatie!$C$5,12,31)) - MAX($E$2, DATE(Initialisatie!$C$5,1,1)) + 1),
        IFERROR(VALUE($F322),0) * MAX(0, MIN($F$1, DATE(Initialisatie!$C$5,12,31)) - MAX($F$2, DATE(Initialisatie!$C$5,1,1)) + 1),
        IFERROR(VALUE($G322),0) * MAX(0, MIN($G$1, DATE(Initialisatie!$C$5,12,31)) - MAX($G$2, DATE(Initialisatie!$C$5,1,1)) + 1),
        IFERROR(VALUE($H322),0) * MAX(0, MIN($H$1, DATE(Initialisatie!$C$5,12,31)) - MAX($H$2, DATE(Initialisatie!$C$5,1,1)) + 1),
        IFERROR(VALUE($I322),0) * MAX(0, MIN($I$1, DATE(Initialisatie!$C$5,12,31)) - MAX($I$2, DATE(Initialisatie!$C$5,1,1)) + 1),
        IFERROR(VALUE($J322),0) * MAX(0, MIN($J$1, DATE(Initialisatie!$C$5,12,31)) - MAX($J$2, DATE(Initialisatie!$C$5,1,1)) + 1)
    ) / (DATE(Initialisatie!$C$5,12,31) - DATE(Initialisatie!$C$5,1,1) + 1)
)</f>
        <v>9157</v>
      </c>
    </row>
    <row r="323" spans="1:12" x14ac:dyDescent="0.45">
      <c r="A323" s="989"/>
      <c r="B323" s="35">
        <v>13</v>
      </c>
      <c r="C323" s="35">
        <v>13</v>
      </c>
      <c r="D323" s="35" t="s">
        <v>102</v>
      </c>
      <c r="E323">
        <v>8175</v>
      </c>
      <c r="F323">
        <v>8339</v>
      </c>
      <c r="G323">
        <v>8923</v>
      </c>
      <c r="H323">
        <v>9280</v>
      </c>
      <c r="I323">
        <v>9651</v>
      </c>
      <c r="J323">
        <v>9651</v>
      </c>
      <c r="L323">
        <f>IF(
    OR(
        AND(MAX(0, MIN($E$1, DATE(Initialisatie!$C$5,12,31)) - MAX($E$2, DATE(Initialisatie!$C$5,1,1)) + 1) &gt; 0, IFERROR(VALUE($E323),0)=0),
        AND(MAX(0, MIN($F$1, DATE(Initialisatie!$C$5,12,31)) - MAX($F$2, DATE(Initialisatie!$C$5,1,1)) + 1) &gt; 0, IFERROR(VALUE($F323),0)=0),
        AND(MAX(0, MIN($G$1, DATE(Initialisatie!$C$5,12,31)) - MAX($G$2, DATE(Initialisatie!$C$5,1,1)) + 1) &gt; 0, IFERROR(VALUE($G323),0)=0),
        AND(MAX(0, MIN($H$1, DATE(Initialisatie!$C$5,12,31)) - MAX($H$2, DATE(Initialisatie!$C$5,1,1)) + 1) &gt; 0, IFERROR(VALUE($H323),0)=0),
        AND(MAX(0, MIN($I$1, DATE(Initialisatie!$C$5,12,31)) - MAX($I$2, DATE(Initialisatie!$C$5,1,1)) + 1) &gt; 0, IFERROR(VALUE($I323),0)=0),
        AND(MAX(0, MIN($J$1, DATE(Initialisatie!$C$5,12,31)) - MAX($J$2, DATE(Initialisatie!$C$5,1,1)) + 1) &gt; 0, IFERROR(VALUE($J323),0)=0)
    ),
    0,
    SUM(
        IFERROR(VALUE($E323),0) * MAX(0, MIN($E$1, DATE(Initialisatie!$C$5,12,31)) - MAX($E$2, DATE(Initialisatie!$C$5,1,1)) + 1),
        IFERROR(VALUE($F323),0) * MAX(0, MIN($F$1, DATE(Initialisatie!$C$5,12,31)) - MAX($F$2, DATE(Initialisatie!$C$5,1,1)) + 1),
        IFERROR(VALUE($G323),0) * MAX(0, MIN($G$1, DATE(Initialisatie!$C$5,12,31)) - MAX($G$2, DATE(Initialisatie!$C$5,1,1)) + 1),
        IFERROR(VALUE($H323),0) * MAX(0, MIN($H$1, DATE(Initialisatie!$C$5,12,31)) - MAX($H$2, DATE(Initialisatie!$C$5,1,1)) + 1),
        IFERROR(VALUE($I323),0) * MAX(0, MIN($I$1, DATE(Initialisatie!$C$5,12,31)) - MAX($I$2, DATE(Initialisatie!$C$5,1,1)) + 1),
        IFERROR(VALUE($J323),0) * MAX(0, MIN($J$1, DATE(Initialisatie!$C$5,12,31)) - MAX($J$2, DATE(Initialisatie!$C$5,1,1)) + 1)
    ) / (DATE(Initialisatie!$C$5,12,31) - DATE(Initialisatie!$C$5,1,1) + 1)
)</f>
        <v>9651</v>
      </c>
    </row>
    <row r="324" spans="1:12" x14ac:dyDescent="0.45">
      <c r="A324" s="989"/>
      <c r="B324" s="35" t="s">
        <v>531</v>
      </c>
      <c r="C324" s="35" t="s">
        <v>531</v>
      </c>
      <c r="D324" s="35" t="s">
        <v>677</v>
      </c>
      <c r="E324">
        <v>8614</v>
      </c>
      <c r="F324">
        <v>8786</v>
      </c>
      <c r="G324">
        <v>9401</v>
      </c>
      <c r="H324">
        <v>9777</v>
      </c>
      <c r="I324">
        <v>10168</v>
      </c>
      <c r="J324">
        <v>10168</v>
      </c>
      <c r="L324">
        <f>IF(
    OR(
        AND(MAX(0, MIN($E$1, DATE(Initialisatie!$C$5,12,31)) - MAX($E$2, DATE(Initialisatie!$C$5,1,1)) + 1) &gt; 0, IFERROR(VALUE($E324),0)=0),
        AND(MAX(0, MIN($F$1, DATE(Initialisatie!$C$5,12,31)) - MAX($F$2, DATE(Initialisatie!$C$5,1,1)) + 1) &gt; 0, IFERROR(VALUE($F324),0)=0),
        AND(MAX(0, MIN($G$1, DATE(Initialisatie!$C$5,12,31)) - MAX($G$2, DATE(Initialisatie!$C$5,1,1)) + 1) &gt; 0, IFERROR(VALUE($G324),0)=0),
        AND(MAX(0, MIN($H$1, DATE(Initialisatie!$C$5,12,31)) - MAX($H$2, DATE(Initialisatie!$C$5,1,1)) + 1) &gt; 0, IFERROR(VALUE($H324),0)=0),
        AND(MAX(0, MIN($I$1, DATE(Initialisatie!$C$5,12,31)) - MAX($I$2, DATE(Initialisatie!$C$5,1,1)) + 1) &gt; 0, IFERROR(VALUE($I324),0)=0),
        AND(MAX(0, MIN($J$1, DATE(Initialisatie!$C$5,12,31)) - MAX($J$2, DATE(Initialisatie!$C$5,1,1)) + 1) &gt; 0, IFERROR(VALUE($J324),0)=0)
    ),
    0,
    SUM(
        IFERROR(VALUE($E324),0) * MAX(0, MIN($E$1, DATE(Initialisatie!$C$5,12,31)) - MAX($E$2, DATE(Initialisatie!$C$5,1,1)) + 1),
        IFERROR(VALUE($F324),0) * MAX(0, MIN($F$1, DATE(Initialisatie!$C$5,12,31)) - MAX($F$2, DATE(Initialisatie!$C$5,1,1)) + 1),
        IFERROR(VALUE($G324),0) * MAX(0, MIN($G$1, DATE(Initialisatie!$C$5,12,31)) - MAX($G$2, DATE(Initialisatie!$C$5,1,1)) + 1),
        IFERROR(VALUE($H324),0) * MAX(0, MIN($H$1, DATE(Initialisatie!$C$5,12,31)) - MAX($H$2, DATE(Initialisatie!$C$5,1,1)) + 1),
        IFERROR(VALUE($I324),0) * MAX(0, MIN($I$1, DATE(Initialisatie!$C$5,12,31)) - MAX($I$2, DATE(Initialisatie!$C$5,1,1)) + 1),
        IFERROR(VALUE($J324),0) * MAX(0, MIN($J$1, DATE(Initialisatie!$C$5,12,31)) - MAX($J$2, DATE(Initialisatie!$C$5,1,1)) + 1)
    ) / (DATE(Initialisatie!$C$5,12,31) - DATE(Initialisatie!$C$5,1,1) + 1)
)</f>
        <v>10168</v>
      </c>
    </row>
    <row r="325" spans="1:12" x14ac:dyDescent="0.45">
      <c r="A325" s="989"/>
      <c r="B325" s="35" t="s">
        <v>533</v>
      </c>
      <c r="C325" s="35" t="s">
        <v>533</v>
      </c>
      <c r="D325" s="35" t="s">
        <v>678</v>
      </c>
      <c r="E325">
        <v>9077</v>
      </c>
      <c r="F325">
        <v>9259</v>
      </c>
      <c r="G325">
        <v>9907</v>
      </c>
      <c r="H325">
        <v>10303</v>
      </c>
      <c r="I325">
        <v>10715</v>
      </c>
      <c r="J325">
        <v>10715</v>
      </c>
      <c r="L325">
        <f>IF(
    OR(
        AND(MAX(0, MIN($E$1, DATE(Initialisatie!$C$5,12,31)) - MAX($E$2, DATE(Initialisatie!$C$5,1,1)) + 1) &gt; 0, IFERROR(VALUE($E325),0)=0),
        AND(MAX(0, MIN($F$1, DATE(Initialisatie!$C$5,12,31)) - MAX($F$2, DATE(Initialisatie!$C$5,1,1)) + 1) &gt; 0, IFERROR(VALUE($F325),0)=0),
        AND(MAX(0, MIN($G$1, DATE(Initialisatie!$C$5,12,31)) - MAX($G$2, DATE(Initialisatie!$C$5,1,1)) + 1) &gt; 0, IFERROR(VALUE($G325),0)=0),
        AND(MAX(0, MIN($H$1, DATE(Initialisatie!$C$5,12,31)) - MAX($H$2, DATE(Initialisatie!$C$5,1,1)) + 1) &gt; 0, IFERROR(VALUE($H325),0)=0),
        AND(MAX(0, MIN($I$1, DATE(Initialisatie!$C$5,12,31)) - MAX($I$2, DATE(Initialisatie!$C$5,1,1)) + 1) &gt; 0, IFERROR(VALUE($I325),0)=0),
        AND(MAX(0, MIN($J$1, DATE(Initialisatie!$C$5,12,31)) - MAX($J$2, DATE(Initialisatie!$C$5,1,1)) + 1) &gt; 0, IFERROR(VALUE($J325),0)=0)
    ),
    0,
    SUM(
        IFERROR(VALUE($E325),0) * MAX(0, MIN($E$1, DATE(Initialisatie!$C$5,12,31)) - MAX($E$2, DATE(Initialisatie!$C$5,1,1)) + 1),
        IFERROR(VALUE($F325),0) * MAX(0, MIN($F$1, DATE(Initialisatie!$C$5,12,31)) - MAX($F$2, DATE(Initialisatie!$C$5,1,1)) + 1),
        IFERROR(VALUE($G325),0) * MAX(0, MIN($G$1, DATE(Initialisatie!$C$5,12,31)) - MAX($G$2, DATE(Initialisatie!$C$5,1,1)) + 1),
        IFERROR(VALUE($H325),0) * MAX(0, MIN($H$1, DATE(Initialisatie!$C$5,12,31)) - MAX($H$2, DATE(Initialisatie!$C$5,1,1)) + 1),
        IFERROR(VALUE($I325),0) * MAX(0, MIN($I$1, DATE(Initialisatie!$C$5,12,31)) - MAX($I$2, DATE(Initialisatie!$C$5,1,1)) + 1),
        IFERROR(VALUE($J325),0) * MAX(0, MIN($J$1, DATE(Initialisatie!$C$5,12,31)) - MAX($J$2, DATE(Initialisatie!$C$5,1,1)) + 1)
    ) / (DATE(Initialisatie!$C$5,12,31) - DATE(Initialisatie!$C$5,1,1) + 1)
)</f>
        <v>10715</v>
      </c>
    </row>
    <row r="326" spans="1:12" x14ac:dyDescent="0.45">
      <c r="A326" s="989"/>
      <c r="B326" s="35" t="s">
        <v>535</v>
      </c>
      <c r="C326" s="35" t="s">
        <v>535</v>
      </c>
      <c r="D326" s="35" t="s">
        <v>679</v>
      </c>
      <c r="E326">
        <v>8614</v>
      </c>
      <c r="F326">
        <v>8786</v>
      </c>
      <c r="G326">
        <v>9401</v>
      </c>
      <c r="H326">
        <v>9777</v>
      </c>
      <c r="I326">
        <v>10168</v>
      </c>
      <c r="J326">
        <v>10168</v>
      </c>
      <c r="L326">
        <f>IF(
    OR(
        AND(MAX(0, MIN($E$1, DATE(Initialisatie!$C$5,12,31)) - MAX($E$2, DATE(Initialisatie!$C$5,1,1)) + 1) &gt; 0, IFERROR(VALUE($E326),0)=0),
        AND(MAX(0, MIN($F$1, DATE(Initialisatie!$C$5,12,31)) - MAX($F$2, DATE(Initialisatie!$C$5,1,1)) + 1) &gt; 0, IFERROR(VALUE($F326),0)=0),
        AND(MAX(0, MIN($G$1, DATE(Initialisatie!$C$5,12,31)) - MAX($G$2, DATE(Initialisatie!$C$5,1,1)) + 1) &gt; 0, IFERROR(VALUE($G326),0)=0),
        AND(MAX(0, MIN($H$1, DATE(Initialisatie!$C$5,12,31)) - MAX($H$2, DATE(Initialisatie!$C$5,1,1)) + 1) &gt; 0, IFERROR(VALUE($H326),0)=0),
        AND(MAX(0, MIN($I$1, DATE(Initialisatie!$C$5,12,31)) - MAX($I$2, DATE(Initialisatie!$C$5,1,1)) + 1) &gt; 0, IFERROR(VALUE($I326),0)=0),
        AND(MAX(0, MIN($J$1, DATE(Initialisatie!$C$5,12,31)) - MAX($J$2, DATE(Initialisatie!$C$5,1,1)) + 1) &gt; 0, IFERROR(VALUE($J326),0)=0)
    ),
    0,
    SUM(
        IFERROR(VALUE($E326),0) * MAX(0, MIN($E$1, DATE(Initialisatie!$C$5,12,31)) - MAX($E$2, DATE(Initialisatie!$C$5,1,1)) + 1),
        IFERROR(VALUE($F326),0) * MAX(0, MIN($F$1, DATE(Initialisatie!$C$5,12,31)) - MAX($F$2, DATE(Initialisatie!$C$5,1,1)) + 1),
        IFERROR(VALUE($G326),0) * MAX(0, MIN($G$1, DATE(Initialisatie!$C$5,12,31)) - MAX($G$2, DATE(Initialisatie!$C$5,1,1)) + 1),
        IFERROR(VALUE($H326),0) * MAX(0, MIN($H$1, DATE(Initialisatie!$C$5,12,31)) - MAX($H$2, DATE(Initialisatie!$C$5,1,1)) + 1),
        IFERROR(VALUE($I326),0) * MAX(0, MIN($I$1, DATE(Initialisatie!$C$5,12,31)) - MAX($I$2, DATE(Initialisatie!$C$5,1,1)) + 1),
        IFERROR(VALUE($J326),0) * MAX(0, MIN($J$1, DATE(Initialisatie!$C$5,12,31)) - MAX($J$2, DATE(Initialisatie!$C$5,1,1)) + 1)
    ) / (DATE(Initialisatie!$C$5,12,31) - DATE(Initialisatie!$C$5,1,1) + 1)
)</f>
        <v>10168</v>
      </c>
    </row>
    <row r="327" spans="1:12" x14ac:dyDescent="0.45">
      <c r="A327" s="989"/>
      <c r="B327" s="35" t="s">
        <v>537</v>
      </c>
      <c r="C327" s="35" t="s">
        <v>537</v>
      </c>
      <c r="D327" s="35" t="s">
        <v>680</v>
      </c>
      <c r="E327">
        <v>9077</v>
      </c>
      <c r="F327">
        <v>9259</v>
      </c>
      <c r="G327">
        <v>9907</v>
      </c>
      <c r="H327">
        <v>10303</v>
      </c>
      <c r="I327">
        <v>10715</v>
      </c>
      <c r="J327">
        <v>10715</v>
      </c>
      <c r="L327">
        <f>IF(
    OR(
        AND(MAX(0, MIN($E$1, DATE(Initialisatie!$C$5,12,31)) - MAX($E$2, DATE(Initialisatie!$C$5,1,1)) + 1) &gt; 0, IFERROR(VALUE($E327),0)=0),
        AND(MAX(0, MIN($F$1, DATE(Initialisatie!$C$5,12,31)) - MAX($F$2, DATE(Initialisatie!$C$5,1,1)) + 1) &gt; 0, IFERROR(VALUE($F327),0)=0),
        AND(MAX(0, MIN($G$1, DATE(Initialisatie!$C$5,12,31)) - MAX($G$2, DATE(Initialisatie!$C$5,1,1)) + 1) &gt; 0, IFERROR(VALUE($G327),0)=0),
        AND(MAX(0, MIN($H$1, DATE(Initialisatie!$C$5,12,31)) - MAX($H$2, DATE(Initialisatie!$C$5,1,1)) + 1) &gt; 0, IFERROR(VALUE($H327),0)=0),
        AND(MAX(0, MIN($I$1, DATE(Initialisatie!$C$5,12,31)) - MAX($I$2, DATE(Initialisatie!$C$5,1,1)) + 1) &gt; 0, IFERROR(VALUE($I327),0)=0),
        AND(MAX(0, MIN($J$1, DATE(Initialisatie!$C$5,12,31)) - MAX($J$2, DATE(Initialisatie!$C$5,1,1)) + 1) &gt; 0, IFERROR(VALUE($J327),0)=0)
    ),
    0,
    SUM(
        IFERROR(VALUE($E327),0) * MAX(0, MIN($E$1, DATE(Initialisatie!$C$5,12,31)) - MAX($E$2, DATE(Initialisatie!$C$5,1,1)) + 1),
        IFERROR(VALUE($F327),0) * MAX(0, MIN($F$1, DATE(Initialisatie!$C$5,12,31)) - MAX($F$2, DATE(Initialisatie!$C$5,1,1)) + 1),
        IFERROR(VALUE($G327),0) * MAX(0, MIN($G$1, DATE(Initialisatie!$C$5,12,31)) - MAX($G$2, DATE(Initialisatie!$C$5,1,1)) + 1),
        IFERROR(VALUE($H327),0) * MAX(0, MIN($H$1, DATE(Initialisatie!$C$5,12,31)) - MAX($H$2, DATE(Initialisatie!$C$5,1,1)) + 1),
        IFERROR(VALUE($I327),0) * MAX(0, MIN($I$1, DATE(Initialisatie!$C$5,12,31)) - MAX($I$2, DATE(Initialisatie!$C$5,1,1)) + 1),
        IFERROR(VALUE($J327),0) * MAX(0, MIN($J$1, DATE(Initialisatie!$C$5,12,31)) - MAX($J$2, DATE(Initialisatie!$C$5,1,1)) + 1)
    ) / (DATE(Initialisatie!$C$5,12,31) - DATE(Initialisatie!$C$5,1,1) + 1)
)</f>
        <v>10715</v>
      </c>
    </row>
    <row r="328" spans="1:12" x14ac:dyDescent="0.45">
      <c r="A328" s="989"/>
      <c r="B328" s="35" t="s">
        <v>539</v>
      </c>
      <c r="C328" s="35" t="s">
        <v>539</v>
      </c>
      <c r="D328" s="35" t="s">
        <v>681</v>
      </c>
      <c r="E328">
        <v>9568</v>
      </c>
      <c r="F328">
        <v>9759</v>
      </c>
      <c r="G328">
        <v>10442</v>
      </c>
      <c r="H328">
        <v>10860</v>
      </c>
      <c r="I328">
        <v>11294</v>
      </c>
      <c r="J328">
        <v>11294</v>
      </c>
      <c r="L328">
        <f>IF(
    OR(
        AND(MAX(0, MIN($E$1, DATE(Initialisatie!$C$5,12,31)) - MAX($E$2, DATE(Initialisatie!$C$5,1,1)) + 1) &gt; 0, IFERROR(VALUE($E328),0)=0),
        AND(MAX(0, MIN($F$1, DATE(Initialisatie!$C$5,12,31)) - MAX($F$2, DATE(Initialisatie!$C$5,1,1)) + 1) &gt; 0, IFERROR(VALUE($F328),0)=0),
        AND(MAX(0, MIN($G$1, DATE(Initialisatie!$C$5,12,31)) - MAX($G$2, DATE(Initialisatie!$C$5,1,1)) + 1) &gt; 0, IFERROR(VALUE($G328),0)=0),
        AND(MAX(0, MIN($H$1, DATE(Initialisatie!$C$5,12,31)) - MAX($H$2, DATE(Initialisatie!$C$5,1,1)) + 1) &gt; 0, IFERROR(VALUE($H328),0)=0),
        AND(MAX(0, MIN($I$1, DATE(Initialisatie!$C$5,12,31)) - MAX($I$2, DATE(Initialisatie!$C$5,1,1)) + 1) &gt; 0, IFERROR(VALUE($I328),0)=0),
        AND(MAX(0, MIN($J$1, DATE(Initialisatie!$C$5,12,31)) - MAX($J$2, DATE(Initialisatie!$C$5,1,1)) + 1) &gt; 0, IFERROR(VALUE($J328),0)=0)
    ),
    0,
    SUM(
        IFERROR(VALUE($E328),0) * MAX(0, MIN($E$1, DATE(Initialisatie!$C$5,12,31)) - MAX($E$2, DATE(Initialisatie!$C$5,1,1)) + 1),
        IFERROR(VALUE($F328),0) * MAX(0, MIN($F$1, DATE(Initialisatie!$C$5,12,31)) - MAX($F$2, DATE(Initialisatie!$C$5,1,1)) + 1),
        IFERROR(VALUE($G328),0) * MAX(0, MIN($G$1, DATE(Initialisatie!$C$5,12,31)) - MAX($G$2, DATE(Initialisatie!$C$5,1,1)) + 1),
        IFERROR(VALUE($H328),0) * MAX(0, MIN($H$1, DATE(Initialisatie!$C$5,12,31)) - MAX($H$2, DATE(Initialisatie!$C$5,1,1)) + 1),
        IFERROR(VALUE($I328),0) * MAX(0, MIN($I$1, DATE(Initialisatie!$C$5,12,31)) - MAX($I$2, DATE(Initialisatie!$C$5,1,1)) + 1),
        IFERROR(VALUE($J328),0) * MAX(0, MIN($J$1, DATE(Initialisatie!$C$5,12,31)) - MAX($J$2, DATE(Initialisatie!$C$5,1,1)) + 1)
    ) / (DATE(Initialisatie!$C$5,12,31) - DATE(Initialisatie!$C$5,1,1) + 1)
)</f>
        <v>11294</v>
      </c>
    </row>
    <row r="329" spans="1:12" x14ac:dyDescent="0.45">
      <c r="A329" s="989"/>
      <c r="B329" s="35" t="s">
        <v>541</v>
      </c>
      <c r="C329" s="35" t="s">
        <v>541</v>
      </c>
      <c r="D329" s="35" t="s">
        <v>682</v>
      </c>
      <c r="E329">
        <v>10083</v>
      </c>
      <c r="F329">
        <v>10285</v>
      </c>
      <c r="G329">
        <v>11005</v>
      </c>
      <c r="H329">
        <v>11445</v>
      </c>
      <c r="I329">
        <v>11903</v>
      </c>
      <c r="J329">
        <v>11903</v>
      </c>
      <c r="L329">
        <f>IF(
    OR(
        AND(MAX(0, MIN($E$1, DATE(Initialisatie!$C$5,12,31)) - MAX($E$2, DATE(Initialisatie!$C$5,1,1)) + 1) &gt; 0, IFERROR(VALUE($E329),0)=0),
        AND(MAX(0, MIN($F$1, DATE(Initialisatie!$C$5,12,31)) - MAX($F$2, DATE(Initialisatie!$C$5,1,1)) + 1) &gt; 0, IFERROR(VALUE($F329),0)=0),
        AND(MAX(0, MIN($G$1, DATE(Initialisatie!$C$5,12,31)) - MAX($G$2, DATE(Initialisatie!$C$5,1,1)) + 1) &gt; 0, IFERROR(VALUE($G329),0)=0),
        AND(MAX(0, MIN($H$1, DATE(Initialisatie!$C$5,12,31)) - MAX($H$2, DATE(Initialisatie!$C$5,1,1)) + 1) &gt; 0, IFERROR(VALUE($H329),0)=0),
        AND(MAX(0, MIN($I$1, DATE(Initialisatie!$C$5,12,31)) - MAX($I$2, DATE(Initialisatie!$C$5,1,1)) + 1) &gt; 0, IFERROR(VALUE($I329),0)=0),
        AND(MAX(0, MIN($J$1, DATE(Initialisatie!$C$5,12,31)) - MAX($J$2, DATE(Initialisatie!$C$5,1,1)) + 1) &gt; 0, IFERROR(VALUE($J329),0)=0)
    ),
    0,
    SUM(
        IFERROR(VALUE($E329),0) * MAX(0, MIN($E$1, DATE(Initialisatie!$C$5,12,31)) - MAX($E$2, DATE(Initialisatie!$C$5,1,1)) + 1),
        IFERROR(VALUE($F329),0) * MAX(0, MIN($F$1, DATE(Initialisatie!$C$5,12,31)) - MAX($F$2, DATE(Initialisatie!$C$5,1,1)) + 1),
        IFERROR(VALUE($G329),0) * MAX(0, MIN($G$1, DATE(Initialisatie!$C$5,12,31)) - MAX($G$2, DATE(Initialisatie!$C$5,1,1)) + 1),
        IFERROR(VALUE($H329),0) * MAX(0, MIN($H$1, DATE(Initialisatie!$C$5,12,31)) - MAX($H$2, DATE(Initialisatie!$C$5,1,1)) + 1),
        IFERROR(VALUE($I329),0) * MAX(0, MIN($I$1, DATE(Initialisatie!$C$5,12,31)) - MAX($I$2, DATE(Initialisatie!$C$5,1,1)) + 1),
        IFERROR(VALUE($J329),0) * MAX(0, MIN($J$1, DATE(Initialisatie!$C$5,12,31)) - MAX($J$2, DATE(Initialisatie!$C$5,1,1)) + 1)
    ) / (DATE(Initialisatie!$C$5,12,31) - DATE(Initialisatie!$C$5,1,1) + 1)
)</f>
        <v>11903</v>
      </c>
    </row>
    <row r="330" spans="1:12" x14ac:dyDescent="0.45">
      <c r="A330" s="990"/>
      <c r="B330" s="35" t="s">
        <v>543</v>
      </c>
      <c r="C330" s="35" t="s">
        <v>543</v>
      </c>
      <c r="D330" s="35" t="s">
        <v>683</v>
      </c>
      <c r="E330">
        <v>10625</v>
      </c>
      <c r="F330">
        <v>10838</v>
      </c>
      <c r="G330">
        <v>11597</v>
      </c>
      <c r="H330">
        <v>12061</v>
      </c>
      <c r="I330">
        <v>12543</v>
      </c>
      <c r="J330">
        <v>12543</v>
      </c>
      <c r="L330">
        <f>IF(
    OR(
        AND(MAX(0, MIN($E$1, DATE(Initialisatie!$C$5,12,31)) - MAX($E$2, DATE(Initialisatie!$C$5,1,1)) + 1) &gt; 0, IFERROR(VALUE($E330),0)=0),
        AND(MAX(0, MIN($F$1, DATE(Initialisatie!$C$5,12,31)) - MAX($F$2, DATE(Initialisatie!$C$5,1,1)) + 1) &gt; 0, IFERROR(VALUE($F330),0)=0),
        AND(MAX(0, MIN($G$1, DATE(Initialisatie!$C$5,12,31)) - MAX($G$2, DATE(Initialisatie!$C$5,1,1)) + 1) &gt; 0, IFERROR(VALUE($G330),0)=0),
        AND(MAX(0, MIN($H$1, DATE(Initialisatie!$C$5,12,31)) - MAX($H$2, DATE(Initialisatie!$C$5,1,1)) + 1) &gt; 0, IFERROR(VALUE($H330),0)=0),
        AND(MAX(0, MIN($I$1, DATE(Initialisatie!$C$5,12,31)) - MAX($I$2, DATE(Initialisatie!$C$5,1,1)) + 1) &gt; 0, IFERROR(VALUE($I330),0)=0),
        AND(MAX(0, MIN($J$1, DATE(Initialisatie!$C$5,12,31)) - MAX($J$2, DATE(Initialisatie!$C$5,1,1)) + 1) &gt; 0, IFERROR(VALUE($J330),0)=0)
    ),
    0,
    SUM(
        IFERROR(VALUE($E330),0) * MAX(0, MIN($E$1, DATE(Initialisatie!$C$5,12,31)) - MAX($E$2, DATE(Initialisatie!$C$5,1,1)) + 1),
        IFERROR(VALUE($F330),0) * MAX(0, MIN($F$1, DATE(Initialisatie!$C$5,12,31)) - MAX($F$2, DATE(Initialisatie!$C$5,1,1)) + 1),
        IFERROR(VALUE($G330),0) * MAX(0, MIN($G$1, DATE(Initialisatie!$C$5,12,31)) - MAX($G$2, DATE(Initialisatie!$C$5,1,1)) + 1),
        IFERROR(VALUE($H330),0) * MAX(0, MIN($H$1, DATE(Initialisatie!$C$5,12,31)) - MAX($H$2, DATE(Initialisatie!$C$5,1,1)) + 1),
        IFERROR(VALUE($I330),0) * MAX(0, MIN($I$1, DATE(Initialisatie!$C$5,12,31)) - MAX($I$2, DATE(Initialisatie!$C$5,1,1)) + 1),
        IFERROR(VALUE($J330),0) * MAX(0, MIN($J$1, DATE(Initialisatie!$C$5,12,31)) - MAX($J$2, DATE(Initialisatie!$C$5,1,1)) + 1)
    ) / (DATE(Initialisatie!$C$5,12,31) - DATE(Initialisatie!$C$5,1,1) + 1)
)</f>
        <v>12543</v>
      </c>
    </row>
  </sheetData>
  <mergeCells count="15">
    <mergeCell ref="A111:A132"/>
    <mergeCell ref="A4:A23"/>
    <mergeCell ref="A24:A44"/>
    <mergeCell ref="A45:A66"/>
    <mergeCell ref="A67:A88"/>
    <mergeCell ref="A89:A110"/>
    <mergeCell ref="A265:A286"/>
    <mergeCell ref="A287:A308"/>
    <mergeCell ref="A309:A330"/>
    <mergeCell ref="A133:A154"/>
    <mergeCell ref="A155:A176"/>
    <mergeCell ref="A177:A198"/>
    <mergeCell ref="A199:A220"/>
    <mergeCell ref="A221:A242"/>
    <mergeCell ref="A243:A264"/>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1"/>
  </sheetPr>
  <dimension ref="A1:G210"/>
  <sheetViews>
    <sheetView workbookViewId="0">
      <selection activeCell="A23" sqref="A23:A34"/>
    </sheetView>
  </sheetViews>
  <sheetFormatPr defaultRowHeight="14.25" x14ac:dyDescent="0.45"/>
  <cols>
    <col min="1" max="1" width="8.73046875" style="377"/>
    <col min="2" max="3" width="8.73046875" style="48"/>
    <col min="4" max="7" width="10.46484375" style="48" customWidth="1"/>
  </cols>
  <sheetData>
    <row r="1" spans="1:7" x14ac:dyDescent="0.45">
      <c r="A1" s="377" t="s">
        <v>1609</v>
      </c>
      <c r="B1" s="48" t="s">
        <v>1608</v>
      </c>
      <c r="C1" s="48" t="s">
        <v>1698</v>
      </c>
      <c r="D1" s="373" t="s">
        <v>1699</v>
      </c>
      <c r="E1" s="373" t="s">
        <v>1612</v>
      </c>
      <c r="F1" s="373" t="s">
        <v>1700</v>
      </c>
      <c r="G1" s="373" t="s">
        <v>1701</v>
      </c>
    </row>
    <row r="2" spans="1:7" x14ac:dyDescent="0.45">
      <c r="A2" s="1000">
        <v>5</v>
      </c>
      <c r="B2" s="372">
        <v>0</v>
      </c>
      <c r="C2" s="373">
        <v>1</v>
      </c>
      <c r="D2" s="48">
        <v>2010</v>
      </c>
      <c r="E2" s="48">
        <v>2090</v>
      </c>
      <c r="F2" s="48">
        <v>2132</v>
      </c>
      <c r="G2" s="48">
        <v>2175</v>
      </c>
    </row>
    <row r="3" spans="1:7" x14ac:dyDescent="0.45">
      <c r="A3" s="999"/>
      <c r="B3" s="373">
        <v>1</v>
      </c>
      <c r="C3" s="373">
        <v>2</v>
      </c>
      <c r="D3" s="48">
        <v>2040</v>
      </c>
      <c r="E3" s="48">
        <v>2122</v>
      </c>
      <c r="F3" s="48">
        <v>2164</v>
      </c>
      <c r="G3" s="48">
        <v>2207</v>
      </c>
    </row>
    <row r="4" spans="1:7" x14ac:dyDescent="0.45">
      <c r="A4" s="999"/>
      <c r="B4" s="373">
        <v>2</v>
      </c>
      <c r="C4" s="373">
        <v>3</v>
      </c>
      <c r="D4" s="48">
        <v>2071</v>
      </c>
      <c r="E4" s="48">
        <v>2154</v>
      </c>
      <c r="F4" s="48">
        <v>2197</v>
      </c>
      <c r="G4" s="48">
        <v>2241</v>
      </c>
    </row>
    <row r="5" spans="1:7" x14ac:dyDescent="0.45">
      <c r="A5" s="999"/>
      <c r="B5" s="372">
        <v>3</v>
      </c>
      <c r="C5" s="373">
        <v>4</v>
      </c>
      <c r="D5" s="48">
        <v>2137</v>
      </c>
      <c r="E5" s="48">
        <v>2222</v>
      </c>
      <c r="F5" s="48">
        <v>2266</v>
      </c>
      <c r="G5" s="48">
        <v>2311</v>
      </c>
    </row>
    <row r="6" spans="1:7" x14ac:dyDescent="0.45">
      <c r="A6" s="999"/>
      <c r="B6" s="373">
        <v>4</v>
      </c>
      <c r="C6" s="373">
        <v>5</v>
      </c>
      <c r="D6" s="48">
        <v>2203</v>
      </c>
      <c r="E6" s="48">
        <v>2291</v>
      </c>
      <c r="F6" s="48">
        <v>2337</v>
      </c>
      <c r="G6" s="48">
        <v>2384</v>
      </c>
    </row>
    <row r="7" spans="1:7" x14ac:dyDescent="0.45">
      <c r="A7" s="999"/>
      <c r="B7" s="373">
        <v>5</v>
      </c>
      <c r="C7" s="373">
        <v>6</v>
      </c>
      <c r="D7" s="48">
        <v>2237</v>
      </c>
      <c r="E7" s="48">
        <v>2326</v>
      </c>
      <c r="F7" s="48">
        <v>2373</v>
      </c>
      <c r="G7" s="48">
        <v>2420</v>
      </c>
    </row>
    <row r="8" spans="1:7" x14ac:dyDescent="0.45">
      <c r="A8" s="999"/>
      <c r="B8" s="373">
        <v>6</v>
      </c>
      <c r="C8" s="373">
        <v>7</v>
      </c>
      <c r="D8" s="48">
        <v>2290</v>
      </c>
      <c r="E8" s="48">
        <v>2382</v>
      </c>
      <c r="F8" s="48">
        <v>2430</v>
      </c>
      <c r="G8" s="48">
        <v>2479</v>
      </c>
    </row>
    <row r="9" spans="1:7" x14ac:dyDescent="0.45">
      <c r="A9" s="999"/>
      <c r="B9" s="373">
        <v>7</v>
      </c>
      <c r="C9" s="373">
        <v>8</v>
      </c>
      <c r="D9" s="48">
        <v>2339</v>
      </c>
      <c r="E9" s="48">
        <v>2433</v>
      </c>
      <c r="F9" s="48">
        <v>2482</v>
      </c>
      <c r="G9" s="48">
        <v>2532</v>
      </c>
    </row>
    <row r="10" spans="1:7" x14ac:dyDescent="0.45">
      <c r="A10" s="999"/>
      <c r="B10" s="373">
        <v>8</v>
      </c>
      <c r="C10" s="373">
        <v>9</v>
      </c>
      <c r="D10" s="48">
        <v>2390</v>
      </c>
      <c r="E10" s="48">
        <v>2486</v>
      </c>
      <c r="F10" s="48">
        <v>2536</v>
      </c>
      <c r="G10" s="48">
        <v>2587</v>
      </c>
    </row>
    <row r="11" spans="1:7" x14ac:dyDescent="0.45">
      <c r="A11" s="1001"/>
      <c r="B11" s="373">
        <v>9</v>
      </c>
      <c r="C11" s="373">
        <v>10</v>
      </c>
      <c r="D11" s="48">
        <v>2448</v>
      </c>
      <c r="E11" s="48">
        <v>2546</v>
      </c>
      <c r="F11" s="48">
        <v>2597</v>
      </c>
      <c r="G11" s="48">
        <v>2649</v>
      </c>
    </row>
    <row r="12" spans="1:7" x14ac:dyDescent="0.45">
      <c r="A12" s="1002">
        <v>10</v>
      </c>
      <c r="B12" s="373">
        <v>0</v>
      </c>
      <c r="C12" s="373">
        <v>2</v>
      </c>
      <c r="D12" s="48">
        <v>2040</v>
      </c>
      <c r="E12" s="48">
        <v>2122</v>
      </c>
      <c r="F12" s="48">
        <v>2164</v>
      </c>
      <c r="G12" s="48">
        <v>2207</v>
      </c>
    </row>
    <row r="13" spans="1:7" x14ac:dyDescent="0.45">
      <c r="A13" s="1003"/>
      <c r="B13" s="373">
        <v>1</v>
      </c>
      <c r="C13" s="373">
        <v>3</v>
      </c>
      <c r="D13" s="48">
        <v>2071</v>
      </c>
      <c r="E13" s="48">
        <v>2154</v>
      </c>
      <c r="F13" s="48">
        <v>2197</v>
      </c>
      <c r="G13" s="48">
        <v>2241</v>
      </c>
    </row>
    <row r="14" spans="1:7" x14ac:dyDescent="0.45">
      <c r="A14" s="1003"/>
      <c r="B14" s="373">
        <v>2</v>
      </c>
      <c r="C14" s="373">
        <v>4</v>
      </c>
      <c r="D14" s="48">
        <v>2137</v>
      </c>
      <c r="E14" s="48">
        <v>2222</v>
      </c>
      <c r="F14" s="48">
        <v>2266</v>
      </c>
      <c r="G14" s="48">
        <v>2384</v>
      </c>
    </row>
    <row r="15" spans="1:7" x14ac:dyDescent="0.45">
      <c r="A15" s="1003"/>
      <c r="B15" s="374">
        <v>3</v>
      </c>
      <c r="C15" s="373">
        <v>5</v>
      </c>
      <c r="D15" s="48">
        <v>2203</v>
      </c>
      <c r="E15" s="48">
        <v>2291</v>
      </c>
      <c r="F15" s="48">
        <v>2337</v>
      </c>
      <c r="G15" s="48">
        <v>2420</v>
      </c>
    </row>
    <row r="16" spans="1:7" x14ac:dyDescent="0.45">
      <c r="A16" s="1003"/>
      <c r="B16" s="374">
        <v>4</v>
      </c>
      <c r="C16" s="373">
        <v>6</v>
      </c>
      <c r="D16" s="48">
        <v>2237</v>
      </c>
      <c r="E16" s="48">
        <v>2326</v>
      </c>
      <c r="F16" s="48">
        <v>2373</v>
      </c>
      <c r="G16" s="48">
        <v>2479</v>
      </c>
    </row>
    <row r="17" spans="1:7" x14ac:dyDescent="0.45">
      <c r="A17" s="1003"/>
      <c r="B17" s="374">
        <v>5</v>
      </c>
      <c r="C17" s="373">
        <v>7</v>
      </c>
      <c r="D17" s="48">
        <v>2290</v>
      </c>
      <c r="E17" s="48">
        <v>2382</v>
      </c>
      <c r="F17" s="48">
        <v>2430</v>
      </c>
      <c r="G17" s="48">
        <v>2532</v>
      </c>
    </row>
    <row r="18" spans="1:7" x14ac:dyDescent="0.45">
      <c r="A18" s="1003"/>
      <c r="B18" s="374">
        <v>6</v>
      </c>
      <c r="C18" s="373">
        <v>8</v>
      </c>
      <c r="D18" s="48">
        <v>2339</v>
      </c>
      <c r="E18" s="48">
        <v>2433</v>
      </c>
      <c r="F18" s="48">
        <v>2482</v>
      </c>
      <c r="G18" s="48">
        <v>2587</v>
      </c>
    </row>
    <row r="19" spans="1:7" x14ac:dyDescent="0.45">
      <c r="A19" s="1003"/>
      <c r="B19" s="374">
        <v>7</v>
      </c>
      <c r="C19" s="373">
        <v>9</v>
      </c>
      <c r="D19" s="48">
        <v>2390</v>
      </c>
      <c r="E19" s="48">
        <v>2486</v>
      </c>
      <c r="F19" s="48">
        <v>2536</v>
      </c>
      <c r="G19" s="48">
        <v>2649</v>
      </c>
    </row>
    <row r="20" spans="1:7" x14ac:dyDescent="0.45">
      <c r="A20" s="1003"/>
      <c r="B20" s="374">
        <v>8</v>
      </c>
      <c r="C20" s="373">
        <v>10</v>
      </c>
      <c r="D20" s="48">
        <v>2448</v>
      </c>
      <c r="E20" s="48">
        <v>2546</v>
      </c>
      <c r="F20" s="48">
        <v>2597</v>
      </c>
      <c r="G20" s="48">
        <v>2717</v>
      </c>
    </row>
    <row r="21" spans="1:7" x14ac:dyDescent="0.45">
      <c r="A21" s="1003"/>
      <c r="B21" s="374">
        <v>9</v>
      </c>
      <c r="C21" s="373">
        <v>11</v>
      </c>
      <c r="D21" s="48">
        <v>2512</v>
      </c>
      <c r="E21" s="48">
        <v>2612</v>
      </c>
      <c r="F21" s="48">
        <v>2664</v>
      </c>
      <c r="G21" s="48">
        <v>2790</v>
      </c>
    </row>
    <row r="22" spans="1:7" x14ac:dyDescent="0.45">
      <c r="A22" s="1003"/>
      <c r="B22" s="374">
        <v>10</v>
      </c>
      <c r="C22" s="373">
        <v>12</v>
      </c>
      <c r="D22" s="48">
        <v>2578</v>
      </c>
      <c r="E22" s="48">
        <v>2681</v>
      </c>
      <c r="F22" s="48">
        <v>2735</v>
      </c>
      <c r="G22" s="48">
        <v>2311</v>
      </c>
    </row>
    <row r="23" spans="1:7" x14ac:dyDescent="0.45">
      <c r="A23" s="999">
        <v>15</v>
      </c>
      <c r="B23" s="374">
        <v>0</v>
      </c>
      <c r="C23" s="373">
        <v>3</v>
      </c>
      <c r="D23" s="48">
        <v>2071</v>
      </c>
      <c r="E23" s="48">
        <v>2154</v>
      </c>
      <c r="F23" s="48">
        <v>2197</v>
      </c>
      <c r="G23" s="48">
        <v>2241</v>
      </c>
    </row>
    <row r="24" spans="1:7" x14ac:dyDescent="0.45">
      <c r="A24" s="999"/>
      <c r="B24" s="375">
        <v>1</v>
      </c>
      <c r="C24" s="373">
        <v>4</v>
      </c>
      <c r="D24" s="48">
        <v>2137</v>
      </c>
      <c r="E24" s="48">
        <v>2222</v>
      </c>
      <c r="F24" s="48">
        <v>2266</v>
      </c>
      <c r="G24" s="48">
        <v>2311</v>
      </c>
    </row>
    <row r="25" spans="1:7" x14ac:dyDescent="0.45">
      <c r="A25" s="999"/>
      <c r="B25" s="372">
        <v>2</v>
      </c>
      <c r="C25" s="373">
        <v>5</v>
      </c>
      <c r="D25" s="48">
        <v>2203</v>
      </c>
      <c r="E25" s="48">
        <v>2291</v>
      </c>
      <c r="F25" s="48">
        <v>2337</v>
      </c>
      <c r="G25" s="48">
        <v>2384</v>
      </c>
    </row>
    <row r="26" spans="1:7" x14ac:dyDescent="0.45">
      <c r="A26" s="999"/>
      <c r="B26" s="372">
        <v>3</v>
      </c>
      <c r="C26" s="373">
        <v>6</v>
      </c>
      <c r="D26" s="48">
        <v>2237</v>
      </c>
      <c r="E26" s="48">
        <v>2326</v>
      </c>
      <c r="F26" s="48">
        <v>2373</v>
      </c>
      <c r="G26" s="48">
        <v>2479</v>
      </c>
    </row>
    <row r="27" spans="1:7" x14ac:dyDescent="0.45">
      <c r="A27" s="999"/>
      <c r="B27" s="376">
        <v>4</v>
      </c>
      <c r="C27" s="373">
        <v>7</v>
      </c>
      <c r="D27" s="48">
        <v>2290</v>
      </c>
      <c r="E27" s="48">
        <v>2382</v>
      </c>
      <c r="F27" s="48">
        <v>2430</v>
      </c>
      <c r="G27" s="48">
        <v>2532</v>
      </c>
    </row>
    <row r="28" spans="1:7" x14ac:dyDescent="0.45">
      <c r="A28" s="999"/>
      <c r="B28" s="372">
        <v>5</v>
      </c>
      <c r="C28" s="373">
        <v>8</v>
      </c>
      <c r="D28" s="48">
        <v>2339</v>
      </c>
      <c r="E28" s="48">
        <v>2433</v>
      </c>
      <c r="F28" s="48">
        <v>2482</v>
      </c>
      <c r="G28" s="48">
        <v>2587</v>
      </c>
    </row>
    <row r="29" spans="1:7" x14ac:dyDescent="0.45">
      <c r="A29" s="999"/>
      <c r="B29" s="372">
        <v>6</v>
      </c>
      <c r="C29" s="373">
        <v>9</v>
      </c>
      <c r="D29" s="48">
        <v>2390</v>
      </c>
      <c r="E29" s="48">
        <v>2486</v>
      </c>
      <c r="F29" s="48">
        <v>2536</v>
      </c>
      <c r="G29" s="48">
        <v>2649</v>
      </c>
    </row>
    <row r="30" spans="1:7" x14ac:dyDescent="0.45">
      <c r="A30" s="999"/>
      <c r="B30" s="372">
        <v>7</v>
      </c>
      <c r="C30" s="373">
        <v>10</v>
      </c>
      <c r="D30" s="48">
        <v>2448</v>
      </c>
      <c r="E30" s="48">
        <v>2546</v>
      </c>
      <c r="F30" s="48">
        <v>2597</v>
      </c>
      <c r="G30" s="48">
        <v>2717</v>
      </c>
    </row>
    <row r="31" spans="1:7" x14ac:dyDescent="0.45">
      <c r="A31" s="999"/>
      <c r="B31" s="372">
        <v>8</v>
      </c>
      <c r="C31" s="373">
        <v>11</v>
      </c>
      <c r="D31" s="48">
        <v>2512</v>
      </c>
      <c r="E31" s="48">
        <v>2612</v>
      </c>
      <c r="F31" s="48">
        <v>2664</v>
      </c>
      <c r="G31" s="48">
        <v>2790</v>
      </c>
    </row>
    <row r="32" spans="1:7" x14ac:dyDescent="0.45">
      <c r="A32" s="999"/>
      <c r="B32" s="372">
        <v>9</v>
      </c>
      <c r="C32" s="373">
        <v>12</v>
      </c>
      <c r="D32" s="48">
        <v>2578</v>
      </c>
      <c r="E32" s="48">
        <v>2681</v>
      </c>
      <c r="F32" s="48">
        <v>2735</v>
      </c>
      <c r="G32" s="48">
        <v>2868</v>
      </c>
    </row>
    <row r="33" spans="1:7" x14ac:dyDescent="0.45">
      <c r="A33" s="999"/>
      <c r="B33" s="372">
        <v>10</v>
      </c>
      <c r="C33" s="373">
        <v>13</v>
      </c>
      <c r="D33" s="48">
        <v>2651</v>
      </c>
      <c r="E33" s="48">
        <v>2757</v>
      </c>
      <c r="F33" s="48">
        <v>2812</v>
      </c>
      <c r="G33" s="48">
        <v>2420</v>
      </c>
    </row>
    <row r="34" spans="1:7" x14ac:dyDescent="0.45">
      <c r="A34" s="1001"/>
      <c r="B34" s="372">
        <v>11</v>
      </c>
      <c r="C34" s="373">
        <v>14</v>
      </c>
      <c r="D34" s="48">
        <v>2727</v>
      </c>
      <c r="E34" s="48">
        <v>2836</v>
      </c>
      <c r="F34" s="48">
        <v>2893</v>
      </c>
      <c r="G34" s="48">
        <v>2951</v>
      </c>
    </row>
    <row r="35" spans="1:7" x14ac:dyDescent="0.45">
      <c r="A35" s="1002">
        <v>20</v>
      </c>
      <c r="B35" s="373">
        <v>0</v>
      </c>
      <c r="C35" s="373">
        <v>4</v>
      </c>
      <c r="D35" s="48">
        <v>2137</v>
      </c>
      <c r="E35" s="48">
        <v>2222</v>
      </c>
      <c r="F35" s="48">
        <v>2266</v>
      </c>
      <c r="G35" s="48">
        <v>2311</v>
      </c>
    </row>
    <row r="36" spans="1:7" x14ac:dyDescent="0.45">
      <c r="A36" s="1003"/>
      <c r="B36" s="373">
        <v>1</v>
      </c>
      <c r="C36" s="373">
        <v>6</v>
      </c>
      <c r="D36" s="48">
        <v>2237</v>
      </c>
      <c r="E36" s="48">
        <v>2326</v>
      </c>
      <c r="F36" s="48">
        <v>2373</v>
      </c>
      <c r="G36" s="48">
        <v>2420</v>
      </c>
    </row>
    <row r="37" spans="1:7" x14ac:dyDescent="0.45">
      <c r="A37" s="1003"/>
      <c r="B37" s="373">
        <v>2</v>
      </c>
      <c r="C37" s="373">
        <v>7</v>
      </c>
      <c r="D37" s="48">
        <v>2290</v>
      </c>
      <c r="E37" s="48">
        <v>2382</v>
      </c>
      <c r="F37" s="48">
        <v>2430</v>
      </c>
      <c r="G37" s="48">
        <v>2587</v>
      </c>
    </row>
    <row r="38" spans="1:7" x14ac:dyDescent="0.45">
      <c r="A38" s="1003"/>
      <c r="B38" s="373">
        <v>3</v>
      </c>
      <c r="C38" s="373">
        <v>8</v>
      </c>
      <c r="D38" s="48">
        <v>2339</v>
      </c>
      <c r="E38" s="48">
        <v>2433</v>
      </c>
      <c r="F38" s="48">
        <v>2482</v>
      </c>
      <c r="G38" s="48">
        <v>2649</v>
      </c>
    </row>
    <row r="39" spans="1:7" x14ac:dyDescent="0.45">
      <c r="A39" s="1003"/>
      <c r="B39" s="374">
        <v>4</v>
      </c>
      <c r="C39" s="373">
        <v>9</v>
      </c>
      <c r="D39" s="48">
        <v>2390</v>
      </c>
      <c r="E39" s="48">
        <v>2486</v>
      </c>
      <c r="F39" s="48">
        <v>2536</v>
      </c>
      <c r="G39" s="48">
        <v>2717</v>
      </c>
    </row>
    <row r="40" spans="1:7" x14ac:dyDescent="0.45">
      <c r="A40" s="1003"/>
      <c r="B40" s="374">
        <v>5</v>
      </c>
      <c r="C40" s="373">
        <v>10</v>
      </c>
      <c r="D40" s="48">
        <v>2448</v>
      </c>
      <c r="E40" s="48">
        <v>2546</v>
      </c>
      <c r="F40" s="48">
        <v>2597</v>
      </c>
      <c r="G40" s="48">
        <v>2790</v>
      </c>
    </row>
    <row r="41" spans="1:7" x14ac:dyDescent="0.45">
      <c r="A41" s="1003"/>
      <c r="B41" s="374">
        <v>6</v>
      </c>
      <c r="C41" s="373">
        <v>11</v>
      </c>
      <c r="D41" s="48">
        <v>2512</v>
      </c>
      <c r="E41" s="48">
        <v>2612</v>
      </c>
      <c r="F41" s="48">
        <v>2664</v>
      </c>
      <c r="G41" s="48">
        <v>2868</v>
      </c>
    </row>
    <row r="42" spans="1:7" x14ac:dyDescent="0.45">
      <c r="A42" s="1003"/>
      <c r="B42" s="374">
        <v>7</v>
      </c>
      <c r="C42" s="373">
        <v>12</v>
      </c>
      <c r="D42" s="48">
        <v>2578</v>
      </c>
      <c r="E42" s="48">
        <v>2681</v>
      </c>
      <c r="F42" s="48">
        <v>2735</v>
      </c>
      <c r="G42" s="48">
        <v>2951</v>
      </c>
    </row>
    <row r="43" spans="1:7" x14ac:dyDescent="0.45">
      <c r="A43" s="1003"/>
      <c r="B43" s="374">
        <v>8</v>
      </c>
      <c r="C43" s="373">
        <v>13</v>
      </c>
      <c r="D43" s="48">
        <v>2651</v>
      </c>
      <c r="E43" s="48">
        <v>2757</v>
      </c>
      <c r="F43" s="48">
        <v>2812</v>
      </c>
      <c r="G43" s="48">
        <v>3025</v>
      </c>
    </row>
    <row r="44" spans="1:7" x14ac:dyDescent="0.45">
      <c r="A44" s="1003"/>
      <c r="B44" s="374">
        <v>9</v>
      </c>
      <c r="C44" s="373">
        <v>14</v>
      </c>
      <c r="D44" s="48">
        <v>2727</v>
      </c>
      <c r="E44" s="48">
        <v>2836</v>
      </c>
      <c r="F44" s="48">
        <v>2893</v>
      </c>
      <c r="G44" s="48">
        <v>3113</v>
      </c>
    </row>
    <row r="45" spans="1:7" x14ac:dyDescent="0.45">
      <c r="A45" s="1003"/>
      <c r="B45" s="43">
        <v>10</v>
      </c>
      <c r="C45" s="373">
        <v>15</v>
      </c>
      <c r="D45" s="48">
        <v>2796</v>
      </c>
      <c r="E45" s="48">
        <v>2908</v>
      </c>
      <c r="F45" s="48">
        <v>2966</v>
      </c>
      <c r="G45" s="48">
        <v>2479</v>
      </c>
    </row>
    <row r="46" spans="1:7" x14ac:dyDescent="0.45">
      <c r="A46" s="1003"/>
      <c r="B46" s="374">
        <v>11</v>
      </c>
      <c r="C46" s="373">
        <v>16</v>
      </c>
      <c r="D46" s="48">
        <v>2877</v>
      </c>
      <c r="E46" s="48">
        <v>2992</v>
      </c>
      <c r="F46" s="48">
        <v>3052</v>
      </c>
      <c r="G46" s="48">
        <v>2532</v>
      </c>
    </row>
    <row r="47" spans="1:7" x14ac:dyDescent="0.45">
      <c r="A47" s="999">
        <v>25</v>
      </c>
      <c r="B47" s="374">
        <v>0</v>
      </c>
      <c r="C47" s="373">
        <v>5</v>
      </c>
      <c r="D47" s="48">
        <v>2203</v>
      </c>
      <c r="E47" s="48">
        <v>2291</v>
      </c>
      <c r="F47" s="48">
        <v>2337</v>
      </c>
      <c r="G47" s="48">
        <v>2384</v>
      </c>
    </row>
    <row r="48" spans="1:7" x14ac:dyDescent="0.45">
      <c r="A48" s="999"/>
      <c r="B48" s="374">
        <v>1</v>
      </c>
      <c r="C48" s="373">
        <v>7</v>
      </c>
      <c r="D48" s="48">
        <v>2290</v>
      </c>
      <c r="E48" s="48">
        <v>2382</v>
      </c>
      <c r="F48" s="48">
        <v>2430</v>
      </c>
      <c r="G48" s="48">
        <v>2479</v>
      </c>
    </row>
    <row r="49" spans="1:7" x14ac:dyDescent="0.45">
      <c r="A49" s="999"/>
      <c r="B49" s="376">
        <v>2</v>
      </c>
      <c r="C49" s="373">
        <v>9</v>
      </c>
      <c r="D49" s="48">
        <v>2390</v>
      </c>
      <c r="E49" s="48">
        <v>2486</v>
      </c>
      <c r="F49" s="48">
        <v>2536</v>
      </c>
      <c r="G49" s="48">
        <v>2587</v>
      </c>
    </row>
    <row r="50" spans="1:7" x14ac:dyDescent="0.45">
      <c r="A50" s="999"/>
      <c r="B50" s="372">
        <v>3</v>
      </c>
      <c r="C50" s="373">
        <v>10</v>
      </c>
      <c r="D50" s="48">
        <v>2448</v>
      </c>
      <c r="E50" s="48">
        <v>2546</v>
      </c>
      <c r="F50" s="48">
        <v>2597</v>
      </c>
      <c r="G50" s="48">
        <v>2649</v>
      </c>
    </row>
    <row r="51" spans="1:7" x14ac:dyDescent="0.45">
      <c r="A51" s="999"/>
      <c r="B51" s="372">
        <v>4</v>
      </c>
      <c r="C51" s="373">
        <v>11</v>
      </c>
      <c r="D51" s="48">
        <v>2512</v>
      </c>
      <c r="E51" s="48">
        <v>2612</v>
      </c>
      <c r="F51" s="48">
        <v>2664</v>
      </c>
      <c r="G51" s="48">
        <v>2717</v>
      </c>
    </row>
    <row r="52" spans="1:7" x14ac:dyDescent="0.45">
      <c r="A52" s="999"/>
      <c r="B52" s="372">
        <v>5</v>
      </c>
      <c r="C52" s="373">
        <v>12</v>
      </c>
      <c r="D52" s="48">
        <v>2578</v>
      </c>
      <c r="E52" s="48">
        <v>2681</v>
      </c>
      <c r="F52" s="48">
        <v>2735</v>
      </c>
      <c r="G52" s="48">
        <v>2790</v>
      </c>
    </row>
    <row r="53" spans="1:7" x14ac:dyDescent="0.45">
      <c r="A53" s="999"/>
      <c r="B53" s="372">
        <v>6</v>
      </c>
      <c r="C53" s="373">
        <v>13</v>
      </c>
      <c r="D53" s="48">
        <v>2651</v>
      </c>
      <c r="E53" s="48">
        <v>2757</v>
      </c>
      <c r="F53" s="48">
        <v>2812</v>
      </c>
      <c r="G53" s="48">
        <v>2868</v>
      </c>
    </row>
    <row r="54" spans="1:7" x14ac:dyDescent="0.45">
      <c r="A54" s="999"/>
      <c r="B54" s="372">
        <v>7</v>
      </c>
      <c r="C54" s="373">
        <v>14</v>
      </c>
      <c r="D54" s="48">
        <v>2727</v>
      </c>
      <c r="E54" s="48">
        <v>2836</v>
      </c>
      <c r="F54" s="48">
        <v>2893</v>
      </c>
      <c r="G54" s="48">
        <v>2951</v>
      </c>
    </row>
    <row r="55" spans="1:7" x14ac:dyDescent="0.45">
      <c r="A55" s="999"/>
      <c r="B55" s="372">
        <v>8</v>
      </c>
      <c r="C55" s="373">
        <v>15</v>
      </c>
      <c r="D55" s="48">
        <v>2796</v>
      </c>
      <c r="E55" s="48">
        <v>2908</v>
      </c>
      <c r="F55" s="48">
        <v>2966</v>
      </c>
      <c r="G55" s="48">
        <v>3025</v>
      </c>
    </row>
    <row r="56" spans="1:7" x14ac:dyDescent="0.45">
      <c r="A56" s="999"/>
      <c r="B56" s="372">
        <v>9</v>
      </c>
      <c r="C56" s="373">
        <v>16</v>
      </c>
      <c r="D56" s="48">
        <v>2877</v>
      </c>
      <c r="E56" s="48">
        <v>2992</v>
      </c>
      <c r="F56" s="48">
        <v>3052</v>
      </c>
      <c r="G56" s="48">
        <v>3113</v>
      </c>
    </row>
    <row r="57" spans="1:7" x14ac:dyDescent="0.45">
      <c r="A57" s="999"/>
      <c r="B57" s="372">
        <v>10</v>
      </c>
      <c r="C57" s="373">
        <v>17</v>
      </c>
      <c r="D57" s="48">
        <v>2946</v>
      </c>
      <c r="E57" s="48">
        <v>3064</v>
      </c>
      <c r="F57" s="48">
        <v>3125</v>
      </c>
      <c r="G57" s="48">
        <v>3188</v>
      </c>
    </row>
    <row r="58" spans="1:7" x14ac:dyDescent="0.45">
      <c r="A58" s="1001"/>
      <c r="B58" s="372">
        <v>11</v>
      </c>
      <c r="C58" s="373">
        <v>18</v>
      </c>
      <c r="D58" s="48">
        <v>3028</v>
      </c>
      <c r="E58" s="48">
        <v>0</v>
      </c>
      <c r="F58" s="48">
        <v>0</v>
      </c>
      <c r="G58" s="48">
        <v>0</v>
      </c>
    </row>
    <row r="59" spans="1:7" x14ac:dyDescent="0.45">
      <c r="A59" s="1000">
        <v>30</v>
      </c>
      <c r="B59" s="372">
        <v>0</v>
      </c>
      <c r="C59" s="373">
        <v>6</v>
      </c>
      <c r="D59" s="48">
        <v>2237</v>
      </c>
      <c r="E59" s="48">
        <v>2326</v>
      </c>
      <c r="F59" s="48">
        <v>2373</v>
      </c>
      <c r="G59" s="48">
        <v>2420</v>
      </c>
    </row>
    <row r="60" spans="1:7" x14ac:dyDescent="0.45">
      <c r="A60" s="999"/>
      <c r="B60" s="373">
        <v>1</v>
      </c>
      <c r="C60" s="373">
        <v>8</v>
      </c>
      <c r="D60" s="48">
        <v>2339</v>
      </c>
      <c r="E60" s="48">
        <v>2433</v>
      </c>
      <c r="F60" s="48">
        <v>2482</v>
      </c>
      <c r="G60" s="48">
        <v>2532</v>
      </c>
    </row>
    <row r="61" spans="1:7" x14ac:dyDescent="0.45">
      <c r="A61" s="999"/>
      <c r="B61" s="373">
        <v>2</v>
      </c>
      <c r="C61" s="373">
        <v>10</v>
      </c>
      <c r="D61" s="48">
        <v>2448</v>
      </c>
      <c r="E61" s="48">
        <v>2546</v>
      </c>
      <c r="F61" s="48">
        <v>2597</v>
      </c>
      <c r="G61" s="48">
        <v>2649</v>
      </c>
    </row>
    <row r="62" spans="1:7" x14ac:dyDescent="0.45">
      <c r="A62" s="999"/>
      <c r="B62" s="373">
        <v>3</v>
      </c>
      <c r="C62" s="373">
        <v>12</v>
      </c>
      <c r="D62" s="48">
        <v>2578</v>
      </c>
      <c r="E62" s="48">
        <v>2681</v>
      </c>
      <c r="F62" s="48">
        <v>2735</v>
      </c>
      <c r="G62" s="48">
        <v>2790</v>
      </c>
    </row>
    <row r="63" spans="1:7" x14ac:dyDescent="0.45">
      <c r="A63" s="999"/>
      <c r="B63" s="374">
        <v>4</v>
      </c>
      <c r="C63" s="373">
        <v>13</v>
      </c>
      <c r="D63" s="48">
        <v>2651</v>
      </c>
      <c r="E63" s="48">
        <v>2757</v>
      </c>
      <c r="F63" s="48">
        <v>2812</v>
      </c>
      <c r="G63" s="48">
        <v>2868</v>
      </c>
    </row>
    <row r="64" spans="1:7" x14ac:dyDescent="0.45">
      <c r="A64" s="999"/>
      <c r="B64" s="374">
        <v>5</v>
      </c>
      <c r="C64" s="373">
        <v>14</v>
      </c>
      <c r="D64" s="48">
        <v>2727</v>
      </c>
      <c r="E64" s="48">
        <v>2836</v>
      </c>
      <c r="F64" s="48">
        <v>2893</v>
      </c>
      <c r="G64" s="48">
        <v>2951</v>
      </c>
    </row>
    <row r="65" spans="1:7" x14ac:dyDescent="0.45">
      <c r="A65" s="999"/>
      <c r="B65" s="374">
        <v>6</v>
      </c>
      <c r="C65" s="373">
        <v>15</v>
      </c>
      <c r="D65" s="48">
        <v>2796</v>
      </c>
      <c r="E65" s="48">
        <v>2908</v>
      </c>
      <c r="F65" s="48">
        <v>2966</v>
      </c>
      <c r="G65" s="48">
        <v>3025</v>
      </c>
    </row>
    <row r="66" spans="1:7" x14ac:dyDescent="0.45">
      <c r="A66" s="999"/>
      <c r="B66" s="374">
        <v>7</v>
      </c>
      <c r="C66" s="373">
        <v>16</v>
      </c>
      <c r="D66" s="48">
        <v>2877</v>
      </c>
      <c r="E66" s="48">
        <v>2992</v>
      </c>
      <c r="F66" s="48">
        <v>3052</v>
      </c>
      <c r="G66" s="48">
        <v>3113</v>
      </c>
    </row>
    <row r="67" spans="1:7" x14ac:dyDescent="0.45">
      <c r="A67" s="999"/>
      <c r="B67" s="374">
        <v>8</v>
      </c>
      <c r="C67" s="373">
        <v>17</v>
      </c>
      <c r="D67" s="48">
        <v>2946</v>
      </c>
      <c r="E67" s="48">
        <v>3064</v>
      </c>
      <c r="F67" s="48">
        <v>3125</v>
      </c>
      <c r="G67" s="48">
        <v>3188</v>
      </c>
    </row>
    <row r="68" spans="1:7" x14ac:dyDescent="0.45">
      <c r="A68" s="999"/>
      <c r="B68" s="374">
        <v>9</v>
      </c>
      <c r="C68" s="373">
        <v>18</v>
      </c>
      <c r="D68" s="48">
        <v>3028</v>
      </c>
      <c r="E68" s="48">
        <v>3149</v>
      </c>
      <c r="F68" s="48">
        <v>3212</v>
      </c>
      <c r="G68" s="48">
        <v>3276</v>
      </c>
    </row>
    <row r="69" spans="1:7" x14ac:dyDescent="0.45">
      <c r="A69" s="999"/>
      <c r="B69" s="374">
        <v>10</v>
      </c>
      <c r="C69" s="373">
        <v>19</v>
      </c>
      <c r="D69" s="48">
        <v>3107</v>
      </c>
      <c r="E69" s="48">
        <v>3231</v>
      </c>
      <c r="F69" s="48">
        <v>3296</v>
      </c>
      <c r="G69" s="48">
        <v>3453</v>
      </c>
    </row>
    <row r="70" spans="1:7" x14ac:dyDescent="0.45">
      <c r="A70" s="999"/>
      <c r="B70" s="374">
        <v>11</v>
      </c>
      <c r="C70" s="373">
        <v>20</v>
      </c>
      <c r="D70" s="48">
        <v>3191</v>
      </c>
      <c r="E70" s="48">
        <v>3319</v>
      </c>
      <c r="F70" s="48">
        <v>3385</v>
      </c>
      <c r="G70" s="48">
        <v>3362</v>
      </c>
    </row>
    <row r="71" spans="1:7" x14ac:dyDescent="0.45">
      <c r="A71" s="999">
        <v>35</v>
      </c>
      <c r="B71" s="374">
        <v>1</v>
      </c>
      <c r="C71" s="373">
        <v>10</v>
      </c>
      <c r="D71" s="48">
        <v>2448</v>
      </c>
      <c r="E71" s="48">
        <v>2546</v>
      </c>
      <c r="F71" s="48">
        <v>2597</v>
      </c>
      <c r="G71" s="48">
        <v>2649</v>
      </c>
    </row>
    <row r="72" spans="1:7" x14ac:dyDescent="0.45">
      <c r="A72" s="999"/>
      <c r="B72" s="43">
        <v>2</v>
      </c>
      <c r="C72" s="373">
        <v>12</v>
      </c>
      <c r="D72" s="48">
        <v>2578</v>
      </c>
      <c r="E72" s="48">
        <v>2681</v>
      </c>
      <c r="F72" s="48">
        <v>2735</v>
      </c>
      <c r="G72" s="48">
        <v>2790</v>
      </c>
    </row>
    <row r="73" spans="1:7" x14ac:dyDescent="0.45">
      <c r="A73" s="999"/>
      <c r="B73" s="376">
        <v>3</v>
      </c>
      <c r="C73" s="373">
        <v>14</v>
      </c>
      <c r="D73" s="48">
        <v>2727</v>
      </c>
      <c r="E73" s="48">
        <v>2836</v>
      </c>
      <c r="F73" s="48">
        <v>2893</v>
      </c>
      <c r="G73" s="48">
        <v>2951</v>
      </c>
    </row>
    <row r="74" spans="1:7" x14ac:dyDescent="0.45">
      <c r="A74" s="999"/>
      <c r="B74" s="372">
        <v>4</v>
      </c>
      <c r="C74" s="373">
        <v>15</v>
      </c>
      <c r="D74" s="48">
        <v>2796</v>
      </c>
      <c r="E74" s="48">
        <v>2908</v>
      </c>
      <c r="F74" s="48">
        <v>2966</v>
      </c>
      <c r="G74" s="48">
        <v>3025</v>
      </c>
    </row>
    <row r="75" spans="1:7" x14ac:dyDescent="0.45">
      <c r="A75" s="999"/>
      <c r="B75" s="372">
        <v>5</v>
      </c>
      <c r="C75" s="373">
        <v>16</v>
      </c>
      <c r="D75" s="48">
        <v>2877</v>
      </c>
      <c r="E75" s="48">
        <v>2992</v>
      </c>
      <c r="F75" s="48">
        <v>3052</v>
      </c>
      <c r="G75" s="48">
        <v>3113</v>
      </c>
    </row>
    <row r="76" spans="1:7" x14ac:dyDescent="0.45">
      <c r="A76" s="999"/>
      <c r="B76" s="376">
        <v>6</v>
      </c>
      <c r="C76" s="373">
        <v>17</v>
      </c>
      <c r="D76" s="48">
        <v>2946</v>
      </c>
      <c r="E76" s="48">
        <v>3064</v>
      </c>
      <c r="F76" s="48">
        <v>3125</v>
      </c>
      <c r="G76" s="48">
        <v>3188</v>
      </c>
    </row>
    <row r="77" spans="1:7" x14ac:dyDescent="0.45">
      <c r="A77" s="999"/>
      <c r="B77" s="372">
        <v>7</v>
      </c>
      <c r="C77" s="373">
        <v>18</v>
      </c>
      <c r="D77" s="48">
        <v>3028</v>
      </c>
      <c r="E77" s="48">
        <v>3149</v>
      </c>
      <c r="F77" s="48">
        <v>3212</v>
      </c>
      <c r="G77" s="48">
        <v>3276</v>
      </c>
    </row>
    <row r="78" spans="1:7" x14ac:dyDescent="0.45">
      <c r="A78" s="999"/>
      <c r="B78" s="372">
        <v>8</v>
      </c>
      <c r="C78" s="373">
        <v>19</v>
      </c>
      <c r="D78" s="48">
        <v>3107</v>
      </c>
      <c r="E78" s="48">
        <v>3231</v>
      </c>
      <c r="F78" s="48">
        <v>3296</v>
      </c>
      <c r="G78" s="48">
        <v>3362</v>
      </c>
    </row>
    <row r="79" spans="1:7" x14ac:dyDescent="0.45">
      <c r="A79" s="999"/>
      <c r="B79" s="372">
        <v>9</v>
      </c>
      <c r="C79" s="373">
        <v>20</v>
      </c>
      <c r="D79" s="48">
        <v>3191</v>
      </c>
      <c r="E79" s="48">
        <v>3319</v>
      </c>
      <c r="F79" s="48">
        <v>3385</v>
      </c>
      <c r="G79" s="48">
        <v>3453</v>
      </c>
    </row>
    <row r="80" spans="1:7" x14ac:dyDescent="0.45">
      <c r="A80" s="999"/>
      <c r="B80" s="373">
        <v>10</v>
      </c>
      <c r="C80" s="373">
        <v>21</v>
      </c>
      <c r="D80" s="48">
        <v>3269</v>
      </c>
      <c r="E80" s="48">
        <v>3400</v>
      </c>
      <c r="F80" s="48">
        <v>3468</v>
      </c>
      <c r="G80" s="48">
        <v>3537</v>
      </c>
    </row>
    <row r="81" spans="1:7" x14ac:dyDescent="0.45">
      <c r="A81" s="999"/>
      <c r="B81" s="372">
        <v>11</v>
      </c>
      <c r="C81" s="373">
        <v>22</v>
      </c>
      <c r="D81" s="48">
        <v>3347</v>
      </c>
      <c r="E81" s="48">
        <v>3481</v>
      </c>
      <c r="F81" s="48">
        <v>3551</v>
      </c>
      <c r="G81" s="48">
        <v>3622</v>
      </c>
    </row>
    <row r="82" spans="1:7" x14ac:dyDescent="0.45">
      <c r="A82" s="1001"/>
      <c r="B82" s="372">
        <v>12</v>
      </c>
      <c r="C82" s="373">
        <v>23</v>
      </c>
      <c r="D82" s="48">
        <v>3427</v>
      </c>
      <c r="E82" s="48">
        <v>3564</v>
      </c>
      <c r="F82" s="48">
        <v>3635</v>
      </c>
      <c r="G82" s="48">
        <v>3708</v>
      </c>
    </row>
    <row r="83" spans="1:7" x14ac:dyDescent="0.45">
      <c r="A83" s="1000">
        <v>40</v>
      </c>
      <c r="B83" s="373">
        <v>2</v>
      </c>
      <c r="C83" s="373">
        <v>14</v>
      </c>
      <c r="D83" s="48">
        <v>2727</v>
      </c>
      <c r="E83" s="48">
        <v>2836</v>
      </c>
      <c r="F83" s="48">
        <v>2893</v>
      </c>
      <c r="G83" s="48">
        <v>2951</v>
      </c>
    </row>
    <row r="84" spans="1:7" x14ac:dyDescent="0.45">
      <c r="A84" s="999"/>
      <c r="B84" s="373">
        <v>3</v>
      </c>
      <c r="C84" s="373">
        <v>16</v>
      </c>
      <c r="D84" s="48">
        <v>2877</v>
      </c>
      <c r="E84" s="48">
        <v>2992</v>
      </c>
      <c r="F84" s="48">
        <v>3052</v>
      </c>
      <c r="G84" s="48">
        <v>3113</v>
      </c>
    </row>
    <row r="85" spans="1:7" x14ac:dyDescent="0.45">
      <c r="A85" s="999"/>
      <c r="B85" s="373">
        <v>4</v>
      </c>
      <c r="C85" s="373">
        <v>17</v>
      </c>
      <c r="D85" s="48">
        <v>2946</v>
      </c>
      <c r="E85" s="48">
        <v>3064</v>
      </c>
      <c r="F85" s="48">
        <v>3125</v>
      </c>
      <c r="G85" s="48">
        <v>3188</v>
      </c>
    </row>
    <row r="86" spans="1:7" x14ac:dyDescent="0.45">
      <c r="A86" s="999"/>
      <c r="B86" s="373">
        <v>5</v>
      </c>
      <c r="C86" s="373">
        <v>18</v>
      </c>
      <c r="D86" s="48">
        <v>3028</v>
      </c>
      <c r="E86" s="48">
        <v>3149</v>
      </c>
      <c r="F86" s="48">
        <v>3212</v>
      </c>
      <c r="G86" s="48">
        <v>3276</v>
      </c>
    </row>
    <row r="87" spans="1:7" x14ac:dyDescent="0.45">
      <c r="A87" s="999"/>
      <c r="B87" s="373">
        <v>6</v>
      </c>
      <c r="C87" s="373">
        <v>19</v>
      </c>
      <c r="D87" s="48">
        <v>3107</v>
      </c>
      <c r="E87" s="48">
        <v>3231</v>
      </c>
      <c r="F87" s="48">
        <v>3296</v>
      </c>
      <c r="G87" s="48">
        <v>3362</v>
      </c>
    </row>
    <row r="88" spans="1:7" x14ac:dyDescent="0.45">
      <c r="A88" s="999"/>
      <c r="B88" s="374">
        <v>7</v>
      </c>
      <c r="C88" s="373">
        <v>20</v>
      </c>
      <c r="D88" s="48">
        <v>3191</v>
      </c>
      <c r="E88" s="48">
        <v>3319</v>
      </c>
      <c r="F88" s="48">
        <v>3385</v>
      </c>
      <c r="G88" s="48">
        <v>3453</v>
      </c>
    </row>
    <row r="89" spans="1:7" x14ac:dyDescent="0.45">
      <c r="A89" s="999"/>
      <c r="B89" s="374">
        <v>8</v>
      </c>
      <c r="C89" s="373">
        <v>21</v>
      </c>
      <c r="D89" s="48">
        <v>3269</v>
      </c>
      <c r="E89" s="48">
        <v>3400</v>
      </c>
      <c r="F89" s="48">
        <v>3468</v>
      </c>
      <c r="G89" s="48">
        <v>3537</v>
      </c>
    </row>
    <row r="90" spans="1:7" x14ac:dyDescent="0.45">
      <c r="A90" s="999"/>
      <c r="B90" s="374">
        <v>9</v>
      </c>
      <c r="C90" s="373">
        <v>22</v>
      </c>
      <c r="D90" s="48">
        <v>3347</v>
      </c>
      <c r="E90" s="48">
        <v>3481</v>
      </c>
      <c r="F90" s="48">
        <v>3551</v>
      </c>
      <c r="G90" s="48">
        <v>3622</v>
      </c>
    </row>
    <row r="91" spans="1:7" x14ac:dyDescent="0.45">
      <c r="A91" s="999"/>
      <c r="B91" s="43">
        <v>10</v>
      </c>
      <c r="C91" s="373">
        <v>23</v>
      </c>
      <c r="D91" s="48">
        <v>3427</v>
      </c>
      <c r="E91" s="48">
        <v>3564</v>
      </c>
      <c r="F91" s="48">
        <v>3635</v>
      </c>
      <c r="G91" s="48">
        <v>3708</v>
      </c>
    </row>
    <row r="92" spans="1:7" x14ac:dyDescent="0.45">
      <c r="A92" s="999"/>
      <c r="B92" s="374">
        <v>11</v>
      </c>
      <c r="C92" s="373">
        <v>24</v>
      </c>
      <c r="D92" s="48">
        <v>3505</v>
      </c>
      <c r="E92" s="48">
        <v>3645</v>
      </c>
      <c r="F92" s="48">
        <v>3718</v>
      </c>
      <c r="G92" s="48">
        <v>3792</v>
      </c>
    </row>
    <row r="93" spans="1:7" x14ac:dyDescent="0.45">
      <c r="A93" s="999"/>
      <c r="B93" s="374">
        <v>12</v>
      </c>
      <c r="C93" s="373">
        <v>25</v>
      </c>
      <c r="D93" s="48">
        <v>3593</v>
      </c>
      <c r="E93" s="48">
        <v>3737</v>
      </c>
      <c r="F93" s="48">
        <v>3812</v>
      </c>
      <c r="G93" s="48">
        <v>3888</v>
      </c>
    </row>
    <row r="94" spans="1:7" x14ac:dyDescent="0.45">
      <c r="A94" s="1001"/>
      <c r="B94" s="43">
        <v>13</v>
      </c>
      <c r="C94" s="373">
        <v>26</v>
      </c>
      <c r="D94" s="48">
        <v>3678</v>
      </c>
      <c r="E94" s="48">
        <v>3825</v>
      </c>
      <c r="F94" s="48">
        <v>3902</v>
      </c>
      <c r="G94" s="48">
        <v>3980</v>
      </c>
    </row>
    <row r="95" spans="1:7" x14ac:dyDescent="0.45">
      <c r="A95" s="1000">
        <v>45</v>
      </c>
      <c r="B95" s="43">
        <v>2</v>
      </c>
      <c r="C95" s="373">
        <v>16</v>
      </c>
      <c r="D95" s="48">
        <v>2877</v>
      </c>
      <c r="E95" s="48">
        <v>2992</v>
      </c>
      <c r="F95" s="48">
        <v>3052</v>
      </c>
      <c r="G95" s="48">
        <v>3113</v>
      </c>
    </row>
    <row r="96" spans="1:7" x14ac:dyDescent="0.45">
      <c r="A96" s="999"/>
      <c r="B96" s="43">
        <v>3</v>
      </c>
      <c r="C96" s="373">
        <v>18</v>
      </c>
      <c r="D96" s="48">
        <v>3028</v>
      </c>
      <c r="E96" s="48">
        <v>3149</v>
      </c>
      <c r="F96" s="48">
        <v>3212</v>
      </c>
      <c r="G96" s="48">
        <v>3276</v>
      </c>
    </row>
    <row r="97" spans="1:7" x14ac:dyDescent="0.45">
      <c r="A97" s="999"/>
      <c r="B97" s="43">
        <v>4</v>
      </c>
      <c r="C97" s="373">
        <v>20</v>
      </c>
      <c r="D97" s="48">
        <v>3191</v>
      </c>
      <c r="E97" s="48">
        <v>3319</v>
      </c>
      <c r="F97" s="48">
        <v>3385</v>
      </c>
      <c r="G97" s="48">
        <v>3453</v>
      </c>
    </row>
    <row r="98" spans="1:7" x14ac:dyDescent="0.45">
      <c r="A98" s="999"/>
      <c r="B98" s="376">
        <v>5</v>
      </c>
      <c r="C98" s="373">
        <v>21</v>
      </c>
      <c r="D98" s="48">
        <v>3269</v>
      </c>
      <c r="E98" s="48">
        <v>3400</v>
      </c>
      <c r="F98" s="48">
        <v>3468</v>
      </c>
      <c r="G98" s="48">
        <v>3537</v>
      </c>
    </row>
    <row r="99" spans="1:7" x14ac:dyDescent="0.45">
      <c r="A99" s="999"/>
      <c r="B99" s="372">
        <v>6</v>
      </c>
      <c r="C99" s="373">
        <v>22</v>
      </c>
      <c r="D99" s="48">
        <v>3347</v>
      </c>
      <c r="E99" s="48">
        <v>3481</v>
      </c>
      <c r="F99" s="48">
        <v>3551</v>
      </c>
      <c r="G99" s="48">
        <v>3622</v>
      </c>
    </row>
    <row r="100" spans="1:7" x14ac:dyDescent="0.45">
      <c r="A100" s="999"/>
      <c r="B100" s="372">
        <v>7</v>
      </c>
      <c r="C100" s="373">
        <v>23</v>
      </c>
      <c r="D100" s="48">
        <v>3427</v>
      </c>
      <c r="E100" s="48">
        <v>3564</v>
      </c>
      <c r="F100" s="48">
        <v>3635</v>
      </c>
      <c r="G100" s="48">
        <v>3708</v>
      </c>
    </row>
    <row r="101" spans="1:7" x14ac:dyDescent="0.45">
      <c r="A101" s="999"/>
      <c r="B101" s="376">
        <v>8</v>
      </c>
      <c r="C101" s="373">
        <v>24</v>
      </c>
      <c r="D101" s="48">
        <v>3505</v>
      </c>
      <c r="E101" s="48">
        <v>3645</v>
      </c>
      <c r="F101" s="48">
        <v>3718</v>
      </c>
      <c r="G101" s="48">
        <v>3792</v>
      </c>
    </row>
    <row r="102" spans="1:7" x14ac:dyDescent="0.45">
      <c r="A102" s="999"/>
      <c r="B102" s="372">
        <v>9</v>
      </c>
      <c r="C102" s="373">
        <v>25</v>
      </c>
      <c r="D102" s="48">
        <v>3593</v>
      </c>
      <c r="E102" s="48">
        <v>3737</v>
      </c>
      <c r="F102" s="48">
        <v>3812</v>
      </c>
      <c r="G102" s="48">
        <v>3888</v>
      </c>
    </row>
    <row r="103" spans="1:7" x14ac:dyDescent="0.45">
      <c r="A103" s="999"/>
      <c r="B103" s="373">
        <v>10</v>
      </c>
      <c r="C103" s="373">
        <v>26</v>
      </c>
      <c r="D103" s="48">
        <v>3678</v>
      </c>
      <c r="E103" s="48">
        <v>3825</v>
      </c>
      <c r="F103" s="48">
        <v>3902</v>
      </c>
      <c r="G103" s="48">
        <v>3980</v>
      </c>
    </row>
    <row r="104" spans="1:7" x14ac:dyDescent="0.45">
      <c r="A104" s="999"/>
      <c r="B104" s="373">
        <v>11</v>
      </c>
      <c r="C104" s="373">
        <v>27</v>
      </c>
      <c r="D104" s="48">
        <v>3766</v>
      </c>
      <c r="E104" s="48">
        <v>3917</v>
      </c>
      <c r="F104" s="48">
        <v>3995</v>
      </c>
      <c r="G104" s="48">
        <v>4075</v>
      </c>
    </row>
    <row r="105" spans="1:7" x14ac:dyDescent="0.45">
      <c r="A105" s="999"/>
      <c r="B105" s="373">
        <v>12</v>
      </c>
      <c r="C105" s="373">
        <v>28</v>
      </c>
      <c r="D105" s="48">
        <v>3843</v>
      </c>
      <c r="E105" s="48">
        <v>3997</v>
      </c>
      <c r="F105" s="48">
        <v>4077</v>
      </c>
      <c r="G105" s="48">
        <v>4159</v>
      </c>
    </row>
    <row r="106" spans="1:7" x14ac:dyDescent="0.45">
      <c r="A106" s="999"/>
      <c r="B106" s="372">
        <v>13</v>
      </c>
      <c r="C106" s="373">
        <v>29</v>
      </c>
      <c r="D106" s="48">
        <v>3932</v>
      </c>
      <c r="E106" s="48">
        <v>4089</v>
      </c>
      <c r="F106" s="48">
        <v>4171</v>
      </c>
      <c r="G106" s="48">
        <v>4254</v>
      </c>
    </row>
    <row r="107" spans="1:7" x14ac:dyDescent="0.45">
      <c r="A107" s="1001"/>
      <c r="B107" s="372">
        <v>14</v>
      </c>
      <c r="C107" s="373">
        <v>30</v>
      </c>
      <c r="D107" s="48">
        <v>4017</v>
      </c>
      <c r="E107" s="48">
        <v>4178</v>
      </c>
      <c r="F107" s="48">
        <v>4262</v>
      </c>
      <c r="G107" s="48">
        <v>4347</v>
      </c>
    </row>
    <row r="108" spans="1:7" x14ac:dyDescent="0.45">
      <c r="A108" s="1000">
        <v>50</v>
      </c>
      <c r="B108" s="373">
        <v>1</v>
      </c>
      <c r="C108" s="373">
        <v>19</v>
      </c>
      <c r="D108" s="48">
        <v>3107</v>
      </c>
      <c r="E108" s="48">
        <v>3231</v>
      </c>
      <c r="F108" s="48">
        <v>3296</v>
      </c>
      <c r="G108" s="48">
        <v>3362</v>
      </c>
    </row>
    <row r="109" spans="1:7" x14ac:dyDescent="0.45">
      <c r="A109" s="999"/>
      <c r="B109" s="372">
        <v>2</v>
      </c>
      <c r="C109" s="373">
        <v>21</v>
      </c>
      <c r="D109" s="48">
        <v>3269</v>
      </c>
      <c r="E109" s="48">
        <v>3400</v>
      </c>
      <c r="F109" s="48">
        <v>3468</v>
      </c>
      <c r="G109" s="48">
        <v>3537</v>
      </c>
    </row>
    <row r="110" spans="1:7" x14ac:dyDescent="0.45">
      <c r="A110" s="999"/>
      <c r="B110" s="372">
        <v>3</v>
      </c>
      <c r="C110" s="373">
        <v>23</v>
      </c>
      <c r="D110" s="48">
        <v>3427</v>
      </c>
      <c r="E110" s="48">
        <v>3564</v>
      </c>
      <c r="F110" s="48">
        <v>3635</v>
      </c>
      <c r="G110" s="48">
        <v>3708</v>
      </c>
    </row>
    <row r="111" spans="1:7" x14ac:dyDescent="0.45">
      <c r="A111" s="999"/>
      <c r="B111" s="372">
        <v>4</v>
      </c>
      <c r="C111" s="373">
        <v>25</v>
      </c>
      <c r="D111" s="48">
        <v>3593</v>
      </c>
      <c r="E111" s="48">
        <v>3737</v>
      </c>
      <c r="F111" s="48">
        <v>3812</v>
      </c>
      <c r="G111" s="48">
        <v>3888</v>
      </c>
    </row>
    <row r="112" spans="1:7" x14ac:dyDescent="0.45">
      <c r="A112" s="999"/>
      <c r="B112" s="372">
        <v>5</v>
      </c>
      <c r="C112" s="373">
        <v>27</v>
      </c>
      <c r="D112" s="48">
        <v>3766</v>
      </c>
      <c r="E112" s="48">
        <v>3917</v>
      </c>
      <c r="F112" s="48">
        <v>3995</v>
      </c>
      <c r="G112" s="48">
        <v>4075</v>
      </c>
    </row>
    <row r="113" spans="1:7" x14ac:dyDescent="0.45">
      <c r="A113" s="999"/>
      <c r="B113" s="43">
        <v>6</v>
      </c>
      <c r="C113" s="373">
        <v>28</v>
      </c>
      <c r="D113" s="48">
        <v>3843</v>
      </c>
      <c r="E113" s="48">
        <v>3997</v>
      </c>
      <c r="F113" s="48">
        <v>4077</v>
      </c>
      <c r="G113" s="48">
        <v>4159</v>
      </c>
    </row>
    <row r="114" spans="1:7" x14ac:dyDescent="0.45">
      <c r="A114" s="999"/>
      <c r="B114" s="43">
        <v>7</v>
      </c>
      <c r="C114" s="373">
        <v>29</v>
      </c>
      <c r="D114" s="48">
        <v>3932</v>
      </c>
      <c r="E114" s="48">
        <v>4089</v>
      </c>
      <c r="F114" s="48">
        <v>4171</v>
      </c>
      <c r="G114" s="48">
        <v>4254</v>
      </c>
    </row>
    <row r="115" spans="1:7" x14ac:dyDescent="0.45">
      <c r="A115" s="999"/>
      <c r="B115" s="43">
        <v>8</v>
      </c>
      <c r="C115" s="373">
        <v>30</v>
      </c>
      <c r="D115" s="48">
        <v>4017</v>
      </c>
      <c r="E115" s="48">
        <v>4178</v>
      </c>
      <c r="F115" s="48">
        <v>4262</v>
      </c>
      <c r="G115" s="48">
        <v>4347</v>
      </c>
    </row>
    <row r="116" spans="1:7" x14ac:dyDescent="0.45">
      <c r="A116" s="999"/>
      <c r="B116" s="43">
        <v>9</v>
      </c>
      <c r="C116" s="373">
        <v>31</v>
      </c>
      <c r="D116" s="48">
        <v>4098</v>
      </c>
      <c r="E116" s="48">
        <v>4262</v>
      </c>
      <c r="F116" s="48">
        <v>4347</v>
      </c>
      <c r="G116" s="48">
        <v>4434</v>
      </c>
    </row>
    <row r="117" spans="1:7" x14ac:dyDescent="0.45">
      <c r="A117" s="999"/>
      <c r="B117" s="374">
        <v>10</v>
      </c>
      <c r="C117" s="373">
        <v>32</v>
      </c>
      <c r="D117" s="48">
        <v>4184</v>
      </c>
      <c r="E117" s="48">
        <v>4351</v>
      </c>
      <c r="F117" s="48">
        <v>4438</v>
      </c>
      <c r="G117" s="48">
        <v>4527</v>
      </c>
    </row>
    <row r="118" spans="1:7" x14ac:dyDescent="0.45">
      <c r="A118" s="999"/>
      <c r="B118" s="374">
        <v>11</v>
      </c>
      <c r="C118" s="373">
        <v>33</v>
      </c>
      <c r="D118" s="48">
        <v>4267</v>
      </c>
      <c r="E118" s="48">
        <v>4438</v>
      </c>
      <c r="F118" s="48">
        <v>4527</v>
      </c>
      <c r="G118" s="48">
        <v>4618</v>
      </c>
    </row>
    <row r="119" spans="1:7" x14ac:dyDescent="0.45">
      <c r="A119" s="999"/>
      <c r="B119" s="374">
        <v>12</v>
      </c>
      <c r="C119" s="373">
        <v>34</v>
      </c>
      <c r="D119" s="48">
        <v>4354</v>
      </c>
      <c r="E119" s="48">
        <v>4528</v>
      </c>
      <c r="F119" s="48">
        <v>4619</v>
      </c>
      <c r="G119" s="48">
        <v>4711</v>
      </c>
    </row>
    <row r="120" spans="1:7" x14ac:dyDescent="0.45">
      <c r="A120" s="999"/>
      <c r="B120" s="374">
        <v>13</v>
      </c>
      <c r="C120" s="373">
        <v>35</v>
      </c>
      <c r="D120" s="48">
        <v>4436</v>
      </c>
      <c r="E120" s="48">
        <v>4613</v>
      </c>
      <c r="F120" s="48">
        <v>4705</v>
      </c>
      <c r="G120" s="48">
        <v>4799</v>
      </c>
    </row>
    <row r="121" spans="1:7" x14ac:dyDescent="0.45">
      <c r="A121" s="999">
        <v>55</v>
      </c>
      <c r="B121" s="43">
        <v>0</v>
      </c>
      <c r="C121" s="373">
        <v>22</v>
      </c>
      <c r="D121" s="48">
        <v>3347</v>
      </c>
      <c r="E121" s="48">
        <v>3481</v>
      </c>
      <c r="F121" s="48">
        <v>3551</v>
      </c>
      <c r="G121" s="48">
        <v>3622</v>
      </c>
    </row>
    <row r="122" spans="1:7" x14ac:dyDescent="0.45">
      <c r="A122" s="999"/>
      <c r="B122" s="43">
        <v>1</v>
      </c>
      <c r="C122" s="373">
        <v>24</v>
      </c>
      <c r="D122" s="48">
        <v>3505</v>
      </c>
      <c r="E122" s="48">
        <v>3645</v>
      </c>
      <c r="F122" s="48">
        <v>3718</v>
      </c>
      <c r="G122" s="48">
        <v>3792</v>
      </c>
    </row>
    <row r="123" spans="1:7" x14ac:dyDescent="0.45">
      <c r="A123" s="999"/>
      <c r="B123" s="375">
        <v>2</v>
      </c>
      <c r="C123" s="373">
        <v>26</v>
      </c>
      <c r="D123" s="48">
        <v>3678</v>
      </c>
      <c r="E123" s="48">
        <v>3825</v>
      </c>
      <c r="F123" s="48">
        <v>3902</v>
      </c>
      <c r="G123" s="48">
        <v>3980</v>
      </c>
    </row>
    <row r="124" spans="1:7" x14ac:dyDescent="0.45">
      <c r="A124" s="999"/>
      <c r="B124" s="373">
        <v>3</v>
      </c>
      <c r="C124" s="373">
        <v>28</v>
      </c>
      <c r="D124" s="48">
        <v>3843</v>
      </c>
      <c r="E124" s="48">
        <v>3997</v>
      </c>
      <c r="F124" s="48">
        <v>4077</v>
      </c>
      <c r="G124" s="48">
        <v>4159</v>
      </c>
    </row>
    <row r="125" spans="1:7" x14ac:dyDescent="0.45">
      <c r="A125" s="999"/>
      <c r="B125" s="375">
        <v>4</v>
      </c>
      <c r="C125" s="373">
        <v>30</v>
      </c>
      <c r="D125" s="48">
        <v>4017</v>
      </c>
      <c r="E125" s="48">
        <v>4178</v>
      </c>
      <c r="F125" s="48">
        <v>4262</v>
      </c>
      <c r="G125" s="48">
        <v>4347</v>
      </c>
    </row>
    <row r="126" spans="1:7" x14ac:dyDescent="0.45">
      <c r="A126" s="999"/>
      <c r="B126" s="373">
        <v>5</v>
      </c>
      <c r="C126" s="373">
        <v>32</v>
      </c>
      <c r="D126" s="48">
        <v>4184</v>
      </c>
      <c r="E126" s="48">
        <v>4351</v>
      </c>
      <c r="F126" s="48">
        <v>4438</v>
      </c>
      <c r="G126" s="48">
        <v>4527</v>
      </c>
    </row>
    <row r="127" spans="1:7" x14ac:dyDescent="0.45">
      <c r="A127" s="999"/>
      <c r="B127" s="372">
        <v>6</v>
      </c>
      <c r="C127" s="373">
        <v>34</v>
      </c>
      <c r="D127" s="48">
        <v>4354</v>
      </c>
      <c r="E127" s="48">
        <v>4528</v>
      </c>
      <c r="F127" s="48">
        <v>4619</v>
      </c>
      <c r="G127" s="48">
        <v>4711</v>
      </c>
    </row>
    <row r="128" spans="1:7" x14ac:dyDescent="0.45">
      <c r="A128" s="999"/>
      <c r="B128" s="373">
        <v>7</v>
      </c>
      <c r="C128" s="373">
        <v>35</v>
      </c>
      <c r="D128" s="48">
        <v>4436</v>
      </c>
      <c r="E128" s="48">
        <v>4613</v>
      </c>
      <c r="F128" s="48">
        <v>4705</v>
      </c>
      <c r="G128" s="48">
        <v>4799</v>
      </c>
    </row>
    <row r="129" spans="1:7" x14ac:dyDescent="0.45">
      <c r="A129" s="999"/>
      <c r="B129" s="373">
        <v>8</v>
      </c>
      <c r="C129" s="373">
        <v>36</v>
      </c>
      <c r="D129" s="48">
        <v>4532</v>
      </c>
      <c r="E129" s="48">
        <v>4713</v>
      </c>
      <c r="F129" s="48">
        <v>4807</v>
      </c>
      <c r="G129" s="48">
        <v>4903</v>
      </c>
    </row>
    <row r="130" spans="1:7" x14ac:dyDescent="0.45">
      <c r="A130" s="999"/>
      <c r="B130" s="375">
        <v>9</v>
      </c>
      <c r="C130" s="373">
        <v>37</v>
      </c>
      <c r="D130" s="48">
        <v>4629</v>
      </c>
      <c r="E130" s="48">
        <v>4814</v>
      </c>
      <c r="F130" s="48">
        <v>4910</v>
      </c>
      <c r="G130" s="48">
        <v>5008</v>
      </c>
    </row>
    <row r="131" spans="1:7" x14ac:dyDescent="0.45">
      <c r="A131" s="999"/>
      <c r="B131" s="372">
        <v>10</v>
      </c>
      <c r="C131" s="373">
        <v>38</v>
      </c>
      <c r="D131" s="48">
        <v>4725</v>
      </c>
      <c r="E131" s="48">
        <v>4914</v>
      </c>
      <c r="F131" s="48">
        <v>5012</v>
      </c>
      <c r="G131" s="48">
        <v>5112</v>
      </c>
    </row>
    <row r="132" spans="1:7" x14ac:dyDescent="0.45">
      <c r="A132" s="999"/>
      <c r="B132" s="373">
        <v>11</v>
      </c>
      <c r="C132" s="373">
        <v>39</v>
      </c>
      <c r="D132" s="48">
        <v>4816</v>
      </c>
      <c r="E132" s="48">
        <v>5009</v>
      </c>
      <c r="F132" s="48">
        <v>5109</v>
      </c>
      <c r="G132" s="48">
        <v>5211</v>
      </c>
    </row>
    <row r="133" spans="1:7" x14ac:dyDescent="0.45">
      <c r="A133" s="999"/>
      <c r="B133" s="372">
        <v>12</v>
      </c>
      <c r="C133" s="373">
        <v>40</v>
      </c>
      <c r="D133" s="48">
        <v>4902</v>
      </c>
      <c r="E133" s="48">
        <v>5098</v>
      </c>
      <c r="F133" s="48">
        <v>5200</v>
      </c>
      <c r="G133" s="48">
        <v>5304</v>
      </c>
    </row>
    <row r="134" spans="1:7" x14ac:dyDescent="0.45">
      <c r="A134" s="999">
        <v>60</v>
      </c>
      <c r="B134" s="373">
        <v>0</v>
      </c>
      <c r="C134" s="373">
        <v>28</v>
      </c>
      <c r="D134" s="48">
        <v>3843</v>
      </c>
      <c r="E134" s="48">
        <v>3997</v>
      </c>
      <c r="F134" s="48">
        <v>4077</v>
      </c>
      <c r="G134" s="48">
        <v>4159</v>
      </c>
    </row>
    <row r="135" spans="1:7" x14ac:dyDescent="0.45">
      <c r="A135" s="999"/>
      <c r="B135" s="373">
        <v>1</v>
      </c>
      <c r="C135" s="373">
        <v>30</v>
      </c>
      <c r="D135" s="48">
        <v>4017</v>
      </c>
      <c r="E135" s="48">
        <v>4178</v>
      </c>
      <c r="F135" s="48">
        <v>4262</v>
      </c>
      <c r="G135" s="48">
        <v>4347</v>
      </c>
    </row>
    <row r="136" spans="1:7" x14ac:dyDescent="0.45">
      <c r="A136" s="999"/>
      <c r="B136" s="372">
        <v>2</v>
      </c>
      <c r="C136" s="373">
        <v>32</v>
      </c>
      <c r="D136" s="48">
        <v>4184</v>
      </c>
      <c r="E136" s="48">
        <v>4351</v>
      </c>
      <c r="F136" s="48">
        <v>4438</v>
      </c>
      <c r="G136" s="48">
        <v>4527</v>
      </c>
    </row>
    <row r="137" spans="1:7" x14ac:dyDescent="0.45">
      <c r="A137" s="999"/>
      <c r="B137" s="372">
        <v>3</v>
      </c>
      <c r="C137" s="373">
        <v>34</v>
      </c>
      <c r="D137" s="48">
        <v>4354</v>
      </c>
      <c r="E137" s="48">
        <v>4528</v>
      </c>
      <c r="F137" s="48">
        <v>4619</v>
      </c>
      <c r="G137" s="48">
        <v>4711</v>
      </c>
    </row>
    <row r="138" spans="1:7" x14ac:dyDescent="0.45">
      <c r="A138" s="999"/>
      <c r="B138" s="372">
        <v>4</v>
      </c>
      <c r="C138" s="373">
        <v>36</v>
      </c>
      <c r="D138" s="48">
        <v>4532</v>
      </c>
      <c r="E138" s="48">
        <v>4713</v>
      </c>
      <c r="F138" s="48">
        <v>4807</v>
      </c>
      <c r="G138" s="48">
        <v>4903</v>
      </c>
    </row>
    <row r="139" spans="1:7" x14ac:dyDescent="0.45">
      <c r="A139" s="999"/>
      <c r="B139" s="43">
        <v>5</v>
      </c>
      <c r="C139" s="373">
        <v>38</v>
      </c>
      <c r="D139" s="48">
        <v>4725</v>
      </c>
      <c r="E139" s="48">
        <v>4914</v>
      </c>
      <c r="F139" s="48">
        <v>5012</v>
      </c>
      <c r="G139" s="48">
        <v>5112</v>
      </c>
    </row>
    <row r="140" spans="1:7" x14ac:dyDescent="0.45">
      <c r="A140" s="999"/>
      <c r="B140" s="43">
        <v>6</v>
      </c>
      <c r="C140" s="373">
        <v>40</v>
      </c>
      <c r="D140" s="48">
        <v>4902</v>
      </c>
      <c r="E140" s="48">
        <v>5098</v>
      </c>
      <c r="F140" s="48">
        <v>5200</v>
      </c>
      <c r="G140" s="48">
        <v>5304</v>
      </c>
    </row>
    <row r="141" spans="1:7" x14ac:dyDescent="0.45">
      <c r="A141" s="999"/>
      <c r="B141" s="43">
        <v>7</v>
      </c>
      <c r="C141" s="373">
        <v>42</v>
      </c>
      <c r="D141" s="48">
        <v>5085</v>
      </c>
      <c r="E141" s="48">
        <v>5288</v>
      </c>
      <c r="F141" s="48">
        <v>5394</v>
      </c>
      <c r="G141" s="48">
        <v>5502</v>
      </c>
    </row>
    <row r="142" spans="1:7" x14ac:dyDescent="0.45">
      <c r="A142" s="999"/>
      <c r="B142" s="43">
        <v>8</v>
      </c>
      <c r="C142" s="373">
        <v>44</v>
      </c>
      <c r="D142" s="48">
        <v>5267</v>
      </c>
      <c r="E142" s="48">
        <v>5478</v>
      </c>
      <c r="F142" s="48">
        <v>5588</v>
      </c>
      <c r="G142" s="48">
        <v>5700</v>
      </c>
    </row>
    <row r="143" spans="1:7" x14ac:dyDescent="0.45">
      <c r="A143" s="999"/>
      <c r="B143" s="43">
        <v>9</v>
      </c>
      <c r="C143" s="373">
        <v>45</v>
      </c>
      <c r="D143" s="48">
        <v>5343</v>
      </c>
      <c r="E143" s="48">
        <v>5557</v>
      </c>
      <c r="F143" s="48">
        <v>5668</v>
      </c>
      <c r="G143" s="48">
        <v>5781</v>
      </c>
    </row>
    <row r="144" spans="1:7" x14ac:dyDescent="0.45">
      <c r="A144" s="999"/>
      <c r="B144" s="374">
        <v>10</v>
      </c>
      <c r="C144" s="373">
        <v>46</v>
      </c>
      <c r="D144" s="48">
        <v>5424</v>
      </c>
      <c r="E144" s="48">
        <v>5641</v>
      </c>
      <c r="F144" s="48">
        <v>5754</v>
      </c>
      <c r="G144" s="48">
        <v>5869</v>
      </c>
    </row>
    <row r="145" spans="1:7" x14ac:dyDescent="0.45">
      <c r="A145" s="999"/>
      <c r="B145" s="374">
        <v>11</v>
      </c>
      <c r="C145" s="373">
        <v>47</v>
      </c>
      <c r="D145" s="48">
        <v>5508</v>
      </c>
      <c r="E145" s="48">
        <v>5728</v>
      </c>
      <c r="F145" s="48">
        <v>5843</v>
      </c>
      <c r="G145" s="48">
        <v>5960</v>
      </c>
    </row>
    <row r="146" spans="1:7" x14ac:dyDescent="0.45">
      <c r="A146" s="999"/>
      <c r="B146" s="374">
        <v>12</v>
      </c>
      <c r="C146" s="373">
        <v>48</v>
      </c>
      <c r="D146" s="48">
        <v>5587</v>
      </c>
      <c r="E146" s="48">
        <v>5810</v>
      </c>
      <c r="F146" s="48">
        <v>5926</v>
      </c>
      <c r="G146" s="48">
        <v>6045</v>
      </c>
    </row>
    <row r="147" spans="1:7" x14ac:dyDescent="0.45">
      <c r="A147" s="999">
        <v>65</v>
      </c>
      <c r="B147" s="43">
        <v>0</v>
      </c>
      <c r="C147" s="373">
        <v>34</v>
      </c>
      <c r="D147" s="48">
        <v>4354</v>
      </c>
      <c r="E147" s="48">
        <v>4528</v>
      </c>
      <c r="F147" s="48">
        <v>4619</v>
      </c>
      <c r="G147" s="48">
        <v>4711</v>
      </c>
    </row>
    <row r="148" spans="1:7" x14ac:dyDescent="0.45">
      <c r="A148" s="999"/>
      <c r="B148" s="43">
        <v>1</v>
      </c>
      <c r="C148" s="373">
        <v>37</v>
      </c>
      <c r="D148" s="48">
        <v>4629</v>
      </c>
      <c r="E148" s="48">
        <v>4814</v>
      </c>
      <c r="F148" s="48">
        <v>4910</v>
      </c>
      <c r="G148" s="48">
        <v>5008</v>
      </c>
    </row>
    <row r="149" spans="1:7" x14ac:dyDescent="0.45">
      <c r="A149" s="999"/>
      <c r="B149" s="375">
        <v>2</v>
      </c>
      <c r="C149" s="373">
        <v>40</v>
      </c>
      <c r="D149" s="48">
        <v>4902</v>
      </c>
      <c r="E149" s="48">
        <v>5098</v>
      </c>
      <c r="F149" s="48">
        <v>5200</v>
      </c>
      <c r="G149" s="48">
        <v>5304</v>
      </c>
    </row>
    <row r="150" spans="1:7" x14ac:dyDescent="0.45">
      <c r="A150" s="999"/>
      <c r="B150" s="373">
        <v>3</v>
      </c>
      <c r="C150" s="373">
        <v>42</v>
      </c>
      <c r="D150" s="48">
        <v>5085</v>
      </c>
      <c r="E150" s="48">
        <v>5288</v>
      </c>
      <c r="F150" s="48">
        <v>5394</v>
      </c>
      <c r="G150" s="48">
        <v>5502</v>
      </c>
    </row>
    <row r="151" spans="1:7" x14ac:dyDescent="0.45">
      <c r="A151" s="999"/>
      <c r="B151" s="373">
        <v>4</v>
      </c>
      <c r="C151" s="373">
        <v>44</v>
      </c>
      <c r="D151" s="48">
        <v>5267</v>
      </c>
      <c r="E151" s="48">
        <v>5478</v>
      </c>
      <c r="F151" s="48">
        <v>5588</v>
      </c>
      <c r="G151" s="48">
        <v>5700</v>
      </c>
    </row>
    <row r="152" spans="1:7" x14ac:dyDescent="0.45">
      <c r="A152" s="999"/>
      <c r="B152" s="373">
        <v>5</v>
      </c>
      <c r="C152" s="373">
        <v>46</v>
      </c>
      <c r="D152" s="48">
        <v>5424</v>
      </c>
      <c r="E152" s="48">
        <v>5641</v>
      </c>
      <c r="F152" s="48">
        <v>5754</v>
      </c>
      <c r="G152" s="48">
        <v>5869</v>
      </c>
    </row>
    <row r="153" spans="1:7" x14ac:dyDescent="0.45">
      <c r="A153" s="999"/>
      <c r="B153" s="373">
        <v>6</v>
      </c>
      <c r="C153" s="373">
        <v>48</v>
      </c>
      <c r="D153" s="48">
        <v>5587</v>
      </c>
      <c r="E153" s="48">
        <v>5810</v>
      </c>
      <c r="F153" s="48">
        <v>5926</v>
      </c>
      <c r="G153" s="48">
        <v>6045</v>
      </c>
    </row>
    <row r="154" spans="1:7" x14ac:dyDescent="0.45">
      <c r="A154" s="999"/>
      <c r="B154" s="373">
        <v>7</v>
      </c>
      <c r="C154" s="373">
        <v>50</v>
      </c>
      <c r="D154" s="48">
        <v>5756</v>
      </c>
      <c r="E154" s="48">
        <v>5986</v>
      </c>
      <c r="F154" s="48">
        <v>6106</v>
      </c>
      <c r="G154" s="48">
        <v>6228</v>
      </c>
    </row>
    <row r="155" spans="1:7" x14ac:dyDescent="0.45">
      <c r="A155" s="999"/>
      <c r="B155" s="373">
        <v>8</v>
      </c>
      <c r="C155" s="373">
        <v>52</v>
      </c>
      <c r="D155" s="48">
        <v>5920</v>
      </c>
      <c r="E155" s="48">
        <v>6157</v>
      </c>
      <c r="F155" s="48">
        <v>6280</v>
      </c>
      <c r="G155" s="48">
        <v>6406</v>
      </c>
    </row>
    <row r="156" spans="1:7" x14ac:dyDescent="0.45">
      <c r="A156" s="999"/>
      <c r="B156" s="373">
        <v>9</v>
      </c>
      <c r="C156" s="373">
        <v>54</v>
      </c>
      <c r="D156" s="48">
        <v>6082</v>
      </c>
      <c r="E156" s="48">
        <v>6325</v>
      </c>
      <c r="F156" s="48">
        <v>6452</v>
      </c>
      <c r="G156" s="48">
        <v>6581</v>
      </c>
    </row>
    <row r="157" spans="1:7" x14ac:dyDescent="0.45">
      <c r="A157" s="999"/>
      <c r="B157" s="372">
        <v>10</v>
      </c>
      <c r="C157" s="373">
        <v>56</v>
      </c>
      <c r="D157" s="48">
        <v>6251</v>
      </c>
      <c r="E157" s="48">
        <v>6501</v>
      </c>
      <c r="F157" s="48">
        <v>6631</v>
      </c>
      <c r="G157" s="48">
        <v>6764</v>
      </c>
    </row>
    <row r="158" spans="1:7" x14ac:dyDescent="0.45">
      <c r="A158" s="999"/>
      <c r="B158" s="373">
        <v>11</v>
      </c>
      <c r="C158" s="373">
        <v>57</v>
      </c>
      <c r="D158" s="48">
        <v>6329</v>
      </c>
      <c r="E158" s="48">
        <v>6582</v>
      </c>
      <c r="F158" s="48">
        <v>6714</v>
      </c>
      <c r="G158" s="48">
        <v>6848</v>
      </c>
    </row>
    <row r="159" spans="1:7" x14ac:dyDescent="0.45">
      <c r="A159" s="999"/>
      <c r="B159" s="373">
        <v>12</v>
      </c>
      <c r="C159" s="373">
        <v>58</v>
      </c>
      <c r="D159" s="48">
        <v>6414</v>
      </c>
      <c r="E159" s="48">
        <v>6671</v>
      </c>
      <c r="F159" s="48">
        <v>6804</v>
      </c>
      <c r="G159" s="48">
        <v>6940</v>
      </c>
    </row>
    <row r="160" spans="1:7" x14ac:dyDescent="0.45">
      <c r="A160" s="999"/>
      <c r="B160" s="373">
        <v>13</v>
      </c>
      <c r="C160" s="373">
        <v>59</v>
      </c>
      <c r="D160" s="48">
        <v>6495</v>
      </c>
      <c r="E160" s="48">
        <v>6755</v>
      </c>
      <c r="F160" s="48">
        <v>6890</v>
      </c>
      <c r="G160" s="48">
        <v>7028</v>
      </c>
    </row>
    <row r="161" spans="1:7" x14ac:dyDescent="0.45">
      <c r="A161" s="999"/>
      <c r="B161" s="373">
        <v>14</v>
      </c>
      <c r="C161" s="373">
        <v>60</v>
      </c>
      <c r="D161" s="48">
        <v>6575</v>
      </c>
      <c r="E161" s="48">
        <v>6838</v>
      </c>
      <c r="F161" s="48">
        <v>6975</v>
      </c>
      <c r="G161" s="48">
        <v>7115</v>
      </c>
    </row>
    <row r="162" spans="1:7" x14ac:dyDescent="0.45">
      <c r="A162" s="999">
        <v>70</v>
      </c>
      <c r="B162" s="373">
        <v>0</v>
      </c>
      <c r="C162" s="373">
        <v>44</v>
      </c>
      <c r="D162" s="48">
        <v>5267</v>
      </c>
      <c r="E162" s="48">
        <v>5478</v>
      </c>
      <c r="F162" s="48">
        <v>5588</v>
      </c>
      <c r="G162" s="48">
        <v>5700</v>
      </c>
    </row>
    <row r="163" spans="1:7" x14ac:dyDescent="0.45">
      <c r="A163" s="999"/>
      <c r="B163" s="43">
        <v>1</v>
      </c>
      <c r="C163" s="373">
        <v>47</v>
      </c>
      <c r="D163" s="48">
        <v>5508</v>
      </c>
      <c r="E163" s="48">
        <v>5728</v>
      </c>
      <c r="F163" s="48">
        <v>5843</v>
      </c>
      <c r="G163" s="48">
        <v>5960</v>
      </c>
    </row>
    <row r="164" spans="1:7" x14ac:dyDescent="0.45">
      <c r="A164" s="999"/>
      <c r="B164" s="43">
        <v>2</v>
      </c>
      <c r="C164" s="373">
        <v>50</v>
      </c>
      <c r="D164" s="48">
        <v>5756</v>
      </c>
      <c r="E164" s="48">
        <v>5986</v>
      </c>
      <c r="F164" s="48">
        <v>6106</v>
      </c>
      <c r="G164" s="48">
        <v>6228</v>
      </c>
    </row>
    <row r="165" spans="1:7" x14ac:dyDescent="0.45">
      <c r="A165" s="999"/>
      <c r="B165" s="43">
        <v>3</v>
      </c>
      <c r="C165" s="373">
        <v>53</v>
      </c>
      <c r="D165" s="48">
        <v>6000</v>
      </c>
      <c r="E165" s="48">
        <v>6240</v>
      </c>
      <c r="F165" s="48">
        <v>6365</v>
      </c>
      <c r="G165" s="48">
        <v>6492</v>
      </c>
    </row>
    <row r="166" spans="1:7" x14ac:dyDescent="0.45">
      <c r="A166" s="999"/>
      <c r="B166" s="43">
        <v>4</v>
      </c>
      <c r="C166" s="373">
        <v>56</v>
      </c>
      <c r="D166" s="48">
        <v>6251</v>
      </c>
      <c r="E166" s="48">
        <v>6501</v>
      </c>
      <c r="F166" s="48">
        <v>6631</v>
      </c>
      <c r="G166" s="48">
        <v>6764</v>
      </c>
    </row>
    <row r="167" spans="1:7" x14ac:dyDescent="0.45">
      <c r="A167" s="999"/>
      <c r="B167" s="43">
        <v>5</v>
      </c>
      <c r="C167" s="373">
        <v>59</v>
      </c>
      <c r="D167" s="48">
        <v>6495</v>
      </c>
      <c r="E167" s="48">
        <v>6755</v>
      </c>
      <c r="F167" s="48">
        <v>6890</v>
      </c>
      <c r="G167" s="48">
        <v>7028</v>
      </c>
    </row>
    <row r="168" spans="1:7" x14ac:dyDescent="0.45">
      <c r="A168" s="999"/>
      <c r="B168" s="43">
        <v>6</v>
      </c>
      <c r="C168" s="373">
        <v>62</v>
      </c>
      <c r="D168" s="48">
        <v>6742</v>
      </c>
      <c r="E168" s="48">
        <v>7012</v>
      </c>
      <c r="F168" s="48">
        <v>7152</v>
      </c>
      <c r="G168" s="48">
        <v>7295</v>
      </c>
    </row>
    <row r="169" spans="1:7" x14ac:dyDescent="0.45">
      <c r="A169" s="999"/>
      <c r="B169" s="374">
        <v>7</v>
      </c>
      <c r="C169" s="373">
        <v>64</v>
      </c>
      <c r="D169" s="48">
        <v>6908</v>
      </c>
      <c r="E169" s="48">
        <v>7184</v>
      </c>
      <c r="F169" s="48">
        <v>7328</v>
      </c>
      <c r="G169" s="48">
        <v>7475</v>
      </c>
    </row>
    <row r="170" spans="1:7" x14ac:dyDescent="0.45">
      <c r="A170" s="999"/>
      <c r="B170" s="374">
        <v>8</v>
      </c>
      <c r="C170" s="373">
        <v>66</v>
      </c>
      <c r="D170" s="48">
        <v>7116</v>
      </c>
      <c r="E170" s="48">
        <v>7401</v>
      </c>
      <c r="F170" s="48">
        <v>7549</v>
      </c>
      <c r="G170" s="48">
        <v>7700</v>
      </c>
    </row>
    <row r="171" spans="1:7" x14ac:dyDescent="0.45">
      <c r="A171" s="999"/>
      <c r="B171" s="374">
        <v>9</v>
      </c>
      <c r="C171" s="373">
        <v>68</v>
      </c>
      <c r="D171" s="48">
        <v>7320</v>
      </c>
      <c r="E171" s="48">
        <v>7613</v>
      </c>
      <c r="F171" s="48">
        <v>7765</v>
      </c>
      <c r="G171" s="48">
        <v>7920</v>
      </c>
    </row>
    <row r="172" spans="1:7" x14ac:dyDescent="0.45">
      <c r="A172" s="999"/>
      <c r="B172" s="43">
        <v>10</v>
      </c>
      <c r="C172" s="373">
        <v>70</v>
      </c>
      <c r="D172" s="48">
        <v>7526</v>
      </c>
      <c r="E172" s="48">
        <v>7827</v>
      </c>
      <c r="F172" s="48">
        <v>7984</v>
      </c>
      <c r="G172" s="48">
        <v>8144</v>
      </c>
    </row>
    <row r="173" spans="1:7" x14ac:dyDescent="0.45">
      <c r="A173" s="999"/>
      <c r="B173" s="376">
        <v>11</v>
      </c>
      <c r="C173" s="373">
        <v>71</v>
      </c>
      <c r="D173" s="48">
        <v>7632</v>
      </c>
      <c r="E173" s="48">
        <v>7937</v>
      </c>
      <c r="F173" s="48">
        <v>8096</v>
      </c>
      <c r="G173" s="48">
        <v>8258</v>
      </c>
    </row>
    <row r="174" spans="1:7" x14ac:dyDescent="0.45">
      <c r="A174" s="999"/>
      <c r="B174" s="372">
        <v>12</v>
      </c>
      <c r="C174" s="373">
        <v>72</v>
      </c>
      <c r="D174" s="48">
        <v>7735</v>
      </c>
      <c r="E174" s="48">
        <v>8044</v>
      </c>
      <c r="F174" s="48">
        <v>8205</v>
      </c>
      <c r="G174" s="48">
        <v>8369</v>
      </c>
    </row>
    <row r="175" spans="1:7" x14ac:dyDescent="0.45">
      <c r="A175" s="999"/>
      <c r="B175" s="372">
        <v>13</v>
      </c>
      <c r="C175" s="373">
        <v>73</v>
      </c>
      <c r="D175" s="48">
        <v>7837</v>
      </c>
      <c r="E175" s="48">
        <v>8150</v>
      </c>
      <c r="F175" s="48">
        <v>8313</v>
      </c>
      <c r="G175" s="48">
        <v>8479</v>
      </c>
    </row>
    <row r="176" spans="1:7" x14ac:dyDescent="0.45">
      <c r="A176" s="999"/>
      <c r="B176" s="372">
        <v>14</v>
      </c>
      <c r="C176" s="373">
        <v>74</v>
      </c>
      <c r="D176" s="48">
        <v>7941</v>
      </c>
      <c r="E176" s="48">
        <v>8259</v>
      </c>
      <c r="F176" s="48">
        <v>8424</v>
      </c>
      <c r="G176" s="48">
        <v>8592</v>
      </c>
    </row>
    <row r="177" spans="1:7" x14ac:dyDescent="0.45">
      <c r="A177" s="999">
        <v>75</v>
      </c>
      <c r="B177" s="373">
        <v>0</v>
      </c>
      <c r="C177" s="373">
        <v>56</v>
      </c>
      <c r="D177" s="48">
        <v>6251</v>
      </c>
      <c r="E177" s="48">
        <v>6501</v>
      </c>
      <c r="F177" s="48">
        <v>6631</v>
      </c>
      <c r="G177" s="48">
        <v>6764</v>
      </c>
    </row>
    <row r="178" spans="1:7" x14ac:dyDescent="0.45">
      <c r="A178" s="999"/>
      <c r="B178" s="373">
        <v>1</v>
      </c>
      <c r="C178" s="373">
        <v>59</v>
      </c>
      <c r="D178" s="48">
        <v>6495</v>
      </c>
      <c r="E178" s="48">
        <v>6755</v>
      </c>
      <c r="F178" s="48">
        <v>6890</v>
      </c>
      <c r="G178" s="48">
        <v>7028</v>
      </c>
    </row>
    <row r="179" spans="1:7" x14ac:dyDescent="0.45">
      <c r="A179" s="999"/>
      <c r="B179" s="373">
        <v>2</v>
      </c>
      <c r="C179" s="373">
        <v>62</v>
      </c>
      <c r="D179" s="48">
        <v>6742</v>
      </c>
      <c r="E179" s="48">
        <v>7012</v>
      </c>
      <c r="F179" s="48">
        <v>7152</v>
      </c>
      <c r="G179" s="48">
        <v>7295</v>
      </c>
    </row>
    <row r="180" spans="1:7" x14ac:dyDescent="0.45">
      <c r="A180" s="999"/>
      <c r="B180" s="373">
        <v>3</v>
      </c>
      <c r="C180" s="373">
        <v>65</v>
      </c>
      <c r="D180" s="48">
        <v>7013</v>
      </c>
      <c r="E180" s="48">
        <v>7294</v>
      </c>
      <c r="F180" s="48">
        <v>7440</v>
      </c>
      <c r="G180" s="48">
        <v>7589</v>
      </c>
    </row>
    <row r="181" spans="1:7" x14ac:dyDescent="0.45">
      <c r="A181" s="999"/>
      <c r="B181" s="375">
        <v>4</v>
      </c>
      <c r="C181" s="373">
        <v>68</v>
      </c>
      <c r="D181" s="48">
        <v>7320</v>
      </c>
      <c r="E181" s="48">
        <v>7613</v>
      </c>
      <c r="F181" s="48">
        <v>7765</v>
      </c>
      <c r="G181" s="48">
        <v>7920</v>
      </c>
    </row>
    <row r="182" spans="1:7" x14ac:dyDescent="0.45">
      <c r="A182" s="999"/>
      <c r="B182" s="373">
        <v>5</v>
      </c>
      <c r="C182" s="373">
        <v>71</v>
      </c>
      <c r="D182" s="48">
        <v>7632</v>
      </c>
      <c r="E182" s="48">
        <v>7937</v>
      </c>
      <c r="F182" s="48">
        <v>8096</v>
      </c>
      <c r="G182" s="48">
        <v>8258</v>
      </c>
    </row>
    <row r="183" spans="1:7" x14ac:dyDescent="0.45">
      <c r="A183" s="999"/>
      <c r="B183" s="375">
        <v>6</v>
      </c>
      <c r="C183" s="373">
        <v>74</v>
      </c>
      <c r="D183" s="48">
        <v>7941</v>
      </c>
      <c r="E183" s="48">
        <v>8259</v>
      </c>
      <c r="F183" s="48">
        <v>8424</v>
      </c>
      <c r="G183" s="48">
        <v>8592</v>
      </c>
    </row>
    <row r="184" spans="1:7" x14ac:dyDescent="0.45">
      <c r="A184" s="999"/>
      <c r="B184" s="373">
        <v>7</v>
      </c>
      <c r="C184" s="373">
        <v>76</v>
      </c>
      <c r="D184" s="48">
        <v>8146</v>
      </c>
      <c r="E184" s="48">
        <v>8472</v>
      </c>
      <c r="F184" s="48">
        <v>8641</v>
      </c>
      <c r="G184" s="48">
        <v>8814</v>
      </c>
    </row>
    <row r="185" spans="1:7" x14ac:dyDescent="0.45">
      <c r="A185" s="999"/>
      <c r="B185" s="376">
        <v>8</v>
      </c>
      <c r="C185" s="373">
        <v>78</v>
      </c>
      <c r="D185" s="48">
        <v>8363</v>
      </c>
      <c r="E185" s="48">
        <v>8698</v>
      </c>
      <c r="F185" s="48">
        <v>8872</v>
      </c>
      <c r="G185" s="48">
        <v>9049</v>
      </c>
    </row>
    <row r="186" spans="1:7" x14ac:dyDescent="0.45">
      <c r="A186" s="999"/>
      <c r="B186" s="372">
        <v>9</v>
      </c>
      <c r="C186" s="373">
        <v>80</v>
      </c>
      <c r="D186" s="48">
        <v>8592</v>
      </c>
      <c r="E186" s="48">
        <v>8936</v>
      </c>
      <c r="F186" s="48">
        <v>9115</v>
      </c>
      <c r="G186" s="48">
        <v>9297</v>
      </c>
    </row>
    <row r="187" spans="1:7" x14ac:dyDescent="0.45">
      <c r="A187" s="999"/>
      <c r="B187" s="373">
        <v>10</v>
      </c>
      <c r="C187" s="373">
        <v>82</v>
      </c>
      <c r="D187" s="48">
        <v>8825</v>
      </c>
      <c r="E187" s="48">
        <v>9178</v>
      </c>
      <c r="F187" s="48">
        <v>9362</v>
      </c>
      <c r="G187" s="48">
        <v>9549</v>
      </c>
    </row>
    <row r="188" spans="1:7" x14ac:dyDescent="0.45">
      <c r="A188" s="999"/>
      <c r="B188" s="373">
        <v>11</v>
      </c>
      <c r="C188" s="373">
        <v>83</v>
      </c>
      <c r="D188" s="48">
        <v>8940</v>
      </c>
      <c r="E188" s="48">
        <v>9298</v>
      </c>
      <c r="F188" s="48">
        <v>9484</v>
      </c>
      <c r="G188" s="48">
        <v>9674</v>
      </c>
    </row>
    <row r="189" spans="1:7" x14ac:dyDescent="0.45">
      <c r="A189" s="999"/>
      <c r="B189" s="372">
        <v>12</v>
      </c>
      <c r="C189" s="373">
        <v>84</v>
      </c>
      <c r="D189" s="48">
        <v>9057</v>
      </c>
      <c r="E189" s="48">
        <v>9419</v>
      </c>
      <c r="F189" s="48">
        <v>9607</v>
      </c>
      <c r="G189" s="48">
        <v>9799</v>
      </c>
    </row>
    <row r="190" spans="1:7" x14ac:dyDescent="0.45">
      <c r="A190" s="999"/>
      <c r="B190" s="373">
        <v>13</v>
      </c>
      <c r="C190" s="373">
        <v>85</v>
      </c>
      <c r="D190" s="48">
        <v>9191</v>
      </c>
      <c r="E190" s="48">
        <v>9559</v>
      </c>
      <c r="F190" s="48">
        <v>9750</v>
      </c>
      <c r="G190" s="48">
        <v>9945</v>
      </c>
    </row>
    <row r="191" spans="1:7" x14ac:dyDescent="0.45">
      <c r="A191" s="999"/>
      <c r="B191" s="372">
        <v>14</v>
      </c>
      <c r="C191" s="373">
        <v>86</v>
      </c>
      <c r="D191" s="48">
        <v>9325</v>
      </c>
      <c r="E191" s="48">
        <v>9698</v>
      </c>
      <c r="F191" s="48">
        <v>9892</v>
      </c>
      <c r="G191" s="48">
        <v>10090</v>
      </c>
    </row>
    <row r="192" spans="1:7" x14ac:dyDescent="0.45">
      <c r="A192" s="999"/>
      <c r="B192" s="374">
        <v>15</v>
      </c>
      <c r="C192" s="373">
        <v>87</v>
      </c>
      <c r="D192" s="48">
        <v>9461</v>
      </c>
      <c r="E192" s="48">
        <v>9839</v>
      </c>
      <c r="F192" s="48">
        <v>10036</v>
      </c>
      <c r="G192" s="48">
        <v>10237</v>
      </c>
    </row>
    <row r="193" spans="1:7" x14ac:dyDescent="0.45">
      <c r="A193" s="999"/>
      <c r="B193" s="43">
        <v>16</v>
      </c>
      <c r="C193" s="373">
        <v>88</v>
      </c>
      <c r="D193" s="48">
        <v>9611</v>
      </c>
      <c r="E193" s="48">
        <v>9995</v>
      </c>
      <c r="F193" s="48">
        <v>10195</v>
      </c>
      <c r="G193" s="48">
        <v>10399</v>
      </c>
    </row>
    <row r="194" spans="1:7" x14ac:dyDescent="0.45">
      <c r="A194" s="999">
        <v>80</v>
      </c>
      <c r="B194" s="43">
        <v>0</v>
      </c>
      <c r="C194" s="373">
        <v>68</v>
      </c>
      <c r="D194" s="48">
        <v>7320</v>
      </c>
      <c r="E194" s="48">
        <v>7613</v>
      </c>
      <c r="F194" s="48">
        <v>7765</v>
      </c>
      <c r="G194" s="48">
        <v>7920</v>
      </c>
    </row>
    <row r="195" spans="1:7" x14ac:dyDescent="0.45">
      <c r="A195" s="999"/>
      <c r="B195" s="43">
        <v>1</v>
      </c>
      <c r="C195" s="373">
        <v>71</v>
      </c>
      <c r="D195" s="48">
        <v>7632</v>
      </c>
      <c r="E195" s="48">
        <v>7937</v>
      </c>
      <c r="F195" s="48">
        <v>8096</v>
      </c>
      <c r="G195" s="48">
        <v>8258</v>
      </c>
    </row>
    <row r="196" spans="1:7" x14ac:dyDescent="0.45">
      <c r="A196" s="999"/>
      <c r="B196" s="43">
        <v>2</v>
      </c>
      <c r="C196" s="373">
        <v>74</v>
      </c>
      <c r="D196" s="48">
        <v>7941</v>
      </c>
      <c r="E196" s="48">
        <v>8259</v>
      </c>
      <c r="F196" s="48">
        <v>8424</v>
      </c>
      <c r="G196" s="48">
        <v>8592</v>
      </c>
    </row>
    <row r="197" spans="1:7" x14ac:dyDescent="0.45">
      <c r="A197" s="999"/>
      <c r="B197" s="374">
        <v>3</v>
      </c>
      <c r="C197" s="373">
        <v>77</v>
      </c>
      <c r="D197" s="48">
        <v>8247</v>
      </c>
      <c r="E197" s="48">
        <v>8577</v>
      </c>
      <c r="F197" s="48">
        <v>8749</v>
      </c>
      <c r="G197" s="48">
        <v>8924</v>
      </c>
    </row>
    <row r="198" spans="1:7" x14ac:dyDescent="0.45">
      <c r="A198" s="999"/>
      <c r="B198" s="374">
        <v>4</v>
      </c>
      <c r="C198" s="373">
        <v>80</v>
      </c>
      <c r="D198" s="48">
        <v>8592</v>
      </c>
      <c r="E198" s="48">
        <v>8936</v>
      </c>
      <c r="F198" s="48">
        <v>9115</v>
      </c>
      <c r="G198" s="48">
        <v>9297</v>
      </c>
    </row>
    <row r="199" spans="1:7" x14ac:dyDescent="0.45">
      <c r="A199" s="999"/>
      <c r="B199" s="374">
        <v>5</v>
      </c>
      <c r="C199" s="373">
        <v>83</v>
      </c>
      <c r="D199" s="48">
        <v>8940</v>
      </c>
      <c r="E199" s="48">
        <v>9298</v>
      </c>
      <c r="F199" s="48">
        <v>9484</v>
      </c>
      <c r="G199" s="48">
        <v>9674</v>
      </c>
    </row>
    <row r="200" spans="1:7" x14ac:dyDescent="0.45">
      <c r="A200" s="999"/>
      <c r="B200" s="374">
        <v>6</v>
      </c>
      <c r="C200" s="373">
        <v>86</v>
      </c>
      <c r="D200" s="48">
        <v>9325</v>
      </c>
      <c r="E200" s="48">
        <v>9698</v>
      </c>
      <c r="F200" s="48">
        <v>9892</v>
      </c>
      <c r="G200" s="48">
        <v>10090</v>
      </c>
    </row>
    <row r="201" spans="1:7" x14ac:dyDescent="0.45">
      <c r="A201" s="999"/>
      <c r="B201" s="374">
        <v>7</v>
      </c>
      <c r="C201" s="373">
        <v>88</v>
      </c>
      <c r="D201" s="48">
        <v>9611</v>
      </c>
      <c r="E201" s="48">
        <v>9995</v>
      </c>
      <c r="F201" s="48">
        <v>10195</v>
      </c>
      <c r="G201" s="48">
        <v>10399</v>
      </c>
    </row>
    <row r="202" spans="1:7" x14ac:dyDescent="0.45">
      <c r="A202" s="999"/>
      <c r="B202" s="374">
        <v>8</v>
      </c>
      <c r="C202" s="373">
        <v>90</v>
      </c>
      <c r="D202" s="48">
        <v>9907</v>
      </c>
      <c r="E202" s="48">
        <v>10303</v>
      </c>
      <c r="F202" s="48">
        <v>10509</v>
      </c>
      <c r="G202" s="48">
        <v>10719</v>
      </c>
    </row>
    <row r="203" spans="1:7" x14ac:dyDescent="0.45">
      <c r="A203" s="999"/>
      <c r="B203" s="375">
        <v>9</v>
      </c>
      <c r="C203" s="373">
        <v>92</v>
      </c>
      <c r="D203" s="48">
        <v>10211</v>
      </c>
      <c r="E203" s="48">
        <v>10619</v>
      </c>
      <c r="F203" s="48">
        <v>10831</v>
      </c>
      <c r="G203" s="48">
        <v>11048</v>
      </c>
    </row>
    <row r="204" spans="1:7" x14ac:dyDescent="0.45">
      <c r="A204" s="999"/>
      <c r="B204" s="372">
        <v>10</v>
      </c>
      <c r="C204" s="373">
        <v>94</v>
      </c>
      <c r="D204" s="48">
        <v>10514</v>
      </c>
      <c r="E204" s="48">
        <v>10935</v>
      </c>
      <c r="F204" s="48">
        <v>11154</v>
      </c>
      <c r="G204" s="48">
        <v>11377</v>
      </c>
    </row>
    <row r="205" spans="1:7" x14ac:dyDescent="0.45">
      <c r="A205" s="999"/>
      <c r="B205" s="372">
        <v>11</v>
      </c>
      <c r="C205" s="373">
        <v>95</v>
      </c>
      <c r="D205" s="48">
        <v>10667</v>
      </c>
      <c r="E205" s="48">
        <v>11094</v>
      </c>
      <c r="F205" s="48">
        <v>11316</v>
      </c>
      <c r="G205" s="48">
        <v>11542</v>
      </c>
    </row>
    <row r="206" spans="1:7" x14ac:dyDescent="0.45">
      <c r="A206" s="999"/>
      <c r="B206" s="372">
        <v>12</v>
      </c>
      <c r="C206" s="373">
        <v>96</v>
      </c>
      <c r="D206" s="48">
        <v>10818</v>
      </c>
      <c r="E206" s="48">
        <v>11251</v>
      </c>
      <c r="F206" s="48">
        <v>11476</v>
      </c>
      <c r="G206" s="48">
        <v>11706</v>
      </c>
    </row>
    <row r="207" spans="1:7" x14ac:dyDescent="0.45">
      <c r="A207" s="999"/>
      <c r="B207" s="372">
        <v>13</v>
      </c>
      <c r="C207" s="373">
        <v>97</v>
      </c>
      <c r="D207" s="48">
        <v>10970</v>
      </c>
      <c r="E207" s="48">
        <v>11409</v>
      </c>
      <c r="F207" s="48">
        <v>11637</v>
      </c>
      <c r="G207" s="48">
        <v>11870</v>
      </c>
    </row>
    <row r="208" spans="1:7" x14ac:dyDescent="0.45">
      <c r="A208" s="999"/>
      <c r="B208" s="372">
        <v>14</v>
      </c>
      <c r="C208" s="373">
        <v>98</v>
      </c>
      <c r="D208" s="48">
        <v>11121</v>
      </c>
      <c r="E208" s="48">
        <v>11566</v>
      </c>
      <c r="F208" s="48">
        <v>11797</v>
      </c>
      <c r="G208" s="48">
        <v>12033</v>
      </c>
    </row>
    <row r="209" spans="1:7" x14ac:dyDescent="0.45">
      <c r="A209" s="999"/>
      <c r="B209" s="372">
        <v>15</v>
      </c>
      <c r="C209" s="373">
        <v>99</v>
      </c>
      <c r="D209" s="48">
        <v>11276</v>
      </c>
      <c r="E209" s="48">
        <v>11727</v>
      </c>
      <c r="F209" s="48">
        <v>11962</v>
      </c>
      <c r="G209" s="48">
        <v>12201</v>
      </c>
    </row>
    <row r="210" spans="1:7" x14ac:dyDescent="0.45">
      <c r="A210" s="999"/>
      <c r="B210" s="372">
        <v>16</v>
      </c>
      <c r="C210" s="373">
        <v>100</v>
      </c>
      <c r="D210" s="48">
        <v>11427</v>
      </c>
      <c r="E210" s="48">
        <v>11884</v>
      </c>
      <c r="F210" s="48">
        <v>12122</v>
      </c>
      <c r="G210" s="48">
        <v>12364</v>
      </c>
    </row>
  </sheetData>
  <mergeCells count="16">
    <mergeCell ref="A121:A133"/>
    <mergeCell ref="A2:A11"/>
    <mergeCell ref="A12:A22"/>
    <mergeCell ref="A23:A34"/>
    <mergeCell ref="A35:A46"/>
    <mergeCell ref="A47:A58"/>
    <mergeCell ref="A59:A70"/>
    <mergeCell ref="A71:A82"/>
    <mergeCell ref="A83:A94"/>
    <mergeCell ref="A95:A107"/>
    <mergeCell ref="A108:A120"/>
    <mergeCell ref="A134:A146"/>
    <mergeCell ref="A147:A161"/>
    <mergeCell ref="A162:A176"/>
    <mergeCell ref="A177:A193"/>
    <mergeCell ref="A194:A210"/>
  </mergeCell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1"/>
  </sheetPr>
  <dimension ref="A1:J212"/>
  <sheetViews>
    <sheetView workbookViewId="0">
      <selection activeCell="J4" sqref="J4"/>
    </sheetView>
  </sheetViews>
  <sheetFormatPr defaultRowHeight="14.25" x14ac:dyDescent="0.45"/>
  <cols>
    <col min="1" max="1" width="8.73046875" style="377"/>
    <col min="2" max="3" width="8.73046875" style="48"/>
    <col min="4" max="7" width="10.46484375" style="48" customWidth="1"/>
  </cols>
  <sheetData>
    <row r="1" spans="1:10" x14ac:dyDescent="0.45">
      <c r="A1" s="377" t="s">
        <v>1277</v>
      </c>
      <c r="D1" s="378">
        <f>IF(E2&lt;&gt;"", E2-1, DATE(2030,1,1))</f>
        <v>45838</v>
      </c>
      <c r="E1" s="378">
        <f>IF(F2&lt;&gt;"", F2-1, DATE(2030,1,1))</f>
        <v>46142</v>
      </c>
      <c r="F1" s="378">
        <f>IF(G2&lt;&gt;"", G2-1, DATE(2030,1,1))</f>
        <v>46326</v>
      </c>
      <c r="G1" s="378">
        <f>IF(H2&lt;&gt;"", H2-1, DATE(2030,1,1))</f>
        <v>47484</v>
      </c>
    </row>
    <row r="2" spans="1:10" x14ac:dyDescent="0.45">
      <c r="A2" s="377" t="s">
        <v>1276</v>
      </c>
      <c r="D2" s="378">
        <v>45627</v>
      </c>
      <c r="E2" s="378">
        <v>45839</v>
      </c>
      <c r="F2" s="378">
        <v>46143</v>
      </c>
      <c r="G2" s="378">
        <v>46327</v>
      </c>
    </row>
    <row r="3" spans="1:10" s="5" customFormat="1" x14ac:dyDescent="0.45">
      <c r="A3" s="379" t="s">
        <v>1609</v>
      </c>
      <c r="B3" s="58" t="s">
        <v>1608</v>
      </c>
      <c r="C3" s="58" t="s">
        <v>1698</v>
      </c>
      <c r="D3" s="380" t="s">
        <v>1699</v>
      </c>
      <c r="E3" s="380" t="s">
        <v>1612</v>
      </c>
      <c r="F3" s="380" t="s">
        <v>1700</v>
      </c>
      <c r="G3" s="380" t="s">
        <v>1701</v>
      </c>
      <c r="I3" s="5" t="s">
        <v>1229</v>
      </c>
      <c r="J3" s="5" t="s">
        <v>2210</v>
      </c>
    </row>
    <row r="4" spans="1:10" x14ac:dyDescent="0.45">
      <c r="A4" s="1000">
        <v>5</v>
      </c>
      <c r="B4" s="372">
        <v>0</v>
      </c>
      <c r="C4" s="373">
        <v>1</v>
      </c>
      <c r="D4" s="48">
        <v>2010</v>
      </c>
      <c r="E4" s="48">
        <v>2090</v>
      </c>
      <c r="F4" s="48">
        <v>2132</v>
      </c>
      <c r="G4" s="48">
        <v>2175</v>
      </c>
      <c r="I4">
        <f>IF(
    OR(
        AND(MAX(0, MIN($D$1, DATE(Initialisatie!$C$5,12,31)) - MAX($D$2, DATE(Initialisatie!$C$5,1,1)) + 1) &gt; 0, IFERROR(VALUE($D4),0)=0),
        AND(MAX(0, MIN($E$1, DATE(Initialisatie!$C$5,12,31)) - MAX($E$2, DATE(Initialisatie!$C$5,1,1)) + 1) &gt; 0, IFERROR(VALUE($E4),0)=0),
        AND(MAX(0, MIN($F$1, DATE(Initialisatie!$C$5,12,31)) - MAX($F$2, DATE(Initialisatie!$C$5,1,1)) + 1) &gt; 0, IFERROR(VALUE($F4),0)=0),
        AND(MAX(0, MIN($G$1, DATE(Initialisatie!$C$5,12,31)) - MAX($G$2, DATE(Initialisatie!$C$5,1,1)) + 1) &gt; 0, IFERROR(VALUE($G4),0)=0)
    ),
    0,
    SUM(
        IFERROR(VALUE($D4),0) * MAX(0, MIN($D$1, DATE(Initialisatie!$C$5,12,31)) - MAX($D$2, DATE(Initialisatie!$C$5,1,1)) + 1),
        IFERROR(VALUE($E4),0) * MAX(0, MIN($E$1, DATE(Initialisatie!$C$5,12,31)) - MAX($E$2, DATE(Initialisatie!$C$5,1,1)) + 1),
        IFERROR(VALUE($F4),0) * MAX(0, MIN($F$1, DATE(Initialisatie!$C$5,12,31)) - MAX($F$2, DATE(Initialisatie!$C$5,1,1)) + 1),
        IFERROR(VALUE($G4),0) * MAX(0, MIN($G$1, DATE(Initialisatie!$C$5,12,31)) - MAX($G$2, DATE(Initialisatie!$C$5,1,1)) + 1)
    ) / (DATE(Initialisatie!$C$5,12,31) - DATE(Initialisatie!$C$5,1,1) + 1)
)</f>
        <v>2125.3780821917808</v>
      </c>
      <c r="J4">
        <f>IF(
    OR(
        AND(MAX(0, IF(MIN($D$1, DATE(Initialisatie!$C$5,12,31)) &lt; MAX($D$2, DATE(Initialisatie!$C$5,1,1)), 0, MONTH(MIN($D$1, DATE(Initialisatie!$C$5,12,31))) - MONTH(MAX($D$2, DATE(Initialisatie!$C$5,1,1))) + 1)) &lt;= 0, IFERROR(VALUE($D4),0)=0),
        AND(MAX(0, IF(MIN($E$1, DATE(Initialisatie!$C$5,12,31)) &lt; MAX($E$2, DATE(Initialisatie!$C$5,1,1)), 0, MONTH(MIN($E$1, DATE(Initialisatie!$C$5,12,31))) - MONTH(MAX($E$2, DATE(Initialisatie!$C$5,1,1))) + 1)) &lt;= 0, IFERROR(VALUE($E4),0)=0),
        AND(MAX(0, IF(MIN($F$1, DATE(Initialisatie!$C$5,12,31)) &lt; MAX($F$2, DATE(Initialisatie!$C$5,1,1)), 0, MONTH(MIN($F$1, DATE(Initialisatie!$C$5,12,31))) - MONTH(MAX($F$2, DATE(Initialisatie!$C$5,1,1))) + 1)) &lt;= 0, IFERROR(VALUE($F4),0)=0),
        AND(MAX(0, IF(MIN($G$1, DATE(Initialisatie!$C$5,12,31)) &lt; MAX($G$2, DATE(Initialisatie!$C$5,1,1)), 0, MONTH(MIN($G$1, DATE(Initialisatie!$C$5,12,31))) - MONTH(MAX($G$2, DATE(Initialisatie!$C$5,1,1))) + 1)) &lt;= 0, IFERROR(VALUE($G4),0)=0)
    ),
    0,
    SUM(
        IFERROR(VALUE($D4),0) * MAX(0, IF(MIN($D$1, DATE(Initialisatie!$C$5,12,31)) &lt; MAX($D$2, DATE(Initialisatie!$C$5,1,1)), 0, MONTH(MIN($D$1, DATE(Initialisatie!$C$5,12,31))) - MONTH(MAX($D$2, DATE(Initialisatie!$C$5,1,1))) + 1)),
        IFERROR(VALUE($E4),0) * MAX(0, IF(MIN($E$1, DATE(Initialisatie!$C$5,12,31)) &lt; MAX($E$2, DATE(Initialisatie!$C$5,1,1)), 0, MONTH(MIN($E$1, DATE(Initialisatie!$C$5,12,31))) - MONTH(MAX($E$2, DATE(Initialisatie!$C$5,1,1))) + 1)),
        IFERROR(VALUE($F4),0) * MAX(0, IF(MIN($F$1, DATE(Initialisatie!$C$5,12,31)) &lt; MAX($F$2, DATE(Initialisatie!$C$5,1,1)), 0, MONTH(MIN($F$1, DATE(Initialisatie!$C$5,12,31))) - MONTH(MAX($F$2, DATE(Initialisatie!$C$5,1,1))) + 1)),
        IFERROR(VALUE($G4),0) * MAX(0, IF(MIN($G$1, DATE(Initialisatie!$C$5,12,31)) &lt; MAX($G$2, DATE(Initialisatie!$C$5,1,1)), 0, MONTH(MIN($G$1, DATE(Initialisatie!$C$5,12,31))) - MONTH(MAX($G$2, DATE(Initialisatie!$C$5,1,1))) + 1))
    ) / 12
)</f>
        <v>2125.1666666666665</v>
      </c>
    </row>
    <row r="5" spans="1:10" x14ac:dyDescent="0.45">
      <c r="A5" s="999"/>
      <c r="B5" s="373">
        <v>1</v>
      </c>
      <c r="C5" s="373">
        <v>2</v>
      </c>
      <c r="D5" s="48">
        <v>2040</v>
      </c>
      <c r="E5" s="48">
        <v>2122</v>
      </c>
      <c r="F5" s="48">
        <v>2164</v>
      </c>
      <c r="G5" s="48">
        <v>2207</v>
      </c>
      <c r="I5">
        <f>IF(
    OR(
        AND(MAX(0, MIN($D$1, DATE(Initialisatie!$C$5,12,31)) - MAX($D$2, DATE(Initialisatie!$C$5,1,1)) + 1) &gt; 0, IFERROR(VALUE($D5),0)=0),
        AND(MAX(0, MIN($E$1, DATE(Initialisatie!$C$5,12,31)) - MAX($E$2, DATE(Initialisatie!$C$5,1,1)) + 1) &gt; 0, IFERROR(VALUE($E5),0)=0),
        AND(MAX(0, MIN($F$1, DATE(Initialisatie!$C$5,12,31)) - MAX($F$2, DATE(Initialisatie!$C$5,1,1)) + 1) &gt; 0, IFERROR(VALUE($F5),0)=0),
        AND(MAX(0, MIN($G$1, DATE(Initialisatie!$C$5,12,31)) - MAX($G$2, DATE(Initialisatie!$C$5,1,1)) + 1) &gt; 0, IFERROR(VALUE($G5),0)=0)
    ),
    0,
    SUM(
        IFERROR(VALUE($D5),0) * MAX(0, MIN($D$1, DATE(Initialisatie!$C$5,12,31)) - MAX($D$2, DATE(Initialisatie!$C$5,1,1)) + 1),
        IFERROR(VALUE($E5),0) * MAX(0, MIN($E$1, DATE(Initialisatie!$C$5,12,31)) - MAX($E$2, DATE(Initialisatie!$C$5,1,1)) + 1),
        IFERROR(VALUE($F5),0) * MAX(0, MIN($F$1, DATE(Initialisatie!$C$5,12,31)) - MAX($F$2, DATE(Initialisatie!$C$5,1,1)) + 1),
        IFERROR(VALUE($G5),0) * MAX(0, MIN($G$1, DATE(Initialisatie!$C$5,12,31)) - MAX($G$2, DATE(Initialisatie!$C$5,1,1)) + 1)
    ) / (DATE(Initialisatie!$C$5,12,31) - DATE(Initialisatie!$C$5,1,1) + 1)
)</f>
        <v>2157.3780821917808</v>
      </c>
      <c r="J5">
        <f>IF(
    OR(
        AND(MAX(0, IF(MIN($D$1, DATE(Initialisatie!$C$5,12,31)) &lt; MAX($D$2, DATE(Initialisatie!$C$5,1,1)), 0, MONTH(MIN($D$1, DATE(Initialisatie!$C$5,12,31))) - MONTH(MAX($D$2, DATE(Initialisatie!$C$5,1,1))) + 1)) &lt;= 0, IFERROR(VALUE($D5),0)=0),
        AND(MAX(0, IF(MIN($E$1, DATE(Initialisatie!$C$5,12,31)) &lt; MAX($E$2, DATE(Initialisatie!$C$5,1,1)), 0, MONTH(MIN($E$1, DATE(Initialisatie!$C$5,12,31))) - MONTH(MAX($E$2, DATE(Initialisatie!$C$5,1,1))) + 1)) &lt;= 0, IFERROR(VALUE($E5),0)=0),
        AND(MAX(0, IF(MIN($F$1, DATE(Initialisatie!$C$5,12,31)) &lt; MAX($F$2, DATE(Initialisatie!$C$5,1,1)), 0, MONTH(MIN($F$1, DATE(Initialisatie!$C$5,12,31))) - MONTH(MAX($F$2, DATE(Initialisatie!$C$5,1,1))) + 1)) &lt;= 0, IFERROR(VALUE($F5),0)=0),
        AND(MAX(0, IF(MIN($G$1, DATE(Initialisatie!$C$5,12,31)) &lt; MAX($G$2, DATE(Initialisatie!$C$5,1,1)), 0, MONTH(MIN($G$1, DATE(Initialisatie!$C$5,12,31))) - MONTH(MAX($G$2, DATE(Initialisatie!$C$5,1,1))) + 1)) &lt;= 0, IFERROR(VALUE($G5),0)=0)
    ),
    0,
    SUM(
        IFERROR(VALUE($D5),0) * MAX(0, IF(MIN($D$1, DATE(Initialisatie!$C$5,12,31)) &lt; MAX($D$2, DATE(Initialisatie!$C$5,1,1)), 0, MONTH(MIN($D$1, DATE(Initialisatie!$C$5,12,31))) - MONTH(MAX($D$2, DATE(Initialisatie!$C$5,1,1))) + 1)),
        IFERROR(VALUE($E5),0) * MAX(0, IF(MIN($E$1, DATE(Initialisatie!$C$5,12,31)) &lt; MAX($E$2, DATE(Initialisatie!$C$5,1,1)), 0, MONTH(MIN($E$1, DATE(Initialisatie!$C$5,12,31))) - MONTH(MAX($E$2, DATE(Initialisatie!$C$5,1,1))) + 1)),
        IFERROR(VALUE($F5),0) * MAX(0, IF(MIN($F$1, DATE(Initialisatie!$C$5,12,31)) &lt; MAX($F$2, DATE(Initialisatie!$C$5,1,1)), 0, MONTH(MIN($F$1, DATE(Initialisatie!$C$5,12,31))) - MONTH(MAX($F$2, DATE(Initialisatie!$C$5,1,1))) + 1)),
        IFERROR(VALUE($G5),0) * MAX(0, IF(MIN($G$1, DATE(Initialisatie!$C$5,12,31)) &lt; MAX($G$2, DATE(Initialisatie!$C$5,1,1)), 0, MONTH(MIN($G$1, DATE(Initialisatie!$C$5,12,31))) - MONTH(MAX($G$2, DATE(Initialisatie!$C$5,1,1))) + 1))
    ) / 12
)</f>
        <v>2157.1666666666665</v>
      </c>
    </row>
    <row r="6" spans="1:10" x14ac:dyDescent="0.45">
      <c r="A6" s="999"/>
      <c r="B6" s="373">
        <v>2</v>
      </c>
      <c r="C6" s="373">
        <v>3</v>
      </c>
      <c r="D6" s="48">
        <v>2071</v>
      </c>
      <c r="E6" s="48">
        <v>2154</v>
      </c>
      <c r="F6" s="48">
        <v>2197</v>
      </c>
      <c r="G6" s="48">
        <v>2241</v>
      </c>
      <c r="I6">
        <f>IF(
    OR(
        AND(MAX(0, MIN($D$1, DATE(Initialisatie!$C$5,12,31)) - MAX($D$2, DATE(Initialisatie!$C$5,1,1)) + 1) &gt; 0, IFERROR(VALUE($D6),0)=0),
        AND(MAX(0, MIN($E$1, DATE(Initialisatie!$C$5,12,31)) - MAX($E$2, DATE(Initialisatie!$C$5,1,1)) + 1) &gt; 0, IFERROR(VALUE($E6),0)=0),
        AND(MAX(0, MIN($F$1, DATE(Initialisatie!$C$5,12,31)) - MAX($F$2, DATE(Initialisatie!$C$5,1,1)) + 1) &gt; 0, IFERROR(VALUE($F6),0)=0),
        AND(MAX(0, MIN($G$1, DATE(Initialisatie!$C$5,12,31)) - MAX($G$2, DATE(Initialisatie!$C$5,1,1)) + 1) &gt; 0, IFERROR(VALUE($G6),0)=0)
    ),
    0,
    SUM(
        IFERROR(VALUE($D6),0) * MAX(0, MIN($D$1, DATE(Initialisatie!$C$5,12,31)) - MAX($D$2, DATE(Initialisatie!$C$5,1,1)) + 1),
        IFERROR(VALUE($E6),0) * MAX(0, MIN($E$1, DATE(Initialisatie!$C$5,12,31)) - MAX($E$2, DATE(Initialisatie!$C$5,1,1)) + 1),
        IFERROR(VALUE($F6),0) * MAX(0, MIN($F$1, DATE(Initialisatie!$C$5,12,31)) - MAX($F$2, DATE(Initialisatie!$C$5,1,1)) + 1),
        IFERROR(VALUE($G6),0) * MAX(0, MIN($G$1, DATE(Initialisatie!$C$5,12,31)) - MAX($G$2, DATE(Initialisatie!$C$5,1,1)) + 1)
    ) / (DATE(Initialisatie!$C$5,12,31) - DATE(Initialisatie!$C$5,1,1) + 1)
)</f>
        <v>2190.2164383561644</v>
      </c>
      <c r="J6">
        <f>IF(
    OR(
        AND(MAX(0, IF(MIN($D$1, DATE(Initialisatie!$C$5,12,31)) &lt; MAX($D$2, DATE(Initialisatie!$C$5,1,1)), 0, MONTH(MIN($D$1, DATE(Initialisatie!$C$5,12,31))) - MONTH(MAX($D$2, DATE(Initialisatie!$C$5,1,1))) + 1)) &lt;= 0, IFERROR(VALUE($D6),0)=0),
        AND(MAX(0, IF(MIN($E$1, DATE(Initialisatie!$C$5,12,31)) &lt; MAX($E$2, DATE(Initialisatie!$C$5,1,1)), 0, MONTH(MIN($E$1, DATE(Initialisatie!$C$5,12,31))) - MONTH(MAX($E$2, DATE(Initialisatie!$C$5,1,1))) + 1)) &lt;= 0, IFERROR(VALUE($E6),0)=0),
        AND(MAX(0, IF(MIN($F$1, DATE(Initialisatie!$C$5,12,31)) &lt; MAX($F$2, DATE(Initialisatie!$C$5,1,1)), 0, MONTH(MIN($F$1, DATE(Initialisatie!$C$5,12,31))) - MONTH(MAX($F$2, DATE(Initialisatie!$C$5,1,1))) + 1)) &lt;= 0, IFERROR(VALUE($F6),0)=0),
        AND(MAX(0, IF(MIN($G$1, DATE(Initialisatie!$C$5,12,31)) &lt; MAX($G$2, DATE(Initialisatie!$C$5,1,1)), 0, MONTH(MIN($G$1, DATE(Initialisatie!$C$5,12,31))) - MONTH(MAX($G$2, DATE(Initialisatie!$C$5,1,1))) + 1)) &lt;= 0, IFERROR(VALUE($G6),0)=0)
    ),
    0,
    SUM(
        IFERROR(VALUE($D6),0) * MAX(0, IF(MIN($D$1, DATE(Initialisatie!$C$5,12,31)) &lt; MAX($D$2, DATE(Initialisatie!$C$5,1,1)), 0, MONTH(MIN($D$1, DATE(Initialisatie!$C$5,12,31))) - MONTH(MAX($D$2, DATE(Initialisatie!$C$5,1,1))) + 1)),
        IFERROR(VALUE($E6),0) * MAX(0, IF(MIN($E$1, DATE(Initialisatie!$C$5,12,31)) &lt; MAX($E$2, DATE(Initialisatie!$C$5,1,1)), 0, MONTH(MIN($E$1, DATE(Initialisatie!$C$5,12,31))) - MONTH(MAX($E$2, DATE(Initialisatie!$C$5,1,1))) + 1)),
        IFERROR(VALUE($F6),0) * MAX(0, IF(MIN($F$1, DATE(Initialisatie!$C$5,12,31)) &lt; MAX($F$2, DATE(Initialisatie!$C$5,1,1)), 0, MONTH(MIN($F$1, DATE(Initialisatie!$C$5,12,31))) - MONTH(MAX($F$2, DATE(Initialisatie!$C$5,1,1))) + 1)),
        IFERROR(VALUE($G6),0) * MAX(0, IF(MIN($G$1, DATE(Initialisatie!$C$5,12,31)) &lt; MAX($G$2, DATE(Initialisatie!$C$5,1,1)), 0, MONTH(MIN($G$1, DATE(Initialisatie!$C$5,12,31))) - MONTH(MAX($G$2, DATE(Initialisatie!$C$5,1,1))) + 1))
    ) / 12
)</f>
        <v>2190</v>
      </c>
    </row>
    <row r="7" spans="1:10" x14ac:dyDescent="0.45">
      <c r="A7" s="999"/>
      <c r="B7" s="372">
        <v>3</v>
      </c>
      <c r="C7" s="373">
        <v>4</v>
      </c>
      <c r="D7" s="48">
        <v>2137</v>
      </c>
      <c r="E7" s="48">
        <v>2222</v>
      </c>
      <c r="F7" s="48">
        <v>2266</v>
      </c>
      <c r="G7" s="48">
        <v>2311</v>
      </c>
      <c r="I7">
        <f>IF(
    OR(
        AND(MAX(0, MIN($D$1, DATE(Initialisatie!$C$5,12,31)) - MAX($D$2, DATE(Initialisatie!$C$5,1,1)) + 1) &gt; 0, IFERROR(VALUE($D7),0)=0),
        AND(MAX(0, MIN($E$1, DATE(Initialisatie!$C$5,12,31)) - MAX($E$2, DATE(Initialisatie!$C$5,1,1)) + 1) &gt; 0, IFERROR(VALUE($E7),0)=0),
        AND(MAX(0, MIN($F$1, DATE(Initialisatie!$C$5,12,31)) - MAX($F$2, DATE(Initialisatie!$C$5,1,1)) + 1) &gt; 0, IFERROR(VALUE($F7),0)=0),
        AND(MAX(0, MIN($G$1, DATE(Initialisatie!$C$5,12,31)) - MAX($G$2, DATE(Initialisatie!$C$5,1,1)) + 1) &gt; 0, IFERROR(VALUE($G7),0)=0)
    ),
    0,
    SUM(
        IFERROR(VALUE($D7),0) * MAX(0, MIN($D$1, DATE(Initialisatie!$C$5,12,31)) - MAX($D$2, DATE(Initialisatie!$C$5,1,1)) + 1),
        IFERROR(VALUE($E7),0) * MAX(0, MIN($E$1, DATE(Initialisatie!$C$5,12,31)) - MAX($E$2, DATE(Initialisatie!$C$5,1,1)) + 1),
        IFERROR(VALUE($F7),0) * MAX(0, MIN($F$1, DATE(Initialisatie!$C$5,12,31)) - MAX($F$2, DATE(Initialisatie!$C$5,1,1)) + 1),
        IFERROR(VALUE($G7),0) * MAX(0, MIN($G$1, DATE(Initialisatie!$C$5,12,31)) - MAX($G$2, DATE(Initialisatie!$C$5,1,1)) + 1)
    ) / (DATE(Initialisatie!$C$5,12,31) - DATE(Initialisatie!$C$5,1,1) + 1)
)</f>
        <v>2259.0547945205481</v>
      </c>
      <c r="J7">
        <f>IF(
    OR(
        AND(MAX(0, IF(MIN($D$1, DATE(Initialisatie!$C$5,12,31)) &lt; MAX($D$2, DATE(Initialisatie!$C$5,1,1)), 0, MONTH(MIN($D$1, DATE(Initialisatie!$C$5,12,31))) - MONTH(MAX($D$2, DATE(Initialisatie!$C$5,1,1))) + 1)) &lt;= 0, IFERROR(VALUE($D7),0)=0),
        AND(MAX(0, IF(MIN($E$1, DATE(Initialisatie!$C$5,12,31)) &lt; MAX($E$2, DATE(Initialisatie!$C$5,1,1)), 0, MONTH(MIN($E$1, DATE(Initialisatie!$C$5,12,31))) - MONTH(MAX($E$2, DATE(Initialisatie!$C$5,1,1))) + 1)) &lt;= 0, IFERROR(VALUE($E7),0)=0),
        AND(MAX(0, IF(MIN($F$1, DATE(Initialisatie!$C$5,12,31)) &lt; MAX($F$2, DATE(Initialisatie!$C$5,1,1)), 0, MONTH(MIN($F$1, DATE(Initialisatie!$C$5,12,31))) - MONTH(MAX($F$2, DATE(Initialisatie!$C$5,1,1))) + 1)) &lt;= 0, IFERROR(VALUE($F7),0)=0),
        AND(MAX(0, IF(MIN($G$1, DATE(Initialisatie!$C$5,12,31)) &lt; MAX($G$2, DATE(Initialisatie!$C$5,1,1)), 0, MONTH(MIN($G$1, DATE(Initialisatie!$C$5,12,31))) - MONTH(MAX($G$2, DATE(Initialisatie!$C$5,1,1))) + 1)) &lt;= 0, IFERROR(VALUE($G7),0)=0)
    ),
    0,
    SUM(
        IFERROR(VALUE($D7),0) * MAX(0, IF(MIN($D$1, DATE(Initialisatie!$C$5,12,31)) &lt; MAX($D$2, DATE(Initialisatie!$C$5,1,1)), 0, MONTH(MIN($D$1, DATE(Initialisatie!$C$5,12,31))) - MONTH(MAX($D$2, DATE(Initialisatie!$C$5,1,1))) + 1)),
        IFERROR(VALUE($E7),0) * MAX(0, IF(MIN($E$1, DATE(Initialisatie!$C$5,12,31)) &lt; MAX($E$2, DATE(Initialisatie!$C$5,1,1)), 0, MONTH(MIN($E$1, DATE(Initialisatie!$C$5,12,31))) - MONTH(MAX($E$2, DATE(Initialisatie!$C$5,1,1))) + 1)),
        IFERROR(VALUE($F7),0) * MAX(0, IF(MIN($F$1, DATE(Initialisatie!$C$5,12,31)) &lt; MAX($F$2, DATE(Initialisatie!$C$5,1,1)), 0, MONTH(MIN($F$1, DATE(Initialisatie!$C$5,12,31))) - MONTH(MAX($F$2, DATE(Initialisatie!$C$5,1,1))) + 1)),
        IFERROR(VALUE($G7),0) * MAX(0, IF(MIN($G$1, DATE(Initialisatie!$C$5,12,31)) &lt; MAX($G$2, DATE(Initialisatie!$C$5,1,1)), 0, MONTH(MIN($G$1, DATE(Initialisatie!$C$5,12,31))) - MONTH(MAX($G$2, DATE(Initialisatie!$C$5,1,1))) + 1))
    ) / 12
)</f>
        <v>2258.8333333333335</v>
      </c>
    </row>
    <row r="8" spans="1:10" x14ac:dyDescent="0.45">
      <c r="A8" s="999"/>
      <c r="B8" s="373">
        <v>4</v>
      </c>
      <c r="C8" s="373">
        <v>5</v>
      </c>
      <c r="D8" s="48">
        <v>2203</v>
      </c>
      <c r="E8" s="48">
        <v>2291</v>
      </c>
      <c r="F8" s="48">
        <v>2337</v>
      </c>
      <c r="G8" s="48">
        <v>2384</v>
      </c>
      <c r="I8">
        <f>IF(
    OR(
        AND(MAX(0, MIN($D$1, DATE(Initialisatie!$C$5,12,31)) - MAX($D$2, DATE(Initialisatie!$C$5,1,1)) + 1) &gt; 0, IFERROR(VALUE($D8),0)=0),
        AND(MAX(0, MIN($E$1, DATE(Initialisatie!$C$5,12,31)) - MAX($E$2, DATE(Initialisatie!$C$5,1,1)) + 1) &gt; 0, IFERROR(VALUE($E8),0)=0),
        AND(MAX(0, MIN($F$1, DATE(Initialisatie!$C$5,12,31)) - MAX($F$2, DATE(Initialisatie!$C$5,1,1)) + 1) &gt; 0, IFERROR(VALUE($F8),0)=0),
        AND(MAX(0, MIN($G$1, DATE(Initialisatie!$C$5,12,31)) - MAX($G$2, DATE(Initialisatie!$C$5,1,1)) + 1) &gt; 0, IFERROR(VALUE($G8),0)=0)
    ),
    0,
    SUM(
        IFERROR(VALUE($D8),0) * MAX(0, MIN($D$1, DATE(Initialisatie!$C$5,12,31)) - MAX($D$2, DATE(Initialisatie!$C$5,1,1)) + 1),
        IFERROR(VALUE($E8),0) * MAX(0, MIN($E$1, DATE(Initialisatie!$C$5,12,31)) - MAX($E$2, DATE(Initialisatie!$C$5,1,1)) + 1),
        IFERROR(VALUE($F8),0) * MAX(0, MIN($F$1, DATE(Initialisatie!$C$5,12,31)) - MAX($F$2, DATE(Initialisatie!$C$5,1,1)) + 1),
        IFERROR(VALUE($G8),0) * MAX(0, MIN($G$1, DATE(Initialisatie!$C$5,12,31)) - MAX($G$2, DATE(Initialisatie!$C$5,1,1)) + 1)
    ) / (DATE(Initialisatie!$C$5,12,31) - DATE(Initialisatie!$C$5,1,1) + 1)
)</f>
        <v>2329.7315068493149</v>
      </c>
      <c r="J8">
        <f>IF(
    OR(
        AND(MAX(0, IF(MIN($D$1, DATE(Initialisatie!$C$5,12,31)) &lt; MAX($D$2, DATE(Initialisatie!$C$5,1,1)), 0, MONTH(MIN($D$1, DATE(Initialisatie!$C$5,12,31))) - MONTH(MAX($D$2, DATE(Initialisatie!$C$5,1,1))) + 1)) &lt;= 0, IFERROR(VALUE($D8),0)=0),
        AND(MAX(0, IF(MIN($E$1, DATE(Initialisatie!$C$5,12,31)) &lt; MAX($E$2, DATE(Initialisatie!$C$5,1,1)), 0, MONTH(MIN($E$1, DATE(Initialisatie!$C$5,12,31))) - MONTH(MAX($E$2, DATE(Initialisatie!$C$5,1,1))) + 1)) &lt;= 0, IFERROR(VALUE($E8),0)=0),
        AND(MAX(0, IF(MIN($F$1, DATE(Initialisatie!$C$5,12,31)) &lt; MAX($F$2, DATE(Initialisatie!$C$5,1,1)), 0, MONTH(MIN($F$1, DATE(Initialisatie!$C$5,12,31))) - MONTH(MAX($F$2, DATE(Initialisatie!$C$5,1,1))) + 1)) &lt;= 0, IFERROR(VALUE($F8),0)=0),
        AND(MAX(0, IF(MIN($G$1, DATE(Initialisatie!$C$5,12,31)) &lt; MAX($G$2, DATE(Initialisatie!$C$5,1,1)), 0, MONTH(MIN($G$1, DATE(Initialisatie!$C$5,12,31))) - MONTH(MAX($G$2, DATE(Initialisatie!$C$5,1,1))) + 1)) &lt;= 0, IFERROR(VALUE($G8),0)=0)
    ),
    0,
    SUM(
        IFERROR(VALUE($D8),0) * MAX(0, IF(MIN($D$1, DATE(Initialisatie!$C$5,12,31)) &lt; MAX($D$2, DATE(Initialisatie!$C$5,1,1)), 0, MONTH(MIN($D$1, DATE(Initialisatie!$C$5,12,31))) - MONTH(MAX($D$2, DATE(Initialisatie!$C$5,1,1))) + 1)),
        IFERROR(VALUE($E8),0) * MAX(0, IF(MIN($E$1, DATE(Initialisatie!$C$5,12,31)) &lt; MAX($E$2, DATE(Initialisatie!$C$5,1,1)), 0, MONTH(MIN($E$1, DATE(Initialisatie!$C$5,12,31))) - MONTH(MAX($E$2, DATE(Initialisatie!$C$5,1,1))) + 1)),
        IFERROR(VALUE($F8),0) * MAX(0, IF(MIN($F$1, DATE(Initialisatie!$C$5,12,31)) &lt; MAX($F$2, DATE(Initialisatie!$C$5,1,1)), 0, MONTH(MIN($F$1, DATE(Initialisatie!$C$5,12,31))) - MONTH(MAX($F$2, DATE(Initialisatie!$C$5,1,1))) + 1)),
        IFERROR(VALUE($G8),0) * MAX(0, IF(MIN($G$1, DATE(Initialisatie!$C$5,12,31)) &lt; MAX($G$2, DATE(Initialisatie!$C$5,1,1)), 0, MONTH(MIN($G$1, DATE(Initialisatie!$C$5,12,31))) - MONTH(MAX($G$2, DATE(Initialisatie!$C$5,1,1))) + 1))
    ) / 12
)</f>
        <v>2329.5</v>
      </c>
    </row>
    <row r="9" spans="1:10" x14ac:dyDescent="0.45">
      <c r="A9" s="999"/>
      <c r="B9" s="373">
        <v>5</v>
      </c>
      <c r="C9" s="373">
        <v>6</v>
      </c>
      <c r="D9" s="48">
        <v>2237</v>
      </c>
      <c r="E9" s="48">
        <v>2326</v>
      </c>
      <c r="F9" s="48">
        <v>2373</v>
      </c>
      <c r="G9" s="48">
        <v>2420</v>
      </c>
      <c r="I9">
        <f>IF(
    OR(
        AND(MAX(0, MIN($D$1, DATE(Initialisatie!$C$5,12,31)) - MAX($D$2, DATE(Initialisatie!$C$5,1,1)) + 1) &gt; 0, IFERROR(VALUE($D9),0)=0),
        AND(MAX(0, MIN($E$1, DATE(Initialisatie!$C$5,12,31)) - MAX($E$2, DATE(Initialisatie!$C$5,1,1)) + 1) &gt; 0, IFERROR(VALUE($E9),0)=0),
        AND(MAX(0, MIN($F$1, DATE(Initialisatie!$C$5,12,31)) - MAX($F$2, DATE(Initialisatie!$C$5,1,1)) + 1) &gt; 0, IFERROR(VALUE($F9),0)=0),
        AND(MAX(0, MIN($G$1, DATE(Initialisatie!$C$5,12,31)) - MAX($G$2, DATE(Initialisatie!$C$5,1,1)) + 1) &gt; 0, IFERROR(VALUE($G9),0)=0)
    ),
    0,
    SUM(
        IFERROR(VALUE($D9),0) * MAX(0, MIN($D$1, DATE(Initialisatie!$C$5,12,31)) - MAX($D$2, DATE(Initialisatie!$C$5,1,1)) + 1),
        IFERROR(VALUE($E9),0) * MAX(0, MIN($E$1, DATE(Initialisatie!$C$5,12,31)) - MAX($E$2, DATE(Initialisatie!$C$5,1,1)) + 1),
        IFERROR(VALUE($F9),0) * MAX(0, MIN($F$1, DATE(Initialisatie!$C$5,12,31)) - MAX($F$2, DATE(Initialisatie!$C$5,1,1)) + 1),
        IFERROR(VALUE($G9),0) * MAX(0, MIN($G$1, DATE(Initialisatie!$C$5,12,31)) - MAX($G$2, DATE(Initialisatie!$C$5,1,1)) + 1)
    ) / (DATE(Initialisatie!$C$5,12,31) - DATE(Initialisatie!$C$5,1,1) + 1)
)</f>
        <v>2365.4027397260274</v>
      </c>
      <c r="J9">
        <f>IF(
    OR(
        AND(MAX(0, IF(MIN($D$1, DATE(Initialisatie!$C$5,12,31)) &lt; MAX($D$2, DATE(Initialisatie!$C$5,1,1)), 0, MONTH(MIN($D$1, DATE(Initialisatie!$C$5,12,31))) - MONTH(MAX($D$2, DATE(Initialisatie!$C$5,1,1))) + 1)) &lt;= 0, IFERROR(VALUE($D9),0)=0),
        AND(MAX(0, IF(MIN($E$1, DATE(Initialisatie!$C$5,12,31)) &lt; MAX($E$2, DATE(Initialisatie!$C$5,1,1)), 0, MONTH(MIN($E$1, DATE(Initialisatie!$C$5,12,31))) - MONTH(MAX($E$2, DATE(Initialisatie!$C$5,1,1))) + 1)) &lt;= 0, IFERROR(VALUE($E9),0)=0),
        AND(MAX(0, IF(MIN($F$1, DATE(Initialisatie!$C$5,12,31)) &lt; MAX($F$2, DATE(Initialisatie!$C$5,1,1)), 0, MONTH(MIN($F$1, DATE(Initialisatie!$C$5,12,31))) - MONTH(MAX($F$2, DATE(Initialisatie!$C$5,1,1))) + 1)) &lt;= 0, IFERROR(VALUE($F9),0)=0),
        AND(MAX(0, IF(MIN($G$1, DATE(Initialisatie!$C$5,12,31)) &lt; MAX($G$2, DATE(Initialisatie!$C$5,1,1)), 0, MONTH(MIN($G$1, DATE(Initialisatie!$C$5,12,31))) - MONTH(MAX($G$2, DATE(Initialisatie!$C$5,1,1))) + 1)) &lt;= 0, IFERROR(VALUE($G9),0)=0)
    ),
    0,
    SUM(
        IFERROR(VALUE($D9),0) * MAX(0, IF(MIN($D$1, DATE(Initialisatie!$C$5,12,31)) &lt; MAX($D$2, DATE(Initialisatie!$C$5,1,1)), 0, MONTH(MIN($D$1, DATE(Initialisatie!$C$5,12,31))) - MONTH(MAX($D$2, DATE(Initialisatie!$C$5,1,1))) + 1)),
        IFERROR(VALUE($E9),0) * MAX(0, IF(MIN($E$1, DATE(Initialisatie!$C$5,12,31)) &lt; MAX($E$2, DATE(Initialisatie!$C$5,1,1)), 0, MONTH(MIN($E$1, DATE(Initialisatie!$C$5,12,31))) - MONTH(MAX($E$2, DATE(Initialisatie!$C$5,1,1))) + 1)),
        IFERROR(VALUE($F9),0) * MAX(0, IF(MIN($F$1, DATE(Initialisatie!$C$5,12,31)) &lt; MAX($F$2, DATE(Initialisatie!$C$5,1,1)), 0, MONTH(MIN($F$1, DATE(Initialisatie!$C$5,12,31))) - MONTH(MAX($F$2, DATE(Initialisatie!$C$5,1,1))) + 1)),
        IFERROR(VALUE($G9),0) * MAX(0, IF(MIN($G$1, DATE(Initialisatie!$C$5,12,31)) &lt; MAX($G$2, DATE(Initialisatie!$C$5,1,1)), 0, MONTH(MIN($G$1, DATE(Initialisatie!$C$5,12,31))) - MONTH(MAX($G$2, DATE(Initialisatie!$C$5,1,1))) + 1))
    ) / 12
)</f>
        <v>2365.1666666666665</v>
      </c>
    </row>
    <row r="10" spans="1:10" x14ac:dyDescent="0.45">
      <c r="A10" s="999"/>
      <c r="B10" s="373">
        <v>6</v>
      </c>
      <c r="C10" s="373">
        <v>7</v>
      </c>
      <c r="D10" s="48">
        <v>2290</v>
      </c>
      <c r="E10" s="48">
        <v>2382</v>
      </c>
      <c r="F10" s="48">
        <v>2430</v>
      </c>
      <c r="G10" s="48">
        <v>2479</v>
      </c>
      <c r="I10">
        <f>IF(
    OR(
        AND(MAX(0, MIN($D$1, DATE(Initialisatie!$C$5,12,31)) - MAX($D$2, DATE(Initialisatie!$C$5,1,1)) + 1) &gt; 0, IFERROR(VALUE($D10),0)=0),
        AND(MAX(0, MIN($E$1, DATE(Initialisatie!$C$5,12,31)) - MAX($E$2, DATE(Initialisatie!$C$5,1,1)) + 1) &gt; 0, IFERROR(VALUE($E10),0)=0),
        AND(MAX(0, MIN($F$1, DATE(Initialisatie!$C$5,12,31)) - MAX($F$2, DATE(Initialisatie!$C$5,1,1)) + 1) &gt; 0, IFERROR(VALUE($F10),0)=0),
        AND(MAX(0, MIN($G$1, DATE(Initialisatie!$C$5,12,31)) - MAX($G$2, DATE(Initialisatie!$C$5,1,1)) + 1) &gt; 0, IFERROR(VALUE($G10),0)=0)
    ),
    0,
    SUM(
        IFERROR(VALUE($D10),0) * MAX(0, MIN($D$1, DATE(Initialisatie!$C$5,12,31)) - MAX($D$2, DATE(Initialisatie!$C$5,1,1)) + 1),
        IFERROR(VALUE($E10),0) * MAX(0, MIN($E$1, DATE(Initialisatie!$C$5,12,31)) - MAX($E$2, DATE(Initialisatie!$C$5,1,1)) + 1),
        IFERROR(VALUE($F10),0) * MAX(0, MIN($F$1, DATE(Initialisatie!$C$5,12,31)) - MAX($F$2, DATE(Initialisatie!$C$5,1,1)) + 1),
        IFERROR(VALUE($G10),0) * MAX(0, MIN($G$1, DATE(Initialisatie!$C$5,12,31)) - MAX($G$2, DATE(Initialisatie!$C$5,1,1)) + 1)
    ) / (DATE(Initialisatie!$C$5,12,31) - DATE(Initialisatie!$C$5,1,1) + 1)
)</f>
        <v>2422.4082191780822</v>
      </c>
      <c r="J10">
        <f>IF(
    OR(
        AND(MAX(0, IF(MIN($D$1, DATE(Initialisatie!$C$5,12,31)) &lt; MAX($D$2, DATE(Initialisatie!$C$5,1,1)), 0, MONTH(MIN($D$1, DATE(Initialisatie!$C$5,12,31))) - MONTH(MAX($D$2, DATE(Initialisatie!$C$5,1,1))) + 1)) &lt;= 0, IFERROR(VALUE($D10),0)=0),
        AND(MAX(0, IF(MIN($E$1, DATE(Initialisatie!$C$5,12,31)) &lt; MAX($E$2, DATE(Initialisatie!$C$5,1,1)), 0, MONTH(MIN($E$1, DATE(Initialisatie!$C$5,12,31))) - MONTH(MAX($E$2, DATE(Initialisatie!$C$5,1,1))) + 1)) &lt;= 0, IFERROR(VALUE($E10),0)=0),
        AND(MAX(0, IF(MIN($F$1, DATE(Initialisatie!$C$5,12,31)) &lt; MAX($F$2, DATE(Initialisatie!$C$5,1,1)), 0, MONTH(MIN($F$1, DATE(Initialisatie!$C$5,12,31))) - MONTH(MAX($F$2, DATE(Initialisatie!$C$5,1,1))) + 1)) &lt;= 0, IFERROR(VALUE($F10),0)=0),
        AND(MAX(0, IF(MIN($G$1, DATE(Initialisatie!$C$5,12,31)) &lt; MAX($G$2, DATE(Initialisatie!$C$5,1,1)), 0, MONTH(MIN($G$1, DATE(Initialisatie!$C$5,12,31))) - MONTH(MAX($G$2, DATE(Initialisatie!$C$5,1,1))) + 1)) &lt;= 0, IFERROR(VALUE($G10),0)=0)
    ),
    0,
    SUM(
        IFERROR(VALUE($D10),0) * MAX(0, IF(MIN($D$1, DATE(Initialisatie!$C$5,12,31)) &lt; MAX($D$2, DATE(Initialisatie!$C$5,1,1)), 0, MONTH(MIN($D$1, DATE(Initialisatie!$C$5,12,31))) - MONTH(MAX($D$2, DATE(Initialisatie!$C$5,1,1))) + 1)),
        IFERROR(VALUE($E10),0) * MAX(0, IF(MIN($E$1, DATE(Initialisatie!$C$5,12,31)) &lt; MAX($E$2, DATE(Initialisatie!$C$5,1,1)), 0, MONTH(MIN($E$1, DATE(Initialisatie!$C$5,12,31))) - MONTH(MAX($E$2, DATE(Initialisatie!$C$5,1,1))) + 1)),
        IFERROR(VALUE($F10),0) * MAX(0, IF(MIN($F$1, DATE(Initialisatie!$C$5,12,31)) &lt; MAX($F$2, DATE(Initialisatie!$C$5,1,1)), 0, MONTH(MIN($F$1, DATE(Initialisatie!$C$5,12,31))) - MONTH(MAX($F$2, DATE(Initialisatie!$C$5,1,1))) + 1)),
        IFERROR(VALUE($G10),0) * MAX(0, IF(MIN($G$1, DATE(Initialisatie!$C$5,12,31)) &lt; MAX($G$2, DATE(Initialisatie!$C$5,1,1)), 0, MONTH(MIN($G$1, DATE(Initialisatie!$C$5,12,31))) - MONTH(MAX($G$2, DATE(Initialisatie!$C$5,1,1))) + 1))
    ) / 12
)</f>
        <v>2422.1666666666665</v>
      </c>
    </row>
    <row r="11" spans="1:10" x14ac:dyDescent="0.45">
      <c r="A11" s="999"/>
      <c r="B11" s="373">
        <v>7</v>
      </c>
      <c r="C11" s="373">
        <v>8</v>
      </c>
      <c r="D11" s="48">
        <v>2339</v>
      </c>
      <c r="E11" s="48">
        <v>2433</v>
      </c>
      <c r="F11" s="48">
        <v>2482</v>
      </c>
      <c r="G11" s="48">
        <v>2532</v>
      </c>
      <c r="I11">
        <f>IF(
    OR(
        AND(MAX(0, MIN($D$1, DATE(Initialisatie!$C$5,12,31)) - MAX($D$2, DATE(Initialisatie!$C$5,1,1)) + 1) &gt; 0, IFERROR(VALUE($D11),0)=0),
        AND(MAX(0, MIN($E$1, DATE(Initialisatie!$C$5,12,31)) - MAX($E$2, DATE(Initialisatie!$C$5,1,1)) + 1) &gt; 0, IFERROR(VALUE($E11),0)=0),
        AND(MAX(0, MIN($F$1, DATE(Initialisatie!$C$5,12,31)) - MAX($F$2, DATE(Initialisatie!$C$5,1,1)) + 1) &gt; 0, IFERROR(VALUE($F11),0)=0),
        AND(MAX(0, MIN($G$1, DATE(Initialisatie!$C$5,12,31)) - MAX($G$2, DATE(Initialisatie!$C$5,1,1)) + 1) &gt; 0, IFERROR(VALUE($G11),0)=0)
    ),
    0,
    SUM(
        IFERROR(VALUE($D11),0) * MAX(0, MIN($D$1, DATE(Initialisatie!$C$5,12,31)) - MAX($D$2, DATE(Initialisatie!$C$5,1,1)) + 1),
        IFERROR(VALUE($E11),0) * MAX(0, MIN($E$1, DATE(Initialisatie!$C$5,12,31)) - MAX($E$2, DATE(Initialisatie!$C$5,1,1)) + 1),
        IFERROR(VALUE($F11),0) * MAX(0, MIN($F$1, DATE(Initialisatie!$C$5,12,31)) - MAX($F$2, DATE(Initialisatie!$C$5,1,1)) + 1),
        IFERROR(VALUE($G11),0) * MAX(0, MIN($G$1, DATE(Initialisatie!$C$5,12,31)) - MAX($G$2, DATE(Initialisatie!$C$5,1,1)) + 1)
    ) / (DATE(Initialisatie!$C$5,12,31) - DATE(Initialisatie!$C$5,1,1) + 1)
)</f>
        <v>2474.2465753424658</v>
      </c>
      <c r="J11">
        <f>IF(
    OR(
        AND(MAX(0, IF(MIN($D$1, DATE(Initialisatie!$C$5,12,31)) &lt; MAX($D$2, DATE(Initialisatie!$C$5,1,1)), 0, MONTH(MIN($D$1, DATE(Initialisatie!$C$5,12,31))) - MONTH(MAX($D$2, DATE(Initialisatie!$C$5,1,1))) + 1)) &lt;= 0, IFERROR(VALUE($D11),0)=0),
        AND(MAX(0, IF(MIN($E$1, DATE(Initialisatie!$C$5,12,31)) &lt; MAX($E$2, DATE(Initialisatie!$C$5,1,1)), 0, MONTH(MIN($E$1, DATE(Initialisatie!$C$5,12,31))) - MONTH(MAX($E$2, DATE(Initialisatie!$C$5,1,1))) + 1)) &lt;= 0, IFERROR(VALUE($E11),0)=0),
        AND(MAX(0, IF(MIN($F$1, DATE(Initialisatie!$C$5,12,31)) &lt; MAX($F$2, DATE(Initialisatie!$C$5,1,1)), 0, MONTH(MIN($F$1, DATE(Initialisatie!$C$5,12,31))) - MONTH(MAX($F$2, DATE(Initialisatie!$C$5,1,1))) + 1)) &lt;= 0, IFERROR(VALUE($F11),0)=0),
        AND(MAX(0, IF(MIN($G$1, DATE(Initialisatie!$C$5,12,31)) &lt; MAX($G$2, DATE(Initialisatie!$C$5,1,1)), 0, MONTH(MIN($G$1, DATE(Initialisatie!$C$5,12,31))) - MONTH(MAX($G$2, DATE(Initialisatie!$C$5,1,1))) + 1)) &lt;= 0, IFERROR(VALUE($G11),0)=0)
    ),
    0,
    SUM(
        IFERROR(VALUE($D11),0) * MAX(0, IF(MIN($D$1, DATE(Initialisatie!$C$5,12,31)) &lt; MAX($D$2, DATE(Initialisatie!$C$5,1,1)), 0, MONTH(MIN($D$1, DATE(Initialisatie!$C$5,12,31))) - MONTH(MAX($D$2, DATE(Initialisatie!$C$5,1,1))) + 1)),
        IFERROR(VALUE($E11),0) * MAX(0, IF(MIN($E$1, DATE(Initialisatie!$C$5,12,31)) &lt; MAX($E$2, DATE(Initialisatie!$C$5,1,1)), 0, MONTH(MIN($E$1, DATE(Initialisatie!$C$5,12,31))) - MONTH(MAX($E$2, DATE(Initialisatie!$C$5,1,1))) + 1)),
        IFERROR(VALUE($F11),0) * MAX(0, IF(MIN($F$1, DATE(Initialisatie!$C$5,12,31)) &lt; MAX($F$2, DATE(Initialisatie!$C$5,1,1)), 0, MONTH(MIN($F$1, DATE(Initialisatie!$C$5,12,31))) - MONTH(MAX($F$2, DATE(Initialisatie!$C$5,1,1))) + 1)),
        IFERROR(VALUE($G11),0) * MAX(0, IF(MIN($G$1, DATE(Initialisatie!$C$5,12,31)) &lt; MAX($G$2, DATE(Initialisatie!$C$5,1,1)), 0, MONTH(MIN($G$1, DATE(Initialisatie!$C$5,12,31))) - MONTH(MAX($G$2, DATE(Initialisatie!$C$5,1,1))) + 1))
    ) / 12
)</f>
        <v>2474</v>
      </c>
    </row>
    <row r="12" spans="1:10" x14ac:dyDescent="0.45">
      <c r="A12" s="999"/>
      <c r="B12" s="373">
        <v>8</v>
      </c>
      <c r="C12" s="373">
        <v>9</v>
      </c>
      <c r="D12" s="48">
        <v>2390</v>
      </c>
      <c r="E12" s="48">
        <v>2486</v>
      </c>
      <c r="F12" s="48">
        <v>2536</v>
      </c>
      <c r="G12" s="48">
        <v>2587</v>
      </c>
      <c r="I12">
        <f>IF(
    OR(
        AND(MAX(0, MIN($D$1, DATE(Initialisatie!$C$5,12,31)) - MAX($D$2, DATE(Initialisatie!$C$5,1,1)) + 1) &gt; 0, IFERROR(VALUE($D12),0)=0),
        AND(MAX(0, MIN($E$1, DATE(Initialisatie!$C$5,12,31)) - MAX($E$2, DATE(Initialisatie!$C$5,1,1)) + 1) &gt; 0, IFERROR(VALUE($E12),0)=0),
        AND(MAX(0, MIN($F$1, DATE(Initialisatie!$C$5,12,31)) - MAX($F$2, DATE(Initialisatie!$C$5,1,1)) + 1) &gt; 0, IFERROR(VALUE($F12),0)=0),
        AND(MAX(0, MIN($G$1, DATE(Initialisatie!$C$5,12,31)) - MAX($G$2, DATE(Initialisatie!$C$5,1,1)) + 1) &gt; 0, IFERROR(VALUE($G12),0)=0)
    ),
    0,
    SUM(
        IFERROR(VALUE($D12),0) * MAX(0, MIN($D$1, DATE(Initialisatie!$C$5,12,31)) - MAX($D$2, DATE(Initialisatie!$C$5,1,1)) + 1),
        IFERROR(VALUE($E12),0) * MAX(0, MIN($E$1, DATE(Initialisatie!$C$5,12,31)) - MAX($E$2, DATE(Initialisatie!$C$5,1,1)) + 1),
        IFERROR(VALUE($F12),0) * MAX(0, MIN($F$1, DATE(Initialisatie!$C$5,12,31)) - MAX($F$2, DATE(Initialisatie!$C$5,1,1)) + 1),
        IFERROR(VALUE($G12),0) * MAX(0, MIN($G$1, DATE(Initialisatie!$C$5,12,31)) - MAX($G$2, DATE(Initialisatie!$C$5,1,1)) + 1)
    ) / (DATE(Initialisatie!$C$5,12,31) - DATE(Initialisatie!$C$5,1,1) + 1)
)</f>
        <v>2528.0849315068494</v>
      </c>
      <c r="J12">
        <f>IF(
    OR(
        AND(MAX(0, IF(MIN($D$1, DATE(Initialisatie!$C$5,12,31)) &lt; MAX($D$2, DATE(Initialisatie!$C$5,1,1)), 0, MONTH(MIN($D$1, DATE(Initialisatie!$C$5,12,31))) - MONTH(MAX($D$2, DATE(Initialisatie!$C$5,1,1))) + 1)) &lt;= 0, IFERROR(VALUE($D12),0)=0),
        AND(MAX(0, IF(MIN($E$1, DATE(Initialisatie!$C$5,12,31)) &lt; MAX($E$2, DATE(Initialisatie!$C$5,1,1)), 0, MONTH(MIN($E$1, DATE(Initialisatie!$C$5,12,31))) - MONTH(MAX($E$2, DATE(Initialisatie!$C$5,1,1))) + 1)) &lt;= 0, IFERROR(VALUE($E12),0)=0),
        AND(MAX(0, IF(MIN($F$1, DATE(Initialisatie!$C$5,12,31)) &lt; MAX($F$2, DATE(Initialisatie!$C$5,1,1)), 0, MONTH(MIN($F$1, DATE(Initialisatie!$C$5,12,31))) - MONTH(MAX($F$2, DATE(Initialisatie!$C$5,1,1))) + 1)) &lt;= 0, IFERROR(VALUE($F12),0)=0),
        AND(MAX(0, IF(MIN($G$1, DATE(Initialisatie!$C$5,12,31)) &lt; MAX($G$2, DATE(Initialisatie!$C$5,1,1)), 0, MONTH(MIN($G$1, DATE(Initialisatie!$C$5,12,31))) - MONTH(MAX($G$2, DATE(Initialisatie!$C$5,1,1))) + 1)) &lt;= 0, IFERROR(VALUE($G12),0)=0)
    ),
    0,
    SUM(
        IFERROR(VALUE($D12),0) * MAX(0, IF(MIN($D$1, DATE(Initialisatie!$C$5,12,31)) &lt; MAX($D$2, DATE(Initialisatie!$C$5,1,1)), 0, MONTH(MIN($D$1, DATE(Initialisatie!$C$5,12,31))) - MONTH(MAX($D$2, DATE(Initialisatie!$C$5,1,1))) + 1)),
        IFERROR(VALUE($E12),0) * MAX(0, IF(MIN($E$1, DATE(Initialisatie!$C$5,12,31)) &lt; MAX($E$2, DATE(Initialisatie!$C$5,1,1)), 0, MONTH(MIN($E$1, DATE(Initialisatie!$C$5,12,31))) - MONTH(MAX($E$2, DATE(Initialisatie!$C$5,1,1))) + 1)),
        IFERROR(VALUE($F12),0) * MAX(0, IF(MIN($F$1, DATE(Initialisatie!$C$5,12,31)) &lt; MAX($F$2, DATE(Initialisatie!$C$5,1,1)), 0, MONTH(MIN($F$1, DATE(Initialisatie!$C$5,12,31))) - MONTH(MAX($F$2, DATE(Initialisatie!$C$5,1,1))) + 1)),
        IFERROR(VALUE($G12),0) * MAX(0, IF(MIN($G$1, DATE(Initialisatie!$C$5,12,31)) &lt; MAX($G$2, DATE(Initialisatie!$C$5,1,1)), 0, MONTH(MIN($G$1, DATE(Initialisatie!$C$5,12,31))) - MONTH(MAX($G$2, DATE(Initialisatie!$C$5,1,1))) + 1))
    ) / 12
)</f>
        <v>2527.8333333333335</v>
      </c>
    </row>
    <row r="13" spans="1:10" x14ac:dyDescent="0.45">
      <c r="A13" s="1001"/>
      <c r="B13" s="373">
        <v>9</v>
      </c>
      <c r="C13" s="373">
        <v>10</v>
      </c>
      <c r="D13" s="48">
        <v>2448</v>
      </c>
      <c r="E13" s="48">
        <v>2546</v>
      </c>
      <c r="F13" s="48">
        <v>2597</v>
      </c>
      <c r="G13" s="48">
        <v>2649</v>
      </c>
      <c r="I13">
        <f>IF(
    OR(
        AND(MAX(0, MIN($D$1, DATE(Initialisatie!$C$5,12,31)) - MAX($D$2, DATE(Initialisatie!$C$5,1,1)) + 1) &gt; 0, IFERROR(VALUE($D13),0)=0),
        AND(MAX(0, MIN($E$1, DATE(Initialisatie!$C$5,12,31)) - MAX($E$2, DATE(Initialisatie!$C$5,1,1)) + 1) &gt; 0, IFERROR(VALUE($E13),0)=0),
        AND(MAX(0, MIN($F$1, DATE(Initialisatie!$C$5,12,31)) - MAX($F$2, DATE(Initialisatie!$C$5,1,1)) + 1) &gt; 0, IFERROR(VALUE($F13),0)=0),
        AND(MAX(0, MIN($G$1, DATE(Initialisatie!$C$5,12,31)) - MAX($G$2, DATE(Initialisatie!$C$5,1,1)) + 1) &gt; 0, IFERROR(VALUE($G13),0)=0)
    ),
    0,
    SUM(
        IFERROR(VALUE($D13),0) * MAX(0, MIN($D$1, DATE(Initialisatie!$C$5,12,31)) - MAX($D$2, DATE(Initialisatie!$C$5,1,1)) + 1),
        IFERROR(VALUE($E13),0) * MAX(0, MIN($E$1, DATE(Initialisatie!$C$5,12,31)) - MAX($E$2, DATE(Initialisatie!$C$5,1,1)) + 1),
        IFERROR(VALUE($F13),0) * MAX(0, MIN($F$1, DATE(Initialisatie!$C$5,12,31)) - MAX($F$2, DATE(Initialisatie!$C$5,1,1)) + 1),
        IFERROR(VALUE($G13),0) * MAX(0, MIN($G$1, DATE(Initialisatie!$C$5,12,31)) - MAX($G$2, DATE(Initialisatie!$C$5,1,1)) + 1)
    ) / (DATE(Initialisatie!$C$5,12,31) - DATE(Initialisatie!$C$5,1,1) + 1)
)</f>
        <v>2588.9232876712331</v>
      </c>
      <c r="J13">
        <f>IF(
    OR(
        AND(MAX(0, IF(MIN($D$1, DATE(Initialisatie!$C$5,12,31)) &lt; MAX($D$2, DATE(Initialisatie!$C$5,1,1)), 0, MONTH(MIN($D$1, DATE(Initialisatie!$C$5,12,31))) - MONTH(MAX($D$2, DATE(Initialisatie!$C$5,1,1))) + 1)) &lt;= 0, IFERROR(VALUE($D13),0)=0),
        AND(MAX(0, IF(MIN($E$1, DATE(Initialisatie!$C$5,12,31)) &lt; MAX($E$2, DATE(Initialisatie!$C$5,1,1)), 0, MONTH(MIN($E$1, DATE(Initialisatie!$C$5,12,31))) - MONTH(MAX($E$2, DATE(Initialisatie!$C$5,1,1))) + 1)) &lt;= 0, IFERROR(VALUE($E13),0)=0),
        AND(MAX(0, IF(MIN($F$1, DATE(Initialisatie!$C$5,12,31)) &lt; MAX($F$2, DATE(Initialisatie!$C$5,1,1)), 0, MONTH(MIN($F$1, DATE(Initialisatie!$C$5,12,31))) - MONTH(MAX($F$2, DATE(Initialisatie!$C$5,1,1))) + 1)) &lt;= 0, IFERROR(VALUE($F13),0)=0),
        AND(MAX(0, IF(MIN($G$1, DATE(Initialisatie!$C$5,12,31)) &lt; MAX($G$2, DATE(Initialisatie!$C$5,1,1)), 0, MONTH(MIN($G$1, DATE(Initialisatie!$C$5,12,31))) - MONTH(MAX($G$2, DATE(Initialisatie!$C$5,1,1))) + 1)) &lt;= 0, IFERROR(VALUE($G13),0)=0)
    ),
    0,
    SUM(
        IFERROR(VALUE($D13),0) * MAX(0, IF(MIN($D$1, DATE(Initialisatie!$C$5,12,31)) &lt; MAX($D$2, DATE(Initialisatie!$C$5,1,1)), 0, MONTH(MIN($D$1, DATE(Initialisatie!$C$5,12,31))) - MONTH(MAX($D$2, DATE(Initialisatie!$C$5,1,1))) + 1)),
        IFERROR(VALUE($E13),0) * MAX(0, IF(MIN($E$1, DATE(Initialisatie!$C$5,12,31)) &lt; MAX($E$2, DATE(Initialisatie!$C$5,1,1)), 0, MONTH(MIN($E$1, DATE(Initialisatie!$C$5,12,31))) - MONTH(MAX($E$2, DATE(Initialisatie!$C$5,1,1))) + 1)),
        IFERROR(VALUE($F13),0) * MAX(0, IF(MIN($F$1, DATE(Initialisatie!$C$5,12,31)) &lt; MAX($F$2, DATE(Initialisatie!$C$5,1,1)), 0, MONTH(MIN($F$1, DATE(Initialisatie!$C$5,12,31))) - MONTH(MAX($F$2, DATE(Initialisatie!$C$5,1,1))) + 1)),
        IFERROR(VALUE($G13),0) * MAX(0, IF(MIN($G$1, DATE(Initialisatie!$C$5,12,31)) &lt; MAX($G$2, DATE(Initialisatie!$C$5,1,1)), 0, MONTH(MIN($G$1, DATE(Initialisatie!$C$5,12,31))) - MONTH(MAX($G$2, DATE(Initialisatie!$C$5,1,1))) + 1))
    ) / 12
)</f>
        <v>2588.6666666666665</v>
      </c>
    </row>
    <row r="14" spans="1:10" x14ac:dyDescent="0.45">
      <c r="A14" s="1002">
        <v>10</v>
      </c>
      <c r="B14" s="373">
        <v>0</v>
      </c>
      <c r="C14" s="373">
        <v>2</v>
      </c>
      <c r="D14" s="48">
        <v>2040</v>
      </c>
      <c r="E14" s="48">
        <v>2122</v>
      </c>
      <c r="F14" s="48">
        <v>2164</v>
      </c>
      <c r="G14" s="48">
        <v>2207</v>
      </c>
      <c r="I14">
        <f>IF(
    OR(
        AND(MAX(0, MIN($D$1, DATE(Initialisatie!$C$5,12,31)) - MAX($D$2, DATE(Initialisatie!$C$5,1,1)) + 1) &gt; 0, IFERROR(VALUE($D14),0)=0),
        AND(MAX(0, MIN($E$1, DATE(Initialisatie!$C$5,12,31)) - MAX($E$2, DATE(Initialisatie!$C$5,1,1)) + 1) &gt; 0, IFERROR(VALUE($E14),0)=0),
        AND(MAX(0, MIN($F$1, DATE(Initialisatie!$C$5,12,31)) - MAX($F$2, DATE(Initialisatie!$C$5,1,1)) + 1) &gt; 0, IFERROR(VALUE($F14),0)=0),
        AND(MAX(0, MIN($G$1, DATE(Initialisatie!$C$5,12,31)) - MAX($G$2, DATE(Initialisatie!$C$5,1,1)) + 1) &gt; 0, IFERROR(VALUE($G14),0)=0)
    ),
    0,
    SUM(
        IFERROR(VALUE($D14),0) * MAX(0, MIN($D$1, DATE(Initialisatie!$C$5,12,31)) - MAX($D$2, DATE(Initialisatie!$C$5,1,1)) + 1),
        IFERROR(VALUE($E14),0) * MAX(0, MIN($E$1, DATE(Initialisatie!$C$5,12,31)) - MAX($E$2, DATE(Initialisatie!$C$5,1,1)) + 1),
        IFERROR(VALUE($F14),0) * MAX(0, MIN($F$1, DATE(Initialisatie!$C$5,12,31)) - MAX($F$2, DATE(Initialisatie!$C$5,1,1)) + 1),
        IFERROR(VALUE($G14),0) * MAX(0, MIN($G$1, DATE(Initialisatie!$C$5,12,31)) - MAX($G$2, DATE(Initialisatie!$C$5,1,1)) + 1)
    ) / (DATE(Initialisatie!$C$5,12,31) - DATE(Initialisatie!$C$5,1,1) + 1)
)</f>
        <v>2157.3780821917808</v>
      </c>
      <c r="J14">
        <f>IF(
    OR(
        AND(MAX(0, IF(MIN($D$1, DATE(Initialisatie!$C$5,12,31)) &lt; MAX($D$2, DATE(Initialisatie!$C$5,1,1)), 0, MONTH(MIN($D$1, DATE(Initialisatie!$C$5,12,31))) - MONTH(MAX($D$2, DATE(Initialisatie!$C$5,1,1))) + 1)) &lt;= 0, IFERROR(VALUE($D14),0)=0),
        AND(MAX(0, IF(MIN($E$1, DATE(Initialisatie!$C$5,12,31)) &lt; MAX($E$2, DATE(Initialisatie!$C$5,1,1)), 0, MONTH(MIN($E$1, DATE(Initialisatie!$C$5,12,31))) - MONTH(MAX($E$2, DATE(Initialisatie!$C$5,1,1))) + 1)) &lt;= 0, IFERROR(VALUE($E14),0)=0),
        AND(MAX(0, IF(MIN($F$1, DATE(Initialisatie!$C$5,12,31)) &lt; MAX($F$2, DATE(Initialisatie!$C$5,1,1)), 0, MONTH(MIN($F$1, DATE(Initialisatie!$C$5,12,31))) - MONTH(MAX($F$2, DATE(Initialisatie!$C$5,1,1))) + 1)) &lt;= 0, IFERROR(VALUE($F14),0)=0),
        AND(MAX(0, IF(MIN($G$1, DATE(Initialisatie!$C$5,12,31)) &lt; MAX($G$2, DATE(Initialisatie!$C$5,1,1)), 0, MONTH(MIN($G$1, DATE(Initialisatie!$C$5,12,31))) - MONTH(MAX($G$2, DATE(Initialisatie!$C$5,1,1))) + 1)) &lt;= 0, IFERROR(VALUE($G14),0)=0)
    ),
    0,
    SUM(
        IFERROR(VALUE($D14),0) * MAX(0, IF(MIN($D$1, DATE(Initialisatie!$C$5,12,31)) &lt; MAX($D$2, DATE(Initialisatie!$C$5,1,1)), 0, MONTH(MIN($D$1, DATE(Initialisatie!$C$5,12,31))) - MONTH(MAX($D$2, DATE(Initialisatie!$C$5,1,1))) + 1)),
        IFERROR(VALUE($E14),0) * MAX(0, IF(MIN($E$1, DATE(Initialisatie!$C$5,12,31)) &lt; MAX($E$2, DATE(Initialisatie!$C$5,1,1)), 0, MONTH(MIN($E$1, DATE(Initialisatie!$C$5,12,31))) - MONTH(MAX($E$2, DATE(Initialisatie!$C$5,1,1))) + 1)),
        IFERROR(VALUE($F14),0) * MAX(0, IF(MIN($F$1, DATE(Initialisatie!$C$5,12,31)) &lt; MAX($F$2, DATE(Initialisatie!$C$5,1,1)), 0, MONTH(MIN($F$1, DATE(Initialisatie!$C$5,12,31))) - MONTH(MAX($F$2, DATE(Initialisatie!$C$5,1,1))) + 1)),
        IFERROR(VALUE($G14),0) * MAX(0, IF(MIN($G$1, DATE(Initialisatie!$C$5,12,31)) &lt; MAX($G$2, DATE(Initialisatie!$C$5,1,1)), 0, MONTH(MIN($G$1, DATE(Initialisatie!$C$5,12,31))) - MONTH(MAX($G$2, DATE(Initialisatie!$C$5,1,1))) + 1))
    ) / 12
)</f>
        <v>2157.1666666666665</v>
      </c>
    </row>
    <row r="15" spans="1:10" x14ac:dyDescent="0.45">
      <c r="A15" s="1003"/>
      <c r="B15" s="373">
        <v>1</v>
      </c>
      <c r="C15" s="373">
        <v>3</v>
      </c>
      <c r="D15" s="48">
        <v>2071</v>
      </c>
      <c r="E15" s="48">
        <v>2154</v>
      </c>
      <c r="F15" s="48">
        <v>2197</v>
      </c>
      <c r="G15" s="48">
        <v>2241</v>
      </c>
      <c r="I15">
        <f>IF(
    OR(
        AND(MAX(0, MIN($D$1, DATE(Initialisatie!$C$5,12,31)) - MAX($D$2, DATE(Initialisatie!$C$5,1,1)) + 1) &gt; 0, IFERROR(VALUE($D15),0)=0),
        AND(MAX(0, MIN($E$1, DATE(Initialisatie!$C$5,12,31)) - MAX($E$2, DATE(Initialisatie!$C$5,1,1)) + 1) &gt; 0, IFERROR(VALUE($E15),0)=0),
        AND(MAX(0, MIN($F$1, DATE(Initialisatie!$C$5,12,31)) - MAX($F$2, DATE(Initialisatie!$C$5,1,1)) + 1) &gt; 0, IFERROR(VALUE($F15),0)=0),
        AND(MAX(0, MIN($G$1, DATE(Initialisatie!$C$5,12,31)) - MAX($G$2, DATE(Initialisatie!$C$5,1,1)) + 1) &gt; 0, IFERROR(VALUE($G15),0)=0)
    ),
    0,
    SUM(
        IFERROR(VALUE($D15),0) * MAX(0, MIN($D$1, DATE(Initialisatie!$C$5,12,31)) - MAX($D$2, DATE(Initialisatie!$C$5,1,1)) + 1),
        IFERROR(VALUE($E15),0) * MAX(0, MIN($E$1, DATE(Initialisatie!$C$5,12,31)) - MAX($E$2, DATE(Initialisatie!$C$5,1,1)) + 1),
        IFERROR(VALUE($F15),0) * MAX(0, MIN($F$1, DATE(Initialisatie!$C$5,12,31)) - MAX($F$2, DATE(Initialisatie!$C$5,1,1)) + 1),
        IFERROR(VALUE($G15),0) * MAX(0, MIN($G$1, DATE(Initialisatie!$C$5,12,31)) - MAX($G$2, DATE(Initialisatie!$C$5,1,1)) + 1)
    ) / (DATE(Initialisatie!$C$5,12,31) - DATE(Initialisatie!$C$5,1,1) + 1)
)</f>
        <v>2190.2164383561644</v>
      </c>
      <c r="J15">
        <f>IF(
    OR(
        AND(MAX(0, IF(MIN($D$1, DATE(Initialisatie!$C$5,12,31)) &lt; MAX($D$2, DATE(Initialisatie!$C$5,1,1)), 0, MONTH(MIN($D$1, DATE(Initialisatie!$C$5,12,31))) - MONTH(MAX($D$2, DATE(Initialisatie!$C$5,1,1))) + 1)) &lt;= 0, IFERROR(VALUE($D15),0)=0),
        AND(MAX(0, IF(MIN($E$1, DATE(Initialisatie!$C$5,12,31)) &lt; MAX($E$2, DATE(Initialisatie!$C$5,1,1)), 0, MONTH(MIN($E$1, DATE(Initialisatie!$C$5,12,31))) - MONTH(MAX($E$2, DATE(Initialisatie!$C$5,1,1))) + 1)) &lt;= 0, IFERROR(VALUE($E15),0)=0),
        AND(MAX(0, IF(MIN($F$1, DATE(Initialisatie!$C$5,12,31)) &lt; MAX($F$2, DATE(Initialisatie!$C$5,1,1)), 0, MONTH(MIN($F$1, DATE(Initialisatie!$C$5,12,31))) - MONTH(MAX($F$2, DATE(Initialisatie!$C$5,1,1))) + 1)) &lt;= 0, IFERROR(VALUE($F15),0)=0),
        AND(MAX(0, IF(MIN($G$1, DATE(Initialisatie!$C$5,12,31)) &lt; MAX($G$2, DATE(Initialisatie!$C$5,1,1)), 0, MONTH(MIN($G$1, DATE(Initialisatie!$C$5,12,31))) - MONTH(MAX($G$2, DATE(Initialisatie!$C$5,1,1))) + 1)) &lt;= 0, IFERROR(VALUE($G15),0)=0)
    ),
    0,
    SUM(
        IFERROR(VALUE($D15),0) * MAX(0, IF(MIN($D$1, DATE(Initialisatie!$C$5,12,31)) &lt; MAX($D$2, DATE(Initialisatie!$C$5,1,1)), 0, MONTH(MIN($D$1, DATE(Initialisatie!$C$5,12,31))) - MONTH(MAX($D$2, DATE(Initialisatie!$C$5,1,1))) + 1)),
        IFERROR(VALUE($E15),0) * MAX(0, IF(MIN($E$1, DATE(Initialisatie!$C$5,12,31)) &lt; MAX($E$2, DATE(Initialisatie!$C$5,1,1)), 0, MONTH(MIN($E$1, DATE(Initialisatie!$C$5,12,31))) - MONTH(MAX($E$2, DATE(Initialisatie!$C$5,1,1))) + 1)),
        IFERROR(VALUE($F15),0) * MAX(0, IF(MIN($F$1, DATE(Initialisatie!$C$5,12,31)) &lt; MAX($F$2, DATE(Initialisatie!$C$5,1,1)), 0, MONTH(MIN($F$1, DATE(Initialisatie!$C$5,12,31))) - MONTH(MAX($F$2, DATE(Initialisatie!$C$5,1,1))) + 1)),
        IFERROR(VALUE($G15),0) * MAX(0, IF(MIN($G$1, DATE(Initialisatie!$C$5,12,31)) &lt; MAX($G$2, DATE(Initialisatie!$C$5,1,1)), 0, MONTH(MIN($G$1, DATE(Initialisatie!$C$5,12,31))) - MONTH(MAX($G$2, DATE(Initialisatie!$C$5,1,1))) + 1))
    ) / 12
)</f>
        <v>2190</v>
      </c>
    </row>
    <row r="16" spans="1:10" x14ac:dyDescent="0.45">
      <c r="A16" s="1003"/>
      <c r="B16" s="373">
        <v>2</v>
      </c>
      <c r="C16" s="373">
        <v>4</v>
      </c>
      <c r="D16" s="48">
        <v>2137</v>
      </c>
      <c r="E16" s="48">
        <v>2222</v>
      </c>
      <c r="F16" s="48">
        <v>2266</v>
      </c>
      <c r="G16" s="48">
        <v>2384</v>
      </c>
      <c r="I16">
        <f>IF(
    OR(
        AND(MAX(0, MIN($D$1, DATE(Initialisatie!$C$5,12,31)) - MAX($D$2, DATE(Initialisatie!$C$5,1,1)) + 1) &gt; 0, IFERROR(VALUE($D16),0)=0),
        AND(MAX(0, MIN($E$1, DATE(Initialisatie!$C$5,12,31)) - MAX($E$2, DATE(Initialisatie!$C$5,1,1)) + 1) &gt; 0, IFERROR(VALUE($E16),0)=0),
        AND(MAX(0, MIN($F$1, DATE(Initialisatie!$C$5,12,31)) - MAX($F$2, DATE(Initialisatie!$C$5,1,1)) + 1) &gt; 0, IFERROR(VALUE($F16),0)=0),
        AND(MAX(0, MIN($G$1, DATE(Initialisatie!$C$5,12,31)) - MAX($G$2, DATE(Initialisatie!$C$5,1,1)) + 1) &gt; 0, IFERROR(VALUE($G16),0)=0)
    ),
    0,
    SUM(
        IFERROR(VALUE($D16),0) * MAX(0, MIN($D$1, DATE(Initialisatie!$C$5,12,31)) - MAX($D$2, DATE(Initialisatie!$C$5,1,1)) + 1),
        IFERROR(VALUE($E16),0) * MAX(0, MIN($E$1, DATE(Initialisatie!$C$5,12,31)) - MAX($E$2, DATE(Initialisatie!$C$5,1,1)) + 1),
        IFERROR(VALUE($F16),0) * MAX(0, MIN($F$1, DATE(Initialisatie!$C$5,12,31)) - MAX($F$2, DATE(Initialisatie!$C$5,1,1)) + 1),
        IFERROR(VALUE($G16),0) * MAX(0, MIN($G$1, DATE(Initialisatie!$C$5,12,31)) - MAX($G$2, DATE(Initialisatie!$C$5,1,1)) + 1)
    ) / (DATE(Initialisatie!$C$5,12,31) - DATE(Initialisatie!$C$5,1,1) + 1)
)</f>
        <v>2271.2547945205479</v>
      </c>
      <c r="J16">
        <f>IF(
    OR(
        AND(MAX(0, IF(MIN($D$1, DATE(Initialisatie!$C$5,12,31)) &lt; MAX($D$2, DATE(Initialisatie!$C$5,1,1)), 0, MONTH(MIN($D$1, DATE(Initialisatie!$C$5,12,31))) - MONTH(MAX($D$2, DATE(Initialisatie!$C$5,1,1))) + 1)) &lt;= 0, IFERROR(VALUE($D16),0)=0),
        AND(MAX(0, IF(MIN($E$1, DATE(Initialisatie!$C$5,12,31)) &lt; MAX($E$2, DATE(Initialisatie!$C$5,1,1)), 0, MONTH(MIN($E$1, DATE(Initialisatie!$C$5,12,31))) - MONTH(MAX($E$2, DATE(Initialisatie!$C$5,1,1))) + 1)) &lt;= 0, IFERROR(VALUE($E16),0)=0),
        AND(MAX(0, IF(MIN($F$1, DATE(Initialisatie!$C$5,12,31)) &lt; MAX($F$2, DATE(Initialisatie!$C$5,1,1)), 0, MONTH(MIN($F$1, DATE(Initialisatie!$C$5,12,31))) - MONTH(MAX($F$2, DATE(Initialisatie!$C$5,1,1))) + 1)) &lt;= 0, IFERROR(VALUE($F16),0)=0),
        AND(MAX(0, IF(MIN($G$1, DATE(Initialisatie!$C$5,12,31)) &lt; MAX($G$2, DATE(Initialisatie!$C$5,1,1)), 0, MONTH(MIN($G$1, DATE(Initialisatie!$C$5,12,31))) - MONTH(MAX($G$2, DATE(Initialisatie!$C$5,1,1))) + 1)) &lt;= 0, IFERROR(VALUE($G16),0)=0)
    ),
    0,
    SUM(
        IFERROR(VALUE($D16),0) * MAX(0, IF(MIN($D$1, DATE(Initialisatie!$C$5,12,31)) &lt; MAX($D$2, DATE(Initialisatie!$C$5,1,1)), 0, MONTH(MIN($D$1, DATE(Initialisatie!$C$5,12,31))) - MONTH(MAX($D$2, DATE(Initialisatie!$C$5,1,1))) + 1)),
        IFERROR(VALUE($E16),0) * MAX(0, IF(MIN($E$1, DATE(Initialisatie!$C$5,12,31)) &lt; MAX($E$2, DATE(Initialisatie!$C$5,1,1)), 0, MONTH(MIN($E$1, DATE(Initialisatie!$C$5,12,31))) - MONTH(MAX($E$2, DATE(Initialisatie!$C$5,1,1))) + 1)),
        IFERROR(VALUE($F16),0) * MAX(0, IF(MIN($F$1, DATE(Initialisatie!$C$5,12,31)) &lt; MAX($F$2, DATE(Initialisatie!$C$5,1,1)), 0, MONTH(MIN($F$1, DATE(Initialisatie!$C$5,12,31))) - MONTH(MAX($F$2, DATE(Initialisatie!$C$5,1,1))) + 1)),
        IFERROR(VALUE($G16),0) * MAX(0, IF(MIN($G$1, DATE(Initialisatie!$C$5,12,31)) &lt; MAX($G$2, DATE(Initialisatie!$C$5,1,1)), 0, MONTH(MIN($G$1, DATE(Initialisatie!$C$5,12,31))) - MONTH(MAX($G$2, DATE(Initialisatie!$C$5,1,1))) + 1))
    ) / 12
)</f>
        <v>2271</v>
      </c>
    </row>
    <row r="17" spans="1:10" x14ac:dyDescent="0.45">
      <c r="A17" s="1003"/>
      <c r="B17" s="374">
        <v>3</v>
      </c>
      <c r="C17" s="373">
        <v>5</v>
      </c>
      <c r="D17" s="48">
        <v>2203</v>
      </c>
      <c r="E17" s="48">
        <v>2291</v>
      </c>
      <c r="F17" s="48">
        <v>2337</v>
      </c>
      <c r="G17" s="48">
        <v>2420</v>
      </c>
      <c r="I17">
        <f>IF(
    OR(
        AND(MAX(0, MIN($D$1, DATE(Initialisatie!$C$5,12,31)) - MAX($D$2, DATE(Initialisatie!$C$5,1,1)) + 1) &gt; 0, IFERROR(VALUE($D17),0)=0),
        AND(MAX(0, MIN($E$1, DATE(Initialisatie!$C$5,12,31)) - MAX($E$2, DATE(Initialisatie!$C$5,1,1)) + 1) &gt; 0, IFERROR(VALUE($E17),0)=0),
        AND(MAX(0, MIN($F$1, DATE(Initialisatie!$C$5,12,31)) - MAX($F$2, DATE(Initialisatie!$C$5,1,1)) + 1) &gt; 0, IFERROR(VALUE($F17),0)=0),
        AND(MAX(0, MIN($G$1, DATE(Initialisatie!$C$5,12,31)) - MAX($G$2, DATE(Initialisatie!$C$5,1,1)) + 1) &gt; 0, IFERROR(VALUE($G17),0)=0)
    ),
    0,
    SUM(
        IFERROR(VALUE($D17),0) * MAX(0, MIN($D$1, DATE(Initialisatie!$C$5,12,31)) - MAX($D$2, DATE(Initialisatie!$C$5,1,1)) + 1),
        IFERROR(VALUE($E17),0) * MAX(0, MIN($E$1, DATE(Initialisatie!$C$5,12,31)) - MAX($E$2, DATE(Initialisatie!$C$5,1,1)) + 1),
        IFERROR(VALUE($F17),0) * MAX(0, MIN($F$1, DATE(Initialisatie!$C$5,12,31)) - MAX($F$2, DATE(Initialisatie!$C$5,1,1)) + 1),
        IFERROR(VALUE($G17),0) * MAX(0, MIN($G$1, DATE(Initialisatie!$C$5,12,31)) - MAX($G$2, DATE(Initialisatie!$C$5,1,1)) + 1)
    ) / (DATE(Initialisatie!$C$5,12,31) - DATE(Initialisatie!$C$5,1,1) + 1)
)</f>
        <v>2335.7479452054795</v>
      </c>
      <c r="J17">
        <f>IF(
    OR(
        AND(MAX(0, IF(MIN($D$1, DATE(Initialisatie!$C$5,12,31)) &lt; MAX($D$2, DATE(Initialisatie!$C$5,1,1)), 0, MONTH(MIN($D$1, DATE(Initialisatie!$C$5,12,31))) - MONTH(MAX($D$2, DATE(Initialisatie!$C$5,1,1))) + 1)) &lt;= 0, IFERROR(VALUE($D17),0)=0),
        AND(MAX(0, IF(MIN($E$1, DATE(Initialisatie!$C$5,12,31)) &lt; MAX($E$2, DATE(Initialisatie!$C$5,1,1)), 0, MONTH(MIN($E$1, DATE(Initialisatie!$C$5,12,31))) - MONTH(MAX($E$2, DATE(Initialisatie!$C$5,1,1))) + 1)) &lt;= 0, IFERROR(VALUE($E17),0)=0),
        AND(MAX(0, IF(MIN($F$1, DATE(Initialisatie!$C$5,12,31)) &lt; MAX($F$2, DATE(Initialisatie!$C$5,1,1)), 0, MONTH(MIN($F$1, DATE(Initialisatie!$C$5,12,31))) - MONTH(MAX($F$2, DATE(Initialisatie!$C$5,1,1))) + 1)) &lt;= 0, IFERROR(VALUE($F17),0)=0),
        AND(MAX(0, IF(MIN($G$1, DATE(Initialisatie!$C$5,12,31)) &lt; MAX($G$2, DATE(Initialisatie!$C$5,1,1)), 0, MONTH(MIN($G$1, DATE(Initialisatie!$C$5,12,31))) - MONTH(MAX($G$2, DATE(Initialisatie!$C$5,1,1))) + 1)) &lt;= 0, IFERROR(VALUE($G17),0)=0)
    ),
    0,
    SUM(
        IFERROR(VALUE($D17),0) * MAX(0, IF(MIN($D$1, DATE(Initialisatie!$C$5,12,31)) &lt; MAX($D$2, DATE(Initialisatie!$C$5,1,1)), 0, MONTH(MIN($D$1, DATE(Initialisatie!$C$5,12,31))) - MONTH(MAX($D$2, DATE(Initialisatie!$C$5,1,1))) + 1)),
        IFERROR(VALUE($E17),0) * MAX(0, IF(MIN($E$1, DATE(Initialisatie!$C$5,12,31)) &lt; MAX($E$2, DATE(Initialisatie!$C$5,1,1)), 0, MONTH(MIN($E$1, DATE(Initialisatie!$C$5,12,31))) - MONTH(MAX($E$2, DATE(Initialisatie!$C$5,1,1))) + 1)),
        IFERROR(VALUE($F17),0) * MAX(0, IF(MIN($F$1, DATE(Initialisatie!$C$5,12,31)) &lt; MAX($F$2, DATE(Initialisatie!$C$5,1,1)), 0, MONTH(MIN($F$1, DATE(Initialisatie!$C$5,12,31))) - MONTH(MAX($F$2, DATE(Initialisatie!$C$5,1,1))) + 1)),
        IFERROR(VALUE($G17),0) * MAX(0, IF(MIN($G$1, DATE(Initialisatie!$C$5,12,31)) &lt; MAX($G$2, DATE(Initialisatie!$C$5,1,1)), 0, MONTH(MIN($G$1, DATE(Initialisatie!$C$5,12,31))) - MONTH(MAX($G$2, DATE(Initialisatie!$C$5,1,1))) + 1))
    ) / 12
)</f>
        <v>2335.5</v>
      </c>
    </row>
    <row r="18" spans="1:10" x14ac:dyDescent="0.45">
      <c r="A18" s="1003"/>
      <c r="B18" s="374">
        <v>4</v>
      </c>
      <c r="C18" s="373">
        <v>6</v>
      </c>
      <c r="D18" s="48">
        <v>2237</v>
      </c>
      <c r="E18" s="48">
        <v>2326</v>
      </c>
      <c r="F18" s="48">
        <v>2373</v>
      </c>
      <c r="G18" s="48">
        <v>2479</v>
      </c>
      <c r="I18">
        <f>IF(
    OR(
        AND(MAX(0, MIN($D$1, DATE(Initialisatie!$C$5,12,31)) - MAX($D$2, DATE(Initialisatie!$C$5,1,1)) + 1) &gt; 0, IFERROR(VALUE($D18),0)=0),
        AND(MAX(0, MIN($E$1, DATE(Initialisatie!$C$5,12,31)) - MAX($E$2, DATE(Initialisatie!$C$5,1,1)) + 1) &gt; 0, IFERROR(VALUE($E18),0)=0),
        AND(MAX(0, MIN($F$1, DATE(Initialisatie!$C$5,12,31)) - MAX($F$2, DATE(Initialisatie!$C$5,1,1)) + 1) &gt; 0, IFERROR(VALUE($F18),0)=0),
        AND(MAX(0, MIN($G$1, DATE(Initialisatie!$C$5,12,31)) - MAX($G$2, DATE(Initialisatie!$C$5,1,1)) + 1) &gt; 0, IFERROR(VALUE($G18),0)=0)
    ),
    0,
    SUM(
        IFERROR(VALUE($D18),0) * MAX(0, MIN($D$1, DATE(Initialisatie!$C$5,12,31)) - MAX($D$2, DATE(Initialisatie!$C$5,1,1)) + 1),
        IFERROR(VALUE($E18),0) * MAX(0, MIN($E$1, DATE(Initialisatie!$C$5,12,31)) - MAX($E$2, DATE(Initialisatie!$C$5,1,1)) + 1),
        IFERROR(VALUE($F18),0) * MAX(0, MIN($F$1, DATE(Initialisatie!$C$5,12,31)) - MAX($F$2, DATE(Initialisatie!$C$5,1,1)) + 1),
        IFERROR(VALUE($G18),0) * MAX(0, MIN($G$1, DATE(Initialisatie!$C$5,12,31)) - MAX($G$2, DATE(Initialisatie!$C$5,1,1)) + 1)
    ) / (DATE(Initialisatie!$C$5,12,31) - DATE(Initialisatie!$C$5,1,1) + 1)
)</f>
        <v>2375.2630136986299</v>
      </c>
      <c r="J18">
        <f>IF(
    OR(
        AND(MAX(0, IF(MIN($D$1, DATE(Initialisatie!$C$5,12,31)) &lt; MAX($D$2, DATE(Initialisatie!$C$5,1,1)), 0, MONTH(MIN($D$1, DATE(Initialisatie!$C$5,12,31))) - MONTH(MAX($D$2, DATE(Initialisatie!$C$5,1,1))) + 1)) &lt;= 0, IFERROR(VALUE($D18),0)=0),
        AND(MAX(0, IF(MIN($E$1, DATE(Initialisatie!$C$5,12,31)) &lt; MAX($E$2, DATE(Initialisatie!$C$5,1,1)), 0, MONTH(MIN($E$1, DATE(Initialisatie!$C$5,12,31))) - MONTH(MAX($E$2, DATE(Initialisatie!$C$5,1,1))) + 1)) &lt;= 0, IFERROR(VALUE($E18),0)=0),
        AND(MAX(0, IF(MIN($F$1, DATE(Initialisatie!$C$5,12,31)) &lt; MAX($F$2, DATE(Initialisatie!$C$5,1,1)), 0, MONTH(MIN($F$1, DATE(Initialisatie!$C$5,12,31))) - MONTH(MAX($F$2, DATE(Initialisatie!$C$5,1,1))) + 1)) &lt;= 0, IFERROR(VALUE($F18),0)=0),
        AND(MAX(0, IF(MIN($G$1, DATE(Initialisatie!$C$5,12,31)) &lt; MAX($G$2, DATE(Initialisatie!$C$5,1,1)), 0, MONTH(MIN($G$1, DATE(Initialisatie!$C$5,12,31))) - MONTH(MAX($G$2, DATE(Initialisatie!$C$5,1,1))) + 1)) &lt;= 0, IFERROR(VALUE($G18),0)=0)
    ),
    0,
    SUM(
        IFERROR(VALUE($D18),0) * MAX(0, IF(MIN($D$1, DATE(Initialisatie!$C$5,12,31)) &lt; MAX($D$2, DATE(Initialisatie!$C$5,1,1)), 0, MONTH(MIN($D$1, DATE(Initialisatie!$C$5,12,31))) - MONTH(MAX($D$2, DATE(Initialisatie!$C$5,1,1))) + 1)),
        IFERROR(VALUE($E18),0) * MAX(0, IF(MIN($E$1, DATE(Initialisatie!$C$5,12,31)) &lt; MAX($E$2, DATE(Initialisatie!$C$5,1,1)), 0, MONTH(MIN($E$1, DATE(Initialisatie!$C$5,12,31))) - MONTH(MAX($E$2, DATE(Initialisatie!$C$5,1,1))) + 1)),
        IFERROR(VALUE($F18),0) * MAX(0, IF(MIN($F$1, DATE(Initialisatie!$C$5,12,31)) &lt; MAX($F$2, DATE(Initialisatie!$C$5,1,1)), 0, MONTH(MIN($F$1, DATE(Initialisatie!$C$5,12,31))) - MONTH(MAX($F$2, DATE(Initialisatie!$C$5,1,1))) + 1)),
        IFERROR(VALUE($G18),0) * MAX(0, IF(MIN($G$1, DATE(Initialisatie!$C$5,12,31)) &lt; MAX($G$2, DATE(Initialisatie!$C$5,1,1)), 0, MONTH(MIN($G$1, DATE(Initialisatie!$C$5,12,31))) - MONTH(MAX($G$2, DATE(Initialisatie!$C$5,1,1))) + 1))
    ) / 12
)</f>
        <v>2375</v>
      </c>
    </row>
    <row r="19" spans="1:10" x14ac:dyDescent="0.45">
      <c r="A19" s="1003"/>
      <c r="B19" s="374">
        <v>5</v>
      </c>
      <c r="C19" s="373">
        <v>7</v>
      </c>
      <c r="D19" s="48">
        <v>2290</v>
      </c>
      <c r="E19" s="48">
        <v>2382</v>
      </c>
      <c r="F19" s="48">
        <v>2430</v>
      </c>
      <c r="G19" s="48">
        <v>2532</v>
      </c>
      <c r="I19">
        <f>IF(
    OR(
        AND(MAX(0, MIN($D$1, DATE(Initialisatie!$C$5,12,31)) - MAX($D$2, DATE(Initialisatie!$C$5,1,1)) + 1) &gt; 0, IFERROR(VALUE($D19),0)=0),
        AND(MAX(0, MIN($E$1, DATE(Initialisatie!$C$5,12,31)) - MAX($E$2, DATE(Initialisatie!$C$5,1,1)) + 1) &gt; 0, IFERROR(VALUE($E19),0)=0),
        AND(MAX(0, MIN($F$1, DATE(Initialisatie!$C$5,12,31)) - MAX($F$2, DATE(Initialisatie!$C$5,1,1)) + 1) &gt; 0, IFERROR(VALUE($F19),0)=0),
        AND(MAX(0, MIN($G$1, DATE(Initialisatie!$C$5,12,31)) - MAX($G$2, DATE(Initialisatie!$C$5,1,1)) + 1) &gt; 0, IFERROR(VALUE($G19),0)=0)
    ),
    0,
    SUM(
        IFERROR(VALUE($D19),0) * MAX(0, MIN($D$1, DATE(Initialisatie!$C$5,12,31)) - MAX($D$2, DATE(Initialisatie!$C$5,1,1)) + 1),
        IFERROR(VALUE($E19),0) * MAX(0, MIN($E$1, DATE(Initialisatie!$C$5,12,31)) - MAX($E$2, DATE(Initialisatie!$C$5,1,1)) + 1),
        IFERROR(VALUE($F19),0) * MAX(0, MIN($F$1, DATE(Initialisatie!$C$5,12,31)) - MAX($F$2, DATE(Initialisatie!$C$5,1,1)) + 1),
        IFERROR(VALUE($G19),0) * MAX(0, MIN($G$1, DATE(Initialisatie!$C$5,12,31)) - MAX($G$2, DATE(Initialisatie!$C$5,1,1)) + 1)
    ) / (DATE(Initialisatie!$C$5,12,31) - DATE(Initialisatie!$C$5,1,1) + 1)
)</f>
        <v>2431.2657534246578</v>
      </c>
      <c r="J19">
        <f>IF(
    OR(
        AND(MAX(0, IF(MIN($D$1, DATE(Initialisatie!$C$5,12,31)) &lt; MAX($D$2, DATE(Initialisatie!$C$5,1,1)), 0, MONTH(MIN($D$1, DATE(Initialisatie!$C$5,12,31))) - MONTH(MAX($D$2, DATE(Initialisatie!$C$5,1,1))) + 1)) &lt;= 0, IFERROR(VALUE($D19),0)=0),
        AND(MAX(0, IF(MIN($E$1, DATE(Initialisatie!$C$5,12,31)) &lt; MAX($E$2, DATE(Initialisatie!$C$5,1,1)), 0, MONTH(MIN($E$1, DATE(Initialisatie!$C$5,12,31))) - MONTH(MAX($E$2, DATE(Initialisatie!$C$5,1,1))) + 1)) &lt;= 0, IFERROR(VALUE($E19),0)=0),
        AND(MAX(0, IF(MIN($F$1, DATE(Initialisatie!$C$5,12,31)) &lt; MAX($F$2, DATE(Initialisatie!$C$5,1,1)), 0, MONTH(MIN($F$1, DATE(Initialisatie!$C$5,12,31))) - MONTH(MAX($F$2, DATE(Initialisatie!$C$5,1,1))) + 1)) &lt;= 0, IFERROR(VALUE($F19),0)=0),
        AND(MAX(0, IF(MIN($G$1, DATE(Initialisatie!$C$5,12,31)) &lt; MAX($G$2, DATE(Initialisatie!$C$5,1,1)), 0, MONTH(MIN($G$1, DATE(Initialisatie!$C$5,12,31))) - MONTH(MAX($G$2, DATE(Initialisatie!$C$5,1,1))) + 1)) &lt;= 0, IFERROR(VALUE($G19),0)=0)
    ),
    0,
    SUM(
        IFERROR(VALUE($D19),0) * MAX(0, IF(MIN($D$1, DATE(Initialisatie!$C$5,12,31)) &lt; MAX($D$2, DATE(Initialisatie!$C$5,1,1)), 0, MONTH(MIN($D$1, DATE(Initialisatie!$C$5,12,31))) - MONTH(MAX($D$2, DATE(Initialisatie!$C$5,1,1))) + 1)),
        IFERROR(VALUE($E19),0) * MAX(0, IF(MIN($E$1, DATE(Initialisatie!$C$5,12,31)) &lt; MAX($E$2, DATE(Initialisatie!$C$5,1,1)), 0, MONTH(MIN($E$1, DATE(Initialisatie!$C$5,12,31))) - MONTH(MAX($E$2, DATE(Initialisatie!$C$5,1,1))) + 1)),
        IFERROR(VALUE($F19),0) * MAX(0, IF(MIN($F$1, DATE(Initialisatie!$C$5,12,31)) &lt; MAX($F$2, DATE(Initialisatie!$C$5,1,1)), 0, MONTH(MIN($F$1, DATE(Initialisatie!$C$5,12,31))) - MONTH(MAX($F$2, DATE(Initialisatie!$C$5,1,1))) + 1)),
        IFERROR(VALUE($G19),0) * MAX(0, IF(MIN($G$1, DATE(Initialisatie!$C$5,12,31)) &lt; MAX($G$2, DATE(Initialisatie!$C$5,1,1)), 0, MONTH(MIN($G$1, DATE(Initialisatie!$C$5,12,31))) - MONTH(MAX($G$2, DATE(Initialisatie!$C$5,1,1))) + 1))
    ) / 12
)</f>
        <v>2431</v>
      </c>
    </row>
    <row r="20" spans="1:10" x14ac:dyDescent="0.45">
      <c r="A20" s="1003"/>
      <c r="B20" s="374">
        <v>6</v>
      </c>
      <c r="C20" s="373">
        <v>8</v>
      </c>
      <c r="D20" s="48">
        <v>2339</v>
      </c>
      <c r="E20" s="48">
        <v>2433</v>
      </c>
      <c r="F20" s="48">
        <v>2482</v>
      </c>
      <c r="G20" s="48">
        <v>2587</v>
      </c>
      <c r="I20">
        <f>IF(
    OR(
        AND(MAX(0, MIN($D$1, DATE(Initialisatie!$C$5,12,31)) - MAX($D$2, DATE(Initialisatie!$C$5,1,1)) + 1) &gt; 0, IFERROR(VALUE($D20),0)=0),
        AND(MAX(0, MIN($E$1, DATE(Initialisatie!$C$5,12,31)) - MAX($E$2, DATE(Initialisatie!$C$5,1,1)) + 1) &gt; 0, IFERROR(VALUE($E20),0)=0),
        AND(MAX(0, MIN($F$1, DATE(Initialisatie!$C$5,12,31)) - MAX($F$2, DATE(Initialisatie!$C$5,1,1)) + 1) &gt; 0, IFERROR(VALUE($F20),0)=0),
        AND(MAX(0, MIN($G$1, DATE(Initialisatie!$C$5,12,31)) - MAX($G$2, DATE(Initialisatie!$C$5,1,1)) + 1) &gt; 0, IFERROR(VALUE($G20),0)=0)
    ),
    0,
    SUM(
        IFERROR(VALUE($D20),0) * MAX(0, MIN($D$1, DATE(Initialisatie!$C$5,12,31)) - MAX($D$2, DATE(Initialisatie!$C$5,1,1)) + 1),
        IFERROR(VALUE($E20),0) * MAX(0, MIN($E$1, DATE(Initialisatie!$C$5,12,31)) - MAX($E$2, DATE(Initialisatie!$C$5,1,1)) + 1),
        IFERROR(VALUE($F20),0) * MAX(0, MIN($F$1, DATE(Initialisatie!$C$5,12,31)) - MAX($F$2, DATE(Initialisatie!$C$5,1,1)) + 1),
        IFERROR(VALUE($G20),0) * MAX(0, MIN($G$1, DATE(Initialisatie!$C$5,12,31)) - MAX($G$2, DATE(Initialisatie!$C$5,1,1)) + 1)
    ) / (DATE(Initialisatie!$C$5,12,31) - DATE(Initialisatie!$C$5,1,1) + 1)
)</f>
        <v>2483.4383561643835</v>
      </c>
      <c r="J20">
        <f>IF(
    OR(
        AND(MAX(0, IF(MIN($D$1, DATE(Initialisatie!$C$5,12,31)) &lt; MAX($D$2, DATE(Initialisatie!$C$5,1,1)), 0, MONTH(MIN($D$1, DATE(Initialisatie!$C$5,12,31))) - MONTH(MAX($D$2, DATE(Initialisatie!$C$5,1,1))) + 1)) &lt;= 0, IFERROR(VALUE($D20),0)=0),
        AND(MAX(0, IF(MIN($E$1, DATE(Initialisatie!$C$5,12,31)) &lt; MAX($E$2, DATE(Initialisatie!$C$5,1,1)), 0, MONTH(MIN($E$1, DATE(Initialisatie!$C$5,12,31))) - MONTH(MAX($E$2, DATE(Initialisatie!$C$5,1,1))) + 1)) &lt;= 0, IFERROR(VALUE($E20),0)=0),
        AND(MAX(0, IF(MIN($F$1, DATE(Initialisatie!$C$5,12,31)) &lt; MAX($F$2, DATE(Initialisatie!$C$5,1,1)), 0, MONTH(MIN($F$1, DATE(Initialisatie!$C$5,12,31))) - MONTH(MAX($F$2, DATE(Initialisatie!$C$5,1,1))) + 1)) &lt;= 0, IFERROR(VALUE($F20),0)=0),
        AND(MAX(0, IF(MIN($G$1, DATE(Initialisatie!$C$5,12,31)) &lt; MAX($G$2, DATE(Initialisatie!$C$5,1,1)), 0, MONTH(MIN($G$1, DATE(Initialisatie!$C$5,12,31))) - MONTH(MAX($G$2, DATE(Initialisatie!$C$5,1,1))) + 1)) &lt;= 0, IFERROR(VALUE($G20),0)=0)
    ),
    0,
    SUM(
        IFERROR(VALUE($D20),0) * MAX(0, IF(MIN($D$1, DATE(Initialisatie!$C$5,12,31)) &lt; MAX($D$2, DATE(Initialisatie!$C$5,1,1)), 0, MONTH(MIN($D$1, DATE(Initialisatie!$C$5,12,31))) - MONTH(MAX($D$2, DATE(Initialisatie!$C$5,1,1))) + 1)),
        IFERROR(VALUE($E20),0) * MAX(0, IF(MIN($E$1, DATE(Initialisatie!$C$5,12,31)) &lt; MAX($E$2, DATE(Initialisatie!$C$5,1,1)), 0, MONTH(MIN($E$1, DATE(Initialisatie!$C$5,12,31))) - MONTH(MAX($E$2, DATE(Initialisatie!$C$5,1,1))) + 1)),
        IFERROR(VALUE($F20),0) * MAX(0, IF(MIN($F$1, DATE(Initialisatie!$C$5,12,31)) &lt; MAX($F$2, DATE(Initialisatie!$C$5,1,1)), 0, MONTH(MIN($F$1, DATE(Initialisatie!$C$5,12,31))) - MONTH(MAX($F$2, DATE(Initialisatie!$C$5,1,1))) + 1)),
        IFERROR(VALUE($G20),0) * MAX(0, IF(MIN($G$1, DATE(Initialisatie!$C$5,12,31)) &lt; MAX($G$2, DATE(Initialisatie!$C$5,1,1)), 0, MONTH(MIN($G$1, DATE(Initialisatie!$C$5,12,31))) - MONTH(MAX($G$2, DATE(Initialisatie!$C$5,1,1))) + 1))
    ) / 12
)</f>
        <v>2483.1666666666665</v>
      </c>
    </row>
    <row r="21" spans="1:10" x14ac:dyDescent="0.45">
      <c r="A21" s="1003"/>
      <c r="B21" s="374">
        <v>7</v>
      </c>
      <c r="C21" s="373">
        <v>9</v>
      </c>
      <c r="D21" s="48">
        <v>2390</v>
      </c>
      <c r="E21" s="48">
        <v>2486</v>
      </c>
      <c r="F21" s="48">
        <v>2536</v>
      </c>
      <c r="G21" s="48">
        <v>2649</v>
      </c>
      <c r="I21">
        <f>IF(
    OR(
        AND(MAX(0, MIN($D$1, DATE(Initialisatie!$C$5,12,31)) - MAX($D$2, DATE(Initialisatie!$C$5,1,1)) + 1) &gt; 0, IFERROR(VALUE($D21),0)=0),
        AND(MAX(0, MIN($E$1, DATE(Initialisatie!$C$5,12,31)) - MAX($E$2, DATE(Initialisatie!$C$5,1,1)) + 1) &gt; 0, IFERROR(VALUE($E21),0)=0),
        AND(MAX(0, MIN($F$1, DATE(Initialisatie!$C$5,12,31)) - MAX($F$2, DATE(Initialisatie!$C$5,1,1)) + 1) &gt; 0, IFERROR(VALUE($F21),0)=0),
        AND(MAX(0, MIN($G$1, DATE(Initialisatie!$C$5,12,31)) - MAX($G$2, DATE(Initialisatie!$C$5,1,1)) + 1) &gt; 0, IFERROR(VALUE($G21),0)=0)
    ),
    0,
    SUM(
        IFERROR(VALUE($D21),0) * MAX(0, MIN($D$1, DATE(Initialisatie!$C$5,12,31)) - MAX($D$2, DATE(Initialisatie!$C$5,1,1)) + 1),
        IFERROR(VALUE($E21),0) * MAX(0, MIN($E$1, DATE(Initialisatie!$C$5,12,31)) - MAX($E$2, DATE(Initialisatie!$C$5,1,1)) + 1),
        IFERROR(VALUE($F21),0) * MAX(0, MIN($F$1, DATE(Initialisatie!$C$5,12,31)) - MAX($F$2, DATE(Initialisatie!$C$5,1,1)) + 1),
        IFERROR(VALUE($G21),0) * MAX(0, MIN($G$1, DATE(Initialisatie!$C$5,12,31)) - MAX($G$2, DATE(Initialisatie!$C$5,1,1)) + 1)
    ) / (DATE(Initialisatie!$C$5,12,31) - DATE(Initialisatie!$C$5,1,1) + 1)
)</f>
        <v>2538.4465753424656</v>
      </c>
      <c r="J21">
        <f>IF(
    OR(
        AND(MAX(0, IF(MIN($D$1, DATE(Initialisatie!$C$5,12,31)) &lt; MAX($D$2, DATE(Initialisatie!$C$5,1,1)), 0, MONTH(MIN($D$1, DATE(Initialisatie!$C$5,12,31))) - MONTH(MAX($D$2, DATE(Initialisatie!$C$5,1,1))) + 1)) &lt;= 0, IFERROR(VALUE($D21),0)=0),
        AND(MAX(0, IF(MIN($E$1, DATE(Initialisatie!$C$5,12,31)) &lt; MAX($E$2, DATE(Initialisatie!$C$5,1,1)), 0, MONTH(MIN($E$1, DATE(Initialisatie!$C$5,12,31))) - MONTH(MAX($E$2, DATE(Initialisatie!$C$5,1,1))) + 1)) &lt;= 0, IFERROR(VALUE($E21),0)=0),
        AND(MAX(0, IF(MIN($F$1, DATE(Initialisatie!$C$5,12,31)) &lt; MAX($F$2, DATE(Initialisatie!$C$5,1,1)), 0, MONTH(MIN($F$1, DATE(Initialisatie!$C$5,12,31))) - MONTH(MAX($F$2, DATE(Initialisatie!$C$5,1,1))) + 1)) &lt;= 0, IFERROR(VALUE($F21),0)=0),
        AND(MAX(0, IF(MIN($G$1, DATE(Initialisatie!$C$5,12,31)) &lt; MAX($G$2, DATE(Initialisatie!$C$5,1,1)), 0, MONTH(MIN($G$1, DATE(Initialisatie!$C$5,12,31))) - MONTH(MAX($G$2, DATE(Initialisatie!$C$5,1,1))) + 1)) &lt;= 0, IFERROR(VALUE($G21),0)=0)
    ),
    0,
    SUM(
        IFERROR(VALUE($D21),0) * MAX(0, IF(MIN($D$1, DATE(Initialisatie!$C$5,12,31)) &lt; MAX($D$2, DATE(Initialisatie!$C$5,1,1)), 0, MONTH(MIN($D$1, DATE(Initialisatie!$C$5,12,31))) - MONTH(MAX($D$2, DATE(Initialisatie!$C$5,1,1))) + 1)),
        IFERROR(VALUE($E21),0) * MAX(0, IF(MIN($E$1, DATE(Initialisatie!$C$5,12,31)) &lt; MAX($E$2, DATE(Initialisatie!$C$5,1,1)), 0, MONTH(MIN($E$1, DATE(Initialisatie!$C$5,12,31))) - MONTH(MAX($E$2, DATE(Initialisatie!$C$5,1,1))) + 1)),
        IFERROR(VALUE($F21),0) * MAX(0, IF(MIN($F$1, DATE(Initialisatie!$C$5,12,31)) &lt; MAX($F$2, DATE(Initialisatie!$C$5,1,1)), 0, MONTH(MIN($F$1, DATE(Initialisatie!$C$5,12,31))) - MONTH(MAX($F$2, DATE(Initialisatie!$C$5,1,1))) + 1)),
        IFERROR(VALUE($G21),0) * MAX(0, IF(MIN($G$1, DATE(Initialisatie!$C$5,12,31)) &lt; MAX($G$2, DATE(Initialisatie!$C$5,1,1)), 0, MONTH(MIN($G$1, DATE(Initialisatie!$C$5,12,31))) - MONTH(MAX($G$2, DATE(Initialisatie!$C$5,1,1))) + 1))
    ) / 12
)</f>
        <v>2538.1666666666665</v>
      </c>
    </row>
    <row r="22" spans="1:10" x14ac:dyDescent="0.45">
      <c r="A22" s="1003"/>
      <c r="B22" s="374">
        <v>8</v>
      </c>
      <c r="C22" s="373">
        <v>10</v>
      </c>
      <c r="D22" s="48">
        <v>2448</v>
      </c>
      <c r="E22" s="48">
        <v>2546</v>
      </c>
      <c r="F22" s="48">
        <v>2597</v>
      </c>
      <c r="G22" s="48">
        <v>2717</v>
      </c>
      <c r="I22">
        <f>IF(
    OR(
        AND(MAX(0, MIN($D$1, DATE(Initialisatie!$C$5,12,31)) - MAX($D$2, DATE(Initialisatie!$C$5,1,1)) + 1) &gt; 0, IFERROR(VALUE($D22),0)=0),
        AND(MAX(0, MIN($E$1, DATE(Initialisatie!$C$5,12,31)) - MAX($E$2, DATE(Initialisatie!$C$5,1,1)) + 1) &gt; 0, IFERROR(VALUE($E22),0)=0),
        AND(MAX(0, MIN($F$1, DATE(Initialisatie!$C$5,12,31)) - MAX($F$2, DATE(Initialisatie!$C$5,1,1)) + 1) &gt; 0, IFERROR(VALUE($F22),0)=0),
        AND(MAX(0, MIN($G$1, DATE(Initialisatie!$C$5,12,31)) - MAX($G$2, DATE(Initialisatie!$C$5,1,1)) + 1) &gt; 0, IFERROR(VALUE($G22),0)=0)
    ),
    0,
    SUM(
        IFERROR(VALUE($D22),0) * MAX(0, MIN($D$1, DATE(Initialisatie!$C$5,12,31)) - MAX($D$2, DATE(Initialisatie!$C$5,1,1)) + 1),
        IFERROR(VALUE($E22),0) * MAX(0, MIN($E$1, DATE(Initialisatie!$C$5,12,31)) - MAX($E$2, DATE(Initialisatie!$C$5,1,1)) + 1),
        IFERROR(VALUE($F22),0) * MAX(0, MIN($F$1, DATE(Initialisatie!$C$5,12,31)) - MAX($F$2, DATE(Initialisatie!$C$5,1,1)) + 1),
        IFERROR(VALUE($G22),0) * MAX(0, MIN($G$1, DATE(Initialisatie!$C$5,12,31)) - MAX($G$2, DATE(Initialisatie!$C$5,1,1)) + 1)
    ) / (DATE(Initialisatie!$C$5,12,31) - DATE(Initialisatie!$C$5,1,1) + 1)
)</f>
        <v>2600.2876712328766</v>
      </c>
      <c r="J22">
        <f>IF(
    OR(
        AND(MAX(0, IF(MIN($D$1, DATE(Initialisatie!$C$5,12,31)) &lt; MAX($D$2, DATE(Initialisatie!$C$5,1,1)), 0, MONTH(MIN($D$1, DATE(Initialisatie!$C$5,12,31))) - MONTH(MAX($D$2, DATE(Initialisatie!$C$5,1,1))) + 1)) &lt;= 0, IFERROR(VALUE($D22),0)=0),
        AND(MAX(0, IF(MIN($E$1, DATE(Initialisatie!$C$5,12,31)) &lt; MAX($E$2, DATE(Initialisatie!$C$5,1,1)), 0, MONTH(MIN($E$1, DATE(Initialisatie!$C$5,12,31))) - MONTH(MAX($E$2, DATE(Initialisatie!$C$5,1,1))) + 1)) &lt;= 0, IFERROR(VALUE($E22),0)=0),
        AND(MAX(0, IF(MIN($F$1, DATE(Initialisatie!$C$5,12,31)) &lt; MAX($F$2, DATE(Initialisatie!$C$5,1,1)), 0, MONTH(MIN($F$1, DATE(Initialisatie!$C$5,12,31))) - MONTH(MAX($F$2, DATE(Initialisatie!$C$5,1,1))) + 1)) &lt;= 0, IFERROR(VALUE($F22),0)=0),
        AND(MAX(0, IF(MIN($G$1, DATE(Initialisatie!$C$5,12,31)) &lt; MAX($G$2, DATE(Initialisatie!$C$5,1,1)), 0, MONTH(MIN($G$1, DATE(Initialisatie!$C$5,12,31))) - MONTH(MAX($G$2, DATE(Initialisatie!$C$5,1,1))) + 1)) &lt;= 0, IFERROR(VALUE($G22),0)=0)
    ),
    0,
    SUM(
        IFERROR(VALUE($D22),0) * MAX(0, IF(MIN($D$1, DATE(Initialisatie!$C$5,12,31)) &lt; MAX($D$2, DATE(Initialisatie!$C$5,1,1)), 0, MONTH(MIN($D$1, DATE(Initialisatie!$C$5,12,31))) - MONTH(MAX($D$2, DATE(Initialisatie!$C$5,1,1))) + 1)),
        IFERROR(VALUE($E22),0) * MAX(0, IF(MIN($E$1, DATE(Initialisatie!$C$5,12,31)) &lt; MAX($E$2, DATE(Initialisatie!$C$5,1,1)), 0, MONTH(MIN($E$1, DATE(Initialisatie!$C$5,12,31))) - MONTH(MAX($E$2, DATE(Initialisatie!$C$5,1,1))) + 1)),
        IFERROR(VALUE($F22),0) * MAX(0, IF(MIN($F$1, DATE(Initialisatie!$C$5,12,31)) &lt; MAX($F$2, DATE(Initialisatie!$C$5,1,1)), 0, MONTH(MIN($F$1, DATE(Initialisatie!$C$5,12,31))) - MONTH(MAX($F$2, DATE(Initialisatie!$C$5,1,1))) + 1)),
        IFERROR(VALUE($G22),0) * MAX(0, IF(MIN($G$1, DATE(Initialisatie!$C$5,12,31)) &lt; MAX($G$2, DATE(Initialisatie!$C$5,1,1)), 0, MONTH(MIN($G$1, DATE(Initialisatie!$C$5,12,31))) - MONTH(MAX($G$2, DATE(Initialisatie!$C$5,1,1))) + 1))
    ) / 12
)</f>
        <v>2600</v>
      </c>
    </row>
    <row r="23" spans="1:10" x14ac:dyDescent="0.45">
      <c r="A23" s="1003"/>
      <c r="B23" s="374">
        <v>9</v>
      </c>
      <c r="C23" s="373">
        <v>11</v>
      </c>
      <c r="D23" s="48">
        <v>2512</v>
      </c>
      <c r="E23" s="48">
        <v>2612</v>
      </c>
      <c r="F23" s="48">
        <v>2664</v>
      </c>
      <c r="G23" s="48">
        <v>2790</v>
      </c>
      <c r="I23">
        <f>IF(
    OR(
        AND(MAX(0, MIN($D$1, DATE(Initialisatie!$C$5,12,31)) - MAX($D$2, DATE(Initialisatie!$C$5,1,1)) + 1) &gt; 0, IFERROR(VALUE($D23),0)=0),
        AND(MAX(0, MIN($E$1, DATE(Initialisatie!$C$5,12,31)) - MAX($E$2, DATE(Initialisatie!$C$5,1,1)) + 1) &gt; 0, IFERROR(VALUE($E23),0)=0),
        AND(MAX(0, MIN($F$1, DATE(Initialisatie!$C$5,12,31)) - MAX($F$2, DATE(Initialisatie!$C$5,1,1)) + 1) &gt; 0, IFERROR(VALUE($F23),0)=0),
        AND(MAX(0, MIN($G$1, DATE(Initialisatie!$C$5,12,31)) - MAX($G$2, DATE(Initialisatie!$C$5,1,1)) + 1) &gt; 0, IFERROR(VALUE($G23),0)=0)
    ),
    0,
    SUM(
        IFERROR(VALUE($D23),0) * MAX(0, MIN($D$1, DATE(Initialisatie!$C$5,12,31)) - MAX($D$2, DATE(Initialisatie!$C$5,1,1)) + 1),
        IFERROR(VALUE($E23),0) * MAX(0, MIN($E$1, DATE(Initialisatie!$C$5,12,31)) - MAX($E$2, DATE(Initialisatie!$C$5,1,1)) + 1),
        IFERROR(VALUE($F23),0) * MAX(0, MIN($F$1, DATE(Initialisatie!$C$5,12,31)) - MAX($F$2, DATE(Initialisatie!$C$5,1,1)) + 1),
        IFERROR(VALUE($G23),0) * MAX(0, MIN($G$1, DATE(Initialisatie!$C$5,12,31)) - MAX($G$2, DATE(Initialisatie!$C$5,1,1)) + 1)
    ) / (DATE(Initialisatie!$C$5,12,31) - DATE(Initialisatie!$C$5,1,1) + 1)
)</f>
        <v>2667.9616438356165</v>
      </c>
      <c r="J23">
        <f>IF(
    OR(
        AND(MAX(0, IF(MIN($D$1, DATE(Initialisatie!$C$5,12,31)) &lt; MAX($D$2, DATE(Initialisatie!$C$5,1,1)), 0, MONTH(MIN($D$1, DATE(Initialisatie!$C$5,12,31))) - MONTH(MAX($D$2, DATE(Initialisatie!$C$5,1,1))) + 1)) &lt;= 0, IFERROR(VALUE($D23),0)=0),
        AND(MAX(0, IF(MIN($E$1, DATE(Initialisatie!$C$5,12,31)) &lt; MAX($E$2, DATE(Initialisatie!$C$5,1,1)), 0, MONTH(MIN($E$1, DATE(Initialisatie!$C$5,12,31))) - MONTH(MAX($E$2, DATE(Initialisatie!$C$5,1,1))) + 1)) &lt;= 0, IFERROR(VALUE($E23),0)=0),
        AND(MAX(0, IF(MIN($F$1, DATE(Initialisatie!$C$5,12,31)) &lt; MAX($F$2, DATE(Initialisatie!$C$5,1,1)), 0, MONTH(MIN($F$1, DATE(Initialisatie!$C$5,12,31))) - MONTH(MAX($F$2, DATE(Initialisatie!$C$5,1,1))) + 1)) &lt;= 0, IFERROR(VALUE($F23),0)=0),
        AND(MAX(0, IF(MIN($G$1, DATE(Initialisatie!$C$5,12,31)) &lt; MAX($G$2, DATE(Initialisatie!$C$5,1,1)), 0, MONTH(MIN($G$1, DATE(Initialisatie!$C$5,12,31))) - MONTH(MAX($G$2, DATE(Initialisatie!$C$5,1,1))) + 1)) &lt;= 0, IFERROR(VALUE($G23),0)=0)
    ),
    0,
    SUM(
        IFERROR(VALUE($D23),0) * MAX(0, IF(MIN($D$1, DATE(Initialisatie!$C$5,12,31)) &lt; MAX($D$2, DATE(Initialisatie!$C$5,1,1)), 0, MONTH(MIN($D$1, DATE(Initialisatie!$C$5,12,31))) - MONTH(MAX($D$2, DATE(Initialisatie!$C$5,1,1))) + 1)),
        IFERROR(VALUE($E23),0) * MAX(0, IF(MIN($E$1, DATE(Initialisatie!$C$5,12,31)) &lt; MAX($E$2, DATE(Initialisatie!$C$5,1,1)), 0, MONTH(MIN($E$1, DATE(Initialisatie!$C$5,12,31))) - MONTH(MAX($E$2, DATE(Initialisatie!$C$5,1,1))) + 1)),
        IFERROR(VALUE($F23),0) * MAX(0, IF(MIN($F$1, DATE(Initialisatie!$C$5,12,31)) &lt; MAX($F$2, DATE(Initialisatie!$C$5,1,1)), 0, MONTH(MIN($F$1, DATE(Initialisatie!$C$5,12,31))) - MONTH(MAX($F$2, DATE(Initialisatie!$C$5,1,1))) + 1)),
        IFERROR(VALUE($G23),0) * MAX(0, IF(MIN($G$1, DATE(Initialisatie!$C$5,12,31)) &lt; MAX($G$2, DATE(Initialisatie!$C$5,1,1)), 0, MONTH(MIN($G$1, DATE(Initialisatie!$C$5,12,31))) - MONTH(MAX($G$2, DATE(Initialisatie!$C$5,1,1))) + 1))
    ) / 12
)</f>
        <v>2667.6666666666665</v>
      </c>
    </row>
    <row r="24" spans="1:10" x14ac:dyDescent="0.45">
      <c r="A24" s="1003"/>
      <c r="B24" s="374">
        <v>10</v>
      </c>
      <c r="C24" s="373">
        <v>12</v>
      </c>
      <c r="D24" s="48">
        <v>2578</v>
      </c>
      <c r="E24" s="48">
        <v>2681</v>
      </c>
      <c r="F24" s="48">
        <v>2735</v>
      </c>
      <c r="G24" s="48">
        <v>2311</v>
      </c>
      <c r="I24">
        <f>IF(
    OR(
        AND(MAX(0, MIN($D$1, DATE(Initialisatie!$C$5,12,31)) - MAX($D$2, DATE(Initialisatie!$C$5,1,1)) + 1) &gt; 0, IFERROR(VALUE($D24),0)=0),
        AND(MAX(0, MIN($E$1, DATE(Initialisatie!$C$5,12,31)) - MAX($E$2, DATE(Initialisatie!$C$5,1,1)) + 1) &gt; 0, IFERROR(VALUE($E24),0)=0),
        AND(MAX(0, MIN($F$1, DATE(Initialisatie!$C$5,12,31)) - MAX($F$2, DATE(Initialisatie!$C$5,1,1)) + 1) &gt; 0, IFERROR(VALUE($F24),0)=0),
        AND(MAX(0, MIN($G$1, DATE(Initialisatie!$C$5,12,31)) - MAX($G$2, DATE(Initialisatie!$C$5,1,1)) + 1) &gt; 0, IFERROR(VALUE($G24),0)=0)
    ),
    0,
    SUM(
        IFERROR(VALUE($D24),0) * MAX(0, MIN($D$1, DATE(Initialisatie!$C$5,12,31)) - MAX($D$2, DATE(Initialisatie!$C$5,1,1)) + 1),
        IFERROR(VALUE($E24),0) * MAX(0, MIN($E$1, DATE(Initialisatie!$C$5,12,31)) - MAX($E$2, DATE(Initialisatie!$C$5,1,1)) + 1),
        IFERROR(VALUE($F24),0) * MAX(0, MIN($F$1, DATE(Initialisatie!$C$5,12,31)) - MAX($F$2, DATE(Initialisatie!$C$5,1,1)) + 1),
        IFERROR(VALUE($G24),0) * MAX(0, MIN($G$1, DATE(Initialisatie!$C$5,12,31)) - MAX($G$2, DATE(Initialisatie!$C$5,1,1)) + 1)
    ) / (DATE(Initialisatie!$C$5,12,31) - DATE(Initialisatie!$C$5,1,1) + 1)
)</f>
        <v>2646.3863013698628</v>
      </c>
      <c r="J24">
        <f>IF(
    OR(
        AND(MAX(0, IF(MIN($D$1, DATE(Initialisatie!$C$5,12,31)) &lt; MAX($D$2, DATE(Initialisatie!$C$5,1,1)), 0, MONTH(MIN($D$1, DATE(Initialisatie!$C$5,12,31))) - MONTH(MAX($D$2, DATE(Initialisatie!$C$5,1,1))) + 1)) &lt;= 0, IFERROR(VALUE($D24),0)=0),
        AND(MAX(0, IF(MIN($E$1, DATE(Initialisatie!$C$5,12,31)) &lt; MAX($E$2, DATE(Initialisatie!$C$5,1,1)), 0, MONTH(MIN($E$1, DATE(Initialisatie!$C$5,12,31))) - MONTH(MAX($E$2, DATE(Initialisatie!$C$5,1,1))) + 1)) &lt;= 0, IFERROR(VALUE($E24),0)=0),
        AND(MAX(0, IF(MIN($F$1, DATE(Initialisatie!$C$5,12,31)) &lt; MAX($F$2, DATE(Initialisatie!$C$5,1,1)), 0, MONTH(MIN($F$1, DATE(Initialisatie!$C$5,12,31))) - MONTH(MAX($F$2, DATE(Initialisatie!$C$5,1,1))) + 1)) &lt;= 0, IFERROR(VALUE($F24),0)=0),
        AND(MAX(0, IF(MIN($G$1, DATE(Initialisatie!$C$5,12,31)) &lt; MAX($G$2, DATE(Initialisatie!$C$5,1,1)), 0, MONTH(MIN($G$1, DATE(Initialisatie!$C$5,12,31))) - MONTH(MAX($G$2, DATE(Initialisatie!$C$5,1,1))) + 1)) &lt;= 0, IFERROR(VALUE($G24),0)=0)
    ),
    0,
    SUM(
        IFERROR(VALUE($D24),0) * MAX(0, IF(MIN($D$1, DATE(Initialisatie!$C$5,12,31)) &lt; MAX($D$2, DATE(Initialisatie!$C$5,1,1)), 0, MONTH(MIN($D$1, DATE(Initialisatie!$C$5,12,31))) - MONTH(MAX($D$2, DATE(Initialisatie!$C$5,1,1))) + 1)),
        IFERROR(VALUE($E24),0) * MAX(0, IF(MIN($E$1, DATE(Initialisatie!$C$5,12,31)) &lt; MAX($E$2, DATE(Initialisatie!$C$5,1,1)), 0, MONTH(MIN($E$1, DATE(Initialisatie!$C$5,12,31))) - MONTH(MAX($E$2, DATE(Initialisatie!$C$5,1,1))) + 1)),
        IFERROR(VALUE($F24),0) * MAX(0, IF(MIN($F$1, DATE(Initialisatie!$C$5,12,31)) &lt; MAX($F$2, DATE(Initialisatie!$C$5,1,1)), 0, MONTH(MIN($F$1, DATE(Initialisatie!$C$5,12,31))) - MONTH(MAX($F$2, DATE(Initialisatie!$C$5,1,1))) + 1)),
        IFERROR(VALUE($G24),0) * MAX(0, IF(MIN($G$1, DATE(Initialisatie!$C$5,12,31)) &lt; MAX($G$2, DATE(Initialisatie!$C$5,1,1)), 0, MONTH(MIN($G$1, DATE(Initialisatie!$C$5,12,31))) - MONTH(MAX($G$2, DATE(Initialisatie!$C$5,1,1))) + 1))
    ) / 12
)</f>
        <v>2646.3333333333335</v>
      </c>
    </row>
    <row r="25" spans="1:10" x14ac:dyDescent="0.45">
      <c r="A25" s="999">
        <v>15</v>
      </c>
      <c r="B25" s="374">
        <v>0</v>
      </c>
      <c r="C25" s="373">
        <v>3</v>
      </c>
      <c r="D25" s="48">
        <v>2071</v>
      </c>
      <c r="E25" s="48">
        <v>2154</v>
      </c>
      <c r="F25" s="48">
        <v>2197</v>
      </c>
      <c r="G25" s="48">
        <v>2241</v>
      </c>
      <c r="I25">
        <f>IF(
    OR(
        AND(MAX(0, MIN($D$1, DATE(Initialisatie!$C$5,12,31)) - MAX($D$2, DATE(Initialisatie!$C$5,1,1)) + 1) &gt; 0, IFERROR(VALUE($D25),0)=0),
        AND(MAX(0, MIN($E$1, DATE(Initialisatie!$C$5,12,31)) - MAX($E$2, DATE(Initialisatie!$C$5,1,1)) + 1) &gt; 0, IFERROR(VALUE($E25),0)=0),
        AND(MAX(0, MIN($F$1, DATE(Initialisatie!$C$5,12,31)) - MAX($F$2, DATE(Initialisatie!$C$5,1,1)) + 1) &gt; 0, IFERROR(VALUE($F25),0)=0),
        AND(MAX(0, MIN($G$1, DATE(Initialisatie!$C$5,12,31)) - MAX($G$2, DATE(Initialisatie!$C$5,1,1)) + 1) &gt; 0, IFERROR(VALUE($G25),0)=0)
    ),
    0,
    SUM(
        IFERROR(VALUE($D25),0) * MAX(0, MIN($D$1, DATE(Initialisatie!$C$5,12,31)) - MAX($D$2, DATE(Initialisatie!$C$5,1,1)) + 1),
        IFERROR(VALUE($E25),0) * MAX(0, MIN($E$1, DATE(Initialisatie!$C$5,12,31)) - MAX($E$2, DATE(Initialisatie!$C$5,1,1)) + 1),
        IFERROR(VALUE($F25),0) * MAX(0, MIN($F$1, DATE(Initialisatie!$C$5,12,31)) - MAX($F$2, DATE(Initialisatie!$C$5,1,1)) + 1),
        IFERROR(VALUE($G25),0) * MAX(0, MIN($G$1, DATE(Initialisatie!$C$5,12,31)) - MAX($G$2, DATE(Initialisatie!$C$5,1,1)) + 1)
    ) / (DATE(Initialisatie!$C$5,12,31) - DATE(Initialisatie!$C$5,1,1) + 1)
)</f>
        <v>2190.2164383561644</v>
      </c>
      <c r="J25">
        <f>IF(
    OR(
        AND(MAX(0, IF(MIN($D$1, DATE(Initialisatie!$C$5,12,31)) &lt; MAX($D$2, DATE(Initialisatie!$C$5,1,1)), 0, MONTH(MIN($D$1, DATE(Initialisatie!$C$5,12,31))) - MONTH(MAX($D$2, DATE(Initialisatie!$C$5,1,1))) + 1)) &lt;= 0, IFERROR(VALUE($D25),0)=0),
        AND(MAX(0, IF(MIN($E$1, DATE(Initialisatie!$C$5,12,31)) &lt; MAX($E$2, DATE(Initialisatie!$C$5,1,1)), 0, MONTH(MIN($E$1, DATE(Initialisatie!$C$5,12,31))) - MONTH(MAX($E$2, DATE(Initialisatie!$C$5,1,1))) + 1)) &lt;= 0, IFERROR(VALUE($E25),0)=0),
        AND(MAX(0, IF(MIN($F$1, DATE(Initialisatie!$C$5,12,31)) &lt; MAX($F$2, DATE(Initialisatie!$C$5,1,1)), 0, MONTH(MIN($F$1, DATE(Initialisatie!$C$5,12,31))) - MONTH(MAX($F$2, DATE(Initialisatie!$C$5,1,1))) + 1)) &lt;= 0, IFERROR(VALUE($F25),0)=0),
        AND(MAX(0, IF(MIN($G$1, DATE(Initialisatie!$C$5,12,31)) &lt; MAX($G$2, DATE(Initialisatie!$C$5,1,1)), 0, MONTH(MIN($G$1, DATE(Initialisatie!$C$5,12,31))) - MONTH(MAX($G$2, DATE(Initialisatie!$C$5,1,1))) + 1)) &lt;= 0, IFERROR(VALUE($G25),0)=0)
    ),
    0,
    SUM(
        IFERROR(VALUE($D25),0) * MAX(0, IF(MIN($D$1, DATE(Initialisatie!$C$5,12,31)) &lt; MAX($D$2, DATE(Initialisatie!$C$5,1,1)), 0, MONTH(MIN($D$1, DATE(Initialisatie!$C$5,12,31))) - MONTH(MAX($D$2, DATE(Initialisatie!$C$5,1,1))) + 1)),
        IFERROR(VALUE($E25),0) * MAX(0, IF(MIN($E$1, DATE(Initialisatie!$C$5,12,31)) &lt; MAX($E$2, DATE(Initialisatie!$C$5,1,1)), 0, MONTH(MIN($E$1, DATE(Initialisatie!$C$5,12,31))) - MONTH(MAX($E$2, DATE(Initialisatie!$C$5,1,1))) + 1)),
        IFERROR(VALUE($F25),0) * MAX(0, IF(MIN($F$1, DATE(Initialisatie!$C$5,12,31)) &lt; MAX($F$2, DATE(Initialisatie!$C$5,1,1)), 0, MONTH(MIN($F$1, DATE(Initialisatie!$C$5,12,31))) - MONTH(MAX($F$2, DATE(Initialisatie!$C$5,1,1))) + 1)),
        IFERROR(VALUE($G25),0) * MAX(0, IF(MIN($G$1, DATE(Initialisatie!$C$5,12,31)) &lt; MAX($G$2, DATE(Initialisatie!$C$5,1,1)), 0, MONTH(MIN($G$1, DATE(Initialisatie!$C$5,12,31))) - MONTH(MAX($G$2, DATE(Initialisatie!$C$5,1,1))) + 1))
    ) / 12
)</f>
        <v>2190</v>
      </c>
    </row>
    <row r="26" spans="1:10" x14ac:dyDescent="0.45">
      <c r="A26" s="999"/>
      <c r="B26" s="375">
        <v>1</v>
      </c>
      <c r="C26" s="373">
        <v>4</v>
      </c>
      <c r="D26" s="48">
        <v>2137</v>
      </c>
      <c r="E26" s="48">
        <v>2222</v>
      </c>
      <c r="F26" s="48">
        <v>2266</v>
      </c>
      <c r="G26" s="48">
        <v>2311</v>
      </c>
      <c r="I26">
        <f>IF(
    OR(
        AND(MAX(0, MIN($D$1, DATE(Initialisatie!$C$5,12,31)) - MAX($D$2, DATE(Initialisatie!$C$5,1,1)) + 1) &gt; 0, IFERROR(VALUE($D26),0)=0),
        AND(MAX(0, MIN($E$1, DATE(Initialisatie!$C$5,12,31)) - MAX($E$2, DATE(Initialisatie!$C$5,1,1)) + 1) &gt; 0, IFERROR(VALUE($E26),0)=0),
        AND(MAX(0, MIN($F$1, DATE(Initialisatie!$C$5,12,31)) - MAX($F$2, DATE(Initialisatie!$C$5,1,1)) + 1) &gt; 0, IFERROR(VALUE($F26),0)=0),
        AND(MAX(0, MIN($G$1, DATE(Initialisatie!$C$5,12,31)) - MAX($G$2, DATE(Initialisatie!$C$5,1,1)) + 1) &gt; 0, IFERROR(VALUE($G26),0)=0)
    ),
    0,
    SUM(
        IFERROR(VALUE($D26),0) * MAX(0, MIN($D$1, DATE(Initialisatie!$C$5,12,31)) - MAX($D$2, DATE(Initialisatie!$C$5,1,1)) + 1),
        IFERROR(VALUE($E26),0) * MAX(0, MIN($E$1, DATE(Initialisatie!$C$5,12,31)) - MAX($E$2, DATE(Initialisatie!$C$5,1,1)) + 1),
        IFERROR(VALUE($F26),0) * MAX(0, MIN($F$1, DATE(Initialisatie!$C$5,12,31)) - MAX($F$2, DATE(Initialisatie!$C$5,1,1)) + 1),
        IFERROR(VALUE($G26),0) * MAX(0, MIN($G$1, DATE(Initialisatie!$C$5,12,31)) - MAX($G$2, DATE(Initialisatie!$C$5,1,1)) + 1)
    ) / (DATE(Initialisatie!$C$5,12,31) - DATE(Initialisatie!$C$5,1,1) + 1)
)</f>
        <v>2259.0547945205481</v>
      </c>
      <c r="J26">
        <f>IF(
    OR(
        AND(MAX(0, IF(MIN($D$1, DATE(Initialisatie!$C$5,12,31)) &lt; MAX($D$2, DATE(Initialisatie!$C$5,1,1)), 0, MONTH(MIN($D$1, DATE(Initialisatie!$C$5,12,31))) - MONTH(MAX($D$2, DATE(Initialisatie!$C$5,1,1))) + 1)) &lt;= 0, IFERROR(VALUE($D26),0)=0),
        AND(MAX(0, IF(MIN($E$1, DATE(Initialisatie!$C$5,12,31)) &lt; MAX($E$2, DATE(Initialisatie!$C$5,1,1)), 0, MONTH(MIN($E$1, DATE(Initialisatie!$C$5,12,31))) - MONTH(MAX($E$2, DATE(Initialisatie!$C$5,1,1))) + 1)) &lt;= 0, IFERROR(VALUE($E26),0)=0),
        AND(MAX(0, IF(MIN($F$1, DATE(Initialisatie!$C$5,12,31)) &lt; MAX($F$2, DATE(Initialisatie!$C$5,1,1)), 0, MONTH(MIN($F$1, DATE(Initialisatie!$C$5,12,31))) - MONTH(MAX($F$2, DATE(Initialisatie!$C$5,1,1))) + 1)) &lt;= 0, IFERROR(VALUE($F26),0)=0),
        AND(MAX(0, IF(MIN($G$1, DATE(Initialisatie!$C$5,12,31)) &lt; MAX($G$2, DATE(Initialisatie!$C$5,1,1)), 0, MONTH(MIN($G$1, DATE(Initialisatie!$C$5,12,31))) - MONTH(MAX($G$2, DATE(Initialisatie!$C$5,1,1))) + 1)) &lt;= 0, IFERROR(VALUE($G26),0)=0)
    ),
    0,
    SUM(
        IFERROR(VALUE($D26),0) * MAX(0, IF(MIN($D$1, DATE(Initialisatie!$C$5,12,31)) &lt; MAX($D$2, DATE(Initialisatie!$C$5,1,1)), 0, MONTH(MIN($D$1, DATE(Initialisatie!$C$5,12,31))) - MONTH(MAX($D$2, DATE(Initialisatie!$C$5,1,1))) + 1)),
        IFERROR(VALUE($E26),0) * MAX(0, IF(MIN($E$1, DATE(Initialisatie!$C$5,12,31)) &lt; MAX($E$2, DATE(Initialisatie!$C$5,1,1)), 0, MONTH(MIN($E$1, DATE(Initialisatie!$C$5,12,31))) - MONTH(MAX($E$2, DATE(Initialisatie!$C$5,1,1))) + 1)),
        IFERROR(VALUE($F26),0) * MAX(0, IF(MIN($F$1, DATE(Initialisatie!$C$5,12,31)) &lt; MAX($F$2, DATE(Initialisatie!$C$5,1,1)), 0, MONTH(MIN($F$1, DATE(Initialisatie!$C$5,12,31))) - MONTH(MAX($F$2, DATE(Initialisatie!$C$5,1,1))) + 1)),
        IFERROR(VALUE($G26),0) * MAX(0, IF(MIN($G$1, DATE(Initialisatie!$C$5,12,31)) &lt; MAX($G$2, DATE(Initialisatie!$C$5,1,1)), 0, MONTH(MIN($G$1, DATE(Initialisatie!$C$5,12,31))) - MONTH(MAX($G$2, DATE(Initialisatie!$C$5,1,1))) + 1))
    ) / 12
)</f>
        <v>2258.8333333333335</v>
      </c>
    </row>
    <row r="27" spans="1:10" x14ac:dyDescent="0.45">
      <c r="A27" s="999"/>
      <c r="B27" s="372">
        <v>2</v>
      </c>
      <c r="C27" s="373">
        <v>5</v>
      </c>
      <c r="D27" s="48">
        <v>2203</v>
      </c>
      <c r="E27" s="48">
        <v>2291</v>
      </c>
      <c r="F27" s="48">
        <v>2337</v>
      </c>
      <c r="G27" s="48">
        <v>2384</v>
      </c>
      <c r="I27">
        <f>IF(
    OR(
        AND(MAX(0, MIN($D$1, DATE(Initialisatie!$C$5,12,31)) - MAX($D$2, DATE(Initialisatie!$C$5,1,1)) + 1) &gt; 0, IFERROR(VALUE($D27),0)=0),
        AND(MAX(0, MIN($E$1, DATE(Initialisatie!$C$5,12,31)) - MAX($E$2, DATE(Initialisatie!$C$5,1,1)) + 1) &gt; 0, IFERROR(VALUE($E27),0)=0),
        AND(MAX(0, MIN($F$1, DATE(Initialisatie!$C$5,12,31)) - MAX($F$2, DATE(Initialisatie!$C$5,1,1)) + 1) &gt; 0, IFERROR(VALUE($F27),0)=0),
        AND(MAX(0, MIN($G$1, DATE(Initialisatie!$C$5,12,31)) - MAX($G$2, DATE(Initialisatie!$C$5,1,1)) + 1) &gt; 0, IFERROR(VALUE($G27),0)=0)
    ),
    0,
    SUM(
        IFERROR(VALUE($D27),0) * MAX(0, MIN($D$1, DATE(Initialisatie!$C$5,12,31)) - MAX($D$2, DATE(Initialisatie!$C$5,1,1)) + 1),
        IFERROR(VALUE($E27),0) * MAX(0, MIN($E$1, DATE(Initialisatie!$C$5,12,31)) - MAX($E$2, DATE(Initialisatie!$C$5,1,1)) + 1),
        IFERROR(VALUE($F27),0) * MAX(0, MIN($F$1, DATE(Initialisatie!$C$5,12,31)) - MAX($F$2, DATE(Initialisatie!$C$5,1,1)) + 1),
        IFERROR(VALUE($G27),0) * MAX(0, MIN($G$1, DATE(Initialisatie!$C$5,12,31)) - MAX($G$2, DATE(Initialisatie!$C$5,1,1)) + 1)
    ) / (DATE(Initialisatie!$C$5,12,31) - DATE(Initialisatie!$C$5,1,1) + 1)
)</f>
        <v>2329.7315068493149</v>
      </c>
      <c r="J27">
        <f>IF(
    OR(
        AND(MAX(0, IF(MIN($D$1, DATE(Initialisatie!$C$5,12,31)) &lt; MAX($D$2, DATE(Initialisatie!$C$5,1,1)), 0, MONTH(MIN($D$1, DATE(Initialisatie!$C$5,12,31))) - MONTH(MAX($D$2, DATE(Initialisatie!$C$5,1,1))) + 1)) &lt;= 0, IFERROR(VALUE($D27),0)=0),
        AND(MAX(0, IF(MIN($E$1, DATE(Initialisatie!$C$5,12,31)) &lt; MAX($E$2, DATE(Initialisatie!$C$5,1,1)), 0, MONTH(MIN($E$1, DATE(Initialisatie!$C$5,12,31))) - MONTH(MAX($E$2, DATE(Initialisatie!$C$5,1,1))) + 1)) &lt;= 0, IFERROR(VALUE($E27),0)=0),
        AND(MAX(0, IF(MIN($F$1, DATE(Initialisatie!$C$5,12,31)) &lt; MAX($F$2, DATE(Initialisatie!$C$5,1,1)), 0, MONTH(MIN($F$1, DATE(Initialisatie!$C$5,12,31))) - MONTH(MAX($F$2, DATE(Initialisatie!$C$5,1,1))) + 1)) &lt;= 0, IFERROR(VALUE($F27),0)=0),
        AND(MAX(0, IF(MIN($G$1, DATE(Initialisatie!$C$5,12,31)) &lt; MAX($G$2, DATE(Initialisatie!$C$5,1,1)), 0, MONTH(MIN($G$1, DATE(Initialisatie!$C$5,12,31))) - MONTH(MAX($G$2, DATE(Initialisatie!$C$5,1,1))) + 1)) &lt;= 0, IFERROR(VALUE($G27),0)=0)
    ),
    0,
    SUM(
        IFERROR(VALUE($D27),0) * MAX(0, IF(MIN($D$1, DATE(Initialisatie!$C$5,12,31)) &lt; MAX($D$2, DATE(Initialisatie!$C$5,1,1)), 0, MONTH(MIN($D$1, DATE(Initialisatie!$C$5,12,31))) - MONTH(MAX($D$2, DATE(Initialisatie!$C$5,1,1))) + 1)),
        IFERROR(VALUE($E27),0) * MAX(0, IF(MIN($E$1, DATE(Initialisatie!$C$5,12,31)) &lt; MAX($E$2, DATE(Initialisatie!$C$5,1,1)), 0, MONTH(MIN($E$1, DATE(Initialisatie!$C$5,12,31))) - MONTH(MAX($E$2, DATE(Initialisatie!$C$5,1,1))) + 1)),
        IFERROR(VALUE($F27),0) * MAX(0, IF(MIN($F$1, DATE(Initialisatie!$C$5,12,31)) &lt; MAX($F$2, DATE(Initialisatie!$C$5,1,1)), 0, MONTH(MIN($F$1, DATE(Initialisatie!$C$5,12,31))) - MONTH(MAX($F$2, DATE(Initialisatie!$C$5,1,1))) + 1)),
        IFERROR(VALUE($G27),0) * MAX(0, IF(MIN($G$1, DATE(Initialisatie!$C$5,12,31)) &lt; MAX($G$2, DATE(Initialisatie!$C$5,1,1)), 0, MONTH(MIN($G$1, DATE(Initialisatie!$C$5,12,31))) - MONTH(MAX($G$2, DATE(Initialisatie!$C$5,1,1))) + 1))
    ) / 12
)</f>
        <v>2329.5</v>
      </c>
    </row>
    <row r="28" spans="1:10" x14ac:dyDescent="0.45">
      <c r="A28" s="999"/>
      <c r="B28" s="372">
        <v>3</v>
      </c>
      <c r="C28" s="373">
        <v>6</v>
      </c>
      <c r="D28" s="48">
        <v>2237</v>
      </c>
      <c r="E28" s="48">
        <v>2326</v>
      </c>
      <c r="F28" s="48">
        <v>2373</v>
      </c>
      <c r="G28" s="48">
        <v>2479</v>
      </c>
      <c r="I28">
        <f>IF(
    OR(
        AND(MAX(0, MIN($D$1, DATE(Initialisatie!$C$5,12,31)) - MAX($D$2, DATE(Initialisatie!$C$5,1,1)) + 1) &gt; 0, IFERROR(VALUE($D28),0)=0),
        AND(MAX(0, MIN($E$1, DATE(Initialisatie!$C$5,12,31)) - MAX($E$2, DATE(Initialisatie!$C$5,1,1)) + 1) &gt; 0, IFERROR(VALUE($E28),0)=0),
        AND(MAX(0, MIN($F$1, DATE(Initialisatie!$C$5,12,31)) - MAX($F$2, DATE(Initialisatie!$C$5,1,1)) + 1) &gt; 0, IFERROR(VALUE($F28),0)=0),
        AND(MAX(0, MIN($G$1, DATE(Initialisatie!$C$5,12,31)) - MAX($G$2, DATE(Initialisatie!$C$5,1,1)) + 1) &gt; 0, IFERROR(VALUE($G28),0)=0)
    ),
    0,
    SUM(
        IFERROR(VALUE($D28),0) * MAX(0, MIN($D$1, DATE(Initialisatie!$C$5,12,31)) - MAX($D$2, DATE(Initialisatie!$C$5,1,1)) + 1),
        IFERROR(VALUE($E28),0) * MAX(0, MIN($E$1, DATE(Initialisatie!$C$5,12,31)) - MAX($E$2, DATE(Initialisatie!$C$5,1,1)) + 1),
        IFERROR(VALUE($F28),0) * MAX(0, MIN($F$1, DATE(Initialisatie!$C$5,12,31)) - MAX($F$2, DATE(Initialisatie!$C$5,1,1)) + 1),
        IFERROR(VALUE($G28),0) * MAX(0, MIN($G$1, DATE(Initialisatie!$C$5,12,31)) - MAX($G$2, DATE(Initialisatie!$C$5,1,1)) + 1)
    ) / (DATE(Initialisatie!$C$5,12,31) - DATE(Initialisatie!$C$5,1,1) + 1)
)</f>
        <v>2375.2630136986299</v>
      </c>
      <c r="J28">
        <f>IF(
    OR(
        AND(MAX(0, IF(MIN($D$1, DATE(Initialisatie!$C$5,12,31)) &lt; MAX($D$2, DATE(Initialisatie!$C$5,1,1)), 0, MONTH(MIN($D$1, DATE(Initialisatie!$C$5,12,31))) - MONTH(MAX($D$2, DATE(Initialisatie!$C$5,1,1))) + 1)) &lt;= 0, IFERROR(VALUE($D28),0)=0),
        AND(MAX(0, IF(MIN($E$1, DATE(Initialisatie!$C$5,12,31)) &lt; MAX($E$2, DATE(Initialisatie!$C$5,1,1)), 0, MONTH(MIN($E$1, DATE(Initialisatie!$C$5,12,31))) - MONTH(MAX($E$2, DATE(Initialisatie!$C$5,1,1))) + 1)) &lt;= 0, IFERROR(VALUE($E28),0)=0),
        AND(MAX(0, IF(MIN($F$1, DATE(Initialisatie!$C$5,12,31)) &lt; MAX($F$2, DATE(Initialisatie!$C$5,1,1)), 0, MONTH(MIN($F$1, DATE(Initialisatie!$C$5,12,31))) - MONTH(MAX($F$2, DATE(Initialisatie!$C$5,1,1))) + 1)) &lt;= 0, IFERROR(VALUE($F28),0)=0),
        AND(MAX(0, IF(MIN($G$1, DATE(Initialisatie!$C$5,12,31)) &lt; MAX($G$2, DATE(Initialisatie!$C$5,1,1)), 0, MONTH(MIN($G$1, DATE(Initialisatie!$C$5,12,31))) - MONTH(MAX($G$2, DATE(Initialisatie!$C$5,1,1))) + 1)) &lt;= 0, IFERROR(VALUE($G28),0)=0)
    ),
    0,
    SUM(
        IFERROR(VALUE($D28),0) * MAX(0, IF(MIN($D$1, DATE(Initialisatie!$C$5,12,31)) &lt; MAX($D$2, DATE(Initialisatie!$C$5,1,1)), 0, MONTH(MIN($D$1, DATE(Initialisatie!$C$5,12,31))) - MONTH(MAX($D$2, DATE(Initialisatie!$C$5,1,1))) + 1)),
        IFERROR(VALUE($E28),0) * MAX(0, IF(MIN($E$1, DATE(Initialisatie!$C$5,12,31)) &lt; MAX($E$2, DATE(Initialisatie!$C$5,1,1)), 0, MONTH(MIN($E$1, DATE(Initialisatie!$C$5,12,31))) - MONTH(MAX($E$2, DATE(Initialisatie!$C$5,1,1))) + 1)),
        IFERROR(VALUE($F28),0) * MAX(0, IF(MIN($F$1, DATE(Initialisatie!$C$5,12,31)) &lt; MAX($F$2, DATE(Initialisatie!$C$5,1,1)), 0, MONTH(MIN($F$1, DATE(Initialisatie!$C$5,12,31))) - MONTH(MAX($F$2, DATE(Initialisatie!$C$5,1,1))) + 1)),
        IFERROR(VALUE($G28),0) * MAX(0, IF(MIN($G$1, DATE(Initialisatie!$C$5,12,31)) &lt; MAX($G$2, DATE(Initialisatie!$C$5,1,1)), 0, MONTH(MIN($G$1, DATE(Initialisatie!$C$5,12,31))) - MONTH(MAX($G$2, DATE(Initialisatie!$C$5,1,1))) + 1))
    ) / 12
)</f>
        <v>2375</v>
      </c>
    </row>
    <row r="29" spans="1:10" x14ac:dyDescent="0.45">
      <c r="A29" s="999"/>
      <c r="B29" s="376">
        <v>4</v>
      </c>
      <c r="C29" s="373">
        <v>7</v>
      </c>
      <c r="D29" s="48">
        <v>2290</v>
      </c>
      <c r="E29" s="48">
        <v>2382</v>
      </c>
      <c r="F29" s="48">
        <v>2430</v>
      </c>
      <c r="G29" s="48">
        <v>2532</v>
      </c>
      <c r="I29">
        <f>IF(
    OR(
        AND(MAX(0, MIN($D$1, DATE(Initialisatie!$C$5,12,31)) - MAX($D$2, DATE(Initialisatie!$C$5,1,1)) + 1) &gt; 0, IFERROR(VALUE($D29),0)=0),
        AND(MAX(0, MIN($E$1, DATE(Initialisatie!$C$5,12,31)) - MAX($E$2, DATE(Initialisatie!$C$5,1,1)) + 1) &gt; 0, IFERROR(VALUE($E29),0)=0),
        AND(MAX(0, MIN($F$1, DATE(Initialisatie!$C$5,12,31)) - MAX($F$2, DATE(Initialisatie!$C$5,1,1)) + 1) &gt; 0, IFERROR(VALUE($F29),0)=0),
        AND(MAX(0, MIN($G$1, DATE(Initialisatie!$C$5,12,31)) - MAX($G$2, DATE(Initialisatie!$C$5,1,1)) + 1) &gt; 0, IFERROR(VALUE($G29),0)=0)
    ),
    0,
    SUM(
        IFERROR(VALUE($D29),0) * MAX(0, MIN($D$1, DATE(Initialisatie!$C$5,12,31)) - MAX($D$2, DATE(Initialisatie!$C$5,1,1)) + 1),
        IFERROR(VALUE($E29),0) * MAX(0, MIN($E$1, DATE(Initialisatie!$C$5,12,31)) - MAX($E$2, DATE(Initialisatie!$C$5,1,1)) + 1),
        IFERROR(VALUE($F29),0) * MAX(0, MIN($F$1, DATE(Initialisatie!$C$5,12,31)) - MAX($F$2, DATE(Initialisatie!$C$5,1,1)) + 1),
        IFERROR(VALUE($G29),0) * MAX(0, MIN($G$1, DATE(Initialisatie!$C$5,12,31)) - MAX($G$2, DATE(Initialisatie!$C$5,1,1)) + 1)
    ) / (DATE(Initialisatie!$C$5,12,31) - DATE(Initialisatie!$C$5,1,1) + 1)
)</f>
        <v>2431.2657534246578</v>
      </c>
      <c r="J29">
        <f>IF(
    OR(
        AND(MAX(0, IF(MIN($D$1, DATE(Initialisatie!$C$5,12,31)) &lt; MAX($D$2, DATE(Initialisatie!$C$5,1,1)), 0, MONTH(MIN($D$1, DATE(Initialisatie!$C$5,12,31))) - MONTH(MAX($D$2, DATE(Initialisatie!$C$5,1,1))) + 1)) &lt;= 0, IFERROR(VALUE($D29),0)=0),
        AND(MAX(0, IF(MIN($E$1, DATE(Initialisatie!$C$5,12,31)) &lt; MAX($E$2, DATE(Initialisatie!$C$5,1,1)), 0, MONTH(MIN($E$1, DATE(Initialisatie!$C$5,12,31))) - MONTH(MAX($E$2, DATE(Initialisatie!$C$5,1,1))) + 1)) &lt;= 0, IFERROR(VALUE($E29),0)=0),
        AND(MAX(0, IF(MIN($F$1, DATE(Initialisatie!$C$5,12,31)) &lt; MAX($F$2, DATE(Initialisatie!$C$5,1,1)), 0, MONTH(MIN($F$1, DATE(Initialisatie!$C$5,12,31))) - MONTH(MAX($F$2, DATE(Initialisatie!$C$5,1,1))) + 1)) &lt;= 0, IFERROR(VALUE($F29),0)=0),
        AND(MAX(0, IF(MIN($G$1, DATE(Initialisatie!$C$5,12,31)) &lt; MAX($G$2, DATE(Initialisatie!$C$5,1,1)), 0, MONTH(MIN($G$1, DATE(Initialisatie!$C$5,12,31))) - MONTH(MAX($G$2, DATE(Initialisatie!$C$5,1,1))) + 1)) &lt;= 0, IFERROR(VALUE($G29),0)=0)
    ),
    0,
    SUM(
        IFERROR(VALUE($D29),0) * MAX(0, IF(MIN($D$1, DATE(Initialisatie!$C$5,12,31)) &lt; MAX($D$2, DATE(Initialisatie!$C$5,1,1)), 0, MONTH(MIN($D$1, DATE(Initialisatie!$C$5,12,31))) - MONTH(MAX($D$2, DATE(Initialisatie!$C$5,1,1))) + 1)),
        IFERROR(VALUE($E29),0) * MAX(0, IF(MIN($E$1, DATE(Initialisatie!$C$5,12,31)) &lt; MAX($E$2, DATE(Initialisatie!$C$5,1,1)), 0, MONTH(MIN($E$1, DATE(Initialisatie!$C$5,12,31))) - MONTH(MAX($E$2, DATE(Initialisatie!$C$5,1,1))) + 1)),
        IFERROR(VALUE($F29),0) * MAX(0, IF(MIN($F$1, DATE(Initialisatie!$C$5,12,31)) &lt; MAX($F$2, DATE(Initialisatie!$C$5,1,1)), 0, MONTH(MIN($F$1, DATE(Initialisatie!$C$5,12,31))) - MONTH(MAX($F$2, DATE(Initialisatie!$C$5,1,1))) + 1)),
        IFERROR(VALUE($G29),0) * MAX(0, IF(MIN($G$1, DATE(Initialisatie!$C$5,12,31)) &lt; MAX($G$2, DATE(Initialisatie!$C$5,1,1)), 0, MONTH(MIN($G$1, DATE(Initialisatie!$C$5,12,31))) - MONTH(MAX($G$2, DATE(Initialisatie!$C$5,1,1))) + 1))
    ) / 12
)</f>
        <v>2431</v>
      </c>
    </row>
    <row r="30" spans="1:10" x14ac:dyDescent="0.45">
      <c r="A30" s="999"/>
      <c r="B30" s="372">
        <v>5</v>
      </c>
      <c r="C30" s="373">
        <v>8</v>
      </c>
      <c r="D30" s="48">
        <v>2339</v>
      </c>
      <c r="E30" s="48">
        <v>2433</v>
      </c>
      <c r="F30" s="48">
        <v>2482</v>
      </c>
      <c r="G30" s="48">
        <v>2587</v>
      </c>
      <c r="I30">
        <f>IF(
    OR(
        AND(MAX(0, MIN($D$1, DATE(Initialisatie!$C$5,12,31)) - MAX($D$2, DATE(Initialisatie!$C$5,1,1)) + 1) &gt; 0, IFERROR(VALUE($D30),0)=0),
        AND(MAX(0, MIN($E$1, DATE(Initialisatie!$C$5,12,31)) - MAX($E$2, DATE(Initialisatie!$C$5,1,1)) + 1) &gt; 0, IFERROR(VALUE($E30),0)=0),
        AND(MAX(0, MIN($F$1, DATE(Initialisatie!$C$5,12,31)) - MAX($F$2, DATE(Initialisatie!$C$5,1,1)) + 1) &gt; 0, IFERROR(VALUE($F30),0)=0),
        AND(MAX(0, MIN($G$1, DATE(Initialisatie!$C$5,12,31)) - MAX($G$2, DATE(Initialisatie!$C$5,1,1)) + 1) &gt; 0, IFERROR(VALUE($G30),0)=0)
    ),
    0,
    SUM(
        IFERROR(VALUE($D30),0) * MAX(0, MIN($D$1, DATE(Initialisatie!$C$5,12,31)) - MAX($D$2, DATE(Initialisatie!$C$5,1,1)) + 1),
        IFERROR(VALUE($E30),0) * MAX(0, MIN($E$1, DATE(Initialisatie!$C$5,12,31)) - MAX($E$2, DATE(Initialisatie!$C$5,1,1)) + 1),
        IFERROR(VALUE($F30),0) * MAX(0, MIN($F$1, DATE(Initialisatie!$C$5,12,31)) - MAX($F$2, DATE(Initialisatie!$C$5,1,1)) + 1),
        IFERROR(VALUE($G30),0) * MAX(0, MIN($G$1, DATE(Initialisatie!$C$5,12,31)) - MAX($G$2, DATE(Initialisatie!$C$5,1,1)) + 1)
    ) / (DATE(Initialisatie!$C$5,12,31) - DATE(Initialisatie!$C$5,1,1) + 1)
)</f>
        <v>2483.4383561643835</v>
      </c>
      <c r="J30">
        <f>IF(
    OR(
        AND(MAX(0, IF(MIN($D$1, DATE(Initialisatie!$C$5,12,31)) &lt; MAX($D$2, DATE(Initialisatie!$C$5,1,1)), 0, MONTH(MIN($D$1, DATE(Initialisatie!$C$5,12,31))) - MONTH(MAX($D$2, DATE(Initialisatie!$C$5,1,1))) + 1)) &lt;= 0, IFERROR(VALUE($D30),0)=0),
        AND(MAX(0, IF(MIN($E$1, DATE(Initialisatie!$C$5,12,31)) &lt; MAX($E$2, DATE(Initialisatie!$C$5,1,1)), 0, MONTH(MIN($E$1, DATE(Initialisatie!$C$5,12,31))) - MONTH(MAX($E$2, DATE(Initialisatie!$C$5,1,1))) + 1)) &lt;= 0, IFERROR(VALUE($E30),0)=0),
        AND(MAX(0, IF(MIN($F$1, DATE(Initialisatie!$C$5,12,31)) &lt; MAX($F$2, DATE(Initialisatie!$C$5,1,1)), 0, MONTH(MIN($F$1, DATE(Initialisatie!$C$5,12,31))) - MONTH(MAX($F$2, DATE(Initialisatie!$C$5,1,1))) + 1)) &lt;= 0, IFERROR(VALUE($F30),0)=0),
        AND(MAX(0, IF(MIN($G$1, DATE(Initialisatie!$C$5,12,31)) &lt; MAX($G$2, DATE(Initialisatie!$C$5,1,1)), 0, MONTH(MIN($G$1, DATE(Initialisatie!$C$5,12,31))) - MONTH(MAX($G$2, DATE(Initialisatie!$C$5,1,1))) + 1)) &lt;= 0, IFERROR(VALUE($G30),0)=0)
    ),
    0,
    SUM(
        IFERROR(VALUE($D30),0) * MAX(0, IF(MIN($D$1, DATE(Initialisatie!$C$5,12,31)) &lt; MAX($D$2, DATE(Initialisatie!$C$5,1,1)), 0, MONTH(MIN($D$1, DATE(Initialisatie!$C$5,12,31))) - MONTH(MAX($D$2, DATE(Initialisatie!$C$5,1,1))) + 1)),
        IFERROR(VALUE($E30),0) * MAX(0, IF(MIN($E$1, DATE(Initialisatie!$C$5,12,31)) &lt; MAX($E$2, DATE(Initialisatie!$C$5,1,1)), 0, MONTH(MIN($E$1, DATE(Initialisatie!$C$5,12,31))) - MONTH(MAX($E$2, DATE(Initialisatie!$C$5,1,1))) + 1)),
        IFERROR(VALUE($F30),0) * MAX(0, IF(MIN($F$1, DATE(Initialisatie!$C$5,12,31)) &lt; MAX($F$2, DATE(Initialisatie!$C$5,1,1)), 0, MONTH(MIN($F$1, DATE(Initialisatie!$C$5,12,31))) - MONTH(MAX($F$2, DATE(Initialisatie!$C$5,1,1))) + 1)),
        IFERROR(VALUE($G30),0) * MAX(0, IF(MIN($G$1, DATE(Initialisatie!$C$5,12,31)) &lt; MAX($G$2, DATE(Initialisatie!$C$5,1,1)), 0, MONTH(MIN($G$1, DATE(Initialisatie!$C$5,12,31))) - MONTH(MAX($G$2, DATE(Initialisatie!$C$5,1,1))) + 1))
    ) / 12
)</f>
        <v>2483.1666666666665</v>
      </c>
    </row>
    <row r="31" spans="1:10" x14ac:dyDescent="0.45">
      <c r="A31" s="999"/>
      <c r="B31" s="372">
        <v>6</v>
      </c>
      <c r="C31" s="373">
        <v>9</v>
      </c>
      <c r="D31" s="48">
        <v>2390</v>
      </c>
      <c r="E31" s="48">
        <v>2486</v>
      </c>
      <c r="F31" s="48">
        <v>2536</v>
      </c>
      <c r="G31" s="48">
        <v>2649</v>
      </c>
      <c r="I31">
        <f>IF(
    OR(
        AND(MAX(0, MIN($D$1, DATE(Initialisatie!$C$5,12,31)) - MAX($D$2, DATE(Initialisatie!$C$5,1,1)) + 1) &gt; 0, IFERROR(VALUE($D31),0)=0),
        AND(MAX(0, MIN($E$1, DATE(Initialisatie!$C$5,12,31)) - MAX($E$2, DATE(Initialisatie!$C$5,1,1)) + 1) &gt; 0, IFERROR(VALUE($E31),0)=0),
        AND(MAX(0, MIN($F$1, DATE(Initialisatie!$C$5,12,31)) - MAX($F$2, DATE(Initialisatie!$C$5,1,1)) + 1) &gt; 0, IFERROR(VALUE($F31),0)=0),
        AND(MAX(0, MIN($G$1, DATE(Initialisatie!$C$5,12,31)) - MAX($G$2, DATE(Initialisatie!$C$5,1,1)) + 1) &gt; 0, IFERROR(VALUE($G31),0)=0)
    ),
    0,
    SUM(
        IFERROR(VALUE($D31),0) * MAX(0, MIN($D$1, DATE(Initialisatie!$C$5,12,31)) - MAX($D$2, DATE(Initialisatie!$C$5,1,1)) + 1),
        IFERROR(VALUE($E31),0) * MAX(0, MIN($E$1, DATE(Initialisatie!$C$5,12,31)) - MAX($E$2, DATE(Initialisatie!$C$5,1,1)) + 1),
        IFERROR(VALUE($F31),0) * MAX(0, MIN($F$1, DATE(Initialisatie!$C$5,12,31)) - MAX($F$2, DATE(Initialisatie!$C$5,1,1)) + 1),
        IFERROR(VALUE($G31),0) * MAX(0, MIN($G$1, DATE(Initialisatie!$C$5,12,31)) - MAX($G$2, DATE(Initialisatie!$C$5,1,1)) + 1)
    ) / (DATE(Initialisatie!$C$5,12,31) - DATE(Initialisatie!$C$5,1,1) + 1)
)</f>
        <v>2538.4465753424656</v>
      </c>
      <c r="J31">
        <f>IF(
    OR(
        AND(MAX(0, IF(MIN($D$1, DATE(Initialisatie!$C$5,12,31)) &lt; MAX($D$2, DATE(Initialisatie!$C$5,1,1)), 0, MONTH(MIN($D$1, DATE(Initialisatie!$C$5,12,31))) - MONTH(MAX($D$2, DATE(Initialisatie!$C$5,1,1))) + 1)) &lt;= 0, IFERROR(VALUE($D31),0)=0),
        AND(MAX(0, IF(MIN($E$1, DATE(Initialisatie!$C$5,12,31)) &lt; MAX($E$2, DATE(Initialisatie!$C$5,1,1)), 0, MONTH(MIN($E$1, DATE(Initialisatie!$C$5,12,31))) - MONTH(MAX($E$2, DATE(Initialisatie!$C$5,1,1))) + 1)) &lt;= 0, IFERROR(VALUE($E31),0)=0),
        AND(MAX(0, IF(MIN($F$1, DATE(Initialisatie!$C$5,12,31)) &lt; MAX($F$2, DATE(Initialisatie!$C$5,1,1)), 0, MONTH(MIN($F$1, DATE(Initialisatie!$C$5,12,31))) - MONTH(MAX($F$2, DATE(Initialisatie!$C$5,1,1))) + 1)) &lt;= 0, IFERROR(VALUE($F31),0)=0),
        AND(MAX(0, IF(MIN($G$1, DATE(Initialisatie!$C$5,12,31)) &lt; MAX($G$2, DATE(Initialisatie!$C$5,1,1)), 0, MONTH(MIN($G$1, DATE(Initialisatie!$C$5,12,31))) - MONTH(MAX($G$2, DATE(Initialisatie!$C$5,1,1))) + 1)) &lt;= 0, IFERROR(VALUE($G31),0)=0)
    ),
    0,
    SUM(
        IFERROR(VALUE($D31),0) * MAX(0, IF(MIN($D$1, DATE(Initialisatie!$C$5,12,31)) &lt; MAX($D$2, DATE(Initialisatie!$C$5,1,1)), 0, MONTH(MIN($D$1, DATE(Initialisatie!$C$5,12,31))) - MONTH(MAX($D$2, DATE(Initialisatie!$C$5,1,1))) + 1)),
        IFERROR(VALUE($E31),0) * MAX(0, IF(MIN($E$1, DATE(Initialisatie!$C$5,12,31)) &lt; MAX($E$2, DATE(Initialisatie!$C$5,1,1)), 0, MONTH(MIN($E$1, DATE(Initialisatie!$C$5,12,31))) - MONTH(MAX($E$2, DATE(Initialisatie!$C$5,1,1))) + 1)),
        IFERROR(VALUE($F31),0) * MAX(0, IF(MIN($F$1, DATE(Initialisatie!$C$5,12,31)) &lt; MAX($F$2, DATE(Initialisatie!$C$5,1,1)), 0, MONTH(MIN($F$1, DATE(Initialisatie!$C$5,12,31))) - MONTH(MAX($F$2, DATE(Initialisatie!$C$5,1,1))) + 1)),
        IFERROR(VALUE($G31),0) * MAX(0, IF(MIN($G$1, DATE(Initialisatie!$C$5,12,31)) &lt; MAX($G$2, DATE(Initialisatie!$C$5,1,1)), 0, MONTH(MIN($G$1, DATE(Initialisatie!$C$5,12,31))) - MONTH(MAX($G$2, DATE(Initialisatie!$C$5,1,1))) + 1))
    ) / 12
)</f>
        <v>2538.1666666666665</v>
      </c>
    </row>
    <row r="32" spans="1:10" x14ac:dyDescent="0.45">
      <c r="A32" s="999"/>
      <c r="B32" s="372">
        <v>7</v>
      </c>
      <c r="C32" s="373">
        <v>10</v>
      </c>
      <c r="D32" s="48">
        <v>2448</v>
      </c>
      <c r="E32" s="48">
        <v>2546</v>
      </c>
      <c r="F32" s="48">
        <v>2597</v>
      </c>
      <c r="G32" s="48">
        <v>2717</v>
      </c>
      <c r="I32">
        <f>IF(
    OR(
        AND(MAX(0, MIN($D$1, DATE(Initialisatie!$C$5,12,31)) - MAX($D$2, DATE(Initialisatie!$C$5,1,1)) + 1) &gt; 0, IFERROR(VALUE($D32),0)=0),
        AND(MAX(0, MIN($E$1, DATE(Initialisatie!$C$5,12,31)) - MAX($E$2, DATE(Initialisatie!$C$5,1,1)) + 1) &gt; 0, IFERROR(VALUE($E32),0)=0),
        AND(MAX(0, MIN($F$1, DATE(Initialisatie!$C$5,12,31)) - MAX($F$2, DATE(Initialisatie!$C$5,1,1)) + 1) &gt; 0, IFERROR(VALUE($F32),0)=0),
        AND(MAX(0, MIN($G$1, DATE(Initialisatie!$C$5,12,31)) - MAX($G$2, DATE(Initialisatie!$C$5,1,1)) + 1) &gt; 0, IFERROR(VALUE($G32),0)=0)
    ),
    0,
    SUM(
        IFERROR(VALUE($D32),0) * MAX(0, MIN($D$1, DATE(Initialisatie!$C$5,12,31)) - MAX($D$2, DATE(Initialisatie!$C$5,1,1)) + 1),
        IFERROR(VALUE($E32),0) * MAX(0, MIN($E$1, DATE(Initialisatie!$C$5,12,31)) - MAX($E$2, DATE(Initialisatie!$C$5,1,1)) + 1),
        IFERROR(VALUE($F32),0) * MAX(0, MIN($F$1, DATE(Initialisatie!$C$5,12,31)) - MAX($F$2, DATE(Initialisatie!$C$5,1,1)) + 1),
        IFERROR(VALUE($G32),0) * MAX(0, MIN($G$1, DATE(Initialisatie!$C$5,12,31)) - MAX($G$2, DATE(Initialisatie!$C$5,1,1)) + 1)
    ) / (DATE(Initialisatie!$C$5,12,31) - DATE(Initialisatie!$C$5,1,1) + 1)
)</f>
        <v>2600.2876712328766</v>
      </c>
      <c r="J32">
        <f>IF(
    OR(
        AND(MAX(0, IF(MIN($D$1, DATE(Initialisatie!$C$5,12,31)) &lt; MAX($D$2, DATE(Initialisatie!$C$5,1,1)), 0, MONTH(MIN($D$1, DATE(Initialisatie!$C$5,12,31))) - MONTH(MAX($D$2, DATE(Initialisatie!$C$5,1,1))) + 1)) &lt;= 0, IFERROR(VALUE($D32),0)=0),
        AND(MAX(0, IF(MIN($E$1, DATE(Initialisatie!$C$5,12,31)) &lt; MAX($E$2, DATE(Initialisatie!$C$5,1,1)), 0, MONTH(MIN($E$1, DATE(Initialisatie!$C$5,12,31))) - MONTH(MAX($E$2, DATE(Initialisatie!$C$5,1,1))) + 1)) &lt;= 0, IFERROR(VALUE($E32),0)=0),
        AND(MAX(0, IF(MIN($F$1, DATE(Initialisatie!$C$5,12,31)) &lt; MAX($F$2, DATE(Initialisatie!$C$5,1,1)), 0, MONTH(MIN($F$1, DATE(Initialisatie!$C$5,12,31))) - MONTH(MAX($F$2, DATE(Initialisatie!$C$5,1,1))) + 1)) &lt;= 0, IFERROR(VALUE($F32),0)=0),
        AND(MAX(0, IF(MIN($G$1, DATE(Initialisatie!$C$5,12,31)) &lt; MAX($G$2, DATE(Initialisatie!$C$5,1,1)), 0, MONTH(MIN($G$1, DATE(Initialisatie!$C$5,12,31))) - MONTH(MAX($G$2, DATE(Initialisatie!$C$5,1,1))) + 1)) &lt;= 0, IFERROR(VALUE($G32),0)=0)
    ),
    0,
    SUM(
        IFERROR(VALUE($D32),0) * MAX(0, IF(MIN($D$1, DATE(Initialisatie!$C$5,12,31)) &lt; MAX($D$2, DATE(Initialisatie!$C$5,1,1)), 0, MONTH(MIN($D$1, DATE(Initialisatie!$C$5,12,31))) - MONTH(MAX($D$2, DATE(Initialisatie!$C$5,1,1))) + 1)),
        IFERROR(VALUE($E32),0) * MAX(0, IF(MIN($E$1, DATE(Initialisatie!$C$5,12,31)) &lt; MAX($E$2, DATE(Initialisatie!$C$5,1,1)), 0, MONTH(MIN($E$1, DATE(Initialisatie!$C$5,12,31))) - MONTH(MAX($E$2, DATE(Initialisatie!$C$5,1,1))) + 1)),
        IFERROR(VALUE($F32),0) * MAX(0, IF(MIN($F$1, DATE(Initialisatie!$C$5,12,31)) &lt; MAX($F$2, DATE(Initialisatie!$C$5,1,1)), 0, MONTH(MIN($F$1, DATE(Initialisatie!$C$5,12,31))) - MONTH(MAX($F$2, DATE(Initialisatie!$C$5,1,1))) + 1)),
        IFERROR(VALUE($G32),0) * MAX(0, IF(MIN($G$1, DATE(Initialisatie!$C$5,12,31)) &lt; MAX($G$2, DATE(Initialisatie!$C$5,1,1)), 0, MONTH(MIN($G$1, DATE(Initialisatie!$C$5,12,31))) - MONTH(MAX($G$2, DATE(Initialisatie!$C$5,1,1))) + 1))
    ) / 12
)</f>
        <v>2600</v>
      </c>
    </row>
    <row r="33" spans="1:10" x14ac:dyDescent="0.45">
      <c r="A33" s="999"/>
      <c r="B33" s="372">
        <v>8</v>
      </c>
      <c r="C33" s="373">
        <v>11</v>
      </c>
      <c r="D33" s="48">
        <v>2512</v>
      </c>
      <c r="E33" s="48">
        <v>2612</v>
      </c>
      <c r="F33" s="48">
        <v>2664</v>
      </c>
      <c r="G33" s="48">
        <v>2790</v>
      </c>
      <c r="I33">
        <f>IF(
    OR(
        AND(MAX(0, MIN($D$1, DATE(Initialisatie!$C$5,12,31)) - MAX($D$2, DATE(Initialisatie!$C$5,1,1)) + 1) &gt; 0, IFERROR(VALUE($D33),0)=0),
        AND(MAX(0, MIN($E$1, DATE(Initialisatie!$C$5,12,31)) - MAX($E$2, DATE(Initialisatie!$C$5,1,1)) + 1) &gt; 0, IFERROR(VALUE($E33),0)=0),
        AND(MAX(0, MIN($F$1, DATE(Initialisatie!$C$5,12,31)) - MAX($F$2, DATE(Initialisatie!$C$5,1,1)) + 1) &gt; 0, IFERROR(VALUE($F33),0)=0),
        AND(MAX(0, MIN($G$1, DATE(Initialisatie!$C$5,12,31)) - MAX($G$2, DATE(Initialisatie!$C$5,1,1)) + 1) &gt; 0, IFERROR(VALUE($G33),0)=0)
    ),
    0,
    SUM(
        IFERROR(VALUE($D33),0) * MAX(0, MIN($D$1, DATE(Initialisatie!$C$5,12,31)) - MAX($D$2, DATE(Initialisatie!$C$5,1,1)) + 1),
        IFERROR(VALUE($E33),0) * MAX(0, MIN($E$1, DATE(Initialisatie!$C$5,12,31)) - MAX($E$2, DATE(Initialisatie!$C$5,1,1)) + 1),
        IFERROR(VALUE($F33),0) * MAX(0, MIN($F$1, DATE(Initialisatie!$C$5,12,31)) - MAX($F$2, DATE(Initialisatie!$C$5,1,1)) + 1),
        IFERROR(VALUE($G33),0) * MAX(0, MIN($G$1, DATE(Initialisatie!$C$5,12,31)) - MAX($G$2, DATE(Initialisatie!$C$5,1,1)) + 1)
    ) / (DATE(Initialisatie!$C$5,12,31) - DATE(Initialisatie!$C$5,1,1) + 1)
)</f>
        <v>2667.9616438356165</v>
      </c>
      <c r="J33">
        <f>IF(
    OR(
        AND(MAX(0, IF(MIN($D$1, DATE(Initialisatie!$C$5,12,31)) &lt; MAX($D$2, DATE(Initialisatie!$C$5,1,1)), 0, MONTH(MIN($D$1, DATE(Initialisatie!$C$5,12,31))) - MONTH(MAX($D$2, DATE(Initialisatie!$C$5,1,1))) + 1)) &lt;= 0, IFERROR(VALUE($D33),0)=0),
        AND(MAX(0, IF(MIN($E$1, DATE(Initialisatie!$C$5,12,31)) &lt; MAX($E$2, DATE(Initialisatie!$C$5,1,1)), 0, MONTH(MIN($E$1, DATE(Initialisatie!$C$5,12,31))) - MONTH(MAX($E$2, DATE(Initialisatie!$C$5,1,1))) + 1)) &lt;= 0, IFERROR(VALUE($E33),0)=0),
        AND(MAX(0, IF(MIN($F$1, DATE(Initialisatie!$C$5,12,31)) &lt; MAX($F$2, DATE(Initialisatie!$C$5,1,1)), 0, MONTH(MIN($F$1, DATE(Initialisatie!$C$5,12,31))) - MONTH(MAX($F$2, DATE(Initialisatie!$C$5,1,1))) + 1)) &lt;= 0, IFERROR(VALUE($F33),0)=0),
        AND(MAX(0, IF(MIN($G$1, DATE(Initialisatie!$C$5,12,31)) &lt; MAX($G$2, DATE(Initialisatie!$C$5,1,1)), 0, MONTH(MIN($G$1, DATE(Initialisatie!$C$5,12,31))) - MONTH(MAX($G$2, DATE(Initialisatie!$C$5,1,1))) + 1)) &lt;= 0, IFERROR(VALUE($G33),0)=0)
    ),
    0,
    SUM(
        IFERROR(VALUE($D33),0) * MAX(0, IF(MIN($D$1, DATE(Initialisatie!$C$5,12,31)) &lt; MAX($D$2, DATE(Initialisatie!$C$5,1,1)), 0, MONTH(MIN($D$1, DATE(Initialisatie!$C$5,12,31))) - MONTH(MAX($D$2, DATE(Initialisatie!$C$5,1,1))) + 1)),
        IFERROR(VALUE($E33),0) * MAX(0, IF(MIN($E$1, DATE(Initialisatie!$C$5,12,31)) &lt; MAX($E$2, DATE(Initialisatie!$C$5,1,1)), 0, MONTH(MIN($E$1, DATE(Initialisatie!$C$5,12,31))) - MONTH(MAX($E$2, DATE(Initialisatie!$C$5,1,1))) + 1)),
        IFERROR(VALUE($F33),0) * MAX(0, IF(MIN($F$1, DATE(Initialisatie!$C$5,12,31)) &lt; MAX($F$2, DATE(Initialisatie!$C$5,1,1)), 0, MONTH(MIN($F$1, DATE(Initialisatie!$C$5,12,31))) - MONTH(MAX($F$2, DATE(Initialisatie!$C$5,1,1))) + 1)),
        IFERROR(VALUE($G33),0) * MAX(0, IF(MIN($G$1, DATE(Initialisatie!$C$5,12,31)) &lt; MAX($G$2, DATE(Initialisatie!$C$5,1,1)), 0, MONTH(MIN($G$1, DATE(Initialisatie!$C$5,12,31))) - MONTH(MAX($G$2, DATE(Initialisatie!$C$5,1,1))) + 1))
    ) / 12
)</f>
        <v>2667.6666666666665</v>
      </c>
    </row>
    <row r="34" spans="1:10" x14ac:dyDescent="0.45">
      <c r="A34" s="999"/>
      <c r="B34" s="372">
        <v>9</v>
      </c>
      <c r="C34" s="373">
        <v>12</v>
      </c>
      <c r="D34" s="48">
        <v>2578</v>
      </c>
      <c r="E34" s="48">
        <v>2681</v>
      </c>
      <c r="F34" s="48">
        <v>2735</v>
      </c>
      <c r="G34" s="48">
        <v>2868</v>
      </c>
      <c r="I34">
        <f>IF(
    OR(
        AND(MAX(0, MIN($D$1, DATE(Initialisatie!$C$5,12,31)) - MAX($D$2, DATE(Initialisatie!$C$5,1,1)) + 1) &gt; 0, IFERROR(VALUE($D34),0)=0),
        AND(MAX(0, MIN($E$1, DATE(Initialisatie!$C$5,12,31)) - MAX($E$2, DATE(Initialisatie!$C$5,1,1)) + 1) &gt; 0, IFERROR(VALUE($E34),0)=0),
        AND(MAX(0, MIN($F$1, DATE(Initialisatie!$C$5,12,31)) - MAX($F$2, DATE(Initialisatie!$C$5,1,1)) + 1) &gt; 0, IFERROR(VALUE($F34),0)=0),
        AND(MAX(0, MIN($G$1, DATE(Initialisatie!$C$5,12,31)) - MAX($G$2, DATE(Initialisatie!$C$5,1,1)) + 1) &gt; 0, IFERROR(VALUE($G34),0)=0)
    ),
    0,
    SUM(
        IFERROR(VALUE($D34),0) * MAX(0, MIN($D$1, DATE(Initialisatie!$C$5,12,31)) - MAX($D$2, DATE(Initialisatie!$C$5,1,1)) + 1),
        IFERROR(VALUE($E34),0) * MAX(0, MIN($E$1, DATE(Initialisatie!$C$5,12,31)) - MAX($E$2, DATE(Initialisatie!$C$5,1,1)) + 1),
        IFERROR(VALUE($F34),0) * MAX(0, MIN($F$1, DATE(Initialisatie!$C$5,12,31)) - MAX($F$2, DATE(Initialisatie!$C$5,1,1)) + 1),
        IFERROR(VALUE($G34),0) * MAX(0, MIN($G$1, DATE(Initialisatie!$C$5,12,31)) - MAX($G$2, DATE(Initialisatie!$C$5,1,1)) + 1)
    ) / (DATE(Initialisatie!$C$5,12,31) - DATE(Initialisatie!$C$5,1,1) + 1)
)</f>
        <v>2739.4739726027397</v>
      </c>
      <c r="J34">
        <f>IF(
    OR(
        AND(MAX(0, IF(MIN($D$1, DATE(Initialisatie!$C$5,12,31)) &lt; MAX($D$2, DATE(Initialisatie!$C$5,1,1)), 0, MONTH(MIN($D$1, DATE(Initialisatie!$C$5,12,31))) - MONTH(MAX($D$2, DATE(Initialisatie!$C$5,1,1))) + 1)) &lt;= 0, IFERROR(VALUE($D34),0)=0),
        AND(MAX(0, IF(MIN($E$1, DATE(Initialisatie!$C$5,12,31)) &lt; MAX($E$2, DATE(Initialisatie!$C$5,1,1)), 0, MONTH(MIN($E$1, DATE(Initialisatie!$C$5,12,31))) - MONTH(MAX($E$2, DATE(Initialisatie!$C$5,1,1))) + 1)) &lt;= 0, IFERROR(VALUE($E34),0)=0),
        AND(MAX(0, IF(MIN($F$1, DATE(Initialisatie!$C$5,12,31)) &lt; MAX($F$2, DATE(Initialisatie!$C$5,1,1)), 0, MONTH(MIN($F$1, DATE(Initialisatie!$C$5,12,31))) - MONTH(MAX($F$2, DATE(Initialisatie!$C$5,1,1))) + 1)) &lt;= 0, IFERROR(VALUE($F34),0)=0),
        AND(MAX(0, IF(MIN($G$1, DATE(Initialisatie!$C$5,12,31)) &lt; MAX($G$2, DATE(Initialisatie!$C$5,1,1)), 0, MONTH(MIN($G$1, DATE(Initialisatie!$C$5,12,31))) - MONTH(MAX($G$2, DATE(Initialisatie!$C$5,1,1))) + 1)) &lt;= 0, IFERROR(VALUE($G34),0)=0)
    ),
    0,
    SUM(
        IFERROR(VALUE($D34),0) * MAX(0, IF(MIN($D$1, DATE(Initialisatie!$C$5,12,31)) &lt; MAX($D$2, DATE(Initialisatie!$C$5,1,1)), 0, MONTH(MIN($D$1, DATE(Initialisatie!$C$5,12,31))) - MONTH(MAX($D$2, DATE(Initialisatie!$C$5,1,1))) + 1)),
        IFERROR(VALUE($E34),0) * MAX(0, IF(MIN($E$1, DATE(Initialisatie!$C$5,12,31)) &lt; MAX($E$2, DATE(Initialisatie!$C$5,1,1)), 0, MONTH(MIN($E$1, DATE(Initialisatie!$C$5,12,31))) - MONTH(MAX($E$2, DATE(Initialisatie!$C$5,1,1))) + 1)),
        IFERROR(VALUE($F34),0) * MAX(0, IF(MIN($F$1, DATE(Initialisatie!$C$5,12,31)) &lt; MAX($F$2, DATE(Initialisatie!$C$5,1,1)), 0, MONTH(MIN($F$1, DATE(Initialisatie!$C$5,12,31))) - MONTH(MAX($F$2, DATE(Initialisatie!$C$5,1,1))) + 1)),
        IFERROR(VALUE($G34),0) * MAX(0, IF(MIN($G$1, DATE(Initialisatie!$C$5,12,31)) &lt; MAX($G$2, DATE(Initialisatie!$C$5,1,1)), 0, MONTH(MIN($G$1, DATE(Initialisatie!$C$5,12,31))) - MONTH(MAX($G$2, DATE(Initialisatie!$C$5,1,1))) + 1))
    ) / 12
)</f>
        <v>2739.1666666666665</v>
      </c>
    </row>
    <row r="35" spans="1:10" x14ac:dyDescent="0.45">
      <c r="A35" s="999"/>
      <c r="B35" s="372">
        <v>10</v>
      </c>
      <c r="C35" s="373">
        <v>13</v>
      </c>
      <c r="D35" s="48">
        <v>2651</v>
      </c>
      <c r="E35" s="48">
        <v>2757</v>
      </c>
      <c r="F35" s="48">
        <v>2812</v>
      </c>
      <c r="G35" s="48">
        <v>2420</v>
      </c>
      <c r="I35">
        <f>IF(
    OR(
        AND(MAX(0, MIN($D$1, DATE(Initialisatie!$C$5,12,31)) - MAX($D$2, DATE(Initialisatie!$C$5,1,1)) + 1) &gt; 0, IFERROR(VALUE($D35),0)=0),
        AND(MAX(0, MIN($E$1, DATE(Initialisatie!$C$5,12,31)) - MAX($E$2, DATE(Initialisatie!$C$5,1,1)) + 1) &gt; 0, IFERROR(VALUE($E35),0)=0),
        AND(MAX(0, MIN($F$1, DATE(Initialisatie!$C$5,12,31)) - MAX($F$2, DATE(Initialisatie!$C$5,1,1)) + 1) &gt; 0, IFERROR(VALUE($F35),0)=0),
        AND(MAX(0, MIN($G$1, DATE(Initialisatie!$C$5,12,31)) - MAX($G$2, DATE(Initialisatie!$C$5,1,1)) + 1) &gt; 0, IFERROR(VALUE($G35),0)=0)
    ),
    0,
    SUM(
        IFERROR(VALUE($D35),0) * MAX(0, MIN($D$1, DATE(Initialisatie!$C$5,12,31)) - MAX($D$2, DATE(Initialisatie!$C$5,1,1)) + 1),
        IFERROR(VALUE($E35),0) * MAX(0, MIN($E$1, DATE(Initialisatie!$C$5,12,31)) - MAX($E$2, DATE(Initialisatie!$C$5,1,1)) + 1),
        IFERROR(VALUE($F35),0) * MAX(0, MIN($F$1, DATE(Initialisatie!$C$5,12,31)) - MAX($F$2, DATE(Initialisatie!$C$5,1,1)) + 1),
        IFERROR(VALUE($G35),0) * MAX(0, MIN($G$1, DATE(Initialisatie!$C$5,12,31)) - MAX($G$2, DATE(Initialisatie!$C$5,1,1)) + 1)
    ) / (DATE(Initialisatie!$C$5,12,31) - DATE(Initialisatie!$C$5,1,1) + 1)
)</f>
        <v>2728.4054794520548</v>
      </c>
      <c r="J35">
        <f>IF(
    OR(
        AND(MAX(0, IF(MIN($D$1, DATE(Initialisatie!$C$5,12,31)) &lt; MAX($D$2, DATE(Initialisatie!$C$5,1,1)), 0, MONTH(MIN($D$1, DATE(Initialisatie!$C$5,12,31))) - MONTH(MAX($D$2, DATE(Initialisatie!$C$5,1,1))) + 1)) &lt;= 0, IFERROR(VALUE($D35),0)=0),
        AND(MAX(0, IF(MIN($E$1, DATE(Initialisatie!$C$5,12,31)) &lt; MAX($E$2, DATE(Initialisatie!$C$5,1,1)), 0, MONTH(MIN($E$1, DATE(Initialisatie!$C$5,12,31))) - MONTH(MAX($E$2, DATE(Initialisatie!$C$5,1,1))) + 1)) &lt;= 0, IFERROR(VALUE($E35),0)=0),
        AND(MAX(0, IF(MIN($F$1, DATE(Initialisatie!$C$5,12,31)) &lt; MAX($F$2, DATE(Initialisatie!$C$5,1,1)), 0, MONTH(MIN($F$1, DATE(Initialisatie!$C$5,12,31))) - MONTH(MAX($F$2, DATE(Initialisatie!$C$5,1,1))) + 1)) &lt;= 0, IFERROR(VALUE($F35),0)=0),
        AND(MAX(0, IF(MIN($G$1, DATE(Initialisatie!$C$5,12,31)) &lt; MAX($G$2, DATE(Initialisatie!$C$5,1,1)), 0, MONTH(MIN($G$1, DATE(Initialisatie!$C$5,12,31))) - MONTH(MAX($G$2, DATE(Initialisatie!$C$5,1,1))) + 1)) &lt;= 0, IFERROR(VALUE($G35),0)=0)
    ),
    0,
    SUM(
        IFERROR(VALUE($D35),0) * MAX(0, IF(MIN($D$1, DATE(Initialisatie!$C$5,12,31)) &lt; MAX($D$2, DATE(Initialisatie!$C$5,1,1)), 0, MONTH(MIN($D$1, DATE(Initialisatie!$C$5,12,31))) - MONTH(MAX($D$2, DATE(Initialisatie!$C$5,1,1))) + 1)),
        IFERROR(VALUE($E35),0) * MAX(0, IF(MIN($E$1, DATE(Initialisatie!$C$5,12,31)) &lt; MAX($E$2, DATE(Initialisatie!$C$5,1,1)), 0, MONTH(MIN($E$1, DATE(Initialisatie!$C$5,12,31))) - MONTH(MAX($E$2, DATE(Initialisatie!$C$5,1,1))) + 1)),
        IFERROR(VALUE($F35),0) * MAX(0, IF(MIN($F$1, DATE(Initialisatie!$C$5,12,31)) &lt; MAX($F$2, DATE(Initialisatie!$C$5,1,1)), 0, MONTH(MIN($F$1, DATE(Initialisatie!$C$5,12,31))) - MONTH(MAX($F$2, DATE(Initialisatie!$C$5,1,1))) + 1)),
        IFERROR(VALUE($G35),0) * MAX(0, IF(MIN($G$1, DATE(Initialisatie!$C$5,12,31)) &lt; MAX($G$2, DATE(Initialisatie!$C$5,1,1)), 0, MONTH(MIN($G$1, DATE(Initialisatie!$C$5,12,31))) - MONTH(MAX($G$2, DATE(Initialisatie!$C$5,1,1))) + 1))
    ) / 12
)</f>
        <v>2728.3333333333335</v>
      </c>
    </row>
    <row r="36" spans="1:10" x14ac:dyDescent="0.45">
      <c r="A36" s="1001"/>
      <c r="B36" s="372">
        <v>11</v>
      </c>
      <c r="C36" s="373">
        <v>14</v>
      </c>
      <c r="D36" s="48">
        <v>2727</v>
      </c>
      <c r="E36" s="48">
        <v>2836</v>
      </c>
      <c r="F36" s="48">
        <v>2893</v>
      </c>
      <c r="G36" s="48">
        <v>2951</v>
      </c>
      <c r="I36">
        <f>IF(
    OR(
        AND(MAX(0, MIN($D$1, DATE(Initialisatie!$C$5,12,31)) - MAX($D$2, DATE(Initialisatie!$C$5,1,1)) + 1) &gt; 0, IFERROR(VALUE($D36),0)=0),
        AND(MAX(0, MIN($E$1, DATE(Initialisatie!$C$5,12,31)) - MAX($E$2, DATE(Initialisatie!$C$5,1,1)) + 1) &gt; 0, IFERROR(VALUE($E36),0)=0),
        AND(MAX(0, MIN($F$1, DATE(Initialisatie!$C$5,12,31)) - MAX($F$2, DATE(Initialisatie!$C$5,1,1)) + 1) &gt; 0, IFERROR(VALUE($F36),0)=0),
        AND(MAX(0, MIN($G$1, DATE(Initialisatie!$C$5,12,31)) - MAX($G$2, DATE(Initialisatie!$C$5,1,1)) + 1) &gt; 0, IFERROR(VALUE($G36),0)=0)
    ),
    0,
    SUM(
        IFERROR(VALUE($D36),0) * MAX(0, MIN($D$1, DATE(Initialisatie!$C$5,12,31)) - MAX($D$2, DATE(Initialisatie!$C$5,1,1)) + 1),
        IFERROR(VALUE($E36),0) * MAX(0, MIN($E$1, DATE(Initialisatie!$C$5,12,31)) - MAX($E$2, DATE(Initialisatie!$C$5,1,1)) + 1),
        IFERROR(VALUE($F36),0) * MAX(0, MIN($F$1, DATE(Initialisatie!$C$5,12,31)) - MAX($F$2, DATE(Initialisatie!$C$5,1,1)) + 1),
        IFERROR(VALUE($G36),0) * MAX(0, MIN($G$1, DATE(Initialisatie!$C$5,12,31)) - MAX($G$2, DATE(Initialisatie!$C$5,1,1)) + 1)
    ) / (DATE(Initialisatie!$C$5,12,31) - DATE(Initialisatie!$C$5,1,1) + 1)
)</f>
        <v>2883.9534246575345</v>
      </c>
      <c r="J36">
        <f>IF(
    OR(
        AND(MAX(0, IF(MIN($D$1, DATE(Initialisatie!$C$5,12,31)) &lt; MAX($D$2, DATE(Initialisatie!$C$5,1,1)), 0, MONTH(MIN($D$1, DATE(Initialisatie!$C$5,12,31))) - MONTH(MAX($D$2, DATE(Initialisatie!$C$5,1,1))) + 1)) &lt;= 0, IFERROR(VALUE($D36),0)=0),
        AND(MAX(0, IF(MIN($E$1, DATE(Initialisatie!$C$5,12,31)) &lt; MAX($E$2, DATE(Initialisatie!$C$5,1,1)), 0, MONTH(MIN($E$1, DATE(Initialisatie!$C$5,12,31))) - MONTH(MAX($E$2, DATE(Initialisatie!$C$5,1,1))) + 1)) &lt;= 0, IFERROR(VALUE($E36),0)=0),
        AND(MAX(0, IF(MIN($F$1, DATE(Initialisatie!$C$5,12,31)) &lt; MAX($F$2, DATE(Initialisatie!$C$5,1,1)), 0, MONTH(MIN($F$1, DATE(Initialisatie!$C$5,12,31))) - MONTH(MAX($F$2, DATE(Initialisatie!$C$5,1,1))) + 1)) &lt;= 0, IFERROR(VALUE($F36),0)=0),
        AND(MAX(0, IF(MIN($G$1, DATE(Initialisatie!$C$5,12,31)) &lt; MAX($G$2, DATE(Initialisatie!$C$5,1,1)), 0, MONTH(MIN($G$1, DATE(Initialisatie!$C$5,12,31))) - MONTH(MAX($G$2, DATE(Initialisatie!$C$5,1,1))) + 1)) &lt;= 0, IFERROR(VALUE($G36),0)=0)
    ),
    0,
    SUM(
        IFERROR(VALUE($D36),0) * MAX(0, IF(MIN($D$1, DATE(Initialisatie!$C$5,12,31)) &lt; MAX($D$2, DATE(Initialisatie!$C$5,1,1)), 0, MONTH(MIN($D$1, DATE(Initialisatie!$C$5,12,31))) - MONTH(MAX($D$2, DATE(Initialisatie!$C$5,1,1))) + 1)),
        IFERROR(VALUE($E36),0) * MAX(0, IF(MIN($E$1, DATE(Initialisatie!$C$5,12,31)) &lt; MAX($E$2, DATE(Initialisatie!$C$5,1,1)), 0, MONTH(MIN($E$1, DATE(Initialisatie!$C$5,12,31))) - MONTH(MAX($E$2, DATE(Initialisatie!$C$5,1,1))) + 1)),
        IFERROR(VALUE($F36),0) * MAX(0, IF(MIN($F$1, DATE(Initialisatie!$C$5,12,31)) &lt; MAX($F$2, DATE(Initialisatie!$C$5,1,1)), 0, MONTH(MIN($F$1, DATE(Initialisatie!$C$5,12,31))) - MONTH(MAX($F$2, DATE(Initialisatie!$C$5,1,1))) + 1)),
        IFERROR(VALUE($G36),0) * MAX(0, IF(MIN($G$1, DATE(Initialisatie!$C$5,12,31)) &lt; MAX($G$2, DATE(Initialisatie!$C$5,1,1)), 0, MONTH(MIN($G$1, DATE(Initialisatie!$C$5,12,31))) - MONTH(MAX($G$2, DATE(Initialisatie!$C$5,1,1))) + 1))
    ) / 12
)</f>
        <v>2883.6666666666665</v>
      </c>
    </row>
    <row r="37" spans="1:10" x14ac:dyDescent="0.45">
      <c r="A37" s="1002">
        <v>20</v>
      </c>
      <c r="B37" s="373">
        <v>0</v>
      </c>
      <c r="C37" s="373">
        <v>4</v>
      </c>
      <c r="D37" s="48">
        <v>2137</v>
      </c>
      <c r="E37" s="48">
        <v>2222</v>
      </c>
      <c r="F37" s="48">
        <v>2266</v>
      </c>
      <c r="G37" s="48">
        <v>2311</v>
      </c>
      <c r="I37">
        <f>IF(
    OR(
        AND(MAX(0, MIN($D$1, DATE(Initialisatie!$C$5,12,31)) - MAX($D$2, DATE(Initialisatie!$C$5,1,1)) + 1) &gt; 0, IFERROR(VALUE($D37),0)=0),
        AND(MAX(0, MIN($E$1, DATE(Initialisatie!$C$5,12,31)) - MAX($E$2, DATE(Initialisatie!$C$5,1,1)) + 1) &gt; 0, IFERROR(VALUE($E37),0)=0),
        AND(MAX(0, MIN($F$1, DATE(Initialisatie!$C$5,12,31)) - MAX($F$2, DATE(Initialisatie!$C$5,1,1)) + 1) &gt; 0, IFERROR(VALUE($F37),0)=0),
        AND(MAX(0, MIN($G$1, DATE(Initialisatie!$C$5,12,31)) - MAX($G$2, DATE(Initialisatie!$C$5,1,1)) + 1) &gt; 0, IFERROR(VALUE($G37),0)=0)
    ),
    0,
    SUM(
        IFERROR(VALUE($D37),0) * MAX(0, MIN($D$1, DATE(Initialisatie!$C$5,12,31)) - MAX($D$2, DATE(Initialisatie!$C$5,1,1)) + 1),
        IFERROR(VALUE($E37),0) * MAX(0, MIN($E$1, DATE(Initialisatie!$C$5,12,31)) - MAX($E$2, DATE(Initialisatie!$C$5,1,1)) + 1),
        IFERROR(VALUE($F37),0) * MAX(0, MIN($F$1, DATE(Initialisatie!$C$5,12,31)) - MAX($F$2, DATE(Initialisatie!$C$5,1,1)) + 1),
        IFERROR(VALUE($G37),0) * MAX(0, MIN($G$1, DATE(Initialisatie!$C$5,12,31)) - MAX($G$2, DATE(Initialisatie!$C$5,1,1)) + 1)
    ) / (DATE(Initialisatie!$C$5,12,31) - DATE(Initialisatie!$C$5,1,1) + 1)
)</f>
        <v>2259.0547945205481</v>
      </c>
      <c r="J37">
        <f>IF(
    OR(
        AND(MAX(0, IF(MIN($D$1, DATE(Initialisatie!$C$5,12,31)) &lt; MAX($D$2, DATE(Initialisatie!$C$5,1,1)), 0, MONTH(MIN($D$1, DATE(Initialisatie!$C$5,12,31))) - MONTH(MAX($D$2, DATE(Initialisatie!$C$5,1,1))) + 1)) &lt;= 0, IFERROR(VALUE($D37),0)=0),
        AND(MAX(0, IF(MIN($E$1, DATE(Initialisatie!$C$5,12,31)) &lt; MAX($E$2, DATE(Initialisatie!$C$5,1,1)), 0, MONTH(MIN($E$1, DATE(Initialisatie!$C$5,12,31))) - MONTH(MAX($E$2, DATE(Initialisatie!$C$5,1,1))) + 1)) &lt;= 0, IFERROR(VALUE($E37),0)=0),
        AND(MAX(0, IF(MIN($F$1, DATE(Initialisatie!$C$5,12,31)) &lt; MAX($F$2, DATE(Initialisatie!$C$5,1,1)), 0, MONTH(MIN($F$1, DATE(Initialisatie!$C$5,12,31))) - MONTH(MAX($F$2, DATE(Initialisatie!$C$5,1,1))) + 1)) &lt;= 0, IFERROR(VALUE($F37),0)=0),
        AND(MAX(0, IF(MIN($G$1, DATE(Initialisatie!$C$5,12,31)) &lt; MAX($G$2, DATE(Initialisatie!$C$5,1,1)), 0, MONTH(MIN($G$1, DATE(Initialisatie!$C$5,12,31))) - MONTH(MAX($G$2, DATE(Initialisatie!$C$5,1,1))) + 1)) &lt;= 0, IFERROR(VALUE($G37),0)=0)
    ),
    0,
    SUM(
        IFERROR(VALUE($D37),0) * MAX(0, IF(MIN($D$1, DATE(Initialisatie!$C$5,12,31)) &lt; MAX($D$2, DATE(Initialisatie!$C$5,1,1)), 0, MONTH(MIN($D$1, DATE(Initialisatie!$C$5,12,31))) - MONTH(MAX($D$2, DATE(Initialisatie!$C$5,1,1))) + 1)),
        IFERROR(VALUE($E37),0) * MAX(0, IF(MIN($E$1, DATE(Initialisatie!$C$5,12,31)) &lt; MAX($E$2, DATE(Initialisatie!$C$5,1,1)), 0, MONTH(MIN($E$1, DATE(Initialisatie!$C$5,12,31))) - MONTH(MAX($E$2, DATE(Initialisatie!$C$5,1,1))) + 1)),
        IFERROR(VALUE($F37),0) * MAX(0, IF(MIN($F$1, DATE(Initialisatie!$C$5,12,31)) &lt; MAX($F$2, DATE(Initialisatie!$C$5,1,1)), 0, MONTH(MIN($F$1, DATE(Initialisatie!$C$5,12,31))) - MONTH(MAX($F$2, DATE(Initialisatie!$C$5,1,1))) + 1)),
        IFERROR(VALUE($G37),0) * MAX(0, IF(MIN($G$1, DATE(Initialisatie!$C$5,12,31)) &lt; MAX($G$2, DATE(Initialisatie!$C$5,1,1)), 0, MONTH(MIN($G$1, DATE(Initialisatie!$C$5,12,31))) - MONTH(MAX($G$2, DATE(Initialisatie!$C$5,1,1))) + 1))
    ) / 12
)</f>
        <v>2258.8333333333335</v>
      </c>
    </row>
    <row r="38" spans="1:10" x14ac:dyDescent="0.45">
      <c r="A38" s="1003"/>
      <c r="B38" s="373">
        <v>1</v>
      </c>
      <c r="C38" s="373">
        <v>6</v>
      </c>
      <c r="D38" s="48">
        <v>2237</v>
      </c>
      <c r="E38" s="48">
        <v>2326</v>
      </c>
      <c r="F38" s="48">
        <v>2373</v>
      </c>
      <c r="G38" s="48">
        <v>2420</v>
      </c>
      <c r="I38">
        <f>IF(
    OR(
        AND(MAX(0, MIN($D$1, DATE(Initialisatie!$C$5,12,31)) - MAX($D$2, DATE(Initialisatie!$C$5,1,1)) + 1) &gt; 0, IFERROR(VALUE($D38),0)=0),
        AND(MAX(0, MIN($E$1, DATE(Initialisatie!$C$5,12,31)) - MAX($E$2, DATE(Initialisatie!$C$5,1,1)) + 1) &gt; 0, IFERROR(VALUE($E38),0)=0),
        AND(MAX(0, MIN($F$1, DATE(Initialisatie!$C$5,12,31)) - MAX($F$2, DATE(Initialisatie!$C$5,1,1)) + 1) &gt; 0, IFERROR(VALUE($F38),0)=0),
        AND(MAX(0, MIN($G$1, DATE(Initialisatie!$C$5,12,31)) - MAX($G$2, DATE(Initialisatie!$C$5,1,1)) + 1) &gt; 0, IFERROR(VALUE($G38),0)=0)
    ),
    0,
    SUM(
        IFERROR(VALUE($D38),0) * MAX(0, MIN($D$1, DATE(Initialisatie!$C$5,12,31)) - MAX($D$2, DATE(Initialisatie!$C$5,1,1)) + 1),
        IFERROR(VALUE($E38),0) * MAX(0, MIN($E$1, DATE(Initialisatie!$C$5,12,31)) - MAX($E$2, DATE(Initialisatie!$C$5,1,1)) + 1),
        IFERROR(VALUE($F38),0) * MAX(0, MIN($F$1, DATE(Initialisatie!$C$5,12,31)) - MAX($F$2, DATE(Initialisatie!$C$5,1,1)) + 1),
        IFERROR(VALUE($G38),0) * MAX(0, MIN($G$1, DATE(Initialisatie!$C$5,12,31)) - MAX($G$2, DATE(Initialisatie!$C$5,1,1)) + 1)
    ) / (DATE(Initialisatie!$C$5,12,31) - DATE(Initialisatie!$C$5,1,1) + 1)
)</f>
        <v>2365.4027397260274</v>
      </c>
      <c r="J38">
        <f>IF(
    OR(
        AND(MAX(0, IF(MIN($D$1, DATE(Initialisatie!$C$5,12,31)) &lt; MAX($D$2, DATE(Initialisatie!$C$5,1,1)), 0, MONTH(MIN($D$1, DATE(Initialisatie!$C$5,12,31))) - MONTH(MAX($D$2, DATE(Initialisatie!$C$5,1,1))) + 1)) &lt;= 0, IFERROR(VALUE($D38),0)=0),
        AND(MAX(0, IF(MIN($E$1, DATE(Initialisatie!$C$5,12,31)) &lt; MAX($E$2, DATE(Initialisatie!$C$5,1,1)), 0, MONTH(MIN($E$1, DATE(Initialisatie!$C$5,12,31))) - MONTH(MAX($E$2, DATE(Initialisatie!$C$5,1,1))) + 1)) &lt;= 0, IFERROR(VALUE($E38),0)=0),
        AND(MAX(0, IF(MIN($F$1, DATE(Initialisatie!$C$5,12,31)) &lt; MAX($F$2, DATE(Initialisatie!$C$5,1,1)), 0, MONTH(MIN($F$1, DATE(Initialisatie!$C$5,12,31))) - MONTH(MAX($F$2, DATE(Initialisatie!$C$5,1,1))) + 1)) &lt;= 0, IFERROR(VALUE($F38),0)=0),
        AND(MAX(0, IF(MIN($G$1, DATE(Initialisatie!$C$5,12,31)) &lt; MAX($G$2, DATE(Initialisatie!$C$5,1,1)), 0, MONTH(MIN($G$1, DATE(Initialisatie!$C$5,12,31))) - MONTH(MAX($G$2, DATE(Initialisatie!$C$5,1,1))) + 1)) &lt;= 0, IFERROR(VALUE($G38),0)=0)
    ),
    0,
    SUM(
        IFERROR(VALUE($D38),0) * MAX(0, IF(MIN($D$1, DATE(Initialisatie!$C$5,12,31)) &lt; MAX($D$2, DATE(Initialisatie!$C$5,1,1)), 0, MONTH(MIN($D$1, DATE(Initialisatie!$C$5,12,31))) - MONTH(MAX($D$2, DATE(Initialisatie!$C$5,1,1))) + 1)),
        IFERROR(VALUE($E38),0) * MAX(0, IF(MIN($E$1, DATE(Initialisatie!$C$5,12,31)) &lt; MAX($E$2, DATE(Initialisatie!$C$5,1,1)), 0, MONTH(MIN($E$1, DATE(Initialisatie!$C$5,12,31))) - MONTH(MAX($E$2, DATE(Initialisatie!$C$5,1,1))) + 1)),
        IFERROR(VALUE($F38),0) * MAX(0, IF(MIN($F$1, DATE(Initialisatie!$C$5,12,31)) &lt; MAX($F$2, DATE(Initialisatie!$C$5,1,1)), 0, MONTH(MIN($F$1, DATE(Initialisatie!$C$5,12,31))) - MONTH(MAX($F$2, DATE(Initialisatie!$C$5,1,1))) + 1)),
        IFERROR(VALUE($G38),0) * MAX(0, IF(MIN($G$1, DATE(Initialisatie!$C$5,12,31)) &lt; MAX($G$2, DATE(Initialisatie!$C$5,1,1)), 0, MONTH(MIN($G$1, DATE(Initialisatie!$C$5,12,31))) - MONTH(MAX($G$2, DATE(Initialisatie!$C$5,1,1))) + 1))
    ) / 12
)</f>
        <v>2365.1666666666665</v>
      </c>
    </row>
    <row r="39" spans="1:10" x14ac:dyDescent="0.45">
      <c r="A39" s="1003"/>
      <c r="B39" s="373">
        <v>2</v>
      </c>
      <c r="C39" s="373">
        <v>7</v>
      </c>
      <c r="D39" s="48">
        <v>2290</v>
      </c>
      <c r="E39" s="48">
        <v>2382</v>
      </c>
      <c r="F39" s="48">
        <v>2430</v>
      </c>
      <c r="G39" s="48">
        <v>2587</v>
      </c>
      <c r="I39">
        <f>IF(
    OR(
        AND(MAX(0, MIN($D$1, DATE(Initialisatie!$C$5,12,31)) - MAX($D$2, DATE(Initialisatie!$C$5,1,1)) + 1) &gt; 0, IFERROR(VALUE($D39),0)=0),
        AND(MAX(0, MIN($E$1, DATE(Initialisatie!$C$5,12,31)) - MAX($E$2, DATE(Initialisatie!$C$5,1,1)) + 1) &gt; 0, IFERROR(VALUE($E39),0)=0),
        AND(MAX(0, MIN($F$1, DATE(Initialisatie!$C$5,12,31)) - MAX($F$2, DATE(Initialisatie!$C$5,1,1)) + 1) &gt; 0, IFERROR(VALUE($F39),0)=0),
        AND(MAX(0, MIN($G$1, DATE(Initialisatie!$C$5,12,31)) - MAX($G$2, DATE(Initialisatie!$C$5,1,1)) + 1) &gt; 0, IFERROR(VALUE($G39),0)=0)
    ),
    0,
    SUM(
        IFERROR(VALUE($D39),0) * MAX(0, MIN($D$1, DATE(Initialisatie!$C$5,12,31)) - MAX($D$2, DATE(Initialisatie!$C$5,1,1)) + 1),
        IFERROR(VALUE($E39),0) * MAX(0, MIN($E$1, DATE(Initialisatie!$C$5,12,31)) - MAX($E$2, DATE(Initialisatie!$C$5,1,1)) + 1),
        IFERROR(VALUE($F39),0) * MAX(0, MIN($F$1, DATE(Initialisatie!$C$5,12,31)) - MAX($F$2, DATE(Initialisatie!$C$5,1,1)) + 1),
        IFERROR(VALUE($G39),0) * MAX(0, MIN($G$1, DATE(Initialisatie!$C$5,12,31)) - MAX($G$2, DATE(Initialisatie!$C$5,1,1)) + 1)
    ) / (DATE(Initialisatie!$C$5,12,31) - DATE(Initialisatie!$C$5,1,1) + 1)
)</f>
        <v>2440.4575342465755</v>
      </c>
      <c r="J39">
        <f>IF(
    OR(
        AND(MAX(0, IF(MIN($D$1, DATE(Initialisatie!$C$5,12,31)) &lt; MAX($D$2, DATE(Initialisatie!$C$5,1,1)), 0, MONTH(MIN($D$1, DATE(Initialisatie!$C$5,12,31))) - MONTH(MAX($D$2, DATE(Initialisatie!$C$5,1,1))) + 1)) &lt;= 0, IFERROR(VALUE($D39),0)=0),
        AND(MAX(0, IF(MIN($E$1, DATE(Initialisatie!$C$5,12,31)) &lt; MAX($E$2, DATE(Initialisatie!$C$5,1,1)), 0, MONTH(MIN($E$1, DATE(Initialisatie!$C$5,12,31))) - MONTH(MAX($E$2, DATE(Initialisatie!$C$5,1,1))) + 1)) &lt;= 0, IFERROR(VALUE($E39),0)=0),
        AND(MAX(0, IF(MIN($F$1, DATE(Initialisatie!$C$5,12,31)) &lt; MAX($F$2, DATE(Initialisatie!$C$5,1,1)), 0, MONTH(MIN($F$1, DATE(Initialisatie!$C$5,12,31))) - MONTH(MAX($F$2, DATE(Initialisatie!$C$5,1,1))) + 1)) &lt;= 0, IFERROR(VALUE($F39),0)=0),
        AND(MAX(0, IF(MIN($G$1, DATE(Initialisatie!$C$5,12,31)) &lt; MAX($G$2, DATE(Initialisatie!$C$5,1,1)), 0, MONTH(MIN($G$1, DATE(Initialisatie!$C$5,12,31))) - MONTH(MAX($G$2, DATE(Initialisatie!$C$5,1,1))) + 1)) &lt;= 0, IFERROR(VALUE($G39),0)=0)
    ),
    0,
    SUM(
        IFERROR(VALUE($D39),0) * MAX(0, IF(MIN($D$1, DATE(Initialisatie!$C$5,12,31)) &lt; MAX($D$2, DATE(Initialisatie!$C$5,1,1)), 0, MONTH(MIN($D$1, DATE(Initialisatie!$C$5,12,31))) - MONTH(MAX($D$2, DATE(Initialisatie!$C$5,1,1))) + 1)),
        IFERROR(VALUE($E39),0) * MAX(0, IF(MIN($E$1, DATE(Initialisatie!$C$5,12,31)) &lt; MAX($E$2, DATE(Initialisatie!$C$5,1,1)), 0, MONTH(MIN($E$1, DATE(Initialisatie!$C$5,12,31))) - MONTH(MAX($E$2, DATE(Initialisatie!$C$5,1,1))) + 1)),
        IFERROR(VALUE($F39),0) * MAX(0, IF(MIN($F$1, DATE(Initialisatie!$C$5,12,31)) &lt; MAX($F$2, DATE(Initialisatie!$C$5,1,1)), 0, MONTH(MIN($F$1, DATE(Initialisatie!$C$5,12,31))) - MONTH(MAX($F$2, DATE(Initialisatie!$C$5,1,1))) + 1)),
        IFERROR(VALUE($G39),0) * MAX(0, IF(MIN($G$1, DATE(Initialisatie!$C$5,12,31)) &lt; MAX($G$2, DATE(Initialisatie!$C$5,1,1)), 0, MONTH(MIN($G$1, DATE(Initialisatie!$C$5,12,31))) - MONTH(MAX($G$2, DATE(Initialisatie!$C$5,1,1))) + 1))
    ) / 12
)</f>
        <v>2440.1666666666665</v>
      </c>
    </row>
    <row r="40" spans="1:10" x14ac:dyDescent="0.45">
      <c r="A40" s="1003"/>
      <c r="B40" s="373">
        <v>3</v>
      </c>
      <c r="C40" s="373">
        <v>8</v>
      </c>
      <c r="D40" s="48">
        <v>2339</v>
      </c>
      <c r="E40" s="48">
        <v>2433</v>
      </c>
      <c r="F40" s="48">
        <v>2482</v>
      </c>
      <c r="G40" s="48">
        <v>2649</v>
      </c>
      <c r="I40">
        <f>IF(
    OR(
        AND(MAX(0, MIN($D$1, DATE(Initialisatie!$C$5,12,31)) - MAX($D$2, DATE(Initialisatie!$C$5,1,1)) + 1) &gt; 0, IFERROR(VALUE($D40),0)=0),
        AND(MAX(0, MIN($E$1, DATE(Initialisatie!$C$5,12,31)) - MAX($E$2, DATE(Initialisatie!$C$5,1,1)) + 1) &gt; 0, IFERROR(VALUE($E40),0)=0),
        AND(MAX(0, MIN($F$1, DATE(Initialisatie!$C$5,12,31)) - MAX($F$2, DATE(Initialisatie!$C$5,1,1)) + 1) &gt; 0, IFERROR(VALUE($F40),0)=0),
        AND(MAX(0, MIN($G$1, DATE(Initialisatie!$C$5,12,31)) - MAX($G$2, DATE(Initialisatie!$C$5,1,1)) + 1) &gt; 0, IFERROR(VALUE($G40),0)=0)
    ),
    0,
    SUM(
        IFERROR(VALUE($D40),0) * MAX(0, MIN($D$1, DATE(Initialisatie!$C$5,12,31)) - MAX($D$2, DATE(Initialisatie!$C$5,1,1)) + 1),
        IFERROR(VALUE($E40),0) * MAX(0, MIN($E$1, DATE(Initialisatie!$C$5,12,31)) - MAX($E$2, DATE(Initialisatie!$C$5,1,1)) + 1),
        IFERROR(VALUE($F40),0) * MAX(0, MIN($F$1, DATE(Initialisatie!$C$5,12,31)) - MAX($F$2, DATE(Initialisatie!$C$5,1,1)) + 1),
        IFERROR(VALUE($G40),0) * MAX(0, MIN($G$1, DATE(Initialisatie!$C$5,12,31)) - MAX($G$2, DATE(Initialisatie!$C$5,1,1)) + 1)
    ) / (DATE(Initialisatie!$C$5,12,31) - DATE(Initialisatie!$C$5,1,1) + 1)
)</f>
        <v>2493.8000000000002</v>
      </c>
      <c r="J40">
        <f>IF(
    OR(
        AND(MAX(0, IF(MIN($D$1, DATE(Initialisatie!$C$5,12,31)) &lt; MAX($D$2, DATE(Initialisatie!$C$5,1,1)), 0, MONTH(MIN($D$1, DATE(Initialisatie!$C$5,12,31))) - MONTH(MAX($D$2, DATE(Initialisatie!$C$5,1,1))) + 1)) &lt;= 0, IFERROR(VALUE($D40),0)=0),
        AND(MAX(0, IF(MIN($E$1, DATE(Initialisatie!$C$5,12,31)) &lt; MAX($E$2, DATE(Initialisatie!$C$5,1,1)), 0, MONTH(MIN($E$1, DATE(Initialisatie!$C$5,12,31))) - MONTH(MAX($E$2, DATE(Initialisatie!$C$5,1,1))) + 1)) &lt;= 0, IFERROR(VALUE($E40),0)=0),
        AND(MAX(0, IF(MIN($F$1, DATE(Initialisatie!$C$5,12,31)) &lt; MAX($F$2, DATE(Initialisatie!$C$5,1,1)), 0, MONTH(MIN($F$1, DATE(Initialisatie!$C$5,12,31))) - MONTH(MAX($F$2, DATE(Initialisatie!$C$5,1,1))) + 1)) &lt;= 0, IFERROR(VALUE($F40),0)=0),
        AND(MAX(0, IF(MIN($G$1, DATE(Initialisatie!$C$5,12,31)) &lt; MAX($G$2, DATE(Initialisatie!$C$5,1,1)), 0, MONTH(MIN($G$1, DATE(Initialisatie!$C$5,12,31))) - MONTH(MAX($G$2, DATE(Initialisatie!$C$5,1,1))) + 1)) &lt;= 0, IFERROR(VALUE($G40),0)=0)
    ),
    0,
    SUM(
        IFERROR(VALUE($D40),0) * MAX(0, IF(MIN($D$1, DATE(Initialisatie!$C$5,12,31)) &lt; MAX($D$2, DATE(Initialisatie!$C$5,1,1)), 0, MONTH(MIN($D$1, DATE(Initialisatie!$C$5,12,31))) - MONTH(MAX($D$2, DATE(Initialisatie!$C$5,1,1))) + 1)),
        IFERROR(VALUE($E40),0) * MAX(0, IF(MIN($E$1, DATE(Initialisatie!$C$5,12,31)) &lt; MAX($E$2, DATE(Initialisatie!$C$5,1,1)), 0, MONTH(MIN($E$1, DATE(Initialisatie!$C$5,12,31))) - MONTH(MAX($E$2, DATE(Initialisatie!$C$5,1,1))) + 1)),
        IFERROR(VALUE($F40),0) * MAX(0, IF(MIN($F$1, DATE(Initialisatie!$C$5,12,31)) &lt; MAX($F$2, DATE(Initialisatie!$C$5,1,1)), 0, MONTH(MIN($F$1, DATE(Initialisatie!$C$5,12,31))) - MONTH(MAX($F$2, DATE(Initialisatie!$C$5,1,1))) + 1)),
        IFERROR(VALUE($G40),0) * MAX(0, IF(MIN($G$1, DATE(Initialisatie!$C$5,12,31)) &lt; MAX($G$2, DATE(Initialisatie!$C$5,1,1)), 0, MONTH(MIN($G$1, DATE(Initialisatie!$C$5,12,31))) - MONTH(MAX($G$2, DATE(Initialisatie!$C$5,1,1))) + 1))
    ) / 12
)</f>
        <v>2493.5</v>
      </c>
    </row>
    <row r="41" spans="1:10" x14ac:dyDescent="0.45">
      <c r="A41" s="1003"/>
      <c r="B41" s="374">
        <v>4</v>
      </c>
      <c r="C41" s="373">
        <v>9</v>
      </c>
      <c r="D41" s="48">
        <v>2390</v>
      </c>
      <c r="E41" s="48">
        <v>2486</v>
      </c>
      <c r="F41" s="48">
        <v>2536</v>
      </c>
      <c r="G41" s="48">
        <v>2717</v>
      </c>
      <c r="I41">
        <f>IF(
    OR(
        AND(MAX(0, MIN($D$1, DATE(Initialisatie!$C$5,12,31)) - MAX($D$2, DATE(Initialisatie!$C$5,1,1)) + 1) &gt; 0, IFERROR(VALUE($D41),0)=0),
        AND(MAX(0, MIN($E$1, DATE(Initialisatie!$C$5,12,31)) - MAX($E$2, DATE(Initialisatie!$C$5,1,1)) + 1) &gt; 0, IFERROR(VALUE($E41),0)=0),
        AND(MAX(0, MIN($F$1, DATE(Initialisatie!$C$5,12,31)) - MAX($F$2, DATE(Initialisatie!$C$5,1,1)) + 1) &gt; 0, IFERROR(VALUE($F41),0)=0),
        AND(MAX(0, MIN($G$1, DATE(Initialisatie!$C$5,12,31)) - MAX($G$2, DATE(Initialisatie!$C$5,1,1)) + 1) &gt; 0, IFERROR(VALUE($G41),0)=0)
    ),
    0,
    SUM(
        IFERROR(VALUE($D41),0) * MAX(0, MIN($D$1, DATE(Initialisatie!$C$5,12,31)) - MAX($D$2, DATE(Initialisatie!$C$5,1,1)) + 1),
        IFERROR(VALUE($E41),0) * MAX(0, MIN($E$1, DATE(Initialisatie!$C$5,12,31)) - MAX($E$2, DATE(Initialisatie!$C$5,1,1)) + 1),
        IFERROR(VALUE($F41),0) * MAX(0, MIN($F$1, DATE(Initialisatie!$C$5,12,31)) - MAX($F$2, DATE(Initialisatie!$C$5,1,1)) + 1),
        IFERROR(VALUE($G41),0) * MAX(0, MIN($G$1, DATE(Initialisatie!$C$5,12,31)) - MAX($G$2, DATE(Initialisatie!$C$5,1,1)) + 1)
    ) / (DATE(Initialisatie!$C$5,12,31) - DATE(Initialisatie!$C$5,1,1) + 1)
)</f>
        <v>2549.8109589041096</v>
      </c>
      <c r="J41">
        <f>IF(
    OR(
        AND(MAX(0, IF(MIN($D$1, DATE(Initialisatie!$C$5,12,31)) &lt; MAX($D$2, DATE(Initialisatie!$C$5,1,1)), 0, MONTH(MIN($D$1, DATE(Initialisatie!$C$5,12,31))) - MONTH(MAX($D$2, DATE(Initialisatie!$C$5,1,1))) + 1)) &lt;= 0, IFERROR(VALUE($D41),0)=0),
        AND(MAX(0, IF(MIN($E$1, DATE(Initialisatie!$C$5,12,31)) &lt; MAX($E$2, DATE(Initialisatie!$C$5,1,1)), 0, MONTH(MIN($E$1, DATE(Initialisatie!$C$5,12,31))) - MONTH(MAX($E$2, DATE(Initialisatie!$C$5,1,1))) + 1)) &lt;= 0, IFERROR(VALUE($E41),0)=0),
        AND(MAX(0, IF(MIN($F$1, DATE(Initialisatie!$C$5,12,31)) &lt; MAX($F$2, DATE(Initialisatie!$C$5,1,1)), 0, MONTH(MIN($F$1, DATE(Initialisatie!$C$5,12,31))) - MONTH(MAX($F$2, DATE(Initialisatie!$C$5,1,1))) + 1)) &lt;= 0, IFERROR(VALUE($F41),0)=0),
        AND(MAX(0, IF(MIN($G$1, DATE(Initialisatie!$C$5,12,31)) &lt; MAX($G$2, DATE(Initialisatie!$C$5,1,1)), 0, MONTH(MIN($G$1, DATE(Initialisatie!$C$5,12,31))) - MONTH(MAX($G$2, DATE(Initialisatie!$C$5,1,1))) + 1)) &lt;= 0, IFERROR(VALUE($G41),0)=0)
    ),
    0,
    SUM(
        IFERROR(VALUE($D41),0) * MAX(0, IF(MIN($D$1, DATE(Initialisatie!$C$5,12,31)) &lt; MAX($D$2, DATE(Initialisatie!$C$5,1,1)), 0, MONTH(MIN($D$1, DATE(Initialisatie!$C$5,12,31))) - MONTH(MAX($D$2, DATE(Initialisatie!$C$5,1,1))) + 1)),
        IFERROR(VALUE($E41),0) * MAX(0, IF(MIN($E$1, DATE(Initialisatie!$C$5,12,31)) &lt; MAX($E$2, DATE(Initialisatie!$C$5,1,1)), 0, MONTH(MIN($E$1, DATE(Initialisatie!$C$5,12,31))) - MONTH(MAX($E$2, DATE(Initialisatie!$C$5,1,1))) + 1)),
        IFERROR(VALUE($F41),0) * MAX(0, IF(MIN($F$1, DATE(Initialisatie!$C$5,12,31)) &lt; MAX($F$2, DATE(Initialisatie!$C$5,1,1)), 0, MONTH(MIN($F$1, DATE(Initialisatie!$C$5,12,31))) - MONTH(MAX($F$2, DATE(Initialisatie!$C$5,1,1))) + 1)),
        IFERROR(VALUE($G41),0) * MAX(0, IF(MIN($G$1, DATE(Initialisatie!$C$5,12,31)) &lt; MAX($G$2, DATE(Initialisatie!$C$5,1,1)), 0, MONTH(MIN($G$1, DATE(Initialisatie!$C$5,12,31))) - MONTH(MAX($G$2, DATE(Initialisatie!$C$5,1,1))) + 1))
    ) / 12
)</f>
        <v>2549.5</v>
      </c>
    </row>
    <row r="42" spans="1:10" x14ac:dyDescent="0.45">
      <c r="A42" s="1003"/>
      <c r="B42" s="374">
        <v>5</v>
      </c>
      <c r="C42" s="373">
        <v>10</v>
      </c>
      <c r="D42" s="48">
        <v>2448</v>
      </c>
      <c r="E42" s="48">
        <v>2546</v>
      </c>
      <c r="F42" s="48">
        <v>2597</v>
      </c>
      <c r="G42" s="48">
        <v>2790</v>
      </c>
      <c r="I42">
        <f>IF(
    OR(
        AND(MAX(0, MIN($D$1, DATE(Initialisatie!$C$5,12,31)) - MAX($D$2, DATE(Initialisatie!$C$5,1,1)) + 1) &gt; 0, IFERROR(VALUE($D42),0)=0),
        AND(MAX(0, MIN($E$1, DATE(Initialisatie!$C$5,12,31)) - MAX($E$2, DATE(Initialisatie!$C$5,1,1)) + 1) &gt; 0, IFERROR(VALUE($E42),0)=0),
        AND(MAX(0, MIN($F$1, DATE(Initialisatie!$C$5,12,31)) - MAX($F$2, DATE(Initialisatie!$C$5,1,1)) + 1) &gt; 0, IFERROR(VALUE($F42),0)=0),
        AND(MAX(0, MIN($G$1, DATE(Initialisatie!$C$5,12,31)) - MAX($G$2, DATE(Initialisatie!$C$5,1,1)) + 1) &gt; 0, IFERROR(VALUE($G42),0)=0)
    ),
    0,
    SUM(
        IFERROR(VALUE($D42),0) * MAX(0, MIN($D$1, DATE(Initialisatie!$C$5,12,31)) - MAX($D$2, DATE(Initialisatie!$C$5,1,1)) + 1),
        IFERROR(VALUE($E42),0) * MAX(0, MIN($E$1, DATE(Initialisatie!$C$5,12,31)) - MAX($E$2, DATE(Initialisatie!$C$5,1,1)) + 1),
        IFERROR(VALUE($F42),0) * MAX(0, MIN($F$1, DATE(Initialisatie!$C$5,12,31)) - MAX($F$2, DATE(Initialisatie!$C$5,1,1)) + 1),
        IFERROR(VALUE($G42),0) * MAX(0, MIN($G$1, DATE(Initialisatie!$C$5,12,31)) - MAX($G$2, DATE(Initialisatie!$C$5,1,1)) + 1)
    ) / (DATE(Initialisatie!$C$5,12,31) - DATE(Initialisatie!$C$5,1,1) + 1)
)</f>
        <v>2612.4876712328769</v>
      </c>
      <c r="J42">
        <f>IF(
    OR(
        AND(MAX(0, IF(MIN($D$1, DATE(Initialisatie!$C$5,12,31)) &lt; MAX($D$2, DATE(Initialisatie!$C$5,1,1)), 0, MONTH(MIN($D$1, DATE(Initialisatie!$C$5,12,31))) - MONTH(MAX($D$2, DATE(Initialisatie!$C$5,1,1))) + 1)) &lt;= 0, IFERROR(VALUE($D42),0)=0),
        AND(MAX(0, IF(MIN($E$1, DATE(Initialisatie!$C$5,12,31)) &lt; MAX($E$2, DATE(Initialisatie!$C$5,1,1)), 0, MONTH(MIN($E$1, DATE(Initialisatie!$C$5,12,31))) - MONTH(MAX($E$2, DATE(Initialisatie!$C$5,1,1))) + 1)) &lt;= 0, IFERROR(VALUE($E42),0)=0),
        AND(MAX(0, IF(MIN($F$1, DATE(Initialisatie!$C$5,12,31)) &lt; MAX($F$2, DATE(Initialisatie!$C$5,1,1)), 0, MONTH(MIN($F$1, DATE(Initialisatie!$C$5,12,31))) - MONTH(MAX($F$2, DATE(Initialisatie!$C$5,1,1))) + 1)) &lt;= 0, IFERROR(VALUE($F42),0)=0),
        AND(MAX(0, IF(MIN($G$1, DATE(Initialisatie!$C$5,12,31)) &lt; MAX($G$2, DATE(Initialisatie!$C$5,1,1)), 0, MONTH(MIN($G$1, DATE(Initialisatie!$C$5,12,31))) - MONTH(MAX($G$2, DATE(Initialisatie!$C$5,1,1))) + 1)) &lt;= 0, IFERROR(VALUE($G42),0)=0)
    ),
    0,
    SUM(
        IFERROR(VALUE($D42),0) * MAX(0, IF(MIN($D$1, DATE(Initialisatie!$C$5,12,31)) &lt; MAX($D$2, DATE(Initialisatie!$C$5,1,1)), 0, MONTH(MIN($D$1, DATE(Initialisatie!$C$5,12,31))) - MONTH(MAX($D$2, DATE(Initialisatie!$C$5,1,1))) + 1)),
        IFERROR(VALUE($E42),0) * MAX(0, IF(MIN($E$1, DATE(Initialisatie!$C$5,12,31)) &lt; MAX($E$2, DATE(Initialisatie!$C$5,1,1)), 0, MONTH(MIN($E$1, DATE(Initialisatie!$C$5,12,31))) - MONTH(MAX($E$2, DATE(Initialisatie!$C$5,1,1))) + 1)),
        IFERROR(VALUE($F42),0) * MAX(0, IF(MIN($F$1, DATE(Initialisatie!$C$5,12,31)) &lt; MAX($F$2, DATE(Initialisatie!$C$5,1,1)), 0, MONTH(MIN($F$1, DATE(Initialisatie!$C$5,12,31))) - MONTH(MAX($F$2, DATE(Initialisatie!$C$5,1,1))) + 1)),
        IFERROR(VALUE($G42),0) * MAX(0, IF(MIN($G$1, DATE(Initialisatie!$C$5,12,31)) &lt; MAX($G$2, DATE(Initialisatie!$C$5,1,1)), 0, MONTH(MIN($G$1, DATE(Initialisatie!$C$5,12,31))) - MONTH(MAX($G$2, DATE(Initialisatie!$C$5,1,1))) + 1))
    ) / 12
)</f>
        <v>2612.1666666666665</v>
      </c>
    </row>
    <row r="43" spans="1:10" x14ac:dyDescent="0.45">
      <c r="A43" s="1003"/>
      <c r="B43" s="374">
        <v>6</v>
      </c>
      <c r="C43" s="373">
        <v>11</v>
      </c>
      <c r="D43" s="48">
        <v>2512</v>
      </c>
      <c r="E43" s="48">
        <v>2612</v>
      </c>
      <c r="F43" s="48">
        <v>2664</v>
      </c>
      <c r="G43" s="48">
        <v>2868</v>
      </c>
      <c r="I43">
        <f>IF(
    OR(
        AND(MAX(0, MIN($D$1, DATE(Initialisatie!$C$5,12,31)) - MAX($D$2, DATE(Initialisatie!$C$5,1,1)) + 1) &gt; 0, IFERROR(VALUE($D43),0)=0),
        AND(MAX(0, MIN($E$1, DATE(Initialisatie!$C$5,12,31)) - MAX($E$2, DATE(Initialisatie!$C$5,1,1)) + 1) &gt; 0, IFERROR(VALUE($E43),0)=0),
        AND(MAX(0, MIN($F$1, DATE(Initialisatie!$C$5,12,31)) - MAX($F$2, DATE(Initialisatie!$C$5,1,1)) + 1) &gt; 0, IFERROR(VALUE($F43),0)=0),
        AND(MAX(0, MIN($G$1, DATE(Initialisatie!$C$5,12,31)) - MAX($G$2, DATE(Initialisatie!$C$5,1,1)) + 1) &gt; 0, IFERROR(VALUE($G43),0)=0)
    ),
    0,
    SUM(
        IFERROR(VALUE($D43),0) * MAX(0, MIN($D$1, DATE(Initialisatie!$C$5,12,31)) - MAX($D$2, DATE(Initialisatie!$C$5,1,1)) + 1),
        IFERROR(VALUE($E43),0) * MAX(0, MIN($E$1, DATE(Initialisatie!$C$5,12,31)) - MAX($E$2, DATE(Initialisatie!$C$5,1,1)) + 1),
        IFERROR(VALUE($F43),0) * MAX(0, MIN($F$1, DATE(Initialisatie!$C$5,12,31)) - MAX($F$2, DATE(Initialisatie!$C$5,1,1)) + 1),
        IFERROR(VALUE($G43),0) * MAX(0, MIN($G$1, DATE(Initialisatie!$C$5,12,31)) - MAX($G$2, DATE(Initialisatie!$C$5,1,1)) + 1)
    ) / (DATE(Initialisatie!$C$5,12,31) - DATE(Initialisatie!$C$5,1,1) + 1)
)</f>
        <v>2680.9972602739726</v>
      </c>
      <c r="J43">
        <f>IF(
    OR(
        AND(MAX(0, IF(MIN($D$1, DATE(Initialisatie!$C$5,12,31)) &lt; MAX($D$2, DATE(Initialisatie!$C$5,1,1)), 0, MONTH(MIN($D$1, DATE(Initialisatie!$C$5,12,31))) - MONTH(MAX($D$2, DATE(Initialisatie!$C$5,1,1))) + 1)) &lt;= 0, IFERROR(VALUE($D43),0)=0),
        AND(MAX(0, IF(MIN($E$1, DATE(Initialisatie!$C$5,12,31)) &lt; MAX($E$2, DATE(Initialisatie!$C$5,1,1)), 0, MONTH(MIN($E$1, DATE(Initialisatie!$C$5,12,31))) - MONTH(MAX($E$2, DATE(Initialisatie!$C$5,1,1))) + 1)) &lt;= 0, IFERROR(VALUE($E43),0)=0),
        AND(MAX(0, IF(MIN($F$1, DATE(Initialisatie!$C$5,12,31)) &lt; MAX($F$2, DATE(Initialisatie!$C$5,1,1)), 0, MONTH(MIN($F$1, DATE(Initialisatie!$C$5,12,31))) - MONTH(MAX($F$2, DATE(Initialisatie!$C$5,1,1))) + 1)) &lt;= 0, IFERROR(VALUE($F43),0)=0),
        AND(MAX(0, IF(MIN($G$1, DATE(Initialisatie!$C$5,12,31)) &lt; MAX($G$2, DATE(Initialisatie!$C$5,1,1)), 0, MONTH(MIN($G$1, DATE(Initialisatie!$C$5,12,31))) - MONTH(MAX($G$2, DATE(Initialisatie!$C$5,1,1))) + 1)) &lt;= 0, IFERROR(VALUE($G43),0)=0)
    ),
    0,
    SUM(
        IFERROR(VALUE($D43),0) * MAX(0, IF(MIN($D$1, DATE(Initialisatie!$C$5,12,31)) &lt; MAX($D$2, DATE(Initialisatie!$C$5,1,1)), 0, MONTH(MIN($D$1, DATE(Initialisatie!$C$5,12,31))) - MONTH(MAX($D$2, DATE(Initialisatie!$C$5,1,1))) + 1)),
        IFERROR(VALUE($E43),0) * MAX(0, IF(MIN($E$1, DATE(Initialisatie!$C$5,12,31)) &lt; MAX($E$2, DATE(Initialisatie!$C$5,1,1)), 0, MONTH(MIN($E$1, DATE(Initialisatie!$C$5,12,31))) - MONTH(MAX($E$2, DATE(Initialisatie!$C$5,1,1))) + 1)),
        IFERROR(VALUE($F43),0) * MAX(0, IF(MIN($F$1, DATE(Initialisatie!$C$5,12,31)) &lt; MAX($F$2, DATE(Initialisatie!$C$5,1,1)), 0, MONTH(MIN($F$1, DATE(Initialisatie!$C$5,12,31))) - MONTH(MAX($F$2, DATE(Initialisatie!$C$5,1,1))) + 1)),
        IFERROR(VALUE($G43),0) * MAX(0, IF(MIN($G$1, DATE(Initialisatie!$C$5,12,31)) &lt; MAX($G$2, DATE(Initialisatie!$C$5,1,1)), 0, MONTH(MIN($G$1, DATE(Initialisatie!$C$5,12,31))) - MONTH(MAX($G$2, DATE(Initialisatie!$C$5,1,1))) + 1))
    ) / 12
)</f>
        <v>2680.6666666666665</v>
      </c>
    </row>
    <row r="44" spans="1:10" x14ac:dyDescent="0.45">
      <c r="A44" s="1003"/>
      <c r="B44" s="374">
        <v>7</v>
      </c>
      <c r="C44" s="373">
        <v>12</v>
      </c>
      <c r="D44" s="48">
        <v>2578</v>
      </c>
      <c r="E44" s="48">
        <v>2681</v>
      </c>
      <c r="F44" s="48">
        <v>2735</v>
      </c>
      <c r="G44" s="48">
        <v>2951</v>
      </c>
      <c r="I44">
        <f>IF(
    OR(
        AND(MAX(0, MIN($D$1, DATE(Initialisatie!$C$5,12,31)) - MAX($D$2, DATE(Initialisatie!$C$5,1,1)) + 1) &gt; 0, IFERROR(VALUE($D44),0)=0),
        AND(MAX(0, MIN($E$1, DATE(Initialisatie!$C$5,12,31)) - MAX($E$2, DATE(Initialisatie!$C$5,1,1)) + 1) &gt; 0, IFERROR(VALUE($E44),0)=0),
        AND(MAX(0, MIN($F$1, DATE(Initialisatie!$C$5,12,31)) - MAX($F$2, DATE(Initialisatie!$C$5,1,1)) + 1) &gt; 0, IFERROR(VALUE($F44),0)=0),
        AND(MAX(0, MIN($G$1, DATE(Initialisatie!$C$5,12,31)) - MAX($G$2, DATE(Initialisatie!$C$5,1,1)) + 1) &gt; 0, IFERROR(VALUE($G44),0)=0)
    ),
    0,
    SUM(
        IFERROR(VALUE($D44),0) * MAX(0, MIN($D$1, DATE(Initialisatie!$C$5,12,31)) - MAX($D$2, DATE(Initialisatie!$C$5,1,1)) + 1),
        IFERROR(VALUE($E44),0) * MAX(0, MIN($E$1, DATE(Initialisatie!$C$5,12,31)) - MAX($E$2, DATE(Initialisatie!$C$5,1,1)) + 1),
        IFERROR(VALUE($F44),0) * MAX(0, MIN($F$1, DATE(Initialisatie!$C$5,12,31)) - MAX($F$2, DATE(Initialisatie!$C$5,1,1)) + 1),
        IFERROR(VALUE($G44),0) * MAX(0, MIN($G$1, DATE(Initialisatie!$C$5,12,31)) - MAX($G$2, DATE(Initialisatie!$C$5,1,1)) + 1)
    ) / (DATE(Initialisatie!$C$5,12,31) - DATE(Initialisatie!$C$5,1,1) + 1)
)</f>
        <v>2753.345205479452</v>
      </c>
      <c r="J44">
        <f>IF(
    OR(
        AND(MAX(0, IF(MIN($D$1, DATE(Initialisatie!$C$5,12,31)) &lt; MAX($D$2, DATE(Initialisatie!$C$5,1,1)), 0, MONTH(MIN($D$1, DATE(Initialisatie!$C$5,12,31))) - MONTH(MAX($D$2, DATE(Initialisatie!$C$5,1,1))) + 1)) &lt;= 0, IFERROR(VALUE($D44),0)=0),
        AND(MAX(0, IF(MIN($E$1, DATE(Initialisatie!$C$5,12,31)) &lt; MAX($E$2, DATE(Initialisatie!$C$5,1,1)), 0, MONTH(MIN($E$1, DATE(Initialisatie!$C$5,12,31))) - MONTH(MAX($E$2, DATE(Initialisatie!$C$5,1,1))) + 1)) &lt;= 0, IFERROR(VALUE($E44),0)=0),
        AND(MAX(0, IF(MIN($F$1, DATE(Initialisatie!$C$5,12,31)) &lt; MAX($F$2, DATE(Initialisatie!$C$5,1,1)), 0, MONTH(MIN($F$1, DATE(Initialisatie!$C$5,12,31))) - MONTH(MAX($F$2, DATE(Initialisatie!$C$5,1,1))) + 1)) &lt;= 0, IFERROR(VALUE($F44),0)=0),
        AND(MAX(0, IF(MIN($G$1, DATE(Initialisatie!$C$5,12,31)) &lt; MAX($G$2, DATE(Initialisatie!$C$5,1,1)), 0, MONTH(MIN($G$1, DATE(Initialisatie!$C$5,12,31))) - MONTH(MAX($G$2, DATE(Initialisatie!$C$5,1,1))) + 1)) &lt;= 0, IFERROR(VALUE($G44),0)=0)
    ),
    0,
    SUM(
        IFERROR(VALUE($D44),0) * MAX(0, IF(MIN($D$1, DATE(Initialisatie!$C$5,12,31)) &lt; MAX($D$2, DATE(Initialisatie!$C$5,1,1)), 0, MONTH(MIN($D$1, DATE(Initialisatie!$C$5,12,31))) - MONTH(MAX($D$2, DATE(Initialisatie!$C$5,1,1))) + 1)),
        IFERROR(VALUE($E44),0) * MAX(0, IF(MIN($E$1, DATE(Initialisatie!$C$5,12,31)) &lt; MAX($E$2, DATE(Initialisatie!$C$5,1,1)), 0, MONTH(MIN($E$1, DATE(Initialisatie!$C$5,12,31))) - MONTH(MAX($E$2, DATE(Initialisatie!$C$5,1,1))) + 1)),
        IFERROR(VALUE($F44),0) * MAX(0, IF(MIN($F$1, DATE(Initialisatie!$C$5,12,31)) &lt; MAX($F$2, DATE(Initialisatie!$C$5,1,1)), 0, MONTH(MIN($F$1, DATE(Initialisatie!$C$5,12,31))) - MONTH(MAX($F$2, DATE(Initialisatie!$C$5,1,1))) + 1)),
        IFERROR(VALUE($G44),0) * MAX(0, IF(MIN($G$1, DATE(Initialisatie!$C$5,12,31)) &lt; MAX($G$2, DATE(Initialisatie!$C$5,1,1)), 0, MONTH(MIN($G$1, DATE(Initialisatie!$C$5,12,31))) - MONTH(MAX($G$2, DATE(Initialisatie!$C$5,1,1))) + 1))
    ) / 12
)</f>
        <v>2753</v>
      </c>
    </row>
    <row r="45" spans="1:10" x14ac:dyDescent="0.45">
      <c r="A45" s="1003"/>
      <c r="B45" s="374">
        <v>8</v>
      </c>
      <c r="C45" s="373">
        <v>13</v>
      </c>
      <c r="D45" s="48">
        <v>2651</v>
      </c>
      <c r="E45" s="48">
        <v>2757</v>
      </c>
      <c r="F45" s="48">
        <v>2812</v>
      </c>
      <c r="G45" s="48">
        <v>3025</v>
      </c>
      <c r="I45">
        <f>IF(
    OR(
        AND(MAX(0, MIN($D$1, DATE(Initialisatie!$C$5,12,31)) - MAX($D$2, DATE(Initialisatie!$C$5,1,1)) + 1) &gt; 0, IFERROR(VALUE($D45),0)=0),
        AND(MAX(0, MIN($E$1, DATE(Initialisatie!$C$5,12,31)) - MAX($E$2, DATE(Initialisatie!$C$5,1,1)) + 1) &gt; 0, IFERROR(VALUE($E45),0)=0),
        AND(MAX(0, MIN($F$1, DATE(Initialisatie!$C$5,12,31)) - MAX($F$2, DATE(Initialisatie!$C$5,1,1)) + 1) &gt; 0, IFERROR(VALUE($F45),0)=0),
        AND(MAX(0, MIN($G$1, DATE(Initialisatie!$C$5,12,31)) - MAX($G$2, DATE(Initialisatie!$C$5,1,1)) + 1) &gt; 0, IFERROR(VALUE($G45),0)=0)
    ),
    0,
    SUM(
        IFERROR(VALUE($D45),0) * MAX(0, MIN($D$1, DATE(Initialisatie!$C$5,12,31)) - MAX($D$2, DATE(Initialisatie!$C$5,1,1)) + 1),
        IFERROR(VALUE($E45),0) * MAX(0, MIN($E$1, DATE(Initialisatie!$C$5,12,31)) - MAX($E$2, DATE(Initialisatie!$C$5,1,1)) + 1),
        IFERROR(VALUE($F45),0) * MAX(0, MIN($F$1, DATE(Initialisatie!$C$5,12,31)) - MAX($F$2, DATE(Initialisatie!$C$5,1,1)) + 1),
        IFERROR(VALUE($G45),0) * MAX(0, MIN($G$1, DATE(Initialisatie!$C$5,12,31)) - MAX($G$2, DATE(Initialisatie!$C$5,1,1)) + 1)
    ) / (DATE(Initialisatie!$C$5,12,31) - DATE(Initialisatie!$C$5,1,1) + 1)
)</f>
        <v>2829.5150684931505</v>
      </c>
      <c r="J45">
        <f>IF(
    OR(
        AND(MAX(0, IF(MIN($D$1, DATE(Initialisatie!$C$5,12,31)) &lt; MAX($D$2, DATE(Initialisatie!$C$5,1,1)), 0, MONTH(MIN($D$1, DATE(Initialisatie!$C$5,12,31))) - MONTH(MAX($D$2, DATE(Initialisatie!$C$5,1,1))) + 1)) &lt;= 0, IFERROR(VALUE($D45),0)=0),
        AND(MAX(0, IF(MIN($E$1, DATE(Initialisatie!$C$5,12,31)) &lt; MAX($E$2, DATE(Initialisatie!$C$5,1,1)), 0, MONTH(MIN($E$1, DATE(Initialisatie!$C$5,12,31))) - MONTH(MAX($E$2, DATE(Initialisatie!$C$5,1,1))) + 1)) &lt;= 0, IFERROR(VALUE($E45),0)=0),
        AND(MAX(0, IF(MIN($F$1, DATE(Initialisatie!$C$5,12,31)) &lt; MAX($F$2, DATE(Initialisatie!$C$5,1,1)), 0, MONTH(MIN($F$1, DATE(Initialisatie!$C$5,12,31))) - MONTH(MAX($F$2, DATE(Initialisatie!$C$5,1,1))) + 1)) &lt;= 0, IFERROR(VALUE($F45),0)=0),
        AND(MAX(0, IF(MIN($G$1, DATE(Initialisatie!$C$5,12,31)) &lt; MAX($G$2, DATE(Initialisatie!$C$5,1,1)), 0, MONTH(MIN($G$1, DATE(Initialisatie!$C$5,12,31))) - MONTH(MAX($G$2, DATE(Initialisatie!$C$5,1,1))) + 1)) &lt;= 0, IFERROR(VALUE($G45),0)=0)
    ),
    0,
    SUM(
        IFERROR(VALUE($D45),0) * MAX(0, IF(MIN($D$1, DATE(Initialisatie!$C$5,12,31)) &lt; MAX($D$2, DATE(Initialisatie!$C$5,1,1)), 0, MONTH(MIN($D$1, DATE(Initialisatie!$C$5,12,31))) - MONTH(MAX($D$2, DATE(Initialisatie!$C$5,1,1))) + 1)),
        IFERROR(VALUE($E45),0) * MAX(0, IF(MIN($E$1, DATE(Initialisatie!$C$5,12,31)) &lt; MAX($E$2, DATE(Initialisatie!$C$5,1,1)), 0, MONTH(MIN($E$1, DATE(Initialisatie!$C$5,12,31))) - MONTH(MAX($E$2, DATE(Initialisatie!$C$5,1,1))) + 1)),
        IFERROR(VALUE($F45),0) * MAX(0, IF(MIN($F$1, DATE(Initialisatie!$C$5,12,31)) &lt; MAX($F$2, DATE(Initialisatie!$C$5,1,1)), 0, MONTH(MIN($F$1, DATE(Initialisatie!$C$5,12,31))) - MONTH(MAX($F$2, DATE(Initialisatie!$C$5,1,1))) + 1)),
        IFERROR(VALUE($G45),0) * MAX(0, IF(MIN($G$1, DATE(Initialisatie!$C$5,12,31)) &lt; MAX($G$2, DATE(Initialisatie!$C$5,1,1)), 0, MONTH(MIN($G$1, DATE(Initialisatie!$C$5,12,31))) - MONTH(MAX($G$2, DATE(Initialisatie!$C$5,1,1))) + 1))
    ) / 12
)</f>
        <v>2829.1666666666665</v>
      </c>
    </row>
    <row r="46" spans="1:10" x14ac:dyDescent="0.45">
      <c r="A46" s="1003"/>
      <c r="B46" s="374">
        <v>9</v>
      </c>
      <c r="C46" s="373">
        <v>14</v>
      </c>
      <c r="D46" s="48">
        <v>2727</v>
      </c>
      <c r="E46" s="48">
        <v>2836</v>
      </c>
      <c r="F46" s="48">
        <v>2893</v>
      </c>
      <c r="G46" s="48">
        <v>3113</v>
      </c>
      <c r="I46">
        <f>IF(
    OR(
        AND(MAX(0, MIN($D$1, DATE(Initialisatie!$C$5,12,31)) - MAX($D$2, DATE(Initialisatie!$C$5,1,1)) + 1) &gt; 0, IFERROR(VALUE($D46),0)=0),
        AND(MAX(0, MIN($E$1, DATE(Initialisatie!$C$5,12,31)) - MAX($E$2, DATE(Initialisatie!$C$5,1,1)) + 1) &gt; 0, IFERROR(VALUE($E46),0)=0),
        AND(MAX(0, MIN($F$1, DATE(Initialisatie!$C$5,12,31)) - MAX($F$2, DATE(Initialisatie!$C$5,1,1)) + 1) &gt; 0, IFERROR(VALUE($F46),0)=0),
        AND(MAX(0, MIN($G$1, DATE(Initialisatie!$C$5,12,31)) - MAX($G$2, DATE(Initialisatie!$C$5,1,1)) + 1) &gt; 0, IFERROR(VALUE($G46),0)=0)
    ),
    0,
    SUM(
        IFERROR(VALUE($D46),0) * MAX(0, MIN($D$1, DATE(Initialisatie!$C$5,12,31)) - MAX($D$2, DATE(Initialisatie!$C$5,1,1)) + 1),
        IFERROR(VALUE($E46),0) * MAX(0, MIN($E$1, DATE(Initialisatie!$C$5,12,31)) - MAX($E$2, DATE(Initialisatie!$C$5,1,1)) + 1),
        IFERROR(VALUE($F46),0) * MAX(0, MIN($F$1, DATE(Initialisatie!$C$5,12,31)) - MAX($F$2, DATE(Initialisatie!$C$5,1,1)) + 1),
        IFERROR(VALUE($G46),0) * MAX(0, MIN($G$1, DATE(Initialisatie!$C$5,12,31)) - MAX($G$2, DATE(Initialisatie!$C$5,1,1)) + 1)
    ) / (DATE(Initialisatie!$C$5,12,31) - DATE(Initialisatie!$C$5,1,1) + 1)
)</f>
        <v>2911.027397260274</v>
      </c>
      <c r="J46">
        <f>IF(
    OR(
        AND(MAX(0, IF(MIN($D$1, DATE(Initialisatie!$C$5,12,31)) &lt; MAX($D$2, DATE(Initialisatie!$C$5,1,1)), 0, MONTH(MIN($D$1, DATE(Initialisatie!$C$5,12,31))) - MONTH(MAX($D$2, DATE(Initialisatie!$C$5,1,1))) + 1)) &lt;= 0, IFERROR(VALUE($D46),0)=0),
        AND(MAX(0, IF(MIN($E$1, DATE(Initialisatie!$C$5,12,31)) &lt; MAX($E$2, DATE(Initialisatie!$C$5,1,1)), 0, MONTH(MIN($E$1, DATE(Initialisatie!$C$5,12,31))) - MONTH(MAX($E$2, DATE(Initialisatie!$C$5,1,1))) + 1)) &lt;= 0, IFERROR(VALUE($E46),0)=0),
        AND(MAX(0, IF(MIN($F$1, DATE(Initialisatie!$C$5,12,31)) &lt; MAX($F$2, DATE(Initialisatie!$C$5,1,1)), 0, MONTH(MIN($F$1, DATE(Initialisatie!$C$5,12,31))) - MONTH(MAX($F$2, DATE(Initialisatie!$C$5,1,1))) + 1)) &lt;= 0, IFERROR(VALUE($F46),0)=0),
        AND(MAX(0, IF(MIN($G$1, DATE(Initialisatie!$C$5,12,31)) &lt; MAX($G$2, DATE(Initialisatie!$C$5,1,1)), 0, MONTH(MIN($G$1, DATE(Initialisatie!$C$5,12,31))) - MONTH(MAX($G$2, DATE(Initialisatie!$C$5,1,1))) + 1)) &lt;= 0, IFERROR(VALUE($G46),0)=0)
    ),
    0,
    SUM(
        IFERROR(VALUE($D46),0) * MAX(0, IF(MIN($D$1, DATE(Initialisatie!$C$5,12,31)) &lt; MAX($D$2, DATE(Initialisatie!$C$5,1,1)), 0, MONTH(MIN($D$1, DATE(Initialisatie!$C$5,12,31))) - MONTH(MAX($D$2, DATE(Initialisatie!$C$5,1,1))) + 1)),
        IFERROR(VALUE($E46),0) * MAX(0, IF(MIN($E$1, DATE(Initialisatie!$C$5,12,31)) &lt; MAX($E$2, DATE(Initialisatie!$C$5,1,1)), 0, MONTH(MIN($E$1, DATE(Initialisatie!$C$5,12,31))) - MONTH(MAX($E$2, DATE(Initialisatie!$C$5,1,1))) + 1)),
        IFERROR(VALUE($F46),0) * MAX(0, IF(MIN($F$1, DATE(Initialisatie!$C$5,12,31)) &lt; MAX($F$2, DATE(Initialisatie!$C$5,1,1)), 0, MONTH(MIN($F$1, DATE(Initialisatie!$C$5,12,31))) - MONTH(MAX($F$2, DATE(Initialisatie!$C$5,1,1))) + 1)),
        IFERROR(VALUE($G46),0) * MAX(0, IF(MIN($G$1, DATE(Initialisatie!$C$5,12,31)) &lt; MAX($G$2, DATE(Initialisatie!$C$5,1,1)), 0, MONTH(MIN($G$1, DATE(Initialisatie!$C$5,12,31))) - MONTH(MAX($G$2, DATE(Initialisatie!$C$5,1,1))) + 1))
    ) / 12
)</f>
        <v>2910.6666666666665</v>
      </c>
    </row>
    <row r="47" spans="1:10" x14ac:dyDescent="0.45">
      <c r="A47" s="1003"/>
      <c r="B47" s="43">
        <v>10</v>
      </c>
      <c r="C47" s="373">
        <v>15</v>
      </c>
      <c r="D47" s="48">
        <v>2796</v>
      </c>
      <c r="E47" s="48">
        <v>2908</v>
      </c>
      <c r="F47" s="48">
        <v>2966</v>
      </c>
      <c r="G47" s="48">
        <v>2479</v>
      </c>
      <c r="I47">
        <f>IF(
    OR(
        AND(MAX(0, MIN($D$1, DATE(Initialisatie!$C$5,12,31)) - MAX($D$2, DATE(Initialisatie!$C$5,1,1)) + 1) &gt; 0, IFERROR(VALUE($D47),0)=0),
        AND(MAX(0, MIN($E$1, DATE(Initialisatie!$C$5,12,31)) - MAX($E$2, DATE(Initialisatie!$C$5,1,1)) + 1) &gt; 0, IFERROR(VALUE($E47),0)=0),
        AND(MAX(0, MIN($F$1, DATE(Initialisatie!$C$5,12,31)) - MAX($F$2, DATE(Initialisatie!$C$5,1,1)) + 1) &gt; 0, IFERROR(VALUE($F47),0)=0),
        AND(MAX(0, MIN($G$1, DATE(Initialisatie!$C$5,12,31)) - MAX($G$2, DATE(Initialisatie!$C$5,1,1)) + 1) &gt; 0, IFERROR(VALUE($G47),0)=0)
    ),
    0,
    SUM(
        IFERROR(VALUE($D47),0) * MAX(0, MIN($D$1, DATE(Initialisatie!$C$5,12,31)) - MAX($D$2, DATE(Initialisatie!$C$5,1,1)) + 1),
        IFERROR(VALUE($E47),0) * MAX(0, MIN($E$1, DATE(Initialisatie!$C$5,12,31)) - MAX($E$2, DATE(Initialisatie!$C$5,1,1)) + 1),
        IFERROR(VALUE($F47),0) * MAX(0, MIN($F$1, DATE(Initialisatie!$C$5,12,31)) - MAX($F$2, DATE(Initialisatie!$C$5,1,1)) + 1),
        IFERROR(VALUE($G47),0) * MAX(0, MIN($G$1, DATE(Initialisatie!$C$5,12,31)) - MAX($G$2, DATE(Initialisatie!$C$5,1,1)) + 1)
    ) / (DATE(Initialisatie!$C$5,12,31) - DATE(Initialisatie!$C$5,1,1) + 1)
)</f>
        <v>2865.5424657534245</v>
      </c>
      <c r="J47">
        <f>IF(
    OR(
        AND(MAX(0, IF(MIN($D$1, DATE(Initialisatie!$C$5,12,31)) &lt; MAX($D$2, DATE(Initialisatie!$C$5,1,1)), 0, MONTH(MIN($D$1, DATE(Initialisatie!$C$5,12,31))) - MONTH(MAX($D$2, DATE(Initialisatie!$C$5,1,1))) + 1)) &lt;= 0, IFERROR(VALUE($D47),0)=0),
        AND(MAX(0, IF(MIN($E$1, DATE(Initialisatie!$C$5,12,31)) &lt; MAX($E$2, DATE(Initialisatie!$C$5,1,1)), 0, MONTH(MIN($E$1, DATE(Initialisatie!$C$5,12,31))) - MONTH(MAX($E$2, DATE(Initialisatie!$C$5,1,1))) + 1)) &lt;= 0, IFERROR(VALUE($E47),0)=0),
        AND(MAX(0, IF(MIN($F$1, DATE(Initialisatie!$C$5,12,31)) &lt; MAX($F$2, DATE(Initialisatie!$C$5,1,1)), 0, MONTH(MIN($F$1, DATE(Initialisatie!$C$5,12,31))) - MONTH(MAX($F$2, DATE(Initialisatie!$C$5,1,1))) + 1)) &lt;= 0, IFERROR(VALUE($F47),0)=0),
        AND(MAX(0, IF(MIN($G$1, DATE(Initialisatie!$C$5,12,31)) &lt; MAX($G$2, DATE(Initialisatie!$C$5,1,1)), 0, MONTH(MIN($G$1, DATE(Initialisatie!$C$5,12,31))) - MONTH(MAX($G$2, DATE(Initialisatie!$C$5,1,1))) + 1)) &lt;= 0, IFERROR(VALUE($G47),0)=0)
    ),
    0,
    SUM(
        IFERROR(VALUE($D47),0) * MAX(0, IF(MIN($D$1, DATE(Initialisatie!$C$5,12,31)) &lt; MAX($D$2, DATE(Initialisatie!$C$5,1,1)), 0, MONTH(MIN($D$1, DATE(Initialisatie!$C$5,12,31))) - MONTH(MAX($D$2, DATE(Initialisatie!$C$5,1,1))) + 1)),
        IFERROR(VALUE($E47),0) * MAX(0, IF(MIN($E$1, DATE(Initialisatie!$C$5,12,31)) &lt; MAX($E$2, DATE(Initialisatie!$C$5,1,1)), 0, MONTH(MIN($E$1, DATE(Initialisatie!$C$5,12,31))) - MONTH(MAX($E$2, DATE(Initialisatie!$C$5,1,1))) + 1)),
        IFERROR(VALUE($F47),0) * MAX(0, IF(MIN($F$1, DATE(Initialisatie!$C$5,12,31)) &lt; MAX($F$2, DATE(Initialisatie!$C$5,1,1)), 0, MONTH(MIN($F$1, DATE(Initialisatie!$C$5,12,31))) - MONTH(MAX($F$2, DATE(Initialisatie!$C$5,1,1))) + 1)),
        IFERROR(VALUE($G47),0) * MAX(0, IF(MIN($G$1, DATE(Initialisatie!$C$5,12,31)) &lt; MAX($G$2, DATE(Initialisatie!$C$5,1,1)), 0, MONTH(MIN($G$1, DATE(Initialisatie!$C$5,12,31))) - MONTH(MAX($G$2, DATE(Initialisatie!$C$5,1,1))) + 1))
    ) / 12
)</f>
        <v>2865.5</v>
      </c>
    </row>
    <row r="48" spans="1:10" x14ac:dyDescent="0.45">
      <c r="A48" s="1003"/>
      <c r="B48" s="374">
        <v>11</v>
      </c>
      <c r="C48" s="373">
        <v>16</v>
      </c>
      <c r="D48" s="48">
        <v>2877</v>
      </c>
      <c r="E48" s="48">
        <v>2992</v>
      </c>
      <c r="F48" s="48">
        <v>3052</v>
      </c>
      <c r="G48" s="48">
        <v>2532</v>
      </c>
      <c r="I48">
        <f>IF(
    OR(
        AND(MAX(0, MIN($D$1, DATE(Initialisatie!$C$5,12,31)) - MAX($D$2, DATE(Initialisatie!$C$5,1,1)) + 1) &gt; 0, IFERROR(VALUE($D48),0)=0),
        AND(MAX(0, MIN($E$1, DATE(Initialisatie!$C$5,12,31)) - MAX($E$2, DATE(Initialisatie!$C$5,1,1)) + 1) &gt; 0, IFERROR(VALUE($E48),0)=0),
        AND(MAX(0, MIN($F$1, DATE(Initialisatie!$C$5,12,31)) - MAX($F$2, DATE(Initialisatie!$C$5,1,1)) + 1) &gt; 0, IFERROR(VALUE($F48),0)=0),
        AND(MAX(0, MIN($G$1, DATE(Initialisatie!$C$5,12,31)) - MAX($G$2, DATE(Initialisatie!$C$5,1,1)) + 1) &gt; 0, IFERROR(VALUE($G48),0)=0)
    ),
    0,
    SUM(
        IFERROR(VALUE($D48),0) * MAX(0, MIN($D$1, DATE(Initialisatie!$C$5,12,31)) - MAX($D$2, DATE(Initialisatie!$C$5,1,1)) + 1),
        IFERROR(VALUE($E48),0) * MAX(0, MIN($E$1, DATE(Initialisatie!$C$5,12,31)) - MAX($E$2, DATE(Initialisatie!$C$5,1,1)) + 1),
        IFERROR(VALUE($F48),0) * MAX(0, MIN($F$1, DATE(Initialisatie!$C$5,12,31)) - MAX($F$2, DATE(Initialisatie!$C$5,1,1)) + 1),
        IFERROR(VALUE($G48),0) * MAX(0, MIN($G$1, DATE(Initialisatie!$C$5,12,31)) - MAX($G$2, DATE(Initialisatie!$C$5,1,1)) + 1)
    ) / (DATE(Initialisatie!$C$5,12,31) - DATE(Initialisatie!$C$5,1,1) + 1)
)</f>
        <v>2945.3698630136987</v>
      </c>
      <c r="J48">
        <f>IF(
    OR(
        AND(MAX(0, IF(MIN($D$1, DATE(Initialisatie!$C$5,12,31)) &lt; MAX($D$2, DATE(Initialisatie!$C$5,1,1)), 0, MONTH(MIN($D$1, DATE(Initialisatie!$C$5,12,31))) - MONTH(MAX($D$2, DATE(Initialisatie!$C$5,1,1))) + 1)) &lt;= 0, IFERROR(VALUE($D48),0)=0),
        AND(MAX(0, IF(MIN($E$1, DATE(Initialisatie!$C$5,12,31)) &lt; MAX($E$2, DATE(Initialisatie!$C$5,1,1)), 0, MONTH(MIN($E$1, DATE(Initialisatie!$C$5,12,31))) - MONTH(MAX($E$2, DATE(Initialisatie!$C$5,1,1))) + 1)) &lt;= 0, IFERROR(VALUE($E48),0)=0),
        AND(MAX(0, IF(MIN($F$1, DATE(Initialisatie!$C$5,12,31)) &lt; MAX($F$2, DATE(Initialisatie!$C$5,1,1)), 0, MONTH(MIN($F$1, DATE(Initialisatie!$C$5,12,31))) - MONTH(MAX($F$2, DATE(Initialisatie!$C$5,1,1))) + 1)) &lt;= 0, IFERROR(VALUE($F48),0)=0),
        AND(MAX(0, IF(MIN($G$1, DATE(Initialisatie!$C$5,12,31)) &lt; MAX($G$2, DATE(Initialisatie!$C$5,1,1)), 0, MONTH(MIN($G$1, DATE(Initialisatie!$C$5,12,31))) - MONTH(MAX($G$2, DATE(Initialisatie!$C$5,1,1))) + 1)) &lt;= 0, IFERROR(VALUE($G48),0)=0)
    ),
    0,
    SUM(
        IFERROR(VALUE($D48),0) * MAX(0, IF(MIN($D$1, DATE(Initialisatie!$C$5,12,31)) &lt; MAX($D$2, DATE(Initialisatie!$C$5,1,1)), 0, MONTH(MIN($D$1, DATE(Initialisatie!$C$5,12,31))) - MONTH(MAX($D$2, DATE(Initialisatie!$C$5,1,1))) + 1)),
        IFERROR(VALUE($E48),0) * MAX(0, IF(MIN($E$1, DATE(Initialisatie!$C$5,12,31)) &lt; MAX($E$2, DATE(Initialisatie!$C$5,1,1)), 0, MONTH(MIN($E$1, DATE(Initialisatie!$C$5,12,31))) - MONTH(MAX($E$2, DATE(Initialisatie!$C$5,1,1))) + 1)),
        IFERROR(VALUE($F48),0) * MAX(0, IF(MIN($F$1, DATE(Initialisatie!$C$5,12,31)) &lt; MAX($F$2, DATE(Initialisatie!$C$5,1,1)), 0, MONTH(MIN($F$1, DATE(Initialisatie!$C$5,12,31))) - MONTH(MAX($F$2, DATE(Initialisatie!$C$5,1,1))) + 1)),
        IFERROR(VALUE($G48),0) * MAX(0, IF(MIN($G$1, DATE(Initialisatie!$C$5,12,31)) &lt; MAX($G$2, DATE(Initialisatie!$C$5,1,1)), 0, MONTH(MIN($G$1, DATE(Initialisatie!$C$5,12,31))) - MONTH(MAX($G$2, DATE(Initialisatie!$C$5,1,1))) + 1))
    ) / 12
)</f>
        <v>2945.3333333333335</v>
      </c>
    </row>
    <row r="49" spans="1:10" x14ac:dyDescent="0.45">
      <c r="A49" s="999">
        <v>25</v>
      </c>
      <c r="B49" s="374">
        <v>0</v>
      </c>
      <c r="C49" s="373">
        <v>5</v>
      </c>
      <c r="D49" s="48">
        <v>2203</v>
      </c>
      <c r="E49" s="48">
        <v>2291</v>
      </c>
      <c r="F49" s="48">
        <v>2337</v>
      </c>
      <c r="G49" s="48">
        <v>2384</v>
      </c>
      <c r="I49">
        <f>IF(
    OR(
        AND(MAX(0, MIN($D$1, DATE(Initialisatie!$C$5,12,31)) - MAX($D$2, DATE(Initialisatie!$C$5,1,1)) + 1) &gt; 0, IFERROR(VALUE($D49),0)=0),
        AND(MAX(0, MIN($E$1, DATE(Initialisatie!$C$5,12,31)) - MAX($E$2, DATE(Initialisatie!$C$5,1,1)) + 1) &gt; 0, IFERROR(VALUE($E49),0)=0),
        AND(MAX(0, MIN($F$1, DATE(Initialisatie!$C$5,12,31)) - MAX($F$2, DATE(Initialisatie!$C$5,1,1)) + 1) &gt; 0, IFERROR(VALUE($F49),0)=0),
        AND(MAX(0, MIN($G$1, DATE(Initialisatie!$C$5,12,31)) - MAX($G$2, DATE(Initialisatie!$C$5,1,1)) + 1) &gt; 0, IFERROR(VALUE($G49),0)=0)
    ),
    0,
    SUM(
        IFERROR(VALUE($D49),0) * MAX(0, MIN($D$1, DATE(Initialisatie!$C$5,12,31)) - MAX($D$2, DATE(Initialisatie!$C$5,1,1)) + 1),
        IFERROR(VALUE($E49),0) * MAX(0, MIN($E$1, DATE(Initialisatie!$C$5,12,31)) - MAX($E$2, DATE(Initialisatie!$C$5,1,1)) + 1),
        IFERROR(VALUE($F49),0) * MAX(0, MIN($F$1, DATE(Initialisatie!$C$5,12,31)) - MAX($F$2, DATE(Initialisatie!$C$5,1,1)) + 1),
        IFERROR(VALUE($G49),0) * MAX(0, MIN($G$1, DATE(Initialisatie!$C$5,12,31)) - MAX($G$2, DATE(Initialisatie!$C$5,1,1)) + 1)
    ) / (DATE(Initialisatie!$C$5,12,31) - DATE(Initialisatie!$C$5,1,1) + 1)
)</f>
        <v>2329.7315068493149</v>
      </c>
      <c r="J49">
        <f>IF(
    OR(
        AND(MAX(0, IF(MIN($D$1, DATE(Initialisatie!$C$5,12,31)) &lt; MAX($D$2, DATE(Initialisatie!$C$5,1,1)), 0, MONTH(MIN($D$1, DATE(Initialisatie!$C$5,12,31))) - MONTH(MAX($D$2, DATE(Initialisatie!$C$5,1,1))) + 1)) &lt;= 0, IFERROR(VALUE($D49),0)=0),
        AND(MAX(0, IF(MIN($E$1, DATE(Initialisatie!$C$5,12,31)) &lt; MAX($E$2, DATE(Initialisatie!$C$5,1,1)), 0, MONTH(MIN($E$1, DATE(Initialisatie!$C$5,12,31))) - MONTH(MAX($E$2, DATE(Initialisatie!$C$5,1,1))) + 1)) &lt;= 0, IFERROR(VALUE($E49),0)=0),
        AND(MAX(0, IF(MIN($F$1, DATE(Initialisatie!$C$5,12,31)) &lt; MAX($F$2, DATE(Initialisatie!$C$5,1,1)), 0, MONTH(MIN($F$1, DATE(Initialisatie!$C$5,12,31))) - MONTH(MAX($F$2, DATE(Initialisatie!$C$5,1,1))) + 1)) &lt;= 0, IFERROR(VALUE($F49),0)=0),
        AND(MAX(0, IF(MIN($G$1, DATE(Initialisatie!$C$5,12,31)) &lt; MAX($G$2, DATE(Initialisatie!$C$5,1,1)), 0, MONTH(MIN($G$1, DATE(Initialisatie!$C$5,12,31))) - MONTH(MAX($G$2, DATE(Initialisatie!$C$5,1,1))) + 1)) &lt;= 0, IFERROR(VALUE($G49),0)=0)
    ),
    0,
    SUM(
        IFERROR(VALUE($D49),0) * MAX(0, IF(MIN($D$1, DATE(Initialisatie!$C$5,12,31)) &lt; MAX($D$2, DATE(Initialisatie!$C$5,1,1)), 0, MONTH(MIN($D$1, DATE(Initialisatie!$C$5,12,31))) - MONTH(MAX($D$2, DATE(Initialisatie!$C$5,1,1))) + 1)),
        IFERROR(VALUE($E49),0) * MAX(0, IF(MIN($E$1, DATE(Initialisatie!$C$5,12,31)) &lt; MAX($E$2, DATE(Initialisatie!$C$5,1,1)), 0, MONTH(MIN($E$1, DATE(Initialisatie!$C$5,12,31))) - MONTH(MAX($E$2, DATE(Initialisatie!$C$5,1,1))) + 1)),
        IFERROR(VALUE($F49),0) * MAX(0, IF(MIN($F$1, DATE(Initialisatie!$C$5,12,31)) &lt; MAX($F$2, DATE(Initialisatie!$C$5,1,1)), 0, MONTH(MIN($F$1, DATE(Initialisatie!$C$5,12,31))) - MONTH(MAX($F$2, DATE(Initialisatie!$C$5,1,1))) + 1)),
        IFERROR(VALUE($G49),0) * MAX(0, IF(MIN($G$1, DATE(Initialisatie!$C$5,12,31)) &lt; MAX($G$2, DATE(Initialisatie!$C$5,1,1)), 0, MONTH(MIN($G$1, DATE(Initialisatie!$C$5,12,31))) - MONTH(MAX($G$2, DATE(Initialisatie!$C$5,1,1))) + 1))
    ) / 12
)</f>
        <v>2329.5</v>
      </c>
    </row>
    <row r="50" spans="1:10" x14ac:dyDescent="0.45">
      <c r="A50" s="999"/>
      <c r="B50" s="374">
        <v>1</v>
      </c>
      <c r="C50" s="373">
        <v>7</v>
      </c>
      <c r="D50" s="48">
        <v>2290</v>
      </c>
      <c r="E50" s="48">
        <v>2382</v>
      </c>
      <c r="F50" s="48">
        <v>2430</v>
      </c>
      <c r="G50" s="48">
        <v>2479</v>
      </c>
      <c r="I50">
        <f>IF(
    OR(
        AND(MAX(0, MIN($D$1, DATE(Initialisatie!$C$5,12,31)) - MAX($D$2, DATE(Initialisatie!$C$5,1,1)) + 1) &gt; 0, IFERROR(VALUE($D50),0)=0),
        AND(MAX(0, MIN($E$1, DATE(Initialisatie!$C$5,12,31)) - MAX($E$2, DATE(Initialisatie!$C$5,1,1)) + 1) &gt; 0, IFERROR(VALUE($E50),0)=0),
        AND(MAX(0, MIN($F$1, DATE(Initialisatie!$C$5,12,31)) - MAX($F$2, DATE(Initialisatie!$C$5,1,1)) + 1) &gt; 0, IFERROR(VALUE($F50),0)=0),
        AND(MAX(0, MIN($G$1, DATE(Initialisatie!$C$5,12,31)) - MAX($G$2, DATE(Initialisatie!$C$5,1,1)) + 1) &gt; 0, IFERROR(VALUE($G50),0)=0)
    ),
    0,
    SUM(
        IFERROR(VALUE($D50),0) * MAX(0, MIN($D$1, DATE(Initialisatie!$C$5,12,31)) - MAX($D$2, DATE(Initialisatie!$C$5,1,1)) + 1),
        IFERROR(VALUE($E50),0) * MAX(0, MIN($E$1, DATE(Initialisatie!$C$5,12,31)) - MAX($E$2, DATE(Initialisatie!$C$5,1,1)) + 1),
        IFERROR(VALUE($F50),0) * MAX(0, MIN($F$1, DATE(Initialisatie!$C$5,12,31)) - MAX($F$2, DATE(Initialisatie!$C$5,1,1)) + 1),
        IFERROR(VALUE($G50),0) * MAX(0, MIN($G$1, DATE(Initialisatie!$C$5,12,31)) - MAX($G$2, DATE(Initialisatie!$C$5,1,1)) + 1)
    ) / (DATE(Initialisatie!$C$5,12,31) - DATE(Initialisatie!$C$5,1,1) + 1)
)</f>
        <v>2422.4082191780822</v>
      </c>
      <c r="J50">
        <f>IF(
    OR(
        AND(MAX(0, IF(MIN($D$1, DATE(Initialisatie!$C$5,12,31)) &lt; MAX($D$2, DATE(Initialisatie!$C$5,1,1)), 0, MONTH(MIN($D$1, DATE(Initialisatie!$C$5,12,31))) - MONTH(MAX($D$2, DATE(Initialisatie!$C$5,1,1))) + 1)) &lt;= 0, IFERROR(VALUE($D50),0)=0),
        AND(MAX(0, IF(MIN($E$1, DATE(Initialisatie!$C$5,12,31)) &lt; MAX($E$2, DATE(Initialisatie!$C$5,1,1)), 0, MONTH(MIN($E$1, DATE(Initialisatie!$C$5,12,31))) - MONTH(MAX($E$2, DATE(Initialisatie!$C$5,1,1))) + 1)) &lt;= 0, IFERROR(VALUE($E50),0)=0),
        AND(MAX(0, IF(MIN($F$1, DATE(Initialisatie!$C$5,12,31)) &lt; MAX($F$2, DATE(Initialisatie!$C$5,1,1)), 0, MONTH(MIN($F$1, DATE(Initialisatie!$C$5,12,31))) - MONTH(MAX($F$2, DATE(Initialisatie!$C$5,1,1))) + 1)) &lt;= 0, IFERROR(VALUE($F50),0)=0),
        AND(MAX(0, IF(MIN($G$1, DATE(Initialisatie!$C$5,12,31)) &lt; MAX($G$2, DATE(Initialisatie!$C$5,1,1)), 0, MONTH(MIN($G$1, DATE(Initialisatie!$C$5,12,31))) - MONTH(MAX($G$2, DATE(Initialisatie!$C$5,1,1))) + 1)) &lt;= 0, IFERROR(VALUE($G50),0)=0)
    ),
    0,
    SUM(
        IFERROR(VALUE($D50),0) * MAX(0, IF(MIN($D$1, DATE(Initialisatie!$C$5,12,31)) &lt; MAX($D$2, DATE(Initialisatie!$C$5,1,1)), 0, MONTH(MIN($D$1, DATE(Initialisatie!$C$5,12,31))) - MONTH(MAX($D$2, DATE(Initialisatie!$C$5,1,1))) + 1)),
        IFERROR(VALUE($E50),0) * MAX(0, IF(MIN($E$1, DATE(Initialisatie!$C$5,12,31)) &lt; MAX($E$2, DATE(Initialisatie!$C$5,1,1)), 0, MONTH(MIN($E$1, DATE(Initialisatie!$C$5,12,31))) - MONTH(MAX($E$2, DATE(Initialisatie!$C$5,1,1))) + 1)),
        IFERROR(VALUE($F50),0) * MAX(0, IF(MIN($F$1, DATE(Initialisatie!$C$5,12,31)) &lt; MAX($F$2, DATE(Initialisatie!$C$5,1,1)), 0, MONTH(MIN($F$1, DATE(Initialisatie!$C$5,12,31))) - MONTH(MAX($F$2, DATE(Initialisatie!$C$5,1,1))) + 1)),
        IFERROR(VALUE($G50),0) * MAX(0, IF(MIN($G$1, DATE(Initialisatie!$C$5,12,31)) &lt; MAX($G$2, DATE(Initialisatie!$C$5,1,1)), 0, MONTH(MIN($G$1, DATE(Initialisatie!$C$5,12,31))) - MONTH(MAX($G$2, DATE(Initialisatie!$C$5,1,1))) + 1))
    ) / 12
)</f>
        <v>2422.1666666666665</v>
      </c>
    </row>
    <row r="51" spans="1:10" x14ac:dyDescent="0.45">
      <c r="A51" s="999"/>
      <c r="B51" s="376">
        <v>2</v>
      </c>
      <c r="C51" s="373">
        <v>9</v>
      </c>
      <c r="D51" s="48">
        <v>2390</v>
      </c>
      <c r="E51" s="48">
        <v>2486</v>
      </c>
      <c r="F51" s="48">
        <v>2536</v>
      </c>
      <c r="G51" s="48">
        <v>2587</v>
      </c>
      <c r="I51">
        <f>IF(
    OR(
        AND(MAX(0, MIN($D$1, DATE(Initialisatie!$C$5,12,31)) - MAX($D$2, DATE(Initialisatie!$C$5,1,1)) + 1) &gt; 0, IFERROR(VALUE($D51),0)=0),
        AND(MAX(0, MIN($E$1, DATE(Initialisatie!$C$5,12,31)) - MAX($E$2, DATE(Initialisatie!$C$5,1,1)) + 1) &gt; 0, IFERROR(VALUE($E51),0)=0),
        AND(MAX(0, MIN($F$1, DATE(Initialisatie!$C$5,12,31)) - MAX($F$2, DATE(Initialisatie!$C$5,1,1)) + 1) &gt; 0, IFERROR(VALUE($F51),0)=0),
        AND(MAX(0, MIN($G$1, DATE(Initialisatie!$C$5,12,31)) - MAX($G$2, DATE(Initialisatie!$C$5,1,1)) + 1) &gt; 0, IFERROR(VALUE($G51),0)=0)
    ),
    0,
    SUM(
        IFERROR(VALUE($D51),0) * MAX(0, MIN($D$1, DATE(Initialisatie!$C$5,12,31)) - MAX($D$2, DATE(Initialisatie!$C$5,1,1)) + 1),
        IFERROR(VALUE($E51),0) * MAX(0, MIN($E$1, DATE(Initialisatie!$C$5,12,31)) - MAX($E$2, DATE(Initialisatie!$C$5,1,1)) + 1),
        IFERROR(VALUE($F51),0) * MAX(0, MIN($F$1, DATE(Initialisatie!$C$5,12,31)) - MAX($F$2, DATE(Initialisatie!$C$5,1,1)) + 1),
        IFERROR(VALUE($G51),0) * MAX(0, MIN($G$1, DATE(Initialisatie!$C$5,12,31)) - MAX($G$2, DATE(Initialisatie!$C$5,1,1)) + 1)
    ) / (DATE(Initialisatie!$C$5,12,31) - DATE(Initialisatie!$C$5,1,1) + 1)
)</f>
        <v>2528.0849315068494</v>
      </c>
      <c r="J51">
        <f>IF(
    OR(
        AND(MAX(0, IF(MIN($D$1, DATE(Initialisatie!$C$5,12,31)) &lt; MAX($D$2, DATE(Initialisatie!$C$5,1,1)), 0, MONTH(MIN($D$1, DATE(Initialisatie!$C$5,12,31))) - MONTH(MAX($D$2, DATE(Initialisatie!$C$5,1,1))) + 1)) &lt;= 0, IFERROR(VALUE($D51),0)=0),
        AND(MAX(0, IF(MIN($E$1, DATE(Initialisatie!$C$5,12,31)) &lt; MAX($E$2, DATE(Initialisatie!$C$5,1,1)), 0, MONTH(MIN($E$1, DATE(Initialisatie!$C$5,12,31))) - MONTH(MAX($E$2, DATE(Initialisatie!$C$5,1,1))) + 1)) &lt;= 0, IFERROR(VALUE($E51),0)=0),
        AND(MAX(0, IF(MIN($F$1, DATE(Initialisatie!$C$5,12,31)) &lt; MAX($F$2, DATE(Initialisatie!$C$5,1,1)), 0, MONTH(MIN($F$1, DATE(Initialisatie!$C$5,12,31))) - MONTH(MAX($F$2, DATE(Initialisatie!$C$5,1,1))) + 1)) &lt;= 0, IFERROR(VALUE($F51),0)=0),
        AND(MAX(0, IF(MIN($G$1, DATE(Initialisatie!$C$5,12,31)) &lt; MAX($G$2, DATE(Initialisatie!$C$5,1,1)), 0, MONTH(MIN($G$1, DATE(Initialisatie!$C$5,12,31))) - MONTH(MAX($G$2, DATE(Initialisatie!$C$5,1,1))) + 1)) &lt;= 0, IFERROR(VALUE($G51),0)=0)
    ),
    0,
    SUM(
        IFERROR(VALUE($D51),0) * MAX(0, IF(MIN($D$1, DATE(Initialisatie!$C$5,12,31)) &lt; MAX($D$2, DATE(Initialisatie!$C$5,1,1)), 0, MONTH(MIN($D$1, DATE(Initialisatie!$C$5,12,31))) - MONTH(MAX($D$2, DATE(Initialisatie!$C$5,1,1))) + 1)),
        IFERROR(VALUE($E51),0) * MAX(0, IF(MIN($E$1, DATE(Initialisatie!$C$5,12,31)) &lt; MAX($E$2, DATE(Initialisatie!$C$5,1,1)), 0, MONTH(MIN($E$1, DATE(Initialisatie!$C$5,12,31))) - MONTH(MAX($E$2, DATE(Initialisatie!$C$5,1,1))) + 1)),
        IFERROR(VALUE($F51),0) * MAX(0, IF(MIN($F$1, DATE(Initialisatie!$C$5,12,31)) &lt; MAX($F$2, DATE(Initialisatie!$C$5,1,1)), 0, MONTH(MIN($F$1, DATE(Initialisatie!$C$5,12,31))) - MONTH(MAX($F$2, DATE(Initialisatie!$C$5,1,1))) + 1)),
        IFERROR(VALUE($G51),0) * MAX(0, IF(MIN($G$1, DATE(Initialisatie!$C$5,12,31)) &lt; MAX($G$2, DATE(Initialisatie!$C$5,1,1)), 0, MONTH(MIN($G$1, DATE(Initialisatie!$C$5,12,31))) - MONTH(MAX($G$2, DATE(Initialisatie!$C$5,1,1))) + 1))
    ) / 12
)</f>
        <v>2527.8333333333335</v>
      </c>
    </row>
    <row r="52" spans="1:10" x14ac:dyDescent="0.45">
      <c r="A52" s="999"/>
      <c r="B52" s="372">
        <v>3</v>
      </c>
      <c r="C52" s="373">
        <v>10</v>
      </c>
      <c r="D52" s="48">
        <v>2448</v>
      </c>
      <c r="E52" s="48">
        <v>2546</v>
      </c>
      <c r="F52" s="48">
        <v>2597</v>
      </c>
      <c r="G52" s="48">
        <v>2649</v>
      </c>
      <c r="I52">
        <f>IF(
    OR(
        AND(MAX(0, MIN($D$1, DATE(Initialisatie!$C$5,12,31)) - MAX($D$2, DATE(Initialisatie!$C$5,1,1)) + 1) &gt; 0, IFERROR(VALUE($D52),0)=0),
        AND(MAX(0, MIN($E$1, DATE(Initialisatie!$C$5,12,31)) - MAX($E$2, DATE(Initialisatie!$C$5,1,1)) + 1) &gt; 0, IFERROR(VALUE($E52),0)=0),
        AND(MAX(0, MIN($F$1, DATE(Initialisatie!$C$5,12,31)) - MAX($F$2, DATE(Initialisatie!$C$5,1,1)) + 1) &gt; 0, IFERROR(VALUE($F52),0)=0),
        AND(MAX(0, MIN($G$1, DATE(Initialisatie!$C$5,12,31)) - MAX($G$2, DATE(Initialisatie!$C$5,1,1)) + 1) &gt; 0, IFERROR(VALUE($G52),0)=0)
    ),
    0,
    SUM(
        IFERROR(VALUE($D52),0) * MAX(0, MIN($D$1, DATE(Initialisatie!$C$5,12,31)) - MAX($D$2, DATE(Initialisatie!$C$5,1,1)) + 1),
        IFERROR(VALUE($E52),0) * MAX(0, MIN($E$1, DATE(Initialisatie!$C$5,12,31)) - MAX($E$2, DATE(Initialisatie!$C$5,1,1)) + 1),
        IFERROR(VALUE($F52),0) * MAX(0, MIN($F$1, DATE(Initialisatie!$C$5,12,31)) - MAX($F$2, DATE(Initialisatie!$C$5,1,1)) + 1),
        IFERROR(VALUE($G52),0) * MAX(0, MIN($G$1, DATE(Initialisatie!$C$5,12,31)) - MAX($G$2, DATE(Initialisatie!$C$5,1,1)) + 1)
    ) / (DATE(Initialisatie!$C$5,12,31) - DATE(Initialisatie!$C$5,1,1) + 1)
)</f>
        <v>2588.9232876712331</v>
      </c>
      <c r="J52">
        <f>IF(
    OR(
        AND(MAX(0, IF(MIN($D$1, DATE(Initialisatie!$C$5,12,31)) &lt; MAX($D$2, DATE(Initialisatie!$C$5,1,1)), 0, MONTH(MIN($D$1, DATE(Initialisatie!$C$5,12,31))) - MONTH(MAX($D$2, DATE(Initialisatie!$C$5,1,1))) + 1)) &lt;= 0, IFERROR(VALUE($D52),0)=0),
        AND(MAX(0, IF(MIN($E$1, DATE(Initialisatie!$C$5,12,31)) &lt; MAX($E$2, DATE(Initialisatie!$C$5,1,1)), 0, MONTH(MIN($E$1, DATE(Initialisatie!$C$5,12,31))) - MONTH(MAX($E$2, DATE(Initialisatie!$C$5,1,1))) + 1)) &lt;= 0, IFERROR(VALUE($E52),0)=0),
        AND(MAX(0, IF(MIN($F$1, DATE(Initialisatie!$C$5,12,31)) &lt; MAX($F$2, DATE(Initialisatie!$C$5,1,1)), 0, MONTH(MIN($F$1, DATE(Initialisatie!$C$5,12,31))) - MONTH(MAX($F$2, DATE(Initialisatie!$C$5,1,1))) + 1)) &lt;= 0, IFERROR(VALUE($F52),0)=0),
        AND(MAX(0, IF(MIN($G$1, DATE(Initialisatie!$C$5,12,31)) &lt; MAX($G$2, DATE(Initialisatie!$C$5,1,1)), 0, MONTH(MIN($G$1, DATE(Initialisatie!$C$5,12,31))) - MONTH(MAX($G$2, DATE(Initialisatie!$C$5,1,1))) + 1)) &lt;= 0, IFERROR(VALUE($G52),0)=0)
    ),
    0,
    SUM(
        IFERROR(VALUE($D52),0) * MAX(0, IF(MIN($D$1, DATE(Initialisatie!$C$5,12,31)) &lt; MAX($D$2, DATE(Initialisatie!$C$5,1,1)), 0, MONTH(MIN($D$1, DATE(Initialisatie!$C$5,12,31))) - MONTH(MAX($D$2, DATE(Initialisatie!$C$5,1,1))) + 1)),
        IFERROR(VALUE($E52),0) * MAX(0, IF(MIN($E$1, DATE(Initialisatie!$C$5,12,31)) &lt; MAX($E$2, DATE(Initialisatie!$C$5,1,1)), 0, MONTH(MIN($E$1, DATE(Initialisatie!$C$5,12,31))) - MONTH(MAX($E$2, DATE(Initialisatie!$C$5,1,1))) + 1)),
        IFERROR(VALUE($F52),0) * MAX(0, IF(MIN($F$1, DATE(Initialisatie!$C$5,12,31)) &lt; MAX($F$2, DATE(Initialisatie!$C$5,1,1)), 0, MONTH(MIN($F$1, DATE(Initialisatie!$C$5,12,31))) - MONTH(MAX($F$2, DATE(Initialisatie!$C$5,1,1))) + 1)),
        IFERROR(VALUE($G52),0) * MAX(0, IF(MIN($G$1, DATE(Initialisatie!$C$5,12,31)) &lt; MAX($G$2, DATE(Initialisatie!$C$5,1,1)), 0, MONTH(MIN($G$1, DATE(Initialisatie!$C$5,12,31))) - MONTH(MAX($G$2, DATE(Initialisatie!$C$5,1,1))) + 1))
    ) / 12
)</f>
        <v>2588.6666666666665</v>
      </c>
    </row>
    <row r="53" spans="1:10" x14ac:dyDescent="0.45">
      <c r="A53" s="999"/>
      <c r="B53" s="372">
        <v>4</v>
      </c>
      <c r="C53" s="373">
        <v>11</v>
      </c>
      <c r="D53" s="48">
        <v>2512</v>
      </c>
      <c r="E53" s="48">
        <v>2612</v>
      </c>
      <c r="F53" s="48">
        <v>2664</v>
      </c>
      <c r="G53" s="48">
        <v>2717</v>
      </c>
      <c r="I53">
        <f>IF(
    OR(
        AND(MAX(0, MIN($D$1, DATE(Initialisatie!$C$5,12,31)) - MAX($D$2, DATE(Initialisatie!$C$5,1,1)) + 1) &gt; 0, IFERROR(VALUE($D53),0)=0),
        AND(MAX(0, MIN($E$1, DATE(Initialisatie!$C$5,12,31)) - MAX($E$2, DATE(Initialisatie!$C$5,1,1)) + 1) &gt; 0, IFERROR(VALUE($E53),0)=0),
        AND(MAX(0, MIN($F$1, DATE(Initialisatie!$C$5,12,31)) - MAX($F$2, DATE(Initialisatie!$C$5,1,1)) + 1) &gt; 0, IFERROR(VALUE($F53),0)=0),
        AND(MAX(0, MIN($G$1, DATE(Initialisatie!$C$5,12,31)) - MAX($G$2, DATE(Initialisatie!$C$5,1,1)) + 1) &gt; 0, IFERROR(VALUE($G53),0)=0)
    ),
    0,
    SUM(
        IFERROR(VALUE($D53),0) * MAX(0, MIN($D$1, DATE(Initialisatie!$C$5,12,31)) - MAX($D$2, DATE(Initialisatie!$C$5,1,1)) + 1),
        IFERROR(VALUE($E53),0) * MAX(0, MIN($E$1, DATE(Initialisatie!$C$5,12,31)) - MAX($E$2, DATE(Initialisatie!$C$5,1,1)) + 1),
        IFERROR(VALUE($F53),0) * MAX(0, MIN($F$1, DATE(Initialisatie!$C$5,12,31)) - MAX($F$2, DATE(Initialisatie!$C$5,1,1)) + 1),
        IFERROR(VALUE($G53),0) * MAX(0, MIN($G$1, DATE(Initialisatie!$C$5,12,31)) - MAX($G$2, DATE(Initialisatie!$C$5,1,1)) + 1)
    ) / (DATE(Initialisatie!$C$5,12,31) - DATE(Initialisatie!$C$5,1,1) + 1)
)</f>
        <v>2655.7616438356163</v>
      </c>
      <c r="J53">
        <f>IF(
    OR(
        AND(MAX(0, IF(MIN($D$1, DATE(Initialisatie!$C$5,12,31)) &lt; MAX($D$2, DATE(Initialisatie!$C$5,1,1)), 0, MONTH(MIN($D$1, DATE(Initialisatie!$C$5,12,31))) - MONTH(MAX($D$2, DATE(Initialisatie!$C$5,1,1))) + 1)) &lt;= 0, IFERROR(VALUE($D53),0)=0),
        AND(MAX(0, IF(MIN($E$1, DATE(Initialisatie!$C$5,12,31)) &lt; MAX($E$2, DATE(Initialisatie!$C$5,1,1)), 0, MONTH(MIN($E$1, DATE(Initialisatie!$C$5,12,31))) - MONTH(MAX($E$2, DATE(Initialisatie!$C$5,1,1))) + 1)) &lt;= 0, IFERROR(VALUE($E53),0)=0),
        AND(MAX(0, IF(MIN($F$1, DATE(Initialisatie!$C$5,12,31)) &lt; MAX($F$2, DATE(Initialisatie!$C$5,1,1)), 0, MONTH(MIN($F$1, DATE(Initialisatie!$C$5,12,31))) - MONTH(MAX($F$2, DATE(Initialisatie!$C$5,1,1))) + 1)) &lt;= 0, IFERROR(VALUE($F53),0)=0),
        AND(MAX(0, IF(MIN($G$1, DATE(Initialisatie!$C$5,12,31)) &lt; MAX($G$2, DATE(Initialisatie!$C$5,1,1)), 0, MONTH(MIN($G$1, DATE(Initialisatie!$C$5,12,31))) - MONTH(MAX($G$2, DATE(Initialisatie!$C$5,1,1))) + 1)) &lt;= 0, IFERROR(VALUE($G53),0)=0)
    ),
    0,
    SUM(
        IFERROR(VALUE($D53),0) * MAX(0, IF(MIN($D$1, DATE(Initialisatie!$C$5,12,31)) &lt; MAX($D$2, DATE(Initialisatie!$C$5,1,1)), 0, MONTH(MIN($D$1, DATE(Initialisatie!$C$5,12,31))) - MONTH(MAX($D$2, DATE(Initialisatie!$C$5,1,1))) + 1)),
        IFERROR(VALUE($E53),0) * MAX(0, IF(MIN($E$1, DATE(Initialisatie!$C$5,12,31)) &lt; MAX($E$2, DATE(Initialisatie!$C$5,1,1)), 0, MONTH(MIN($E$1, DATE(Initialisatie!$C$5,12,31))) - MONTH(MAX($E$2, DATE(Initialisatie!$C$5,1,1))) + 1)),
        IFERROR(VALUE($F53),0) * MAX(0, IF(MIN($F$1, DATE(Initialisatie!$C$5,12,31)) &lt; MAX($F$2, DATE(Initialisatie!$C$5,1,1)), 0, MONTH(MIN($F$1, DATE(Initialisatie!$C$5,12,31))) - MONTH(MAX($F$2, DATE(Initialisatie!$C$5,1,1))) + 1)),
        IFERROR(VALUE($G53),0) * MAX(0, IF(MIN($G$1, DATE(Initialisatie!$C$5,12,31)) &lt; MAX($G$2, DATE(Initialisatie!$C$5,1,1)), 0, MONTH(MIN($G$1, DATE(Initialisatie!$C$5,12,31))) - MONTH(MAX($G$2, DATE(Initialisatie!$C$5,1,1))) + 1))
    ) / 12
)</f>
        <v>2655.5</v>
      </c>
    </row>
    <row r="54" spans="1:10" x14ac:dyDescent="0.45">
      <c r="A54" s="999"/>
      <c r="B54" s="372">
        <v>5</v>
      </c>
      <c r="C54" s="373">
        <v>12</v>
      </c>
      <c r="D54" s="48">
        <v>2578</v>
      </c>
      <c r="E54" s="48">
        <v>2681</v>
      </c>
      <c r="F54" s="48">
        <v>2735</v>
      </c>
      <c r="G54" s="48">
        <v>2790</v>
      </c>
      <c r="I54">
        <f>IF(
    OR(
        AND(MAX(0, MIN($D$1, DATE(Initialisatie!$C$5,12,31)) - MAX($D$2, DATE(Initialisatie!$C$5,1,1)) + 1) &gt; 0, IFERROR(VALUE($D54),0)=0),
        AND(MAX(0, MIN($E$1, DATE(Initialisatie!$C$5,12,31)) - MAX($E$2, DATE(Initialisatie!$C$5,1,1)) + 1) &gt; 0, IFERROR(VALUE($E54),0)=0),
        AND(MAX(0, MIN($F$1, DATE(Initialisatie!$C$5,12,31)) - MAX($F$2, DATE(Initialisatie!$C$5,1,1)) + 1) &gt; 0, IFERROR(VALUE($F54),0)=0),
        AND(MAX(0, MIN($G$1, DATE(Initialisatie!$C$5,12,31)) - MAX($G$2, DATE(Initialisatie!$C$5,1,1)) + 1) &gt; 0, IFERROR(VALUE($G54),0)=0)
    ),
    0,
    SUM(
        IFERROR(VALUE($D54),0) * MAX(0, MIN($D$1, DATE(Initialisatie!$C$5,12,31)) - MAX($D$2, DATE(Initialisatie!$C$5,1,1)) + 1),
        IFERROR(VALUE($E54),0) * MAX(0, MIN($E$1, DATE(Initialisatie!$C$5,12,31)) - MAX($E$2, DATE(Initialisatie!$C$5,1,1)) + 1),
        IFERROR(VALUE($F54),0) * MAX(0, MIN($F$1, DATE(Initialisatie!$C$5,12,31)) - MAX($F$2, DATE(Initialisatie!$C$5,1,1)) + 1),
        IFERROR(VALUE($G54),0) * MAX(0, MIN($G$1, DATE(Initialisatie!$C$5,12,31)) - MAX($G$2, DATE(Initialisatie!$C$5,1,1)) + 1)
    ) / (DATE(Initialisatie!$C$5,12,31) - DATE(Initialisatie!$C$5,1,1) + 1)
)</f>
        <v>2726.4383561643835</v>
      </c>
      <c r="J54">
        <f>IF(
    OR(
        AND(MAX(0, IF(MIN($D$1, DATE(Initialisatie!$C$5,12,31)) &lt; MAX($D$2, DATE(Initialisatie!$C$5,1,1)), 0, MONTH(MIN($D$1, DATE(Initialisatie!$C$5,12,31))) - MONTH(MAX($D$2, DATE(Initialisatie!$C$5,1,1))) + 1)) &lt;= 0, IFERROR(VALUE($D54),0)=0),
        AND(MAX(0, IF(MIN($E$1, DATE(Initialisatie!$C$5,12,31)) &lt; MAX($E$2, DATE(Initialisatie!$C$5,1,1)), 0, MONTH(MIN($E$1, DATE(Initialisatie!$C$5,12,31))) - MONTH(MAX($E$2, DATE(Initialisatie!$C$5,1,1))) + 1)) &lt;= 0, IFERROR(VALUE($E54),0)=0),
        AND(MAX(0, IF(MIN($F$1, DATE(Initialisatie!$C$5,12,31)) &lt; MAX($F$2, DATE(Initialisatie!$C$5,1,1)), 0, MONTH(MIN($F$1, DATE(Initialisatie!$C$5,12,31))) - MONTH(MAX($F$2, DATE(Initialisatie!$C$5,1,1))) + 1)) &lt;= 0, IFERROR(VALUE($F54),0)=0),
        AND(MAX(0, IF(MIN($G$1, DATE(Initialisatie!$C$5,12,31)) &lt; MAX($G$2, DATE(Initialisatie!$C$5,1,1)), 0, MONTH(MIN($G$1, DATE(Initialisatie!$C$5,12,31))) - MONTH(MAX($G$2, DATE(Initialisatie!$C$5,1,1))) + 1)) &lt;= 0, IFERROR(VALUE($G54),0)=0)
    ),
    0,
    SUM(
        IFERROR(VALUE($D54),0) * MAX(0, IF(MIN($D$1, DATE(Initialisatie!$C$5,12,31)) &lt; MAX($D$2, DATE(Initialisatie!$C$5,1,1)), 0, MONTH(MIN($D$1, DATE(Initialisatie!$C$5,12,31))) - MONTH(MAX($D$2, DATE(Initialisatie!$C$5,1,1))) + 1)),
        IFERROR(VALUE($E54),0) * MAX(0, IF(MIN($E$1, DATE(Initialisatie!$C$5,12,31)) &lt; MAX($E$2, DATE(Initialisatie!$C$5,1,1)), 0, MONTH(MIN($E$1, DATE(Initialisatie!$C$5,12,31))) - MONTH(MAX($E$2, DATE(Initialisatie!$C$5,1,1))) + 1)),
        IFERROR(VALUE($F54),0) * MAX(0, IF(MIN($F$1, DATE(Initialisatie!$C$5,12,31)) &lt; MAX($F$2, DATE(Initialisatie!$C$5,1,1)), 0, MONTH(MIN($F$1, DATE(Initialisatie!$C$5,12,31))) - MONTH(MAX($F$2, DATE(Initialisatie!$C$5,1,1))) + 1)),
        IFERROR(VALUE($G54),0) * MAX(0, IF(MIN($G$1, DATE(Initialisatie!$C$5,12,31)) &lt; MAX($G$2, DATE(Initialisatie!$C$5,1,1)), 0, MONTH(MIN($G$1, DATE(Initialisatie!$C$5,12,31))) - MONTH(MAX($G$2, DATE(Initialisatie!$C$5,1,1))) + 1))
    ) / 12
)</f>
        <v>2726.1666666666665</v>
      </c>
    </row>
    <row r="55" spans="1:10" x14ac:dyDescent="0.45">
      <c r="A55" s="999"/>
      <c r="B55" s="372">
        <v>6</v>
      </c>
      <c r="C55" s="373">
        <v>13</v>
      </c>
      <c r="D55" s="48">
        <v>2651</v>
      </c>
      <c r="E55" s="48">
        <v>2757</v>
      </c>
      <c r="F55" s="48">
        <v>2812</v>
      </c>
      <c r="G55" s="48">
        <v>2868</v>
      </c>
      <c r="I55">
        <f>IF(
    OR(
        AND(MAX(0, MIN($D$1, DATE(Initialisatie!$C$5,12,31)) - MAX($D$2, DATE(Initialisatie!$C$5,1,1)) + 1) &gt; 0, IFERROR(VALUE($D55),0)=0),
        AND(MAX(0, MIN($E$1, DATE(Initialisatie!$C$5,12,31)) - MAX($E$2, DATE(Initialisatie!$C$5,1,1)) + 1) &gt; 0, IFERROR(VALUE($E55),0)=0),
        AND(MAX(0, MIN($F$1, DATE(Initialisatie!$C$5,12,31)) - MAX($F$2, DATE(Initialisatie!$C$5,1,1)) + 1) &gt; 0, IFERROR(VALUE($F55),0)=0),
        AND(MAX(0, MIN($G$1, DATE(Initialisatie!$C$5,12,31)) - MAX($G$2, DATE(Initialisatie!$C$5,1,1)) + 1) &gt; 0, IFERROR(VALUE($G55),0)=0)
    ),
    0,
    SUM(
        IFERROR(VALUE($D55),0) * MAX(0, MIN($D$1, DATE(Initialisatie!$C$5,12,31)) - MAX($D$2, DATE(Initialisatie!$C$5,1,1)) + 1),
        IFERROR(VALUE($E55),0) * MAX(0, MIN($E$1, DATE(Initialisatie!$C$5,12,31)) - MAX($E$2, DATE(Initialisatie!$C$5,1,1)) + 1),
        IFERROR(VALUE($F55),0) * MAX(0, MIN($F$1, DATE(Initialisatie!$C$5,12,31)) - MAX($F$2, DATE(Initialisatie!$C$5,1,1)) + 1),
        IFERROR(VALUE($G55),0) * MAX(0, MIN($G$1, DATE(Initialisatie!$C$5,12,31)) - MAX($G$2, DATE(Initialisatie!$C$5,1,1)) + 1)
    ) / (DATE(Initialisatie!$C$5,12,31) - DATE(Initialisatie!$C$5,1,1) + 1)
)</f>
        <v>2803.2767123287672</v>
      </c>
      <c r="J55">
        <f>IF(
    OR(
        AND(MAX(0, IF(MIN($D$1, DATE(Initialisatie!$C$5,12,31)) &lt; MAX($D$2, DATE(Initialisatie!$C$5,1,1)), 0, MONTH(MIN($D$1, DATE(Initialisatie!$C$5,12,31))) - MONTH(MAX($D$2, DATE(Initialisatie!$C$5,1,1))) + 1)) &lt;= 0, IFERROR(VALUE($D55),0)=0),
        AND(MAX(0, IF(MIN($E$1, DATE(Initialisatie!$C$5,12,31)) &lt; MAX($E$2, DATE(Initialisatie!$C$5,1,1)), 0, MONTH(MIN($E$1, DATE(Initialisatie!$C$5,12,31))) - MONTH(MAX($E$2, DATE(Initialisatie!$C$5,1,1))) + 1)) &lt;= 0, IFERROR(VALUE($E55),0)=0),
        AND(MAX(0, IF(MIN($F$1, DATE(Initialisatie!$C$5,12,31)) &lt; MAX($F$2, DATE(Initialisatie!$C$5,1,1)), 0, MONTH(MIN($F$1, DATE(Initialisatie!$C$5,12,31))) - MONTH(MAX($F$2, DATE(Initialisatie!$C$5,1,1))) + 1)) &lt;= 0, IFERROR(VALUE($F55),0)=0),
        AND(MAX(0, IF(MIN($G$1, DATE(Initialisatie!$C$5,12,31)) &lt; MAX($G$2, DATE(Initialisatie!$C$5,1,1)), 0, MONTH(MIN($G$1, DATE(Initialisatie!$C$5,12,31))) - MONTH(MAX($G$2, DATE(Initialisatie!$C$5,1,1))) + 1)) &lt;= 0, IFERROR(VALUE($G55),0)=0)
    ),
    0,
    SUM(
        IFERROR(VALUE($D55),0) * MAX(0, IF(MIN($D$1, DATE(Initialisatie!$C$5,12,31)) &lt; MAX($D$2, DATE(Initialisatie!$C$5,1,1)), 0, MONTH(MIN($D$1, DATE(Initialisatie!$C$5,12,31))) - MONTH(MAX($D$2, DATE(Initialisatie!$C$5,1,1))) + 1)),
        IFERROR(VALUE($E55),0) * MAX(0, IF(MIN($E$1, DATE(Initialisatie!$C$5,12,31)) &lt; MAX($E$2, DATE(Initialisatie!$C$5,1,1)), 0, MONTH(MIN($E$1, DATE(Initialisatie!$C$5,12,31))) - MONTH(MAX($E$2, DATE(Initialisatie!$C$5,1,1))) + 1)),
        IFERROR(VALUE($F55),0) * MAX(0, IF(MIN($F$1, DATE(Initialisatie!$C$5,12,31)) &lt; MAX($F$2, DATE(Initialisatie!$C$5,1,1)), 0, MONTH(MIN($F$1, DATE(Initialisatie!$C$5,12,31))) - MONTH(MAX($F$2, DATE(Initialisatie!$C$5,1,1))) + 1)),
        IFERROR(VALUE($G55),0) * MAX(0, IF(MIN($G$1, DATE(Initialisatie!$C$5,12,31)) &lt; MAX($G$2, DATE(Initialisatie!$C$5,1,1)), 0, MONTH(MIN($G$1, DATE(Initialisatie!$C$5,12,31))) - MONTH(MAX($G$2, DATE(Initialisatie!$C$5,1,1))) + 1))
    ) / 12
)</f>
        <v>2803</v>
      </c>
    </row>
    <row r="56" spans="1:10" x14ac:dyDescent="0.45">
      <c r="A56" s="999"/>
      <c r="B56" s="372">
        <v>7</v>
      </c>
      <c r="C56" s="373">
        <v>14</v>
      </c>
      <c r="D56" s="48">
        <v>2727</v>
      </c>
      <c r="E56" s="48">
        <v>2836</v>
      </c>
      <c r="F56" s="48">
        <v>2893</v>
      </c>
      <c r="G56" s="48">
        <v>2951</v>
      </c>
      <c r="I56">
        <f>IF(
    OR(
        AND(MAX(0, MIN($D$1, DATE(Initialisatie!$C$5,12,31)) - MAX($D$2, DATE(Initialisatie!$C$5,1,1)) + 1) &gt; 0, IFERROR(VALUE($D56),0)=0),
        AND(MAX(0, MIN($E$1, DATE(Initialisatie!$C$5,12,31)) - MAX($E$2, DATE(Initialisatie!$C$5,1,1)) + 1) &gt; 0, IFERROR(VALUE($E56),0)=0),
        AND(MAX(0, MIN($F$1, DATE(Initialisatie!$C$5,12,31)) - MAX($F$2, DATE(Initialisatie!$C$5,1,1)) + 1) &gt; 0, IFERROR(VALUE($F56),0)=0),
        AND(MAX(0, MIN($G$1, DATE(Initialisatie!$C$5,12,31)) - MAX($G$2, DATE(Initialisatie!$C$5,1,1)) + 1) &gt; 0, IFERROR(VALUE($G56),0)=0)
    ),
    0,
    SUM(
        IFERROR(VALUE($D56),0) * MAX(0, MIN($D$1, DATE(Initialisatie!$C$5,12,31)) - MAX($D$2, DATE(Initialisatie!$C$5,1,1)) + 1),
        IFERROR(VALUE($E56),0) * MAX(0, MIN($E$1, DATE(Initialisatie!$C$5,12,31)) - MAX($E$2, DATE(Initialisatie!$C$5,1,1)) + 1),
        IFERROR(VALUE($F56),0) * MAX(0, MIN($F$1, DATE(Initialisatie!$C$5,12,31)) - MAX($F$2, DATE(Initialisatie!$C$5,1,1)) + 1),
        IFERROR(VALUE($G56),0) * MAX(0, MIN($G$1, DATE(Initialisatie!$C$5,12,31)) - MAX($G$2, DATE(Initialisatie!$C$5,1,1)) + 1)
    ) / (DATE(Initialisatie!$C$5,12,31) - DATE(Initialisatie!$C$5,1,1) + 1)
)</f>
        <v>2883.9534246575345</v>
      </c>
      <c r="J56">
        <f>IF(
    OR(
        AND(MAX(0, IF(MIN($D$1, DATE(Initialisatie!$C$5,12,31)) &lt; MAX($D$2, DATE(Initialisatie!$C$5,1,1)), 0, MONTH(MIN($D$1, DATE(Initialisatie!$C$5,12,31))) - MONTH(MAX($D$2, DATE(Initialisatie!$C$5,1,1))) + 1)) &lt;= 0, IFERROR(VALUE($D56),0)=0),
        AND(MAX(0, IF(MIN($E$1, DATE(Initialisatie!$C$5,12,31)) &lt; MAX($E$2, DATE(Initialisatie!$C$5,1,1)), 0, MONTH(MIN($E$1, DATE(Initialisatie!$C$5,12,31))) - MONTH(MAX($E$2, DATE(Initialisatie!$C$5,1,1))) + 1)) &lt;= 0, IFERROR(VALUE($E56),0)=0),
        AND(MAX(0, IF(MIN($F$1, DATE(Initialisatie!$C$5,12,31)) &lt; MAX($F$2, DATE(Initialisatie!$C$5,1,1)), 0, MONTH(MIN($F$1, DATE(Initialisatie!$C$5,12,31))) - MONTH(MAX($F$2, DATE(Initialisatie!$C$5,1,1))) + 1)) &lt;= 0, IFERROR(VALUE($F56),0)=0),
        AND(MAX(0, IF(MIN($G$1, DATE(Initialisatie!$C$5,12,31)) &lt; MAX($G$2, DATE(Initialisatie!$C$5,1,1)), 0, MONTH(MIN($G$1, DATE(Initialisatie!$C$5,12,31))) - MONTH(MAX($G$2, DATE(Initialisatie!$C$5,1,1))) + 1)) &lt;= 0, IFERROR(VALUE($G56),0)=0)
    ),
    0,
    SUM(
        IFERROR(VALUE($D56),0) * MAX(0, IF(MIN($D$1, DATE(Initialisatie!$C$5,12,31)) &lt; MAX($D$2, DATE(Initialisatie!$C$5,1,1)), 0, MONTH(MIN($D$1, DATE(Initialisatie!$C$5,12,31))) - MONTH(MAX($D$2, DATE(Initialisatie!$C$5,1,1))) + 1)),
        IFERROR(VALUE($E56),0) * MAX(0, IF(MIN($E$1, DATE(Initialisatie!$C$5,12,31)) &lt; MAX($E$2, DATE(Initialisatie!$C$5,1,1)), 0, MONTH(MIN($E$1, DATE(Initialisatie!$C$5,12,31))) - MONTH(MAX($E$2, DATE(Initialisatie!$C$5,1,1))) + 1)),
        IFERROR(VALUE($F56),0) * MAX(0, IF(MIN($F$1, DATE(Initialisatie!$C$5,12,31)) &lt; MAX($F$2, DATE(Initialisatie!$C$5,1,1)), 0, MONTH(MIN($F$1, DATE(Initialisatie!$C$5,12,31))) - MONTH(MAX($F$2, DATE(Initialisatie!$C$5,1,1))) + 1)),
        IFERROR(VALUE($G56),0) * MAX(0, IF(MIN($G$1, DATE(Initialisatie!$C$5,12,31)) &lt; MAX($G$2, DATE(Initialisatie!$C$5,1,1)), 0, MONTH(MIN($G$1, DATE(Initialisatie!$C$5,12,31))) - MONTH(MAX($G$2, DATE(Initialisatie!$C$5,1,1))) + 1))
    ) / 12
)</f>
        <v>2883.6666666666665</v>
      </c>
    </row>
    <row r="57" spans="1:10" x14ac:dyDescent="0.45">
      <c r="A57" s="999"/>
      <c r="B57" s="372">
        <v>8</v>
      </c>
      <c r="C57" s="373">
        <v>15</v>
      </c>
      <c r="D57" s="48">
        <v>2796</v>
      </c>
      <c r="E57" s="48">
        <v>2908</v>
      </c>
      <c r="F57" s="48">
        <v>2966</v>
      </c>
      <c r="G57" s="48">
        <v>3025</v>
      </c>
      <c r="I57">
        <f>IF(
    OR(
        AND(MAX(0, MIN($D$1, DATE(Initialisatie!$C$5,12,31)) - MAX($D$2, DATE(Initialisatie!$C$5,1,1)) + 1) &gt; 0, IFERROR(VALUE($D57),0)=0),
        AND(MAX(0, MIN($E$1, DATE(Initialisatie!$C$5,12,31)) - MAX($E$2, DATE(Initialisatie!$C$5,1,1)) + 1) &gt; 0, IFERROR(VALUE($E57),0)=0),
        AND(MAX(0, MIN($F$1, DATE(Initialisatie!$C$5,12,31)) - MAX($F$2, DATE(Initialisatie!$C$5,1,1)) + 1) &gt; 0, IFERROR(VALUE($F57),0)=0),
        AND(MAX(0, MIN($G$1, DATE(Initialisatie!$C$5,12,31)) - MAX($G$2, DATE(Initialisatie!$C$5,1,1)) + 1) &gt; 0, IFERROR(VALUE($G57),0)=0)
    ),
    0,
    SUM(
        IFERROR(VALUE($D57),0) * MAX(0, MIN($D$1, DATE(Initialisatie!$C$5,12,31)) - MAX($D$2, DATE(Initialisatie!$C$5,1,1)) + 1),
        IFERROR(VALUE($E57),0) * MAX(0, MIN($E$1, DATE(Initialisatie!$C$5,12,31)) - MAX($E$2, DATE(Initialisatie!$C$5,1,1)) + 1),
        IFERROR(VALUE($F57),0) * MAX(0, MIN($F$1, DATE(Initialisatie!$C$5,12,31)) - MAX($F$2, DATE(Initialisatie!$C$5,1,1)) + 1),
        IFERROR(VALUE($G57),0) * MAX(0, MIN($G$1, DATE(Initialisatie!$C$5,12,31)) - MAX($G$2, DATE(Initialisatie!$C$5,1,1)) + 1)
    ) / (DATE(Initialisatie!$C$5,12,31) - DATE(Initialisatie!$C$5,1,1) + 1)
)</f>
        <v>2956.7917808219177</v>
      </c>
      <c r="J57">
        <f>IF(
    OR(
        AND(MAX(0, IF(MIN($D$1, DATE(Initialisatie!$C$5,12,31)) &lt; MAX($D$2, DATE(Initialisatie!$C$5,1,1)), 0, MONTH(MIN($D$1, DATE(Initialisatie!$C$5,12,31))) - MONTH(MAX($D$2, DATE(Initialisatie!$C$5,1,1))) + 1)) &lt;= 0, IFERROR(VALUE($D57),0)=0),
        AND(MAX(0, IF(MIN($E$1, DATE(Initialisatie!$C$5,12,31)) &lt; MAX($E$2, DATE(Initialisatie!$C$5,1,1)), 0, MONTH(MIN($E$1, DATE(Initialisatie!$C$5,12,31))) - MONTH(MAX($E$2, DATE(Initialisatie!$C$5,1,1))) + 1)) &lt;= 0, IFERROR(VALUE($E57),0)=0),
        AND(MAX(0, IF(MIN($F$1, DATE(Initialisatie!$C$5,12,31)) &lt; MAX($F$2, DATE(Initialisatie!$C$5,1,1)), 0, MONTH(MIN($F$1, DATE(Initialisatie!$C$5,12,31))) - MONTH(MAX($F$2, DATE(Initialisatie!$C$5,1,1))) + 1)) &lt;= 0, IFERROR(VALUE($F57),0)=0),
        AND(MAX(0, IF(MIN($G$1, DATE(Initialisatie!$C$5,12,31)) &lt; MAX($G$2, DATE(Initialisatie!$C$5,1,1)), 0, MONTH(MIN($G$1, DATE(Initialisatie!$C$5,12,31))) - MONTH(MAX($G$2, DATE(Initialisatie!$C$5,1,1))) + 1)) &lt;= 0, IFERROR(VALUE($G57),0)=0)
    ),
    0,
    SUM(
        IFERROR(VALUE($D57),0) * MAX(0, IF(MIN($D$1, DATE(Initialisatie!$C$5,12,31)) &lt; MAX($D$2, DATE(Initialisatie!$C$5,1,1)), 0, MONTH(MIN($D$1, DATE(Initialisatie!$C$5,12,31))) - MONTH(MAX($D$2, DATE(Initialisatie!$C$5,1,1))) + 1)),
        IFERROR(VALUE($E57),0) * MAX(0, IF(MIN($E$1, DATE(Initialisatie!$C$5,12,31)) &lt; MAX($E$2, DATE(Initialisatie!$C$5,1,1)), 0, MONTH(MIN($E$1, DATE(Initialisatie!$C$5,12,31))) - MONTH(MAX($E$2, DATE(Initialisatie!$C$5,1,1))) + 1)),
        IFERROR(VALUE($F57),0) * MAX(0, IF(MIN($F$1, DATE(Initialisatie!$C$5,12,31)) &lt; MAX($F$2, DATE(Initialisatie!$C$5,1,1)), 0, MONTH(MIN($F$1, DATE(Initialisatie!$C$5,12,31))) - MONTH(MAX($F$2, DATE(Initialisatie!$C$5,1,1))) + 1)),
        IFERROR(VALUE($G57),0) * MAX(0, IF(MIN($G$1, DATE(Initialisatie!$C$5,12,31)) &lt; MAX($G$2, DATE(Initialisatie!$C$5,1,1)), 0, MONTH(MIN($G$1, DATE(Initialisatie!$C$5,12,31))) - MONTH(MAX($G$2, DATE(Initialisatie!$C$5,1,1))) + 1))
    ) / 12
)</f>
        <v>2956.5</v>
      </c>
    </row>
    <row r="58" spans="1:10" x14ac:dyDescent="0.45">
      <c r="A58" s="999"/>
      <c r="B58" s="372">
        <v>9</v>
      </c>
      <c r="C58" s="373">
        <v>16</v>
      </c>
      <c r="D58" s="48">
        <v>2877</v>
      </c>
      <c r="E58" s="48">
        <v>2992</v>
      </c>
      <c r="F58" s="48">
        <v>3052</v>
      </c>
      <c r="G58" s="48">
        <v>3113</v>
      </c>
      <c r="I58">
        <f>IF(
    OR(
        AND(MAX(0, MIN($D$1, DATE(Initialisatie!$C$5,12,31)) - MAX($D$2, DATE(Initialisatie!$C$5,1,1)) + 1) &gt; 0, IFERROR(VALUE($D58),0)=0),
        AND(MAX(0, MIN($E$1, DATE(Initialisatie!$C$5,12,31)) - MAX($E$2, DATE(Initialisatie!$C$5,1,1)) + 1) &gt; 0, IFERROR(VALUE($E58),0)=0),
        AND(MAX(0, MIN($F$1, DATE(Initialisatie!$C$5,12,31)) - MAX($F$2, DATE(Initialisatie!$C$5,1,1)) + 1) &gt; 0, IFERROR(VALUE($F58),0)=0),
        AND(MAX(0, MIN($G$1, DATE(Initialisatie!$C$5,12,31)) - MAX($G$2, DATE(Initialisatie!$C$5,1,1)) + 1) &gt; 0, IFERROR(VALUE($G58),0)=0)
    ),
    0,
    SUM(
        IFERROR(VALUE($D58),0) * MAX(0, MIN($D$1, DATE(Initialisatie!$C$5,12,31)) - MAX($D$2, DATE(Initialisatie!$C$5,1,1)) + 1),
        IFERROR(VALUE($E58),0) * MAX(0, MIN($E$1, DATE(Initialisatie!$C$5,12,31)) - MAX($E$2, DATE(Initialisatie!$C$5,1,1)) + 1),
        IFERROR(VALUE($F58),0) * MAX(0, MIN($F$1, DATE(Initialisatie!$C$5,12,31)) - MAX($F$2, DATE(Initialisatie!$C$5,1,1)) + 1),
        IFERROR(VALUE($G58),0) * MAX(0, MIN($G$1, DATE(Initialisatie!$C$5,12,31)) - MAX($G$2, DATE(Initialisatie!$C$5,1,1)) + 1)
    ) / (DATE(Initialisatie!$C$5,12,31) - DATE(Initialisatie!$C$5,1,1) + 1)
)</f>
        <v>3042.4684931506849</v>
      </c>
      <c r="J58">
        <f>IF(
    OR(
        AND(MAX(0, IF(MIN($D$1, DATE(Initialisatie!$C$5,12,31)) &lt; MAX($D$2, DATE(Initialisatie!$C$5,1,1)), 0, MONTH(MIN($D$1, DATE(Initialisatie!$C$5,12,31))) - MONTH(MAX($D$2, DATE(Initialisatie!$C$5,1,1))) + 1)) &lt;= 0, IFERROR(VALUE($D58),0)=0),
        AND(MAX(0, IF(MIN($E$1, DATE(Initialisatie!$C$5,12,31)) &lt; MAX($E$2, DATE(Initialisatie!$C$5,1,1)), 0, MONTH(MIN($E$1, DATE(Initialisatie!$C$5,12,31))) - MONTH(MAX($E$2, DATE(Initialisatie!$C$5,1,1))) + 1)) &lt;= 0, IFERROR(VALUE($E58),0)=0),
        AND(MAX(0, IF(MIN($F$1, DATE(Initialisatie!$C$5,12,31)) &lt; MAX($F$2, DATE(Initialisatie!$C$5,1,1)), 0, MONTH(MIN($F$1, DATE(Initialisatie!$C$5,12,31))) - MONTH(MAX($F$2, DATE(Initialisatie!$C$5,1,1))) + 1)) &lt;= 0, IFERROR(VALUE($F58),0)=0),
        AND(MAX(0, IF(MIN($G$1, DATE(Initialisatie!$C$5,12,31)) &lt; MAX($G$2, DATE(Initialisatie!$C$5,1,1)), 0, MONTH(MIN($G$1, DATE(Initialisatie!$C$5,12,31))) - MONTH(MAX($G$2, DATE(Initialisatie!$C$5,1,1))) + 1)) &lt;= 0, IFERROR(VALUE($G58),0)=0)
    ),
    0,
    SUM(
        IFERROR(VALUE($D58),0) * MAX(0, IF(MIN($D$1, DATE(Initialisatie!$C$5,12,31)) &lt; MAX($D$2, DATE(Initialisatie!$C$5,1,1)), 0, MONTH(MIN($D$1, DATE(Initialisatie!$C$5,12,31))) - MONTH(MAX($D$2, DATE(Initialisatie!$C$5,1,1))) + 1)),
        IFERROR(VALUE($E58),0) * MAX(0, IF(MIN($E$1, DATE(Initialisatie!$C$5,12,31)) &lt; MAX($E$2, DATE(Initialisatie!$C$5,1,1)), 0, MONTH(MIN($E$1, DATE(Initialisatie!$C$5,12,31))) - MONTH(MAX($E$2, DATE(Initialisatie!$C$5,1,1))) + 1)),
        IFERROR(VALUE($F58),0) * MAX(0, IF(MIN($F$1, DATE(Initialisatie!$C$5,12,31)) &lt; MAX($F$2, DATE(Initialisatie!$C$5,1,1)), 0, MONTH(MIN($F$1, DATE(Initialisatie!$C$5,12,31))) - MONTH(MAX($F$2, DATE(Initialisatie!$C$5,1,1))) + 1)),
        IFERROR(VALUE($G58),0) * MAX(0, IF(MIN($G$1, DATE(Initialisatie!$C$5,12,31)) &lt; MAX($G$2, DATE(Initialisatie!$C$5,1,1)), 0, MONTH(MIN($G$1, DATE(Initialisatie!$C$5,12,31))) - MONTH(MAX($G$2, DATE(Initialisatie!$C$5,1,1))) + 1))
    ) / 12
)</f>
        <v>3042.1666666666665</v>
      </c>
    </row>
    <row r="59" spans="1:10" x14ac:dyDescent="0.45">
      <c r="A59" s="999"/>
      <c r="B59" s="372">
        <v>10</v>
      </c>
      <c r="C59" s="373">
        <v>17</v>
      </c>
      <c r="D59" s="48">
        <v>2946</v>
      </c>
      <c r="E59" s="48">
        <v>3064</v>
      </c>
      <c r="F59" s="48">
        <v>3125</v>
      </c>
      <c r="G59" s="48">
        <v>3188</v>
      </c>
      <c r="I59">
        <f>IF(
    OR(
        AND(MAX(0, MIN($D$1, DATE(Initialisatie!$C$5,12,31)) - MAX($D$2, DATE(Initialisatie!$C$5,1,1)) + 1) &gt; 0, IFERROR(VALUE($D59),0)=0),
        AND(MAX(0, MIN($E$1, DATE(Initialisatie!$C$5,12,31)) - MAX($E$2, DATE(Initialisatie!$C$5,1,1)) + 1) &gt; 0, IFERROR(VALUE($E59),0)=0),
        AND(MAX(0, MIN($F$1, DATE(Initialisatie!$C$5,12,31)) - MAX($F$2, DATE(Initialisatie!$C$5,1,1)) + 1) &gt; 0, IFERROR(VALUE($F59),0)=0),
        AND(MAX(0, MIN($G$1, DATE(Initialisatie!$C$5,12,31)) - MAX($G$2, DATE(Initialisatie!$C$5,1,1)) + 1) &gt; 0, IFERROR(VALUE($G59),0)=0)
    ),
    0,
    SUM(
        IFERROR(VALUE($D59),0) * MAX(0, MIN($D$1, DATE(Initialisatie!$C$5,12,31)) - MAX($D$2, DATE(Initialisatie!$C$5,1,1)) + 1),
        IFERROR(VALUE($E59),0) * MAX(0, MIN($E$1, DATE(Initialisatie!$C$5,12,31)) - MAX($E$2, DATE(Initialisatie!$C$5,1,1)) + 1),
        IFERROR(VALUE($F59),0) * MAX(0, MIN($F$1, DATE(Initialisatie!$C$5,12,31)) - MAX($F$2, DATE(Initialisatie!$C$5,1,1)) + 1),
        IFERROR(VALUE($G59),0) * MAX(0, MIN($G$1, DATE(Initialisatie!$C$5,12,31)) - MAX($G$2, DATE(Initialisatie!$C$5,1,1)) + 1)
    ) / (DATE(Initialisatie!$C$5,12,31) - DATE(Initialisatie!$C$5,1,1) + 1)
)</f>
        <v>3115.4739726027397</v>
      </c>
      <c r="J59">
        <f>IF(
    OR(
        AND(MAX(0, IF(MIN($D$1, DATE(Initialisatie!$C$5,12,31)) &lt; MAX($D$2, DATE(Initialisatie!$C$5,1,1)), 0, MONTH(MIN($D$1, DATE(Initialisatie!$C$5,12,31))) - MONTH(MAX($D$2, DATE(Initialisatie!$C$5,1,1))) + 1)) &lt;= 0, IFERROR(VALUE($D59),0)=0),
        AND(MAX(0, IF(MIN($E$1, DATE(Initialisatie!$C$5,12,31)) &lt; MAX($E$2, DATE(Initialisatie!$C$5,1,1)), 0, MONTH(MIN($E$1, DATE(Initialisatie!$C$5,12,31))) - MONTH(MAX($E$2, DATE(Initialisatie!$C$5,1,1))) + 1)) &lt;= 0, IFERROR(VALUE($E59),0)=0),
        AND(MAX(0, IF(MIN($F$1, DATE(Initialisatie!$C$5,12,31)) &lt; MAX($F$2, DATE(Initialisatie!$C$5,1,1)), 0, MONTH(MIN($F$1, DATE(Initialisatie!$C$5,12,31))) - MONTH(MAX($F$2, DATE(Initialisatie!$C$5,1,1))) + 1)) &lt;= 0, IFERROR(VALUE($F59),0)=0),
        AND(MAX(0, IF(MIN($G$1, DATE(Initialisatie!$C$5,12,31)) &lt; MAX($G$2, DATE(Initialisatie!$C$5,1,1)), 0, MONTH(MIN($G$1, DATE(Initialisatie!$C$5,12,31))) - MONTH(MAX($G$2, DATE(Initialisatie!$C$5,1,1))) + 1)) &lt;= 0, IFERROR(VALUE($G59),0)=0)
    ),
    0,
    SUM(
        IFERROR(VALUE($D59),0) * MAX(0, IF(MIN($D$1, DATE(Initialisatie!$C$5,12,31)) &lt; MAX($D$2, DATE(Initialisatie!$C$5,1,1)), 0, MONTH(MIN($D$1, DATE(Initialisatie!$C$5,12,31))) - MONTH(MAX($D$2, DATE(Initialisatie!$C$5,1,1))) + 1)),
        IFERROR(VALUE($E59),0) * MAX(0, IF(MIN($E$1, DATE(Initialisatie!$C$5,12,31)) &lt; MAX($E$2, DATE(Initialisatie!$C$5,1,1)), 0, MONTH(MIN($E$1, DATE(Initialisatie!$C$5,12,31))) - MONTH(MAX($E$2, DATE(Initialisatie!$C$5,1,1))) + 1)),
        IFERROR(VALUE($F59),0) * MAX(0, IF(MIN($F$1, DATE(Initialisatie!$C$5,12,31)) &lt; MAX($F$2, DATE(Initialisatie!$C$5,1,1)), 0, MONTH(MIN($F$1, DATE(Initialisatie!$C$5,12,31))) - MONTH(MAX($F$2, DATE(Initialisatie!$C$5,1,1))) + 1)),
        IFERROR(VALUE($G59),0) * MAX(0, IF(MIN($G$1, DATE(Initialisatie!$C$5,12,31)) &lt; MAX($G$2, DATE(Initialisatie!$C$5,1,1)), 0, MONTH(MIN($G$1, DATE(Initialisatie!$C$5,12,31))) - MONTH(MAX($G$2, DATE(Initialisatie!$C$5,1,1))) + 1))
    ) / 12
)</f>
        <v>3115.1666666666665</v>
      </c>
    </row>
    <row r="60" spans="1:10" x14ac:dyDescent="0.45">
      <c r="A60" s="1001"/>
      <c r="B60" s="372">
        <v>11</v>
      </c>
      <c r="C60" s="373">
        <v>18</v>
      </c>
      <c r="D60" s="48">
        <v>3028</v>
      </c>
      <c r="E60" s="48">
        <v>0</v>
      </c>
      <c r="F60" s="48">
        <v>0</v>
      </c>
      <c r="G60" s="48">
        <v>0</v>
      </c>
      <c r="I60">
        <f>IF(
    OR(
        AND(MAX(0, MIN($D$1, DATE(Initialisatie!$C$5,12,31)) - MAX($D$2, DATE(Initialisatie!$C$5,1,1)) + 1) &gt; 0, IFERROR(VALUE($D60),0)=0),
        AND(MAX(0, MIN($E$1, DATE(Initialisatie!$C$5,12,31)) - MAX($E$2, DATE(Initialisatie!$C$5,1,1)) + 1) &gt; 0, IFERROR(VALUE($E60),0)=0),
        AND(MAX(0, MIN($F$1, DATE(Initialisatie!$C$5,12,31)) - MAX($F$2, DATE(Initialisatie!$C$5,1,1)) + 1) &gt; 0, IFERROR(VALUE($F60),0)=0),
        AND(MAX(0, MIN($G$1, DATE(Initialisatie!$C$5,12,31)) - MAX($G$2, DATE(Initialisatie!$C$5,1,1)) + 1) &gt; 0, IFERROR(VALUE($G60),0)=0)
    ),
    0,
    SUM(
        IFERROR(VALUE($D60),0) * MAX(0, MIN($D$1, DATE(Initialisatie!$C$5,12,31)) - MAX($D$2, DATE(Initialisatie!$C$5,1,1)) + 1),
        IFERROR(VALUE($E60),0) * MAX(0, MIN($E$1, DATE(Initialisatie!$C$5,12,31)) - MAX($E$2, DATE(Initialisatie!$C$5,1,1)) + 1),
        IFERROR(VALUE($F60),0) * MAX(0, MIN($F$1, DATE(Initialisatie!$C$5,12,31)) - MAX($F$2, DATE(Initialisatie!$C$5,1,1)) + 1),
        IFERROR(VALUE($G60),0) * MAX(0, MIN($G$1, DATE(Initialisatie!$C$5,12,31)) - MAX($G$2, DATE(Initialisatie!$C$5,1,1)) + 1)
    ) / (DATE(Initialisatie!$C$5,12,31) - DATE(Initialisatie!$C$5,1,1) + 1)
)</f>
        <v>0</v>
      </c>
      <c r="J60">
        <f>IF(
    OR(
        AND(MAX(0, IF(MIN($D$1, DATE(Initialisatie!$C$5,12,31)) &lt; MAX($D$2, DATE(Initialisatie!$C$5,1,1)), 0, MONTH(MIN($D$1, DATE(Initialisatie!$C$5,12,31))) - MONTH(MAX($D$2, DATE(Initialisatie!$C$5,1,1))) + 1)) &lt;= 0, IFERROR(VALUE($D60),0)=0),
        AND(MAX(0, IF(MIN($E$1, DATE(Initialisatie!$C$5,12,31)) &lt; MAX($E$2, DATE(Initialisatie!$C$5,1,1)), 0, MONTH(MIN($E$1, DATE(Initialisatie!$C$5,12,31))) - MONTH(MAX($E$2, DATE(Initialisatie!$C$5,1,1))) + 1)) &lt;= 0, IFERROR(VALUE($E60),0)=0),
        AND(MAX(0, IF(MIN($F$1, DATE(Initialisatie!$C$5,12,31)) &lt; MAX($F$2, DATE(Initialisatie!$C$5,1,1)), 0, MONTH(MIN($F$1, DATE(Initialisatie!$C$5,12,31))) - MONTH(MAX($F$2, DATE(Initialisatie!$C$5,1,1))) + 1)) &lt;= 0, IFERROR(VALUE($F60),0)=0),
        AND(MAX(0, IF(MIN($G$1, DATE(Initialisatie!$C$5,12,31)) &lt; MAX($G$2, DATE(Initialisatie!$C$5,1,1)), 0, MONTH(MIN($G$1, DATE(Initialisatie!$C$5,12,31))) - MONTH(MAX($G$2, DATE(Initialisatie!$C$5,1,1))) + 1)) &lt;= 0, IFERROR(VALUE($G60),0)=0)
    ),
    0,
    SUM(
        IFERROR(VALUE($D60),0) * MAX(0, IF(MIN($D$1, DATE(Initialisatie!$C$5,12,31)) &lt; MAX($D$2, DATE(Initialisatie!$C$5,1,1)), 0, MONTH(MIN($D$1, DATE(Initialisatie!$C$5,12,31))) - MONTH(MAX($D$2, DATE(Initialisatie!$C$5,1,1))) + 1)),
        IFERROR(VALUE($E60),0) * MAX(0, IF(MIN($E$1, DATE(Initialisatie!$C$5,12,31)) &lt; MAX($E$2, DATE(Initialisatie!$C$5,1,1)), 0, MONTH(MIN($E$1, DATE(Initialisatie!$C$5,12,31))) - MONTH(MAX($E$2, DATE(Initialisatie!$C$5,1,1))) + 1)),
        IFERROR(VALUE($F60),0) * MAX(0, IF(MIN($F$1, DATE(Initialisatie!$C$5,12,31)) &lt; MAX($F$2, DATE(Initialisatie!$C$5,1,1)), 0, MONTH(MIN($F$1, DATE(Initialisatie!$C$5,12,31))) - MONTH(MAX($F$2, DATE(Initialisatie!$C$5,1,1))) + 1)),
        IFERROR(VALUE($G60),0) * MAX(0, IF(MIN($G$1, DATE(Initialisatie!$C$5,12,31)) &lt; MAX($G$2, DATE(Initialisatie!$C$5,1,1)), 0, MONTH(MIN($G$1, DATE(Initialisatie!$C$5,12,31))) - MONTH(MAX($G$2, DATE(Initialisatie!$C$5,1,1))) + 1))
    ) / 12
)</f>
        <v>0</v>
      </c>
    </row>
    <row r="61" spans="1:10" x14ac:dyDescent="0.45">
      <c r="A61" s="1000">
        <v>30</v>
      </c>
      <c r="B61" s="372">
        <v>0</v>
      </c>
      <c r="C61" s="373">
        <v>6</v>
      </c>
      <c r="D61" s="48">
        <v>2237</v>
      </c>
      <c r="E61" s="48">
        <v>2326</v>
      </c>
      <c r="F61" s="48">
        <v>2373</v>
      </c>
      <c r="G61" s="48">
        <v>2420</v>
      </c>
      <c r="I61">
        <f>IF(
    OR(
        AND(MAX(0, MIN($D$1, DATE(Initialisatie!$C$5,12,31)) - MAX($D$2, DATE(Initialisatie!$C$5,1,1)) + 1) &gt; 0, IFERROR(VALUE($D61),0)=0),
        AND(MAX(0, MIN($E$1, DATE(Initialisatie!$C$5,12,31)) - MAX($E$2, DATE(Initialisatie!$C$5,1,1)) + 1) &gt; 0, IFERROR(VALUE($E61),0)=0),
        AND(MAX(0, MIN($F$1, DATE(Initialisatie!$C$5,12,31)) - MAX($F$2, DATE(Initialisatie!$C$5,1,1)) + 1) &gt; 0, IFERROR(VALUE($F61),0)=0),
        AND(MAX(0, MIN($G$1, DATE(Initialisatie!$C$5,12,31)) - MAX($G$2, DATE(Initialisatie!$C$5,1,1)) + 1) &gt; 0, IFERROR(VALUE($G61),0)=0)
    ),
    0,
    SUM(
        IFERROR(VALUE($D61),0) * MAX(0, MIN($D$1, DATE(Initialisatie!$C$5,12,31)) - MAX($D$2, DATE(Initialisatie!$C$5,1,1)) + 1),
        IFERROR(VALUE($E61),0) * MAX(0, MIN($E$1, DATE(Initialisatie!$C$5,12,31)) - MAX($E$2, DATE(Initialisatie!$C$5,1,1)) + 1),
        IFERROR(VALUE($F61),0) * MAX(0, MIN($F$1, DATE(Initialisatie!$C$5,12,31)) - MAX($F$2, DATE(Initialisatie!$C$5,1,1)) + 1),
        IFERROR(VALUE($G61),0) * MAX(0, MIN($G$1, DATE(Initialisatie!$C$5,12,31)) - MAX($G$2, DATE(Initialisatie!$C$5,1,1)) + 1)
    ) / (DATE(Initialisatie!$C$5,12,31) - DATE(Initialisatie!$C$5,1,1) + 1)
)</f>
        <v>2365.4027397260274</v>
      </c>
      <c r="J61">
        <f>IF(
    OR(
        AND(MAX(0, IF(MIN($D$1, DATE(Initialisatie!$C$5,12,31)) &lt; MAX($D$2, DATE(Initialisatie!$C$5,1,1)), 0, MONTH(MIN($D$1, DATE(Initialisatie!$C$5,12,31))) - MONTH(MAX($D$2, DATE(Initialisatie!$C$5,1,1))) + 1)) &lt;= 0, IFERROR(VALUE($D61),0)=0),
        AND(MAX(0, IF(MIN($E$1, DATE(Initialisatie!$C$5,12,31)) &lt; MAX($E$2, DATE(Initialisatie!$C$5,1,1)), 0, MONTH(MIN($E$1, DATE(Initialisatie!$C$5,12,31))) - MONTH(MAX($E$2, DATE(Initialisatie!$C$5,1,1))) + 1)) &lt;= 0, IFERROR(VALUE($E61),0)=0),
        AND(MAX(0, IF(MIN($F$1, DATE(Initialisatie!$C$5,12,31)) &lt; MAX($F$2, DATE(Initialisatie!$C$5,1,1)), 0, MONTH(MIN($F$1, DATE(Initialisatie!$C$5,12,31))) - MONTH(MAX($F$2, DATE(Initialisatie!$C$5,1,1))) + 1)) &lt;= 0, IFERROR(VALUE($F61),0)=0),
        AND(MAX(0, IF(MIN($G$1, DATE(Initialisatie!$C$5,12,31)) &lt; MAX($G$2, DATE(Initialisatie!$C$5,1,1)), 0, MONTH(MIN($G$1, DATE(Initialisatie!$C$5,12,31))) - MONTH(MAX($G$2, DATE(Initialisatie!$C$5,1,1))) + 1)) &lt;= 0, IFERROR(VALUE($G61),0)=0)
    ),
    0,
    SUM(
        IFERROR(VALUE($D61),0) * MAX(0, IF(MIN($D$1, DATE(Initialisatie!$C$5,12,31)) &lt; MAX($D$2, DATE(Initialisatie!$C$5,1,1)), 0, MONTH(MIN($D$1, DATE(Initialisatie!$C$5,12,31))) - MONTH(MAX($D$2, DATE(Initialisatie!$C$5,1,1))) + 1)),
        IFERROR(VALUE($E61),0) * MAX(0, IF(MIN($E$1, DATE(Initialisatie!$C$5,12,31)) &lt; MAX($E$2, DATE(Initialisatie!$C$5,1,1)), 0, MONTH(MIN($E$1, DATE(Initialisatie!$C$5,12,31))) - MONTH(MAX($E$2, DATE(Initialisatie!$C$5,1,1))) + 1)),
        IFERROR(VALUE($F61),0) * MAX(0, IF(MIN($F$1, DATE(Initialisatie!$C$5,12,31)) &lt; MAX($F$2, DATE(Initialisatie!$C$5,1,1)), 0, MONTH(MIN($F$1, DATE(Initialisatie!$C$5,12,31))) - MONTH(MAX($F$2, DATE(Initialisatie!$C$5,1,1))) + 1)),
        IFERROR(VALUE($G61),0) * MAX(0, IF(MIN($G$1, DATE(Initialisatie!$C$5,12,31)) &lt; MAX($G$2, DATE(Initialisatie!$C$5,1,1)), 0, MONTH(MIN($G$1, DATE(Initialisatie!$C$5,12,31))) - MONTH(MAX($G$2, DATE(Initialisatie!$C$5,1,1))) + 1))
    ) / 12
)</f>
        <v>2365.1666666666665</v>
      </c>
    </row>
    <row r="62" spans="1:10" x14ac:dyDescent="0.45">
      <c r="A62" s="999"/>
      <c r="B62" s="373">
        <v>1</v>
      </c>
      <c r="C62" s="373">
        <v>8</v>
      </c>
      <c r="D62" s="48">
        <v>2339</v>
      </c>
      <c r="E62" s="48">
        <v>2433</v>
      </c>
      <c r="F62" s="48">
        <v>2482</v>
      </c>
      <c r="G62" s="48">
        <v>2532</v>
      </c>
      <c r="I62">
        <f>IF(
    OR(
        AND(MAX(0, MIN($D$1, DATE(Initialisatie!$C$5,12,31)) - MAX($D$2, DATE(Initialisatie!$C$5,1,1)) + 1) &gt; 0, IFERROR(VALUE($D62),0)=0),
        AND(MAX(0, MIN($E$1, DATE(Initialisatie!$C$5,12,31)) - MAX($E$2, DATE(Initialisatie!$C$5,1,1)) + 1) &gt; 0, IFERROR(VALUE($E62),0)=0),
        AND(MAX(0, MIN($F$1, DATE(Initialisatie!$C$5,12,31)) - MAX($F$2, DATE(Initialisatie!$C$5,1,1)) + 1) &gt; 0, IFERROR(VALUE($F62),0)=0),
        AND(MAX(0, MIN($G$1, DATE(Initialisatie!$C$5,12,31)) - MAX($G$2, DATE(Initialisatie!$C$5,1,1)) + 1) &gt; 0, IFERROR(VALUE($G62),0)=0)
    ),
    0,
    SUM(
        IFERROR(VALUE($D62),0) * MAX(0, MIN($D$1, DATE(Initialisatie!$C$5,12,31)) - MAX($D$2, DATE(Initialisatie!$C$5,1,1)) + 1),
        IFERROR(VALUE($E62),0) * MAX(0, MIN($E$1, DATE(Initialisatie!$C$5,12,31)) - MAX($E$2, DATE(Initialisatie!$C$5,1,1)) + 1),
        IFERROR(VALUE($F62),0) * MAX(0, MIN($F$1, DATE(Initialisatie!$C$5,12,31)) - MAX($F$2, DATE(Initialisatie!$C$5,1,1)) + 1),
        IFERROR(VALUE($G62),0) * MAX(0, MIN($G$1, DATE(Initialisatie!$C$5,12,31)) - MAX($G$2, DATE(Initialisatie!$C$5,1,1)) + 1)
    ) / (DATE(Initialisatie!$C$5,12,31) - DATE(Initialisatie!$C$5,1,1) + 1)
)</f>
        <v>2474.2465753424658</v>
      </c>
      <c r="J62">
        <f>IF(
    OR(
        AND(MAX(0, IF(MIN($D$1, DATE(Initialisatie!$C$5,12,31)) &lt; MAX($D$2, DATE(Initialisatie!$C$5,1,1)), 0, MONTH(MIN($D$1, DATE(Initialisatie!$C$5,12,31))) - MONTH(MAX($D$2, DATE(Initialisatie!$C$5,1,1))) + 1)) &lt;= 0, IFERROR(VALUE($D62),0)=0),
        AND(MAX(0, IF(MIN($E$1, DATE(Initialisatie!$C$5,12,31)) &lt; MAX($E$2, DATE(Initialisatie!$C$5,1,1)), 0, MONTH(MIN($E$1, DATE(Initialisatie!$C$5,12,31))) - MONTH(MAX($E$2, DATE(Initialisatie!$C$5,1,1))) + 1)) &lt;= 0, IFERROR(VALUE($E62),0)=0),
        AND(MAX(0, IF(MIN($F$1, DATE(Initialisatie!$C$5,12,31)) &lt; MAX($F$2, DATE(Initialisatie!$C$5,1,1)), 0, MONTH(MIN($F$1, DATE(Initialisatie!$C$5,12,31))) - MONTH(MAX($F$2, DATE(Initialisatie!$C$5,1,1))) + 1)) &lt;= 0, IFERROR(VALUE($F62),0)=0),
        AND(MAX(0, IF(MIN($G$1, DATE(Initialisatie!$C$5,12,31)) &lt; MAX($G$2, DATE(Initialisatie!$C$5,1,1)), 0, MONTH(MIN($G$1, DATE(Initialisatie!$C$5,12,31))) - MONTH(MAX($G$2, DATE(Initialisatie!$C$5,1,1))) + 1)) &lt;= 0, IFERROR(VALUE($G62),0)=0)
    ),
    0,
    SUM(
        IFERROR(VALUE($D62),0) * MAX(0, IF(MIN($D$1, DATE(Initialisatie!$C$5,12,31)) &lt; MAX($D$2, DATE(Initialisatie!$C$5,1,1)), 0, MONTH(MIN($D$1, DATE(Initialisatie!$C$5,12,31))) - MONTH(MAX($D$2, DATE(Initialisatie!$C$5,1,1))) + 1)),
        IFERROR(VALUE($E62),0) * MAX(0, IF(MIN($E$1, DATE(Initialisatie!$C$5,12,31)) &lt; MAX($E$2, DATE(Initialisatie!$C$5,1,1)), 0, MONTH(MIN($E$1, DATE(Initialisatie!$C$5,12,31))) - MONTH(MAX($E$2, DATE(Initialisatie!$C$5,1,1))) + 1)),
        IFERROR(VALUE($F62),0) * MAX(0, IF(MIN($F$1, DATE(Initialisatie!$C$5,12,31)) &lt; MAX($F$2, DATE(Initialisatie!$C$5,1,1)), 0, MONTH(MIN($F$1, DATE(Initialisatie!$C$5,12,31))) - MONTH(MAX($F$2, DATE(Initialisatie!$C$5,1,1))) + 1)),
        IFERROR(VALUE($G62),0) * MAX(0, IF(MIN($G$1, DATE(Initialisatie!$C$5,12,31)) &lt; MAX($G$2, DATE(Initialisatie!$C$5,1,1)), 0, MONTH(MIN($G$1, DATE(Initialisatie!$C$5,12,31))) - MONTH(MAX($G$2, DATE(Initialisatie!$C$5,1,1))) + 1))
    ) / 12
)</f>
        <v>2474</v>
      </c>
    </row>
    <row r="63" spans="1:10" x14ac:dyDescent="0.45">
      <c r="A63" s="999"/>
      <c r="B63" s="373">
        <v>2</v>
      </c>
      <c r="C63" s="373">
        <v>10</v>
      </c>
      <c r="D63" s="48">
        <v>2448</v>
      </c>
      <c r="E63" s="48">
        <v>2546</v>
      </c>
      <c r="F63" s="48">
        <v>2597</v>
      </c>
      <c r="G63" s="48">
        <v>2649</v>
      </c>
      <c r="I63">
        <f>IF(
    OR(
        AND(MAX(0, MIN($D$1, DATE(Initialisatie!$C$5,12,31)) - MAX($D$2, DATE(Initialisatie!$C$5,1,1)) + 1) &gt; 0, IFERROR(VALUE($D63),0)=0),
        AND(MAX(0, MIN($E$1, DATE(Initialisatie!$C$5,12,31)) - MAX($E$2, DATE(Initialisatie!$C$5,1,1)) + 1) &gt; 0, IFERROR(VALUE($E63),0)=0),
        AND(MAX(0, MIN($F$1, DATE(Initialisatie!$C$5,12,31)) - MAX($F$2, DATE(Initialisatie!$C$5,1,1)) + 1) &gt; 0, IFERROR(VALUE($F63),0)=0),
        AND(MAX(0, MIN($G$1, DATE(Initialisatie!$C$5,12,31)) - MAX($G$2, DATE(Initialisatie!$C$5,1,1)) + 1) &gt; 0, IFERROR(VALUE($G63),0)=0)
    ),
    0,
    SUM(
        IFERROR(VALUE($D63),0) * MAX(0, MIN($D$1, DATE(Initialisatie!$C$5,12,31)) - MAX($D$2, DATE(Initialisatie!$C$5,1,1)) + 1),
        IFERROR(VALUE($E63),0) * MAX(0, MIN($E$1, DATE(Initialisatie!$C$5,12,31)) - MAX($E$2, DATE(Initialisatie!$C$5,1,1)) + 1),
        IFERROR(VALUE($F63),0) * MAX(0, MIN($F$1, DATE(Initialisatie!$C$5,12,31)) - MAX($F$2, DATE(Initialisatie!$C$5,1,1)) + 1),
        IFERROR(VALUE($G63),0) * MAX(0, MIN($G$1, DATE(Initialisatie!$C$5,12,31)) - MAX($G$2, DATE(Initialisatie!$C$5,1,1)) + 1)
    ) / (DATE(Initialisatie!$C$5,12,31) - DATE(Initialisatie!$C$5,1,1) + 1)
)</f>
        <v>2588.9232876712331</v>
      </c>
      <c r="J63">
        <f>IF(
    OR(
        AND(MAX(0, IF(MIN($D$1, DATE(Initialisatie!$C$5,12,31)) &lt; MAX($D$2, DATE(Initialisatie!$C$5,1,1)), 0, MONTH(MIN($D$1, DATE(Initialisatie!$C$5,12,31))) - MONTH(MAX($D$2, DATE(Initialisatie!$C$5,1,1))) + 1)) &lt;= 0, IFERROR(VALUE($D63),0)=0),
        AND(MAX(0, IF(MIN($E$1, DATE(Initialisatie!$C$5,12,31)) &lt; MAX($E$2, DATE(Initialisatie!$C$5,1,1)), 0, MONTH(MIN($E$1, DATE(Initialisatie!$C$5,12,31))) - MONTH(MAX($E$2, DATE(Initialisatie!$C$5,1,1))) + 1)) &lt;= 0, IFERROR(VALUE($E63),0)=0),
        AND(MAX(0, IF(MIN($F$1, DATE(Initialisatie!$C$5,12,31)) &lt; MAX($F$2, DATE(Initialisatie!$C$5,1,1)), 0, MONTH(MIN($F$1, DATE(Initialisatie!$C$5,12,31))) - MONTH(MAX($F$2, DATE(Initialisatie!$C$5,1,1))) + 1)) &lt;= 0, IFERROR(VALUE($F63),0)=0),
        AND(MAX(0, IF(MIN($G$1, DATE(Initialisatie!$C$5,12,31)) &lt; MAX($G$2, DATE(Initialisatie!$C$5,1,1)), 0, MONTH(MIN($G$1, DATE(Initialisatie!$C$5,12,31))) - MONTH(MAX($G$2, DATE(Initialisatie!$C$5,1,1))) + 1)) &lt;= 0, IFERROR(VALUE($G63),0)=0)
    ),
    0,
    SUM(
        IFERROR(VALUE($D63),0) * MAX(0, IF(MIN($D$1, DATE(Initialisatie!$C$5,12,31)) &lt; MAX($D$2, DATE(Initialisatie!$C$5,1,1)), 0, MONTH(MIN($D$1, DATE(Initialisatie!$C$5,12,31))) - MONTH(MAX($D$2, DATE(Initialisatie!$C$5,1,1))) + 1)),
        IFERROR(VALUE($E63),0) * MAX(0, IF(MIN($E$1, DATE(Initialisatie!$C$5,12,31)) &lt; MAX($E$2, DATE(Initialisatie!$C$5,1,1)), 0, MONTH(MIN($E$1, DATE(Initialisatie!$C$5,12,31))) - MONTH(MAX($E$2, DATE(Initialisatie!$C$5,1,1))) + 1)),
        IFERROR(VALUE($F63),0) * MAX(0, IF(MIN($F$1, DATE(Initialisatie!$C$5,12,31)) &lt; MAX($F$2, DATE(Initialisatie!$C$5,1,1)), 0, MONTH(MIN($F$1, DATE(Initialisatie!$C$5,12,31))) - MONTH(MAX($F$2, DATE(Initialisatie!$C$5,1,1))) + 1)),
        IFERROR(VALUE($G63),0) * MAX(0, IF(MIN($G$1, DATE(Initialisatie!$C$5,12,31)) &lt; MAX($G$2, DATE(Initialisatie!$C$5,1,1)), 0, MONTH(MIN($G$1, DATE(Initialisatie!$C$5,12,31))) - MONTH(MAX($G$2, DATE(Initialisatie!$C$5,1,1))) + 1))
    ) / 12
)</f>
        <v>2588.6666666666665</v>
      </c>
    </row>
    <row r="64" spans="1:10" x14ac:dyDescent="0.45">
      <c r="A64" s="999"/>
      <c r="B64" s="373">
        <v>3</v>
      </c>
      <c r="C64" s="373">
        <v>12</v>
      </c>
      <c r="D64" s="48">
        <v>2578</v>
      </c>
      <c r="E64" s="48">
        <v>2681</v>
      </c>
      <c r="F64" s="48">
        <v>2735</v>
      </c>
      <c r="G64" s="48">
        <v>2790</v>
      </c>
      <c r="I64">
        <f>IF(
    OR(
        AND(MAX(0, MIN($D$1, DATE(Initialisatie!$C$5,12,31)) - MAX($D$2, DATE(Initialisatie!$C$5,1,1)) + 1) &gt; 0, IFERROR(VALUE($D64),0)=0),
        AND(MAX(0, MIN($E$1, DATE(Initialisatie!$C$5,12,31)) - MAX($E$2, DATE(Initialisatie!$C$5,1,1)) + 1) &gt; 0, IFERROR(VALUE($E64),0)=0),
        AND(MAX(0, MIN($F$1, DATE(Initialisatie!$C$5,12,31)) - MAX($F$2, DATE(Initialisatie!$C$5,1,1)) + 1) &gt; 0, IFERROR(VALUE($F64),0)=0),
        AND(MAX(0, MIN($G$1, DATE(Initialisatie!$C$5,12,31)) - MAX($G$2, DATE(Initialisatie!$C$5,1,1)) + 1) &gt; 0, IFERROR(VALUE($G64),0)=0)
    ),
    0,
    SUM(
        IFERROR(VALUE($D64),0) * MAX(0, MIN($D$1, DATE(Initialisatie!$C$5,12,31)) - MAX($D$2, DATE(Initialisatie!$C$5,1,1)) + 1),
        IFERROR(VALUE($E64),0) * MAX(0, MIN($E$1, DATE(Initialisatie!$C$5,12,31)) - MAX($E$2, DATE(Initialisatie!$C$5,1,1)) + 1),
        IFERROR(VALUE($F64),0) * MAX(0, MIN($F$1, DATE(Initialisatie!$C$5,12,31)) - MAX($F$2, DATE(Initialisatie!$C$5,1,1)) + 1),
        IFERROR(VALUE($G64),0) * MAX(0, MIN($G$1, DATE(Initialisatie!$C$5,12,31)) - MAX($G$2, DATE(Initialisatie!$C$5,1,1)) + 1)
    ) / (DATE(Initialisatie!$C$5,12,31) - DATE(Initialisatie!$C$5,1,1) + 1)
)</f>
        <v>2726.4383561643835</v>
      </c>
      <c r="J64">
        <f>IF(
    OR(
        AND(MAX(0, IF(MIN($D$1, DATE(Initialisatie!$C$5,12,31)) &lt; MAX($D$2, DATE(Initialisatie!$C$5,1,1)), 0, MONTH(MIN($D$1, DATE(Initialisatie!$C$5,12,31))) - MONTH(MAX($D$2, DATE(Initialisatie!$C$5,1,1))) + 1)) &lt;= 0, IFERROR(VALUE($D64),0)=0),
        AND(MAX(0, IF(MIN($E$1, DATE(Initialisatie!$C$5,12,31)) &lt; MAX($E$2, DATE(Initialisatie!$C$5,1,1)), 0, MONTH(MIN($E$1, DATE(Initialisatie!$C$5,12,31))) - MONTH(MAX($E$2, DATE(Initialisatie!$C$5,1,1))) + 1)) &lt;= 0, IFERROR(VALUE($E64),0)=0),
        AND(MAX(0, IF(MIN($F$1, DATE(Initialisatie!$C$5,12,31)) &lt; MAX($F$2, DATE(Initialisatie!$C$5,1,1)), 0, MONTH(MIN($F$1, DATE(Initialisatie!$C$5,12,31))) - MONTH(MAX($F$2, DATE(Initialisatie!$C$5,1,1))) + 1)) &lt;= 0, IFERROR(VALUE($F64),0)=0),
        AND(MAX(0, IF(MIN($G$1, DATE(Initialisatie!$C$5,12,31)) &lt; MAX($G$2, DATE(Initialisatie!$C$5,1,1)), 0, MONTH(MIN($G$1, DATE(Initialisatie!$C$5,12,31))) - MONTH(MAX($G$2, DATE(Initialisatie!$C$5,1,1))) + 1)) &lt;= 0, IFERROR(VALUE($G64),0)=0)
    ),
    0,
    SUM(
        IFERROR(VALUE($D64),0) * MAX(0, IF(MIN($D$1, DATE(Initialisatie!$C$5,12,31)) &lt; MAX($D$2, DATE(Initialisatie!$C$5,1,1)), 0, MONTH(MIN($D$1, DATE(Initialisatie!$C$5,12,31))) - MONTH(MAX($D$2, DATE(Initialisatie!$C$5,1,1))) + 1)),
        IFERROR(VALUE($E64),0) * MAX(0, IF(MIN($E$1, DATE(Initialisatie!$C$5,12,31)) &lt; MAX($E$2, DATE(Initialisatie!$C$5,1,1)), 0, MONTH(MIN($E$1, DATE(Initialisatie!$C$5,12,31))) - MONTH(MAX($E$2, DATE(Initialisatie!$C$5,1,1))) + 1)),
        IFERROR(VALUE($F64),0) * MAX(0, IF(MIN($F$1, DATE(Initialisatie!$C$5,12,31)) &lt; MAX($F$2, DATE(Initialisatie!$C$5,1,1)), 0, MONTH(MIN($F$1, DATE(Initialisatie!$C$5,12,31))) - MONTH(MAX($F$2, DATE(Initialisatie!$C$5,1,1))) + 1)),
        IFERROR(VALUE($G64),0) * MAX(0, IF(MIN($G$1, DATE(Initialisatie!$C$5,12,31)) &lt; MAX($G$2, DATE(Initialisatie!$C$5,1,1)), 0, MONTH(MIN($G$1, DATE(Initialisatie!$C$5,12,31))) - MONTH(MAX($G$2, DATE(Initialisatie!$C$5,1,1))) + 1))
    ) / 12
)</f>
        <v>2726.1666666666665</v>
      </c>
    </row>
    <row r="65" spans="1:10" x14ac:dyDescent="0.45">
      <c r="A65" s="999"/>
      <c r="B65" s="374">
        <v>4</v>
      </c>
      <c r="C65" s="373">
        <v>13</v>
      </c>
      <c r="D65" s="48">
        <v>2651</v>
      </c>
      <c r="E65" s="48">
        <v>2757</v>
      </c>
      <c r="F65" s="48">
        <v>2812</v>
      </c>
      <c r="G65" s="48">
        <v>2868</v>
      </c>
      <c r="I65">
        <f>IF(
    OR(
        AND(MAX(0, MIN($D$1, DATE(Initialisatie!$C$5,12,31)) - MAX($D$2, DATE(Initialisatie!$C$5,1,1)) + 1) &gt; 0, IFERROR(VALUE($D65),0)=0),
        AND(MAX(0, MIN($E$1, DATE(Initialisatie!$C$5,12,31)) - MAX($E$2, DATE(Initialisatie!$C$5,1,1)) + 1) &gt; 0, IFERROR(VALUE($E65),0)=0),
        AND(MAX(0, MIN($F$1, DATE(Initialisatie!$C$5,12,31)) - MAX($F$2, DATE(Initialisatie!$C$5,1,1)) + 1) &gt; 0, IFERROR(VALUE($F65),0)=0),
        AND(MAX(0, MIN($G$1, DATE(Initialisatie!$C$5,12,31)) - MAX($G$2, DATE(Initialisatie!$C$5,1,1)) + 1) &gt; 0, IFERROR(VALUE($G65),0)=0)
    ),
    0,
    SUM(
        IFERROR(VALUE($D65),0) * MAX(0, MIN($D$1, DATE(Initialisatie!$C$5,12,31)) - MAX($D$2, DATE(Initialisatie!$C$5,1,1)) + 1),
        IFERROR(VALUE($E65),0) * MAX(0, MIN($E$1, DATE(Initialisatie!$C$5,12,31)) - MAX($E$2, DATE(Initialisatie!$C$5,1,1)) + 1),
        IFERROR(VALUE($F65),0) * MAX(0, MIN($F$1, DATE(Initialisatie!$C$5,12,31)) - MAX($F$2, DATE(Initialisatie!$C$5,1,1)) + 1),
        IFERROR(VALUE($G65),0) * MAX(0, MIN($G$1, DATE(Initialisatie!$C$5,12,31)) - MAX($G$2, DATE(Initialisatie!$C$5,1,1)) + 1)
    ) / (DATE(Initialisatie!$C$5,12,31) - DATE(Initialisatie!$C$5,1,1) + 1)
)</f>
        <v>2803.2767123287672</v>
      </c>
      <c r="J65">
        <f>IF(
    OR(
        AND(MAX(0, IF(MIN($D$1, DATE(Initialisatie!$C$5,12,31)) &lt; MAX($D$2, DATE(Initialisatie!$C$5,1,1)), 0, MONTH(MIN($D$1, DATE(Initialisatie!$C$5,12,31))) - MONTH(MAX($D$2, DATE(Initialisatie!$C$5,1,1))) + 1)) &lt;= 0, IFERROR(VALUE($D65),0)=0),
        AND(MAX(0, IF(MIN($E$1, DATE(Initialisatie!$C$5,12,31)) &lt; MAX($E$2, DATE(Initialisatie!$C$5,1,1)), 0, MONTH(MIN($E$1, DATE(Initialisatie!$C$5,12,31))) - MONTH(MAX($E$2, DATE(Initialisatie!$C$5,1,1))) + 1)) &lt;= 0, IFERROR(VALUE($E65),0)=0),
        AND(MAX(0, IF(MIN($F$1, DATE(Initialisatie!$C$5,12,31)) &lt; MAX($F$2, DATE(Initialisatie!$C$5,1,1)), 0, MONTH(MIN($F$1, DATE(Initialisatie!$C$5,12,31))) - MONTH(MAX($F$2, DATE(Initialisatie!$C$5,1,1))) + 1)) &lt;= 0, IFERROR(VALUE($F65),0)=0),
        AND(MAX(0, IF(MIN($G$1, DATE(Initialisatie!$C$5,12,31)) &lt; MAX($G$2, DATE(Initialisatie!$C$5,1,1)), 0, MONTH(MIN($G$1, DATE(Initialisatie!$C$5,12,31))) - MONTH(MAX($G$2, DATE(Initialisatie!$C$5,1,1))) + 1)) &lt;= 0, IFERROR(VALUE($G65),0)=0)
    ),
    0,
    SUM(
        IFERROR(VALUE($D65),0) * MAX(0, IF(MIN($D$1, DATE(Initialisatie!$C$5,12,31)) &lt; MAX($D$2, DATE(Initialisatie!$C$5,1,1)), 0, MONTH(MIN($D$1, DATE(Initialisatie!$C$5,12,31))) - MONTH(MAX($D$2, DATE(Initialisatie!$C$5,1,1))) + 1)),
        IFERROR(VALUE($E65),0) * MAX(0, IF(MIN($E$1, DATE(Initialisatie!$C$5,12,31)) &lt; MAX($E$2, DATE(Initialisatie!$C$5,1,1)), 0, MONTH(MIN($E$1, DATE(Initialisatie!$C$5,12,31))) - MONTH(MAX($E$2, DATE(Initialisatie!$C$5,1,1))) + 1)),
        IFERROR(VALUE($F65),0) * MAX(0, IF(MIN($F$1, DATE(Initialisatie!$C$5,12,31)) &lt; MAX($F$2, DATE(Initialisatie!$C$5,1,1)), 0, MONTH(MIN($F$1, DATE(Initialisatie!$C$5,12,31))) - MONTH(MAX($F$2, DATE(Initialisatie!$C$5,1,1))) + 1)),
        IFERROR(VALUE($G65),0) * MAX(0, IF(MIN($G$1, DATE(Initialisatie!$C$5,12,31)) &lt; MAX($G$2, DATE(Initialisatie!$C$5,1,1)), 0, MONTH(MIN($G$1, DATE(Initialisatie!$C$5,12,31))) - MONTH(MAX($G$2, DATE(Initialisatie!$C$5,1,1))) + 1))
    ) / 12
)</f>
        <v>2803</v>
      </c>
    </row>
    <row r="66" spans="1:10" x14ac:dyDescent="0.45">
      <c r="A66" s="999"/>
      <c r="B66" s="374">
        <v>5</v>
      </c>
      <c r="C66" s="373">
        <v>14</v>
      </c>
      <c r="D66" s="48">
        <v>2727</v>
      </c>
      <c r="E66" s="48">
        <v>2836</v>
      </c>
      <c r="F66" s="48">
        <v>2893</v>
      </c>
      <c r="G66" s="48">
        <v>2951</v>
      </c>
      <c r="I66">
        <f>IF(
    OR(
        AND(MAX(0, MIN($D$1, DATE(Initialisatie!$C$5,12,31)) - MAX($D$2, DATE(Initialisatie!$C$5,1,1)) + 1) &gt; 0, IFERROR(VALUE($D66),0)=0),
        AND(MAX(0, MIN($E$1, DATE(Initialisatie!$C$5,12,31)) - MAX($E$2, DATE(Initialisatie!$C$5,1,1)) + 1) &gt; 0, IFERROR(VALUE($E66),0)=0),
        AND(MAX(0, MIN($F$1, DATE(Initialisatie!$C$5,12,31)) - MAX($F$2, DATE(Initialisatie!$C$5,1,1)) + 1) &gt; 0, IFERROR(VALUE($F66),0)=0),
        AND(MAX(0, MIN($G$1, DATE(Initialisatie!$C$5,12,31)) - MAX($G$2, DATE(Initialisatie!$C$5,1,1)) + 1) &gt; 0, IFERROR(VALUE($G66),0)=0)
    ),
    0,
    SUM(
        IFERROR(VALUE($D66),0) * MAX(0, MIN($D$1, DATE(Initialisatie!$C$5,12,31)) - MAX($D$2, DATE(Initialisatie!$C$5,1,1)) + 1),
        IFERROR(VALUE($E66),0) * MAX(0, MIN($E$1, DATE(Initialisatie!$C$5,12,31)) - MAX($E$2, DATE(Initialisatie!$C$5,1,1)) + 1),
        IFERROR(VALUE($F66),0) * MAX(0, MIN($F$1, DATE(Initialisatie!$C$5,12,31)) - MAX($F$2, DATE(Initialisatie!$C$5,1,1)) + 1),
        IFERROR(VALUE($G66),0) * MAX(0, MIN($G$1, DATE(Initialisatie!$C$5,12,31)) - MAX($G$2, DATE(Initialisatie!$C$5,1,1)) + 1)
    ) / (DATE(Initialisatie!$C$5,12,31) - DATE(Initialisatie!$C$5,1,1) + 1)
)</f>
        <v>2883.9534246575345</v>
      </c>
      <c r="J66">
        <f>IF(
    OR(
        AND(MAX(0, IF(MIN($D$1, DATE(Initialisatie!$C$5,12,31)) &lt; MAX($D$2, DATE(Initialisatie!$C$5,1,1)), 0, MONTH(MIN($D$1, DATE(Initialisatie!$C$5,12,31))) - MONTH(MAX($D$2, DATE(Initialisatie!$C$5,1,1))) + 1)) &lt;= 0, IFERROR(VALUE($D66),0)=0),
        AND(MAX(0, IF(MIN($E$1, DATE(Initialisatie!$C$5,12,31)) &lt; MAX($E$2, DATE(Initialisatie!$C$5,1,1)), 0, MONTH(MIN($E$1, DATE(Initialisatie!$C$5,12,31))) - MONTH(MAX($E$2, DATE(Initialisatie!$C$5,1,1))) + 1)) &lt;= 0, IFERROR(VALUE($E66),0)=0),
        AND(MAX(0, IF(MIN($F$1, DATE(Initialisatie!$C$5,12,31)) &lt; MAX($F$2, DATE(Initialisatie!$C$5,1,1)), 0, MONTH(MIN($F$1, DATE(Initialisatie!$C$5,12,31))) - MONTH(MAX($F$2, DATE(Initialisatie!$C$5,1,1))) + 1)) &lt;= 0, IFERROR(VALUE($F66),0)=0),
        AND(MAX(0, IF(MIN($G$1, DATE(Initialisatie!$C$5,12,31)) &lt; MAX($G$2, DATE(Initialisatie!$C$5,1,1)), 0, MONTH(MIN($G$1, DATE(Initialisatie!$C$5,12,31))) - MONTH(MAX($G$2, DATE(Initialisatie!$C$5,1,1))) + 1)) &lt;= 0, IFERROR(VALUE($G66),0)=0)
    ),
    0,
    SUM(
        IFERROR(VALUE($D66),0) * MAX(0, IF(MIN($D$1, DATE(Initialisatie!$C$5,12,31)) &lt; MAX($D$2, DATE(Initialisatie!$C$5,1,1)), 0, MONTH(MIN($D$1, DATE(Initialisatie!$C$5,12,31))) - MONTH(MAX($D$2, DATE(Initialisatie!$C$5,1,1))) + 1)),
        IFERROR(VALUE($E66),0) * MAX(0, IF(MIN($E$1, DATE(Initialisatie!$C$5,12,31)) &lt; MAX($E$2, DATE(Initialisatie!$C$5,1,1)), 0, MONTH(MIN($E$1, DATE(Initialisatie!$C$5,12,31))) - MONTH(MAX($E$2, DATE(Initialisatie!$C$5,1,1))) + 1)),
        IFERROR(VALUE($F66),0) * MAX(0, IF(MIN($F$1, DATE(Initialisatie!$C$5,12,31)) &lt; MAX($F$2, DATE(Initialisatie!$C$5,1,1)), 0, MONTH(MIN($F$1, DATE(Initialisatie!$C$5,12,31))) - MONTH(MAX($F$2, DATE(Initialisatie!$C$5,1,1))) + 1)),
        IFERROR(VALUE($G66),0) * MAX(0, IF(MIN($G$1, DATE(Initialisatie!$C$5,12,31)) &lt; MAX($G$2, DATE(Initialisatie!$C$5,1,1)), 0, MONTH(MIN($G$1, DATE(Initialisatie!$C$5,12,31))) - MONTH(MAX($G$2, DATE(Initialisatie!$C$5,1,1))) + 1))
    ) / 12
)</f>
        <v>2883.6666666666665</v>
      </c>
    </row>
    <row r="67" spans="1:10" x14ac:dyDescent="0.45">
      <c r="A67" s="999"/>
      <c r="B67" s="374">
        <v>6</v>
      </c>
      <c r="C67" s="373">
        <v>15</v>
      </c>
      <c r="D67" s="48">
        <v>2796</v>
      </c>
      <c r="E67" s="48">
        <v>2908</v>
      </c>
      <c r="F67" s="48">
        <v>2966</v>
      </c>
      <c r="G67" s="48">
        <v>3025</v>
      </c>
      <c r="I67">
        <f>IF(
    OR(
        AND(MAX(0, MIN($D$1, DATE(Initialisatie!$C$5,12,31)) - MAX($D$2, DATE(Initialisatie!$C$5,1,1)) + 1) &gt; 0, IFERROR(VALUE($D67),0)=0),
        AND(MAX(0, MIN($E$1, DATE(Initialisatie!$C$5,12,31)) - MAX($E$2, DATE(Initialisatie!$C$5,1,1)) + 1) &gt; 0, IFERROR(VALUE($E67),0)=0),
        AND(MAX(0, MIN($F$1, DATE(Initialisatie!$C$5,12,31)) - MAX($F$2, DATE(Initialisatie!$C$5,1,1)) + 1) &gt; 0, IFERROR(VALUE($F67),0)=0),
        AND(MAX(0, MIN($G$1, DATE(Initialisatie!$C$5,12,31)) - MAX($G$2, DATE(Initialisatie!$C$5,1,1)) + 1) &gt; 0, IFERROR(VALUE($G67),0)=0)
    ),
    0,
    SUM(
        IFERROR(VALUE($D67),0) * MAX(0, MIN($D$1, DATE(Initialisatie!$C$5,12,31)) - MAX($D$2, DATE(Initialisatie!$C$5,1,1)) + 1),
        IFERROR(VALUE($E67),0) * MAX(0, MIN($E$1, DATE(Initialisatie!$C$5,12,31)) - MAX($E$2, DATE(Initialisatie!$C$5,1,1)) + 1),
        IFERROR(VALUE($F67),0) * MAX(0, MIN($F$1, DATE(Initialisatie!$C$5,12,31)) - MAX($F$2, DATE(Initialisatie!$C$5,1,1)) + 1),
        IFERROR(VALUE($G67),0) * MAX(0, MIN($G$1, DATE(Initialisatie!$C$5,12,31)) - MAX($G$2, DATE(Initialisatie!$C$5,1,1)) + 1)
    ) / (DATE(Initialisatie!$C$5,12,31) - DATE(Initialisatie!$C$5,1,1) + 1)
)</f>
        <v>2956.7917808219177</v>
      </c>
      <c r="J67">
        <f>IF(
    OR(
        AND(MAX(0, IF(MIN($D$1, DATE(Initialisatie!$C$5,12,31)) &lt; MAX($D$2, DATE(Initialisatie!$C$5,1,1)), 0, MONTH(MIN($D$1, DATE(Initialisatie!$C$5,12,31))) - MONTH(MAX($D$2, DATE(Initialisatie!$C$5,1,1))) + 1)) &lt;= 0, IFERROR(VALUE($D67),0)=0),
        AND(MAX(0, IF(MIN($E$1, DATE(Initialisatie!$C$5,12,31)) &lt; MAX($E$2, DATE(Initialisatie!$C$5,1,1)), 0, MONTH(MIN($E$1, DATE(Initialisatie!$C$5,12,31))) - MONTH(MAX($E$2, DATE(Initialisatie!$C$5,1,1))) + 1)) &lt;= 0, IFERROR(VALUE($E67),0)=0),
        AND(MAX(0, IF(MIN($F$1, DATE(Initialisatie!$C$5,12,31)) &lt; MAX($F$2, DATE(Initialisatie!$C$5,1,1)), 0, MONTH(MIN($F$1, DATE(Initialisatie!$C$5,12,31))) - MONTH(MAX($F$2, DATE(Initialisatie!$C$5,1,1))) + 1)) &lt;= 0, IFERROR(VALUE($F67),0)=0),
        AND(MAX(0, IF(MIN($G$1, DATE(Initialisatie!$C$5,12,31)) &lt; MAX($G$2, DATE(Initialisatie!$C$5,1,1)), 0, MONTH(MIN($G$1, DATE(Initialisatie!$C$5,12,31))) - MONTH(MAX($G$2, DATE(Initialisatie!$C$5,1,1))) + 1)) &lt;= 0, IFERROR(VALUE($G67),0)=0)
    ),
    0,
    SUM(
        IFERROR(VALUE($D67),0) * MAX(0, IF(MIN($D$1, DATE(Initialisatie!$C$5,12,31)) &lt; MAX($D$2, DATE(Initialisatie!$C$5,1,1)), 0, MONTH(MIN($D$1, DATE(Initialisatie!$C$5,12,31))) - MONTH(MAX($D$2, DATE(Initialisatie!$C$5,1,1))) + 1)),
        IFERROR(VALUE($E67),0) * MAX(0, IF(MIN($E$1, DATE(Initialisatie!$C$5,12,31)) &lt; MAX($E$2, DATE(Initialisatie!$C$5,1,1)), 0, MONTH(MIN($E$1, DATE(Initialisatie!$C$5,12,31))) - MONTH(MAX($E$2, DATE(Initialisatie!$C$5,1,1))) + 1)),
        IFERROR(VALUE($F67),0) * MAX(0, IF(MIN($F$1, DATE(Initialisatie!$C$5,12,31)) &lt; MAX($F$2, DATE(Initialisatie!$C$5,1,1)), 0, MONTH(MIN($F$1, DATE(Initialisatie!$C$5,12,31))) - MONTH(MAX($F$2, DATE(Initialisatie!$C$5,1,1))) + 1)),
        IFERROR(VALUE($G67),0) * MAX(0, IF(MIN($G$1, DATE(Initialisatie!$C$5,12,31)) &lt; MAX($G$2, DATE(Initialisatie!$C$5,1,1)), 0, MONTH(MIN($G$1, DATE(Initialisatie!$C$5,12,31))) - MONTH(MAX($G$2, DATE(Initialisatie!$C$5,1,1))) + 1))
    ) / 12
)</f>
        <v>2956.5</v>
      </c>
    </row>
    <row r="68" spans="1:10" x14ac:dyDescent="0.45">
      <c r="A68" s="999"/>
      <c r="B68" s="374">
        <v>7</v>
      </c>
      <c r="C68" s="373">
        <v>16</v>
      </c>
      <c r="D68" s="48">
        <v>2877</v>
      </c>
      <c r="E68" s="48">
        <v>2992</v>
      </c>
      <c r="F68" s="48">
        <v>3052</v>
      </c>
      <c r="G68" s="48">
        <v>3113</v>
      </c>
      <c r="I68">
        <f>IF(
    OR(
        AND(MAX(0, MIN($D$1, DATE(Initialisatie!$C$5,12,31)) - MAX($D$2, DATE(Initialisatie!$C$5,1,1)) + 1) &gt; 0, IFERROR(VALUE($D68),0)=0),
        AND(MAX(0, MIN($E$1, DATE(Initialisatie!$C$5,12,31)) - MAX($E$2, DATE(Initialisatie!$C$5,1,1)) + 1) &gt; 0, IFERROR(VALUE($E68),0)=0),
        AND(MAX(0, MIN($F$1, DATE(Initialisatie!$C$5,12,31)) - MAX($F$2, DATE(Initialisatie!$C$5,1,1)) + 1) &gt; 0, IFERROR(VALUE($F68),0)=0),
        AND(MAX(0, MIN($G$1, DATE(Initialisatie!$C$5,12,31)) - MAX($G$2, DATE(Initialisatie!$C$5,1,1)) + 1) &gt; 0, IFERROR(VALUE($G68),0)=0)
    ),
    0,
    SUM(
        IFERROR(VALUE($D68),0) * MAX(0, MIN($D$1, DATE(Initialisatie!$C$5,12,31)) - MAX($D$2, DATE(Initialisatie!$C$5,1,1)) + 1),
        IFERROR(VALUE($E68),0) * MAX(0, MIN($E$1, DATE(Initialisatie!$C$5,12,31)) - MAX($E$2, DATE(Initialisatie!$C$5,1,1)) + 1),
        IFERROR(VALUE($F68),0) * MAX(0, MIN($F$1, DATE(Initialisatie!$C$5,12,31)) - MAX($F$2, DATE(Initialisatie!$C$5,1,1)) + 1),
        IFERROR(VALUE($G68),0) * MAX(0, MIN($G$1, DATE(Initialisatie!$C$5,12,31)) - MAX($G$2, DATE(Initialisatie!$C$5,1,1)) + 1)
    ) / (DATE(Initialisatie!$C$5,12,31) - DATE(Initialisatie!$C$5,1,1) + 1)
)</f>
        <v>3042.4684931506849</v>
      </c>
      <c r="J68">
        <f>IF(
    OR(
        AND(MAX(0, IF(MIN($D$1, DATE(Initialisatie!$C$5,12,31)) &lt; MAX($D$2, DATE(Initialisatie!$C$5,1,1)), 0, MONTH(MIN($D$1, DATE(Initialisatie!$C$5,12,31))) - MONTH(MAX($D$2, DATE(Initialisatie!$C$5,1,1))) + 1)) &lt;= 0, IFERROR(VALUE($D68),0)=0),
        AND(MAX(0, IF(MIN($E$1, DATE(Initialisatie!$C$5,12,31)) &lt; MAX($E$2, DATE(Initialisatie!$C$5,1,1)), 0, MONTH(MIN($E$1, DATE(Initialisatie!$C$5,12,31))) - MONTH(MAX($E$2, DATE(Initialisatie!$C$5,1,1))) + 1)) &lt;= 0, IFERROR(VALUE($E68),0)=0),
        AND(MAX(0, IF(MIN($F$1, DATE(Initialisatie!$C$5,12,31)) &lt; MAX($F$2, DATE(Initialisatie!$C$5,1,1)), 0, MONTH(MIN($F$1, DATE(Initialisatie!$C$5,12,31))) - MONTH(MAX($F$2, DATE(Initialisatie!$C$5,1,1))) + 1)) &lt;= 0, IFERROR(VALUE($F68),0)=0),
        AND(MAX(0, IF(MIN($G$1, DATE(Initialisatie!$C$5,12,31)) &lt; MAX($G$2, DATE(Initialisatie!$C$5,1,1)), 0, MONTH(MIN($G$1, DATE(Initialisatie!$C$5,12,31))) - MONTH(MAX($G$2, DATE(Initialisatie!$C$5,1,1))) + 1)) &lt;= 0, IFERROR(VALUE($G68),0)=0)
    ),
    0,
    SUM(
        IFERROR(VALUE($D68),0) * MAX(0, IF(MIN($D$1, DATE(Initialisatie!$C$5,12,31)) &lt; MAX($D$2, DATE(Initialisatie!$C$5,1,1)), 0, MONTH(MIN($D$1, DATE(Initialisatie!$C$5,12,31))) - MONTH(MAX($D$2, DATE(Initialisatie!$C$5,1,1))) + 1)),
        IFERROR(VALUE($E68),0) * MAX(0, IF(MIN($E$1, DATE(Initialisatie!$C$5,12,31)) &lt; MAX($E$2, DATE(Initialisatie!$C$5,1,1)), 0, MONTH(MIN($E$1, DATE(Initialisatie!$C$5,12,31))) - MONTH(MAX($E$2, DATE(Initialisatie!$C$5,1,1))) + 1)),
        IFERROR(VALUE($F68),0) * MAX(0, IF(MIN($F$1, DATE(Initialisatie!$C$5,12,31)) &lt; MAX($F$2, DATE(Initialisatie!$C$5,1,1)), 0, MONTH(MIN($F$1, DATE(Initialisatie!$C$5,12,31))) - MONTH(MAX($F$2, DATE(Initialisatie!$C$5,1,1))) + 1)),
        IFERROR(VALUE($G68),0) * MAX(0, IF(MIN($G$1, DATE(Initialisatie!$C$5,12,31)) &lt; MAX($G$2, DATE(Initialisatie!$C$5,1,1)), 0, MONTH(MIN($G$1, DATE(Initialisatie!$C$5,12,31))) - MONTH(MAX($G$2, DATE(Initialisatie!$C$5,1,1))) + 1))
    ) / 12
)</f>
        <v>3042.1666666666665</v>
      </c>
    </row>
    <row r="69" spans="1:10" x14ac:dyDescent="0.45">
      <c r="A69" s="999"/>
      <c r="B69" s="374">
        <v>8</v>
      </c>
      <c r="C69" s="373">
        <v>17</v>
      </c>
      <c r="D69" s="48">
        <v>2946</v>
      </c>
      <c r="E69" s="48">
        <v>3064</v>
      </c>
      <c r="F69" s="48">
        <v>3125</v>
      </c>
      <c r="G69" s="48">
        <v>3188</v>
      </c>
      <c r="I69">
        <f>IF(
    OR(
        AND(MAX(0, MIN($D$1, DATE(Initialisatie!$C$5,12,31)) - MAX($D$2, DATE(Initialisatie!$C$5,1,1)) + 1) &gt; 0, IFERROR(VALUE($D69),0)=0),
        AND(MAX(0, MIN($E$1, DATE(Initialisatie!$C$5,12,31)) - MAX($E$2, DATE(Initialisatie!$C$5,1,1)) + 1) &gt; 0, IFERROR(VALUE($E69),0)=0),
        AND(MAX(0, MIN($F$1, DATE(Initialisatie!$C$5,12,31)) - MAX($F$2, DATE(Initialisatie!$C$5,1,1)) + 1) &gt; 0, IFERROR(VALUE($F69),0)=0),
        AND(MAX(0, MIN($G$1, DATE(Initialisatie!$C$5,12,31)) - MAX($G$2, DATE(Initialisatie!$C$5,1,1)) + 1) &gt; 0, IFERROR(VALUE($G69),0)=0)
    ),
    0,
    SUM(
        IFERROR(VALUE($D69),0) * MAX(0, MIN($D$1, DATE(Initialisatie!$C$5,12,31)) - MAX($D$2, DATE(Initialisatie!$C$5,1,1)) + 1),
        IFERROR(VALUE($E69),0) * MAX(0, MIN($E$1, DATE(Initialisatie!$C$5,12,31)) - MAX($E$2, DATE(Initialisatie!$C$5,1,1)) + 1),
        IFERROR(VALUE($F69),0) * MAX(0, MIN($F$1, DATE(Initialisatie!$C$5,12,31)) - MAX($F$2, DATE(Initialisatie!$C$5,1,1)) + 1),
        IFERROR(VALUE($G69),0) * MAX(0, MIN($G$1, DATE(Initialisatie!$C$5,12,31)) - MAX($G$2, DATE(Initialisatie!$C$5,1,1)) + 1)
    ) / (DATE(Initialisatie!$C$5,12,31) - DATE(Initialisatie!$C$5,1,1) + 1)
)</f>
        <v>3115.4739726027397</v>
      </c>
      <c r="J69">
        <f>IF(
    OR(
        AND(MAX(0, IF(MIN($D$1, DATE(Initialisatie!$C$5,12,31)) &lt; MAX($D$2, DATE(Initialisatie!$C$5,1,1)), 0, MONTH(MIN($D$1, DATE(Initialisatie!$C$5,12,31))) - MONTH(MAX($D$2, DATE(Initialisatie!$C$5,1,1))) + 1)) &lt;= 0, IFERROR(VALUE($D69),0)=0),
        AND(MAX(0, IF(MIN($E$1, DATE(Initialisatie!$C$5,12,31)) &lt; MAX($E$2, DATE(Initialisatie!$C$5,1,1)), 0, MONTH(MIN($E$1, DATE(Initialisatie!$C$5,12,31))) - MONTH(MAX($E$2, DATE(Initialisatie!$C$5,1,1))) + 1)) &lt;= 0, IFERROR(VALUE($E69),0)=0),
        AND(MAX(0, IF(MIN($F$1, DATE(Initialisatie!$C$5,12,31)) &lt; MAX($F$2, DATE(Initialisatie!$C$5,1,1)), 0, MONTH(MIN($F$1, DATE(Initialisatie!$C$5,12,31))) - MONTH(MAX($F$2, DATE(Initialisatie!$C$5,1,1))) + 1)) &lt;= 0, IFERROR(VALUE($F69),0)=0),
        AND(MAX(0, IF(MIN($G$1, DATE(Initialisatie!$C$5,12,31)) &lt; MAX($G$2, DATE(Initialisatie!$C$5,1,1)), 0, MONTH(MIN($G$1, DATE(Initialisatie!$C$5,12,31))) - MONTH(MAX($G$2, DATE(Initialisatie!$C$5,1,1))) + 1)) &lt;= 0, IFERROR(VALUE($G69),0)=0)
    ),
    0,
    SUM(
        IFERROR(VALUE($D69),0) * MAX(0, IF(MIN($D$1, DATE(Initialisatie!$C$5,12,31)) &lt; MAX($D$2, DATE(Initialisatie!$C$5,1,1)), 0, MONTH(MIN($D$1, DATE(Initialisatie!$C$5,12,31))) - MONTH(MAX($D$2, DATE(Initialisatie!$C$5,1,1))) + 1)),
        IFERROR(VALUE($E69),0) * MAX(0, IF(MIN($E$1, DATE(Initialisatie!$C$5,12,31)) &lt; MAX($E$2, DATE(Initialisatie!$C$5,1,1)), 0, MONTH(MIN($E$1, DATE(Initialisatie!$C$5,12,31))) - MONTH(MAX($E$2, DATE(Initialisatie!$C$5,1,1))) + 1)),
        IFERROR(VALUE($F69),0) * MAX(0, IF(MIN($F$1, DATE(Initialisatie!$C$5,12,31)) &lt; MAX($F$2, DATE(Initialisatie!$C$5,1,1)), 0, MONTH(MIN($F$1, DATE(Initialisatie!$C$5,12,31))) - MONTH(MAX($F$2, DATE(Initialisatie!$C$5,1,1))) + 1)),
        IFERROR(VALUE($G69),0) * MAX(0, IF(MIN($G$1, DATE(Initialisatie!$C$5,12,31)) &lt; MAX($G$2, DATE(Initialisatie!$C$5,1,1)), 0, MONTH(MIN($G$1, DATE(Initialisatie!$C$5,12,31))) - MONTH(MAX($G$2, DATE(Initialisatie!$C$5,1,1))) + 1))
    ) / 12
)</f>
        <v>3115.1666666666665</v>
      </c>
    </row>
    <row r="70" spans="1:10" x14ac:dyDescent="0.45">
      <c r="A70" s="999"/>
      <c r="B70" s="374">
        <v>9</v>
      </c>
      <c r="C70" s="373">
        <v>18</v>
      </c>
      <c r="D70" s="48">
        <v>3028</v>
      </c>
      <c r="E70" s="48">
        <v>3149</v>
      </c>
      <c r="F70" s="48">
        <v>3212</v>
      </c>
      <c r="G70" s="48">
        <v>3276</v>
      </c>
      <c r="I70">
        <f>IF(
    OR(
        AND(MAX(0, MIN($D$1, DATE(Initialisatie!$C$5,12,31)) - MAX($D$2, DATE(Initialisatie!$C$5,1,1)) + 1) &gt; 0, IFERROR(VALUE($D70),0)=0),
        AND(MAX(0, MIN($E$1, DATE(Initialisatie!$C$5,12,31)) - MAX($E$2, DATE(Initialisatie!$C$5,1,1)) + 1) &gt; 0, IFERROR(VALUE($E70),0)=0),
        AND(MAX(0, MIN($F$1, DATE(Initialisatie!$C$5,12,31)) - MAX($F$2, DATE(Initialisatie!$C$5,1,1)) + 1) &gt; 0, IFERROR(VALUE($F70),0)=0),
        AND(MAX(0, MIN($G$1, DATE(Initialisatie!$C$5,12,31)) - MAX($G$2, DATE(Initialisatie!$C$5,1,1)) + 1) &gt; 0, IFERROR(VALUE($G70),0)=0)
    ),
    0,
    SUM(
        IFERROR(VALUE($D70),0) * MAX(0, MIN($D$1, DATE(Initialisatie!$C$5,12,31)) - MAX($D$2, DATE(Initialisatie!$C$5,1,1)) + 1),
        IFERROR(VALUE($E70),0) * MAX(0, MIN($E$1, DATE(Initialisatie!$C$5,12,31)) - MAX($E$2, DATE(Initialisatie!$C$5,1,1)) + 1),
        IFERROR(VALUE($F70),0) * MAX(0, MIN($F$1, DATE(Initialisatie!$C$5,12,31)) - MAX($F$2, DATE(Initialisatie!$C$5,1,1)) + 1),
        IFERROR(VALUE($G70),0) * MAX(0, MIN($G$1, DATE(Initialisatie!$C$5,12,31)) - MAX($G$2, DATE(Initialisatie!$C$5,1,1)) + 1)
    ) / (DATE(Initialisatie!$C$5,12,31) - DATE(Initialisatie!$C$5,1,1) + 1)
)</f>
        <v>3201.9835616438354</v>
      </c>
      <c r="J70">
        <f>IF(
    OR(
        AND(MAX(0, IF(MIN($D$1, DATE(Initialisatie!$C$5,12,31)) &lt; MAX($D$2, DATE(Initialisatie!$C$5,1,1)), 0, MONTH(MIN($D$1, DATE(Initialisatie!$C$5,12,31))) - MONTH(MAX($D$2, DATE(Initialisatie!$C$5,1,1))) + 1)) &lt;= 0, IFERROR(VALUE($D70),0)=0),
        AND(MAX(0, IF(MIN($E$1, DATE(Initialisatie!$C$5,12,31)) &lt; MAX($E$2, DATE(Initialisatie!$C$5,1,1)), 0, MONTH(MIN($E$1, DATE(Initialisatie!$C$5,12,31))) - MONTH(MAX($E$2, DATE(Initialisatie!$C$5,1,1))) + 1)) &lt;= 0, IFERROR(VALUE($E70),0)=0),
        AND(MAX(0, IF(MIN($F$1, DATE(Initialisatie!$C$5,12,31)) &lt; MAX($F$2, DATE(Initialisatie!$C$5,1,1)), 0, MONTH(MIN($F$1, DATE(Initialisatie!$C$5,12,31))) - MONTH(MAX($F$2, DATE(Initialisatie!$C$5,1,1))) + 1)) &lt;= 0, IFERROR(VALUE($F70),0)=0),
        AND(MAX(0, IF(MIN($G$1, DATE(Initialisatie!$C$5,12,31)) &lt; MAX($G$2, DATE(Initialisatie!$C$5,1,1)), 0, MONTH(MIN($G$1, DATE(Initialisatie!$C$5,12,31))) - MONTH(MAX($G$2, DATE(Initialisatie!$C$5,1,1))) + 1)) &lt;= 0, IFERROR(VALUE($G70),0)=0)
    ),
    0,
    SUM(
        IFERROR(VALUE($D70),0) * MAX(0, IF(MIN($D$1, DATE(Initialisatie!$C$5,12,31)) &lt; MAX($D$2, DATE(Initialisatie!$C$5,1,1)), 0, MONTH(MIN($D$1, DATE(Initialisatie!$C$5,12,31))) - MONTH(MAX($D$2, DATE(Initialisatie!$C$5,1,1))) + 1)),
        IFERROR(VALUE($E70),0) * MAX(0, IF(MIN($E$1, DATE(Initialisatie!$C$5,12,31)) &lt; MAX($E$2, DATE(Initialisatie!$C$5,1,1)), 0, MONTH(MIN($E$1, DATE(Initialisatie!$C$5,12,31))) - MONTH(MAX($E$2, DATE(Initialisatie!$C$5,1,1))) + 1)),
        IFERROR(VALUE($F70),0) * MAX(0, IF(MIN($F$1, DATE(Initialisatie!$C$5,12,31)) &lt; MAX($F$2, DATE(Initialisatie!$C$5,1,1)), 0, MONTH(MIN($F$1, DATE(Initialisatie!$C$5,12,31))) - MONTH(MAX($F$2, DATE(Initialisatie!$C$5,1,1))) + 1)),
        IFERROR(VALUE($G70),0) * MAX(0, IF(MIN($G$1, DATE(Initialisatie!$C$5,12,31)) &lt; MAX($G$2, DATE(Initialisatie!$C$5,1,1)), 0, MONTH(MIN($G$1, DATE(Initialisatie!$C$5,12,31))) - MONTH(MAX($G$2, DATE(Initialisatie!$C$5,1,1))) + 1))
    ) / 12
)</f>
        <v>3201.6666666666665</v>
      </c>
    </row>
    <row r="71" spans="1:10" x14ac:dyDescent="0.45">
      <c r="A71" s="999"/>
      <c r="B71" s="374">
        <v>10</v>
      </c>
      <c r="C71" s="373">
        <v>19</v>
      </c>
      <c r="D71" s="48">
        <v>3107</v>
      </c>
      <c r="E71" s="48">
        <v>3231</v>
      </c>
      <c r="F71" s="48">
        <v>3296</v>
      </c>
      <c r="G71" s="48">
        <v>3453</v>
      </c>
      <c r="I71">
        <f>IF(
    OR(
        AND(MAX(0, MIN($D$1, DATE(Initialisatie!$C$5,12,31)) - MAX($D$2, DATE(Initialisatie!$C$5,1,1)) + 1) &gt; 0, IFERROR(VALUE($D71),0)=0),
        AND(MAX(0, MIN($E$1, DATE(Initialisatie!$C$5,12,31)) - MAX($E$2, DATE(Initialisatie!$C$5,1,1)) + 1) &gt; 0, IFERROR(VALUE($E71),0)=0),
        AND(MAX(0, MIN($F$1, DATE(Initialisatie!$C$5,12,31)) - MAX($F$2, DATE(Initialisatie!$C$5,1,1)) + 1) &gt; 0, IFERROR(VALUE($F71),0)=0),
        AND(MAX(0, MIN($G$1, DATE(Initialisatie!$C$5,12,31)) - MAX($G$2, DATE(Initialisatie!$C$5,1,1)) + 1) &gt; 0, IFERROR(VALUE($G71),0)=0)
    ),
    0,
    SUM(
        IFERROR(VALUE($D71),0) * MAX(0, MIN($D$1, DATE(Initialisatie!$C$5,12,31)) - MAX($D$2, DATE(Initialisatie!$C$5,1,1)) + 1),
        IFERROR(VALUE($E71),0) * MAX(0, MIN($E$1, DATE(Initialisatie!$C$5,12,31)) - MAX($E$2, DATE(Initialisatie!$C$5,1,1)) + 1),
        IFERROR(VALUE($F71),0) * MAX(0, MIN($F$1, DATE(Initialisatie!$C$5,12,31)) - MAX($F$2, DATE(Initialisatie!$C$5,1,1)) + 1),
        IFERROR(VALUE($G71),0) * MAX(0, MIN($G$1, DATE(Initialisatie!$C$5,12,31)) - MAX($G$2, DATE(Initialisatie!$C$5,1,1)) + 1)
    ) / (DATE(Initialisatie!$C$5,12,31) - DATE(Initialisatie!$C$5,1,1) + 1)
)</f>
        <v>3300.868493150685</v>
      </c>
      <c r="J71">
        <f>IF(
    OR(
        AND(MAX(0, IF(MIN($D$1, DATE(Initialisatie!$C$5,12,31)) &lt; MAX($D$2, DATE(Initialisatie!$C$5,1,1)), 0, MONTH(MIN($D$1, DATE(Initialisatie!$C$5,12,31))) - MONTH(MAX($D$2, DATE(Initialisatie!$C$5,1,1))) + 1)) &lt;= 0, IFERROR(VALUE($D71),0)=0),
        AND(MAX(0, IF(MIN($E$1, DATE(Initialisatie!$C$5,12,31)) &lt; MAX($E$2, DATE(Initialisatie!$C$5,1,1)), 0, MONTH(MIN($E$1, DATE(Initialisatie!$C$5,12,31))) - MONTH(MAX($E$2, DATE(Initialisatie!$C$5,1,1))) + 1)) &lt;= 0, IFERROR(VALUE($E71),0)=0),
        AND(MAX(0, IF(MIN($F$1, DATE(Initialisatie!$C$5,12,31)) &lt; MAX($F$2, DATE(Initialisatie!$C$5,1,1)), 0, MONTH(MIN($F$1, DATE(Initialisatie!$C$5,12,31))) - MONTH(MAX($F$2, DATE(Initialisatie!$C$5,1,1))) + 1)) &lt;= 0, IFERROR(VALUE($F71),0)=0),
        AND(MAX(0, IF(MIN($G$1, DATE(Initialisatie!$C$5,12,31)) &lt; MAX($G$2, DATE(Initialisatie!$C$5,1,1)), 0, MONTH(MIN($G$1, DATE(Initialisatie!$C$5,12,31))) - MONTH(MAX($G$2, DATE(Initialisatie!$C$5,1,1))) + 1)) &lt;= 0, IFERROR(VALUE($G71),0)=0)
    ),
    0,
    SUM(
        IFERROR(VALUE($D71),0) * MAX(0, IF(MIN($D$1, DATE(Initialisatie!$C$5,12,31)) &lt; MAX($D$2, DATE(Initialisatie!$C$5,1,1)), 0, MONTH(MIN($D$1, DATE(Initialisatie!$C$5,12,31))) - MONTH(MAX($D$2, DATE(Initialisatie!$C$5,1,1))) + 1)),
        IFERROR(VALUE($E71),0) * MAX(0, IF(MIN($E$1, DATE(Initialisatie!$C$5,12,31)) &lt; MAX($E$2, DATE(Initialisatie!$C$5,1,1)), 0, MONTH(MIN($E$1, DATE(Initialisatie!$C$5,12,31))) - MONTH(MAX($E$2, DATE(Initialisatie!$C$5,1,1))) + 1)),
        IFERROR(VALUE($F71),0) * MAX(0, IF(MIN($F$1, DATE(Initialisatie!$C$5,12,31)) &lt; MAX($F$2, DATE(Initialisatie!$C$5,1,1)), 0, MONTH(MIN($F$1, DATE(Initialisatie!$C$5,12,31))) - MONTH(MAX($F$2, DATE(Initialisatie!$C$5,1,1))) + 1)),
        IFERROR(VALUE($G71),0) * MAX(0, IF(MIN($G$1, DATE(Initialisatie!$C$5,12,31)) &lt; MAX($G$2, DATE(Initialisatie!$C$5,1,1)), 0, MONTH(MIN($G$1, DATE(Initialisatie!$C$5,12,31))) - MONTH(MAX($G$2, DATE(Initialisatie!$C$5,1,1))) + 1))
    ) / 12
)</f>
        <v>3300.5</v>
      </c>
    </row>
    <row r="72" spans="1:10" x14ac:dyDescent="0.45">
      <c r="A72" s="999"/>
      <c r="B72" s="374">
        <v>11</v>
      </c>
      <c r="C72" s="373">
        <v>20</v>
      </c>
      <c r="D72" s="48">
        <v>3191</v>
      </c>
      <c r="E72" s="48">
        <v>3319</v>
      </c>
      <c r="F72" s="48">
        <v>3385</v>
      </c>
      <c r="G72" s="48">
        <v>3362</v>
      </c>
      <c r="I72">
        <f>IF(
    OR(
        AND(MAX(0, MIN($D$1, DATE(Initialisatie!$C$5,12,31)) - MAX($D$2, DATE(Initialisatie!$C$5,1,1)) + 1) &gt; 0, IFERROR(VALUE($D72),0)=0),
        AND(MAX(0, MIN($E$1, DATE(Initialisatie!$C$5,12,31)) - MAX($E$2, DATE(Initialisatie!$C$5,1,1)) + 1) &gt; 0, IFERROR(VALUE($E72),0)=0),
        AND(MAX(0, MIN($F$1, DATE(Initialisatie!$C$5,12,31)) - MAX($F$2, DATE(Initialisatie!$C$5,1,1)) + 1) &gt; 0, IFERROR(VALUE($F72),0)=0),
        AND(MAX(0, MIN($G$1, DATE(Initialisatie!$C$5,12,31)) - MAX($G$2, DATE(Initialisatie!$C$5,1,1)) + 1) &gt; 0, IFERROR(VALUE($G72),0)=0)
    ),
    0,
    SUM(
        IFERROR(VALUE($D72),0) * MAX(0, MIN($D$1, DATE(Initialisatie!$C$5,12,31)) - MAX($D$2, DATE(Initialisatie!$C$5,1,1)) + 1),
        IFERROR(VALUE($E72),0) * MAX(0, MIN($E$1, DATE(Initialisatie!$C$5,12,31)) - MAX($E$2, DATE(Initialisatie!$C$5,1,1)) + 1),
        IFERROR(VALUE($F72),0) * MAX(0, MIN($F$1, DATE(Initialisatie!$C$5,12,31)) - MAX($F$2, DATE(Initialisatie!$C$5,1,1)) + 1),
        IFERROR(VALUE($G72),0) * MAX(0, MIN($G$1, DATE(Initialisatie!$C$5,12,31)) - MAX($G$2, DATE(Initialisatie!$C$5,1,1)) + 1)
    ) / (DATE(Initialisatie!$C$5,12,31) - DATE(Initialisatie!$C$5,1,1) + 1)
)</f>
        <v>3359.4575342465755</v>
      </c>
      <c r="J72">
        <f>IF(
    OR(
        AND(MAX(0, IF(MIN($D$1, DATE(Initialisatie!$C$5,12,31)) &lt; MAX($D$2, DATE(Initialisatie!$C$5,1,1)), 0, MONTH(MIN($D$1, DATE(Initialisatie!$C$5,12,31))) - MONTH(MAX($D$2, DATE(Initialisatie!$C$5,1,1))) + 1)) &lt;= 0, IFERROR(VALUE($D72),0)=0),
        AND(MAX(0, IF(MIN($E$1, DATE(Initialisatie!$C$5,12,31)) &lt; MAX($E$2, DATE(Initialisatie!$C$5,1,1)), 0, MONTH(MIN($E$1, DATE(Initialisatie!$C$5,12,31))) - MONTH(MAX($E$2, DATE(Initialisatie!$C$5,1,1))) + 1)) &lt;= 0, IFERROR(VALUE($E72),0)=0),
        AND(MAX(0, IF(MIN($F$1, DATE(Initialisatie!$C$5,12,31)) &lt; MAX($F$2, DATE(Initialisatie!$C$5,1,1)), 0, MONTH(MIN($F$1, DATE(Initialisatie!$C$5,12,31))) - MONTH(MAX($F$2, DATE(Initialisatie!$C$5,1,1))) + 1)) &lt;= 0, IFERROR(VALUE($F72),0)=0),
        AND(MAX(0, IF(MIN($G$1, DATE(Initialisatie!$C$5,12,31)) &lt; MAX($G$2, DATE(Initialisatie!$C$5,1,1)), 0, MONTH(MIN($G$1, DATE(Initialisatie!$C$5,12,31))) - MONTH(MAX($G$2, DATE(Initialisatie!$C$5,1,1))) + 1)) &lt;= 0, IFERROR(VALUE($G72),0)=0)
    ),
    0,
    SUM(
        IFERROR(VALUE($D72),0) * MAX(0, IF(MIN($D$1, DATE(Initialisatie!$C$5,12,31)) &lt; MAX($D$2, DATE(Initialisatie!$C$5,1,1)), 0, MONTH(MIN($D$1, DATE(Initialisatie!$C$5,12,31))) - MONTH(MAX($D$2, DATE(Initialisatie!$C$5,1,1))) + 1)),
        IFERROR(VALUE($E72),0) * MAX(0, IF(MIN($E$1, DATE(Initialisatie!$C$5,12,31)) &lt; MAX($E$2, DATE(Initialisatie!$C$5,1,1)), 0, MONTH(MIN($E$1, DATE(Initialisatie!$C$5,12,31))) - MONTH(MAX($E$2, DATE(Initialisatie!$C$5,1,1))) + 1)),
        IFERROR(VALUE($F72),0) * MAX(0, IF(MIN($F$1, DATE(Initialisatie!$C$5,12,31)) &lt; MAX($F$2, DATE(Initialisatie!$C$5,1,1)), 0, MONTH(MIN($F$1, DATE(Initialisatie!$C$5,12,31))) - MONTH(MAX($F$2, DATE(Initialisatie!$C$5,1,1))) + 1)),
        IFERROR(VALUE($G72),0) * MAX(0, IF(MIN($G$1, DATE(Initialisatie!$C$5,12,31)) &lt; MAX($G$2, DATE(Initialisatie!$C$5,1,1)), 0, MONTH(MIN($G$1, DATE(Initialisatie!$C$5,12,31))) - MONTH(MAX($G$2, DATE(Initialisatie!$C$5,1,1))) + 1))
    ) / 12
)</f>
        <v>3359.1666666666665</v>
      </c>
    </row>
    <row r="73" spans="1:10" x14ac:dyDescent="0.45">
      <c r="A73" s="999">
        <v>35</v>
      </c>
      <c r="B73" s="374">
        <v>1</v>
      </c>
      <c r="C73" s="373">
        <v>10</v>
      </c>
      <c r="D73" s="48">
        <v>2448</v>
      </c>
      <c r="E73" s="48">
        <v>2546</v>
      </c>
      <c r="F73" s="48">
        <v>2597</v>
      </c>
      <c r="G73" s="48">
        <v>2649</v>
      </c>
      <c r="I73">
        <f>IF(
    OR(
        AND(MAX(0, MIN($D$1, DATE(Initialisatie!$C$5,12,31)) - MAX($D$2, DATE(Initialisatie!$C$5,1,1)) + 1) &gt; 0, IFERROR(VALUE($D73),0)=0),
        AND(MAX(0, MIN($E$1, DATE(Initialisatie!$C$5,12,31)) - MAX($E$2, DATE(Initialisatie!$C$5,1,1)) + 1) &gt; 0, IFERROR(VALUE($E73),0)=0),
        AND(MAX(0, MIN($F$1, DATE(Initialisatie!$C$5,12,31)) - MAX($F$2, DATE(Initialisatie!$C$5,1,1)) + 1) &gt; 0, IFERROR(VALUE($F73),0)=0),
        AND(MAX(0, MIN($G$1, DATE(Initialisatie!$C$5,12,31)) - MAX($G$2, DATE(Initialisatie!$C$5,1,1)) + 1) &gt; 0, IFERROR(VALUE($G73),0)=0)
    ),
    0,
    SUM(
        IFERROR(VALUE($D73),0) * MAX(0, MIN($D$1, DATE(Initialisatie!$C$5,12,31)) - MAX($D$2, DATE(Initialisatie!$C$5,1,1)) + 1),
        IFERROR(VALUE($E73),0) * MAX(0, MIN($E$1, DATE(Initialisatie!$C$5,12,31)) - MAX($E$2, DATE(Initialisatie!$C$5,1,1)) + 1),
        IFERROR(VALUE($F73),0) * MAX(0, MIN($F$1, DATE(Initialisatie!$C$5,12,31)) - MAX($F$2, DATE(Initialisatie!$C$5,1,1)) + 1),
        IFERROR(VALUE($G73),0) * MAX(0, MIN($G$1, DATE(Initialisatie!$C$5,12,31)) - MAX($G$2, DATE(Initialisatie!$C$5,1,1)) + 1)
    ) / (DATE(Initialisatie!$C$5,12,31) - DATE(Initialisatie!$C$5,1,1) + 1)
)</f>
        <v>2588.9232876712331</v>
      </c>
      <c r="J73">
        <f>IF(
    OR(
        AND(MAX(0, IF(MIN($D$1, DATE(Initialisatie!$C$5,12,31)) &lt; MAX($D$2, DATE(Initialisatie!$C$5,1,1)), 0, MONTH(MIN($D$1, DATE(Initialisatie!$C$5,12,31))) - MONTH(MAX($D$2, DATE(Initialisatie!$C$5,1,1))) + 1)) &lt;= 0, IFERROR(VALUE($D73),0)=0),
        AND(MAX(0, IF(MIN($E$1, DATE(Initialisatie!$C$5,12,31)) &lt; MAX($E$2, DATE(Initialisatie!$C$5,1,1)), 0, MONTH(MIN($E$1, DATE(Initialisatie!$C$5,12,31))) - MONTH(MAX($E$2, DATE(Initialisatie!$C$5,1,1))) + 1)) &lt;= 0, IFERROR(VALUE($E73),0)=0),
        AND(MAX(0, IF(MIN($F$1, DATE(Initialisatie!$C$5,12,31)) &lt; MAX($F$2, DATE(Initialisatie!$C$5,1,1)), 0, MONTH(MIN($F$1, DATE(Initialisatie!$C$5,12,31))) - MONTH(MAX($F$2, DATE(Initialisatie!$C$5,1,1))) + 1)) &lt;= 0, IFERROR(VALUE($F73),0)=0),
        AND(MAX(0, IF(MIN($G$1, DATE(Initialisatie!$C$5,12,31)) &lt; MAX($G$2, DATE(Initialisatie!$C$5,1,1)), 0, MONTH(MIN($G$1, DATE(Initialisatie!$C$5,12,31))) - MONTH(MAX($G$2, DATE(Initialisatie!$C$5,1,1))) + 1)) &lt;= 0, IFERROR(VALUE($G73),0)=0)
    ),
    0,
    SUM(
        IFERROR(VALUE($D73),0) * MAX(0, IF(MIN($D$1, DATE(Initialisatie!$C$5,12,31)) &lt; MAX($D$2, DATE(Initialisatie!$C$5,1,1)), 0, MONTH(MIN($D$1, DATE(Initialisatie!$C$5,12,31))) - MONTH(MAX($D$2, DATE(Initialisatie!$C$5,1,1))) + 1)),
        IFERROR(VALUE($E73),0) * MAX(0, IF(MIN($E$1, DATE(Initialisatie!$C$5,12,31)) &lt; MAX($E$2, DATE(Initialisatie!$C$5,1,1)), 0, MONTH(MIN($E$1, DATE(Initialisatie!$C$5,12,31))) - MONTH(MAX($E$2, DATE(Initialisatie!$C$5,1,1))) + 1)),
        IFERROR(VALUE($F73),0) * MAX(0, IF(MIN($F$1, DATE(Initialisatie!$C$5,12,31)) &lt; MAX($F$2, DATE(Initialisatie!$C$5,1,1)), 0, MONTH(MIN($F$1, DATE(Initialisatie!$C$5,12,31))) - MONTH(MAX($F$2, DATE(Initialisatie!$C$5,1,1))) + 1)),
        IFERROR(VALUE($G73),0) * MAX(0, IF(MIN($G$1, DATE(Initialisatie!$C$5,12,31)) &lt; MAX($G$2, DATE(Initialisatie!$C$5,1,1)), 0, MONTH(MIN($G$1, DATE(Initialisatie!$C$5,12,31))) - MONTH(MAX($G$2, DATE(Initialisatie!$C$5,1,1))) + 1))
    ) / 12
)</f>
        <v>2588.6666666666665</v>
      </c>
    </row>
    <row r="74" spans="1:10" x14ac:dyDescent="0.45">
      <c r="A74" s="999"/>
      <c r="B74" s="43">
        <v>2</v>
      </c>
      <c r="C74" s="373">
        <v>12</v>
      </c>
      <c r="D74" s="48">
        <v>2578</v>
      </c>
      <c r="E74" s="48">
        <v>2681</v>
      </c>
      <c r="F74" s="48">
        <v>2735</v>
      </c>
      <c r="G74" s="48">
        <v>2790</v>
      </c>
      <c r="I74">
        <f>IF(
    OR(
        AND(MAX(0, MIN($D$1, DATE(Initialisatie!$C$5,12,31)) - MAX($D$2, DATE(Initialisatie!$C$5,1,1)) + 1) &gt; 0, IFERROR(VALUE($D74),0)=0),
        AND(MAX(0, MIN($E$1, DATE(Initialisatie!$C$5,12,31)) - MAX($E$2, DATE(Initialisatie!$C$5,1,1)) + 1) &gt; 0, IFERROR(VALUE($E74),0)=0),
        AND(MAX(0, MIN($F$1, DATE(Initialisatie!$C$5,12,31)) - MAX($F$2, DATE(Initialisatie!$C$5,1,1)) + 1) &gt; 0, IFERROR(VALUE($F74),0)=0),
        AND(MAX(0, MIN($G$1, DATE(Initialisatie!$C$5,12,31)) - MAX($G$2, DATE(Initialisatie!$C$5,1,1)) + 1) &gt; 0, IFERROR(VALUE($G74),0)=0)
    ),
    0,
    SUM(
        IFERROR(VALUE($D74),0) * MAX(0, MIN($D$1, DATE(Initialisatie!$C$5,12,31)) - MAX($D$2, DATE(Initialisatie!$C$5,1,1)) + 1),
        IFERROR(VALUE($E74),0) * MAX(0, MIN($E$1, DATE(Initialisatie!$C$5,12,31)) - MAX($E$2, DATE(Initialisatie!$C$5,1,1)) + 1),
        IFERROR(VALUE($F74),0) * MAX(0, MIN($F$1, DATE(Initialisatie!$C$5,12,31)) - MAX($F$2, DATE(Initialisatie!$C$5,1,1)) + 1),
        IFERROR(VALUE($G74),0) * MAX(0, MIN($G$1, DATE(Initialisatie!$C$5,12,31)) - MAX($G$2, DATE(Initialisatie!$C$5,1,1)) + 1)
    ) / (DATE(Initialisatie!$C$5,12,31) - DATE(Initialisatie!$C$5,1,1) + 1)
)</f>
        <v>2726.4383561643835</v>
      </c>
      <c r="J74">
        <f>IF(
    OR(
        AND(MAX(0, IF(MIN($D$1, DATE(Initialisatie!$C$5,12,31)) &lt; MAX($D$2, DATE(Initialisatie!$C$5,1,1)), 0, MONTH(MIN($D$1, DATE(Initialisatie!$C$5,12,31))) - MONTH(MAX($D$2, DATE(Initialisatie!$C$5,1,1))) + 1)) &lt;= 0, IFERROR(VALUE($D74),0)=0),
        AND(MAX(0, IF(MIN($E$1, DATE(Initialisatie!$C$5,12,31)) &lt; MAX($E$2, DATE(Initialisatie!$C$5,1,1)), 0, MONTH(MIN($E$1, DATE(Initialisatie!$C$5,12,31))) - MONTH(MAX($E$2, DATE(Initialisatie!$C$5,1,1))) + 1)) &lt;= 0, IFERROR(VALUE($E74),0)=0),
        AND(MAX(0, IF(MIN($F$1, DATE(Initialisatie!$C$5,12,31)) &lt; MAX($F$2, DATE(Initialisatie!$C$5,1,1)), 0, MONTH(MIN($F$1, DATE(Initialisatie!$C$5,12,31))) - MONTH(MAX($F$2, DATE(Initialisatie!$C$5,1,1))) + 1)) &lt;= 0, IFERROR(VALUE($F74),0)=0),
        AND(MAX(0, IF(MIN($G$1, DATE(Initialisatie!$C$5,12,31)) &lt; MAX($G$2, DATE(Initialisatie!$C$5,1,1)), 0, MONTH(MIN($G$1, DATE(Initialisatie!$C$5,12,31))) - MONTH(MAX($G$2, DATE(Initialisatie!$C$5,1,1))) + 1)) &lt;= 0, IFERROR(VALUE($G74),0)=0)
    ),
    0,
    SUM(
        IFERROR(VALUE($D74),0) * MAX(0, IF(MIN($D$1, DATE(Initialisatie!$C$5,12,31)) &lt; MAX($D$2, DATE(Initialisatie!$C$5,1,1)), 0, MONTH(MIN($D$1, DATE(Initialisatie!$C$5,12,31))) - MONTH(MAX($D$2, DATE(Initialisatie!$C$5,1,1))) + 1)),
        IFERROR(VALUE($E74),0) * MAX(0, IF(MIN($E$1, DATE(Initialisatie!$C$5,12,31)) &lt; MAX($E$2, DATE(Initialisatie!$C$5,1,1)), 0, MONTH(MIN($E$1, DATE(Initialisatie!$C$5,12,31))) - MONTH(MAX($E$2, DATE(Initialisatie!$C$5,1,1))) + 1)),
        IFERROR(VALUE($F74),0) * MAX(0, IF(MIN($F$1, DATE(Initialisatie!$C$5,12,31)) &lt; MAX($F$2, DATE(Initialisatie!$C$5,1,1)), 0, MONTH(MIN($F$1, DATE(Initialisatie!$C$5,12,31))) - MONTH(MAX($F$2, DATE(Initialisatie!$C$5,1,1))) + 1)),
        IFERROR(VALUE($G74),0) * MAX(0, IF(MIN($G$1, DATE(Initialisatie!$C$5,12,31)) &lt; MAX($G$2, DATE(Initialisatie!$C$5,1,1)), 0, MONTH(MIN($G$1, DATE(Initialisatie!$C$5,12,31))) - MONTH(MAX($G$2, DATE(Initialisatie!$C$5,1,1))) + 1))
    ) / 12
)</f>
        <v>2726.1666666666665</v>
      </c>
    </row>
    <row r="75" spans="1:10" x14ac:dyDescent="0.45">
      <c r="A75" s="999"/>
      <c r="B75" s="376">
        <v>3</v>
      </c>
      <c r="C75" s="373">
        <v>14</v>
      </c>
      <c r="D75" s="48">
        <v>2727</v>
      </c>
      <c r="E75" s="48">
        <v>2836</v>
      </c>
      <c r="F75" s="48">
        <v>2893</v>
      </c>
      <c r="G75" s="48">
        <v>2951</v>
      </c>
      <c r="I75">
        <f>IF(
    OR(
        AND(MAX(0, MIN($D$1, DATE(Initialisatie!$C$5,12,31)) - MAX($D$2, DATE(Initialisatie!$C$5,1,1)) + 1) &gt; 0, IFERROR(VALUE($D75),0)=0),
        AND(MAX(0, MIN($E$1, DATE(Initialisatie!$C$5,12,31)) - MAX($E$2, DATE(Initialisatie!$C$5,1,1)) + 1) &gt; 0, IFERROR(VALUE($E75),0)=0),
        AND(MAX(0, MIN($F$1, DATE(Initialisatie!$C$5,12,31)) - MAX($F$2, DATE(Initialisatie!$C$5,1,1)) + 1) &gt; 0, IFERROR(VALUE($F75),0)=0),
        AND(MAX(0, MIN($G$1, DATE(Initialisatie!$C$5,12,31)) - MAX($G$2, DATE(Initialisatie!$C$5,1,1)) + 1) &gt; 0, IFERROR(VALUE($G75),0)=0)
    ),
    0,
    SUM(
        IFERROR(VALUE($D75),0) * MAX(0, MIN($D$1, DATE(Initialisatie!$C$5,12,31)) - MAX($D$2, DATE(Initialisatie!$C$5,1,1)) + 1),
        IFERROR(VALUE($E75),0) * MAX(0, MIN($E$1, DATE(Initialisatie!$C$5,12,31)) - MAX($E$2, DATE(Initialisatie!$C$5,1,1)) + 1),
        IFERROR(VALUE($F75),0) * MAX(0, MIN($F$1, DATE(Initialisatie!$C$5,12,31)) - MAX($F$2, DATE(Initialisatie!$C$5,1,1)) + 1),
        IFERROR(VALUE($G75),0) * MAX(0, MIN($G$1, DATE(Initialisatie!$C$5,12,31)) - MAX($G$2, DATE(Initialisatie!$C$5,1,1)) + 1)
    ) / (DATE(Initialisatie!$C$5,12,31) - DATE(Initialisatie!$C$5,1,1) + 1)
)</f>
        <v>2883.9534246575345</v>
      </c>
      <c r="J75">
        <f>IF(
    OR(
        AND(MAX(0, IF(MIN($D$1, DATE(Initialisatie!$C$5,12,31)) &lt; MAX($D$2, DATE(Initialisatie!$C$5,1,1)), 0, MONTH(MIN($D$1, DATE(Initialisatie!$C$5,12,31))) - MONTH(MAX($D$2, DATE(Initialisatie!$C$5,1,1))) + 1)) &lt;= 0, IFERROR(VALUE($D75),0)=0),
        AND(MAX(0, IF(MIN($E$1, DATE(Initialisatie!$C$5,12,31)) &lt; MAX($E$2, DATE(Initialisatie!$C$5,1,1)), 0, MONTH(MIN($E$1, DATE(Initialisatie!$C$5,12,31))) - MONTH(MAX($E$2, DATE(Initialisatie!$C$5,1,1))) + 1)) &lt;= 0, IFERROR(VALUE($E75),0)=0),
        AND(MAX(0, IF(MIN($F$1, DATE(Initialisatie!$C$5,12,31)) &lt; MAX($F$2, DATE(Initialisatie!$C$5,1,1)), 0, MONTH(MIN($F$1, DATE(Initialisatie!$C$5,12,31))) - MONTH(MAX($F$2, DATE(Initialisatie!$C$5,1,1))) + 1)) &lt;= 0, IFERROR(VALUE($F75),0)=0),
        AND(MAX(0, IF(MIN($G$1, DATE(Initialisatie!$C$5,12,31)) &lt; MAX($G$2, DATE(Initialisatie!$C$5,1,1)), 0, MONTH(MIN($G$1, DATE(Initialisatie!$C$5,12,31))) - MONTH(MAX($G$2, DATE(Initialisatie!$C$5,1,1))) + 1)) &lt;= 0, IFERROR(VALUE($G75),0)=0)
    ),
    0,
    SUM(
        IFERROR(VALUE($D75),0) * MAX(0, IF(MIN($D$1, DATE(Initialisatie!$C$5,12,31)) &lt; MAX($D$2, DATE(Initialisatie!$C$5,1,1)), 0, MONTH(MIN($D$1, DATE(Initialisatie!$C$5,12,31))) - MONTH(MAX($D$2, DATE(Initialisatie!$C$5,1,1))) + 1)),
        IFERROR(VALUE($E75),0) * MAX(0, IF(MIN($E$1, DATE(Initialisatie!$C$5,12,31)) &lt; MAX($E$2, DATE(Initialisatie!$C$5,1,1)), 0, MONTH(MIN($E$1, DATE(Initialisatie!$C$5,12,31))) - MONTH(MAX($E$2, DATE(Initialisatie!$C$5,1,1))) + 1)),
        IFERROR(VALUE($F75),0) * MAX(0, IF(MIN($F$1, DATE(Initialisatie!$C$5,12,31)) &lt; MAX($F$2, DATE(Initialisatie!$C$5,1,1)), 0, MONTH(MIN($F$1, DATE(Initialisatie!$C$5,12,31))) - MONTH(MAX($F$2, DATE(Initialisatie!$C$5,1,1))) + 1)),
        IFERROR(VALUE($G75),0) * MAX(0, IF(MIN($G$1, DATE(Initialisatie!$C$5,12,31)) &lt; MAX($G$2, DATE(Initialisatie!$C$5,1,1)), 0, MONTH(MIN($G$1, DATE(Initialisatie!$C$5,12,31))) - MONTH(MAX($G$2, DATE(Initialisatie!$C$5,1,1))) + 1))
    ) / 12
)</f>
        <v>2883.6666666666665</v>
      </c>
    </row>
    <row r="76" spans="1:10" x14ac:dyDescent="0.45">
      <c r="A76" s="999"/>
      <c r="B76" s="372">
        <v>4</v>
      </c>
      <c r="C76" s="373">
        <v>15</v>
      </c>
      <c r="D76" s="48">
        <v>2796</v>
      </c>
      <c r="E76" s="48">
        <v>2908</v>
      </c>
      <c r="F76" s="48">
        <v>2966</v>
      </c>
      <c r="G76" s="48">
        <v>3025</v>
      </c>
      <c r="I76">
        <f>IF(
    OR(
        AND(MAX(0, MIN($D$1, DATE(Initialisatie!$C$5,12,31)) - MAX($D$2, DATE(Initialisatie!$C$5,1,1)) + 1) &gt; 0, IFERROR(VALUE($D76),0)=0),
        AND(MAX(0, MIN($E$1, DATE(Initialisatie!$C$5,12,31)) - MAX($E$2, DATE(Initialisatie!$C$5,1,1)) + 1) &gt; 0, IFERROR(VALUE($E76),0)=0),
        AND(MAX(0, MIN($F$1, DATE(Initialisatie!$C$5,12,31)) - MAX($F$2, DATE(Initialisatie!$C$5,1,1)) + 1) &gt; 0, IFERROR(VALUE($F76),0)=0),
        AND(MAX(0, MIN($G$1, DATE(Initialisatie!$C$5,12,31)) - MAX($G$2, DATE(Initialisatie!$C$5,1,1)) + 1) &gt; 0, IFERROR(VALUE($G76),0)=0)
    ),
    0,
    SUM(
        IFERROR(VALUE($D76),0) * MAX(0, MIN($D$1, DATE(Initialisatie!$C$5,12,31)) - MAX($D$2, DATE(Initialisatie!$C$5,1,1)) + 1),
        IFERROR(VALUE($E76),0) * MAX(0, MIN($E$1, DATE(Initialisatie!$C$5,12,31)) - MAX($E$2, DATE(Initialisatie!$C$5,1,1)) + 1),
        IFERROR(VALUE($F76),0) * MAX(0, MIN($F$1, DATE(Initialisatie!$C$5,12,31)) - MAX($F$2, DATE(Initialisatie!$C$5,1,1)) + 1),
        IFERROR(VALUE($G76),0) * MAX(0, MIN($G$1, DATE(Initialisatie!$C$5,12,31)) - MAX($G$2, DATE(Initialisatie!$C$5,1,1)) + 1)
    ) / (DATE(Initialisatie!$C$5,12,31) - DATE(Initialisatie!$C$5,1,1) + 1)
)</f>
        <v>2956.7917808219177</v>
      </c>
      <c r="J76">
        <f>IF(
    OR(
        AND(MAX(0, IF(MIN($D$1, DATE(Initialisatie!$C$5,12,31)) &lt; MAX($D$2, DATE(Initialisatie!$C$5,1,1)), 0, MONTH(MIN($D$1, DATE(Initialisatie!$C$5,12,31))) - MONTH(MAX($D$2, DATE(Initialisatie!$C$5,1,1))) + 1)) &lt;= 0, IFERROR(VALUE($D76),0)=0),
        AND(MAX(0, IF(MIN($E$1, DATE(Initialisatie!$C$5,12,31)) &lt; MAX($E$2, DATE(Initialisatie!$C$5,1,1)), 0, MONTH(MIN($E$1, DATE(Initialisatie!$C$5,12,31))) - MONTH(MAX($E$2, DATE(Initialisatie!$C$5,1,1))) + 1)) &lt;= 0, IFERROR(VALUE($E76),0)=0),
        AND(MAX(0, IF(MIN($F$1, DATE(Initialisatie!$C$5,12,31)) &lt; MAX($F$2, DATE(Initialisatie!$C$5,1,1)), 0, MONTH(MIN($F$1, DATE(Initialisatie!$C$5,12,31))) - MONTH(MAX($F$2, DATE(Initialisatie!$C$5,1,1))) + 1)) &lt;= 0, IFERROR(VALUE($F76),0)=0),
        AND(MAX(0, IF(MIN($G$1, DATE(Initialisatie!$C$5,12,31)) &lt; MAX($G$2, DATE(Initialisatie!$C$5,1,1)), 0, MONTH(MIN($G$1, DATE(Initialisatie!$C$5,12,31))) - MONTH(MAX($G$2, DATE(Initialisatie!$C$5,1,1))) + 1)) &lt;= 0, IFERROR(VALUE($G76),0)=0)
    ),
    0,
    SUM(
        IFERROR(VALUE($D76),0) * MAX(0, IF(MIN($D$1, DATE(Initialisatie!$C$5,12,31)) &lt; MAX($D$2, DATE(Initialisatie!$C$5,1,1)), 0, MONTH(MIN($D$1, DATE(Initialisatie!$C$5,12,31))) - MONTH(MAX($D$2, DATE(Initialisatie!$C$5,1,1))) + 1)),
        IFERROR(VALUE($E76),0) * MAX(0, IF(MIN($E$1, DATE(Initialisatie!$C$5,12,31)) &lt; MAX($E$2, DATE(Initialisatie!$C$5,1,1)), 0, MONTH(MIN($E$1, DATE(Initialisatie!$C$5,12,31))) - MONTH(MAX($E$2, DATE(Initialisatie!$C$5,1,1))) + 1)),
        IFERROR(VALUE($F76),0) * MAX(0, IF(MIN($F$1, DATE(Initialisatie!$C$5,12,31)) &lt; MAX($F$2, DATE(Initialisatie!$C$5,1,1)), 0, MONTH(MIN($F$1, DATE(Initialisatie!$C$5,12,31))) - MONTH(MAX($F$2, DATE(Initialisatie!$C$5,1,1))) + 1)),
        IFERROR(VALUE($G76),0) * MAX(0, IF(MIN($G$1, DATE(Initialisatie!$C$5,12,31)) &lt; MAX($G$2, DATE(Initialisatie!$C$5,1,1)), 0, MONTH(MIN($G$1, DATE(Initialisatie!$C$5,12,31))) - MONTH(MAX($G$2, DATE(Initialisatie!$C$5,1,1))) + 1))
    ) / 12
)</f>
        <v>2956.5</v>
      </c>
    </row>
    <row r="77" spans="1:10" x14ac:dyDescent="0.45">
      <c r="A77" s="999"/>
      <c r="B77" s="372">
        <v>5</v>
      </c>
      <c r="C77" s="373">
        <v>16</v>
      </c>
      <c r="D77" s="48">
        <v>2877</v>
      </c>
      <c r="E77" s="48">
        <v>2992</v>
      </c>
      <c r="F77" s="48">
        <v>3052</v>
      </c>
      <c r="G77" s="48">
        <v>3113</v>
      </c>
      <c r="I77">
        <f>IF(
    OR(
        AND(MAX(0, MIN($D$1, DATE(Initialisatie!$C$5,12,31)) - MAX($D$2, DATE(Initialisatie!$C$5,1,1)) + 1) &gt; 0, IFERROR(VALUE($D77),0)=0),
        AND(MAX(0, MIN($E$1, DATE(Initialisatie!$C$5,12,31)) - MAX($E$2, DATE(Initialisatie!$C$5,1,1)) + 1) &gt; 0, IFERROR(VALUE($E77),0)=0),
        AND(MAX(0, MIN($F$1, DATE(Initialisatie!$C$5,12,31)) - MAX($F$2, DATE(Initialisatie!$C$5,1,1)) + 1) &gt; 0, IFERROR(VALUE($F77),0)=0),
        AND(MAX(0, MIN($G$1, DATE(Initialisatie!$C$5,12,31)) - MAX($G$2, DATE(Initialisatie!$C$5,1,1)) + 1) &gt; 0, IFERROR(VALUE($G77),0)=0)
    ),
    0,
    SUM(
        IFERROR(VALUE($D77),0) * MAX(0, MIN($D$1, DATE(Initialisatie!$C$5,12,31)) - MAX($D$2, DATE(Initialisatie!$C$5,1,1)) + 1),
        IFERROR(VALUE($E77),0) * MAX(0, MIN($E$1, DATE(Initialisatie!$C$5,12,31)) - MAX($E$2, DATE(Initialisatie!$C$5,1,1)) + 1),
        IFERROR(VALUE($F77),0) * MAX(0, MIN($F$1, DATE(Initialisatie!$C$5,12,31)) - MAX($F$2, DATE(Initialisatie!$C$5,1,1)) + 1),
        IFERROR(VALUE($G77),0) * MAX(0, MIN($G$1, DATE(Initialisatie!$C$5,12,31)) - MAX($G$2, DATE(Initialisatie!$C$5,1,1)) + 1)
    ) / (DATE(Initialisatie!$C$5,12,31) - DATE(Initialisatie!$C$5,1,1) + 1)
)</f>
        <v>3042.4684931506849</v>
      </c>
      <c r="J77">
        <f>IF(
    OR(
        AND(MAX(0, IF(MIN($D$1, DATE(Initialisatie!$C$5,12,31)) &lt; MAX($D$2, DATE(Initialisatie!$C$5,1,1)), 0, MONTH(MIN($D$1, DATE(Initialisatie!$C$5,12,31))) - MONTH(MAX($D$2, DATE(Initialisatie!$C$5,1,1))) + 1)) &lt;= 0, IFERROR(VALUE($D77),0)=0),
        AND(MAX(0, IF(MIN($E$1, DATE(Initialisatie!$C$5,12,31)) &lt; MAX($E$2, DATE(Initialisatie!$C$5,1,1)), 0, MONTH(MIN($E$1, DATE(Initialisatie!$C$5,12,31))) - MONTH(MAX($E$2, DATE(Initialisatie!$C$5,1,1))) + 1)) &lt;= 0, IFERROR(VALUE($E77),0)=0),
        AND(MAX(0, IF(MIN($F$1, DATE(Initialisatie!$C$5,12,31)) &lt; MAX($F$2, DATE(Initialisatie!$C$5,1,1)), 0, MONTH(MIN($F$1, DATE(Initialisatie!$C$5,12,31))) - MONTH(MAX($F$2, DATE(Initialisatie!$C$5,1,1))) + 1)) &lt;= 0, IFERROR(VALUE($F77),0)=0),
        AND(MAX(0, IF(MIN($G$1, DATE(Initialisatie!$C$5,12,31)) &lt; MAX($G$2, DATE(Initialisatie!$C$5,1,1)), 0, MONTH(MIN($G$1, DATE(Initialisatie!$C$5,12,31))) - MONTH(MAX($G$2, DATE(Initialisatie!$C$5,1,1))) + 1)) &lt;= 0, IFERROR(VALUE($G77),0)=0)
    ),
    0,
    SUM(
        IFERROR(VALUE($D77),0) * MAX(0, IF(MIN($D$1, DATE(Initialisatie!$C$5,12,31)) &lt; MAX($D$2, DATE(Initialisatie!$C$5,1,1)), 0, MONTH(MIN($D$1, DATE(Initialisatie!$C$5,12,31))) - MONTH(MAX($D$2, DATE(Initialisatie!$C$5,1,1))) + 1)),
        IFERROR(VALUE($E77),0) * MAX(0, IF(MIN($E$1, DATE(Initialisatie!$C$5,12,31)) &lt; MAX($E$2, DATE(Initialisatie!$C$5,1,1)), 0, MONTH(MIN($E$1, DATE(Initialisatie!$C$5,12,31))) - MONTH(MAX($E$2, DATE(Initialisatie!$C$5,1,1))) + 1)),
        IFERROR(VALUE($F77),0) * MAX(0, IF(MIN($F$1, DATE(Initialisatie!$C$5,12,31)) &lt; MAX($F$2, DATE(Initialisatie!$C$5,1,1)), 0, MONTH(MIN($F$1, DATE(Initialisatie!$C$5,12,31))) - MONTH(MAX($F$2, DATE(Initialisatie!$C$5,1,1))) + 1)),
        IFERROR(VALUE($G77),0) * MAX(0, IF(MIN($G$1, DATE(Initialisatie!$C$5,12,31)) &lt; MAX($G$2, DATE(Initialisatie!$C$5,1,1)), 0, MONTH(MIN($G$1, DATE(Initialisatie!$C$5,12,31))) - MONTH(MAX($G$2, DATE(Initialisatie!$C$5,1,1))) + 1))
    ) / 12
)</f>
        <v>3042.1666666666665</v>
      </c>
    </row>
    <row r="78" spans="1:10" x14ac:dyDescent="0.45">
      <c r="A78" s="999"/>
      <c r="B78" s="376">
        <v>6</v>
      </c>
      <c r="C78" s="373">
        <v>17</v>
      </c>
      <c r="D78" s="48">
        <v>2946</v>
      </c>
      <c r="E78" s="48">
        <v>3064</v>
      </c>
      <c r="F78" s="48">
        <v>3125</v>
      </c>
      <c r="G78" s="48">
        <v>3188</v>
      </c>
      <c r="I78">
        <f>IF(
    OR(
        AND(MAX(0, MIN($D$1, DATE(Initialisatie!$C$5,12,31)) - MAX($D$2, DATE(Initialisatie!$C$5,1,1)) + 1) &gt; 0, IFERROR(VALUE($D78),0)=0),
        AND(MAX(0, MIN($E$1, DATE(Initialisatie!$C$5,12,31)) - MAX($E$2, DATE(Initialisatie!$C$5,1,1)) + 1) &gt; 0, IFERROR(VALUE($E78),0)=0),
        AND(MAX(0, MIN($F$1, DATE(Initialisatie!$C$5,12,31)) - MAX($F$2, DATE(Initialisatie!$C$5,1,1)) + 1) &gt; 0, IFERROR(VALUE($F78),0)=0),
        AND(MAX(0, MIN($G$1, DATE(Initialisatie!$C$5,12,31)) - MAX($G$2, DATE(Initialisatie!$C$5,1,1)) + 1) &gt; 0, IFERROR(VALUE($G78),0)=0)
    ),
    0,
    SUM(
        IFERROR(VALUE($D78),0) * MAX(0, MIN($D$1, DATE(Initialisatie!$C$5,12,31)) - MAX($D$2, DATE(Initialisatie!$C$5,1,1)) + 1),
        IFERROR(VALUE($E78),0) * MAX(0, MIN($E$1, DATE(Initialisatie!$C$5,12,31)) - MAX($E$2, DATE(Initialisatie!$C$5,1,1)) + 1),
        IFERROR(VALUE($F78),0) * MAX(0, MIN($F$1, DATE(Initialisatie!$C$5,12,31)) - MAX($F$2, DATE(Initialisatie!$C$5,1,1)) + 1),
        IFERROR(VALUE($G78),0) * MAX(0, MIN($G$1, DATE(Initialisatie!$C$5,12,31)) - MAX($G$2, DATE(Initialisatie!$C$5,1,1)) + 1)
    ) / (DATE(Initialisatie!$C$5,12,31) - DATE(Initialisatie!$C$5,1,1) + 1)
)</f>
        <v>3115.4739726027397</v>
      </c>
      <c r="J78">
        <f>IF(
    OR(
        AND(MAX(0, IF(MIN($D$1, DATE(Initialisatie!$C$5,12,31)) &lt; MAX($D$2, DATE(Initialisatie!$C$5,1,1)), 0, MONTH(MIN($D$1, DATE(Initialisatie!$C$5,12,31))) - MONTH(MAX($D$2, DATE(Initialisatie!$C$5,1,1))) + 1)) &lt;= 0, IFERROR(VALUE($D78),0)=0),
        AND(MAX(0, IF(MIN($E$1, DATE(Initialisatie!$C$5,12,31)) &lt; MAX($E$2, DATE(Initialisatie!$C$5,1,1)), 0, MONTH(MIN($E$1, DATE(Initialisatie!$C$5,12,31))) - MONTH(MAX($E$2, DATE(Initialisatie!$C$5,1,1))) + 1)) &lt;= 0, IFERROR(VALUE($E78),0)=0),
        AND(MAX(0, IF(MIN($F$1, DATE(Initialisatie!$C$5,12,31)) &lt; MAX($F$2, DATE(Initialisatie!$C$5,1,1)), 0, MONTH(MIN($F$1, DATE(Initialisatie!$C$5,12,31))) - MONTH(MAX($F$2, DATE(Initialisatie!$C$5,1,1))) + 1)) &lt;= 0, IFERROR(VALUE($F78),0)=0),
        AND(MAX(0, IF(MIN($G$1, DATE(Initialisatie!$C$5,12,31)) &lt; MAX($G$2, DATE(Initialisatie!$C$5,1,1)), 0, MONTH(MIN($G$1, DATE(Initialisatie!$C$5,12,31))) - MONTH(MAX($G$2, DATE(Initialisatie!$C$5,1,1))) + 1)) &lt;= 0, IFERROR(VALUE($G78),0)=0)
    ),
    0,
    SUM(
        IFERROR(VALUE($D78),0) * MAX(0, IF(MIN($D$1, DATE(Initialisatie!$C$5,12,31)) &lt; MAX($D$2, DATE(Initialisatie!$C$5,1,1)), 0, MONTH(MIN($D$1, DATE(Initialisatie!$C$5,12,31))) - MONTH(MAX($D$2, DATE(Initialisatie!$C$5,1,1))) + 1)),
        IFERROR(VALUE($E78),0) * MAX(0, IF(MIN($E$1, DATE(Initialisatie!$C$5,12,31)) &lt; MAX($E$2, DATE(Initialisatie!$C$5,1,1)), 0, MONTH(MIN($E$1, DATE(Initialisatie!$C$5,12,31))) - MONTH(MAX($E$2, DATE(Initialisatie!$C$5,1,1))) + 1)),
        IFERROR(VALUE($F78),0) * MAX(0, IF(MIN($F$1, DATE(Initialisatie!$C$5,12,31)) &lt; MAX($F$2, DATE(Initialisatie!$C$5,1,1)), 0, MONTH(MIN($F$1, DATE(Initialisatie!$C$5,12,31))) - MONTH(MAX($F$2, DATE(Initialisatie!$C$5,1,1))) + 1)),
        IFERROR(VALUE($G78),0) * MAX(0, IF(MIN($G$1, DATE(Initialisatie!$C$5,12,31)) &lt; MAX($G$2, DATE(Initialisatie!$C$5,1,1)), 0, MONTH(MIN($G$1, DATE(Initialisatie!$C$5,12,31))) - MONTH(MAX($G$2, DATE(Initialisatie!$C$5,1,1))) + 1))
    ) / 12
)</f>
        <v>3115.1666666666665</v>
      </c>
    </row>
    <row r="79" spans="1:10" x14ac:dyDescent="0.45">
      <c r="A79" s="999"/>
      <c r="B79" s="372">
        <v>7</v>
      </c>
      <c r="C79" s="373">
        <v>18</v>
      </c>
      <c r="D79" s="48">
        <v>3028</v>
      </c>
      <c r="E79" s="48">
        <v>3149</v>
      </c>
      <c r="F79" s="48">
        <v>3212</v>
      </c>
      <c r="G79" s="48">
        <v>3276</v>
      </c>
      <c r="I79">
        <f>IF(
    OR(
        AND(MAX(0, MIN($D$1, DATE(Initialisatie!$C$5,12,31)) - MAX($D$2, DATE(Initialisatie!$C$5,1,1)) + 1) &gt; 0, IFERROR(VALUE($D79),0)=0),
        AND(MAX(0, MIN($E$1, DATE(Initialisatie!$C$5,12,31)) - MAX($E$2, DATE(Initialisatie!$C$5,1,1)) + 1) &gt; 0, IFERROR(VALUE($E79),0)=0),
        AND(MAX(0, MIN($F$1, DATE(Initialisatie!$C$5,12,31)) - MAX($F$2, DATE(Initialisatie!$C$5,1,1)) + 1) &gt; 0, IFERROR(VALUE($F79),0)=0),
        AND(MAX(0, MIN($G$1, DATE(Initialisatie!$C$5,12,31)) - MAX($G$2, DATE(Initialisatie!$C$5,1,1)) + 1) &gt; 0, IFERROR(VALUE($G79),0)=0)
    ),
    0,
    SUM(
        IFERROR(VALUE($D79),0) * MAX(0, MIN($D$1, DATE(Initialisatie!$C$5,12,31)) - MAX($D$2, DATE(Initialisatie!$C$5,1,1)) + 1),
        IFERROR(VALUE($E79),0) * MAX(0, MIN($E$1, DATE(Initialisatie!$C$5,12,31)) - MAX($E$2, DATE(Initialisatie!$C$5,1,1)) + 1),
        IFERROR(VALUE($F79),0) * MAX(0, MIN($F$1, DATE(Initialisatie!$C$5,12,31)) - MAX($F$2, DATE(Initialisatie!$C$5,1,1)) + 1),
        IFERROR(VALUE($G79),0) * MAX(0, MIN($G$1, DATE(Initialisatie!$C$5,12,31)) - MAX($G$2, DATE(Initialisatie!$C$5,1,1)) + 1)
    ) / (DATE(Initialisatie!$C$5,12,31) - DATE(Initialisatie!$C$5,1,1) + 1)
)</f>
        <v>3201.9835616438354</v>
      </c>
      <c r="J79">
        <f>IF(
    OR(
        AND(MAX(0, IF(MIN($D$1, DATE(Initialisatie!$C$5,12,31)) &lt; MAX($D$2, DATE(Initialisatie!$C$5,1,1)), 0, MONTH(MIN($D$1, DATE(Initialisatie!$C$5,12,31))) - MONTH(MAX($D$2, DATE(Initialisatie!$C$5,1,1))) + 1)) &lt;= 0, IFERROR(VALUE($D79),0)=0),
        AND(MAX(0, IF(MIN($E$1, DATE(Initialisatie!$C$5,12,31)) &lt; MAX($E$2, DATE(Initialisatie!$C$5,1,1)), 0, MONTH(MIN($E$1, DATE(Initialisatie!$C$5,12,31))) - MONTH(MAX($E$2, DATE(Initialisatie!$C$5,1,1))) + 1)) &lt;= 0, IFERROR(VALUE($E79),0)=0),
        AND(MAX(0, IF(MIN($F$1, DATE(Initialisatie!$C$5,12,31)) &lt; MAX($F$2, DATE(Initialisatie!$C$5,1,1)), 0, MONTH(MIN($F$1, DATE(Initialisatie!$C$5,12,31))) - MONTH(MAX($F$2, DATE(Initialisatie!$C$5,1,1))) + 1)) &lt;= 0, IFERROR(VALUE($F79),0)=0),
        AND(MAX(0, IF(MIN($G$1, DATE(Initialisatie!$C$5,12,31)) &lt; MAX($G$2, DATE(Initialisatie!$C$5,1,1)), 0, MONTH(MIN($G$1, DATE(Initialisatie!$C$5,12,31))) - MONTH(MAX($G$2, DATE(Initialisatie!$C$5,1,1))) + 1)) &lt;= 0, IFERROR(VALUE($G79),0)=0)
    ),
    0,
    SUM(
        IFERROR(VALUE($D79),0) * MAX(0, IF(MIN($D$1, DATE(Initialisatie!$C$5,12,31)) &lt; MAX($D$2, DATE(Initialisatie!$C$5,1,1)), 0, MONTH(MIN($D$1, DATE(Initialisatie!$C$5,12,31))) - MONTH(MAX($D$2, DATE(Initialisatie!$C$5,1,1))) + 1)),
        IFERROR(VALUE($E79),0) * MAX(0, IF(MIN($E$1, DATE(Initialisatie!$C$5,12,31)) &lt; MAX($E$2, DATE(Initialisatie!$C$5,1,1)), 0, MONTH(MIN($E$1, DATE(Initialisatie!$C$5,12,31))) - MONTH(MAX($E$2, DATE(Initialisatie!$C$5,1,1))) + 1)),
        IFERROR(VALUE($F79),0) * MAX(0, IF(MIN($F$1, DATE(Initialisatie!$C$5,12,31)) &lt; MAX($F$2, DATE(Initialisatie!$C$5,1,1)), 0, MONTH(MIN($F$1, DATE(Initialisatie!$C$5,12,31))) - MONTH(MAX($F$2, DATE(Initialisatie!$C$5,1,1))) + 1)),
        IFERROR(VALUE($G79),0) * MAX(0, IF(MIN($G$1, DATE(Initialisatie!$C$5,12,31)) &lt; MAX($G$2, DATE(Initialisatie!$C$5,1,1)), 0, MONTH(MIN($G$1, DATE(Initialisatie!$C$5,12,31))) - MONTH(MAX($G$2, DATE(Initialisatie!$C$5,1,1))) + 1))
    ) / 12
)</f>
        <v>3201.6666666666665</v>
      </c>
    </row>
    <row r="80" spans="1:10" x14ac:dyDescent="0.45">
      <c r="A80" s="999"/>
      <c r="B80" s="372">
        <v>8</v>
      </c>
      <c r="C80" s="373">
        <v>19</v>
      </c>
      <c r="D80" s="48">
        <v>3107</v>
      </c>
      <c r="E80" s="48">
        <v>3231</v>
      </c>
      <c r="F80" s="48">
        <v>3296</v>
      </c>
      <c r="G80" s="48">
        <v>3362</v>
      </c>
      <c r="I80">
        <f>IF(
    OR(
        AND(MAX(0, MIN($D$1, DATE(Initialisatie!$C$5,12,31)) - MAX($D$2, DATE(Initialisatie!$C$5,1,1)) + 1) &gt; 0, IFERROR(VALUE($D80),0)=0),
        AND(MAX(0, MIN($E$1, DATE(Initialisatie!$C$5,12,31)) - MAX($E$2, DATE(Initialisatie!$C$5,1,1)) + 1) &gt; 0, IFERROR(VALUE($E80),0)=0),
        AND(MAX(0, MIN($F$1, DATE(Initialisatie!$C$5,12,31)) - MAX($F$2, DATE(Initialisatie!$C$5,1,1)) + 1) &gt; 0, IFERROR(VALUE($F80),0)=0),
        AND(MAX(0, MIN($G$1, DATE(Initialisatie!$C$5,12,31)) - MAX($G$2, DATE(Initialisatie!$C$5,1,1)) + 1) &gt; 0, IFERROR(VALUE($G80),0)=0)
    ),
    0,
    SUM(
        IFERROR(VALUE($D80),0) * MAX(0, MIN($D$1, DATE(Initialisatie!$C$5,12,31)) - MAX($D$2, DATE(Initialisatie!$C$5,1,1)) + 1),
        IFERROR(VALUE($E80),0) * MAX(0, MIN($E$1, DATE(Initialisatie!$C$5,12,31)) - MAX($E$2, DATE(Initialisatie!$C$5,1,1)) + 1),
        IFERROR(VALUE($F80),0) * MAX(0, MIN($F$1, DATE(Initialisatie!$C$5,12,31)) - MAX($F$2, DATE(Initialisatie!$C$5,1,1)) + 1),
        IFERROR(VALUE($G80),0) * MAX(0, MIN($G$1, DATE(Initialisatie!$C$5,12,31)) - MAX($G$2, DATE(Initialisatie!$C$5,1,1)) + 1)
    ) / (DATE(Initialisatie!$C$5,12,31) - DATE(Initialisatie!$C$5,1,1) + 1)
)</f>
        <v>3285.6602739726027</v>
      </c>
      <c r="J80">
        <f>IF(
    OR(
        AND(MAX(0, IF(MIN($D$1, DATE(Initialisatie!$C$5,12,31)) &lt; MAX($D$2, DATE(Initialisatie!$C$5,1,1)), 0, MONTH(MIN($D$1, DATE(Initialisatie!$C$5,12,31))) - MONTH(MAX($D$2, DATE(Initialisatie!$C$5,1,1))) + 1)) &lt;= 0, IFERROR(VALUE($D80),0)=0),
        AND(MAX(0, IF(MIN($E$1, DATE(Initialisatie!$C$5,12,31)) &lt; MAX($E$2, DATE(Initialisatie!$C$5,1,1)), 0, MONTH(MIN($E$1, DATE(Initialisatie!$C$5,12,31))) - MONTH(MAX($E$2, DATE(Initialisatie!$C$5,1,1))) + 1)) &lt;= 0, IFERROR(VALUE($E80),0)=0),
        AND(MAX(0, IF(MIN($F$1, DATE(Initialisatie!$C$5,12,31)) &lt; MAX($F$2, DATE(Initialisatie!$C$5,1,1)), 0, MONTH(MIN($F$1, DATE(Initialisatie!$C$5,12,31))) - MONTH(MAX($F$2, DATE(Initialisatie!$C$5,1,1))) + 1)) &lt;= 0, IFERROR(VALUE($F80),0)=0),
        AND(MAX(0, IF(MIN($G$1, DATE(Initialisatie!$C$5,12,31)) &lt; MAX($G$2, DATE(Initialisatie!$C$5,1,1)), 0, MONTH(MIN($G$1, DATE(Initialisatie!$C$5,12,31))) - MONTH(MAX($G$2, DATE(Initialisatie!$C$5,1,1))) + 1)) &lt;= 0, IFERROR(VALUE($G80),0)=0)
    ),
    0,
    SUM(
        IFERROR(VALUE($D80),0) * MAX(0, IF(MIN($D$1, DATE(Initialisatie!$C$5,12,31)) &lt; MAX($D$2, DATE(Initialisatie!$C$5,1,1)), 0, MONTH(MIN($D$1, DATE(Initialisatie!$C$5,12,31))) - MONTH(MAX($D$2, DATE(Initialisatie!$C$5,1,1))) + 1)),
        IFERROR(VALUE($E80),0) * MAX(0, IF(MIN($E$1, DATE(Initialisatie!$C$5,12,31)) &lt; MAX($E$2, DATE(Initialisatie!$C$5,1,1)), 0, MONTH(MIN($E$1, DATE(Initialisatie!$C$5,12,31))) - MONTH(MAX($E$2, DATE(Initialisatie!$C$5,1,1))) + 1)),
        IFERROR(VALUE($F80),0) * MAX(0, IF(MIN($F$1, DATE(Initialisatie!$C$5,12,31)) &lt; MAX($F$2, DATE(Initialisatie!$C$5,1,1)), 0, MONTH(MIN($F$1, DATE(Initialisatie!$C$5,12,31))) - MONTH(MAX($F$2, DATE(Initialisatie!$C$5,1,1))) + 1)),
        IFERROR(VALUE($G80),0) * MAX(0, IF(MIN($G$1, DATE(Initialisatie!$C$5,12,31)) &lt; MAX($G$2, DATE(Initialisatie!$C$5,1,1)), 0, MONTH(MIN($G$1, DATE(Initialisatie!$C$5,12,31))) - MONTH(MAX($G$2, DATE(Initialisatie!$C$5,1,1))) + 1))
    ) / 12
)</f>
        <v>3285.3333333333335</v>
      </c>
    </row>
    <row r="81" spans="1:10" x14ac:dyDescent="0.45">
      <c r="A81" s="999"/>
      <c r="B81" s="372">
        <v>9</v>
      </c>
      <c r="C81" s="373">
        <v>20</v>
      </c>
      <c r="D81" s="48">
        <v>3191</v>
      </c>
      <c r="E81" s="48">
        <v>3319</v>
      </c>
      <c r="F81" s="48">
        <v>3385</v>
      </c>
      <c r="G81" s="48">
        <v>3453</v>
      </c>
      <c r="I81">
        <f>IF(
    OR(
        AND(MAX(0, MIN($D$1, DATE(Initialisatie!$C$5,12,31)) - MAX($D$2, DATE(Initialisatie!$C$5,1,1)) + 1) &gt; 0, IFERROR(VALUE($D81),0)=0),
        AND(MAX(0, MIN($E$1, DATE(Initialisatie!$C$5,12,31)) - MAX($E$2, DATE(Initialisatie!$C$5,1,1)) + 1) &gt; 0, IFERROR(VALUE($E81),0)=0),
        AND(MAX(0, MIN($F$1, DATE(Initialisatie!$C$5,12,31)) - MAX($F$2, DATE(Initialisatie!$C$5,1,1)) + 1) &gt; 0, IFERROR(VALUE($F81),0)=0),
        AND(MAX(0, MIN($G$1, DATE(Initialisatie!$C$5,12,31)) - MAX($G$2, DATE(Initialisatie!$C$5,1,1)) + 1) &gt; 0, IFERROR(VALUE($G81),0)=0)
    ),
    0,
    SUM(
        IFERROR(VALUE($D81),0) * MAX(0, MIN($D$1, DATE(Initialisatie!$C$5,12,31)) - MAX($D$2, DATE(Initialisatie!$C$5,1,1)) + 1),
        IFERROR(VALUE($E81),0) * MAX(0, MIN($E$1, DATE(Initialisatie!$C$5,12,31)) - MAX($E$2, DATE(Initialisatie!$C$5,1,1)) + 1),
        IFERROR(VALUE($F81),0) * MAX(0, MIN($F$1, DATE(Initialisatie!$C$5,12,31)) - MAX($F$2, DATE(Initialisatie!$C$5,1,1)) + 1),
        IFERROR(VALUE($G81),0) * MAX(0, MIN($G$1, DATE(Initialisatie!$C$5,12,31)) - MAX($G$2, DATE(Initialisatie!$C$5,1,1)) + 1)
    ) / (DATE(Initialisatie!$C$5,12,31) - DATE(Initialisatie!$C$5,1,1) + 1)
)</f>
        <v>3374.6657534246574</v>
      </c>
      <c r="J81">
        <f>IF(
    OR(
        AND(MAX(0, IF(MIN($D$1, DATE(Initialisatie!$C$5,12,31)) &lt; MAX($D$2, DATE(Initialisatie!$C$5,1,1)), 0, MONTH(MIN($D$1, DATE(Initialisatie!$C$5,12,31))) - MONTH(MAX($D$2, DATE(Initialisatie!$C$5,1,1))) + 1)) &lt;= 0, IFERROR(VALUE($D81),0)=0),
        AND(MAX(0, IF(MIN($E$1, DATE(Initialisatie!$C$5,12,31)) &lt; MAX($E$2, DATE(Initialisatie!$C$5,1,1)), 0, MONTH(MIN($E$1, DATE(Initialisatie!$C$5,12,31))) - MONTH(MAX($E$2, DATE(Initialisatie!$C$5,1,1))) + 1)) &lt;= 0, IFERROR(VALUE($E81),0)=0),
        AND(MAX(0, IF(MIN($F$1, DATE(Initialisatie!$C$5,12,31)) &lt; MAX($F$2, DATE(Initialisatie!$C$5,1,1)), 0, MONTH(MIN($F$1, DATE(Initialisatie!$C$5,12,31))) - MONTH(MAX($F$2, DATE(Initialisatie!$C$5,1,1))) + 1)) &lt;= 0, IFERROR(VALUE($F81),0)=0),
        AND(MAX(0, IF(MIN($G$1, DATE(Initialisatie!$C$5,12,31)) &lt; MAX($G$2, DATE(Initialisatie!$C$5,1,1)), 0, MONTH(MIN($G$1, DATE(Initialisatie!$C$5,12,31))) - MONTH(MAX($G$2, DATE(Initialisatie!$C$5,1,1))) + 1)) &lt;= 0, IFERROR(VALUE($G81),0)=0)
    ),
    0,
    SUM(
        IFERROR(VALUE($D81),0) * MAX(0, IF(MIN($D$1, DATE(Initialisatie!$C$5,12,31)) &lt; MAX($D$2, DATE(Initialisatie!$C$5,1,1)), 0, MONTH(MIN($D$1, DATE(Initialisatie!$C$5,12,31))) - MONTH(MAX($D$2, DATE(Initialisatie!$C$5,1,1))) + 1)),
        IFERROR(VALUE($E81),0) * MAX(0, IF(MIN($E$1, DATE(Initialisatie!$C$5,12,31)) &lt; MAX($E$2, DATE(Initialisatie!$C$5,1,1)), 0, MONTH(MIN($E$1, DATE(Initialisatie!$C$5,12,31))) - MONTH(MAX($E$2, DATE(Initialisatie!$C$5,1,1))) + 1)),
        IFERROR(VALUE($F81),0) * MAX(0, IF(MIN($F$1, DATE(Initialisatie!$C$5,12,31)) &lt; MAX($F$2, DATE(Initialisatie!$C$5,1,1)), 0, MONTH(MIN($F$1, DATE(Initialisatie!$C$5,12,31))) - MONTH(MAX($F$2, DATE(Initialisatie!$C$5,1,1))) + 1)),
        IFERROR(VALUE($G81),0) * MAX(0, IF(MIN($G$1, DATE(Initialisatie!$C$5,12,31)) &lt; MAX($G$2, DATE(Initialisatie!$C$5,1,1)), 0, MONTH(MIN($G$1, DATE(Initialisatie!$C$5,12,31))) - MONTH(MAX($G$2, DATE(Initialisatie!$C$5,1,1))) + 1))
    ) / 12
)</f>
        <v>3374.3333333333335</v>
      </c>
    </row>
    <row r="82" spans="1:10" x14ac:dyDescent="0.45">
      <c r="A82" s="999"/>
      <c r="B82" s="373">
        <v>10</v>
      </c>
      <c r="C82" s="373">
        <v>21</v>
      </c>
      <c r="D82" s="48">
        <v>3269</v>
      </c>
      <c r="E82" s="48">
        <v>3400</v>
      </c>
      <c r="F82" s="48">
        <v>3468</v>
      </c>
      <c r="G82" s="48">
        <v>3537</v>
      </c>
      <c r="I82">
        <f>IF(
    OR(
        AND(MAX(0, MIN($D$1, DATE(Initialisatie!$C$5,12,31)) - MAX($D$2, DATE(Initialisatie!$C$5,1,1)) + 1) &gt; 0, IFERROR(VALUE($D82),0)=0),
        AND(MAX(0, MIN($E$1, DATE(Initialisatie!$C$5,12,31)) - MAX($E$2, DATE(Initialisatie!$C$5,1,1)) + 1) &gt; 0, IFERROR(VALUE($E82),0)=0),
        AND(MAX(0, MIN($F$1, DATE(Initialisatie!$C$5,12,31)) - MAX($F$2, DATE(Initialisatie!$C$5,1,1)) + 1) &gt; 0, IFERROR(VALUE($F82),0)=0),
        AND(MAX(0, MIN($G$1, DATE(Initialisatie!$C$5,12,31)) - MAX($G$2, DATE(Initialisatie!$C$5,1,1)) + 1) &gt; 0, IFERROR(VALUE($G82),0)=0)
    ),
    0,
    SUM(
        IFERROR(VALUE($D82),0) * MAX(0, MIN($D$1, DATE(Initialisatie!$C$5,12,31)) - MAX($D$2, DATE(Initialisatie!$C$5,1,1)) + 1),
        IFERROR(VALUE($E82),0) * MAX(0, MIN($E$1, DATE(Initialisatie!$C$5,12,31)) - MAX($E$2, DATE(Initialisatie!$C$5,1,1)) + 1),
        IFERROR(VALUE($F82),0) * MAX(0, MIN($F$1, DATE(Initialisatie!$C$5,12,31)) - MAX($F$2, DATE(Initialisatie!$C$5,1,1)) + 1),
        IFERROR(VALUE($G82),0) * MAX(0, MIN($G$1, DATE(Initialisatie!$C$5,12,31)) - MAX($G$2, DATE(Initialisatie!$C$5,1,1)) + 1)
    ) / (DATE(Initialisatie!$C$5,12,31) - DATE(Initialisatie!$C$5,1,1) + 1)
)</f>
        <v>3457.1753424657536</v>
      </c>
      <c r="J82">
        <f>IF(
    OR(
        AND(MAX(0, IF(MIN($D$1, DATE(Initialisatie!$C$5,12,31)) &lt; MAX($D$2, DATE(Initialisatie!$C$5,1,1)), 0, MONTH(MIN($D$1, DATE(Initialisatie!$C$5,12,31))) - MONTH(MAX($D$2, DATE(Initialisatie!$C$5,1,1))) + 1)) &lt;= 0, IFERROR(VALUE($D82),0)=0),
        AND(MAX(0, IF(MIN($E$1, DATE(Initialisatie!$C$5,12,31)) &lt; MAX($E$2, DATE(Initialisatie!$C$5,1,1)), 0, MONTH(MIN($E$1, DATE(Initialisatie!$C$5,12,31))) - MONTH(MAX($E$2, DATE(Initialisatie!$C$5,1,1))) + 1)) &lt;= 0, IFERROR(VALUE($E82),0)=0),
        AND(MAX(0, IF(MIN($F$1, DATE(Initialisatie!$C$5,12,31)) &lt; MAX($F$2, DATE(Initialisatie!$C$5,1,1)), 0, MONTH(MIN($F$1, DATE(Initialisatie!$C$5,12,31))) - MONTH(MAX($F$2, DATE(Initialisatie!$C$5,1,1))) + 1)) &lt;= 0, IFERROR(VALUE($F82),0)=0),
        AND(MAX(0, IF(MIN($G$1, DATE(Initialisatie!$C$5,12,31)) &lt; MAX($G$2, DATE(Initialisatie!$C$5,1,1)), 0, MONTH(MIN($G$1, DATE(Initialisatie!$C$5,12,31))) - MONTH(MAX($G$2, DATE(Initialisatie!$C$5,1,1))) + 1)) &lt;= 0, IFERROR(VALUE($G82),0)=0)
    ),
    0,
    SUM(
        IFERROR(VALUE($D82),0) * MAX(0, IF(MIN($D$1, DATE(Initialisatie!$C$5,12,31)) &lt; MAX($D$2, DATE(Initialisatie!$C$5,1,1)), 0, MONTH(MIN($D$1, DATE(Initialisatie!$C$5,12,31))) - MONTH(MAX($D$2, DATE(Initialisatie!$C$5,1,1))) + 1)),
        IFERROR(VALUE($E82),0) * MAX(0, IF(MIN($E$1, DATE(Initialisatie!$C$5,12,31)) &lt; MAX($E$2, DATE(Initialisatie!$C$5,1,1)), 0, MONTH(MIN($E$1, DATE(Initialisatie!$C$5,12,31))) - MONTH(MAX($E$2, DATE(Initialisatie!$C$5,1,1))) + 1)),
        IFERROR(VALUE($F82),0) * MAX(0, IF(MIN($F$1, DATE(Initialisatie!$C$5,12,31)) &lt; MAX($F$2, DATE(Initialisatie!$C$5,1,1)), 0, MONTH(MIN($F$1, DATE(Initialisatie!$C$5,12,31))) - MONTH(MAX($F$2, DATE(Initialisatie!$C$5,1,1))) + 1)),
        IFERROR(VALUE($G82),0) * MAX(0, IF(MIN($G$1, DATE(Initialisatie!$C$5,12,31)) &lt; MAX($G$2, DATE(Initialisatie!$C$5,1,1)), 0, MONTH(MIN($G$1, DATE(Initialisatie!$C$5,12,31))) - MONTH(MAX($G$2, DATE(Initialisatie!$C$5,1,1))) + 1))
    ) / 12
)</f>
        <v>3456.8333333333335</v>
      </c>
    </row>
    <row r="83" spans="1:10" x14ac:dyDescent="0.45">
      <c r="A83" s="999"/>
      <c r="B83" s="372">
        <v>11</v>
      </c>
      <c r="C83" s="373">
        <v>22</v>
      </c>
      <c r="D83" s="48">
        <v>3347</v>
      </c>
      <c r="E83" s="48">
        <v>3481</v>
      </c>
      <c r="F83" s="48">
        <v>3551</v>
      </c>
      <c r="G83" s="48">
        <v>3622</v>
      </c>
      <c r="I83">
        <f>IF(
    OR(
        AND(MAX(0, MIN($D$1, DATE(Initialisatie!$C$5,12,31)) - MAX($D$2, DATE(Initialisatie!$C$5,1,1)) + 1) &gt; 0, IFERROR(VALUE($D83),0)=0),
        AND(MAX(0, MIN($E$1, DATE(Initialisatie!$C$5,12,31)) - MAX($E$2, DATE(Initialisatie!$C$5,1,1)) + 1) &gt; 0, IFERROR(VALUE($E83),0)=0),
        AND(MAX(0, MIN($F$1, DATE(Initialisatie!$C$5,12,31)) - MAX($F$2, DATE(Initialisatie!$C$5,1,1)) + 1) &gt; 0, IFERROR(VALUE($F83),0)=0),
        AND(MAX(0, MIN($G$1, DATE(Initialisatie!$C$5,12,31)) - MAX($G$2, DATE(Initialisatie!$C$5,1,1)) + 1) &gt; 0, IFERROR(VALUE($G83),0)=0)
    ),
    0,
    SUM(
        IFERROR(VALUE($D83),0) * MAX(0, MIN($D$1, DATE(Initialisatie!$C$5,12,31)) - MAX($D$2, DATE(Initialisatie!$C$5,1,1)) + 1),
        IFERROR(VALUE($E83),0) * MAX(0, MIN($E$1, DATE(Initialisatie!$C$5,12,31)) - MAX($E$2, DATE(Initialisatie!$C$5,1,1)) + 1),
        IFERROR(VALUE($F83),0) * MAX(0, MIN($F$1, DATE(Initialisatie!$C$5,12,31)) - MAX($F$2, DATE(Initialisatie!$C$5,1,1)) + 1),
        IFERROR(VALUE($G83),0) * MAX(0, MIN($G$1, DATE(Initialisatie!$C$5,12,31)) - MAX($G$2, DATE(Initialisatie!$C$5,1,1)) + 1)
    ) / (DATE(Initialisatie!$C$5,12,31) - DATE(Initialisatie!$C$5,1,1) + 1)
)</f>
        <v>3539.8520547945204</v>
      </c>
      <c r="J83">
        <f>IF(
    OR(
        AND(MAX(0, IF(MIN($D$1, DATE(Initialisatie!$C$5,12,31)) &lt; MAX($D$2, DATE(Initialisatie!$C$5,1,1)), 0, MONTH(MIN($D$1, DATE(Initialisatie!$C$5,12,31))) - MONTH(MAX($D$2, DATE(Initialisatie!$C$5,1,1))) + 1)) &lt;= 0, IFERROR(VALUE($D83),0)=0),
        AND(MAX(0, IF(MIN($E$1, DATE(Initialisatie!$C$5,12,31)) &lt; MAX($E$2, DATE(Initialisatie!$C$5,1,1)), 0, MONTH(MIN($E$1, DATE(Initialisatie!$C$5,12,31))) - MONTH(MAX($E$2, DATE(Initialisatie!$C$5,1,1))) + 1)) &lt;= 0, IFERROR(VALUE($E83),0)=0),
        AND(MAX(0, IF(MIN($F$1, DATE(Initialisatie!$C$5,12,31)) &lt; MAX($F$2, DATE(Initialisatie!$C$5,1,1)), 0, MONTH(MIN($F$1, DATE(Initialisatie!$C$5,12,31))) - MONTH(MAX($F$2, DATE(Initialisatie!$C$5,1,1))) + 1)) &lt;= 0, IFERROR(VALUE($F83),0)=0),
        AND(MAX(0, IF(MIN($G$1, DATE(Initialisatie!$C$5,12,31)) &lt; MAX($G$2, DATE(Initialisatie!$C$5,1,1)), 0, MONTH(MIN($G$1, DATE(Initialisatie!$C$5,12,31))) - MONTH(MAX($G$2, DATE(Initialisatie!$C$5,1,1))) + 1)) &lt;= 0, IFERROR(VALUE($G83),0)=0)
    ),
    0,
    SUM(
        IFERROR(VALUE($D83),0) * MAX(0, IF(MIN($D$1, DATE(Initialisatie!$C$5,12,31)) &lt; MAX($D$2, DATE(Initialisatie!$C$5,1,1)), 0, MONTH(MIN($D$1, DATE(Initialisatie!$C$5,12,31))) - MONTH(MAX($D$2, DATE(Initialisatie!$C$5,1,1))) + 1)),
        IFERROR(VALUE($E83),0) * MAX(0, IF(MIN($E$1, DATE(Initialisatie!$C$5,12,31)) &lt; MAX($E$2, DATE(Initialisatie!$C$5,1,1)), 0, MONTH(MIN($E$1, DATE(Initialisatie!$C$5,12,31))) - MONTH(MAX($E$2, DATE(Initialisatie!$C$5,1,1))) + 1)),
        IFERROR(VALUE($F83),0) * MAX(0, IF(MIN($F$1, DATE(Initialisatie!$C$5,12,31)) &lt; MAX($F$2, DATE(Initialisatie!$C$5,1,1)), 0, MONTH(MIN($F$1, DATE(Initialisatie!$C$5,12,31))) - MONTH(MAX($F$2, DATE(Initialisatie!$C$5,1,1))) + 1)),
        IFERROR(VALUE($G83),0) * MAX(0, IF(MIN($G$1, DATE(Initialisatie!$C$5,12,31)) &lt; MAX($G$2, DATE(Initialisatie!$C$5,1,1)), 0, MONTH(MIN($G$1, DATE(Initialisatie!$C$5,12,31))) - MONTH(MAX($G$2, DATE(Initialisatie!$C$5,1,1))) + 1))
    ) / 12
)</f>
        <v>3539.5</v>
      </c>
    </row>
    <row r="84" spans="1:10" x14ac:dyDescent="0.45">
      <c r="A84" s="1001"/>
      <c r="B84" s="372">
        <v>12</v>
      </c>
      <c r="C84" s="373">
        <v>23</v>
      </c>
      <c r="D84" s="48">
        <v>3427</v>
      </c>
      <c r="E84" s="48">
        <v>3564</v>
      </c>
      <c r="F84" s="48">
        <v>3635</v>
      </c>
      <c r="G84" s="48">
        <v>3708</v>
      </c>
      <c r="I84">
        <f>IF(
    OR(
        AND(MAX(0, MIN($D$1, DATE(Initialisatie!$C$5,12,31)) - MAX($D$2, DATE(Initialisatie!$C$5,1,1)) + 1) &gt; 0, IFERROR(VALUE($D84),0)=0),
        AND(MAX(0, MIN($E$1, DATE(Initialisatie!$C$5,12,31)) - MAX($E$2, DATE(Initialisatie!$C$5,1,1)) + 1) &gt; 0, IFERROR(VALUE($E84),0)=0),
        AND(MAX(0, MIN($F$1, DATE(Initialisatie!$C$5,12,31)) - MAX($F$2, DATE(Initialisatie!$C$5,1,1)) + 1) &gt; 0, IFERROR(VALUE($F84),0)=0),
        AND(MAX(0, MIN($G$1, DATE(Initialisatie!$C$5,12,31)) - MAX($G$2, DATE(Initialisatie!$C$5,1,1)) + 1) &gt; 0, IFERROR(VALUE($G84),0)=0)
    ),
    0,
    SUM(
        IFERROR(VALUE($D84),0) * MAX(0, MIN($D$1, DATE(Initialisatie!$C$5,12,31)) - MAX($D$2, DATE(Initialisatie!$C$5,1,1)) + 1),
        IFERROR(VALUE($E84),0) * MAX(0, MIN($E$1, DATE(Initialisatie!$C$5,12,31)) - MAX($E$2, DATE(Initialisatie!$C$5,1,1)) + 1),
        IFERROR(VALUE($F84),0) * MAX(0, MIN($F$1, DATE(Initialisatie!$C$5,12,31)) - MAX($F$2, DATE(Initialisatie!$C$5,1,1)) + 1),
        IFERROR(VALUE($G84),0) * MAX(0, MIN($G$1, DATE(Initialisatie!$C$5,12,31)) - MAX($G$2, DATE(Initialisatie!$C$5,1,1)) + 1)
    ) / (DATE(Initialisatie!$C$5,12,31) - DATE(Initialisatie!$C$5,1,1) + 1)
)</f>
        <v>3623.8575342465751</v>
      </c>
      <c r="J84">
        <f>IF(
    OR(
        AND(MAX(0, IF(MIN($D$1, DATE(Initialisatie!$C$5,12,31)) &lt; MAX($D$2, DATE(Initialisatie!$C$5,1,1)), 0, MONTH(MIN($D$1, DATE(Initialisatie!$C$5,12,31))) - MONTH(MAX($D$2, DATE(Initialisatie!$C$5,1,1))) + 1)) &lt;= 0, IFERROR(VALUE($D84),0)=0),
        AND(MAX(0, IF(MIN($E$1, DATE(Initialisatie!$C$5,12,31)) &lt; MAX($E$2, DATE(Initialisatie!$C$5,1,1)), 0, MONTH(MIN($E$1, DATE(Initialisatie!$C$5,12,31))) - MONTH(MAX($E$2, DATE(Initialisatie!$C$5,1,1))) + 1)) &lt;= 0, IFERROR(VALUE($E84),0)=0),
        AND(MAX(0, IF(MIN($F$1, DATE(Initialisatie!$C$5,12,31)) &lt; MAX($F$2, DATE(Initialisatie!$C$5,1,1)), 0, MONTH(MIN($F$1, DATE(Initialisatie!$C$5,12,31))) - MONTH(MAX($F$2, DATE(Initialisatie!$C$5,1,1))) + 1)) &lt;= 0, IFERROR(VALUE($F84),0)=0),
        AND(MAX(0, IF(MIN($G$1, DATE(Initialisatie!$C$5,12,31)) &lt; MAX($G$2, DATE(Initialisatie!$C$5,1,1)), 0, MONTH(MIN($G$1, DATE(Initialisatie!$C$5,12,31))) - MONTH(MAX($G$2, DATE(Initialisatie!$C$5,1,1))) + 1)) &lt;= 0, IFERROR(VALUE($G84),0)=0)
    ),
    0,
    SUM(
        IFERROR(VALUE($D84),0) * MAX(0, IF(MIN($D$1, DATE(Initialisatie!$C$5,12,31)) &lt; MAX($D$2, DATE(Initialisatie!$C$5,1,1)), 0, MONTH(MIN($D$1, DATE(Initialisatie!$C$5,12,31))) - MONTH(MAX($D$2, DATE(Initialisatie!$C$5,1,1))) + 1)),
        IFERROR(VALUE($E84),0) * MAX(0, IF(MIN($E$1, DATE(Initialisatie!$C$5,12,31)) &lt; MAX($E$2, DATE(Initialisatie!$C$5,1,1)), 0, MONTH(MIN($E$1, DATE(Initialisatie!$C$5,12,31))) - MONTH(MAX($E$2, DATE(Initialisatie!$C$5,1,1))) + 1)),
        IFERROR(VALUE($F84),0) * MAX(0, IF(MIN($F$1, DATE(Initialisatie!$C$5,12,31)) &lt; MAX($F$2, DATE(Initialisatie!$C$5,1,1)), 0, MONTH(MIN($F$1, DATE(Initialisatie!$C$5,12,31))) - MONTH(MAX($F$2, DATE(Initialisatie!$C$5,1,1))) + 1)),
        IFERROR(VALUE($G84),0) * MAX(0, IF(MIN($G$1, DATE(Initialisatie!$C$5,12,31)) &lt; MAX($G$2, DATE(Initialisatie!$C$5,1,1)), 0, MONTH(MIN($G$1, DATE(Initialisatie!$C$5,12,31))) - MONTH(MAX($G$2, DATE(Initialisatie!$C$5,1,1))) + 1))
    ) / 12
)</f>
        <v>3623.5</v>
      </c>
    </row>
    <row r="85" spans="1:10" x14ac:dyDescent="0.45">
      <c r="A85" s="1000">
        <v>40</v>
      </c>
      <c r="B85" s="373">
        <v>2</v>
      </c>
      <c r="C85" s="373">
        <v>14</v>
      </c>
      <c r="D85" s="48">
        <v>2727</v>
      </c>
      <c r="E85" s="48">
        <v>2836</v>
      </c>
      <c r="F85" s="48">
        <v>2893</v>
      </c>
      <c r="G85" s="48">
        <v>2951</v>
      </c>
      <c r="I85">
        <f>IF(
    OR(
        AND(MAX(0, MIN($D$1, DATE(Initialisatie!$C$5,12,31)) - MAX($D$2, DATE(Initialisatie!$C$5,1,1)) + 1) &gt; 0, IFERROR(VALUE($D85),0)=0),
        AND(MAX(0, MIN($E$1, DATE(Initialisatie!$C$5,12,31)) - MAX($E$2, DATE(Initialisatie!$C$5,1,1)) + 1) &gt; 0, IFERROR(VALUE($E85),0)=0),
        AND(MAX(0, MIN($F$1, DATE(Initialisatie!$C$5,12,31)) - MAX($F$2, DATE(Initialisatie!$C$5,1,1)) + 1) &gt; 0, IFERROR(VALUE($F85),0)=0),
        AND(MAX(0, MIN($G$1, DATE(Initialisatie!$C$5,12,31)) - MAX($G$2, DATE(Initialisatie!$C$5,1,1)) + 1) &gt; 0, IFERROR(VALUE($G85),0)=0)
    ),
    0,
    SUM(
        IFERROR(VALUE($D85),0) * MAX(0, MIN($D$1, DATE(Initialisatie!$C$5,12,31)) - MAX($D$2, DATE(Initialisatie!$C$5,1,1)) + 1),
        IFERROR(VALUE($E85),0) * MAX(0, MIN($E$1, DATE(Initialisatie!$C$5,12,31)) - MAX($E$2, DATE(Initialisatie!$C$5,1,1)) + 1),
        IFERROR(VALUE($F85),0) * MAX(0, MIN($F$1, DATE(Initialisatie!$C$5,12,31)) - MAX($F$2, DATE(Initialisatie!$C$5,1,1)) + 1),
        IFERROR(VALUE($G85),0) * MAX(0, MIN($G$1, DATE(Initialisatie!$C$5,12,31)) - MAX($G$2, DATE(Initialisatie!$C$5,1,1)) + 1)
    ) / (DATE(Initialisatie!$C$5,12,31) - DATE(Initialisatie!$C$5,1,1) + 1)
)</f>
        <v>2883.9534246575345</v>
      </c>
      <c r="J85">
        <f>IF(
    OR(
        AND(MAX(0, IF(MIN($D$1, DATE(Initialisatie!$C$5,12,31)) &lt; MAX($D$2, DATE(Initialisatie!$C$5,1,1)), 0, MONTH(MIN($D$1, DATE(Initialisatie!$C$5,12,31))) - MONTH(MAX($D$2, DATE(Initialisatie!$C$5,1,1))) + 1)) &lt;= 0, IFERROR(VALUE($D85),0)=0),
        AND(MAX(0, IF(MIN($E$1, DATE(Initialisatie!$C$5,12,31)) &lt; MAX($E$2, DATE(Initialisatie!$C$5,1,1)), 0, MONTH(MIN($E$1, DATE(Initialisatie!$C$5,12,31))) - MONTH(MAX($E$2, DATE(Initialisatie!$C$5,1,1))) + 1)) &lt;= 0, IFERROR(VALUE($E85),0)=0),
        AND(MAX(0, IF(MIN($F$1, DATE(Initialisatie!$C$5,12,31)) &lt; MAX($F$2, DATE(Initialisatie!$C$5,1,1)), 0, MONTH(MIN($F$1, DATE(Initialisatie!$C$5,12,31))) - MONTH(MAX($F$2, DATE(Initialisatie!$C$5,1,1))) + 1)) &lt;= 0, IFERROR(VALUE($F85),0)=0),
        AND(MAX(0, IF(MIN($G$1, DATE(Initialisatie!$C$5,12,31)) &lt; MAX($G$2, DATE(Initialisatie!$C$5,1,1)), 0, MONTH(MIN($G$1, DATE(Initialisatie!$C$5,12,31))) - MONTH(MAX($G$2, DATE(Initialisatie!$C$5,1,1))) + 1)) &lt;= 0, IFERROR(VALUE($G85),0)=0)
    ),
    0,
    SUM(
        IFERROR(VALUE($D85),0) * MAX(0, IF(MIN($D$1, DATE(Initialisatie!$C$5,12,31)) &lt; MAX($D$2, DATE(Initialisatie!$C$5,1,1)), 0, MONTH(MIN($D$1, DATE(Initialisatie!$C$5,12,31))) - MONTH(MAX($D$2, DATE(Initialisatie!$C$5,1,1))) + 1)),
        IFERROR(VALUE($E85),0) * MAX(0, IF(MIN($E$1, DATE(Initialisatie!$C$5,12,31)) &lt; MAX($E$2, DATE(Initialisatie!$C$5,1,1)), 0, MONTH(MIN($E$1, DATE(Initialisatie!$C$5,12,31))) - MONTH(MAX($E$2, DATE(Initialisatie!$C$5,1,1))) + 1)),
        IFERROR(VALUE($F85),0) * MAX(0, IF(MIN($F$1, DATE(Initialisatie!$C$5,12,31)) &lt; MAX($F$2, DATE(Initialisatie!$C$5,1,1)), 0, MONTH(MIN($F$1, DATE(Initialisatie!$C$5,12,31))) - MONTH(MAX($F$2, DATE(Initialisatie!$C$5,1,1))) + 1)),
        IFERROR(VALUE($G85),0) * MAX(0, IF(MIN($G$1, DATE(Initialisatie!$C$5,12,31)) &lt; MAX($G$2, DATE(Initialisatie!$C$5,1,1)), 0, MONTH(MIN($G$1, DATE(Initialisatie!$C$5,12,31))) - MONTH(MAX($G$2, DATE(Initialisatie!$C$5,1,1))) + 1))
    ) / 12
)</f>
        <v>2883.6666666666665</v>
      </c>
    </row>
    <row r="86" spans="1:10" x14ac:dyDescent="0.45">
      <c r="A86" s="999"/>
      <c r="B86" s="373">
        <v>3</v>
      </c>
      <c r="C86" s="373">
        <v>16</v>
      </c>
      <c r="D86" s="48">
        <v>2877</v>
      </c>
      <c r="E86" s="48">
        <v>2992</v>
      </c>
      <c r="F86" s="48">
        <v>3052</v>
      </c>
      <c r="G86" s="48">
        <v>3113</v>
      </c>
      <c r="I86">
        <f>IF(
    OR(
        AND(MAX(0, MIN($D$1, DATE(Initialisatie!$C$5,12,31)) - MAX($D$2, DATE(Initialisatie!$C$5,1,1)) + 1) &gt; 0, IFERROR(VALUE($D86),0)=0),
        AND(MAX(0, MIN($E$1, DATE(Initialisatie!$C$5,12,31)) - MAX($E$2, DATE(Initialisatie!$C$5,1,1)) + 1) &gt; 0, IFERROR(VALUE($E86),0)=0),
        AND(MAX(0, MIN($F$1, DATE(Initialisatie!$C$5,12,31)) - MAX($F$2, DATE(Initialisatie!$C$5,1,1)) + 1) &gt; 0, IFERROR(VALUE($F86),0)=0),
        AND(MAX(0, MIN($G$1, DATE(Initialisatie!$C$5,12,31)) - MAX($G$2, DATE(Initialisatie!$C$5,1,1)) + 1) &gt; 0, IFERROR(VALUE($G86),0)=0)
    ),
    0,
    SUM(
        IFERROR(VALUE($D86),0) * MAX(0, MIN($D$1, DATE(Initialisatie!$C$5,12,31)) - MAX($D$2, DATE(Initialisatie!$C$5,1,1)) + 1),
        IFERROR(VALUE($E86),0) * MAX(0, MIN($E$1, DATE(Initialisatie!$C$5,12,31)) - MAX($E$2, DATE(Initialisatie!$C$5,1,1)) + 1),
        IFERROR(VALUE($F86),0) * MAX(0, MIN($F$1, DATE(Initialisatie!$C$5,12,31)) - MAX($F$2, DATE(Initialisatie!$C$5,1,1)) + 1),
        IFERROR(VALUE($G86),0) * MAX(0, MIN($G$1, DATE(Initialisatie!$C$5,12,31)) - MAX($G$2, DATE(Initialisatie!$C$5,1,1)) + 1)
    ) / (DATE(Initialisatie!$C$5,12,31) - DATE(Initialisatie!$C$5,1,1) + 1)
)</f>
        <v>3042.4684931506849</v>
      </c>
      <c r="J86">
        <f>IF(
    OR(
        AND(MAX(0, IF(MIN($D$1, DATE(Initialisatie!$C$5,12,31)) &lt; MAX($D$2, DATE(Initialisatie!$C$5,1,1)), 0, MONTH(MIN($D$1, DATE(Initialisatie!$C$5,12,31))) - MONTH(MAX($D$2, DATE(Initialisatie!$C$5,1,1))) + 1)) &lt;= 0, IFERROR(VALUE($D86),0)=0),
        AND(MAX(0, IF(MIN($E$1, DATE(Initialisatie!$C$5,12,31)) &lt; MAX($E$2, DATE(Initialisatie!$C$5,1,1)), 0, MONTH(MIN($E$1, DATE(Initialisatie!$C$5,12,31))) - MONTH(MAX($E$2, DATE(Initialisatie!$C$5,1,1))) + 1)) &lt;= 0, IFERROR(VALUE($E86),0)=0),
        AND(MAX(0, IF(MIN($F$1, DATE(Initialisatie!$C$5,12,31)) &lt; MAX($F$2, DATE(Initialisatie!$C$5,1,1)), 0, MONTH(MIN($F$1, DATE(Initialisatie!$C$5,12,31))) - MONTH(MAX($F$2, DATE(Initialisatie!$C$5,1,1))) + 1)) &lt;= 0, IFERROR(VALUE($F86),0)=0),
        AND(MAX(0, IF(MIN($G$1, DATE(Initialisatie!$C$5,12,31)) &lt; MAX($G$2, DATE(Initialisatie!$C$5,1,1)), 0, MONTH(MIN($G$1, DATE(Initialisatie!$C$5,12,31))) - MONTH(MAX($G$2, DATE(Initialisatie!$C$5,1,1))) + 1)) &lt;= 0, IFERROR(VALUE($G86),0)=0)
    ),
    0,
    SUM(
        IFERROR(VALUE($D86),0) * MAX(0, IF(MIN($D$1, DATE(Initialisatie!$C$5,12,31)) &lt; MAX($D$2, DATE(Initialisatie!$C$5,1,1)), 0, MONTH(MIN($D$1, DATE(Initialisatie!$C$5,12,31))) - MONTH(MAX($D$2, DATE(Initialisatie!$C$5,1,1))) + 1)),
        IFERROR(VALUE($E86),0) * MAX(0, IF(MIN($E$1, DATE(Initialisatie!$C$5,12,31)) &lt; MAX($E$2, DATE(Initialisatie!$C$5,1,1)), 0, MONTH(MIN($E$1, DATE(Initialisatie!$C$5,12,31))) - MONTH(MAX($E$2, DATE(Initialisatie!$C$5,1,1))) + 1)),
        IFERROR(VALUE($F86),0) * MAX(0, IF(MIN($F$1, DATE(Initialisatie!$C$5,12,31)) &lt; MAX($F$2, DATE(Initialisatie!$C$5,1,1)), 0, MONTH(MIN($F$1, DATE(Initialisatie!$C$5,12,31))) - MONTH(MAX($F$2, DATE(Initialisatie!$C$5,1,1))) + 1)),
        IFERROR(VALUE($G86),0) * MAX(0, IF(MIN($G$1, DATE(Initialisatie!$C$5,12,31)) &lt; MAX($G$2, DATE(Initialisatie!$C$5,1,1)), 0, MONTH(MIN($G$1, DATE(Initialisatie!$C$5,12,31))) - MONTH(MAX($G$2, DATE(Initialisatie!$C$5,1,1))) + 1))
    ) / 12
)</f>
        <v>3042.1666666666665</v>
      </c>
    </row>
    <row r="87" spans="1:10" x14ac:dyDescent="0.45">
      <c r="A87" s="999"/>
      <c r="B87" s="373">
        <v>4</v>
      </c>
      <c r="C87" s="373">
        <v>17</v>
      </c>
      <c r="D87" s="48">
        <v>2946</v>
      </c>
      <c r="E87" s="48">
        <v>3064</v>
      </c>
      <c r="F87" s="48">
        <v>3125</v>
      </c>
      <c r="G87" s="48">
        <v>3188</v>
      </c>
      <c r="I87">
        <f>IF(
    OR(
        AND(MAX(0, MIN($D$1, DATE(Initialisatie!$C$5,12,31)) - MAX($D$2, DATE(Initialisatie!$C$5,1,1)) + 1) &gt; 0, IFERROR(VALUE($D87),0)=0),
        AND(MAX(0, MIN($E$1, DATE(Initialisatie!$C$5,12,31)) - MAX($E$2, DATE(Initialisatie!$C$5,1,1)) + 1) &gt; 0, IFERROR(VALUE($E87),0)=0),
        AND(MAX(0, MIN($F$1, DATE(Initialisatie!$C$5,12,31)) - MAX($F$2, DATE(Initialisatie!$C$5,1,1)) + 1) &gt; 0, IFERROR(VALUE($F87),0)=0),
        AND(MAX(0, MIN($G$1, DATE(Initialisatie!$C$5,12,31)) - MAX($G$2, DATE(Initialisatie!$C$5,1,1)) + 1) &gt; 0, IFERROR(VALUE($G87),0)=0)
    ),
    0,
    SUM(
        IFERROR(VALUE($D87),0) * MAX(0, MIN($D$1, DATE(Initialisatie!$C$5,12,31)) - MAX($D$2, DATE(Initialisatie!$C$5,1,1)) + 1),
        IFERROR(VALUE($E87),0) * MAX(0, MIN($E$1, DATE(Initialisatie!$C$5,12,31)) - MAX($E$2, DATE(Initialisatie!$C$5,1,1)) + 1),
        IFERROR(VALUE($F87),0) * MAX(0, MIN($F$1, DATE(Initialisatie!$C$5,12,31)) - MAX($F$2, DATE(Initialisatie!$C$5,1,1)) + 1),
        IFERROR(VALUE($G87),0) * MAX(0, MIN($G$1, DATE(Initialisatie!$C$5,12,31)) - MAX($G$2, DATE(Initialisatie!$C$5,1,1)) + 1)
    ) / (DATE(Initialisatie!$C$5,12,31) - DATE(Initialisatie!$C$5,1,1) + 1)
)</f>
        <v>3115.4739726027397</v>
      </c>
      <c r="J87">
        <f>IF(
    OR(
        AND(MAX(0, IF(MIN($D$1, DATE(Initialisatie!$C$5,12,31)) &lt; MAX($D$2, DATE(Initialisatie!$C$5,1,1)), 0, MONTH(MIN($D$1, DATE(Initialisatie!$C$5,12,31))) - MONTH(MAX($D$2, DATE(Initialisatie!$C$5,1,1))) + 1)) &lt;= 0, IFERROR(VALUE($D87),0)=0),
        AND(MAX(0, IF(MIN($E$1, DATE(Initialisatie!$C$5,12,31)) &lt; MAX($E$2, DATE(Initialisatie!$C$5,1,1)), 0, MONTH(MIN($E$1, DATE(Initialisatie!$C$5,12,31))) - MONTH(MAX($E$2, DATE(Initialisatie!$C$5,1,1))) + 1)) &lt;= 0, IFERROR(VALUE($E87),0)=0),
        AND(MAX(0, IF(MIN($F$1, DATE(Initialisatie!$C$5,12,31)) &lt; MAX($F$2, DATE(Initialisatie!$C$5,1,1)), 0, MONTH(MIN($F$1, DATE(Initialisatie!$C$5,12,31))) - MONTH(MAX($F$2, DATE(Initialisatie!$C$5,1,1))) + 1)) &lt;= 0, IFERROR(VALUE($F87),0)=0),
        AND(MAX(0, IF(MIN($G$1, DATE(Initialisatie!$C$5,12,31)) &lt; MAX($G$2, DATE(Initialisatie!$C$5,1,1)), 0, MONTH(MIN($G$1, DATE(Initialisatie!$C$5,12,31))) - MONTH(MAX($G$2, DATE(Initialisatie!$C$5,1,1))) + 1)) &lt;= 0, IFERROR(VALUE($G87),0)=0)
    ),
    0,
    SUM(
        IFERROR(VALUE($D87),0) * MAX(0, IF(MIN($D$1, DATE(Initialisatie!$C$5,12,31)) &lt; MAX($D$2, DATE(Initialisatie!$C$5,1,1)), 0, MONTH(MIN($D$1, DATE(Initialisatie!$C$5,12,31))) - MONTH(MAX($D$2, DATE(Initialisatie!$C$5,1,1))) + 1)),
        IFERROR(VALUE($E87),0) * MAX(0, IF(MIN($E$1, DATE(Initialisatie!$C$5,12,31)) &lt; MAX($E$2, DATE(Initialisatie!$C$5,1,1)), 0, MONTH(MIN($E$1, DATE(Initialisatie!$C$5,12,31))) - MONTH(MAX($E$2, DATE(Initialisatie!$C$5,1,1))) + 1)),
        IFERROR(VALUE($F87),0) * MAX(0, IF(MIN($F$1, DATE(Initialisatie!$C$5,12,31)) &lt; MAX($F$2, DATE(Initialisatie!$C$5,1,1)), 0, MONTH(MIN($F$1, DATE(Initialisatie!$C$5,12,31))) - MONTH(MAX($F$2, DATE(Initialisatie!$C$5,1,1))) + 1)),
        IFERROR(VALUE($G87),0) * MAX(0, IF(MIN($G$1, DATE(Initialisatie!$C$5,12,31)) &lt; MAX($G$2, DATE(Initialisatie!$C$5,1,1)), 0, MONTH(MIN($G$1, DATE(Initialisatie!$C$5,12,31))) - MONTH(MAX($G$2, DATE(Initialisatie!$C$5,1,1))) + 1))
    ) / 12
)</f>
        <v>3115.1666666666665</v>
      </c>
    </row>
    <row r="88" spans="1:10" x14ac:dyDescent="0.45">
      <c r="A88" s="999"/>
      <c r="B88" s="373">
        <v>5</v>
      </c>
      <c r="C88" s="373">
        <v>18</v>
      </c>
      <c r="D88" s="48">
        <v>3028</v>
      </c>
      <c r="E88" s="48">
        <v>3149</v>
      </c>
      <c r="F88" s="48">
        <v>3212</v>
      </c>
      <c r="G88" s="48">
        <v>3276</v>
      </c>
      <c r="I88">
        <f>IF(
    OR(
        AND(MAX(0, MIN($D$1, DATE(Initialisatie!$C$5,12,31)) - MAX($D$2, DATE(Initialisatie!$C$5,1,1)) + 1) &gt; 0, IFERROR(VALUE($D88),0)=0),
        AND(MAX(0, MIN($E$1, DATE(Initialisatie!$C$5,12,31)) - MAX($E$2, DATE(Initialisatie!$C$5,1,1)) + 1) &gt; 0, IFERROR(VALUE($E88),0)=0),
        AND(MAX(0, MIN($F$1, DATE(Initialisatie!$C$5,12,31)) - MAX($F$2, DATE(Initialisatie!$C$5,1,1)) + 1) &gt; 0, IFERROR(VALUE($F88),0)=0),
        AND(MAX(0, MIN($G$1, DATE(Initialisatie!$C$5,12,31)) - MAX($G$2, DATE(Initialisatie!$C$5,1,1)) + 1) &gt; 0, IFERROR(VALUE($G88),0)=0)
    ),
    0,
    SUM(
        IFERROR(VALUE($D88),0) * MAX(0, MIN($D$1, DATE(Initialisatie!$C$5,12,31)) - MAX($D$2, DATE(Initialisatie!$C$5,1,1)) + 1),
        IFERROR(VALUE($E88),0) * MAX(0, MIN($E$1, DATE(Initialisatie!$C$5,12,31)) - MAX($E$2, DATE(Initialisatie!$C$5,1,1)) + 1),
        IFERROR(VALUE($F88),0) * MAX(0, MIN($F$1, DATE(Initialisatie!$C$5,12,31)) - MAX($F$2, DATE(Initialisatie!$C$5,1,1)) + 1),
        IFERROR(VALUE($G88),0) * MAX(0, MIN($G$1, DATE(Initialisatie!$C$5,12,31)) - MAX($G$2, DATE(Initialisatie!$C$5,1,1)) + 1)
    ) / (DATE(Initialisatie!$C$5,12,31) - DATE(Initialisatie!$C$5,1,1) + 1)
)</f>
        <v>3201.9835616438354</v>
      </c>
      <c r="J88">
        <f>IF(
    OR(
        AND(MAX(0, IF(MIN($D$1, DATE(Initialisatie!$C$5,12,31)) &lt; MAX($D$2, DATE(Initialisatie!$C$5,1,1)), 0, MONTH(MIN($D$1, DATE(Initialisatie!$C$5,12,31))) - MONTH(MAX($D$2, DATE(Initialisatie!$C$5,1,1))) + 1)) &lt;= 0, IFERROR(VALUE($D88),0)=0),
        AND(MAX(0, IF(MIN($E$1, DATE(Initialisatie!$C$5,12,31)) &lt; MAX($E$2, DATE(Initialisatie!$C$5,1,1)), 0, MONTH(MIN($E$1, DATE(Initialisatie!$C$5,12,31))) - MONTH(MAX($E$2, DATE(Initialisatie!$C$5,1,1))) + 1)) &lt;= 0, IFERROR(VALUE($E88),0)=0),
        AND(MAX(0, IF(MIN($F$1, DATE(Initialisatie!$C$5,12,31)) &lt; MAX($F$2, DATE(Initialisatie!$C$5,1,1)), 0, MONTH(MIN($F$1, DATE(Initialisatie!$C$5,12,31))) - MONTH(MAX($F$2, DATE(Initialisatie!$C$5,1,1))) + 1)) &lt;= 0, IFERROR(VALUE($F88),0)=0),
        AND(MAX(0, IF(MIN($G$1, DATE(Initialisatie!$C$5,12,31)) &lt; MAX($G$2, DATE(Initialisatie!$C$5,1,1)), 0, MONTH(MIN($G$1, DATE(Initialisatie!$C$5,12,31))) - MONTH(MAX($G$2, DATE(Initialisatie!$C$5,1,1))) + 1)) &lt;= 0, IFERROR(VALUE($G88),0)=0)
    ),
    0,
    SUM(
        IFERROR(VALUE($D88),0) * MAX(0, IF(MIN($D$1, DATE(Initialisatie!$C$5,12,31)) &lt; MAX($D$2, DATE(Initialisatie!$C$5,1,1)), 0, MONTH(MIN($D$1, DATE(Initialisatie!$C$5,12,31))) - MONTH(MAX($D$2, DATE(Initialisatie!$C$5,1,1))) + 1)),
        IFERROR(VALUE($E88),0) * MAX(0, IF(MIN($E$1, DATE(Initialisatie!$C$5,12,31)) &lt; MAX($E$2, DATE(Initialisatie!$C$5,1,1)), 0, MONTH(MIN($E$1, DATE(Initialisatie!$C$5,12,31))) - MONTH(MAX($E$2, DATE(Initialisatie!$C$5,1,1))) + 1)),
        IFERROR(VALUE($F88),0) * MAX(0, IF(MIN($F$1, DATE(Initialisatie!$C$5,12,31)) &lt; MAX($F$2, DATE(Initialisatie!$C$5,1,1)), 0, MONTH(MIN($F$1, DATE(Initialisatie!$C$5,12,31))) - MONTH(MAX($F$2, DATE(Initialisatie!$C$5,1,1))) + 1)),
        IFERROR(VALUE($G88),0) * MAX(0, IF(MIN($G$1, DATE(Initialisatie!$C$5,12,31)) &lt; MAX($G$2, DATE(Initialisatie!$C$5,1,1)), 0, MONTH(MIN($G$1, DATE(Initialisatie!$C$5,12,31))) - MONTH(MAX($G$2, DATE(Initialisatie!$C$5,1,1))) + 1))
    ) / 12
)</f>
        <v>3201.6666666666665</v>
      </c>
    </row>
    <row r="89" spans="1:10" x14ac:dyDescent="0.45">
      <c r="A89" s="999"/>
      <c r="B89" s="373">
        <v>6</v>
      </c>
      <c r="C89" s="373">
        <v>19</v>
      </c>
      <c r="D89" s="48">
        <v>3107</v>
      </c>
      <c r="E89" s="48">
        <v>3231</v>
      </c>
      <c r="F89" s="48">
        <v>3296</v>
      </c>
      <c r="G89" s="48">
        <v>3362</v>
      </c>
      <c r="I89">
        <f>IF(
    OR(
        AND(MAX(0, MIN($D$1, DATE(Initialisatie!$C$5,12,31)) - MAX($D$2, DATE(Initialisatie!$C$5,1,1)) + 1) &gt; 0, IFERROR(VALUE($D89),0)=0),
        AND(MAX(0, MIN($E$1, DATE(Initialisatie!$C$5,12,31)) - MAX($E$2, DATE(Initialisatie!$C$5,1,1)) + 1) &gt; 0, IFERROR(VALUE($E89),0)=0),
        AND(MAX(0, MIN($F$1, DATE(Initialisatie!$C$5,12,31)) - MAX($F$2, DATE(Initialisatie!$C$5,1,1)) + 1) &gt; 0, IFERROR(VALUE($F89),0)=0),
        AND(MAX(0, MIN($G$1, DATE(Initialisatie!$C$5,12,31)) - MAX($G$2, DATE(Initialisatie!$C$5,1,1)) + 1) &gt; 0, IFERROR(VALUE($G89),0)=0)
    ),
    0,
    SUM(
        IFERROR(VALUE($D89),0) * MAX(0, MIN($D$1, DATE(Initialisatie!$C$5,12,31)) - MAX($D$2, DATE(Initialisatie!$C$5,1,1)) + 1),
        IFERROR(VALUE($E89),0) * MAX(0, MIN($E$1, DATE(Initialisatie!$C$5,12,31)) - MAX($E$2, DATE(Initialisatie!$C$5,1,1)) + 1),
        IFERROR(VALUE($F89),0) * MAX(0, MIN($F$1, DATE(Initialisatie!$C$5,12,31)) - MAX($F$2, DATE(Initialisatie!$C$5,1,1)) + 1),
        IFERROR(VALUE($G89),0) * MAX(0, MIN($G$1, DATE(Initialisatie!$C$5,12,31)) - MAX($G$2, DATE(Initialisatie!$C$5,1,1)) + 1)
    ) / (DATE(Initialisatie!$C$5,12,31) - DATE(Initialisatie!$C$5,1,1) + 1)
)</f>
        <v>3285.6602739726027</v>
      </c>
      <c r="J89">
        <f>IF(
    OR(
        AND(MAX(0, IF(MIN($D$1, DATE(Initialisatie!$C$5,12,31)) &lt; MAX($D$2, DATE(Initialisatie!$C$5,1,1)), 0, MONTH(MIN($D$1, DATE(Initialisatie!$C$5,12,31))) - MONTH(MAX($D$2, DATE(Initialisatie!$C$5,1,1))) + 1)) &lt;= 0, IFERROR(VALUE($D89),0)=0),
        AND(MAX(0, IF(MIN($E$1, DATE(Initialisatie!$C$5,12,31)) &lt; MAX($E$2, DATE(Initialisatie!$C$5,1,1)), 0, MONTH(MIN($E$1, DATE(Initialisatie!$C$5,12,31))) - MONTH(MAX($E$2, DATE(Initialisatie!$C$5,1,1))) + 1)) &lt;= 0, IFERROR(VALUE($E89),0)=0),
        AND(MAX(0, IF(MIN($F$1, DATE(Initialisatie!$C$5,12,31)) &lt; MAX($F$2, DATE(Initialisatie!$C$5,1,1)), 0, MONTH(MIN($F$1, DATE(Initialisatie!$C$5,12,31))) - MONTH(MAX($F$2, DATE(Initialisatie!$C$5,1,1))) + 1)) &lt;= 0, IFERROR(VALUE($F89),0)=0),
        AND(MAX(0, IF(MIN($G$1, DATE(Initialisatie!$C$5,12,31)) &lt; MAX($G$2, DATE(Initialisatie!$C$5,1,1)), 0, MONTH(MIN($G$1, DATE(Initialisatie!$C$5,12,31))) - MONTH(MAX($G$2, DATE(Initialisatie!$C$5,1,1))) + 1)) &lt;= 0, IFERROR(VALUE($G89),0)=0)
    ),
    0,
    SUM(
        IFERROR(VALUE($D89),0) * MAX(0, IF(MIN($D$1, DATE(Initialisatie!$C$5,12,31)) &lt; MAX($D$2, DATE(Initialisatie!$C$5,1,1)), 0, MONTH(MIN($D$1, DATE(Initialisatie!$C$5,12,31))) - MONTH(MAX($D$2, DATE(Initialisatie!$C$5,1,1))) + 1)),
        IFERROR(VALUE($E89),0) * MAX(0, IF(MIN($E$1, DATE(Initialisatie!$C$5,12,31)) &lt; MAX($E$2, DATE(Initialisatie!$C$5,1,1)), 0, MONTH(MIN($E$1, DATE(Initialisatie!$C$5,12,31))) - MONTH(MAX($E$2, DATE(Initialisatie!$C$5,1,1))) + 1)),
        IFERROR(VALUE($F89),0) * MAX(0, IF(MIN($F$1, DATE(Initialisatie!$C$5,12,31)) &lt; MAX($F$2, DATE(Initialisatie!$C$5,1,1)), 0, MONTH(MIN($F$1, DATE(Initialisatie!$C$5,12,31))) - MONTH(MAX($F$2, DATE(Initialisatie!$C$5,1,1))) + 1)),
        IFERROR(VALUE($G89),0) * MAX(0, IF(MIN($G$1, DATE(Initialisatie!$C$5,12,31)) &lt; MAX($G$2, DATE(Initialisatie!$C$5,1,1)), 0, MONTH(MIN($G$1, DATE(Initialisatie!$C$5,12,31))) - MONTH(MAX($G$2, DATE(Initialisatie!$C$5,1,1))) + 1))
    ) / 12
)</f>
        <v>3285.3333333333335</v>
      </c>
    </row>
    <row r="90" spans="1:10" x14ac:dyDescent="0.45">
      <c r="A90" s="999"/>
      <c r="B90" s="374">
        <v>7</v>
      </c>
      <c r="C90" s="373">
        <v>20</v>
      </c>
      <c r="D90" s="48">
        <v>3191</v>
      </c>
      <c r="E90" s="48">
        <v>3319</v>
      </c>
      <c r="F90" s="48">
        <v>3385</v>
      </c>
      <c r="G90" s="48">
        <v>3453</v>
      </c>
      <c r="I90">
        <f>IF(
    OR(
        AND(MAX(0, MIN($D$1, DATE(Initialisatie!$C$5,12,31)) - MAX($D$2, DATE(Initialisatie!$C$5,1,1)) + 1) &gt; 0, IFERROR(VALUE($D90),0)=0),
        AND(MAX(0, MIN($E$1, DATE(Initialisatie!$C$5,12,31)) - MAX($E$2, DATE(Initialisatie!$C$5,1,1)) + 1) &gt; 0, IFERROR(VALUE($E90),0)=0),
        AND(MAX(0, MIN($F$1, DATE(Initialisatie!$C$5,12,31)) - MAX($F$2, DATE(Initialisatie!$C$5,1,1)) + 1) &gt; 0, IFERROR(VALUE($F90),0)=0),
        AND(MAX(0, MIN($G$1, DATE(Initialisatie!$C$5,12,31)) - MAX($G$2, DATE(Initialisatie!$C$5,1,1)) + 1) &gt; 0, IFERROR(VALUE($G90),0)=0)
    ),
    0,
    SUM(
        IFERROR(VALUE($D90),0) * MAX(0, MIN($D$1, DATE(Initialisatie!$C$5,12,31)) - MAX($D$2, DATE(Initialisatie!$C$5,1,1)) + 1),
        IFERROR(VALUE($E90),0) * MAX(0, MIN($E$1, DATE(Initialisatie!$C$5,12,31)) - MAX($E$2, DATE(Initialisatie!$C$5,1,1)) + 1),
        IFERROR(VALUE($F90),0) * MAX(0, MIN($F$1, DATE(Initialisatie!$C$5,12,31)) - MAX($F$2, DATE(Initialisatie!$C$5,1,1)) + 1),
        IFERROR(VALUE($G90),0) * MAX(0, MIN($G$1, DATE(Initialisatie!$C$5,12,31)) - MAX($G$2, DATE(Initialisatie!$C$5,1,1)) + 1)
    ) / (DATE(Initialisatie!$C$5,12,31) - DATE(Initialisatie!$C$5,1,1) + 1)
)</f>
        <v>3374.6657534246574</v>
      </c>
      <c r="J90">
        <f>IF(
    OR(
        AND(MAX(0, IF(MIN($D$1, DATE(Initialisatie!$C$5,12,31)) &lt; MAX($D$2, DATE(Initialisatie!$C$5,1,1)), 0, MONTH(MIN($D$1, DATE(Initialisatie!$C$5,12,31))) - MONTH(MAX($D$2, DATE(Initialisatie!$C$5,1,1))) + 1)) &lt;= 0, IFERROR(VALUE($D90),0)=0),
        AND(MAX(0, IF(MIN($E$1, DATE(Initialisatie!$C$5,12,31)) &lt; MAX($E$2, DATE(Initialisatie!$C$5,1,1)), 0, MONTH(MIN($E$1, DATE(Initialisatie!$C$5,12,31))) - MONTH(MAX($E$2, DATE(Initialisatie!$C$5,1,1))) + 1)) &lt;= 0, IFERROR(VALUE($E90),0)=0),
        AND(MAX(0, IF(MIN($F$1, DATE(Initialisatie!$C$5,12,31)) &lt; MAX($F$2, DATE(Initialisatie!$C$5,1,1)), 0, MONTH(MIN($F$1, DATE(Initialisatie!$C$5,12,31))) - MONTH(MAX($F$2, DATE(Initialisatie!$C$5,1,1))) + 1)) &lt;= 0, IFERROR(VALUE($F90),0)=0),
        AND(MAX(0, IF(MIN($G$1, DATE(Initialisatie!$C$5,12,31)) &lt; MAX($G$2, DATE(Initialisatie!$C$5,1,1)), 0, MONTH(MIN($G$1, DATE(Initialisatie!$C$5,12,31))) - MONTH(MAX($G$2, DATE(Initialisatie!$C$5,1,1))) + 1)) &lt;= 0, IFERROR(VALUE($G90),0)=0)
    ),
    0,
    SUM(
        IFERROR(VALUE($D90),0) * MAX(0, IF(MIN($D$1, DATE(Initialisatie!$C$5,12,31)) &lt; MAX($D$2, DATE(Initialisatie!$C$5,1,1)), 0, MONTH(MIN($D$1, DATE(Initialisatie!$C$5,12,31))) - MONTH(MAX($D$2, DATE(Initialisatie!$C$5,1,1))) + 1)),
        IFERROR(VALUE($E90),0) * MAX(0, IF(MIN($E$1, DATE(Initialisatie!$C$5,12,31)) &lt; MAX($E$2, DATE(Initialisatie!$C$5,1,1)), 0, MONTH(MIN($E$1, DATE(Initialisatie!$C$5,12,31))) - MONTH(MAX($E$2, DATE(Initialisatie!$C$5,1,1))) + 1)),
        IFERROR(VALUE($F90),0) * MAX(0, IF(MIN($F$1, DATE(Initialisatie!$C$5,12,31)) &lt; MAX($F$2, DATE(Initialisatie!$C$5,1,1)), 0, MONTH(MIN($F$1, DATE(Initialisatie!$C$5,12,31))) - MONTH(MAX($F$2, DATE(Initialisatie!$C$5,1,1))) + 1)),
        IFERROR(VALUE($G90),0) * MAX(0, IF(MIN($G$1, DATE(Initialisatie!$C$5,12,31)) &lt; MAX($G$2, DATE(Initialisatie!$C$5,1,1)), 0, MONTH(MIN($G$1, DATE(Initialisatie!$C$5,12,31))) - MONTH(MAX($G$2, DATE(Initialisatie!$C$5,1,1))) + 1))
    ) / 12
)</f>
        <v>3374.3333333333335</v>
      </c>
    </row>
    <row r="91" spans="1:10" x14ac:dyDescent="0.45">
      <c r="A91" s="999"/>
      <c r="B91" s="374">
        <v>8</v>
      </c>
      <c r="C91" s="373">
        <v>21</v>
      </c>
      <c r="D91" s="48">
        <v>3269</v>
      </c>
      <c r="E91" s="48">
        <v>3400</v>
      </c>
      <c r="F91" s="48">
        <v>3468</v>
      </c>
      <c r="G91" s="48">
        <v>3537</v>
      </c>
      <c r="I91">
        <f>IF(
    OR(
        AND(MAX(0, MIN($D$1, DATE(Initialisatie!$C$5,12,31)) - MAX($D$2, DATE(Initialisatie!$C$5,1,1)) + 1) &gt; 0, IFERROR(VALUE($D91),0)=0),
        AND(MAX(0, MIN($E$1, DATE(Initialisatie!$C$5,12,31)) - MAX($E$2, DATE(Initialisatie!$C$5,1,1)) + 1) &gt; 0, IFERROR(VALUE($E91),0)=0),
        AND(MAX(0, MIN($F$1, DATE(Initialisatie!$C$5,12,31)) - MAX($F$2, DATE(Initialisatie!$C$5,1,1)) + 1) &gt; 0, IFERROR(VALUE($F91),0)=0),
        AND(MAX(0, MIN($G$1, DATE(Initialisatie!$C$5,12,31)) - MAX($G$2, DATE(Initialisatie!$C$5,1,1)) + 1) &gt; 0, IFERROR(VALUE($G91),0)=0)
    ),
    0,
    SUM(
        IFERROR(VALUE($D91),0) * MAX(0, MIN($D$1, DATE(Initialisatie!$C$5,12,31)) - MAX($D$2, DATE(Initialisatie!$C$5,1,1)) + 1),
        IFERROR(VALUE($E91),0) * MAX(0, MIN($E$1, DATE(Initialisatie!$C$5,12,31)) - MAX($E$2, DATE(Initialisatie!$C$5,1,1)) + 1),
        IFERROR(VALUE($F91),0) * MAX(0, MIN($F$1, DATE(Initialisatie!$C$5,12,31)) - MAX($F$2, DATE(Initialisatie!$C$5,1,1)) + 1),
        IFERROR(VALUE($G91),0) * MAX(0, MIN($G$1, DATE(Initialisatie!$C$5,12,31)) - MAX($G$2, DATE(Initialisatie!$C$5,1,1)) + 1)
    ) / (DATE(Initialisatie!$C$5,12,31) - DATE(Initialisatie!$C$5,1,1) + 1)
)</f>
        <v>3457.1753424657536</v>
      </c>
      <c r="J91">
        <f>IF(
    OR(
        AND(MAX(0, IF(MIN($D$1, DATE(Initialisatie!$C$5,12,31)) &lt; MAX($D$2, DATE(Initialisatie!$C$5,1,1)), 0, MONTH(MIN($D$1, DATE(Initialisatie!$C$5,12,31))) - MONTH(MAX($D$2, DATE(Initialisatie!$C$5,1,1))) + 1)) &lt;= 0, IFERROR(VALUE($D91),0)=0),
        AND(MAX(0, IF(MIN($E$1, DATE(Initialisatie!$C$5,12,31)) &lt; MAX($E$2, DATE(Initialisatie!$C$5,1,1)), 0, MONTH(MIN($E$1, DATE(Initialisatie!$C$5,12,31))) - MONTH(MAX($E$2, DATE(Initialisatie!$C$5,1,1))) + 1)) &lt;= 0, IFERROR(VALUE($E91),0)=0),
        AND(MAX(0, IF(MIN($F$1, DATE(Initialisatie!$C$5,12,31)) &lt; MAX($F$2, DATE(Initialisatie!$C$5,1,1)), 0, MONTH(MIN($F$1, DATE(Initialisatie!$C$5,12,31))) - MONTH(MAX($F$2, DATE(Initialisatie!$C$5,1,1))) + 1)) &lt;= 0, IFERROR(VALUE($F91),0)=0),
        AND(MAX(0, IF(MIN($G$1, DATE(Initialisatie!$C$5,12,31)) &lt; MAX($G$2, DATE(Initialisatie!$C$5,1,1)), 0, MONTH(MIN($G$1, DATE(Initialisatie!$C$5,12,31))) - MONTH(MAX($G$2, DATE(Initialisatie!$C$5,1,1))) + 1)) &lt;= 0, IFERROR(VALUE($G91),0)=0)
    ),
    0,
    SUM(
        IFERROR(VALUE($D91),0) * MAX(0, IF(MIN($D$1, DATE(Initialisatie!$C$5,12,31)) &lt; MAX($D$2, DATE(Initialisatie!$C$5,1,1)), 0, MONTH(MIN($D$1, DATE(Initialisatie!$C$5,12,31))) - MONTH(MAX($D$2, DATE(Initialisatie!$C$5,1,1))) + 1)),
        IFERROR(VALUE($E91),0) * MAX(0, IF(MIN($E$1, DATE(Initialisatie!$C$5,12,31)) &lt; MAX($E$2, DATE(Initialisatie!$C$5,1,1)), 0, MONTH(MIN($E$1, DATE(Initialisatie!$C$5,12,31))) - MONTH(MAX($E$2, DATE(Initialisatie!$C$5,1,1))) + 1)),
        IFERROR(VALUE($F91),0) * MAX(0, IF(MIN($F$1, DATE(Initialisatie!$C$5,12,31)) &lt; MAX($F$2, DATE(Initialisatie!$C$5,1,1)), 0, MONTH(MIN($F$1, DATE(Initialisatie!$C$5,12,31))) - MONTH(MAX($F$2, DATE(Initialisatie!$C$5,1,1))) + 1)),
        IFERROR(VALUE($G91),0) * MAX(0, IF(MIN($G$1, DATE(Initialisatie!$C$5,12,31)) &lt; MAX($G$2, DATE(Initialisatie!$C$5,1,1)), 0, MONTH(MIN($G$1, DATE(Initialisatie!$C$5,12,31))) - MONTH(MAX($G$2, DATE(Initialisatie!$C$5,1,1))) + 1))
    ) / 12
)</f>
        <v>3456.8333333333335</v>
      </c>
    </row>
    <row r="92" spans="1:10" x14ac:dyDescent="0.45">
      <c r="A92" s="999"/>
      <c r="B92" s="374">
        <v>9</v>
      </c>
      <c r="C92" s="373">
        <v>22</v>
      </c>
      <c r="D92" s="48">
        <v>3347</v>
      </c>
      <c r="E92" s="48">
        <v>3481</v>
      </c>
      <c r="F92" s="48">
        <v>3551</v>
      </c>
      <c r="G92" s="48">
        <v>3622</v>
      </c>
      <c r="I92">
        <f>IF(
    OR(
        AND(MAX(0, MIN($D$1, DATE(Initialisatie!$C$5,12,31)) - MAX($D$2, DATE(Initialisatie!$C$5,1,1)) + 1) &gt; 0, IFERROR(VALUE($D92),0)=0),
        AND(MAX(0, MIN($E$1, DATE(Initialisatie!$C$5,12,31)) - MAX($E$2, DATE(Initialisatie!$C$5,1,1)) + 1) &gt; 0, IFERROR(VALUE($E92),0)=0),
        AND(MAX(0, MIN($F$1, DATE(Initialisatie!$C$5,12,31)) - MAX($F$2, DATE(Initialisatie!$C$5,1,1)) + 1) &gt; 0, IFERROR(VALUE($F92),0)=0),
        AND(MAX(0, MIN($G$1, DATE(Initialisatie!$C$5,12,31)) - MAX($G$2, DATE(Initialisatie!$C$5,1,1)) + 1) &gt; 0, IFERROR(VALUE($G92),0)=0)
    ),
    0,
    SUM(
        IFERROR(VALUE($D92),0) * MAX(0, MIN($D$1, DATE(Initialisatie!$C$5,12,31)) - MAX($D$2, DATE(Initialisatie!$C$5,1,1)) + 1),
        IFERROR(VALUE($E92),0) * MAX(0, MIN($E$1, DATE(Initialisatie!$C$5,12,31)) - MAX($E$2, DATE(Initialisatie!$C$5,1,1)) + 1),
        IFERROR(VALUE($F92),0) * MAX(0, MIN($F$1, DATE(Initialisatie!$C$5,12,31)) - MAX($F$2, DATE(Initialisatie!$C$5,1,1)) + 1),
        IFERROR(VALUE($G92),0) * MAX(0, MIN($G$1, DATE(Initialisatie!$C$5,12,31)) - MAX($G$2, DATE(Initialisatie!$C$5,1,1)) + 1)
    ) / (DATE(Initialisatie!$C$5,12,31) - DATE(Initialisatie!$C$5,1,1) + 1)
)</f>
        <v>3539.8520547945204</v>
      </c>
      <c r="J92">
        <f>IF(
    OR(
        AND(MAX(0, IF(MIN($D$1, DATE(Initialisatie!$C$5,12,31)) &lt; MAX($D$2, DATE(Initialisatie!$C$5,1,1)), 0, MONTH(MIN($D$1, DATE(Initialisatie!$C$5,12,31))) - MONTH(MAX($D$2, DATE(Initialisatie!$C$5,1,1))) + 1)) &lt;= 0, IFERROR(VALUE($D92),0)=0),
        AND(MAX(0, IF(MIN($E$1, DATE(Initialisatie!$C$5,12,31)) &lt; MAX($E$2, DATE(Initialisatie!$C$5,1,1)), 0, MONTH(MIN($E$1, DATE(Initialisatie!$C$5,12,31))) - MONTH(MAX($E$2, DATE(Initialisatie!$C$5,1,1))) + 1)) &lt;= 0, IFERROR(VALUE($E92),0)=0),
        AND(MAX(0, IF(MIN($F$1, DATE(Initialisatie!$C$5,12,31)) &lt; MAX($F$2, DATE(Initialisatie!$C$5,1,1)), 0, MONTH(MIN($F$1, DATE(Initialisatie!$C$5,12,31))) - MONTH(MAX($F$2, DATE(Initialisatie!$C$5,1,1))) + 1)) &lt;= 0, IFERROR(VALUE($F92),0)=0),
        AND(MAX(0, IF(MIN($G$1, DATE(Initialisatie!$C$5,12,31)) &lt; MAX($G$2, DATE(Initialisatie!$C$5,1,1)), 0, MONTH(MIN($G$1, DATE(Initialisatie!$C$5,12,31))) - MONTH(MAX($G$2, DATE(Initialisatie!$C$5,1,1))) + 1)) &lt;= 0, IFERROR(VALUE($G92),0)=0)
    ),
    0,
    SUM(
        IFERROR(VALUE($D92),0) * MAX(0, IF(MIN($D$1, DATE(Initialisatie!$C$5,12,31)) &lt; MAX($D$2, DATE(Initialisatie!$C$5,1,1)), 0, MONTH(MIN($D$1, DATE(Initialisatie!$C$5,12,31))) - MONTH(MAX($D$2, DATE(Initialisatie!$C$5,1,1))) + 1)),
        IFERROR(VALUE($E92),0) * MAX(0, IF(MIN($E$1, DATE(Initialisatie!$C$5,12,31)) &lt; MAX($E$2, DATE(Initialisatie!$C$5,1,1)), 0, MONTH(MIN($E$1, DATE(Initialisatie!$C$5,12,31))) - MONTH(MAX($E$2, DATE(Initialisatie!$C$5,1,1))) + 1)),
        IFERROR(VALUE($F92),0) * MAX(0, IF(MIN($F$1, DATE(Initialisatie!$C$5,12,31)) &lt; MAX($F$2, DATE(Initialisatie!$C$5,1,1)), 0, MONTH(MIN($F$1, DATE(Initialisatie!$C$5,12,31))) - MONTH(MAX($F$2, DATE(Initialisatie!$C$5,1,1))) + 1)),
        IFERROR(VALUE($G92),0) * MAX(0, IF(MIN($G$1, DATE(Initialisatie!$C$5,12,31)) &lt; MAX($G$2, DATE(Initialisatie!$C$5,1,1)), 0, MONTH(MIN($G$1, DATE(Initialisatie!$C$5,12,31))) - MONTH(MAX($G$2, DATE(Initialisatie!$C$5,1,1))) + 1))
    ) / 12
)</f>
        <v>3539.5</v>
      </c>
    </row>
    <row r="93" spans="1:10" x14ac:dyDescent="0.45">
      <c r="A93" s="999"/>
      <c r="B93" s="43">
        <v>10</v>
      </c>
      <c r="C93" s="373">
        <v>23</v>
      </c>
      <c r="D93" s="48">
        <v>3427</v>
      </c>
      <c r="E93" s="48">
        <v>3564</v>
      </c>
      <c r="F93" s="48">
        <v>3635</v>
      </c>
      <c r="G93" s="48">
        <v>3708</v>
      </c>
      <c r="I93">
        <f>IF(
    OR(
        AND(MAX(0, MIN($D$1, DATE(Initialisatie!$C$5,12,31)) - MAX($D$2, DATE(Initialisatie!$C$5,1,1)) + 1) &gt; 0, IFERROR(VALUE($D93),0)=0),
        AND(MAX(0, MIN($E$1, DATE(Initialisatie!$C$5,12,31)) - MAX($E$2, DATE(Initialisatie!$C$5,1,1)) + 1) &gt; 0, IFERROR(VALUE($E93),0)=0),
        AND(MAX(0, MIN($F$1, DATE(Initialisatie!$C$5,12,31)) - MAX($F$2, DATE(Initialisatie!$C$5,1,1)) + 1) &gt; 0, IFERROR(VALUE($F93),0)=0),
        AND(MAX(0, MIN($G$1, DATE(Initialisatie!$C$5,12,31)) - MAX($G$2, DATE(Initialisatie!$C$5,1,1)) + 1) &gt; 0, IFERROR(VALUE($G93),0)=0)
    ),
    0,
    SUM(
        IFERROR(VALUE($D93),0) * MAX(0, MIN($D$1, DATE(Initialisatie!$C$5,12,31)) - MAX($D$2, DATE(Initialisatie!$C$5,1,1)) + 1),
        IFERROR(VALUE($E93),0) * MAX(0, MIN($E$1, DATE(Initialisatie!$C$5,12,31)) - MAX($E$2, DATE(Initialisatie!$C$5,1,1)) + 1),
        IFERROR(VALUE($F93),0) * MAX(0, MIN($F$1, DATE(Initialisatie!$C$5,12,31)) - MAX($F$2, DATE(Initialisatie!$C$5,1,1)) + 1),
        IFERROR(VALUE($G93),0) * MAX(0, MIN($G$1, DATE(Initialisatie!$C$5,12,31)) - MAX($G$2, DATE(Initialisatie!$C$5,1,1)) + 1)
    ) / (DATE(Initialisatie!$C$5,12,31) - DATE(Initialisatie!$C$5,1,1) + 1)
)</f>
        <v>3623.8575342465751</v>
      </c>
      <c r="J93">
        <f>IF(
    OR(
        AND(MAX(0, IF(MIN($D$1, DATE(Initialisatie!$C$5,12,31)) &lt; MAX($D$2, DATE(Initialisatie!$C$5,1,1)), 0, MONTH(MIN($D$1, DATE(Initialisatie!$C$5,12,31))) - MONTH(MAX($D$2, DATE(Initialisatie!$C$5,1,1))) + 1)) &lt;= 0, IFERROR(VALUE($D93),0)=0),
        AND(MAX(0, IF(MIN($E$1, DATE(Initialisatie!$C$5,12,31)) &lt; MAX($E$2, DATE(Initialisatie!$C$5,1,1)), 0, MONTH(MIN($E$1, DATE(Initialisatie!$C$5,12,31))) - MONTH(MAX($E$2, DATE(Initialisatie!$C$5,1,1))) + 1)) &lt;= 0, IFERROR(VALUE($E93),0)=0),
        AND(MAX(0, IF(MIN($F$1, DATE(Initialisatie!$C$5,12,31)) &lt; MAX($F$2, DATE(Initialisatie!$C$5,1,1)), 0, MONTH(MIN($F$1, DATE(Initialisatie!$C$5,12,31))) - MONTH(MAX($F$2, DATE(Initialisatie!$C$5,1,1))) + 1)) &lt;= 0, IFERROR(VALUE($F93),0)=0),
        AND(MAX(0, IF(MIN($G$1, DATE(Initialisatie!$C$5,12,31)) &lt; MAX($G$2, DATE(Initialisatie!$C$5,1,1)), 0, MONTH(MIN($G$1, DATE(Initialisatie!$C$5,12,31))) - MONTH(MAX($G$2, DATE(Initialisatie!$C$5,1,1))) + 1)) &lt;= 0, IFERROR(VALUE($G93),0)=0)
    ),
    0,
    SUM(
        IFERROR(VALUE($D93),0) * MAX(0, IF(MIN($D$1, DATE(Initialisatie!$C$5,12,31)) &lt; MAX($D$2, DATE(Initialisatie!$C$5,1,1)), 0, MONTH(MIN($D$1, DATE(Initialisatie!$C$5,12,31))) - MONTH(MAX($D$2, DATE(Initialisatie!$C$5,1,1))) + 1)),
        IFERROR(VALUE($E93),0) * MAX(0, IF(MIN($E$1, DATE(Initialisatie!$C$5,12,31)) &lt; MAX($E$2, DATE(Initialisatie!$C$5,1,1)), 0, MONTH(MIN($E$1, DATE(Initialisatie!$C$5,12,31))) - MONTH(MAX($E$2, DATE(Initialisatie!$C$5,1,1))) + 1)),
        IFERROR(VALUE($F93),0) * MAX(0, IF(MIN($F$1, DATE(Initialisatie!$C$5,12,31)) &lt; MAX($F$2, DATE(Initialisatie!$C$5,1,1)), 0, MONTH(MIN($F$1, DATE(Initialisatie!$C$5,12,31))) - MONTH(MAX($F$2, DATE(Initialisatie!$C$5,1,1))) + 1)),
        IFERROR(VALUE($G93),0) * MAX(0, IF(MIN($G$1, DATE(Initialisatie!$C$5,12,31)) &lt; MAX($G$2, DATE(Initialisatie!$C$5,1,1)), 0, MONTH(MIN($G$1, DATE(Initialisatie!$C$5,12,31))) - MONTH(MAX($G$2, DATE(Initialisatie!$C$5,1,1))) + 1))
    ) / 12
)</f>
        <v>3623.5</v>
      </c>
    </row>
    <row r="94" spans="1:10" x14ac:dyDescent="0.45">
      <c r="A94" s="999"/>
      <c r="B94" s="374">
        <v>11</v>
      </c>
      <c r="C94" s="373">
        <v>24</v>
      </c>
      <c r="D94" s="48">
        <v>3505</v>
      </c>
      <c r="E94" s="48">
        <v>3645</v>
      </c>
      <c r="F94" s="48">
        <v>3718</v>
      </c>
      <c r="G94" s="48">
        <v>3792</v>
      </c>
      <c r="I94">
        <f>IF(
    OR(
        AND(MAX(0, MIN($D$1, DATE(Initialisatie!$C$5,12,31)) - MAX($D$2, DATE(Initialisatie!$C$5,1,1)) + 1) &gt; 0, IFERROR(VALUE($D94),0)=0),
        AND(MAX(0, MIN($E$1, DATE(Initialisatie!$C$5,12,31)) - MAX($E$2, DATE(Initialisatie!$C$5,1,1)) + 1) &gt; 0, IFERROR(VALUE($E94),0)=0),
        AND(MAX(0, MIN($F$1, DATE(Initialisatie!$C$5,12,31)) - MAX($F$2, DATE(Initialisatie!$C$5,1,1)) + 1) &gt; 0, IFERROR(VALUE($F94),0)=0),
        AND(MAX(0, MIN($G$1, DATE(Initialisatie!$C$5,12,31)) - MAX($G$2, DATE(Initialisatie!$C$5,1,1)) + 1) &gt; 0, IFERROR(VALUE($G94),0)=0)
    ),
    0,
    SUM(
        IFERROR(VALUE($D94),0) * MAX(0, MIN($D$1, DATE(Initialisatie!$C$5,12,31)) - MAX($D$2, DATE(Initialisatie!$C$5,1,1)) + 1),
        IFERROR(VALUE($E94),0) * MAX(0, MIN($E$1, DATE(Initialisatie!$C$5,12,31)) - MAX($E$2, DATE(Initialisatie!$C$5,1,1)) + 1),
        IFERROR(VALUE($F94),0) * MAX(0, MIN($F$1, DATE(Initialisatie!$C$5,12,31)) - MAX($F$2, DATE(Initialisatie!$C$5,1,1)) + 1),
        IFERROR(VALUE($G94),0) * MAX(0, MIN($G$1, DATE(Initialisatie!$C$5,12,31)) - MAX($G$2, DATE(Initialisatie!$C$5,1,1)) + 1)
    ) / (DATE(Initialisatie!$C$5,12,31) - DATE(Initialisatie!$C$5,1,1) + 1)
)</f>
        <v>3706.3671232876713</v>
      </c>
      <c r="J94">
        <f>IF(
    OR(
        AND(MAX(0, IF(MIN($D$1, DATE(Initialisatie!$C$5,12,31)) &lt; MAX($D$2, DATE(Initialisatie!$C$5,1,1)), 0, MONTH(MIN($D$1, DATE(Initialisatie!$C$5,12,31))) - MONTH(MAX($D$2, DATE(Initialisatie!$C$5,1,1))) + 1)) &lt;= 0, IFERROR(VALUE($D94),0)=0),
        AND(MAX(0, IF(MIN($E$1, DATE(Initialisatie!$C$5,12,31)) &lt; MAX($E$2, DATE(Initialisatie!$C$5,1,1)), 0, MONTH(MIN($E$1, DATE(Initialisatie!$C$5,12,31))) - MONTH(MAX($E$2, DATE(Initialisatie!$C$5,1,1))) + 1)) &lt;= 0, IFERROR(VALUE($E94),0)=0),
        AND(MAX(0, IF(MIN($F$1, DATE(Initialisatie!$C$5,12,31)) &lt; MAX($F$2, DATE(Initialisatie!$C$5,1,1)), 0, MONTH(MIN($F$1, DATE(Initialisatie!$C$5,12,31))) - MONTH(MAX($F$2, DATE(Initialisatie!$C$5,1,1))) + 1)) &lt;= 0, IFERROR(VALUE($F94),0)=0),
        AND(MAX(0, IF(MIN($G$1, DATE(Initialisatie!$C$5,12,31)) &lt; MAX($G$2, DATE(Initialisatie!$C$5,1,1)), 0, MONTH(MIN($G$1, DATE(Initialisatie!$C$5,12,31))) - MONTH(MAX($G$2, DATE(Initialisatie!$C$5,1,1))) + 1)) &lt;= 0, IFERROR(VALUE($G94),0)=0)
    ),
    0,
    SUM(
        IFERROR(VALUE($D94),0) * MAX(0, IF(MIN($D$1, DATE(Initialisatie!$C$5,12,31)) &lt; MAX($D$2, DATE(Initialisatie!$C$5,1,1)), 0, MONTH(MIN($D$1, DATE(Initialisatie!$C$5,12,31))) - MONTH(MAX($D$2, DATE(Initialisatie!$C$5,1,1))) + 1)),
        IFERROR(VALUE($E94),0) * MAX(0, IF(MIN($E$1, DATE(Initialisatie!$C$5,12,31)) &lt; MAX($E$2, DATE(Initialisatie!$C$5,1,1)), 0, MONTH(MIN($E$1, DATE(Initialisatie!$C$5,12,31))) - MONTH(MAX($E$2, DATE(Initialisatie!$C$5,1,1))) + 1)),
        IFERROR(VALUE($F94),0) * MAX(0, IF(MIN($F$1, DATE(Initialisatie!$C$5,12,31)) &lt; MAX($F$2, DATE(Initialisatie!$C$5,1,1)), 0, MONTH(MIN($F$1, DATE(Initialisatie!$C$5,12,31))) - MONTH(MAX($F$2, DATE(Initialisatie!$C$5,1,1))) + 1)),
        IFERROR(VALUE($G94),0) * MAX(0, IF(MIN($G$1, DATE(Initialisatie!$C$5,12,31)) &lt; MAX($G$2, DATE(Initialisatie!$C$5,1,1)), 0, MONTH(MIN($G$1, DATE(Initialisatie!$C$5,12,31))) - MONTH(MAX($G$2, DATE(Initialisatie!$C$5,1,1))) + 1))
    ) / 12
)</f>
        <v>3706</v>
      </c>
    </row>
    <row r="95" spans="1:10" x14ac:dyDescent="0.45">
      <c r="A95" s="999"/>
      <c r="B95" s="374">
        <v>12</v>
      </c>
      <c r="C95" s="373">
        <v>25</v>
      </c>
      <c r="D95" s="48">
        <v>3593</v>
      </c>
      <c r="E95" s="48">
        <v>3737</v>
      </c>
      <c r="F95" s="48">
        <v>3812</v>
      </c>
      <c r="G95" s="48">
        <v>3888</v>
      </c>
      <c r="I95">
        <f>IF(
    OR(
        AND(MAX(0, MIN($D$1, DATE(Initialisatie!$C$5,12,31)) - MAX($D$2, DATE(Initialisatie!$C$5,1,1)) + 1) &gt; 0, IFERROR(VALUE($D95),0)=0),
        AND(MAX(0, MIN($E$1, DATE(Initialisatie!$C$5,12,31)) - MAX($E$2, DATE(Initialisatie!$C$5,1,1)) + 1) &gt; 0, IFERROR(VALUE($E95),0)=0),
        AND(MAX(0, MIN($F$1, DATE(Initialisatie!$C$5,12,31)) - MAX($F$2, DATE(Initialisatie!$C$5,1,1)) + 1) &gt; 0, IFERROR(VALUE($F95),0)=0),
        AND(MAX(0, MIN($G$1, DATE(Initialisatie!$C$5,12,31)) - MAX($G$2, DATE(Initialisatie!$C$5,1,1)) + 1) &gt; 0, IFERROR(VALUE($G95),0)=0)
    ),
    0,
    SUM(
        IFERROR(VALUE($D95),0) * MAX(0, MIN($D$1, DATE(Initialisatie!$C$5,12,31)) - MAX($D$2, DATE(Initialisatie!$C$5,1,1)) + 1),
        IFERROR(VALUE($E95),0) * MAX(0, MIN($E$1, DATE(Initialisatie!$C$5,12,31)) - MAX($E$2, DATE(Initialisatie!$C$5,1,1)) + 1),
        IFERROR(VALUE($F95),0) * MAX(0, MIN($F$1, DATE(Initialisatie!$C$5,12,31)) - MAX($F$2, DATE(Initialisatie!$C$5,1,1)) + 1),
        IFERROR(VALUE($G95),0) * MAX(0, MIN($G$1, DATE(Initialisatie!$C$5,12,31)) - MAX($G$2, DATE(Initialisatie!$C$5,1,1)) + 1)
    ) / (DATE(Initialisatie!$C$5,12,31) - DATE(Initialisatie!$C$5,1,1) + 1)
)</f>
        <v>3800.0438356164382</v>
      </c>
      <c r="J95">
        <f>IF(
    OR(
        AND(MAX(0, IF(MIN($D$1, DATE(Initialisatie!$C$5,12,31)) &lt; MAX($D$2, DATE(Initialisatie!$C$5,1,1)), 0, MONTH(MIN($D$1, DATE(Initialisatie!$C$5,12,31))) - MONTH(MAX($D$2, DATE(Initialisatie!$C$5,1,1))) + 1)) &lt;= 0, IFERROR(VALUE($D95),0)=0),
        AND(MAX(0, IF(MIN($E$1, DATE(Initialisatie!$C$5,12,31)) &lt; MAX($E$2, DATE(Initialisatie!$C$5,1,1)), 0, MONTH(MIN($E$1, DATE(Initialisatie!$C$5,12,31))) - MONTH(MAX($E$2, DATE(Initialisatie!$C$5,1,1))) + 1)) &lt;= 0, IFERROR(VALUE($E95),0)=0),
        AND(MAX(0, IF(MIN($F$1, DATE(Initialisatie!$C$5,12,31)) &lt; MAX($F$2, DATE(Initialisatie!$C$5,1,1)), 0, MONTH(MIN($F$1, DATE(Initialisatie!$C$5,12,31))) - MONTH(MAX($F$2, DATE(Initialisatie!$C$5,1,1))) + 1)) &lt;= 0, IFERROR(VALUE($F95),0)=0),
        AND(MAX(0, IF(MIN($G$1, DATE(Initialisatie!$C$5,12,31)) &lt; MAX($G$2, DATE(Initialisatie!$C$5,1,1)), 0, MONTH(MIN($G$1, DATE(Initialisatie!$C$5,12,31))) - MONTH(MAX($G$2, DATE(Initialisatie!$C$5,1,1))) + 1)) &lt;= 0, IFERROR(VALUE($G95),0)=0)
    ),
    0,
    SUM(
        IFERROR(VALUE($D95),0) * MAX(0, IF(MIN($D$1, DATE(Initialisatie!$C$5,12,31)) &lt; MAX($D$2, DATE(Initialisatie!$C$5,1,1)), 0, MONTH(MIN($D$1, DATE(Initialisatie!$C$5,12,31))) - MONTH(MAX($D$2, DATE(Initialisatie!$C$5,1,1))) + 1)),
        IFERROR(VALUE($E95),0) * MAX(0, IF(MIN($E$1, DATE(Initialisatie!$C$5,12,31)) &lt; MAX($E$2, DATE(Initialisatie!$C$5,1,1)), 0, MONTH(MIN($E$1, DATE(Initialisatie!$C$5,12,31))) - MONTH(MAX($E$2, DATE(Initialisatie!$C$5,1,1))) + 1)),
        IFERROR(VALUE($F95),0) * MAX(0, IF(MIN($F$1, DATE(Initialisatie!$C$5,12,31)) &lt; MAX($F$2, DATE(Initialisatie!$C$5,1,1)), 0, MONTH(MIN($F$1, DATE(Initialisatie!$C$5,12,31))) - MONTH(MAX($F$2, DATE(Initialisatie!$C$5,1,1))) + 1)),
        IFERROR(VALUE($G95),0) * MAX(0, IF(MIN($G$1, DATE(Initialisatie!$C$5,12,31)) &lt; MAX($G$2, DATE(Initialisatie!$C$5,1,1)), 0, MONTH(MIN($G$1, DATE(Initialisatie!$C$5,12,31))) - MONTH(MAX($G$2, DATE(Initialisatie!$C$5,1,1))) + 1))
    ) / 12
)</f>
        <v>3799.6666666666665</v>
      </c>
    </row>
    <row r="96" spans="1:10" x14ac:dyDescent="0.45">
      <c r="A96" s="1001"/>
      <c r="B96" s="43">
        <v>13</v>
      </c>
      <c r="C96" s="373">
        <v>26</v>
      </c>
      <c r="D96" s="48">
        <v>3678</v>
      </c>
      <c r="E96" s="48">
        <v>3825</v>
      </c>
      <c r="F96" s="48">
        <v>3902</v>
      </c>
      <c r="G96" s="48">
        <v>3980</v>
      </c>
      <c r="I96">
        <f>IF(
    OR(
        AND(MAX(0, MIN($D$1, DATE(Initialisatie!$C$5,12,31)) - MAX($D$2, DATE(Initialisatie!$C$5,1,1)) + 1) &gt; 0, IFERROR(VALUE($D96),0)=0),
        AND(MAX(0, MIN($E$1, DATE(Initialisatie!$C$5,12,31)) - MAX($E$2, DATE(Initialisatie!$C$5,1,1)) + 1) &gt; 0, IFERROR(VALUE($E96),0)=0),
        AND(MAX(0, MIN($F$1, DATE(Initialisatie!$C$5,12,31)) - MAX($F$2, DATE(Initialisatie!$C$5,1,1)) + 1) &gt; 0, IFERROR(VALUE($F96),0)=0),
        AND(MAX(0, MIN($G$1, DATE(Initialisatie!$C$5,12,31)) - MAX($G$2, DATE(Initialisatie!$C$5,1,1)) + 1) &gt; 0, IFERROR(VALUE($G96),0)=0)
    ),
    0,
    SUM(
        IFERROR(VALUE($D96),0) * MAX(0, MIN($D$1, DATE(Initialisatie!$C$5,12,31)) - MAX($D$2, DATE(Initialisatie!$C$5,1,1)) + 1),
        IFERROR(VALUE($E96),0) * MAX(0, MIN($E$1, DATE(Initialisatie!$C$5,12,31)) - MAX($E$2, DATE(Initialisatie!$C$5,1,1)) + 1),
        IFERROR(VALUE($F96),0) * MAX(0, MIN($F$1, DATE(Initialisatie!$C$5,12,31)) - MAX($F$2, DATE(Initialisatie!$C$5,1,1)) + 1),
        IFERROR(VALUE($G96),0) * MAX(0, MIN($G$1, DATE(Initialisatie!$C$5,12,31)) - MAX($G$2, DATE(Initialisatie!$C$5,1,1)) + 1)
    ) / (DATE(Initialisatie!$C$5,12,31) - DATE(Initialisatie!$C$5,1,1) + 1)
)</f>
        <v>3889.7205479452055</v>
      </c>
      <c r="J96">
        <f>IF(
    OR(
        AND(MAX(0, IF(MIN($D$1, DATE(Initialisatie!$C$5,12,31)) &lt; MAX($D$2, DATE(Initialisatie!$C$5,1,1)), 0, MONTH(MIN($D$1, DATE(Initialisatie!$C$5,12,31))) - MONTH(MAX($D$2, DATE(Initialisatie!$C$5,1,1))) + 1)) &lt;= 0, IFERROR(VALUE($D96),0)=0),
        AND(MAX(0, IF(MIN($E$1, DATE(Initialisatie!$C$5,12,31)) &lt; MAX($E$2, DATE(Initialisatie!$C$5,1,1)), 0, MONTH(MIN($E$1, DATE(Initialisatie!$C$5,12,31))) - MONTH(MAX($E$2, DATE(Initialisatie!$C$5,1,1))) + 1)) &lt;= 0, IFERROR(VALUE($E96),0)=0),
        AND(MAX(0, IF(MIN($F$1, DATE(Initialisatie!$C$5,12,31)) &lt; MAX($F$2, DATE(Initialisatie!$C$5,1,1)), 0, MONTH(MIN($F$1, DATE(Initialisatie!$C$5,12,31))) - MONTH(MAX($F$2, DATE(Initialisatie!$C$5,1,1))) + 1)) &lt;= 0, IFERROR(VALUE($F96),0)=0),
        AND(MAX(0, IF(MIN($G$1, DATE(Initialisatie!$C$5,12,31)) &lt; MAX($G$2, DATE(Initialisatie!$C$5,1,1)), 0, MONTH(MIN($G$1, DATE(Initialisatie!$C$5,12,31))) - MONTH(MAX($G$2, DATE(Initialisatie!$C$5,1,1))) + 1)) &lt;= 0, IFERROR(VALUE($G96),0)=0)
    ),
    0,
    SUM(
        IFERROR(VALUE($D96),0) * MAX(0, IF(MIN($D$1, DATE(Initialisatie!$C$5,12,31)) &lt; MAX($D$2, DATE(Initialisatie!$C$5,1,1)), 0, MONTH(MIN($D$1, DATE(Initialisatie!$C$5,12,31))) - MONTH(MAX($D$2, DATE(Initialisatie!$C$5,1,1))) + 1)),
        IFERROR(VALUE($E96),0) * MAX(0, IF(MIN($E$1, DATE(Initialisatie!$C$5,12,31)) &lt; MAX($E$2, DATE(Initialisatie!$C$5,1,1)), 0, MONTH(MIN($E$1, DATE(Initialisatie!$C$5,12,31))) - MONTH(MAX($E$2, DATE(Initialisatie!$C$5,1,1))) + 1)),
        IFERROR(VALUE($F96),0) * MAX(0, IF(MIN($F$1, DATE(Initialisatie!$C$5,12,31)) &lt; MAX($F$2, DATE(Initialisatie!$C$5,1,1)), 0, MONTH(MIN($F$1, DATE(Initialisatie!$C$5,12,31))) - MONTH(MAX($F$2, DATE(Initialisatie!$C$5,1,1))) + 1)),
        IFERROR(VALUE($G96),0) * MAX(0, IF(MIN($G$1, DATE(Initialisatie!$C$5,12,31)) &lt; MAX($G$2, DATE(Initialisatie!$C$5,1,1)), 0, MONTH(MIN($G$1, DATE(Initialisatie!$C$5,12,31))) - MONTH(MAX($G$2, DATE(Initialisatie!$C$5,1,1))) + 1))
    ) / 12
)</f>
        <v>3889.3333333333335</v>
      </c>
    </row>
    <row r="97" spans="1:10" x14ac:dyDescent="0.45">
      <c r="A97" s="1000">
        <v>45</v>
      </c>
      <c r="B97" s="43">
        <v>2</v>
      </c>
      <c r="C97" s="373">
        <v>16</v>
      </c>
      <c r="D97" s="48">
        <v>2877</v>
      </c>
      <c r="E97" s="48">
        <v>2992</v>
      </c>
      <c r="F97" s="48">
        <v>3052</v>
      </c>
      <c r="G97" s="48">
        <v>3113</v>
      </c>
      <c r="I97">
        <f>IF(
    OR(
        AND(MAX(0, MIN($D$1, DATE(Initialisatie!$C$5,12,31)) - MAX($D$2, DATE(Initialisatie!$C$5,1,1)) + 1) &gt; 0, IFERROR(VALUE($D97),0)=0),
        AND(MAX(0, MIN($E$1, DATE(Initialisatie!$C$5,12,31)) - MAX($E$2, DATE(Initialisatie!$C$5,1,1)) + 1) &gt; 0, IFERROR(VALUE($E97),0)=0),
        AND(MAX(0, MIN($F$1, DATE(Initialisatie!$C$5,12,31)) - MAX($F$2, DATE(Initialisatie!$C$5,1,1)) + 1) &gt; 0, IFERROR(VALUE($F97),0)=0),
        AND(MAX(0, MIN($G$1, DATE(Initialisatie!$C$5,12,31)) - MAX($G$2, DATE(Initialisatie!$C$5,1,1)) + 1) &gt; 0, IFERROR(VALUE($G97),0)=0)
    ),
    0,
    SUM(
        IFERROR(VALUE($D97),0) * MAX(0, MIN($D$1, DATE(Initialisatie!$C$5,12,31)) - MAX($D$2, DATE(Initialisatie!$C$5,1,1)) + 1),
        IFERROR(VALUE($E97),0) * MAX(0, MIN($E$1, DATE(Initialisatie!$C$5,12,31)) - MAX($E$2, DATE(Initialisatie!$C$5,1,1)) + 1),
        IFERROR(VALUE($F97),0) * MAX(0, MIN($F$1, DATE(Initialisatie!$C$5,12,31)) - MAX($F$2, DATE(Initialisatie!$C$5,1,1)) + 1),
        IFERROR(VALUE($G97),0) * MAX(0, MIN($G$1, DATE(Initialisatie!$C$5,12,31)) - MAX($G$2, DATE(Initialisatie!$C$5,1,1)) + 1)
    ) / (DATE(Initialisatie!$C$5,12,31) - DATE(Initialisatie!$C$5,1,1) + 1)
)</f>
        <v>3042.4684931506849</v>
      </c>
      <c r="J97">
        <f>IF(
    OR(
        AND(MAX(0, IF(MIN($D$1, DATE(Initialisatie!$C$5,12,31)) &lt; MAX($D$2, DATE(Initialisatie!$C$5,1,1)), 0, MONTH(MIN($D$1, DATE(Initialisatie!$C$5,12,31))) - MONTH(MAX($D$2, DATE(Initialisatie!$C$5,1,1))) + 1)) &lt;= 0, IFERROR(VALUE($D97),0)=0),
        AND(MAX(0, IF(MIN($E$1, DATE(Initialisatie!$C$5,12,31)) &lt; MAX($E$2, DATE(Initialisatie!$C$5,1,1)), 0, MONTH(MIN($E$1, DATE(Initialisatie!$C$5,12,31))) - MONTH(MAX($E$2, DATE(Initialisatie!$C$5,1,1))) + 1)) &lt;= 0, IFERROR(VALUE($E97),0)=0),
        AND(MAX(0, IF(MIN($F$1, DATE(Initialisatie!$C$5,12,31)) &lt; MAX($F$2, DATE(Initialisatie!$C$5,1,1)), 0, MONTH(MIN($F$1, DATE(Initialisatie!$C$5,12,31))) - MONTH(MAX($F$2, DATE(Initialisatie!$C$5,1,1))) + 1)) &lt;= 0, IFERROR(VALUE($F97),0)=0),
        AND(MAX(0, IF(MIN($G$1, DATE(Initialisatie!$C$5,12,31)) &lt; MAX($G$2, DATE(Initialisatie!$C$5,1,1)), 0, MONTH(MIN($G$1, DATE(Initialisatie!$C$5,12,31))) - MONTH(MAX($G$2, DATE(Initialisatie!$C$5,1,1))) + 1)) &lt;= 0, IFERROR(VALUE($G97),0)=0)
    ),
    0,
    SUM(
        IFERROR(VALUE($D97),0) * MAX(0, IF(MIN($D$1, DATE(Initialisatie!$C$5,12,31)) &lt; MAX($D$2, DATE(Initialisatie!$C$5,1,1)), 0, MONTH(MIN($D$1, DATE(Initialisatie!$C$5,12,31))) - MONTH(MAX($D$2, DATE(Initialisatie!$C$5,1,1))) + 1)),
        IFERROR(VALUE($E97),0) * MAX(0, IF(MIN($E$1, DATE(Initialisatie!$C$5,12,31)) &lt; MAX($E$2, DATE(Initialisatie!$C$5,1,1)), 0, MONTH(MIN($E$1, DATE(Initialisatie!$C$5,12,31))) - MONTH(MAX($E$2, DATE(Initialisatie!$C$5,1,1))) + 1)),
        IFERROR(VALUE($F97),0) * MAX(0, IF(MIN($F$1, DATE(Initialisatie!$C$5,12,31)) &lt; MAX($F$2, DATE(Initialisatie!$C$5,1,1)), 0, MONTH(MIN($F$1, DATE(Initialisatie!$C$5,12,31))) - MONTH(MAX($F$2, DATE(Initialisatie!$C$5,1,1))) + 1)),
        IFERROR(VALUE($G97),0) * MAX(0, IF(MIN($G$1, DATE(Initialisatie!$C$5,12,31)) &lt; MAX($G$2, DATE(Initialisatie!$C$5,1,1)), 0, MONTH(MIN($G$1, DATE(Initialisatie!$C$5,12,31))) - MONTH(MAX($G$2, DATE(Initialisatie!$C$5,1,1))) + 1))
    ) / 12
)</f>
        <v>3042.1666666666665</v>
      </c>
    </row>
    <row r="98" spans="1:10" x14ac:dyDescent="0.45">
      <c r="A98" s="999"/>
      <c r="B98" s="43">
        <v>3</v>
      </c>
      <c r="C98" s="373">
        <v>18</v>
      </c>
      <c r="D98" s="48">
        <v>3028</v>
      </c>
      <c r="E98" s="48">
        <v>3149</v>
      </c>
      <c r="F98" s="48">
        <v>3212</v>
      </c>
      <c r="G98" s="48">
        <v>3276</v>
      </c>
      <c r="I98">
        <f>IF(
    OR(
        AND(MAX(0, MIN($D$1, DATE(Initialisatie!$C$5,12,31)) - MAX($D$2, DATE(Initialisatie!$C$5,1,1)) + 1) &gt; 0, IFERROR(VALUE($D98),0)=0),
        AND(MAX(0, MIN($E$1, DATE(Initialisatie!$C$5,12,31)) - MAX($E$2, DATE(Initialisatie!$C$5,1,1)) + 1) &gt; 0, IFERROR(VALUE($E98),0)=0),
        AND(MAX(0, MIN($F$1, DATE(Initialisatie!$C$5,12,31)) - MAX($F$2, DATE(Initialisatie!$C$5,1,1)) + 1) &gt; 0, IFERROR(VALUE($F98),0)=0),
        AND(MAX(0, MIN($G$1, DATE(Initialisatie!$C$5,12,31)) - MAX($G$2, DATE(Initialisatie!$C$5,1,1)) + 1) &gt; 0, IFERROR(VALUE($G98),0)=0)
    ),
    0,
    SUM(
        IFERROR(VALUE($D98),0) * MAX(0, MIN($D$1, DATE(Initialisatie!$C$5,12,31)) - MAX($D$2, DATE(Initialisatie!$C$5,1,1)) + 1),
        IFERROR(VALUE($E98),0) * MAX(0, MIN($E$1, DATE(Initialisatie!$C$5,12,31)) - MAX($E$2, DATE(Initialisatie!$C$5,1,1)) + 1),
        IFERROR(VALUE($F98),0) * MAX(0, MIN($F$1, DATE(Initialisatie!$C$5,12,31)) - MAX($F$2, DATE(Initialisatie!$C$5,1,1)) + 1),
        IFERROR(VALUE($G98),0) * MAX(0, MIN($G$1, DATE(Initialisatie!$C$5,12,31)) - MAX($G$2, DATE(Initialisatie!$C$5,1,1)) + 1)
    ) / (DATE(Initialisatie!$C$5,12,31) - DATE(Initialisatie!$C$5,1,1) + 1)
)</f>
        <v>3201.9835616438354</v>
      </c>
      <c r="J98">
        <f>IF(
    OR(
        AND(MAX(0, IF(MIN($D$1, DATE(Initialisatie!$C$5,12,31)) &lt; MAX($D$2, DATE(Initialisatie!$C$5,1,1)), 0, MONTH(MIN($D$1, DATE(Initialisatie!$C$5,12,31))) - MONTH(MAX($D$2, DATE(Initialisatie!$C$5,1,1))) + 1)) &lt;= 0, IFERROR(VALUE($D98),0)=0),
        AND(MAX(0, IF(MIN($E$1, DATE(Initialisatie!$C$5,12,31)) &lt; MAX($E$2, DATE(Initialisatie!$C$5,1,1)), 0, MONTH(MIN($E$1, DATE(Initialisatie!$C$5,12,31))) - MONTH(MAX($E$2, DATE(Initialisatie!$C$5,1,1))) + 1)) &lt;= 0, IFERROR(VALUE($E98),0)=0),
        AND(MAX(0, IF(MIN($F$1, DATE(Initialisatie!$C$5,12,31)) &lt; MAX($F$2, DATE(Initialisatie!$C$5,1,1)), 0, MONTH(MIN($F$1, DATE(Initialisatie!$C$5,12,31))) - MONTH(MAX($F$2, DATE(Initialisatie!$C$5,1,1))) + 1)) &lt;= 0, IFERROR(VALUE($F98),0)=0),
        AND(MAX(0, IF(MIN($G$1, DATE(Initialisatie!$C$5,12,31)) &lt; MAX($G$2, DATE(Initialisatie!$C$5,1,1)), 0, MONTH(MIN($G$1, DATE(Initialisatie!$C$5,12,31))) - MONTH(MAX($G$2, DATE(Initialisatie!$C$5,1,1))) + 1)) &lt;= 0, IFERROR(VALUE($G98),0)=0)
    ),
    0,
    SUM(
        IFERROR(VALUE($D98),0) * MAX(0, IF(MIN($D$1, DATE(Initialisatie!$C$5,12,31)) &lt; MAX($D$2, DATE(Initialisatie!$C$5,1,1)), 0, MONTH(MIN($D$1, DATE(Initialisatie!$C$5,12,31))) - MONTH(MAX($D$2, DATE(Initialisatie!$C$5,1,1))) + 1)),
        IFERROR(VALUE($E98),0) * MAX(0, IF(MIN($E$1, DATE(Initialisatie!$C$5,12,31)) &lt; MAX($E$2, DATE(Initialisatie!$C$5,1,1)), 0, MONTH(MIN($E$1, DATE(Initialisatie!$C$5,12,31))) - MONTH(MAX($E$2, DATE(Initialisatie!$C$5,1,1))) + 1)),
        IFERROR(VALUE($F98),0) * MAX(0, IF(MIN($F$1, DATE(Initialisatie!$C$5,12,31)) &lt; MAX($F$2, DATE(Initialisatie!$C$5,1,1)), 0, MONTH(MIN($F$1, DATE(Initialisatie!$C$5,12,31))) - MONTH(MAX($F$2, DATE(Initialisatie!$C$5,1,1))) + 1)),
        IFERROR(VALUE($G98),0) * MAX(0, IF(MIN($G$1, DATE(Initialisatie!$C$5,12,31)) &lt; MAX($G$2, DATE(Initialisatie!$C$5,1,1)), 0, MONTH(MIN($G$1, DATE(Initialisatie!$C$5,12,31))) - MONTH(MAX($G$2, DATE(Initialisatie!$C$5,1,1))) + 1))
    ) / 12
)</f>
        <v>3201.6666666666665</v>
      </c>
    </row>
    <row r="99" spans="1:10" x14ac:dyDescent="0.45">
      <c r="A99" s="999"/>
      <c r="B99" s="43">
        <v>4</v>
      </c>
      <c r="C99" s="373">
        <v>20</v>
      </c>
      <c r="D99" s="48">
        <v>3191</v>
      </c>
      <c r="E99" s="48">
        <v>3319</v>
      </c>
      <c r="F99" s="48">
        <v>3385</v>
      </c>
      <c r="G99" s="48">
        <v>3453</v>
      </c>
      <c r="I99">
        <f>IF(
    OR(
        AND(MAX(0, MIN($D$1, DATE(Initialisatie!$C$5,12,31)) - MAX($D$2, DATE(Initialisatie!$C$5,1,1)) + 1) &gt; 0, IFERROR(VALUE($D99),0)=0),
        AND(MAX(0, MIN($E$1, DATE(Initialisatie!$C$5,12,31)) - MAX($E$2, DATE(Initialisatie!$C$5,1,1)) + 1) &gt; 0, IFERROR(VALUE($E99),0)=0),
        AND(MAX(0, MIN($F$1, DATE(Initialisatie!$C$5,12,31)) - MAX($F$2, DATE(Initialisatie!$C$5,1,1)) + 1) &gt; 0, IFERROR(VALUE($F99),0)=0),
        AND(MAX(0, MIN($G$1, DATE(Initialisatie!$C$5,12,31)) - MAX($G$2, DATE(Initialisatie!$C$5,1,1)) + 1) &gt; 0, IFERROR(VALUE($G99),0)=0)
    ),
    0,
    SUM(
        IFERROR(VALUE($D99),0) * MAX(0, MIN($D$1, DATE(Initialisatie!$C$5,12,31)) - MAX($D$2, DATE(Initialisatie!$C$5,1,1)) + 1),
        IFERROR(VALUE($E99),0) * MAX(0, MIN($E$1, DATE(Initialisatie!$C$5,12,31)) - MAX($E$2, DATE(Initialisatie!$C$5,1,1)) + 1),
        IFERROR(VALUE($F99),0) * MAX(0, MIN($F$1, DATE(Initialisatie!$C$5,12,31)) - MAX($F$2, DATE(Initialisatie!$C$5,1,1)) + 1),
        IFERROR(VALUE($G99),0) * MAX(0, MIN($G$1, DATE(Initialisatie!$C$5,12,31)) - MAX($G$2, DATE(Initialisatie!$C$5,1,1)) + 1)
    ) / (DATE(Initialisatie!$C$5,12,31) - DATE(Initialisatie!$C$5,1,1) + 1)
)</f>
        <v>3374.6657534246574</v>
      </c>
      <c r="J99">
        <f>IF(
    OR(
        AND(MAX(0, IF(MIN($D$1, DATE(Initialisatie!$C$5,12,31)) &lt; MAX($D$2, DATE(Initialisatie!$C$5,1,1)), 0, MONTH(MIN($D$1, DATE(Initialisatie!$C$5,12,31))) - MONTH(MAX($D$2, DATE(Initialisatie!$C$5,1,1))) + 1)) &lt;= 0, IFERROR(VALUE($D99),0)=0),
        AND(MAX(0, IF(MIN($E$1, DATE(Initialisatie!$C$5,12,31)) &lt; MAX($E$2, DATE(Initialisatie!$C$5,1,1)), 0, MONTH(MIN($E$1, DATE(Initialisatie!$C$5,12,31))) - MONTH(MAX($E$2, DATE(Initialisatie!$C$5,1,1))) + 1)) &lt;= 0, IFERROR(VALUE($E99),0)=0),
        AND(MAX(0, IF(MIN($F$1, DATE(Initialisatie!$C$5,12,31)) &lt; MAX($F$2, DATE(Initialisatie!$C$5,1,1)), 0, MONTH(MIN($F$1, DATE(Initialisatie!$C$5,12,31))) - MONTH(MAX($F$2, DATE(Initialisatie!$C$5,1,1))) + 1)) &lt;= 0, IFERROR(VALUE($F99),0)=0),
        AND(MAX(0, IF(MIN($G$1, DATE(Initialisatie!$C$5,12,31)) &lt; MAX($G$2, DATE(Initialisatie!$C$5,1,1)), 0, MONTH(MIN($G$1, DATE(Initialisatie!$C$5,12,31))) - MONTH(MAX($G$2, DATE(Initialisatie!$C$5,1,1))) + 1)) &lt;= 0, IFERROR(VALUE($G99),0)=0)
    ),
    0,
    SUM(
        IFERROR(VALUE($D99),0) * MAX(0, IF(MIN($D$1, DATE(Initialisatie!$C$5,12,31)) &lt; MAX($D$2, DATE(Initialisatie!$C$5,1,1)), 0, MONTH(MIN($D$1, DATE(Initialisatie!$C$5,12,31))) - MONTH(MAX($D$2, DATE(Initialisatie!$C$5,1,1))) + 1)),
        IFERROR(VALUE($E99),0) * MAX(0, IF(MIN($E$1, DATE(Initialisatie!$C$5,12,31)) &lt; MAX($E$2, DATE(Initialisatie!$C$5,1,1)), 0, MONTH(MIN($E$1, DATE(Initialisatie!$C$5,12,31))) - MONTH(MAX($E$2, DATE(Initialisatie!$C$5,1,1))) + 1)),
        IFERROR(VALUE($F99),0) * MAX(0, IF(MIN($F$1, DATE(Initialisatie!$C$5,12,31)) &lt; MAX($F$2, DATE(Initialisatie!$C$5,1,1)), 0, MONTH(MIN($F$1, DATE(Initialisatie!$C$5,12,31))) - MONTH(MAX($F$2, DATE(Initialisatie!$C$5,1,1))) + 1)),
        IFERROR(VALUE($G99),0) * MAX(0, IF(MIN($G$1, DATE(Initialisatie!$C$5,12,31)) &lt; MAX($G$2, DATE(Initialisatie!$C$5,1,1)), 0, MONTH(MIN($G$1, DATE(Initialisatie!$C$5,12,31))) - MONTH(MAX($G$2, DATE(Initialisatie!$C$5,1,1))) + 1))
    ) / 12
)</f>
        <v>3374.3333333333335</v>
      </c>
    </row>
    <row r="100" spans="1:10" x14ac:dyDescent="0.45">
      <c r="A100" s="999"/>
      <c r="B100" s="376">
        <v>5</v>
      </c>
      <c r="C100" s="373">
        <v>21</v>
      </c>
      <c r="D100" s="48">
        <v>3269</v>
      </c>
      <c r="E100" s="48">
        <v>3400</v>
      </c>
      <c r="F100" s="48">
        <v>3468</v>
      </c>
      <c r="G100" s="48">
        <v>3537</v>
      </c>
      <c r="I100">
        <f>IF(
    OR(
        AND(MAX(0, MIN($D$1, DATE(Initialisatie!$C$5,12,31)) - MAX($D$2, DATE(Initialisatie!$C$5,1,1)) + 1) &gt; 0, IFERROR(VALUE($D100),0)=0),
        AND(MAX(0, MIN($E$1, DATE(Initialisatie!$C$5,12,31)) - MAX($E$2, DATE(Initialisatie!$C$5,1,1)) + 1) &gt; 0, IFERROR(VALUE($E100),0)=0),
        AND(MAX(0, MIN($F$1, DATE(Initialisatie!$C$5,12,31)) - MAX($F$2, DATE(Initialisatie!$C$5,1,1)) + 1) &gt; 0, IFERROR(VALUE($F100),0)=0),
        AND(MAX(0, MIN($G$1, DATE(Initialisatie!$C$5,12,31)) - MAX($G$2, DATE(Initialisatie!$C$5,1,1)) + 1) &gt; 0, IFERROR(VALUE($G100),0)=0)
    ),
    0,
    SUM(
        IFERROR(VALUE($D100),0) * MAX(0, MIN($D$1, DATE(Initialisatie!$C$5,12,31)) - MAX($D$2, DATE(Initialisatie!$C$5,1,1)) + 1),
        IFERROR(VALUE($E100),0) * MAX(0, MIN($E$1, DATE(Initialisatie!$C$5,12,31)) - MAX($E$2, DATE(Initialisatie!$C$5,1,1)) + 1),
        IFERROR(VALUE($F100),0) * MAX(0, MIN($F$1, DATE(Initialisatie!$C$5,12,31)) - MAX($F$2, DATE(Initialisatie!$C$5,1,1)) + 1),
        IFERROR(VALUE($G100),0) * MAX(0, MIN($G$1, DATE(Initialisatie!$C$5,12,31)) - MAX($G$2, DATE(Initialisatie!$C$5,1,1)) + 1)
    ) / (DATE(Initialisatie!$C$5,12,31) - DATE(Initialisatie!$C$5,1,1) + 1)
)</f>
        <v>3457.1753424657536</v>
      </c>
      <c r="J100">
        <f>IF(
    OR(
        AND(MAX(0, IF(MIN($D$1, DATE(Initialisatie!$C$5,12,31)) &lt; MAX($D$2, DATE(Initialisatie!$C$5,1,1)), 0, MONTH(MIN($D$1, DATE(Initialisatie!$C$5,12,31))) - MONTH(MAX($D$2, DATE(Initialisatie!$C$5,1,1))) + 1)) &lt;= 0, IFERROR(VALUE($D100),0)=0),
        AND(MAX(0, IF(MIN($E$1, DATE(Initialisatie!$C$5,12,31)) &lt; MAX($E$2, DATE(Initialisatie!$C$5,1,1)), 0, MONTH(MIN($E$1, DATE(Initialisatie!$C$5,12,31))) - MONTH(MAX($E$2, DATE(Initialisatie!$C$5,1,1))) + 1)) &lt;= 0, IFERROR(VALUE($E100),0)=0),
        AND(MAX(0, IF(MIN($F$1, DATE(Initialisatie!$C$5,12,31)) &lt; MAX($F$2, DATE(Initialisatie!$C$5,1,1)), 0, MONTH(MIN($F$1, DATE(Initialisatie!$C$5,12,31))) - MONTH(MAX($F$2, DATE(Initialisatie!$C$5,1,1))) + 1)) &lt;= 0, IFERROR(VALUE($F100),0)=0),
        AND(MAX(0, IF(MIN($G$1, DATE(Initialisatie!$C$5,12,31)) &lt; MAX($G$2, DATE(Initialisatie!$C$5,1,1)), 0, MONTH(MIN($G$1, DATE(Initialisatie!$C$5,12,31))) - MONTH(MAX($G$2, DATE(Initialisatie!$C$5,1,1))) + 1)) &lt;= 0, IFERROR(VALUE($G100),0)=0)
    ),
    0,
    SUM(
        IFERROR(VALUE($D100),0) * MAX(0, IF(MIN($D$1, DATE(Initialisatie!$C$5,12,31)) &lt; MAX($D$2, DATE(Initialisatie!$C$5,1,1)), 0, MONTH(MIN($D$1, DATE(Initialisatie!$C$5,12,31))) - MONTH(MAX($D$2, DATE(Initialisatie!$C$5,1,1))) + 1)),
        IFERROR(VALUE($E100),0) * MAX(0, IF(MIN($E$1, DATE(Initialisatie!$C$5,12,31)) &lt; MAX($E$2, DATE(Initialisatie!$C$5,1,1)), 0, MONTH(MIN($E$1, DATE(Initialisatie!$C$5,12,31))) - MONTH(MAX($E$2, DATE(Initialisatie!$C$5,1,1))) + 1)),
        IFERROR(VALUE($F100),0) * MAX(0, IF(MIN($F$1, DATE(Initialisatie!$C$5,12,31)) &lt; MAX($F$2, DATE(Initialisatie!$C$5,1,1)), 0, MONTH(MIN($F$1, DATE(Initialisatie!$C$5,12,31))) - MONTH(MAX($F$2, DATE(Initialisatie!$C$5,1,1))) + 1)),
        IFERROR(VALUE($G100),0) * MAX(0, IF(MIN($G$1, DATE(Initialisatie!$C$5,12,31)) &lt; MAX($G$2, DATE(Initialisatie!$C$5,1,1)), 0, MONTH(MIN($G$1, DATE(Initialisatie!$C$5,12,31))) - MONTH(MAX($G$2, DATE(Initialisatie!$C$5,1,1))) + 1))
    ) / 12
)</f>
        <v>3456.8333333333335</v>
      </c>
    </row>
    <row r="101" spans="1:10" x14ac:dyDescent="0.45">
      <c r="A101" s="999"/>
      <c r="B101" s="372">
        <v>6</v>
      </c>
      <c r="C101" s="373">
        <v>22</v>
      </c>
      <c r="D101" s="48">
        <v>3347</v>
      </c>
      <c r="E101" s="48">
        <v>3481</v>
      </c>
      <c r="F101" s="48">
        <v>3551</v>
      </c>
      <c r="G101" s="48">
        <v>3622</v>
      </c>
      <c r="I101">
        <f>IF(
    OR(
        AND(MAX(0, MIN($D$1, DATE(Initialisatie!$C$5,12,31)) - MAX($D$2, DATE(Initialisatie!$C$5,1,1)) + 1) &gt; 0, IFERROR(VALUE($D101),0)=0),
        AND(MAX(0, MIN($E$1, DATE(Initialisatie!$C$5,12,31)) - MAX($E$2, DATE(Initialisatie!$C$5,1,1)) + 1) &gt; 0, IFERROR(VALUE($E101),0)=0),
        AND(MAX(0, MIN($F$1, DATE(Initialisatie!$C$5,12,31)) - MAX($F$2, DATE(Initialisatie!$C$5,1,1)) + 1) &gt; 0, IFERROR(VALUE($F101),0)=0),
        AND(MAX(0, MIN($G$1, DATE(Initialisatie!$C$5,12,31)) - MAX($G$2, DATE(Initialisatie!$C$5,1,1)) + 1) &gt; 0, IFERROR(VALUE($G101),0)=0)
    ),
    0,
    SUM(
        IFERROR(VALUE($D101),0) * MAX(0, MIN($D$1, DATE(Initialisatie!$C$5,12,31)) - MAX($D$2, DATE(Initialisatie!$C$5,1,1)) + 1),
        IFERROR(VALUE($E101),0) * MAX(0, MIN($E$1, DATE(Initialisatie!$C$5,12,31)) - MAX($E$2, DATE(Initialisatie!$C$5,1,1)) + 1),
        IFERROR(VALUE($F101),0) * MAX(0, MIN($F$1, DATE(Initialisatie!$C$5,12,31)) - MAX($F$2, DATE(Initialisatie!$C$5,1,1)) + 1),
        IFERROR(VALUE($G101),0) * MAX(0, MIN($G$1, DATE(Initialisatie!$C$5,12,31)) - MAX($G$2, DATE(Initialisatie!$C$5,1,1)) + 1)
    ) / (DATE(Initialisatie!$C$5,12,31) - DATE(Initialisatie!$C$5,1,1) + 1)
)</f>
        <v>3539.8520547945204</v>
      </c>
      <c r="J101">
        <f>IF(
    OR(
        AND(MAX(0, IF(MIN($D$1, DATE(Initialisatie!$C$5,12,31)) &lt; MAX($D$2, DATE(Initialisatie!$C$5,1,1)), 0, MONTH(MIN($D$1, DATE(Initialisatie!$C$5,12,31))) - MONTH(MAX($D$2, DATE(Initialisatie!$C$5,1,1))) + 1)) &lt;= 0, IFERROR(VALUE($D101),0)=0),
        AND(MAX(0, IF(MIN($E$1, DATE(Initialisatie!$C$5,12,31)) &lt; MAX($E$2, DATE(Initialisatie!$C$5,1,1)), 0, MONTH(MIN($E$1, DATE(Initialisatie!$C$5,12,31))) - MONTH(MAX($E$2, DATE(Initialisatie!$C$5,1,1))) + 1)) &lt;= 0, IFERROR(VALUE($E101),0)=0),
        AND(MAX(0, IF(MIN($F$1, DATE(Initialisatie!$C$5,12,31)) &lt; MAX($F$2, DATE(Initialisatie!$C$5,1,1)), 0, MONTH(MIN($F$1, DATE(Initialisatie!$C$5,12,31))) - MONTH(MAX($F$2, DATE(Initialisatie!$C$5,1,1))) + 1)) &lt;= 0, IFERROR(VALUE($F101),0)=0),
        AND(MAX(0, IF(MIN($G$1, DATE(Initialisatie!$C$5,12,31)) &lt; MAX($G$2, DATE(Initialisatie!$C$5,1,1)), 0, MONTH(MIN($G$1, DATE(Initialisatie!$C$5,12,31))) - MONTH(MAX($G$2, DATE(Initialisatie!$C$5,1,1))) + 1)) &lt;= 0, IFERROR(VALUE($G101),0)=0)
    ),
    0,
    SUM(
        IFERROR(VALUE($D101),0) * MAX(0, IF(MIN($D$1, DATE(Initialisatie!$C$5,12,31)) &lt; MAX($D$2, DATE(Initialisatie!$C$5,1,1)), 0, MONTH(MIN($D$1, DATE(Initialisatie!$C$5,12,31))) - MONTH(MAX($D$2, DATE(Initialisatie!$C$5,1,1))) + 1)),
        IFERROR(VALUE($E101),0) * MAX(0, IF(MIN($E$1, DATE(Initialisatie!$C$5,12,31)) &lt; MAX($E$2, DATE(Initialisatie!$C$5,1,1)), 0, MONTH(MIN($E$1, DATE(Initialisatie!$C$5,12,31))) - MONTH(MAX($E$2, DATE(Initialisatie!$C$5,1,1))) + 1)),
        IFERROR(VALUE($F101),0) * MAX(0, IF(MIN($F$1, DATE(Initialisatie!$C$5,12,31)) &lt; MAX($F$2, DATE(Initialisatie!$C$5,1,1)), 0, MONTH(MIN($F$1, DATE(Initialisatie!$C$5,12,31))) - MONTH(MAX($F$2, DATE(Initialisatie!$C$5,1,1))) + 1)),
        IFERROR(VALUE($G101),0) * MAX(0, IF(MIN($G$1, DATE(Initialisatie!$C$5,12,31)) &lt; MAX($G$2, DATE(Initialisatie!$C$5,1,1)), 0, MONTH(MIN($G$1, DATE(Initialisatie!$C$5,12,31))) - MONTH(MAX($G$2, DATE(Initialisatie!$C$5,1,1))) + 1))
    ) / 12
)</f>
        <v>3539.5</v>
      </c>
    </row>
    <row r="102" spans="1:10" x14ac:dyDescent="0.45">
      <c r="A102" s="999"/>
      <c r="B102" s="372">
        <v>7</v>
      </c>
      <c r="C102" s="373">
        <v>23</v>
      </c>
      <c r="D102" s="48">
        <v>3427</v>
      </c>
      <c r="E102" s="48">
        <v>3564</v>
      </c>
      <c r="F102" s="48">
        <v>3635</v>
      </c>
      <c r="G102" s="48">
        <v>3708</v>
      </c>
      <c r="I102">
        <f>IF(
    OR(
        AND(MAX(0, MIN($D$1, DATE(Initialisatie!$C$5,12,31)) - MAX($D$2, DATE(Initialisatie!$C$5,1,1)) + 1) &gt; 0, IFERROR(VALUE($D102),0)=0),
        AND(MAX(0, MIN($E$1, DATE(Initialisatie!$C$5,12,31)) - MAX($E$2, DATE(Initialisatie!$C$5,1,1)) + 1) &gt; 0, IFERROR(VALUE($E102),0)=0),
        AND(MAX(0, MIN($F$1, DATE(Initialisatie!$C$5,12,31)) - MAX($F$2, DATE(Initialisatie!$C$5,1,1)) + 1) &gt; 0, IFERROR(VALUE($F102),0)=0),
        AND(MAX(0, MIN($G$1, DATE(Initialisatie!$C$5,12,31)) - MAX($G$2, DATE(Initialisatie!$C$5,1,1)) + 1) &gt; 0, IFERROR(VALUE($G102),0)=0)
    ),
    0,
    SUM(
        IFERROR(VALUE($D102),0) * MAX(0, MIN($D$1, DATE(Initialisatie!$C$5,12,31)) - MAX($D$2, DATE(Initialisatie!$C$5,1,1)) + 1),
        IFERROR(VALUE($E102),0) * MAX(0, MIN($E$1, DATE(Initialisatie!$C$5,12,31)) - MAX($E$2, DATE(Initialisatie!$C$5,1,1)) + 1),
        IFERROR(VALUE($F102),0) * MAX(0, MIN($F$1, DATE(Initialisatie!$C$5,12,31)) - MAX($F$2, DATE(Initialisatie!$C$5,1,1)) + 1),
        IFERROR(VALUE($G102),0) * MAX(0, MIN($G$1, DATE(Initialisatie!$C$5,12,31)) - MAX($G$2, DATE(Initialisatie!$C$5,1,1)) + 1)
    ) / (DATE(Initialisatie!$C$5,12,31) - DATE(Initialisatie!$C$5,1,1) + 1)
)</f>
        <v>3623.8575342465751</v>
      </c>
      <c r="J102">
        <f>IF(
    OR(
        AND(MAX(0, IF(MIN($D$1, DATE(Initialisatie!$C$5,12,31)) &lt; MAX($D$2, DATE(Initialisatie!$C$5,1,1)), 0, MONTH(MIN($D$1, DATE(Initialisatie!$C$5,12,31))) - MONTH(MAX($D$2, DATE(Initialisatie!$C$5,1,1))) + 1)) &lt;= 0, IFERROR(VALUE($D102),0)=0),
        AND(MAX(0, IF(MIN($E$1, DATE(Initialisatie!$C$5,12,31)) &lt; MAX($E$2, DATE(Initialisatie!$C$5,1,1)), 0, MONTH(MIN($E$1, DATE(Initialisatie!$C$5,12,31))) - MONTH(MAX($E$2, DATE(Initialisatie!$C$5,1,1))) + 1)) &lt;= 0, IFERROR(VALUE($E102),0)=0),
        AND(MAX(0, IF(MIN($F$1, DATE(Initialisatie!$C$5,12,31)) &lt; MAX($F$2, DATE(Initialisatie!$C$5,1,1)), 0, MONTH(MIN($F$1, DATE(Initialisatie!$C$5,12,31))) - MONTH(MAX($F$2, DATE(Initialisatie!$C$5,1,1))) + 1)) &lt;= 0, IFERROR(VALUE($F102),0)=0),
        AND(MAX(0, IF(MIN($G$1, DATE(Initialisatie!$C$5,12,31)) &lt; MAX($G$2, DATE(Initialisatie!$C$5,1,1)), 0, MONTH(MIN($G$1, DATE(Initialisatie!$C$5,12,31))) - MONTH(MAX($G$2, DATE(Initialisatie!$C$5,1,1))) + 1)) &lt;= 0, IFERROR(VALUE($G102),0)=0)
    ),
    0,
    SUM(
        IFERROR(VALUE($D102),0) * MAX(0, IF(MIN($D$1, DATE(Initialisatie!$C$5,12,31)) &lt; MAX($D$2, DATE(Initialisatie!$C$5,1,1)), 0, MONTH(MIN($D$1, DATE(Initialisatie!$C$5,12,31))) - MONTH(MAX($D$2, DATE(Initialisatie!$C$5,1,1))) + 1)),
        IFERROR(VALUE($E102),0) * MAX(0, IF(MIN($E$1, DATE(Initialisatie!$C$5,12,31)) &lt; MAX($E$2, DATE(Initialisatie!$C$5,1,1)), 0, MONTH(MIN($E$1, DATE(Initialisatie!$C$5,12,31))) - MONTH(MAX($E$2, DATE(Initialisatie!$C$5,1,1))) + 1)),
        IFERROR(VALUE($F102),0) * MAX(0, IF(MIN($F$1, DATE(Initialisatie!$C$5,12,31)) &lt; MAX($F$2, DATE(Initialisatie!$C$5,1,1)), 0, MONTH(MIN($F$1, DATE(Initialisatie!$C$5,12,31))) - MONTH(MAX($F$2, DATE(Initialisatie!$C$5,1,1))) + 1)),
        IFERROR(VALUE($G102),0) * MAX(0, IF(MIN($G$1, DATE(Initialisatie!$C$5,12,31)) &lt; MAX($G$2, DATE(Initialisatie!$C$5,1,1)), 0, MONTH(MIN($G$1, DATE(Initialisatie!$C$5,12,31))) - MONTH(MAX($G$2, DATE(Initialisatie!$C$5,1,1))) + 1))
    ) / 12
)</f>
        <v>3623.5</v>
      </c>
    </row>
    <row r="103" spans="1:10" x14ac:dyDescent="0.45">
      <c r="A103" s="999"/>
      <c r="B103" s="376">
        <v>8</v>
      </c>
      <c r="C103" s="373">
        <v>24</v>
      </c>
      <c r="D103" s="48">
        <v>3505</v>
      </c>
      <c r="E103" s="48">
        <v>3645</v>
      </c>
      <c r="F103" s="48">
        <v>3718</v>
      </c>
      <c r="G103" s="48">
        <v>3792</v>
      </c>
      <c r="I103">
        <f>IF(
    OR(
        AND(MAX(0, MIN($D$1, DATE(Initialisatie!$C$5,12,31)) - MAX($D$2, DATE(Initialisatie!$C$5,1,1)) + 1) &gt; 0, IFERROR(VALUE($D103),0)=0),
        AND(MAX(0, MIN($E$1, DATE(Initialisatie!$C$5,12,31)) - MAX($E$2, DATE(Initialisatie!$C$5,1,1)) + 1) &gt; 0, IFERROR(VALUE($E103),0)=0),
        AND(MAX(0, MIN($F$1, DATE(Initialisatie!$C$5,12,31)) - MAX($F$2, DATE(Initialisatie!$C$5,1,1)) + 1) &gt; 0, IFERROR(VALUE($F103),0)=0),
        AND(MAX(0, MIN($G$1, DATE(Initialisatie!$C$5,12,31)) - MAX($G$2, DATE(Initialisatie!$C$5,1,1)) + 1) &gt; 0, IFERROR(VALUE($G103),0)=0)
    ),
    0,
    SUM(
        IFERROR(VALUE($D103),0) * MAX(0, MIN($D$1, DATE(Initialisatie!$C$5,12,31)) - MAX($D$2, DATE(Initialisatie!$C$5,1,1)) + 1),
        IFERROR(VALUE($E103),0) * MAX(0, MIN($E$1, DATE(Initialisatie!$C$5,12,31)) - MAX($E$2, DATE(Initialisatie!$C$5,1,1)) + 1),
        IFERROR(VALUE($F103),0) * MAX(0, MIN($F$1, DATE(Initialisatie!$C$5,12,31)) - MAX($F$2, DATE(Initialisatie!$C$5,1,1)) + 1),
        IFERROR(VALUE($G103),0) * MAX(0, MIN($G$1, DATE(Initialisatie!$C$5,12,31)) - MAX($G$2, DATE(Initialisatie!$C$5,1,1)) + 1)
    ) / (DATE(Initialisatie!$C$5,12,31) - DATE(Initialisatie!$C$5,1,1) + 1)
)</f>
        <v>3706.3671232876713</v>
      </c>
      <c r="J103">
        <f>IF(
    OR(
        AND(MAX(0, IF(MIN($D$1, DATE(Initialisatie!$C$5,12,31)) &lt; MAX($D$2, DATE(Initialisatie!$C$5,1,1)), 0, MONTH(MIN($D$1, DATE(Initialisatie!$C$5,12,31))) - MONTH(MAX($D$2, DATE(Initialisatie!$C$5,1,1))) + 1)) &lt;= 0, IFERROR(VALUE($D103),0)=0),
        AND(MAX(0, IF(MIN($E$1, DATE(Initialisatie!$C$5,12,31)) &lt; MAX($E$2, DATE(Initialisatie!$C$5,1,1)), 0, MONTH(MIN($E$1, DATE(Initialisatie!$C$5,12,31))) - MONTH(MAX($E$2, DATE(Initialisatie!$C$5,1,1))) + 1)) &lt;= 0, IFERROR(VALUE($E103),0)=0),
        AND(MAX(0, IF(MIN($F$1, DATE(Initialisatie!$C$5,12,31)) &lt; MAX($F$2, DATE(Initialisatie!$C$5,1,1)), 0, MONTH(MIN($F$1, DATE(Initialisatie!$C$5,12,31))) - MONTH(MAX($F$2, DATE(Initialisatie!$C$5,1,1))) + 1)) &lt;= 0, IFERROR(VALUE($F103),0)=0),
        AND(MAX(0, IF(MIN($G$1, DATE(Initialisatie!$C$5,12,31)) &lt; MAX($G$2, DATE(Initialisatie!$C$5,1,1)), 0, MONTH(MIN($G$1, DATE(Initialisatie!$C$5,12,31))) - MONTH(MAX($G$2, DATE(Initialisatie!$C$5,1,1))) + 1)) &lt;= 0, IFERROR(VALUE($G103),0)=0)
    ),
    0,
    SUM(
        IFERROR(VALUE($D103),0) * MAX(0, IF(MIN($D$1, DATE(Initialisatie!$C$5,12,31)) &lt; MAX($D$2, DATE(Initialisatie!$C$5,1,1)), 0, MONTH(MIN($D$1, DATE(Initialisatie!$C$5,12,31))) - MONTH(MAX($D$2, DATE(Initialisatie!$C$5,1,1))) + 1)),
        IFERROR(VALUE($E103),0) * MAX(0, IF(MIN($E$1, DATE(Initialisatie!$C$5,12,31)) &lt; MAX($E$2, DATE(Initialisatie!$C$5,1,1)), 0, MONTH(MIN($E$1, DATE(Initialisatie!$C$5,12,31))) - MONTH(MAX($E$2, DATE(Initialisatie!$C$5,1,1))) + 1)),
        IFERROR(VALUE($F103),0) * MAX(0, IF(MIN($F$1, DATE(Initialisatie!$C$5,12,31)) &lt; MAX($F$2, DATE(Initialisatie!$C$5,1,1)), 0, MONTH(MIN($F$1, DATE(Initialisatie!$C$5,12,31))) - MONTH(MAX($F$2, DATE(Initialisatie!$C$5,1,1))) + 1)),
        IFERROR(VALUE($G103),0) * MAX(0, IF(MIN($G$1, DATE(Initialisatie!$C$5,12,31)) &lt; MAX($G$2, DATE(Initialisatie!$C$5,1,1)), 0, MONTH(MIN($G$1, DATE(Initialisatie!$C$5,12,31))) - MONTH(MAX($G$2, DATE(Initialisatie!$C$5,1,1))) + 1))
    ) / 12
)</f>
        <v>3706</v>
      </c>
    </row>
    <row r="104" spans="1:10" x14ac:dyDescent="0.45">
      <c r="A104" s="999"/>
      <c r="B104" s="372">
        <v>9</v>
      </c>
      <c r="C104" s="373">
        <v>25</v>
      </c>
      <c r="D104" s="48">
        <v>3593</v>
      </c>
      <c r="E104" s="48">
        <v>3737</v>
      </c>
      <c r="F104" s="48">
        <v>3812</v>
      </c>
      <c r="G104" s="48">
        <v>3888</v>
      </c>
      <c r="I104">
        <f>IF(
    OR(
        AND(MAX(0, MIN($D$1, DATE(Initialisatie!$C$5,12,31)) - MAX($D$2, DATE(Initialisatie!$C$5,1,1)) + 1) &gt; 0, IFERROR(VALUE($D104),0)=0),
        AND(MAX(0, MIN($E$1, DATE(Initialisatie!$C$5,12,31)) - MAX($E$2, DATE(Initialisatie!$C$5,1,1)) + 1) &gt; 0, IFERROR(VALUE($E104),0)=0),
        AND(MAX(0, MIN($F$1, DATE(Initialisatie!$C$5,12,31)) - MAX($F$2, DATE(Initialisatie!$C$5,1,1)) + 1) &gt; 0, IFERROR(VALUE($F104),0)=0),
        AND(MAX(0, MIN($G$1, DATE(Initialisatie!$C$5,12,31)) - MAX($G$2, DATE(Initialisatie!$C$5,1,1)) + 1) &gt; 0, IFERROR(VALUE($G104),0)=0)
    ),
    0,
    SUM(
        IFERROR(VALUE($D104),0) * MAX(0, MIN($D$1, DATE(Initialisatie!$C$5,12,31)) - MAX($D$2, DATE(Initialisatie!$C$5,1,1)) + 1),
        IFERROR(VALUE($E104),0) * MAX(0, MIN($E$1, DATE(Initialisatie!$C$5,12,31)) - MAX($E$2, DATE(Initialisatie!$C$5,1,1)) + 1),
        IFERROR(VALUE($F104),0) * MAX(0, MIN($F$1, DATE(Initialisatie!$C$5,12,31)) - MAX($F$2, DATE(Initialisatie!$C$5,1,1)) + 1),
        IFERROR(VALUE($G104),0) * MAX(0, MIN($G$1, DATE(Initialisatie!$C$5,12,31)) - MAX($G$2, DATE(Initialisatie!$C$5,1,1)) + 1)
    ) / (DATE(Initialisatie!$C$5,12,31) - DATE(Initialisatie!$C$5,1,1) + 1)
)</f>
        <v>3800.0438356164382</v>
      </c>
      <c r="J104">
        <f>IF(
    OR(
        AND(MAX(0, IF(MIN($D$1, DATE(Initialisatie!$C$5,12,31)) &lt; MAX($D$2, DATE(Initialisatie!$C$5,1,1)), 0, MONTH(MIN($D$1, DATE(Initialisatie!$C$5,12,31))) - MONTH(MAX($D$2, DATE(Initialisatie!$C$5,1,1))) + 1)) &lt;= 0, IFERROR(VALUE($D104),0)=0),
        AND(MAX(0, IF(MIN($E$1, DATE(Initialisatie!$C$5,12,31)) &lt; MAX($E$2, DATE(Initialisatie!$C$5,1,1)), 0, MONTH(MIN($E$1, DATE(Initialisatie!$C$5,12,31))) - MONTH(MAX($E$2, DATE(Initialisatie!$C$5,1,1))) + 1)) &lt;= 0, IFERROR(VALUE($E104),0)=0),
        AND(MAX(0, IF(MIN($F$1, DATE(Initialisatie!$C$5,12,31)) &lt; MAX($F$2, DATE(Initialisatie!$C$5,1,1)), 0, MONTH(MIN($F$1, DATE(Initialisatie!$C$5,12,31))) - MONTH(MAX($F$2, DATE(Initialisatie!$C$5,1,1))) + 1)) &lt;= 0, IFERROR(VALUE($F104),0)=0),
        AND(MAX(0, IF(MIN($G$1, DATE(Initialisatie!$C$5,12,31)) &lt; MAX($G$2, DATE(Initialisatie!$C$5,1,1)), 0, MONTH(MIN($G$1, DATE(Initialisatie!$C$5,12,31))) - MONTH(MAX($G$2, DATE(Initialisatie!$C$5,1,1))) + 1)) &lt;= 0, IFERROR(VALUE($G104),0)=0)
    ),
    0,
    SUM(
        IFERROR(VALUE($D104),0) * MAX(0, IF(MIN($D$1, DATE(Initialisatie!$C$5,12,31)) &lt; MAX($D$2, DATE(Initialisatie!$C$5,1,1)), 0, MONTH(MIN($D$1, DATE(Initialisatie!$C$5,12,31))) - MONTH(MAX($D$2, DATE(Initialisatie!$C$5,1,1))) + 1)),
        IFERROR(VALUE($E104),0) * MAX(0, IF(MIN($E$1, DATE(Initialisatie!$C$5,12,31)) &lt; MAX($E$2, DATE(Initialisatie!$C$5,1,1)), 0, MONTH(MIN($E$1, DATE(Initialisatie!$C$5,12,31))) - MONTH(MAX($E$2, DATE(Initialisatie!$C$5,1,1))) + 1)),
        IFERROR(VALUE($F104),0) * MAX(0, IF(MIN($F$1, DATE(Initialisatie!$C$5,12,31)) &lt; MAX($F$2, DATE(Initialisatie!$C$5,1,1)), 0, MONTH(MIN($F$1, DATE(Initialisatie!$C$5,12,31))) - MONTH(MAX($F$2, DATE(Initialisatie!$C$5,1,1))) + 1)),
        IFERROR(VALUE($G104),0) * MAX(0, IF(MIN($G$1, DATE(Initialisatie!$C$5,12,31)) &lt; MAX($G$2, DATE(Initialisatie!$C$5,1,1)), 0, MONTH(MIN($G$1, DATE(Initialisatie!$C$5,12,31))) - MONTH(MAX($G$2, DATE(Initialisatie!$C$5,1,1))) + 1))
    ) / 12
)</f>
        <v>3799.6666666666665</v>
      </c>
    </row>
    <row r="105" spans="1:10" x14ac:dyDescent="0.45">
      <c r="A105" s="999"/>
      <c r="B105" s="373">
        <v>10</v>
      </c>
      <c r="C105" s="373">
        <v>26</v>
      </c>
      <c r="D105" s="48">
        <v>3678</v>
      </c>
      <c r="E105" s="48">
        <v>3825</v>
      </c>
      <c r="F105" s="48">
        <v>3902</v>
      </c>
      <c r="G105" s="48">
        <v>3980</v>
      </c>
      <c r="I105">
        <f>IF(
    OR(
        AND(MAX(0, MIN($D$1, DATE(Initialisatie!$C$5,12,31)) - MAX($D$2, DATE(Initialisatie!$C$5,1,1)) + 1) &gt; 0, IFERROR(VALUE($D105),0)=0),
        AND(MAX(0, MIN($E$1, DATE(Initialisatie!$C$5,12,31)) - MAX($E$2, DATE(Initialisatie!$C$5,1,1)) + 1) &gt; 0, IFERROR(VALUE($E105),0)=0),
        AND(MAX(0, MIN($F$1, DATE(Initialisatie!$C$5,12,31)) - MAX($F$2, DATE(Initialisatie!$C$5,1,1)) + 1) &gt; 0, IFERROR(VALUE($F105),0)=0),
        AND(MAX(0, MIN($G$1, DATE(Initialisatie!$C$5,12,31)) - MAX($G$2, DATE(Initialisatie!$C$5,1,1)) + 1) &gt; 0, IFERROR(VALUE($G105),0)=0)
    ),
    0,
    SUM(
        IFERROR(VALUE($D105),0) * MAX(0, MIN($D$1, DATE(Initialisatie!$C$5,12,31)) - MAX($D$2, DATE(Initialisatie!$C$5,1,1)) + 1),
        IFERROR(VALUE($E105),0) * MAX(0, MIN($E$1, DATE(Initialisatie!$C$5,12,31)) - MAX($E$2, DATE(Initialisatie!$C$5,1,1)) + 1),
        IFERROR(VALUE($F105),0) * MAX(0, MIN($F$1, DATE(Initialisatie!$C$5,12,31)) - MAX($F$2, DATE(Initialisatie!$C$5,1,1)) + 1),
        IFERROR(VALUE($G105),0) * MAX(0, MIN($G$1, DATE(Initialisatie!$C$5,12,31)) - MAX($G$2, DATE(Initialisatie!$C$5,1,1)) + 1)
    ) / (DATE(Initialisatie!$C$5,12,31) - DATE(Initialisatie!$C$5,1,1) + 1)
)</f>
        <v>3889.7205479452055</v>
      </c>
      <c r="J105">
        <f>IF(
    OR(
        AND(MAX(0, IF(MIN($D$1, DATE(Initialisatie!$C$5,12,31)) &lt; MAX($D$2, DATE(Initialisatie!$C$5,1,1)), 0, MONTH(MIN($D$1, DATE(Initialisatie!$C$5,12,31))) - MONTH(MAX($D$2, DATE(Initialisatie!$C$5,1,1))) + 1)) &lt;= 0, IFERROR(VALUE($D105),0)=0),
        AND(MAX(0, IF(MIN($E$1, DATE(Initialisatie!$C$5,12,31)) &lt; MAX($E$2, DATE(Initialisatie!$C$5,1,1)), 0, MONTH(MIN($E$1, DATE(Initialisatie!$C$5,12,31))) - MONTH(MAX($E$2, DATE(Initialisatie!$C$5,1,1))) + 1)) &lt;= 0, IFERROR(VALUE($E105),0)=0),
        AND(MAX(0, IF(MIN($F$1, DATE(Initialisatie!$C$5,12,31)) &lt; MAX($F$2, DATE(Initialisatie!$C$5,1,1)), 0, MONTH(MIN($F$1, DATE(Initialisatie!$C$5,12,31))) - MONTH(MAX($F$2, DATE(Initialisatie!$C$5,1,1))) + 1)) &lt;= 0, IFERROR(VALUE($F105),0)=0),
        AND(MAX(0, IF(MIN($G$1, DATE(Initialisatie!$C$5,12,31)) &lt; MAX($G$2, DATE(Initialisatie!$C$5,1,1)), 0, MONTH(MIN($G$1, DATE(Initialisatie!$C$5,12,31))) - MONTH(MAX($G$2, DATE(Initialisatie!$C$5,1,1))) + 1)) &lt;= 0, IFERROR(VALUE($G105),0)=0)
    ),
    0,
    SUM(
        IFERROR(VALUE($D105),0) * MAX(0, IF(MIN($D$1, DATE(Initialisatie!$C$5,12,31)) &lt; MAX($D$2, DATE(Initialisatie!$C$5,1,1)), 0, MONTH(MIN($D$1, DATE(Initialisatie!$C$5,12,31))) - MONTH(MAX($D$2, DATE(Initialisatie!$C$5,1,1))) + 1)),
        IFERROR(VALUE($E105),0) * MAX(0, IF(MIN($E$1, DATE(Initialisatie!$C$5,12,31)) &lt; MAX($E$2, DATE(Initialisatie!$C$5,1,1)), 0, MONTH(MIN($E$1, DATE(Initialisatie!$C$5,12,31))) - MONTH(MAX($E$2, DATE(Initialisatie!$C$5,1,1))) + 1)),
        IFERROR(VALUE($F105),0) * MAX(0, IF(MIN($F$1, DATE(Initialisatie!$C$5,12,31)) &lt; MAX($F$2, DATE(Initialisatie!$C$5,1,1)), 0, MONTH(MIN($F$1, DATE(Initialisatie!$C$5,12,31))) - MONTH(MAX($F$2, DATE(Initialisatie!$C$5,1,1))) + 1)),
        IFERROR(VALUE($G105),0) * MAX(0, IF(MIN($G$1, DATE(Initialisatie!$C$5,12,31)) &lt; MAX($G$2, DATE(Initialisatie!$C$5,1,1)), 0, MONTH(MIN($G$1, DATE(Initialisatie!$C$5,12,31))) - MONTH(MAX($G$2, DATE(Initialisatie!$C$5,1,1))) + 1))
    ) / 12
)</f>
        <v>3889.3333333333335</v>
      </c>
    </row>
    <row r="106" spans="1:10" x14ac:dyDescent="0.45">
      <c r="A106" s="999"/>
      <c r="B106" s="373">
        <v>11</v>
      </c>
      <c r="C106" s="373">
        <v>27</v>
      </c>
      <c r="D106" s="48">
        <v>3766</v>
      </c>
      <c r="E106" s="48">
        <v>3917</v>
      </c>
      <c r="F106" s="48">
        <v>3995</v>
      </c>
      <c r="G106" s="48">
        <v>4075</v>
      </c>
      <c r="I106">
        <f>IF(
    OR(
        AND(MAX(0, MIN($D$1, DATE(Initialisatie!$C$5,12,31)) - MAX($D$2, DATE(Initialisatie!$C$5,1,1)) + 1) &gt; 0, IFERROR(VALUE($D106),0)=0),
        AND(MAX(0, MIN($E$1, DATE(Initialisatie!$C$5,12,31)) - MAX($E$2, DATE(Initialisatie!$C$5,1,1)) + 1) &gt; 0, IFERROR(VALUE($E106),0)=0),
        AND(MAX(0, MIN($F$1, DATE(Initialisatie!$C$5,12,31)) - MAX($F$2, DATE(Initialisatie!$C$5,1,1)) + 1) &gt; 0, IFERROR(VALUE($F106),0)=0),
        AND(MAX(0, MIN($G$1, DATE(Initialisatie!$C$5,12,31)) - MAX($G$2, DATE(Initialisatie!$C$5,1,1)) + 1) &gt; 0, IFERROR(VALUE($G106),0)=0)
    ),
    0,
    SUM(
        IFERROR(VALUE($D106),0) * MAX(0, MIN($D$1, DATE(Initialisatie!$C$5,12,31)) - MAX($D$2, DATE(Initialisatie!$C$5,1,1)) + 1),
        IFERROR(VALUE($E106),0) * MAX(0, MIN($E$1, DATE(Initialisatie!$C$5,12,31)) - MAX($E$2, DATE(Initialisatie!$C$5,1,1)) + 1),
        IFERROR(VALUE($F106),0) * MAX(0, MIN($F$1, DATE(Initialisatie!$C$5,12,31)) - MAX($F$2, DATE(Initialisatie!$C$5,1,1)) + 1),
        IFERROR(VALUE($G106),0) * MAX(0, MIN($G$1, DATE(Initialisatie!$C$5,12,31)) - MAX($G$2, DATE(Initialisatie!$C$5,1,1)) + 1)
    ) / (DATE(Initialisatie!$C$5,12,31) - DATE(Initialisatie!$C$5,1,1) + 1)
)</f>
        <v>3982.7260273972602</v>
      </c>
      <c r="J106">
        <f>IF(
    OR(
        AND(MAX(0, IF(MIN($D$1, DATE(Initialisatie!$C$5,12,31)) &lt; MAX($D$2, DATE(Initialisatie!$C$5,1,1)), 0, MONTH(MIN($D$1, DATE(Initialisatie!$C$5,12,31))) - MONTH(MAX($D$2, DATE(Initialisatie!$C$5,1,1))) + 1)) &lt;= 0, IFERROR(VALUE($D106),0)=0),
        AND(MAX(0, IF(MIN($E$1, DATE(Initialisatie!$C$5,12,31)) &lt; MAX($E$2, DATE(Initialisatie!$C$5,1,1)), 0, MONTH(MIN($E$1, DATE(Initialisatie!$C$5,12,31))) - MONTH(MAX($E$2, DATE(Initialisatie!$C$5,1,1))) + 1)) &lt;= 0, IFERROR(VALUE($E106),0)=0),
        AND(MAX(0, IF(MIN($F$1, DATE(Initialisatie!$C$5,12,31)) &lt; MAX($F$2, DATE(Initialisatie!$C$5,1,1)), 0, MONTH(MIN($F$1, DATE(Initialisatie!$C$5,12,31))) - MONTH(MAX($F$2, DATE(Initialisatie!$C$5,1,1))) + 1)) &lt;= 0, IFERROR(VALUE($F106),0)=0),
        AND(MAX(0, IF(MIN($G$1, DATE(Initialisatie!$C$5,12,31)) &lt; MAX($G$2, DATE(Initialisatie!$C$5,1,1)), 0, MONTH(MIN($G$1, DATE(Initialisatie!$C$5,12,31))) - MONTH(MAX($G$2, DATE(Initialisatie!$C$5,1,1))) + 1)) &lt;= 0, IFERROR(VALUE($G106),0)=0)
    ),
    0,
    SUM(
        IFERROR(VALUE($D106),0) * MAX(0, IF(MIN($D$1, DATE(Initialisatie!$C$5,12,31)) &lt; MAX($D$2, DATE(Initialisatie!$C$5,1,1)), 0, MONTH(MIN($D$1, DATE(Initialisatie!$C$5,12,31))) - MONTH(MAX($D$2, DATE(Initialisatie!$C$5,1,1))) + 1)),
        IFERROR(VALUE($E106),0) * MAX(0, IF(MIN($E$1, DATE(Initialisatie!$C$5,12,31)) &lt; MAX($E$2, DATE(Initialisatie!$C$5,1,1)), 0, MONTH(MIN($E$1, DATE(Initialisatie!$C$5,12,31))) - MONTH(MAX($E$2, DATE(Initialisatie!$C$5,1,1))) + 1)),
        IFERROR(VALUE($F106),0) * MAX(0, IF(MIN($F$1, DATE(Initialisatie!$C$5,12,31)) &lt; MAX($F$2, DATE(Initialisatie!$C$5,1,1)), 0, MONTH(MIN($F$1, DATE(Initialisatie!$C$5,12,31))) - MONTH(MAX($F$2, DATE(Initialisatie!$C$5,1,1))) + 1)),
        IFERROR(VALUE($G106),0) * MAX(0, IF(MIN($G$1, DATE(Initialisatie!$C$5,12,31)) &lt; MAX($G$2, DATE(Initialisatie!$C$5,1,1)), 0, MONTH(MIN($G$1, DATE(Initialisatie!$C$5,12,31))) - MONTH(MAX($G$2, DATE(Initialisatie!$C$5,1,1))) + 1))
    ) / 12
)</f>
        <v>3982.3333333333335</v>
      </c>
    </row>
    <row r="107" spans="1:10" x14ac:dyDescent="0.45">
      <c r="A107" s="999"/>
      <c r="B107" s="373">
        <v>12</v>
      </c>
      <c r="C107" s="373">
        <v>28</v>
      </c>
      <c r="D107" s="48">
        <v>3843</v>
      </c>
      <c r="E107" s="48">
        <v>3997</v>
      </c>
      <c r="F107" s="48">
        <v>4077</v>
      </c>
      <c r="G107" s="48">
        <v>4159</v>
      </c>
      <c r="I107">
        <f>IF(
    OR(
        AND(MAX(0, MIN($D$1, DATE(Initialisatie!$C$5,12,31)) - MAX($D$2, DATE(Initialisatie!$C$5,1,1)) + 1) &gt; 0, IFERROR(VALUE($D107),0)=0),
        AND(MAX(0, MIN($E$1, DATE(Initialisatie!$C$5,12,31)) - MAX($E$2, DATE(Initialisatie!$C$5,1,1)) + 1) &gt; 0, IFERROR(VALUE($E107),0)=0),
        AND(MAX(0, MIN($F$1, DATE(Initialisatie!$C$5,12,31)) - MAX($F$2, DATE(Initialisatie!$C$5,1,1)) + 1) &gt; 0, IFERROR(VALUE($F107),0)=0),
        AND(MAX(0, MIN($G$1, DATE(Initialisatie!$C$5,12,31)) - MAX($G$2, DATE(Initialisatie!$C$5,1,1)) + 1) &gt; 0, IFERROR(VALUE($G107),0)=0)
    ),
    0,
    SUM(
        IFERROR(VALUE($D107),0) * MAX(0, MIN($D$1, DATE(Initialisatie!$C$5,12,31)) - MAX($D$2, DATE(Initialisatie!$C$5,1,1)) + 1),
        IFERROR(VALUE($E107),0) * MAX(0, MIN($E$1, DATE(Initialisatie!$C$5,12,31)) - MAX($E$2, DATE(Initialisatie!$C$5,1,1)) + 1),
        IFERROR(VALUE($F107),0) * MAX(0, MIN($F$1, DATE(Initialisatie!$C$5,12,31)) - MAX($F$2, DATE(Initialisatie!$C$5,1,1)) + 1),
        IFERROR(VALUE($G107),0) * MAX(0, MIN($G$1, DATE(Initialisatie!$C$5,12,31)) - MAX($G$2, DATE(Initialisatie!$C$5,1,1)) + 1)
    ) / (DATE(Initialisatie!$C$5,12,31) - DATE(Initialisatie!$C$5,1,1) + 1)
)</f>
        <v>4064.4027397260274</v>
      </c>
      <c r="J107">
        <f>IF(
    OR(
        AND(MAX(0, IF(MIN($D$1, DATE(Initialisatie!$C$5,12,31)) &lt; MAX($D$2, DATE(Initialisatie!$C$5,1,1)), 0, MONTH(MIN($D$1, DATE(Initialisatie!$C$5,12,31))) - MONTH(MAX($D$2, DATE(Initialisatie!$C$5,1,1))) + 1)) &lt;= 0, IFERROR(VALUE($D107),0)=0),
        AND(MAX(0, IF(MIN($E$1, DATE(Initialisatie!$C$5,12,31)) &lt; MAX($E$2, DATE(Initialisatie!$C$5,1,1)), 0, MONTH(MIN($E$1, DATE(Initialisatie!$C$5,12,31))) - MONTH(MAX($E$2, DATE(Initialisatie!$C$5,1,1))) + 1)) &lt;= 0, IFERROR(VALUE($E107),0)=0),
        AND(MAX(0, IF(MIN($F$1, DATE(Initialisatie!$C$5,12,31)) &lt; MAX($F$2, DATE(Initialisatie!$C$5,1,1)), 0, MONTH(MIN($F$1, DATE(Initialisatie!$C$5,12,31))) - MONTH(MAX($F$2, DATE(Initialisatie!$C$5,1,1))) + 1)) &lt;= 0, IFERROR(VALUE($F107),0)=0),
        AND(MAX(0, IF(MIN($G$1, DATE(Initialisatie!$C$5,12,31)) &lt; MAX($G$2, DATE(Initialisatie!$C$5,1,1)), 0, MONTH(MIN($G$1, DATE(Initialisatie!$C$5,12,31))) - MONTH(MAX($G$2, DATE(Initialisatie!$C$5,1,1))) + 1)) &lt;= 0, IFERROR(VALUE($G107),0)=0)
    ),
    0,
    SUM(
        IFERROR(VALUE($D107),0) * MAX(0, IF(MIN($D$1, DATE(Initialisatie!$C$5,12,31)) &lt; MAX($D$2, DATE(Initialisatie!$C$5,1,1)), 0, MONTH(MIN($D$1, DATE(Initialisatie!$C$5,12,31))) - MONTH(MAX($D$2, DATE(Initialisatie!$C$5,1,1))) + 1)),
        IFERROR(VALUE($E107),0) * MAX(0, IF(MIN($E$1, DATE(Initialisatie!$C$5,12,31)) &lt; MAX($E$2, DATE(Initialisatie!$C$5,1,1)), 0, MONTH(MIN($E$1, DATE(Initialisatie!$C$5,12,31))) - MONTH(MAX($E$2, DATE(Initialisatie!$C$5,1,1))) + 1)),
        IFERROR(VALUE($F107),0) * MAX(0, IF(MIN($F$1, DATE(Initialisatie!$C$5,12,31)) &lt; MAX($F$2, DATE(Initialisatie!$C$5,1,1)), 0, MONTH(MIN($F$1, DATE(Initialisatie!$C$5,12,31))) - MONTH(MAX($F$2, DATE(Initialisatie!$C$5,1,1))) + 1)),
        IFERROR(VALUE($G107),0) * MAX(0, IF(MIN($G$1, DATE(Initialisatie!$C$5,12,31)) &lt; MAX($G$2, DATE(Initialisatie!$C$5,1,1)), 0, MONTH(MIN($G$1, DATE(Initialisatie!$C$5,12,31))) - MONTH(MAX($G$2, DATE(Initialisatie!$C$5,1,1))) + 1))
    ) / 12
)</f>
        <v>4064</v>
      </c>
    </row>
    <row r="108" spans="1:10" x14ac:dyDescent="0.45">
      <c r="A108" s="999"/>
      <c r="B108" s="372">
        <v>13</v>
      </c>
      <c r="C108" s="373">
        <v>29</v>
      </c>
      <c r="D108" s="48">
        <v>3932</v>
      </c>
      <c r="E108" s="48">
        <v>4089</v>
      </c>
      <c r="F108" s="48">
        <v>4171</v>
      </c>
      <c r="G108" s="48">
        <v>4254</v>
      </c>
      <c r="I108">
        <f>IF(
    OR(
        AND(MAX(0, MIN($D$1, DATE(Initialisatie!$C$5,12,31)) - MAX($D$2, DATE(Initialisatie!$C$5,1,1)) + 1) &gt; 0, IFERROR(VALUE($D108),0)=0),
        AND(MAX(0, MIN($E$1, DATE(Initialisatie!$C$5,12,31)) - MAX($E$2, DATE(Initialisatie!$C$5,1,1)) + 1) &gt; 0, IFERROR(VALUE($E108),0)=0),
        AND(MAX(0, MIN($F$1, DATE(Initialisatie!$C$5,12,31)) - MAX($F$2, DATE(Initialisatie!$C$5,1,1)) + 1) &gt; 0, IFERROR(VALUE($F108),0)=0),
        AND(MAX(0, MIN($G$1, DATE(Initialisatie!$C$5,12,31)) - MAX($G$2, DATE(Initialisatie!$C$5,1,1)) + 1) &gt; 0, IFERROR(VALUE($G108),0)=0)
    ),
    0,
    SUM(
        IFERROR(VALUE($D108),0) * MAX(0, MIN($D$1, DATE(Initialisatie!$C$5,12,31)) - MAX($D$2, DATE(Initialisatie!$C$5,1,1)) + 1),
        IFERROR(VALUE($E108),0) * MAX(0, MIN($E$1, DATE(Initialisatie!$C$5,12,31)) - MAX($E$2, DATE(Initialisatie!$C$5,1,1)) + 1),
        IFERROR(VALUE($F108),0) * MAX(0, MIN($F$1, DATE(Initialisatie!$C$5,12,31)) - MAX($F$2, DATE(Initialisatie!$C$5,1,1)) + 1),
        IFERROR(VALUE($G108),0) * MAX(0, MIN($G$1, DATE(Initialisatie!$C$5,12,31)) - MAX($G$2, DATE(Initialisatie!$C$5,1,1)) + 1)
    ) / (DATE(Initialisatie!$C$5,12,31) - DATE(Initialisatie!$C$5,1,1) + 1)
)</f>
        <v>4157.9123287671237</v>
      </c>
      <c r="J108">
        <f>IF(
    OR(
        AND(MAX(0, IF(MIN($D$1, DATE(Initialisatie!$C$5,12,31)) &lt; MAX($D$2, DATE(Initialisatie!$C$5,1,1)), 0, MONTH(MIN($D$1, DATE(Initialisatie!$C$5,12,31))) - MONTH(MAX($D$2, DATE(Initialisatie!$C$5,1,1))) + 1)) &lt;= 0, IFERROR(VALUE($D108),0)=0),
        AND(MAX(0, IF(MIN($E$1, DATE(Initialisatie!$C$5,12,31)) &lt; MAX($E$2, DATE(Initialisatie!$C$5,1,1)), 0, MONTH(MIN($E$1, DATE(Initialisatie!$C$5,12,31))) - MONTH(MAX($E$2, DATE(Initialisatie!$C$5,1,1))) + 1)) &lt;= 0, IFERROR(VALUE($E108),0)=0),
        AND(MAX(0, IF(MIN($F$1, DATE(Initialisatie!$C$5,12,31)) &lt; MAX($F$2, DATE(Initialisatie!$C$5,1,1)), 0, MONTH(MIN($F$1, DATE(Initialisatie!$C$5,12,31))) - MONTH(MAX($F$2, DATE(Initialisatie!$C$5,1,1))) + 1)) &lt;= 0, IFERROR(VALUE($F108),0)=0),
        AND(MAX(0, IF(MIN($G$1, DATE(Initialisatie!$C$5,12,31)) &lt; MAX($G$2, DATE(Initialisatie!$C$5,1,1)), 0, MONTH(MIN($G$1, DATE(Initialisatie!$C$5,12,31))) - MONTH(MAX($G$2, DATE(Initialisatie!$C$5,1,1))) + 1)) &lt;= 0, IFERROR(VALUE($G108),0)=0)
    ),
    0,
    SUM(
        IFERROR(VALUE($D108),0) * MAX(0, IF(MIN($D$1, DATE(Initialisatie!$C$5,12,31)) &lt; MAX($D$2, DATE(Initialisatie!$C$5,1,1)), 0, MONTH(MIN($D$1, DATE(Initialisatie!$C$5,12,31))) - MONTH(MAX($D$2, DATE(Initialisatie!$C$5,1,1))) + 1)),
        IFERROR(VALUE($E108),0) * MAX(0, IF(MIN($E$1, DATE(Initialisatie!$C$5,12,31)) &lt; MAX($E$2, DATE(Initialisatie!$C$5,1,1)), 0, MONTH(MIN($E$1, DATE(Initialisatie!$C$5,12,31))) - MONTH(MAX($E$2, DATE(Initialisatie!$C$5,1,1))) + 1)),
        IFERROR(VALUE($F108),0) * MAX(0, IF(MIN($F$1, DATE(Initialisatie!$C$5,12,31)) &lt; MAX($F$2, DATE(Initialisatie!$C$5,1,1)), 0, MONTH(MIN($F$1, DATE(Initialisatie!$C$5,12,31))) - MONTH(MAX($F$2, DATE(Initialisatie!$C$5,1,1))) + 1)),
        IFERROR(VALUE($G108),0) * MAX(0, IF(MIN($G$1, DATE(Initialisatie!$C$5,12,31)) &lt; MAX($G$2, DATE(Initialisatie!$C$5,1,1)), 0, MONTH(MIN($G$1, DATE(Initialisatie!$C$5,12,31))) - MONTH(MAX($G$2, DATE(Initialisatie!$C$5,1,1))) + 1))
    ) / 12
)</f>
        <v>4157.5</v>
      </c>
    </row>
    <row r="109" spans="1:10" x14ac:dyDescent="0.45">
      <c r="A109" s="1001"/>
      <c r="B109" s="372">
        <v>14</v>
      </c>
      <c r="C109" s="373">
        <v>30</v>
      </c>
      <c r="D109" s="48">
        <v>4017</v>
      </c>
      <c r="E109" s="48">
        <v>4178</v>
      </c>
      <c r="F109" s="48">
        <v>4262</v>
      </c>
      <c r="G109" s="48">
        <v>4347</v>
      </c>
      <c r="I109">
        <f>IF(
    OR(
        AND(MAX(0, MIN($D$1, DATE(Initialisatie!$C$5,12,31)) - MAX($D$2, DATE(Initialisatie!$C$5,1,1)) + 1) &gt; 0, IFERROR(VALUE($D109),0)=0),
        AND(MAX(0, MIN($E$1, DATE(Initialisatie!$C$5,12,31)) - MAX($E$2, DATE(Initialisatie!$C$5,1,1)) + 1) &gt; 0, IFERROR(VALUE($E109),0)=0),
        AND(MAX(0, MIN($F$1, DATE(Initialisatie!$C$5,12,31)) - MAX($F$2, DATE(Initialisatie!$C$5,1,1)) + 1) &gt; 0, IFERROR(VALUE($F109),0)=0),
        AND(MAX(0, MIN($G$1, DATE(Initialisatie!$C$5,12,31)) - MAX($G$2, DATE(Initialisatie!$C$5,1,1)) + 1) &gt; 0, IFERROR(VALUE($G109),0)=0)
    ),
    0,
    SUM(
        IFERROR(VALUE($D109),0) * MAX(0, MIN($D$1, DATE(Initialisatie!$C$5,12,31)) - MAX($D$2, DATE(Initialisatie!$C$5,1,1)) + 1),
        IFERROR(VALUE($E109),0) * MAX(0, MIN($E$1, DATE(Initialisatie!$C$5,12,31)) - MAX($E$2, DATE(Initialisatie!$C$5,1,1)) + 1),
        IFERROR(VALUE($F109),0) * MAX(0, MIN($F$1, DATE(Initialisatie!$C$5,12,31)) - MAX($F$2, DATE(Initialisatie!$C$5,1,1)) + 1),
        IFERROR(VALUE($G109),0) * MAX(0, MIN($G$1, DATE(Initialisatie!$C$5,12,31)) - MAX($G$2, DATE(Initialisatie!$C$5,1,1)) + 1)
    ) / (DATE(Initialisatie!$C$5,12,31) - DATE(Initialisatie!$C$5,1,1) + 1)
)</f>
        <v>4248.58904109589</v>
      </c>
      <c r="J109">
        <f>IF(
    OR(
        AND(MAX(0, IF(MIN($D$1, DATE(Initialisatie!$C$5,12,31)) &lt; MAX($D$2, DATE(Initialisatie!$C$5,1,1)), 0, MONTH(MIN($D$1, DATE(Initialisatie!$C$5,12,31))) - MONTH(MAX($D$2, DATE(Initialisatie!$C$5,1,1))) + 1)) &lt;= 0, IFERROR(VALUE($D109),0)=0),
        AND(MAX(0, IF(MIN($E$1, DATE(Initialisatie!$C$5,12,31)) &lt; MAX($E$2, DATE(Initialisatie!$C$5,1,1)), 0, MONTH(MIN($E$1, DATE(Initialisatie!$C$5,12,31))) - MONTH(MAX($E$2, DATE(Initialisatie!$C$5,1,1))) + 1)) &lt;= 0, IFERROR(VALUE($E109),0)=0),
        AND(MAX(0, IF(MIN($F$1, DATE(Initialisatie!$C$5,12,31)) &lt; MAX($F$2, DATE(Initialisatie!$C$5,1,1)), 0, MONTH(MIN($F$1, DATE(Initialisatie!$C$5,12,31))) - MONTH(MAX($F$2, DATE(Initialisatie!$C$5,1,1))) + 1)) &lt;= 0, IFERROR(VALUE($F109),0)=0),
        AND(MAX(0, IF(MIN($G$1, DATE(Initialisatie!$C$5,12,31)) &lt; MAX($G$2, DATE(Initialisatie!$C$5,1,1)), 0, MONTH(MIN($G$1, DATE(Initialisatie!$C$5,12,31))) - MONTH(MAX($G$2, DATE(Initialisatie!$C$5,1,1))) + 1)) &lt;= 0, IFERROR(VALUE($G109),0)=0)
    ),
    0,
    SUM(
        IFERROR(VALUE($D109),0) * MAX(0, IF(MIN($D$1, DATE(Initialisatie!$C$5,12,31)) &lt; MAX($D$2, DATE(Initialisatie!$C$5,1,1)), 0, MONTH(MIN($D$1, DATE(Initialisatie!$C$5,12,31))) - MONTH(MAX($D$2, DATE(Initialisatie!$C$5,1,1))) + 1)),
        IFERROR(VALUE($E109),0) * MAX(0, IF(MIN($E$1, DATE(Initialisatie!$C$5,12,31)) &lt; MAX($E$2, DATE(Initialisatie!$C$5,1,1)), 0, MONTH(MIN($E$1, DATE(Initialisatie!$C$5,12,31))) - MONTH(MAX($E$2, DATE(Initialisatie!$C$5,1,1))) + 1)),
        IFERROR(VALUE($F109),0) * MAX(0, IF(MIN($F$1, DATE(Initialisatie!$C$5,12,31)) &lt; MAX($F$2, DATE(Initialisatie!$C$5,1,1)), 0, MONTH(MIN($F$1, DATE(Initialisatie!$C$5,12,31))) - MONTH(MAX($F$2, DATE(Initialisatie!$C$5,1,1))) + 1)),
        IFERROR(VALUE($G109),0) * MAX(0, IF(MIN($G$1, DATE(Initialisatie!$C$5,12,31)) &lt; MAX($G$2, DATE(Initialisatie!$C$5,1,1)), 0, MONTH(MIN($G$1, DATE(Initialisatie!$C$5,12,31))) - MONTH(MAX($G$2, DATE(Initialisatie!$C$5,1,1))) + 1))
    ) / 12
)</f>
        <v>4248.166666666667</v>
      </c>
    </row>
    <row r="110" spans="1:10" x14ac:dyDescent="0.45">
      <c r="A110" s="1000">
        <v>50</v>
      </c>
      <c r="B110" s="373">
        <v>1</v>
      </c>
      <c r="C110" s="373">
        <v>19</v>
      </c>
      <c r="D110" s="48">
        <v>3107</v>
      </c>
      <c r="E110" s="48">
        <v>3231</v>
      </c>
      <c r="F110" s="48">
        <v>3296</v>
      </c>
      <c r="G110" s="48">
        <v>3362</v>
      </c>
      <c r="I110">
        <f>IF(
    OR(
        AND(MAX(0, MIN($D$1, DATE(Initialisatie!$C$5,12,31)) - MAX($D$2, DATE(Initialisatie!$C$5,1,1)) + 1) &gt; 0, IFERROR(VALUE($D110),0)=0),
        AND(MAX(0, MIN($E$1, DATE(Initialisatie!$C$5,12,31)) - MAX($E$2, DATE(Initialisatie!$C$5,1,1)) + 1) &gt; 0, IFERROR(VALUE($E110),0)=0),
        AND(MAX(0, MIN($F$1, DATE(Initialisatie!$C$5,12,31)) - MAX($F$2, DATE(Initialisatie!$C$5,1,1)) + 1) &gt; 0, IFERROR(VALUE($F110),0)=0),
        AND(MAX(0, MIN($G$1, DATE(Initialisatie!$C$5,12,31)) - MAX($G$2, DATE(Initialisatie!$C$5,1,1)) + 1) &gt; 0, IFERROR(VALUE($G110),0)=0)
    ),
    0,
    SUM(
        IFERROR(VALUE($D110),0) * MAX(0, MIN($D$1, DATE(Initialisatie!$C$5,12,31)) - MAX($D$2, DATE(Initialisatie!$C$5,1,1)) + 1),
        IFERROR(VALUE($E110),0) * MAX(0, MIN($E$1, DATE(Initialisatie!$C$5,12,31)) - MAX($E$2, DATE(Initialisatie!$C$5,1,1)) + 1),
        IFERROR(VALUE($F110),0) * MAX(0, MIN($F$1, DATE(Initialisatie!$C$5,12,31)) - MAX($F$2, DATE(Initialisatie!$C$5,1,1)) + 1),
        IFERROR(VALUE($G110),0) * MAX(0, MIN($G$1, DATE(Initialisatie!$C$5,12,31)) - MAX($G$2, DATE(Initialisatie!$C$5,1,1)) + 1)
    ) / (DATE(Initialisatie!$C$5,12,31) - DATE(Initialisatie!$C$5,1,1) + 1)
)</f>
        <v>3285.6602739726027</v>
      </c>
      <c r="J110">
        <f>IF(
    OR(
        AND(MAX(0, IF(MIN($D$1, DATE(Initialisatie!$C$5,12,31)) &lt; MAX($D$2, DATE(Initialisatie!$C$5,1,1)), 0, MONTH(MIN($D$1, DATE(Initialisatie!$C$5,12,31))) - MONTH(MAX($D$2, DATE(Initialisatie!$C$5,1,1))) + 1)) &lt;= 0, IFERROR(VALUE($D110),0)=0),
        AND(MAX(0, IF(MIN($E$1, DATE(Initialisatie!$C$5,12,31)) &lt; MAX($E$2, DATE(Initialisatie!$C$5,1,1)), 0, MONTH(MIN($E$1, DATE(Initialisatie!$C$5,12,31))) - MONTH(MAX($E$2, DATE(Initialisatie!$C$5,1,1))) + 1)) &lt;= 0, IFERROR(VALUE($E110),0)=0),
        AND(MAX(0, IF(MIN($F$1, DATE(Initialisatie!$C$5,12,31)) &lt; MAX($F$2, DATE(Initialisatie!$C$5,1,1)), 0, MONTH(MIN($F$1, DATE(Initialisatie!$C$5,12,31))) - MONTH(MAX($F$2, DATE(Initialisatie!$C$5,1,1))) + 1)) &lt;= 0, IFERROR(VALUE($F110),0)=0),
        AND(MAX(0, IF(MIN($G$1, DATE(Initialisatie!$C$5,12,31)) &lt; MAX($G$2, DATE(Initialisatie!$C$5,1,1)), 0, MONTH(MIN($G$1, DATE(Initialisatie!$C$5,12,31))) - MONTH(MAX($G$2, DATE(Initialisatie!$C$5,1,1))) + 1)) &lt;= 0, IFERROR(VALUE($G110),0)=0)
    ),
    0,
    SUM(
        IFERROR(VALUE($D110),0) * MAX(0, IF(MIN($D$1, DATE(Initialisatie!$C$5,12,31)) &lt; MAX($D$2, DATE(Initialisatie!$C$5,1,1)), 0, MONTH(MIN($D$1, DATE(Initialisatie!$C$5,12,31))) - MONTH(MAX($D$2, DATE(Initialisatie!$C$5,1,1))) + 1)),
        IFERROR(VALUE($E110),0) * MAX(0, IF(MIN($E$1, DATE(Initialisatie!$C$5,12,31)) &lt; MAX($E$2, DATE(Initialisatie!$C$5,1,1)), 0, MONTH(MIN($E$1, DATE(Initialisatie!$C$5,12,31))) - MONTH(MAX($E$2, DATE(Initialisatie!$C$5,1,1))) + 1)),
        IFERROR(VALUE($F110),0) * MAX(0, IF(MIN($F$1, DATE(Initialisatie!$C$5,12,31)) &lt; MAX($F$2, DATE(Initialisatie!$C$5,1,1)), 0, MONTH(MIN($F$1, DATE(Initialisatie!$C$5,12,31))) - MONTH(MAX($F$2, DATE(Initialisatie!$C$5,1,1))) + 1)),
        IFERROR(VALUE($G110),0) * MAX(0, IF(MIN($G$1, DATE(Initialisatie!$C$5,12,31)) &lt; MAX($G$2, DATE(Initialisatie!$C$5,1,1)), 0, MONTH(MIN($G$1, DATE(Initialisatie!$C$5,12,31))) - MONTH(MAX($G$2, DATE(Initialisatie!$C$5,1,1))) + 1))
    ) / 12
)</f>
        <v>3285.3333333333335</v>
      </c>
    </row>
    <row r="111" spans="1:10" x14ac:dyDescent="0.45">
      <c r="A111" s="999"/>
      <c r="B111" s="372">
        <v>2</v>
      </c>
      <c r="C111" s="373">
        <v>21</v>
      </c>
      <c r="D111" s="48">
        <v>3269</v>
      </c>
      <c r="E111" s="48">
        <v>3400</v>
      </c>
      <c r="F111" s="48">
        <v>3468</v>
      </c>
      <c r="G111" s="48">
        <v>3537</v>
      </c>
      <c r="I111">
        <f>IF(
    OR(
        AND(MAX(0, MIN($D$1, DATE(Initialisatie!$C$5,12,31)) - MAX($D$2, DATE(Initialisatie!$C$5,1,1)) + 1) &gt; 0, IFERROR(VALUE($D111),0)=0),
        AND(MAX(0, MIN($E$1, DATE(Initialisatie!$C$5,12,31)) - MAX($E$2, DATE(Initialisatie!$C$5,1,1)) + 1) &gt; 0, IFERROR(VALUE($E111),0)=0),
        AND(MAX(0, MIN($F$1, DATE(Initialisatie!$C$5,12,31)) - MAX($F$2, DATE(Initialisatie!$C$5,1,1)) + 1) &gt; 0, IFERROR(VALUE($F111),0)=0),
        AND(MAX(0, MIN($G$1, DATE(Initialisatie!$C$5,12,31)) - MAX($G$2, DATE(Initialisatie!$C$5,1,1)) + 1) &gt; 0, IFERROR(VALUE($G111),0)=0)
    ),
    0,
    SUM(
        IFERROR(VALUE($D111),0) * MAX(0, MIN($D$1, DATE(Initialisatie!$C$5,12,31)) - MAX($D$2, DATE(Initialisatie!$C$5,1,1)) + 1),
        IFERROR(VALUE($E111),0) * MAX(0, MIN($E$1, DATE(Initialisatie!$C$5,12,31)) - MAX($E$2, DATE(Initialisatie!$C$5,1,1)) + 1),
        IFERROR(VALUE($F111),0) * MAX(0, MIN($F$1, DATE(Initialisatie!$C$5,12,31)) - MAX($F$2, DATE(Initialisatie!$C$5,1,1)) + 1),
        IFERROR(VALUE($G111),0) * MAX(0, MIN($G$1, DATE(Initialisatie!$C$5,12,31)) - MAX($G$2, DATE(Initialisatie!$C$5,1,1)) + 1)
    ) / (DATE(Initialisatie!$C$5,12,31) - DATE(Initialisatie!$C$5,1,1) + 1)
)</f>
        <v>3457.1753424657536</v>
      </c>
      <c r="J111">
        <f>IF(
    OR(
        AND(MAX(0, IF(MIN($D$1, DATE(Initialisatie!$C$5,12,31)) &lt; MAX($D$2, DATE(Initialisatie!$C$5,1,1)), 0, MONTH(MIN($D$1, DATE(Initialisatie!$C$5,12,31))) - MONTH(MAX($D$2, DATE(Initialisatie!$C$5,1,1))) + 1)) &lt;= 0, IFERROR(VALUE($D111),0)=0),
        AND(MAX(0, IF(MIN($E$1, DATE(Initialisatie!$C$5,12,31)) &lt; MAX($E$2, DATE(Initialisatie!$C$5,1,1)), 0, MONTH(MIN($E$1, DATE(Initialisatie!$C$5,12,31))) - MONTH(MAX($E$2, DATE(Initialisatie!$C$5,1,1))) + 1)) &lt;= 0, IFERROR(VALUE($E111),0)=0),
        AND(MAX(0, IF(MIN($F$1, DATE(Initialisatie!$C$5,12,31)) &lt; MAX($F$2, DATE(Initialisatie!$C$5,1,1)), 0, MONTH(MIN($F$1, DATE(Initialisatie!$C$5,12,31))) - MONTH(MAX($F$2, DATE(Initialisatie!$C$5,1,1))) + 1)) &lt;= 0, IFERROR(VALUE($F111),0)=0),
        AND(MAX(0, IF(MIN($G$1, DATE(Initialisatie!$C$5,12,31)) &lt; MAX($G$2, DATE(Initialisatie!$C$5,1,1)), 0, MONTH(MIN($G$1, DATE(Initialisatie!$C$5,12,31))) - MONTH(MAX($G$2, DATE(Initialisatie!$C$5,1,1))) + 1)) &lt;= 0, IFERROR(VALUE($G111),0)=0)
    ),
    0,
    SUM(
        IFERROR(VALUE($D111),0) * MAX(0, IF(MIN($D$1, DATE(Initialisatie!$C$5,12,31)) &lt; MAX($D$2, DATE(Initialisatie!$C$5,1,1)), 0, MONTH(MIN($D$1, DATE(Initialisatie!$C$5,12,31))) - MONTH(MAX($D$2, DATE(Initialisatie!$C$5,1,1))) + 1)),
        IFERROR(VALUE($E111),0) * MAX(0, IF(MIN($E$1, DATE(Initialisatie!$C$5,12,31)) &lt; MAX($E$2, DATE(Initialisatie!$C$5,1,1)), 0, MONTH(MIN($E$1, DATE(Initialisatie!$C$5,12,31))) - MONTH(MAX($E$2, DATE(Initialisatie!$C$5,1,1))) + 1)),
        IFERROR(VALUE($F111),0) * MAX(0, IF(MIN($F$1, DATE(Initialisatie!$C$5,12,31)) &lt; MAX($F$2, DATE(Initialisatie!$C$5,1,1)), 0, MONTH(MIN($F$1, DATE(Initialisatie!$C$5,12,31))) - MONTH(MAX($F$2, DATE(Initialisatie!$C$5,1,1))) + 1)),
        IFERROR(VALUE($G111),0) * MAX(0, IF(MIN($G$1, DATE(Initialisatie!$C$5,12,31)) &lt; MAX($G$2, DATE(Initialisatie!$C$5,1,1)), 0, MONTH(MIN($G$1, DATE(Initialisatie!$C$5,12,31))) - MONTH(MAX($G$2, DATE(Initialisatie!$C$5,1,1))) + 1))
    ) / 12
)</f>
        <v>3456.8333333333335</v>
      </c>
    </row>
    <row r="112" spans="1:10" x14ac:dyDescent="0.45">
      <c r="A112" s="999"/>
      <c r="B112" s="372">
        <v>3</v>
      </c>
      <c r="C112" s="373">
        <v>23</v>
      </c>
      <c r="D112" s="48">
        <v>3427</v>
      </c>
      <c r="E112" s="48">
        <v>3564</v>
      </c>
      <c r="F112" s="48">
        <v>3635</v>
      </c>
      <c r="G112" s="48">
        <v>3708</v>
      </c>
      <c r="I112">
        <f>IF(
    OR(
        AND(MAX(0, MIN($D$1, DATE(Initialisatie!$C$5,12,31)) - MAX($D$2, DATE(Initialisatie!$C$5,1,1)) + 1) &gt; 0, IFERROR(VALUE($D112),0)=0),
        AND(MAX(0, MIN($E$1, DATE(Initialisatie!$C$5,12,31)) - MAX($E$2, DATE(Initialisatie!$C$5,1,1)) + 1) &gt; 0, IFERROR(VALUE($E112),0)=0),
        AND(MAX(0, MIN($F$1, DATE(Initialisatie!$C$5,12,31)) - MAX($F$2, DATE(Initialisatie!$C$5,1,1)) + 1) &gt; 0, IFERROR(VALUE($F112),0)=0),
        AND(MAX(0, MIN($G$1, DATE(Initialisatie!$C$5,12,31)) - MAX($G$2, DATE(Initialisatie!$C$5,1,1)) + 1) &gt; 0, IFERROR(VALUE($G112),0)=0)
    ),
    0,
    SUM(
        IFERROR(VALUE($D112),0) * MAX(0, MIN($D$1, DATE(Initialisatie!$C$5,12,31)) - MAX($D$2, DATE(Initialisatie!$C$5,1,1)) + 1),
        IFERROR(VALUE($E112),0) * MAX(0, MIN($E$1, DATE(Initialisatie!$C$5,12,31)) - MAX($E$2, DATE(Initialisatie!$C$5,1,1)) + 1),
        IFERROR(VALUE($F112),0) * MAX(0, MIN($F$1, DATE(Initialisatie!$C$5,12,31)) - MAX($F$2, DATE(Initialisatie!$C$5,1,1)) + 1),
        IFERROR(VALUE($G112),0) * MAX(0, MIN($G$1, DATE(Initialisatie!$C$5,12,31)) - MAX($G$2, DATE(Initialisatie!$C$5,1,1)) + 1)
    ) / (DATE(Initialisatie!$C$5,12,31) - DATE(Initialisatie!$C$5,1,1) + 1)
)</f>
        <v>3623.8575342465751</v>
      </c>
      <c r="J112">
        <f>IF(
    OR(
        AND(MAX(0, IF(MIN($D$1, DATE(Initialisatie!$C$5,12,31)) &lt; MAX($D$2, DATE(Initialisatie!$C$5,1,1)), 0, MONTH(MIN($D$1, DATE(Initialisatie!$C$5,12,31))) - MONTH(MAX($D$2, DATE(Initialisatie!$C$5,1,1))) + 1)) &lt;= 0, IFERROR(VALUE($D112),0)=0),
        AND(MAX(0, IF(MIN($E$1, DATE(Initialisatie!$C$5,12,31)) &lt; MAX($E$2, DATE(Initialisatie!$C$5,1,1)), 0, MONTH(MIN($E$1, DATE(Initialisatie!$C$5,12,31))) - MONTH(MAX($E$2, DATE(Initialisatie!$C$5,1,1))) + 1)) &lt;= 0, IFERROR(VALUE($E112),0)=0),
        AND(MAX(0, IF(MIN($F$1, DATE(Initialisatie!$C$5,12,31)) &lt; MAX($F$2, DATE(Initialisatie!$C$5,1,1)), 0, MONTH(MIN($F$1, DATE(Initialisatie!$C$5,12,31))) - MONTH(MAX($F$2, DATE(Initialisatie!$C$5,1,1))) + 1)) &lt;= 0, IFERROR(VALUE($F112),0)=0),
        AND(MAX(0, IF(MIN($G$1, DATE(Initialisatie!$C$5,12,31)) &lt; MAX($G$2, DATE(Initialisatie!$C$5,1,1)), 0, MONTH(MIN($G$1, DATE(Initialisatie!$C$5,12,31))) - MONTH(MAX($G$2, DATE(Initialisatie!$C$5,1,1))) + 1)) &lt;= 0, IFERROR(VALUE($G112),0)=0)
    ),
    0,
    SUM(
        IFERROR(VALUE($D112),0) * MAX(0, IF(MIN($D$1, DATE(Initialisatie!$C$5,12,31)) &lt; MAX($D$2, DATE(Initialisatie!$C$5,1,1)), 0, MONTH(MIN($D$1, DATE(Initialisatie!$C$5,12,31))) - MONTH(MAX($D$2, DATE(Initialisatie!$C$5,1,1))) + 1)),
        IFERROR(VALUE($E112),0) * MAX(0, IF(MIN($E$1, DATE(Initialisatie!$C$5,12,31)) &lt; MAX($E$2, DATE(Initialisatie!$C$5,1,1)), 0, MONTH(MIN($E$1, DATE(Initialisatie!$C$5,12,31))) - MONTH(MAX($E$2, DATE(Initialisatie!$C$5,1,1))) + 1)),
        IFERROR(VALUE($F112),0) * MAX(0, IF(MIN($F$1, DATE(Initialisatie!$C$5,12,31)) &lt; MAX($F$2, DATE(Initialisatie!$C$5,1,1)), 0, MONTH(MIN($F$1, DATE(Initialisatie!$C$5,12,31))) - MONTH(MAX($F$2, DATE(Initialisatie!$C$5,1,1))) + 1)),
        IFERROR(VALUE($G112),0) * MAX(0, IF(MIN($G$1, DATE(Initialisatie!$C$5,12,31)) &lt; MAX($G$2, DATE(Initialisatie!$C$5,1,1)), 0, MONTH(MIN($G$1, DATE(Initialisatie!$C$5,12,31))) - MONTH(MAX($G$2, DATE(Initialisatie!$C$5,1,1))) + 1))
    ) / 12
)</f>
        <v>3623.5</v>
      </c>
    </row>
    <row r="113" spans="1:10" x14ac:dyDescent="0.45">
      <c r="A113" s="999"/>
      <c r="B113" s="372">
        <v>4</v>
      </c>
      <c r="C113" s="373">
        <v>25</v>
      </c>
      <c r="D113" s="48">
        <v>3593</v>
      </c>
      <c r="E113" s="48">
        <v>3737</v>
      </c>
      <c r="F113" s="48">
        <v>3812</v>
      </c>
      <c r="G113" s="48">
        <v>3888</v>
      </c>
      <c r="I113">
        <f>IF(
    OR(
        AND(MAX(0, MIN($D$1, DATE(Initialisatie!$C$5,12,31)) - MAX($D$2, DATE(Initialisatie!$C$5,1,1)) + 1) &gt; 0, IFERROR(VALUE($D113),0)=0),
        AND(MAX(0, MIN($E$1, DATE(Initialisatie!$C$5,12,31)) - MAX($E$2, DATE(Initialisatie!$C$5,1,1)) + 1) &gt; 0, IFERROR(VALUE($E113),0)=0),
        AND(MAX(0, MIN($F$1, DATE(Initialisatie!$C$5,12,31)) - MAX($F$2, DATE(Initialisatie!$C$5,1,1)) + 1) &gt; 0, IFERROR(VALUE($F113),0)=0),
        AND(MAX(0, MIN($G$1, DATE(Initialisatie!$C$5,12,31)) - MAX($G$2, DATE(Initialisatie!$C$5,1,1)) + 1) &gt; 0, IFERROR(VALUE($G113),0)=0)
    ),
    0,
    SUM(
        IFERROR(VALUE($D113),0) * MAX(0, MIN($D$1, DATE(Initialisatie!$C$5,12,31)) - MAX($D$2, DATE(Initialisatie!$C$5,1,1)) + 1),
        IFERROR(VALUE($E113),0) * MAX(0, MIN($E$1, DATE(Initialisatie!$C$5,12,31)) - MAX($E$2, DATE(Initialisatie!$C$5,1,1)) + 1),
        IFERROR(VALUE($F113),0) * MAX(0, MIN($F$1, DATE(Initialisatie!$C$5,12,31)) - MAX($F$2, DATE(Initialisatie!$C$5,1,1)) + 1),
        IFERROR(VALUE($G113),0) * MAX(0, MIN($G$1, DATE(Initialisatie!$C$5,12,31)) - MAX($G$2, DATE(Initialisatie!$C$5,1,1)) + 1)
    ) / (DATE(Initialisatie!$C$5,12,31) - DATE(Initialisatie!$C$5,1,1) + 1)
)</f>
        <v>3800.0438356164382</v>
      </c>
      <c r="J113">
        <f>IF(
    OR(
        AND(MAX(0, IF(MIN($D$1, DATE(Initialisatie!$C$5,12,31)) &lt; MAX($D$2, DATE(Initialisatie!$C$5,1,1)), 0, MONTH(MIN($D$1, DATE(Initialisatie!$C$5,12,31))) - MONTH(MAX($D$2, DATE(Initialisatie!$C$5,1,1))) + 1)) &lt;= 0, IFERROR(VALUE($D113),0)=0),
        AND(MAX(0, IF(MIN($E$1, DATE(Initialisatie!$C$5,12,31)) &lt; MAX($E$2, DATE(Initialisatie!$C$5,1,1)), 0, MONTH(MIN($E$1, DATE(Initialisatie!$C$5,12,31))) - MONTH(MAX($E$2, DATE(Initialisatie!$C$5,1,1))) + 1)) &lt;= 0, IFERROR(VALUE($E113),0)=0),
        AND(MAX(0, IF(MIN($F$1, DATE(Initialisatie!$C$5,12,31)) &lt; MAX($F$2, DATE(Initialisatie!$C$5,1,1)), 0, MONTH(MIN($F$1, DATE(Initialisatie!$C$5,12,31))) - MONTH(MAX($F$2, DATE(Initialisatie!$C$5,1,1))) + 1)) &lt;= 0, IFERROR(VALUE($F113),0)=0),
        AND(MAX(0, IF(MIN($G$1, DATE(Initialisatie!$C$5,12,31)) &lt; MAX($G$2, DATE(Initialisatie!$C$5,1,1)), 0, MONTH(MIN($G$1, DATE(Initialisatie!$C$5,12,31))) - MONTH(MAX($G$2, DATE(Initialisatie!$C$5,1,1))) + 1)) &lt;= 0, IFERROR(VALUE($G113),0)=0)
    ),
    0,
    SUM(
        IFERROR(VALUE($D113),0) * MAX(0, IF(MIN($D$1, DATE(Initialisatie!$C$5,12,31)) &lt; MAX($D$2, DATE(Initialisatie!$C$5,1,1)), 0, MONTH(MIN($D$1, DATE(Initialisatie!$C$5,12,31))) - MONTH(MAX($D$2, DATE(Initialisatie!$C$5,1,1))) + 1)),
        IFERROR(VALUE($E113),0) * MAX(0, IF(MIN($E$1, DATE(Initialisatie!$C$5,12,31)) &lt; MAX($E$2, DATE(Initialisatie!$C$5,1,1)), 0, MONTH(MIN($E$1, DATE(Initialisatie!$C$5,12,31))) - MONTH(MAX($E$2, DATE(Initialisatie!$C$5,1,1))) + 1)),
        IFERROR(VALUE($F113),0) * MAX(0, IF(MIN($F$1, DATE(Initialisatie!$C$5,12,31)) &lt; MAX($F$2, DATE(Initialisatie!$C$5,1,1)), 0, MONTH(MIN($F$1, DATE(Initialisatie!$C$5,12,31))) - MONTH(MAX($F$2, DATE(Initialisatie!$C$5,1,1))) + 1)),
        IFERROR(VALUE($G113),0) * MAX(0, IF(MIN($G$1, DATE(Initialisatie!$C$5,12,31)) &lt; MAX($G$2, DATE(Initialisatie!$C$5,1,1)), 0, MONTH(MIN($G$1, DATE(Initialisatie!$C$5,12,31))) - MONTH(MAX($G$2, DATE(Initialisatie!$C$5,1,1))) + 1))
    ) / 12
)</f>
        <v>3799.6666666666665</v>
      </c>
    </row>
    <row r="114" spans="1:10" x14ac:dyDescent="0.45">
      <c r="A114" s="999"/>
      <c r="B114" s="372">
        <v>5</v>
      </c>
      <c r="C114" s="373">
        <v>27</v>
      </c>
      <c r="D114" s="48">
        <v>3766</v>
      </c>
      <c r="E114" s="48">
        <v>3917</v>
      </c>
      <c r="F114" s="48">
        <v>3995</v>
      </c>
      <c r="G114" s="48">
        <v>4075</v>
      </c>
      <c r="I114">
        <f>IF(
    OR(
        AND(MAX(0, MIN($D$1, DATE(Initialisatie!$C$5,12,31)) - MAX($D$2, DATE(Initialisatie!$C$5,1,1)) + 1) &gt; 0, IFERROR(VALUE($D114),0)=0),
        AND(MAX(0, MIN($E$1, DATE(Initialisatie!$C$5,12,31)) - MAX($E$2, DATE(Initialisatie!$C$5,1,1)) + 1) &gt; 0, IFERROR(VALUE($E114),0)=0),
        AND(MAX(0, MIN($F$1, DATE(Initialisatie!$C$5,12,31)) - MAX($F$2, DATE(Initialisatie!$C$5,1,1)) + 1) &gt; 0, IFERROR(VALUE($F114),0)=0),
        AND(MAX(0, MIN($G$1, DATE(Initialisatie!$C$5,12,31)) - MAX($G$2, DATE(Initialisatie!$C$5,1,1)) + 1) &gt; 0, IFERROR(VALUE($G114),0)=0)
    ),
    0,
    SUM(
        IFERROR(VALUE($D114),0) * MAX(0, MIN($D$1, DATE(Initialisatie!$C$5,12,31)) - MAX($D$2, DATE(Initialisatie!$C$5,1,1)) + 1),
        IFERROR(VALUE($E114),0) * MAX(0, MIN($E$1, DATE(Initialisatie!$C$5,12,31)) - MAX($E$2, DATE(Initialisatie!$C$5,1,1)) + 1),
        IFERROR(VALUE($F114),0) * MAX(0, MIN($F$1, DATE(Initialisatie!$C$5,12,31)) - MAX($F$2, DATE(Initialisatie!$C$5,1,1)) + 1),
        IFERROR(VALUE($G114),0) * MAX(0, MIN($G$1, DATE(Initialisatie!$C$5,12,31)) - MAX($G$2, DATE(Initialisatie!$C$5,1,1)) + 1)
    ) / (DATE(Initialisatie!$C$5,12,31) - DATE(Initialisatie!$C$5,1,1) + 1)
)</f>
        <v>3982.7260273972602</v>
      </c>
      <c r="J114">
        <f>IF(
    OR(
        AND(MAX(0, IF(MIN($D$1, DATE(Initialisatie!$C$5,12,31)) &lt; MAX($D$2, DATE(Initialisatie!$C$5,1,1)), 0, MONTH(MIN($D$1, DATE(Initialisatie!$C$5,12,31))) - MONTH(MAX($D$2, DATE(Initialisatie!$C$5,1,1))) + 1)) &lt;= 0, IFERROR(VALUE($D114),0)=0),
        AND(MAX(0, IF(MIN($E$1, DATE(Initialisatie!$C$5,12,31)) &lt; MAX($E$2, DATE(Initialisatie!$C$5,1,1)), 0, MONTH(MIN($E$1, DATE(Initialisatie!$C$5,12,31))) - MONTH(MAX($E$2, DATE(Initialisatie!$C$5,1,1))) + 1)) &lt;= 0, IFERROR(VALUE($E114),0)=0),
        AND(MAX(0, IF(MIN($F$1, DATE(Initialisatie!$C$5,12,31)) &lt; MAX($F$2, DATE(Initialisatie!$C$5,1,1)), 0, MONTH(MIN($F$1, DATE(Initialisatie!$C$5,12,31))) - MONTH(MAX($F$2, DATE(Initialisatie!$C$5,1,1))) + 1)) &lt;= 0, IFERROR(VALUE($F114),0)=0),
        AND(MAX(0, IF(MIN($G$1, DATE(Initialisatie!$C$5,12,31)) &lt; MAX($G$2, DATE(Initialisatie!$C$5,1,1)), 0, MONTH(MIN($G$1, DATE(Initialisatie!$C$5,12,31))) - MONTH(MAX($G$2, DATE(Initialisatie!$C$5,1,1))) + 1)) &lt;= 0, IFERROR(VALUE($G114),0)=0)
    ),
    0,
    SUM(
        IFERROR(VALUE($D114),0) * MAX(0, IF(MIN($D$1, DATE(Initialisatie!$C$5,12,31)) &lt; MAX($D$2, DATE(Initialisatie!$C$5,1,1)), 0, MONTH(MIN($D$1, DATE(Initialisatie!$C$5,12,31))) - MONTH(MAX($D$2, DATE(Initialisatie!$C$5,1,1))) + 1)),
        IFERROR(VALUE($E114),0) * MAX(0, IF(MIN($E$1, DATE(Initialisatie!$C$5,12,31)) &lt; MAX($E$2, DATE(Initialisatie!$C$5,1,1)), 0, MONTH(MIN($E$1, DATE(Initialisatie!$C$5,12,31))) - MONTH(MAX($E$2, DATE(Initialisatie!$C$5,1,1))) + 1)),
        IFERROR(VALUE($F114),0) * MAX(0, IF(MIN($F$1, DATE(Initialisatie!$C$5,12,31)) &lt; MAX($F$2, DATE(Initialisatie!$C$5,1,1)), 0, MONTH(MIN($F$1, DATE(Initialisatie!$C$5,12,31))) - MONTH(MAX($F$2, DATE(Initialisatie!$C$5,1,1))) + 1)),
        IFERROR(VALUE($G114),0) * MAX(0, IF(MIN($G$1, DATE(Initialisatie!$C$5,12,31)) &lt; MAX($G$2, DATE(Initialisatie!$C$5,1,1)), 0, MONTH(MIN($G$1, DATE(Initialisatie!$C$5,12,31))) - MONTH(MAX($G$2, DATE(Initialisatie!$C$5,1,1))) + 1))
    ) / 12
)</f>
        <v>3982.3333333333335</v>
      </c>
    </row>
    <row r="115" spans="1:10" x14ac:dyDescent="0.45">
      <c r="A115" s="999"/>
      <c r="B115" s="43">
        <v>6</v>
      </c>
      <c r="C115" s="373">
        <v>28</v>
      </c>
      <c r="D115" s="48">
        <v>3843</v>
      </c>
      <c r="E115" s="48">
        <v>3997</v>
      </c>
      <c r="F115" s="48">
        <v>4077</v>
      </c>
      <c r="G115" s="48">
        <v>4159</v>
      </c>
      <c r="I115">
        <f>IF(
    OR(
        AND(MAX(0, MIN($D$1, DATE(Initialisatie!$C$5,12,31)) - MAX($D$2, DATE(Initialisatie!$C$5,1,1)) + 1) &gt; 0, IFERROR(VALUE($D115),0)=0),
        AND(MAX(0, MIN($E$1, DATE(Initialisatie!$C$5,12,31)) - MAX($E$2, DATE(Initialisatie!$C$5,1,1)) + 1) &gt; 0, IFERROR(VALUE($E115),0)=0),
        AND(MAX(0, MIN($F$1, DATE(Initialisatie!$C$5,12,31)) - MAX($F$2, DATE(Initialisatie!$C$5,1,1)) + 1) &gt; 0, IFERROR(VALUE($F115),0)=0),
        AND(MAX(0, MIN($G$1, DATE(Initialisatie!$C$5,12,31)) - MAX($G$2, DATE(Initialisatie!$C$5,1,1)) + 1) &gt; 0, IFERROR(VALUE($G115),0)=0)
    ),
    0,
    SUM(
        IFERROR(VALUE($D115),0) * MAX(0, MIN($D$1, DATE(Initialisatie!$C$5,12,31)) - MAX($D$2, DATE(Initialisatie!$C$5,1,1)) + 1),
        IFERROR(VALUE($E115),0) * MAX(0, MIN($E$1, DATE(Initialisatie!$C$5,12,31)) - MAX($E$2, DATE(Initialisatie!$C$5,1,1)) + 1),
        IFERROR(VALUE($F115),0) * MAX(0, MIN($F$1, DATE(Initialisatie!$C$5,12,31)) - MAX($F$2, DATE(Initialisatie!$C$5,1,1)) + 1),
        IFERROR(VALUE($G115),0) * MAX(0, MIN($G$1, DATE(Initialisatie!$C$5,12,31)) - MAX($G$2, DATE(Initialisatie!$C$5,1,1)) + 1)
    ) / (DATE(Initialisatie!$C$5,12,31) - DATE(Initialisatie!$C$5,1,1) + 1)
)</f>
        <v>4064.4027397260274</v>
      </c>
      <c r="J115">
        <f>IF(
    OR(
        AND(MAX(0, IF(MIN($D$1, DATE(Initialisatie!$C$5,12,31)) &lt; MAX($D$2, DATE(Initialisatie!$C$5,1,1)), 0, MONTH(MIN($D$1, DATE(Initialisatie!$C$5,12,31))) - MONTH(MAX($D$2, DATE(Initialisatie!$C$5,1,1))) + 1)) &lt;= 0, IFERROR(VALUE($D115),0)=0),
        AND(MAX(0, IF(MIN($E$1, DATE(Initialisatie!$C$5,12,31)) &lt; MAX($E$2, DATE(Initialisatie!$C$5,1,1)), 0, MONTH(MIN($E$1, DATE(Initialisatie!$C$5,12,31))) - MONTH(MAX($E$2, DATE(Initialisatie!$C$5,1,1))) + 1)) &lt;= 0, IFERROR(VALUE($E115),0)=0),
        AND(MAX(0, IF(MIN($F$1, DATE(Initialisatie!$C$5,12,31)) &lt; MAX($F$2, DATE(Initialisatie!$C$5,1,1)), 0, MONTH(MIN($F$1, DATE(Initialisatie!$C$5,12,31))) - MONTH(MAX($F$2, DATE(Initialisatie!$C$5,1,1))) + 1)) &lt;= 0, IFERROR(VALUE($F115),0)=0),
        AND(MAX(0, IF(MIN($G$1, DATE(Initialisatie!$C$5,12,31)) &lt; MAX($G$2, DATE(Initialisatie!$C$5,1,1)), 0, MONTH(MIN($G$1, DATE(Initialisatie!$C$5,12,31))) - MONTH(MAX($G$2, DATE(Initialisatie!$C$5,1,1))) + 1)) &lt;= 0, IFERROR(VALUE($G115),0)=0)
    ),
    0,
    SUM(
        IFERROR(VALUE($D115),0) * MAX(0, IF(MIN($D$1, DATE(Initialisatie!$C$5,12,31)) &lt; MAX($D$2, DATE(Initialisatie!$C$5,1,1)), 0, MONTH(MIN($D$1, DATE(Initialisatie!$C$5,12,31))) - MONTH(MAX($D$2, DATE(Initialisatie!$C$5,1,1))) + 1)),
        IFERROR(VALUE($E115),0) * MAX(0, IF(MIN($E$1, DATE(Initialisatie!$C$5,12,31)) &lt; MAX($E$2, DATE(Initialisatie!$C$5,1,1)), 0, MONTH(MIN($E$1, DATE(Initialisatie!$C$5,12,31))) - MONTH(MAX($E$2, DATE(Initialisatie!$C$5,1,1))) + 1)),
        IFERROR(VALUE($F115),0) * MAX(0, IF(MIN($F$1, DATE(Initialisatie!$C$5,12,31)) &lt; MAX($F$2, DATE(Initialisatie!$C$5,1,1)), 0, MONTH(MIN($F$1, DATE(Initialisatie!$C$5,12,31))) - MONTH(MAX($F$2, DATE(Initialisatie!$C$5,1,1))) + 1)),
        IFERROR(VALUE($G115),0) * MAX(0, IF(MIN($G$1, DATE(Initialisatie!$C$5,12,31)) &lt; MAX($G$2, DATE(Initialisatie!$C$5,1,1)), 0, MONTH(MIN($G$1, DATE(Initialisatie!$C$5,12,31))) - MONTH(MAX($G$2, DATE(Initialisatie!$C$5,1,1))) + 1))
    ) / 12
)</f>
        <v>4064</v>
      </c>
    </row>
    <row r="116" spans="1:10" x14ac:dyDescent="0.45">
      <c r="A116" s="999"/>
      <c r="B116" s="43">
        <v>7</v>
      </c>
      <c r="C116" s="373">
        <v>29</v>
      </c>
      <c r="D116" s="48">
        <v>3932</v>
      </c>
      <c r="E116" s="48">
        <v>4089</v>
      </c>
      <c r="F116" s="48">
        <v>4171</v>
      </c>
      <c r="G116" s="48">
        <v>4254</v>
      </c>
      <c r="I116">
        <f>IF(
    OR(
        AND(MAX(0, MIN($D$1, DATE(Initialisatie!$C$5,12,31)) - MAX($D$2, DATE(Initialisatie!$C$5,1,1)) + 1) &gt; 0, IFERROR(VALUE($D116),0)=0),
        AND(MAX(0, MIN($E$1, DATE(Initialisatie!$C$5,12,31)) - MAX($E$2, DATE(Initialisatie!$C$5,1,1)) + 1) &gt; 0, IFERROR(VALUE($E116),0)=0),
        AND(MAX(0, MIN($F$1, DATE(Initialisatie!$C$5,12,31)) - MAX($F$2, DATE(Initialisatie!$C$5,1,1)) + 1) &gt; 0, IFERROR(VALUE($F116),0)=0),
        AND(MAX(0, MIN($G$1, DATE(Initialisatie!$C$5,12,31)) - MAX($G$2, DATE(Initialisatie!$C$5,1,1)) + 1) &gt; 0, IFERROR(VALUE($G116),0)=0)
    ),
    0,
    SUM(
        IFERROR(VALUE($D116),0) * MAX(0, MIN($D$1, DATE(Initialisatie!$C$5,12,31)) - MAX($D$2, DATE(Initialisatie!$C$5,1,1)) + 1),
        IFERROR(VALUE($E116),0) * MAX(0, MIN($E$1, DATE(Initialisatie!$C$5,12,31)) - MAX($E$2, DATE(Initialisatie!$C$5,1,1)) + 1),
        IFERROR(VALUE($F116),0) * MAX(0, MIN($F$1, DATE(Initialisatie!$C$5,12,31)) - MAX($F$2, DATE(Initialisatie!$C$5,1,1)) + 1),
        IFERROR(VALUE($G116),0) * MAX(0, MIN($G$1, DATE(Initialisatie!$C$5,12,31)) - MAX($G$2, DATE(Initialisatie!$C$5,1,1)) + 1)
    ) / (DATE(Initialisatie!$C$5,12,31) - DATE(Initialisatie!$C$5,1,1) + 1)
)</f>
        <v>4157.9123287671237</v>
      </c>
      <c r="J116">
        <f>IF(
    OR(
        AND(MAX(0, IF(MIN($D$1, DATE(Initialisatie!$C$5,12,31)) &lt; MAX($D$2, DATE(Initialisatie!$C$5,1,1)), 0, MONTH(MIN($D$1, DATE(Initialisatie!$C$5,12,31))) - MONTH(MAX($D$2, DATE(Initialisatie!$C$5,1,1))) + 1)) &lt;= 0, IFERROR(VALUE($D116),0)=0),
        AND(MAX(0, IF(MIN($E$1, DATE(Initialisatie!$C$5,12,31)) &lt; MAX($E$2, DATE(Initialisatie!$C$5,1,1)), 0, MONTH(MIN($E$1, DATE(Initialisatie!$C$5,12,31))) - MONTH(MAX($E$2, DATE(Initialisatie!$C$5,1,1))) + 1)) &lt;= 0, IFERROR(VALUE($E116),0)=0),
        AND(MAX(0, IF(MIN($F$1, DATE(Initialisatie!$C$5,12,31)) &lt; MAX($F$2, DATE(Initialisatie!$C$5,1,1)), 0, MONTH(MIN($F$1, DATE(Initialisatie!$C$5,12,31))) - MONTH(MAX($F$2, DATE(Initialisatie!$C$5,1,1))) + 1)) &lt;= 0, IFERROR(VALUE($F116),0)=0),
        AND(MAX(0, IF(MIN($G$1, DATE(Initialisatie!$C$5,12,31)) &lt; MAX($G$2, DATE(Initialisatie!$C$5,1,1)), 0, MONTH(MIN($G$1, DATE(Initialisatie!$C$5,12,31))) - MONTH(MAX($G$2, DATE(Initialisatie!$C$5,1,1))) + 1)) &lt;= 0, IFERROR(VALUE($G116),0)=0)
    ),
    0,
    SUM(
        IFERROR(VALUE($D116),0) * MAX(0, IF(MIN($D$1, DATE(Initialisatie!$C$5,12,31)) &lt; MAX($D$2, DATE(Initialisatie!$C$5,1,1)), 0, MONTH(MIN($D$1, DATE(Initialisatie!$C$5,12,31))) - MONTH(MAX($D$2, DATE(Initialisatie!$C$5,1,1))) + 1)),
        IFERROR(VALUE($E116),0) * MAX(0, IF(MIN($E$1, DATE(Initialisatie!$C$5,12,31)) &lt; MAX($E$2, DATE(Initialisatie!$C$5,1,1)), 0, MONTH(MIN($E$1, DATE(Initialisatie!$C$5,12,31))) - MONTH(MAX($E$2, DATE(Initialisatie!$C$5,1,1))) + 1)),
        IFERROR(VALUE($F116),0) * MAX(0, IF(MIN($F$1, DATE(Initialisatie!$C$5,12,31)) &lt; MAX($F$2, DATE(Initialisatie!$C$5,1,1)), 0, MONTH(MIN($F$1, DATE(Initialisatie!$C$5,12,31))) - MONTH(MAX($F$2, DATE(Initialisatie!$C$5,1,1))) + 1)),
        IFERROR(VALUE($G116),0) * MAX(0, IF(MIN($G$1, DATE(Initialisatie!$C$5,12,31)) &lt; MAX($G$2, DATE(Initialisatie!$C$5,1,1)), 0, MONTH(MIN($G$1, DATE(Initialisatie!$C$5,12,31))) - MONTH(MAX($G$2, DATE(Initialisatie!$C$5,1,1))) + 1))
    ) / 12
)</f>
        <v>4157.5</v>
      </c>
    </row>
    <row r="117" spans="1:10" x14ac:dyDescent="0.45">
      <c r="A117" s="999"/>
      <c r="B117" s="43">
        <v>8</v>
      </c>
      <c r="C117" s="373">
        <v>30</v>
      </c>
      <c r="D117" s="48">
        <v>4017</v>
      </c>
      <c r="E117" s="48">
        <v>4178</v>
      </c>
      <c r="F117" s="48">
        <v>4262</v>
      </c>
      <c r="G117" s="48">
        <v>4347</v>
      </c>
      <c r="I117">
        <f>IF(
    OR(
        AND(MAX(0, MIN($D$1, DATE(Initialisatie!$C$5,12,31)) - MAX($D$2, DATE(Initialisatie!$C$5,1,1)) + 1) &gt; 0, IFERROR(VALUE($D117),0)=0),
        AND(MAX(0, MIN($E$1, DATE(Initialisatie!$C$5,12,31)) - MAX($E$2, DATE(Initialisatie!$C$5,1,1)) + 1) &gt; 0, IFERROR(VALUE($E117),0)=0),
        AND(MAX(0, MIN($F$1, DATE(Initialisatie!$C$5,12,31)) - MAX($F$2, DATE(Initialisatie!$C$5,1,1)) + 1) &gt; 0, IFERROR(VALUE($F117),0)=0),
        AND(MAX(0, MIN($G$1, DATE(Initialisatie!$C$5,12,31)) - MAX($G$2, DATE(Initialisatie!$C$5,1,1)) + 1) &gt; 0, IFERROR(VALUE($G117),0)=0)
    ),
    0,
    SUM(
        IFERROR(VALUE($D117),0) * MAX(0, MIN($D$1, DATE(Initialisatie!$C$5,12,31)) - MAX($D$2, DATE(Initialisatie!$C$5,1,1)) + 1),
        IFERROR(VALUE($E117),0) * MAX(0, MIN($E$1, DATE(Initialisatie!$C$5,12,31)) - MAX($E$2, DATE(Initialisatie!$C$5,1,1)) + 1),
        IFERROR(VALUE($F117),0) * MAX(0, MIN($F$1, DATE(Initialisatie!$C$5,12,31)) - MAX($F$2, DATE(Initialisatie!$C$5,1,1)) + 1),
        IFERROR(VALUE($G117),0) * MAX(0, MIN($G$1, DATE(Initialisatie!$C$5,12,31)) - MAX($G$2, DATE(Initialisatie!$C$5,1,1)) + 1)
    ) / (DATE(Initialisatie!$C$5,12,31) - DATE(Initialisatie!$C$5,1,1) + 1)
)</f>
        <v>4248.58904109589</v>
      </c>
      <c r="J117">
        <f>IF(
    OR(
        AND(MAX(0, IF(MIN($D$1, DATE(Initialisatie!$C$5,12,31)) &lt; MAX($D$2, DATE(Initialisatie!$C$5,1,1)), 0, MONTH(MIN($D$1, DATE(Initialisatie!$C$5,12,31))) - MONTH(MAX($D$2, DATE(Initialisatie!$C$5,1,1))) + 1)) &lt;= 0, IFERROR(VALUE($D117),0)=0),
        AND(MAX(0, IF(MIN($E$1, DATE(Initialisatie!$C$5,12,31)) &lt; MAX($E$2, DATE(Initialisatie!$C$5,1,1)), 0, MONTH(MIN($E$1, DATE(Initialisatie!$C$5,12,31))) - MONTH(MAX($E$2, DATE(Initialisatie!$C$5,1,1))) + 1)) &lt;= 0, IFERROR(VALUE($E117),0)=0),
        AND(MAX(0, IF(MIN($F$1, DATE(Initialisatie!$C$5,12,31)) &lt; MAX($F$2, DATE(Initialisatie!$C$5,1,1)), 0, MONTH(MIN($F$1, DATE(Initialisatie!$C$5,12,31))) - MONTH(MAX($F$2, DATE(Initialisatie!$C$5,1,1))) + 1)) &lt;= 0, IFERROR(VALUE($F117),0)=0),
        AND(MAX(0, IF(MIN($G$1, DATE(Initialisatie!$C$5,12,31)) &lt; MAX($G$2, DATE(Initialisatie!$C$5,1,1)), 0, MONTH(MIN($G$1, DATE(Initialisatie!$C$5,12,31))) - MONTH(MAX($G$2, DATE(Initialisatie!$C$5,1,1))) + 1)) &lt;= 0, IFERROR(VALUE($G117),0)=0)
    ),
    0,
    SUM(
        IFERROR(VALUE($D117),0) * MAX(0, IF(MIN($D$1, DATE(Initialisatie!$C$5,12,31)) &lt; MAX($D$2, DATE(Initialisatie!$C$5,1,1)), 0, MONTH(MIN($D$1, DATE(Initialisatie!$C$5,12,31))) - MONTH(MAX($D$2, DATE(Initialisatie!$C$5,1,1))) + 1)),
        IFERROR(VALUE($E117),0) * MAX(0, IF(MIN($E$1, DATE(Initialisatie!$C$5,12,31)) &lt; MAX($E$2, DATE(Initialisatie!$C$5,1,1)), 0, MONTH(MIN($E$1, DATE(Initialisatie!$C$5,12,31))) - MONTH(MAX($E$2, DATE(Initialisatie!$C$5,1,1))) + 1)),
        IFERROR(VALUE($F117),0) * MAX(0, IF(MIN($F$1, DATE(Initialisatie!$C$5,12,31)) &lt; MAX($F$2, DATE(Initialisatie!$C$5,1,1)), 0, MONTH(MIN($F$1, DATE(Initialisatie!$C$5,12,31))) - MONTH(MAX($F$2, DATE(Initialisatie!$C$5,1,1))) + 1)),
        IFERROR(VALUE($G117),0) * MAX(0, IF(MIN($G$1, DATE(Initialisatie!$C$5,12,31)) &lt; MAX($G$2, DATE(Initialisatie!$C$5,1,1)), 0, MONTH(MIN($G$1, DATE(Initialisatie!$C$5,12,31))) - MONTH(MAX($G$2, DATE(Initialisatie!$C$5,1,1))) + 1))
    ) / 12
)</f>
        <v>4248.166666666667</v>
      </c>
    </row>
    <row r="118" spans="1:10" x14ac:dyDescent="0.45">
      <c r="A118" s="999"/>
      <c r="B118" s="43">
        <v>9</v>
      </c>
      <c r="C118" s="373">
        <v>31</v>
      </c>
      <c r="D118" s="48">
        <v>4098</v>
      </c>
      <c r="E118" s="48">
        <v>4262</v>
      </c>
      <c r="F118" s="48">
        <v>4347</v>
      </c>
      <c r="G118" s="48">
        <v>4434</v>
      </c>
      <c r="I118">
        <f>IF(
    OR(
        AND(MAX(0, MIN($D$1, DATE(Initialisatie!$C$5,12,31)) - MAX($D$2, DATE(Initialisatie!$C$5,1,1)) + 1) &gt; 0, IFERROR(VALUE($D118),0)=0),
        AND(MAX(0, MIN($E$1, DATE(Initialisatie!$C$5,12,31)) - MAX($E$2, DATE(Initialisatie!$C$5,1,1)) + 1) &gt; 0, IFERROR(VALUE($E118),0)=0),
        AND(MAX(0, MIN($F$1, DATE(Initialisatie!$C$5,12,31)) - MAX($F$2, DATE(Initialisatie!$C$5,1,1)) + 1) &gt; 0, IFERROR(VALUE($F118),0)=0),
        AND(MAX(0, MIN($G$1, DATE(Initialisatie!$C$5,12,31)) - MAX($G$2, DATE(Initialisatie!$C$5,1,1)) + 1) &gt; 0, IFERROR(VALUE($G118),0)=0)
    ),
    0,
    SUM(
        IFERROR(VALUE($D118),0) * MAX(0, MIN($D$1, DATE(Initialisatie!$C$5,12,31)) - MAX($D$2, DATE(Initialisatie!$C$5,1,1)) + 1),
        IFERROR(VALUE($E118),0) * MAX(0, MIN($E$1, DATE(Initialisatie!$C$5,12,31)) - MAX($E$2, DATE(Initialisatie!$C$5,1,1)) + 1),
        IFERROR(VALUE($F118),0) * MAX(0, MIN($F$1, DATE(Initialisatie!$C$5,12,31)) - MAX($F$2, DATE(Initialisatie!$C$5,1,1)) + 1),
        IFERROR(VALUE($G118),0) * MAX(0, MIN($G$1, DATE(Initialisatie!$C$5,12,31)) - MAX($G$2, DATE(Initialisatie!$C$5,1,1)) + 1)
    ) / (DATE(Initialisatie!$C$5,12,31) - DATE(Initialisatie!$C$5,1,1) + 1)
)</f>
        <v>4333.5945205479456</v>
      </c>
      <c r="J118">
        <f>IF(
    OR(
        AND(MAX(0, IF(MIN($D$1, DATE(Initialisatie!$C$5,12,31)) &lt; MAX($D$2, DATE(Initialisatie!$C$5,1,1)), 0, MONTH(MIN($D$1, DATE(Initialisatie!$C$5,12,31))) - MONTH(MAX($D$2, DATE(Initialisatie!$C$5,1,1))) + 1)) &lt;= 0, IFERROR(VALUE($D118),0)=0),
        AND(MAX(0, IF(MIN($E$1, DATE(Initialisatie!$C$5,12,31)) &lt; MAX($E$2, DATE(Initialisatie!$C$5,1,1)), 0, MONTH(MIN($E$1, DATE(Initialisatie!$C$5,12,31))) - MONTH(MAX($E$2, DATE(Initialisatie!$C$5,1,1))) + 1)) &lt;= 0, IFERROR(VALUE($E118),0)=0),
        AND(MAX(0, IF(MIN($F$1, DATE(Initialisatie!$C$5,12,31)) &lt; MAX($F$2, DATE(Initialisatie!$C$5,1,1)), 0, MONTH(MIN($F$1, DATE(Initialisatie!$C$5,12,31))) - MONTH(MAX($F$2, DATE(Initialisatie!$C$5,1,1))) + 1)) &lt;= 0, IFERROR(VALUE($F118),0)=0),
        AND(MAX(0, IF(MIN($G$1, DATE(Initialisatie!$C$5,12,31)) &lt; MAX($G$2, DATE(Initialisatie!$C$5,1,1)), 0, MONTH(MIN($G$1, DATE(Initialisatie!$C$5,12,31))) - MONTH(MAX($G$2, DATE(Initialisatie!$C$5,1,1))) + 1)) &lt;= 0, IFERROR(VALUE($G118),0)=0)
    ),
    0,
    SUM(
        IFERROR(VALUE($D118),0) * MAX(0, IF(MIN($D$1, DATE(Initialisatie!$C$5,12,31)) &lt; MAX($D$2, DATE(Initialisatie!$C$5,1,1)), 0, MONTH(MIN($D$1, DATE(Initialisatie!$C$5,12,31))) - MONTH(MAX($D$2, DATE(Initialisatie!$C$5,1,1))) + 1)),
        IFERROR(VALUE($E118),0) * MAX(0, IF(MIN($E$1, DATE(Initialisatie!$C$5,12,31)) &lt; MAX($E$2, DATE(Initialisatie!$C$5,1,1)), 0, MONTH(MIN($E$1, DATE(Initialisatie!$C$5,12,31))) - MONTH(MAX($E$2, DATE(Initialisatie!$C$5,1,1))) + 1)),
        IFERROR(VALUE($F118),0) * MAX(0, IF(MIN($F$1, DATE(Initialisatie!$C$5,12,31)) &lt; MAX($F$2, DATE(Initialisatie!$C$5,1,1)), 0, MONTH(MIN($F$1, DATE(Initialisatie!$C$5,12,31))) - MONTH(MAX($F$2, DATE(Initialisatie!$C$5,1,1))) + 1)),
        IFERROR(VALUE($G118),0) * MAX(0, IF(MIN($G$1, DATE(Initialisatie!$C$5,12,31)) &lt; MAX($G$2, DATE(Initialisatie!$C$5,1,1)), 0, MONTH(MIN($G$1, DATE(Initialisatie!$C$5,12,31))) - MONTH(MAX($G$2, DATE(Initialisatie!$C$5,1,1))) + 1))
    ) / 12
)</f>
        <v>4333.166666666667</v>
      </c>
    </row>
    <row r="119" spans="1:10" x14ac:dyDescent="0.45">
      <c r="A119" s="999"/>
      <c r="B119" s="374">
        <v>10</v>
      </c>
      <c r="C119" s="373">
        <v>32</v>
      </c>
      <c r="D119" s="48">
        <v>4184</v>
      </c>
      <c r="E119" s="48">
        <v>4351</v>
      </c>
      <c r="F119" s="48">
        <v>4438</v>
      </c>
      <c r="G119" s="48">
        <v>4527</v>
      </c>
      <c r="I119">
        <f>IF(
    OR(
        AND(MAX(0, MIN($D$1, DATE(Initialisatie!$C$5,12,31)) - MAX($D$2, DATE(Initialisatie!$C$5,1,1)) + 1) &gt; 0, IFERROR(VALUE($D119),0)=0),
        AND(MAX(0, MIN($E$1, DATE(Initialisatie!$C$5,12,31)) - MAX($E$2, DATE(Initialisatie!$C$5,1,1)) + 1) &gt; 0, IFERROR(VALUE($E119),0)=0),
        AND(MAX(0, MIN($F$1, DATE(Initialisatie!$C$5,12,31)) - MAX($F$2, DATE(Initialisatie!$C$5,1,1)) + 1) &gt; 0, IFERROR(VALUE($F119),0)=0),
        AND(MAX(0, MIN($G$1, DATE(Initialisatie!$C$5,12,31)) - MAX($G$2, DATE(Initialisatie!$C$5,1,1)) + 1) &gt; 0, IFERROR(VALUE($G119),0)=0)
    ),
    0,
    SUM(
        IFERROR(VALUE($D119),0) * MAX(0, MIN($D$1, DATE(Initialisatie!$C$5,12,31)) - MAX($D$2, DATE(Initialisatie!$C$5,1,1)) + 1),
        IFERROR(VALUE($E119),0) * MAX(0, MIN($E$1, DATE(Initialisatie!$C$5,12,31)) - MAX($E$2, DATE(Initialisatie!$C$5,1,1)) + 1),
        IFERROR(VALUE($F119),0) * MAX(0, MIN($F$1, DATE(Initialisatie!$C$5,12,31)) - MAX($F$2, DATE(Initialisatie!$C$5,1,1)) + 1),
        IFERROR(VALUE($G119),0) * MAX(0, MIN($G$1, DATE(Initialisatie!$C$5,12,31)) - MAX($G$2, DATE(Initialisatie!$C$5,1,1)) + 1)
    ) / (DATE(Initialisatie!$C$5,12,31) - DATE(Initialisatie!$C$5,1,1) + 1)
)</f>
        <v>4424.271232876712</v>
      </c>
      <c r="J119">
        <f>IF(
    OR(
        AND(MAX(0, IF(MIN($D$1, DATE(Initialisatie!$C$5,12,31)) &lt; MAX($D$2, DATE(Initialisatie!$C$5,1,1)), 0, MONTH(MIN($D$1, DATE(Initialisatie!$C$5,12,31))) - MONTH(MAX($D$2, DATE(Initialisatie!$C$5,1,1))) + 1)) &lt;= 0, IFERROR(VALUE($D119),0)=0),
        AND(MAX(0, IF(MIN($E$1, DATE(Initialisatie!$C$5,12,31)) &lt; MAX($E$2, DATE(Initialisatie!$C$5,1,1)), 0, MONTH(MIN($E$1, DATE(Initialisatie!$C$5,12,31))) - MONTH(MAX($E$2, DATE(Initialisatie!$C$5,1,1))) + 1)) &lt;= 0, IFERROR(VALUE($E119),0)=0),
        AND(MAX(0, IF(MIN($F$1, DATE(Initialisatie!$C$5,12,31)) &lt; MAX($F$2, DATE(Initialisatie!$C$5,1,1)), 0, MONTH(MIN($F$1, DATE(Initialisatie!$C$5,12,31))) - MONTH(MAX($F$2, DATE(Initialisatie!$C$5,1,1))) + 1)) &lt;= 0, IFERROR(VALUE($F119),0)=0),
        AND(MAX(0, IF(MIN($G$1, DATE(Initialisatie!$C$5,12,31)) &lt; MAX($G$2, DATE(Initialisatie!$C$5,1,1)), 0, MONTH(MIN($G$1, DATE(Initialisatie!$C$5,12,31))) - MONTH(MAX($G$2, DATE(Initialisatie!$C$5,1,1))) + 1)) &lt;= 0, IFERROR(VALUE($G119),0)=0)
    ),
    0,
    SUM(
        IFERROR(VALUE($D119),0) * MAX(0, IF(MIN($D$1, DATE(Initialisatie!$C$5,12,31)) &lt; MAX($D$2, DATE(Initialisatie!$C$5,1,1)), 0, MONTH(MIN($D$1, DATE(Initialisatie!$C$5,12,31))) - MONTH(MAX($D$2, DATE(Initialisatie!$C$5,1,1))) + 1)),
        IFERROR(VALUE($E119),0) * MAX(0, IF(MIN($E$1, DATE(Initialisatie!$C$5,12,31)) &lt; MAX($E$2, DATE(Initialisatie!$C$5,1,1)), 0, MONTH(MIN($E$1, DATE(Initialisatie!$C$5,12,31))) - MONTH(MAX($E$2, DATE(Initialisatie!$C$5,1,1))) + 1)),
        IFERROR(VALUE($F119),0) * MAX(0, IF(MIN($F$1, DATE(Initialisatie!$C$5,12,31)) &lt; MAX($F$2, DATE(Initialisatie!$C$5,1,1)), 0, MONTH(MIN($F$1, DATE(Initialisatie!$C$5,12,31))) - MONTH(MAX($F$2, DATE(Initialisatie!$C$5,1,1))) + 1)),
        IFERROR(VALUE($G119),0) * MAX(0, IF(MIN($G$1, DATE(Initialisatie!$C$5,12,31)) &lt; MAX($G$2, DATE(Initialisatie!$C$5,1,1)), 0, MONTH(MIN($G$1, DATE(Initialisatie!$C$5,12,31))) - MONTH(MAX($G$2, DATE(Initialisatie!$C$5,1,1))) + 1))
    ) / 12
)</f>
        <v>4423.833333333333</v>
      </c>
    </row>
    <row r="120" spans="1:10" x14ac:dyDescent="0.45">
      <c r="A120" s="999"/>
      <c r="B120" s="374">
        <v>11</v>
      </c>
      <c r="C120" s="373">
        <v>33</v>
      </c>
      <c r="D120" s="48">
        <v>4267</v>
      </c>
      <c r="E120" s="48">
        <v>4438</v>
      </c>
      <c r="F120" s="48">
        <v>4527</v>
      </c>
      <c r="G120" s="48">
        <v>4618</v>
      </c>
      <c r="I120">
        <f>IF(
    OR(
        AND(MAX(0, MIN($D$1, DATE(Initialisatie!$C$5,12,31)) - MAX($D$2, DATE(Initialisatie!$C$5,1,1)) + 1) &gt; 0, IFERROR(VALUE($D120),0)=0),
        AND(MAX(0, MIN($E$1, DATE(Initialisatie!$C$5,12,31)) - MAX($E$2, DATE(Initialisatie!$C$5,1,1)) + 1) &gt; 0, IFERROR(VALUE($E120),0)=0),
        AND(MAX(0, MIN($F$1, DATE(Initialisatie!$C$5,12,31)) - MAX($F$2, DATE(Initialisatie!$C$5,1,1)) + 1) &gt; 0, IFERROR(VALUE($F120),0)=0),
        AND(MAX(0, MIN($G$1, DATE(Initialisatie!$C$5,12,31)) - MAX($G$2, DATE(Initialisatie!$C$5,1,1)) + 1) &gt; 0, IFERROR(VALUE($G120),0)=0)
    ),
    0,
    SUM(
        IFERROR(VALUE($D120),0) * MAX(0, MIN($D$1, DATE(Initialisatie!$C$5,12,31)) - MAX($D$2, DATE(Initialisatie!$C$5,1,1)) + 1),
        IFERROR(VALUE($E120),0) * MAX(0, MIN($E$1, DATE(Initialisatie!$C$5,12,31)) - MAX($E$2, DATE(Initialisatie!$C$5,1,1)) + 1),
        IFERROR(VALUE($F120),0) * MAX(0, MIN($F$1, DATE(Initialisatie!$C$5,12,31)) - MAX($F$2, DATE(Initialisatie!$C$5,1,1)) + 1),
        IFERROR(VALUE($G120),0) * MAX(0, MIN($G$1, DATE(Initialisatie!$C$5,12,31)) - MAX($G$2, DATE(Initialisatie!$C$5,1,1)) + 1)
    ) / (DATE(Initialisatie!$C$5,12,31) - DATE(Initialisatie!$C$5,1,1) + 1)
)</f>
        <v>4512.9479452054793</v>
      </c>
      <c r="J120">
        <f>IF(
    OR(
        AND(MAX(0, IF(MIN($D$1, DATE(Initialisatie!$C$5,12,31)) &lt; MAX($D$2, DATE(Initialisatie!$C$5,1,1)), 0, MONTH(MIN($D$1, DATE(Initialisatie!$C$5,12,31))) - MONTH(MAX($D$2, DATE(Initialisatie!$C$5,1,1))) + 1)) &lt;= 0, IFERROR(VALUE($D120),0)=0),
        AND(MAX(0, IF(MIN($E$1, DATE(Initialisatie!$C$5,12,31)) &lt; MAX($E$2, DATE(Initialisatie!$C$5,1,1)), 0, MONTH(MIN($E$1, DATE(Initialisatie!$C$5,12,31))) - MONTH(MAX($E$2, DATE(Initialisatie!$C$5,1,1))) + 1)) &lt;= 0, IFERROR(VALUE($E120),0)=0),
        AND(MAX(0, IF(MIN($F$1, DATE(Initialisatie!$C$5,12,31)) &lt; MAX($F$2, DATE(Initialisatie!$C$5,1,1)), 0, MONTH(MIN($F$1, DATE(Initialisatie!$C$5,12,31))) - MONTH(MAX($F$2, DATE(Initialisatie!$C$5,1,1))) + 1)) &lt;= 0, IFERROR(VALUE($F120),0)=0),
        AND(MAX(0, IF(MIN($G$1, DATE(Initialisatie!$C$5,12,31)) &lt; MAX($G$2, DATE(Initialisatie!$C$5,1,1)), 0, MONTH(MIN($G$1, DATE(Initialisatie!$C$5,12,31))) - MONTH(MAX($G$2, DATE(Initialisatie!$C$5,1,1))) + 1)) &lt;= 0, IFERROR(VALUE($G120),0)=0)
    ),
    0,
    SUM(
        IFERROR(VALUE($D120),0) * MAX(0, IF(MIN($D$1, DATE(Initialisatie!$C$5,12,31)) &lt; MAX($D$2, DATE(Initialisatie!$C$5,1,1)), 0, MONTH(MIN($D$1, DATE(Initialisatie!$C$5,12,31))) - MONTH(MAX($D$2, DATE(Initialisatie!$C$5,1,1))) + 1)),
        IFERROR(VALUE($E120),0) * MAX(0, IF(MIN($E$1, DATE(Initialisatie!$C$5,12,31)) &lt; MAX($E$2, DATE(Initialisatie!$C$5,1,1)), 0, MONTH(MIN($E$1, DATE(Initialisatie!$C$5,12,31))) - MONTH(MAX($E$2, DATE(Initialisatie!$C$5,1,1))) + 1)),
        IFERROR(VALUE($F120),0) * MAX(0, IF(MIN($F$1, DATE(Initialisatie!$C$5,12,31)) &lt; MAX($F$2, DATE(Initialisatie!$C$5,1,1)), 0, MONTH(MIN($F$1, DATE(Initialisatie!$C$5,12,31))) - MONTH(MAX($F$2, DATE(Initialisatie!$C$5,1,1))) + 1)),
        IFERROR(VALUE($G120),0) * MAX(0, IF(MIN($G$1, DATE(Initialisatie!$C$5,12,31)) &lt; MAX($G$2, DATE(Initialisatie!$C$5,1,1)), 0, MONTH(MIN($G$1, DATE(Initialisatie!$C$5,12,31))) - MONTH(MAX($G$2, DATE(Initialisatie!$C$5,1,1))) + 1))
    ) / 12
)</f>
        <v>4512.5</v>
      </c>
    </row>
    <row r="121" spans="1:10" x14ac:dyDescent="0.45">
      <c r="A121" s="999"/>
      <c r="B121" s="374">
        <v>12</v>
      </c>
      <c r="C121" s="373">
        <v>34</v>
      </c>
      <c r="D121" s="48">
        <v>4354</v>
      </c>
      <c r="E121" s="48">
        <v>4528</v>
      </c>
      <c r="F121" s="48">
        <v>4619</v>
      </c>
      <c r="G121" s="48">
        <v>4711</v>
      </c>
      <c r="I121">
        <f>IF(
    OR(
        AND(MAX(0, MIN($D$1, DATE(Initialisatie!$C$5,12,31)) - MAX($D$2, DATE(Initialisatie!$C$5,1,1)) + 1) &gt; 0, IFERROR(VALUE($D121),0)=0),
        AND(MAX(0, MIN($E$1, DATE(Initialisatie!$C$5,12,31)) - MAX($E$2, DATE(Initialisatie!$C$5,1,1)) + 1) &gt; 0, IFERROR(VALUE($E121),0)=0),
        AND(MAX(0, MIN($F$1, DATE(Initialisatie!$C$5,12,31)) - MAX($F$2, DATE(Initialisatie!$C$5,1,1)) + 1) &gt; 0, IFERROR(VALUE($F121),0)=0),
        AND(MAX(0, MIN($G$1, DATE(Initialisatie!$C$5,12,31)) - MAX($G$2, DATE(Initialisatie!$C$5,1,1)) + 1) &gt; 0, IFERROR(VALUE($G121),0)=0)
    ),
    0,
    SUM(
        IFERROR(VALUE($D121),0) * MAX(0, MIN($D$1, DATE(Initialisatie!$C$5,12,31)) - MAX($D$2, DATE(Initialisatie!$C$5,1,1)) + 1),
        IFERROR(VALUE($E121),0) * MAX(0, MIN($E$1, DATE(Initialisatie!$C$5,12,31)) - MAX($E$2, DATE(Initialisatie!$C$5,1,1)) + 1),
        IFERROR(VALUE($F121),0) * MAX(0, MIN($F$1, DATE(Initialisatie!$C$5,12,31)) - MAX($F$2, DATE(Initialisatie!$C$5,1,1)) + 1),
        IFERROR(VALUE($G121),0) * MAX(0, MIN($G$1, DATE(Initialisatie!$C$5,12,31)) - MAX($G$2, DATE(Initialisatie!$C$5,1,1)) + 1)
    ) / (DATE(Initialisatie!$C$5,12,31) - DATE(Initialisatie!$C$5,1,1) + 1)
)</f>
        <v>4604.4575342465751</v>
      </c>
      <c r="J121">
        <f>IF(
    OR(
        AND(MAX(0, IF(MIN($D$1, DATE(Initialisatie!$C$5,12,31)) &lt; MAX($D$2, DATE(Initialisatie!$C$5,1,1)), 0, MONTH(MIN($D$1, DATE(Initialisatie!$C$5,12,31))) - MONTH(MAX($D$2, DATE(Initialisatie!$C$5,1,1))) + 1)) &lt;= 0, IFERROR(VALUE($D121),0)=0),
        AND(MAX(0, IF(MIN($E$1, DATE(Initialisatie!$C$5,12,31)) &lt; MAX($E$2, DATE(Initialisatie!$C$5,1,1)), 0, MONTH(MIN($E$1, DATE(Initialisatie!$C$5,12,31))) - MONTH(MAX($E$2, DATE(Initialisatie!$C$5,1,1))) + 1)) &lt;= 0, IFERROR(VALUE($E121),0)=0),
        AND(MAX(0, IF(MIN($F$1, DATE(Initialisatie!$C$5,12,31)) &lt; MAX($F$2, DATE(Initialisatie!$C$5,1,1)), 0, MONTH(MIN($F$1, DATE(Initialisatie!$C$5,12,31))) - MONTH(MAX($F$2, DATE(Initialisatie!$C$5,1,1))) + 1)) &lt;= 0, IFERROR(VALUE($F121),0)=0),
        AND(MAX(0, IF(MIN($G$1, DATE(Initialisatie!$C$5,12,31)) &lt; MAX($G$2, DATE(Initialisatie!$C$5,1,1)), 0, MONTH(MIN($G$1, DATE(Initialisatie!$C$5,12,31))) - MONTH(MAX($G$2, DATE(Initialisatie!$C$5,1,1))) + 1)) &lt;= 0, IFERROR(VALUE($G121),0)=0)
    ),
    0,
    SUM(
        IFERROR(VALUE($D121),0) * MAX(0, IF(MIN($D$1, DATE(Initialisatie!$C$5,12,31)) &lt; MAX($D$2, DATE(Initialisatie!$C$5,1,1)), 0, MONTH(MIN($D$1, DATE(Initialisatie!$C$5,12,31))) - MONTH(MAX($D$2, DATE(Initialisatie!$C$5,1,1))) + 1)),
        IFERROR(VALUE($E121),0) * MAX(0, IF(MIN($E$1, DATE(Initialisatie!$C$5,12,31)) &lt; MAX($E$2, DATE(Initialisatie!$C$5,1,1)), 0, MONTH(MIN($E$1, DATE(Initialisatie!$C$5,12,31))) - MONTH(MAX($E$2, DATE(Initialisatie!$C$5,1,1))) + 1)),
        IFERROR(VALUE($F121),0) * MAX(0, IF(MIN($F$1, DATE(Initialisatie!$C$5,12,31)) &lt; MAX($F$2, DATE(Initialisatie!$C$5,1,1)), 0, MONTH(MIN($F$1, DATE(Initialisatie!$C$5,12,31))) - MONTH(MAX($F$2, DATE(Initialisatie!$C$5,1,1))) + 1)),
        IFERROR(VALUE($G121),0) * MAX(0, IF(MIN($G$1, DATE(Initialisatie!$C$5,12,31)) &lt; MAX($G$2, DATE(Initialisatie!$C$5,1,1)), 0, MONTH(MIN($G$1, DATE(Initialisatie!$C$5,12,31))) - MONTH(MAX($G$2, DATE(Initialisatie!$C$5,1,1))) + 1))
    ) / 12
)</f>
        <v>4604</v>
      </c>
    </row>
    <row r="122" spans="1:10" x14ac:dyDescent="0.45">
      <c r="A122" s="999"/>
      <c r="B122" s="374">
        <v>13</v>
      </c>
      <c r="C122" s="373">
        <v>35</v>
      </c>
      <c r="D122" s="48">
        <v>4436</v>
      </c>
      <c r="E122" s="48">
        <v>4613</v>
      </c>
      <c r="F122" s="48">
        <v>4705</v>
      </c>
      <c r="G122" s="48">
        <v>4799</v>
      </c>
      <c r="I122">
        <f>IF(
    OR(
        AND(MAX(0, MIN($D$1, DATE(Initialisatie!$C$5,12,31)) - MAX($D$2, DATE(Initialisatie!$C$5,1,1)) + 1) &gt; 0, IFERROR(VALUE($D122),0)=0),
        AND(MAX(0, MIN($E$1, DATE(Initialisatie!$C$5,12,31)) - MAX($E$2, DATE(Initialisatie!$C$5,1,1)) + 1) &gt; 0, IFERROR(VALUE($E122),0)=0),
        AND(MAX(0, MIN($F$1, DATE(Initialisatie!$C$5,12,31)) - MAX($F$2, DATE(Initialisatie!$C$5,1,1)) + 1) &gt; 0, IFERROR(VALUE($F122),0)=0),
        AND(MAX(0, MIN($G$1, DATE(Initialisatie!$C$5,12,31)) - MAX($G$2, DATE(Initialisatie!$C$5,1,1)) + 1) &gt; 0, IFERROR(VALUE($G122),0)=0)
    ),
    0,
    SUM(
        IFERROR(VALUE($D122),0) * MAX(0, MIN($D$1, DATE(Initialisatie!$C$5,12,31)) - MAX($D$2, DATE(Initialisatie!$C$5,1,1)) + 1),
        IFERROR(VALUE($E122),0) * MAX(0, MIN($E$1, DATE(Initialisatie!$C$5,12,31)) - MAX($E$2, DATE(Initialisatie!$C$5,1,1)) + 1),
        IFERROR(VALUE($F122),0) * MAX(0, MIN($F$1, DATE(Initialisatie!$C$5,12,31)) - MAX($F$2, DATE(Initialisatie!$C$5,1,1)) + 1),
        IFERROR(VALUE($G122),0) * MAX(0, MIN($G$1, DATE(Initialisatie!$C$5,12,31)) - MAX($G$2, DATE(Initialisatie!$C$5,1,1)) + 1)
    ) / (DATE(Initialisatie!$C$5,12,31) - DATE(Initialisatie!$C$5,1,1) + 1)
)</f>
        <v>4690.4630136986298</v>
      </c>
      <c r="J122">
        <f>IF(
    OR(
        AND(MAX(0, IF(MIN($D$1, DATE(Initialisatie!$C$5,12,31)) &lt; MAX($D$2, DATE(Initialisatie!$C$5,1,1)), 0, MONTH(MIN($D$1, DATE(Initialisatie!$C$5,12,31))) - MONTH(MAX($D$2, DATE(Initialisatie!$C$5,1,1))) + 1)) &lt;= 0, IFERROR(VALUE($D122),0)=0),
        AND(MAX(0, IF(MIN($E$1, DATE(Initialisatie!$C$5,12,31)) &lt; MAX($E$2, DATE(Initialisatie!$C$5,1,1)), 0, MONTH(MIN($E$1, DATE(Initialisatie!$C$5,12,31))) - MONTH(MAX($E$2, DATE(Initialisatie!$C$5,1,1))) + 1)) &lt;= 0, IFERROR(VALUE($E122),0)=0),
        AND(MAX(0, IF(MIN($F$1, DATE(Initialisatie!$C$5,12,31)) &lt; MAX($F$2, DATE(Initialisatie!$C$5,1,1)), 0, MONTH(MIN($F$1, DATE(Initialisatie!$C$5,12,31))) - MONTH(MAX($F$2, DATE(Initialisatie!$C$5,1,1))) + 1)) &lt;= 0, IFERROR(VALUE($F122),0)=0),
        AND(MAX(0, IF(MIN($G$1, DATE(Initialisatie!$C$5,12,31)) &lt; MAX($G$2, DATE(Initialisatie!$C$5,1,1)), 0, MONTH(MIN($G$1, DATE(Initialisatie!$C$5,12,31))) - MONTH(MAX($G$2, DATE(Initialisatie!$C$5,1,1))) + 1)) &lt;= 0, IFERROR(VALUE($G122),0)=0)
    ),
    0,
    SUM(
        IFERROR(VALUE($D122),0) * MAX(0, IF(MIN($D$1, DATE(Initialisatie!$C$5,12,31)) &lt; MAX($D$2, DATE(Initialisatie!$C$5,1,1)), 0, MONTH(MIN($D$1, DATE(Initialisatie!$C$5,12,31))) - MONTH(MAX($D$2, DATE(Initialisatie!$C$5,1,1))) + 1)),
        IFERROR(VALUE($E122),0) * MAX(0, IF(MIN($E$1, DATE(Initialisatie!$C$5,12,31)) &lt; MAX($E$2, DATE(Initialisatie!$C$5,1,1)), 0, MONTH(MIN($E$1, DATE(Initialisatie!$C$5,12,31))) - MONTH(MAX($E$2, DATE(Initialisatie!$C$5,1,1))) + 1)),
        IFERROR(VALUE($F122),0) * MAX(0, IF(MIN($F$1, DATE(Initialisatie!$C$5,12,31)) &lt; MAX($F$2, DATE(Initialisatie!$C$5,1,1)), 0, MONTH(MIN($F$1, DATE(Initialisatie!$C$5,12,31))) - MONTH(MAX($F$2, DATE(Initialisatie!$C$5,1,1))) + 1)),
        IFERROR(VALUE($G122),0) * MAX(0, IF(MIN($G$1, DATE(Initialisatie!$C$5,12,31)) &lt; MAX($G$2, DATE(Initialisatie!$C$5,1,1)), 0, MONTH(MIN($G$1, DATE(Initialisatie!$C$5,12,31))) - MONTH(MAX($G$2, DATE(Initialisatie!$C$5,1,1))) + 1))
    ) / 12
)</f>
        <v>4690</v>
      </c>
    </row>
    <row r="123" spans="1:10" x14ac:dyDescent="0.45">
      <c r="A123" s="999">
        <v>55</v>
      </c>
      <c r="B123" s="43">
        <v>0</v>
      </c>
      <c r="C123" s="373">
        <v>22</v>
      </c>
      <c r="D123" s="48">
        <v>3347</v>
      </c>
      <c r="E123" s="48">
        <v>3481</v>
      </c>
      <c r="F123" s="48">
        <v>3551</v>
      </c>
      <c r="G123" s="48">
        <v>3622</v>
      </c>
      <c r="I123">
        <f>IF(
    OR(
        AND(MAX(0, MIN($D$1, DATE(Initialisatie!$C$5,12,31)) - MAX($D$2, DATE(Initialisatie!$C$5,1,1)) + 1) &gt; 0, IFERROR(VALUE($D123),0)=0),
        AND(MAX(0, MIN($E$1, DATE(Initialisatie!$C$5,12,31)) - MAX($E$2, DATE(Initialisatie!$C$5,1,1)) + 1) &gt; 0, IFERROR(VALUE($E123),0)=0),
        AND(MAX(0, MIN($F$1, DATE(Initialisatie!$C$5,12,31)) - MAX($F$2, DATE(Initialisatie!$C$5,1,1)) + 1) &gt; 0, IFERROR(VALUE($F123),0)=0),
        AND(MAX(0, MIN($G$1, DATE(Initialisatie!$C$5,12,31)) - MAX($G$2, DATE(Initialisatie!$C$5,1,1)) + 1) &gt; 0, IFERROR(VALUE($G123),0)=0)
    ),
    0,
    SUM(
        IFERROR(VALUE($D123),0) * MAX(0, MIN($D$1, DATE(Initialisatie!$C$5,12,31)) - MAX($D$2, DATE(Initialisatie!$C$5,1,1)) + 1),
        IFERROR(VALUE($E123),0) * MAX(0, MIN($E$1, DATE(Initialisatie!$C$5,12,31)) - MAX($E$2, DATE(Initialisatie!$C$5,1,1)) + 1),
        IFERROR(VALUE($F123),0) * MAX(0, MIN($F$1, DATE(Initialisatie!$C$5,12,31)) - MAX($F$2, DATE(Initialisatie!$C$5,1,1)) + 1),
        IFERROR(VALUE($G123),0) * MAX(0, MIN($G$1, DATE(Initialisatie!$C$5,12,31)) - MAX($G$2, DATE(Initialisatie!$C$5,1,1)) + 1)
    ) / (DATE(Initialisatie!$C$5,12,31) - DATE(Initialisatie!$C$5,1,1) + 1)
)</f>
        <v>3539.8520547945204</v>
      </c>
      <c r="J123">
        <f>IF(
    OR(
        AND(MAX(0, IF(MIN($D$1, DATE(Initialisatie!$C$5,12,31)) &lt; MAX($D$2, DATE(Initialisatie!$C$5,1,1)), 0, MONTH(MIN($D$1, DATE(Initialisatie!$C$5,12,31))) - MONTH(MAX($D$2, DATE(Initialisatie!$C$5,1,1))) + 1)) &lt;= 0, IFERROR(VALUE($D123),0)=0),
        AND(MAX(0, IF(MIN($E$1, DATE(Initialisatie!$C$5,12,31)) &lt; MAX($E$2, DATE(Initialisatie!$C$5,1,1)), 0, MONTH(MIN($E$1, DATE(Initialisatie!$C$5,12,31))) - MONTH(MAX($E$2, DATE(Initialisatie!$C$5,1,1))) + 1)) &lt;= 0, IFERROR(VALUE($E123),0)=0),
        AND(MAX(0, IF(MIN($F$1, DATE(Initialisatie!$C$5,12,31)) &lt; MAX($F$2, DATE(Initialisatie!$C$5,1,1)), 0, MONTH(MIN($F$1, DATE(Initialisatie!$C$5,12,31))) - MONTH(MAX($F$2, DATE(Initialisatie!$C$5,1,1))) + 1)) &lt;= 0, IFERROR(VALUE($F123),0)=0),
        AND(MAX(0, IF(MIN($G$1, DATE(Initialisatie!$C$5,12,31)) &lt; MAX($G$2, DATE(Initialisatie!$C$5,1,1)), 0, MONTH(MIN($G$1, DATE(Initialisatie!$C$5,12,31))) - MONTH(MAX($G$2, DATE(Initialisatie!$C$5,1,1))) + 1)) &lt;= 0, IFERROR(VALUE($G123),0)=0)
    ),
    0,
    SUM(
        IFERROR(VALUE($D123),0) * MAX(0, IF(MIN($D$1, DATE(Initialisatie!$C$5,12,31)) &lt; MAX($D$2, DATE(Initialisatie!$C$5,1,1)), 0, MONTH(MIN($D$1, DATE(Initialisatie!$C$5,12,31))) - MONTH(MAX($D$2, DATE(Initialisatie!$C$5,1,1))) + 1)),
        IFERROR(VALUE($E123),0) * MAX(0, IF(MIN($E$1, DATE(Initialisatie!$C$5,12,31)) &lt; MAX($E$2, DATE(Initialisatie!$C$5,1,1)), 0, MONTH(MIN($E$1, DATE(Initialisatie!$C$5,12,31))) - MONTH(MAX($E$2, DATE(Initialisatie!$C$5,1,1))) + 1)),
        IFERROR(VALUE($F123),0) * MAX(0, IF(MIN($F$1, DATE(Initialisatie!$C$5,12,31)) &lt; MAX($F$2, DATE(Initialisatie!$C$5,1,1)), 0, MONTH(MIN($F$1, DATE(Initialisatie!$C$5,12,31))) - MONTH(MAX($F$2, DATE(Initialisatie!$C$5,1,1))) + 1)),
        IFERROR(VALUE($G123),0) * MAX(0, IF(MIN($G$1, DATE(Initialisatie!$C$5,12,31)) &lt; MAX($G$2, DATE(Initialisatie!$C$5,1,1)), 0, MONTH(MIN($G$1, DATE(Initialisatie!$C$5,12,31))) - MONTH(MAX($G$2, DATE(Initialisatie!$C$5,1,1))) + 1))
    ) / 12
)</f>
        <v>3539.5</v>
      </c>
    </row>
    <row r="124" spans="1:10" x14ac:dyDescent="0.45">
      <c r="A124" s="999"/>
      <c r="B124" s="43">
        <v>1</v>
      </c>
      <c r="C124" s="373">
        <v>24</v>
      </c>
      <c r="D124" s="48">
        <v>3505</v>
      </c>
      <c r="E124" s="48">
        <v>3645</v>
      </c>
      <c r="F124" s="48">
        <v>3718</v>
      </c>
      <c r="G124" s="48">
        <v>3792</v>
      </c>
      <c r="I124">
        <f>IF(
    OR(
        AND(MAX(0, MIN($D$1, DATE(Initialisatie!$C$5,12,31)) - MAX($D$2, DATE(Initialisatie!$C$5,1,1)) + 1) &gt; 0, IFERROR(VALUE($D124),0)=0),
        AND(MAX(0, MIN($E$1, DATE(Initialisatie!$C$5,12,31)) - MAX($E$2, DATE(Initialisatie!$C$5,1,1)) + 1) &gt; 0, IFERROR(VALUE($E124),0)=0),
        AND(MAX(0, MIN($F$1, DATE(Initialisatie!$C$5,12,31)) - MAX($F$2, DATE(Initialisatie!$C$5,1,1)) + 1) &gt; 0, IFERROR(VALUE($F124),0)=0),
        AND(MAX(0, MIN($G$1, DATE(Initialisatie!$C$5,12,31)) - MAX($G$2, DATE(Initialisatie!$C$5,1,1)) + 1) &gt; 0, IFERROR(VALUE($G124),0)=0)
    ),
    0,
    SUM(
        IFERROR(VALUE($D124),0) * MAX(0, MIN($D$1, DATE(Initialisatie!$C$5,12,31)) - MAX($D$2, DATE(Initialisatie!$C$5,1,1)) + 1),
        IFERROR(VALUE($E124),0) * MAX(0, MIN($E$1, DATE(Initialisatie!$C$5,12,31)) - MAX($E$2, DATE(Initialisatie!$C$5,1,1)) + 1),
        IFERROR(VALUE($F124),0) * MAX(0, MIN($F$1, DATE(Initialisatie!$C$5,12,31)) - MAX($F$2, DATE(Initialisatie!$C$5,1,1)) + 1),
        IFERROR(VALUE($G124),0) * MAX(0, MIN($G$1, DATE(Initialisatie!$C$5,12,31)) - MAX($G$2, DATE(Initialisatie!$C$5,1,1)) + 1)
    ) / (DATE(Initialisatie!$C$5,12,31) - DATE(Initialisatie!$C$5,1,1) + 1)
)</f>
        <v>3706.3671232876713</v>
      </c>
      <c r="J124">
        <f>IF(
    OR(
        AND(MAX(0, IF(MIN($D$1, DATE(Initialisatie!$C$5,12,31)) &lt; MAX($D$2, DATE(Initialisatie!$C$5,1,1)), 0, MONTH(MIN($D$1, DATE(Initialisatie!$C$5,12,31))) - MONTH(MAX($D$2, DATE(Initialisatie!$C$5,1,1))) + 1)) &lt;= 0, IFERROR(VALUE($D124),0)=0),
        AND(MAX(0, IF(MIN($E$1, DATE(Initialisatie!$C$5,12,31)) &lt; MAX($E$2, DATE(Initialisatie!$C$5,1,1)), 0, MONTH(MIN($E$1, DATE(Initialisatie!$C$5,12,31))) - MONTH(MAX($E$2, DATE(Initialisatie!$C$5,1,1))) + 1)) &lt;= 0, IFERROR(VALUE($E124),0)=0),
        AND(MAX(0, IF(MIN($F$1, DATE(Initialisatie!$C$5,12,31)) &lt; MAX($F$2, DATE(Initialisatie!$C$5,1,1)), 0, MONTH(MIN($F$1, DATE(Initialisatie!$C$5,12,31))) - MONTH(MAX($F$2, DATE(Initialisatie!$C$5,1,1))) + 1)) &lt;= 0, IFERROR(VALUE($F124),0)=0),
        AND(MAX(0, IF(MIN($G$1, DATE(Initialisatie!$C$5,12,31)) &lt; MAX($G$2, DATE(Initialisatie!$C$5,1,1)), 0, MONTH(MIN($G$1, DATE(Initialisatie!$C$5,12,31))) - MONTH(MAX($G$2, DATE(Initialisatie!$C$5,1,1))) + 1)) &lt;= 0, IFERROR(VALUE($G124),0)=0)
    ),
    0,
    SUM(
        IFERROR(VALUE($D124),0) * MAX(0, IF(MIN($D$1, DATE(Initialisatie!$C$5,12,31)) &lt; MAX($D$2, DATE(Initialisatie!$C$5,1,1)), 0, MONTH(MIN($D$1, DATE(Initialisatie!$C$5,12,31))) - MONTH(MAX($D$2, DATE(Initialisatie!$C$5,1,1))) + 1)),
        IFERROR(VALUE($E124),0) * MAX(0, IF(MIN($E$1, DATE(Initialisatie!$C$5,12,31)) &lt; MAX($E$2, DATE(Initialisatie!$C$5,1,1)), 0, MONTH(MIN($E$1, DATE(Initialisatie!$C$5,12,31))) - MONTH(MAX($E$2, DATE(Initialisatie!$C$5,1,1))) + 1)),
        IFERROR(VALUE($F124),0) * MAX(0, IF(MIN($F$1, DATE(Initialisatie!$C$5,12,31)) &lt; MAX($F$2, DATE(Initialisatie!$C$5,1,1)), 0, MONTH(MIN($F$1, DATE(Initialisatie!$C$5,12,31))) - MONTH(MAX($F$2, DATE(Initialisatie!$C$5,1,1))) + 1)),
        IFERROR(VALUE($G124),0) * MAX(0, IF(MIN($G$1, DATE(Initialisatie!$C$5,12,31)) &lt; MAX($G$2, DATE(Initialisatie!$C$5,1,1)), 0, MONTH(MIN($G$1, DATE(Initialisatie!$C$5,12,31))) - MONTH(MAX($G$2, DATE(Initialisatie!$C$5,1,1))) + 1))
    ) / 12
)</f>
        <v>3706</v>
      </c>
    </row>
    <row r="125" spans="1:10" x14ac:dyDescent="0.45">
      <c r="A125" s="999"/>
      <c r="B125" s="375">
        <v>2</v>
      </c>
      <c r="C125" s="373">
        <v>26</v>
      </c>
      <c r="D125" s="48">
        <v>3678</v>
      </c>
      <c r="E125" s="48">
        <v>3825</v>
      </c>
      <c r="F125" s="48">
        <v>3902</v>
      </c>
      <c r="G125" s="48">
        <v>3980</v>
      </c>
      <c r="I125">
        <f>IF(
    OR(
        AND(MAX(0, MIN($D$1, DATE(Initialisatie!$C$5,12,31)) - MAX($D$2, DATE(Initialisatie!$C$5,1,1)) + 1) &gt; 0, IFERROR(VALUE($D125),0)=0),
        AND(MAX(0, MIN($E$1, DATE(Initialisatie!$C$5,12,31)) - MAX($E$2, DATE(Initialisatie!$C$5,1,1)) + 1) &gt; 0, IFERROR(VALUE($E125),0)=0),
        AND(MAX(0, MIN($F$1, DATE(Initialisatie!$C$5,12,31)) - MAX($F$2, DATE(Initialisatie!$C$5,1,1)) + 1) &gt; 0, IFERROR(VALUE($F125),0)=0),
        AND(MAX(0, MIN($G$1, DATE(Initialisatie!$C$5,12,31)) - MAX($G$2, DATE(Initialisatie!$C$5,1,1)) + 1) &gt; 0, IFERROR(VALUE($G125),0)=0)
    ),
    0,
    SUM(
        IFERROR(VALUE($D125),0) * MAX(0, MIN($D$1, DATE(Initialisatie!$C$5,12,31)) - MAX($D$2, DATE(Initialisatie!$C$5,1,1)) + 1),
        IFERROR(VALUE($E125),0) * MAX(0, MIN($E$1, DATE(Initialisatie!$C$5,12,31)) - MAX($E$2, DATE(Initialisatie!$C$5,1,1)) + 1),
        IFERROR(VALUE($F125),0) * MAX(0, MIN($F$1, DATE(Initialisatie!$C$5,12,31)) - MAX($F$2, DATE(Initialisatie!$C$5,1,1)) + 1),
        IFERROR(VALUE($G125),0) * MAX(0, MIN($G$1, DATE(Initialisatie!$C$5,12,31)) - MAX($G$2, DATE(Initialisatie!$C$5,1,1)) + 1)
    ) / (DATE(Initialisatie!$C$5,12,31) - DATE(Initialisatie!$C$5,1,1) + 1)
)</f>
        <v>3889.7205479452055</v>
      </c>
      <c r="J125">
        <f>IF(
    OR(
        AND(MAX(0, IF(MIN($D$1, DATE(Initialisatie!$C$5,12,31)) &lt; MAX($D$2, DATE(Initialisatie!$C$5,1,1)), 0, MONTH(MIN($D$1, DATE(Initialisatie!$C$5,12,31))) - MONTH(MAX($D$2, DATE(Initialisatie!$C$5,1,1))) + 1)) &lt;= 0, IFERROR(VALUE($D125),0)=0),
        AND(MAX(0, IF(MIN($E$1, DATE(Initialisatie!$C$5,12,31)) &lt; MAX($E$2, DATE(Initialisatie!$C$5,1,1)), 0, MONTH(MIN($E$1, DATE(Initialisatie!$C$5,12,31))) - MONTH(MAX($E$2, DATE(Initialisatie!$C$5,1,1))) + 1)) &lt;= 0, IFERROR(VALUE($E125),0)=0),
        AND(MAX(0, IF(MIN($F$1, DATE(Initialisatie!$C$5,12,31)) &lt; MAX($F$2, DATE(Initialisatie!$C$5,1,1)), 0, MONTH(MIN($F$1, DATE(Initialisatie!$C$5,12,31))) - MONTH(MAX($F$2, DATE(Initialisatie!$C$5,1,1))) + 1)) &lt;= 0, IFERROR(VALUE($F125),0)=0),
        AND(MAX(0, IF(MIN($G$1, DATE(Initialisatie!$C$5,12,31)) &lt; MAX($G$2, DATE(Initialisatie!$C$5,1,1)), 0, MONTH(MIN($G$1, DATE(Initialisatie!$C$5,12,31))) - MONTH(MAX($G$2, DATE(Initialisatie!$C$5,1,1))) + 1)) &lt;= 0, IFERROR(VALUE($G125),0)=0)
    ),
    0,
    SUM(
        IFERROR(VALUE($D125),0) * MAX(0, IF(MIN($D$1, DATE(Initialisatie!$C$5,12,31)) &lt; MAX($D$2, DATE(Initialisatie!$C$5,1,1)), 0, MONTH(MIN($D$1, DATE(Initialisatie!$C$5,12,31))) - MONTH(MAX($D$2, DATE(Initialisatie!$C$5,1,1))) + 1)),
        IFERROR(VALUE($E125),0) * MAX(0, IF(MIN($E$1, DATE(Initialisatie!$C$5,12,31)) &lt; MAX($E$2, DATE(Initialisatie!$C$5,1,1)), 0, MONTH(MIN($E$1, DATE(Initialisatie!$C$5,12,31))) - MONTH(MAX($E$2, DATE(Initialisatie!$C$5,1,1))) + 1)),
        IFERROR(VALUE($F125),0) * MAX(0, IF(MIN($F$1, DATE(Initialisatie!$C$5,12,31)) &lt; MAX($F$2, DATE(Initialisatie!$C$5,1,1)), 0, MONTH(MIN($F$1, DATE(Initialisatie!$C$5,12,31))) - MONTH(MAX($F$2, DATE(Initialisatie!$C$5,1,1))) + 1)),
        IFERROR(VALUE($G125),0) * MAX(0, IF(MIN($G$1, DATE(Initialisatie!$C$5,12,31)) &lt; MAX($G$2, DATE(Initialisatie!$C$5,1,1)), 0, MONTH(MIN($G$1, DATE(Initialisatie!$C$5,12,31))) - MONTH(MAX($G$2, DATE(Initialisatie!$C$5,1,1))) + 1))
    ) / 12
)</f>
        <v>3889.3333333333335</v>
      </c>
    </row>
    <row r="126" spans="1:10" x14ac:dyDescent="0.45">
      <c r="A126" s="999"/>
      <c r="B126" s="373">
        <v>3</v>
      </c>
      <c r="C126" s="373">
        <v>28</v>
      </c>
      <c r="D126" s="48">
        <v>3843</v>
      </c>
      <c r="E126" s="48">
        <v>3997</v>
      </c>
      <c r="F126" s="48">
        <v>4077</v>
      </c>
      <c r="G126" s="48">
        <v>4159</v>
      </c>
      <c r="I126">
        <f>IF(
    OR(
        AND(MAX(0, MIN($D$1, DATE(Initialisatie!$C$5,12,31)) - MAX($D$2, DATE(Initialisatie!$C$5,1,1)) + 1) &gt; 0, IFERROR(VALUE($D126),0)=0),
        AND(MAX(0, MIN($E$1, DATE(Initialisatie!$C$5,12,31)) - MAX($E$2, DATE(Initialisatie!$C$5,1,1)) + 1) &gt; 0, IFERROR(VALUE($E126),0)=0),
        AND(MAX(0, MIN($F$1, DATE(Initialisatie!$C$5,12,31)) - MAX($F$2, DATE(Initialisatie!$C$5,1,1)) + 1) &gt; 0, IFERROR(VALUE($F126),0)=0),
        AND(MAX(0, MIN($G$1, DATE(Initialisatie!$C$5,12,31)) - MAX($G$2, DATE(Initialisatie!$C$5,1,1)) + 1) &gt; 0, IFERROR(VALUE($G126),0)=0)
    ),
    0,
    SUM(
        IFERROR(VALUE($D126),0) * MAX(0, MIN($D$1, DATE(Initialisatie!$C$5,12,31)) - MAX($D$2, DATE(Initialisatie!$C$5,1,1)) + 1),
        IFERROR(VALUE($E126),0) * MAX(0, MIN($E$1, DATE(Initialisatie!$C$5,12,31)) - MAX($E$2, DATE(Initialisatie!$C$5,1,1)) + 1),
        IFERROR(VALUE($F126),0) * MAX(0, MIN($F$1, DATE(Initialisatie!$C$5,12,31)) - MAX($F$2, DATE(Initialisatie!$C$5,1,1)) + 1),
        IFERROR(VALUE($G126),0) * MAX(0, MIN($G$1, DATE(Initialisatie!$C$5,12,31)) - MAX($G$2, DATE(Initialisatie!$C$5,1,1)) + 1)
    ) / (DATE(Initialisatie!$C$5,12,31) - DATE(Initialisatie!$C$5,1,1) + 1)
)</f>
        <v>4064.4027397260274</v>
      </c>
      <c r="J126">
        <f>IF(
    OR(
        AND(MAX(0, IF(MIN($D$1, DATE(Initialisatie!$C$5,12,31)) &lt; MAX($D$2, DATE(Initialisatie!$C$5,1,1)), 0, MONTH(MIN($D$1, DATE(Initialisatie!$C$5,12,31))) - MONTH(MAX($D$2, DATE(Initialisatie!$C$5,1,1))) + 1)) &lt;= 0, IFERROR(VALUE($D126),0)=0),
        AND(MAX(0, IF(MIN($E$1, DATE(Initialisatie!$C$5,12,31)) &lt; MAX($E$2, DATE(Initialisatie!$C$5,1,1)), 0, MONTH(MIN($E$1, DATE(Initialisatie!$C$5,12,31))) - MONTH(MAX($E$2, DATE(Initialisatie!$C$5,1,1))) + 1)) &lt;= 0, IFERROR(VALUE($E126),0)=0),
        AND(MAX(0, IF(MIN($F$1, DATE(Initialisatie!$C$5,12,31)) &lt; MAX($F$2, DATE(Initialisatie!$C$5,1,1)), 0, MONTH(MIN($F$1, DATE(Initialisatie!$C$5,12,31))) - MONTH(MAX($F$2, DATE(Initialisatie!$C$5,1,1))) + 1)) &lt;= 0, IFERROR(VALUE($F126),0)=0),
        AND(MAX(0, IF(MIN($G$1, DATE(Initialisatie!$C$5,12,31)) &lt; MAX($G$2, DATE(Initialisatie!$C$5,1,1)), 0, MONTH(MIN($G$1, DATE(Initialisatie!$C$5,12,31))) - MONTH(MAX($G$2, DATE(Initialisatie!$C$5,1,1))) + 1)) &lt;= 0, IFERROR(VALUE($G126),0)=0)
    ),
    0,
    SUM(
        IFERROR(VALUE($D126),0) * MAX(0, IF(MIN($D$1, DATE(Initialisatie!$C$5,12,31)) &lt; MAX($D$2, DATE(Initialisatie!$C$5,1,1)), 0, MONTH(MIN($D$1, DATE(Initialisatie!$C$5,12,31))) - MONTH(MAX($D$2, DATE(Initialisatie!$C$5,1,1))) + 1)),
        IFERROR(VALUE($E126),0) * MAX(0, IF(MIN($E$1, DATE(Initialisatie!$C$5,12,31)) &lt; MAX($E$2, DATE(Initialisatie!$C$5,1,1)), 0, MONTH(MIN($E$1, DATE(Initialisatie!$C$5,12,31))) - MONTH(MAX($E$2, DATE(Initialisatie!$C$5,1,1))) + 1)),
        IFERROR(VALUE($F126),0) * MAX(0, IF(MIN($F$1, DATE(Initialisatie!$C$5,12,31)) &lt; MAX($F$2, DATE(Initialisatie!$C$5,1,1)), 0, MONTH(MIN($F$1, DATE(Initialisatie!$C$5,12,31))) - MONTH(MAX($F$2, DATE(Initialisatie!$C$5,1,1))) + 1)),
        IFERROR(VALUE($G126),0) * MAX(0, IF(MIN($G$1, DATE(Initialisatie!$C$5,12,31)) &lt; MAX($G$2, DATE(Initialisatie!$C$5,1,1)), 0, MONTH(MIN($G$1, DATE(Initialisatie!$C$5,12,31))) - MONTH(MAX($G$2, DATE(Initialisatie!$C$5,1,1))) + 1))
    ) / 12
)</f>
        <v>4064</v>
      </c>
    </row>
    <row r="127" spans="1:10" x14ac:dyDescent="0.45">
      <c r="A127" s="999"/>
      <c r="B127" s="375">
        <v>4</v>
      </c>
      <c r="C127" s="373">
        <v>30</v>
      </c>
      <c r="D127" s="48">
        <v>4017</v>
      </c>
      <c r="E127" s="48">
        <v>4178</v>
      </c>
      <c r="F127" s="48">
        <v>4262</v>
      </c>
      <c r="G127" s="48">
        <v>4347</v>
      </c>
      <c r="I127">
        <f>IF(
    OR(
        AND(MAX(0, MIN($D$1, DATE(Initialisatie!$C$5,12,31)) - MAX($D$2, DATE(Initialisatie!$C$5,1,1)) + 1) &gt; 0, IFERROR(VALUE($D127),0)=0),
        AND(MAX(0, MIN($E$1, DATE(Initialisatie!$C$5,12,31)) - MAX($E$2, DATE(Initialisatie!$C$5,1,1)) + 1) &gt; 0, IFERROR(VALUE($E127),0)=0),
        AND(MAX(0, MIN($F$1, DATE(Initialisatie!$C$5,12,31)) - MAX($F$2, DATE(Initialisatie!$C$5,1,1)) + 1) &gt; 0, IFERROR(VALUE($F127),0)=0),
        AND(MAX(0, MIN($G$1, DATE(Initialisatie!$C$5,12,31)) - MAX($G$2, DATE(Initialisatie!$C$5,1,1)) + 1) &gt; 0, IFERROR(VALUE($G127),0)=0)
    ),
    0,
    SUM(
        IFERROR(VALUE($D127),0) * MAX(0, MIN($D$1, DATE(Initialisatie!$C$5,12,31)) - MAX($D$2, DATE(Initialisatie!$C$5,1,1)) + 1),
        IFERROR(VALUE($E127),0) * MAX(0, MIN($E$1, DATE(Initialisatie!$C$5,12,31)) - MAX($E$2, DATE(Initialisatie!$C$5,1,1)) + 1),
        IFERROR(VALUE($F127),0) * MAX(0, MIN($F$1, DATE(Initialisatie!$C$5,12,31)) - MAX($F$2, DATE(Initialisatie!$C$5,1,1)) + 1),
        IFERROR(VALUE($G127),0) * MAX(0, MIN($G$1, DATE(Initialisatie!$C$5,12,31)) - MAX($G$2, DATE(Initialisatie!$C$5,1,1)) + 1)
    ) / (DATE(Initialisatie!$C$5,12,31) - DATE(Initialisatie!$C$5,1,1) + 1)
)</f>
        <v>4248.58904109589</v>
      </c>
      <c r="J127">
        <f>IF(
    OR(
        AND(MAX(0, IF(MIN($D$1, DATE(Initialisatie!$C$5,12,31)) &lt; MAX($D$2, DATE(Initialisatie!$C$5,1,1)), 0, MONTH(MIN($D$1, DATE(Initialisatie!$C$5,12,31))) - MONTH(MAX($D$2, DATE(Initialisatie!$C$5,1,1))) + 1)) &lt;= 0, IFERROR(VALUE($D127),0)=0),
        AND(MAX(0, IF(MIN($E$1, DATE(Initialisatie!$C$5,12,31)) &lt; MAX($E$2, DATE(Initialisatie!$C$5,1,1)), 0, MONTH(MIN($E$1, DATE(Initialisatie!$C$5,12,31))) - MONTH(MAX($E$2, DATE(Initialisatie!$C$5,1,1))) + 1)) &lt;= 0, IFERROR(VALUE($E127),0)=0),
        AND(MAX(0, IF(MIN($F$1, DATE(Initialisatie!$C$5,12,31)) &lt; MAX($F$2, DATE(Initialisatie!$C$5,1,1)), 0, MONTH(MIN($F$1, DATE(Initialisatie!$C$5,12,31))) - MONTH(MAX($F$2, DATE(Initialisatie!$C$5,1,1))) + 1)) &lt;= 0, IFERROR(VALUE($F127),0)=0),
        AND(MAX(0, IF(MIN($G$1, DATE(Initialisatie!$C$5,12,31)) &lt; MAX($G$2, DATE(Initialisatie!$C$5,1,1)), 0, MONTH(MIN($G$1, DATE(Initialisatie!$C$5,12,31))) - MONTH(MAX($G$2, DATE(Initialisatie!$C$5,1,1))) + 1)) &lt;= 0, IFERROR(VALUE($G127),0)=0)
    ),
    0,
    SUM(
        IFERROR(VALUE($D127),0) * MAX(0, IF(MIN($D$1, DATE(Initialisatie!$C$5,12,31)) &lt; MAX($D$2, DATE(Initialisatie!$C$5,1,1)), 0, MONTH(MIN($D$1, DATE(Initialisatie!$C$5,12,31))) - MONTH(MAX($D$2, DATE(Initialisatie!$C$5,1,1))) + 1)),
        IFERROR(VALUE($E127),0) * MAX(0, IF(MIN($E$1, DATE(Initialisatie!$C$5,12,31)) &lt; MAX($E$2, DATE(Initialisatie!$C$5,1,1)), 0, MONTH(MIN($E$1, DATE(Initialisatie!$C$5,12,31))) - MONTH(MAX($E$2, DATE(Initialisatie!$C$5,1,1))) + 1)),
        IFERROR(VALUE($F127),0) * MAX(0, IF(MIN($F$1, DATE(Initialisatie!$C$5,12,31)) &lt; MAX($F$2, DATE(Initialisatie!$C$5,1,1)), 0, MONTH(MIN($F$1, DATE(Initialisatie!$C$5,12,31))) - MONTH(MAX($F$2, DATE(Initialisatie!$C$5,1,1))) + 1)),
        IFERROR(VALUE($G127),0) * MAX(0, IF(MIN($G$1, DATE(Initialisatie!$C$5,12,31)) &lt; MAX($G$2, DATE(Initialisatie!$C$5,1,1)), 0, MONTH(MIN($G$1, DATE(Initialisatie!$C$5,12,31))) - MONTH(MAX($G$2, DATE(Initialisatie!$C$5,1,1))) + 1))
    ) / 12
)</f>
        <v>4248.166666666667</v>
      </c>
    </row>
    <row r="128" spans="1:10" x14ac:dyDescent="0.45">
      <c r="A128" s="999"/>
      <c r="B128" s="373">
        <v>5</v>
      </c>
      <c r="C128" s="373">
        <v>32</v>
      </c>
      <c r="D128" s="48">
        <v>4184</v>
      </c>
      <c r="E128" s="48">
        <v>4351</v>
      </c>
      <c r="F128" s="48">
        <v>4438</v>
      </c>
      <c r="G128" s="48">
        <v>4527</v>
      </c>
      <c r="I128">
        <f>IF(
    OR(
        AND(MAX(0, MIN($D$1, DATE(Initialisatie!$C$5,12,31)) - MAX($D$2, DATE(Initialisatie!$C$5,1,1)) + 1) &gt; 0, IFERROR(VALUE($D128),0)=0),
        AND(MAX(0, MIN($E$1, DATE(Initialisatie!$C$5,12,31)) - MAX($E$2, DATE(Initialisatie!$C$5,1,1)) + 1) &gt; 0, IFERROR(VALUE($E128),0)=0),
        AND(MAX(0, MIN($F$1, DATE(Initialisatie!$C$5,12,31)) - MAX($F$2, DATE(Initialisatie!$C$5,1,1)) + 1) &gt; 0, IFERROR(VALUE($F128),0)=0),
        AND(MAX(0, MIN($G$1, DATE(Initialisatie!$C$5,12,31)) - MAX($G$2, DATE(Initialisatie!$C$5,1,1)) + 1) &gt; 0, IFERROR(VALUE($G128),0)=0)
    ),
    0,
    SUM(
        IFERROR(VALUE($D128),0) * MAX(0, MIN($D$1, DATE(Initialisatie!$C$5,12,31)) - MAX($D$2, DATE(Initialisatie!$C$5,1,1)) + 1),
        IFERROR(VALUE($E128),0) * MAX(0, MIN($E$1, DATE(Initialisatie!$C$5,12,31)) - MAX($E$2, DATE(Initialisatie!$C$5,1,1)) + 1),
        IFERROR(VALUE($F128),0) * MAX(0, MIN($F$1, DATE(Initialisatie!$C$5,12,31)) - MAX($F$2, DATE(Initialisatie!$C$5,1,1)) + 1),
        IFERROR(VALUE($G128),0) * MAX(0, MIN($G$1, DATE(Initialisatie!$C$5,12,31)) - MAX($G$2, DATE(Initialisatie!$C$5,1,1)) + 1)
    ) / (DATE(Initialisatie!$C$5,12,31) - DATE(Initialisatie!$C$5,1,1) + 1)
)</f>
        <v>4424.271232876712</v>
      </c>
      <c r="J128">
        <f>IF(
    OR(
        AND(MAX(0, IF(MIN($D$1, DATE(Initialisatie!$C$5,12,31)) &lt; MAX($D$2, DATE(Initialisatie!$C$5,1,1)), 0, MONTH(MIN($D$1, DATE(Initialisatie!$C$5,12,31))) - MONTH(MAX($D$2, DATE(Initialisatie!$C$5,1,1))) + 1)) &lt;= 0, IFERROR(VALUE($D128),0)=0),
        AND(MAX(0, IF(MIN($E$1, DATE(Initialisatie!$C$5,12,31)) &lt; MAX($E$2, DATE(Initialisatie!$C$5,1,1)), 0, MONTH(MIN($E$1, DATE(Initialisatie!$C$5,12,31))) - MONTH(MAX($E$2, DATE(Initialisatie!$C$5,1,1))) + 1)) &lt;= 0, IFERROR(VALUE($E128),0)=0),
        AND(MAX(0, IF(MIN($F$1, DATE(Initialisatie!$C$5,12,31)) &lt; MAX($F$2, DATE(Initialisatie!$C$5,1,1)), 0, MONTH(MIN($F$1, DATE(Initialisatie!$C$5,12,31))) - MONTH(MAX($F$2, DATE(Initialisatie!$C$5,1,1))) + 1)) &lt;= 0, IFERROR(VALUE($F128),0)=0),
        AND(MAX(0, IF(MIN($G$1, DATE(Initialisatie!$C$5,12,31)) &lt; MAX($G$2, DATE(Initialisatie!$C$5,1,1)), 0, MONTH(MIN($G$1, DATE(Initialisatie!$C$5,12,31))) - MONTH(MAX($G$2, DATE(Initialisatie!$C$5,1,1))) + 1)) &lt;= 0, IFERROR(VALUE($G128),0)=0)
    ),
    0,
    SUM(
        IFERROR(VALUE($D128),0) * MAX(0, IF(MIN($D$1, DATE(Initialisatie!$C$5,12,31)) &lt; MAX($D$2, DATE(Initialisatie!$C$5,1,1)), 0, MONTH(MIN($D$1, DATE(Initialisatie!$C$5,12,31))) - MONTH(MAX($D$2, DATE(Initialisatie!$C$5,1,1))) + 1)),
        IFERROR(VALUE($E128),0) * MAX(0, IF(MIN($E$1, DATE(Initialisatie!$C$5,12,31)) &lt; MAX($E$2, DATE(Initialisatie!$C$5,1,1)), 0, MONTH(MIN($E$1, DATE(Initialisatie!$C$5,12,31))) - MONTH(MAX($E$2, DATE(Initialisatie!$C$5,1,1))) + 1)),
        IFERROR(VALUE($F128),0) * MAX(0, IF(MIN($F$1, DATE(Initialisatie!$C$5,12,31)) &lt; MAX($F$2, DATE(Initialisatie!$C$5,1,1)), 0, MONTH(MIN($F$1, DATE(Initialisatie!$C$5,12,31))) - MONTH(MAX($F$2, DATE(Initialisatie!$C$5,1,1))) + 1)),
        IFERROR(VALUE($G128),0) * MAX(0, IF(MIN($G$1, DATE(Initialisatie!$C$5,12,31)) &lt; MAX($G$2, DATE(Initialisatie!$C$5,1,1)), 0, MONTH(MIN($G$1, DATE(Initialisatie!$C$5,12,31))) - MONTH(MAX($G$2, DATE(Initialisatie!$C$5,1,1))) + 1))
    ) / 12
)</f>
        <v>4423.833333333333</v>
      </c>
    </row>
    <row r="129" spans="1:10" x14ac:dyDescent="0.45">
      <c r="A129" s="999"/>
      <c r="B129" s="372">
        <v>6</v>
      </c>
      <c r="C129" s="373">
        <v>34</v>
      </c>
      <c r="D129" s="48">
        <v>4354</v>
      </c>
      <c r="E129" s="48">
        <v>4528</v>
      </c>
      <c r="F129" s="48">
        <v>4619</v>
      </c>
      <c r="G129" s="48">
        <v>4711</v>
      </c>
      <c r="I129">
        <f>IF(
    OR(
        AND(MAX(0, MIN($D$1, DATE(Initialisatie!$C$5,12,31)) - MAX($D$2, DATE(Initialisatie!$C$5,1,1)) + 1) &gt; 0, IFERROR(VALUE($D129),0)=0),
        AND(MAX(0, MIN($E$1, DATE(Initialisatie!$C$5,12,31)) - MAX($E$2, DATE(Initialisatie!$C$5,1,1)) + 1) &gt; 0, IFERROR(VALUE($E129),0)=0),
        AND(MAX(0, MIN($F$1, DATE(Initialisatie!$C$5,12,31)) - MAX($F$2, DATE(Initialisatie!$C$5,1,1)) + 1) &gt; 0, IFERROR(VALUE($F129),0)=0),
        AND(MAX(0, MIN($G$1, DATE(Initialisatie!$C$5,12,31)) - MAX($G$2, DATE(Initialisatie!$C$5,1,1)) + 1) &gt; 0, IFERROR(VALUE($G129),0)=0)
    ),
    0,
    SUM(
        IFERROR(VALUE($D129),0) * MAX(0, MIN($D$1, DATE(Initialisatie!$C$5,12,31)) - MAX($D$2, DATE(Initialisatie!$C$5,1,1)) + 1),
        IFERROR(VALUE($E129),0) * MAX(0, MIN($E$1, DATE(Initialisatie!$C$5,12,31)) - MAX($E$2, DATE(Initialisatie!$C$5,1,1)) + 1),
        IFERROR(VALUE($F129),0) * MAX(0, MIN($F$1, DATE(Initialisatie!$C$5,12,31)) - MAX($F$2, DATE(Initialisatie!$C$5,1,1)) + 1),
        IFERROR(VALUE($G129),0) * MAX(0, MIN($G$1, DATE(Initialisatie!$C$5,12,31)) - MAX($G$2, DATE(Initialisatie!$C$5,1,1)) + 1)
    ) / (DATE(Initialisatie!$C$5,12,31) - DATE(Initialisatie!$C$5,1,1) + 1)
)</f>
        <v>4604.4575342465751</v>
      </c>
      <c r="J129">
        <f>IF(
    OR(
        AND(MAX(0, IF(MIN($D$1, DATE(Initialisatie!$C$5,12,31)) &lt; MAX($D$2, DATE(Initialisatie!$C$5,1,1)), 0, MONTH(MIN($D$1, DATE(Initialisatie!$C$5,12,31))) - MONTH(MAX($D$2, DATE(Initialisatie!$C$5,1,1))) + 1)) &lt;= 0, IFERROR(VALUE($D129),0)=0),
        AND(MAX(0, IF(MIN($E$1, DATE(Initialisatie!$C$5,12,31)) &lt; MAX($E$2, DATE(Initialisatie!$C$5,1,1)), 0, MONTH(MIN($E$1, DATE(Initialisatie!$C$5,12,31))) - MONTH(MAX($E$2, DATE(Initialisatie!$C$5,1,1))) + 1)) &lt;= 0, IFERROR(VALUE($E129),0)=0),
        AND(MAX(0, IF(MIN($F$1, DATE(Initialisatie!$C$5,12,31)) &lt; MAX($F$2, DATE(Initialisatie!$C$5,1,1)), 0, MONTH(MIN($F$1, DATE(Initialisatie!$C$5,12,31))) - MONTH(MAX($F$2, DATE(Initialisatie!$C$5,1,1))) + 1)) &lt;= 0, IFERROR(VALUE($F129),0)=0),
        AND(MAX(0, IF(MIN($G$1, DATE(Initialisatie!$C$5,12,31)) &lt; MAX($G$2, DATE(Initialisatie!$C$5,1,1)), 0, MONTH(MIN($G$1, DATE(Initialisatie!$C$5,12,31))) - MONTH(MAX($G$2, DATE(Initialisatie!$C$5,1,1))) + 1)) &lt;= 0, IFERROR(VALUE($G129),0)=0)
    ),
    0,
    SUM(
        IFERROR(VALUE($D129),0) * MAX(0, IF(MIN($D$1, DATE(Initialisatie!$C$5,12,31)) &lt; MAX($D$2, DATE(Initialisatie!$C$5,1,1)), 0, MONTH(MIN($D$1, DATE(Initialisatie!$C$5,12,31))) - MONTH(MAX($D$2, DATE(Initialisatie!$C$5,1,1))) + 1)),
        IFERROR(VALUE($E129),0) * MAX(0, IF(MIN($E$1, DATE(Initialisatie!$C$5,12,31)) &lt; MAX($E$2, DATE(Initialisatie!$C$5,1,1)), 0, MONTH(MIN($E$1, DATE(Initialisatie!$C$5,12,31))) - MONTH(MAX($E$2, DATE(Initialisatie!$C$5,1,1))) + 1)),
        IFERROR(VALUE($F129),0) * MAX(0, IF(MIN($F$1, DATE(Initialisatie!$C$5,12,31)) &lt; MAX($F$2, DATE(Initialisatie!$C$5,1,1)), 0, MONTH(MIN($F$1, DATE(Initialisatie!$C$5,12,31))) - MONTH(MAX($F$2, DATE(Initialisatie!$C$5,1,1))) + 1)),
        IFERROR(VALUE($G129),0) * MAX(0, IF(MIN($G$1, DATE(Initialisatie!$C$5,12,31)) &lt; MAX($G$2, DATE(Initialisatie!$C$5,1,1)), 0, MONTH(MIN($G$1, DATE(Initialisatie!$C$5,12,31))) - MONTH(MAX($G$2, DATE(Initialisatie!$C$5,1,1))) + 1))
    ) / 12
)</f>
        <v>4604</v>
      </c>
    </row>
    <row r="130" spans="1:10" x14ac:dyDescent="0.45">
      <c r="A130" s="999"/>
      <c r="B130" s="373">
        <v>7</v>
      </c>
      <c r="C130" s="373">
        <v>35</v>
      </c>
      <c r="D130" s="48">
        <v>4436</v>
      </c>
      <c r="E130" s="48">
        <v>4613</v>
      </c>
      <c r="F130" s="48">
        <v>4705</v>
      </c>
      <c r="G130" s="48">
        <v>4799</v>
      </c>
      <c r="I130">
        <f>IF(
    OR(
        AND(MAX(0, MIN($D$1, DATE(Initialisatie!$C$5,12,31)) - MAX($D$2, DATE(Initialisatie!$C$5,1,1)) + 1) &gt; 0, IFERROR(VALUE($D130),0)=0),
        AND(MAX(0, MIN($E$1, DATE(Initialisatie!$C$5,12,31)) - MAX($E$2, DATE(Initialisatie!$C$5,1,1)) + 1) &gt; 0, IFERROR(VALUE($E130),0)=0),
        AND(MAX(0, MIN($F$1, DATE(Initialisatie!$C$5,12,31)) - MAX($F$2, DATE(Initialisatie!$C$5,1,1)) + 1) &gt; 0, IFERROR(VALUE($F130),0)=0),
        AND(MAX(0, MIN($G$1, DATE(Initialisatie!$C$5,12,31)) - MAX($G$2, DATE(Initialisatie!$C$5,1,1)) + 1) &gt; 0, IFERROR(VALUE($G130),0)=0)
    ),
    0,
    SUM(
        IFERROR(VALUE($D130),0) * MAX(0, MIN($D$1, DATE(Initialisatie!$C$5,12,31)) - MAX($D$2, DATE(Initialisatie!$C$5,1,1)) + 1),
        IFERROR(VALUE($E130),0) * MAX(0, MIN($E$1, DATE(Initialisatie!$C$5,12,31)) - MAX($E$2, DATE(Initialisatie!$C$5,1,1)) + 1),
        IFERROR(VALUE($F130),0) * MAX(0, MIN($F$1, DATE(Initialisatie!$C$5,12,31)) - MAX($F$2, DATE(Initialisatie!$C$5,1,1)) + 1),
        IFERROR(VALUE($G130),0) * MAX(0, MIN($G$1, DATE(Initialisatie!$C$5,12,31)) - MAX($G$2, DATE(Initialisatie!$C$5,1,1)) + 1)
    ) / (DATE(Initialisatie!$C$5,12,31) - DATE(Initialisatie!$C$5,1,1) + 1)
)</f>
        <v>4690.4630136986298</v>
      </c>
      <c r="J130">
        <f>IF(
    OR(
        AND(MAX(0, IF(MIN($D$1, DATE(Initialisatie!$C$5,12,31)) &lt; MAX($D$2, DATE(Initialisatie!$C$5,1,1)), 0, MONTH(MIN($D$1, DATE(Initialisatie!$C$5,12,31))) - MONTH(MAX($D$2, DATE(Initialisatie!$C$5,1,1))) + 1)) &lt;= 0, IFERROR(VALUE($D130),0)=0),
        AND(MAX(0, IF(MIN($E$1, DATE(Initialisatie!$C$5,12,31)) &lt; MAX($E$2, DATE(Initialisatie!$C$5,1,1)), 0, MONTH(MIN($E$1, DATE(Initialisatie!$C$5,12,31))) - MONTH(MAX($E$2, DATE(Initialisatie!$C$5,1,1))) + 1)) &lt;= 0, IFERROR(VALUE($E130),0)=0),
        AND(MAX(0, IF(MIN($F$1, DATE(Initialisatie!$C$5,12,31)) &lt; MAX($F$2, DATE(Initialisatie!$C$5,1,1)), 0, MONTH(MIN($F$1, DATE(Initialisatie!$C$5,12,31))) - MONTH(MAX($F$2, DATE(Initialisatie!$C$5,1,1))) + 1)) &lt;= 0, IFERROR(VALUE($F130),0)=0),
        AND(MAX(0, IF(MIN($G$1, DATE(Initialisatie!$C$5,12,31)) &lt; MAX($G$2, DATE(Initialisatie!$C$5,1,1)), 0, MONTH(MIN($G$1, DATE(Initialisatie!$C$5,12,31))) - MONTH(MAX($G$2, DATE(Initialisatie!$C$5,1,1))) + 1)) &lt;= 0, IFERROR(VALUE($G130),0)=0)
    ),
    0,
    SUM(
        IFERROR(VALUE($D130),0) * MAX(0, IF(MIN($D$1, DATE(Initialisatie!$C$5,12,31)) &lt; MAX($D$2, DATE(Initialisatie!$C$5,1,1)), 0, MONTH(MIN($D$1, DATE(Initialisatie!$C$5,12,31))) - MONTH(MAX($D$2, DATE(Initialisatie!$C$5,1,1))) + 1)),
        IFERROR(VALUE($E130),0) * MAX(0, IF(MIN($E$1, DATE(Initialisatie!$C$5,12,31)) &lt; MAX($E$2, DATE(Initialisatie!$C$5,1,1)), 0, MONTH(MIN($E$1, DATE(Initialisatie!$C$5,12,31))) - MONTH(MAX($E$2, DATE(Initialisatie!$C$5,1,1))) + 1)),
        IFERROR(VALUE($F130),0) * MAX(0, IF(MIN($F$1, DATE(Initialisatie!$C$5,12,31)) &lt; MAX($F$2, DATE(Initialisatie!$C$5,1,1)), 0, MONTH(MIN($F$1, DATE(Initialisatie!$C$5,12,31))) - MONTH(MAX($F$2, DATE(Initialisatie!$C$5,1,1))) + 1)),
        IFERROR(VALUE($G130),0) * MAX(0, IF(MIN($G$1, DATE(Initialisatie!$C$5,12,31)) &lt; MAX($G$2, DATE(Initialisatie!$C$5,1,1)), 0, MONTH(MIN($G$1, DATE(Initialisatie!$C$5,12,31))) - MONTH(MAX($G$2, DATE(Initialisatie!$C$5,1,1))) + 1))
    ) / 12
)</f>
        <v>4690</v>
      </c>
    </row>
    <row r="131" spans="1:10" x14ac:dyDescent="0.45">
      <c r="A131" s="999"/>
      <c r="B131" s="373">
        <v>8</v>
      </c>
      <c r="C131" s="373">
        <v>36</v>
      </c>
      <c r="D131" s="48">
        <v>4532</v>
      </c>
      <c r="E131" s="48">
        <v>4713</v>
      </c>
      <c r="F131" s="48">
        <v>4807</v>
      </c>
      <c r="G131" s="48">
        <v>4903</v>
      </c>
      <c r="I131">
        <f>IF(
    OR(
        AND(MAX(0, MIN($D$1, DATE(Initialisatie!$C$5,12,31)) - MAX($D$2, DATE(Initialisatie!$C$5,1,1)) + 1) &gt; 0, IFERROR(VALUE($D131),0)=0),
        AND(MAX(0, MIN($E$1, DATE(Initialisatie!$C$5,12,31)) - MAX($E$2, DATE(Initialisatie!$C$5,1,1)) + 1) &gt; 0, IFERROR(VALUE($E131),0)=0),
        AND(MAX(0, MIN($F$1, DATE(Initialisatie!$C$5,12,31)) - MAX($F$2, DATE(Initialisatie!$C$5,1,1)) + 1) &gt; 0, IFERROR(VALUE($F131),0)=0),
        AND(MAX(0, MIN($G$1, DATE(Initialisatie!$C$5,12,31)) - MAX($G$2, DATE(Initialisatie!$C$5,1,1)) + 1) &gt; 0, IFERROR(VALUE($G131),0)=0)
    ),
    0,
    SUM(
        IFERROR(VALUE($D131),0) * MAX(0, MIN($D$1, DATE(Initialisatie!$C$5,12,31)) - MAX($D$2, DATE(Initialisatie!$C$5,1,1)) + 1),
        IFERROR(VALUE($E131),0) * MAX(0, MIN($E$1, DATE(Initialisatie!$C$5,12,31)) - MAX($E$2, DATE(Initialisatie!$C$5,1,1)) + 1),
        IFERROR(VALUE($F131),0) * MAX(0, MIN($F$1, DATE(Initialisatie!$C$5,12,31)) - MAX($F$2, DATE(Initialisatie!$C$5,1,1)) + 1),
        IFERROR(VALUE($G131),0) * MAX(0, MIN($G$1, DATE(Initialisatie!$C$5,12,31)) - MAX($G$2, DATE(Initialisatie!$C$5,1,1)) + 1)
    ) / (DATE(Initialisatie!$C$5,12,31) - DATE(Initialisatie!$C$5,1,1) + 1)
)</f>
        <v>4792.139726027397</v>
      </c>
      <c r="J131">
        <f>IF(
    OR(
        AND(MAX(0, IF(MIN($D$1, DATE(Initialisatie!$C$5,12,31)) &lt; MAX($D$2, DATE(Initialisatie!$C$5,1,1)), 0, MONTH(MIN($D$1, DATE(Initialisatie!$C$5,12,31))) - MONTH(MAX($D$2, DATE(Initialisatie!$C$5,1,1))) + 1)) &lt;= 0, IFERROR(VALUE($D131),0)=0),
        AND(MAX(0, IF(MIN($E$1, DATE(Initialisatie!$C$5,12,31)) &lt; MAX($E$2, DATE(Initialisatie!$C$5,1,1)), 0, MONTH(MIN($E$1, DATE(Initialisatie!$C$5,12,31))) - MONTH(MAX($E$2, DATE(Initialisatie!$C$5,1,1))) + 1)) &lt;= 0, IFERROR(VALUE($E131),0)=0),
        AND(MAX(0, IF(MIN($F$1, DATE(Initialisatie!$C$5,12,31)) &lt; MAX($F$2, DATE(Initialisatie!$C$5,1,1)), 0, MONTH(MIN($F$1, DATE(Initialisatie!$C$5,12,31))) - MONTH(MAX($F$2, DATE(Initialisatie!$C$5,1,1))) + 1)) &lt;= 0, IFERROR(VALUE($F131),0)=0),
        AND(MAX(0, IF(MIN($G$1, DATE(Initialisatie!$C$5,12,31)) &lt; MAX($G$2, DATE(Initialisatie!$C$5,1,1)), 0, MONTH(MIN($G$1, DATE(Initialisatie!$C$5,12,31))) - MONTH(MAX($G$2, DATE(Initialisatie!$C$5,1,1))) + 1)) &lt;= 0, IFERROR(VALUE($G131),0)=0)
    ),
    0,
    SUM(
        IFERROR(VALUE($D131),0) * MAX(0, IF(MIN($D$1, DATE(Initialisatie!$C$5,12,31)) &lt; MAX($D$2, DATE(Initialisatie!$C$5,1,1)), 0, MONTH(MIN($D$1, DATE(Initialisatie!$C$5,12,31))) - MONTH(MAX($D$2, DATE(Initialisatie!$C$5,1,1))) + 1)),
        IFERROR(VALUE($E131),0) * MAX(0, IF(MIN($E$1, DATE(Initialisatie!$C$5,12,31)) &lt; MAX($E$2, DATE(Initialisatie!$C$5,1,1)), 0, MONTH(MIN($E$1, DATE(Initialisatie!$C$5,12,31))) - MONTH(MAX($E$2, DATE(Initialisatie!$C$5,1,1))) + 1)),
        IFERROR(VALUE($F131),0) * MAX(0, IF(MIN($F$1, DATE(Initialisatie!$C$5,12,31)) &lt; MAX($F$2, DATE(Initialisatie!$C$5,1,1)), 0, MONTH(MIN($F$1, DATE(Initialisatie!$C$5,12,31))) - MONTH(MAX($F$2, DATE(Initialisatie!$C$5,1,1))) + 1)),
        IFERROR(VALUE($G131),0) * MAX(0, IF(MIN($G$1, DATE(Initialisatie!$C$5,12,31)) &lt; MAX($G$2, DATE(Initialisatie!$C$5,1,1)), 0, MONTH(MIN($G$1, DATE(Initialisatie!$C$5,12,31))) - MONTH(MAX($G$2, DATE(Initialisatie!$C$5,1,1))) + 1))
    ) / 12
)</f>
        <v>4791.666666666667</v>
      </c>
    </row>
    <row r="132" spans="1:10" x14ac:dyDescent="0.45">
      <c r="A132" s="999"/>
      <c r="B132" s="375">
        <v>9</v>
      </c>
      <c r="C132" s="373">
        <v>37</v>
      </c>
      <c r="D132" s="48">
        <v>4629</v>
      </c>
      <c r="E132" s="48">
        <v>4814</v>
      </c>
      <c r="F132" s="48">
        <v>4910</v>
      </c>
      <c r="G132" s="48">
        <v>5008</v>
      </c>
      <c r="I132">
        <f>IF(
    OR(
        AND(MAX(0, MIN($D$1, DATE(Initialisatie!$C$5,12,31)) - MAX($D$2, DATE(Initialisatie!$C$5,1,1)) + 1) &gt; 0, IFERROR(VALUE($D132),0)=0),
        AND(MAX(0, MIN($E$1, DATE(Initialisatie!$C$5,12,31)) - MAX($E$2, DATE(Initialisatie!$C$5,1,1)) + 1) &gt; 0, IFERROR(VALUE($E132),0)=0),
        AND(MAX(0, MIN($F$1, DATE(Initialisatie!$C$5,12,31)) - MAX($F$2, DATE(Initialisatie!$C$5,1,1)) + 1) &gt; 0, IFERROR(VALUE($F132),0)=0),
        AND(MAX(0, MIN($G$1, DATE(Initialisatie!$C$5,12,31)) - MAX($G$2, DATE(Initialisatie!$C$5,1,1)) + 1) &gt; 0, IFERROR(VALUE($G132),0)=0)
    ),
    0,
    SUM(
        IFERROR(VALUE($D132),0) * MAX(0, MIN($D$1, DATE(Initialisatie!$C$5,12,31)) - MAX($D$2, DATE(Initialisatie!$C$5,1,1)) + 1),
        IFERROR(VALUE($E132),0) * MAX(0, MIN($E$1, DATE(Initialisatie!$C$5,12,31)) - MAX($E$2, DATE(Initialisatie!$C$5,1,1)) + 1),
        IFERROR(VALUE($F132),0) * MAX(0, MIN($F$1, DATE(Initialisatie!$C$5,12,31)) - MAX($F$2, DATE(Initialisatie!$C$5,1,1)) + 1),
        IFERROR(VALUE($G132),0) * MAX(0, MIN($G$1, DATE(Initialisatie!$C$5,12,31)) - MAX($G$2, DATE(Initialisatie!$C$5,1,1)) + 1)
    ) / (DATE(Initialisatie!$C$5,12,31) - DATE(Initialisatie!$C$5,1,1) + 1)
)</f>
        <v>4894.8164383561643</v>
      </c>
      <c r="J132">
        <f>IF(
    OR(
        AND(MAX(0, IF(MIN($D$1, DATE(Initialisatie!$C$5,12,31)) &lt; MAX($D$2, DATE(Initialisatie!$C$5,1,1)), 0, MONTH(MIN($D$1, DATE(Initialisatie!$C$5,12,31))) - MONTH(MAX($D$2, DATE(Initialisatie!$C$5,1,1))) + 1)) &lt;= 0, IFERROR(VALUE($D132),0)=0),
        AND(MAX(0, IF(MIN($E$1, DATE(Initialisatie!$C$5,12,31)) &lt; MAX($E$2, DATE(Initialisatie!$C$5,1,1)), 0, MONTH(MIN($E$1, DATE(Initialisatie!$C$5,12,31))) - MONTH(MAX($E$2, DATE(Initialisatie!$C$5,1,1))) + 1)) &lt;= 0, IFERROR(VALUE($E132),0)=0),
        AND(MAX(0, IF(MIN($F$1, DATE(Initialisatie!$C$5,12,31)) &lt; MAX($F$2, DATE(Initialisatie!$C$5,1,1)), 0, MONTH(MIN($F$1, DATE(Initialisatie!$C$5,12,31))) - MONTH(MAX($F$2, DATE(Initialisatie!$C$5,1,1))) + 1)) &lt;= 0, IFERROR(VALUE($F132),0)=0),
        AND(MAX(0, IF(MIN($G$1, DATE(Initialisatie!$C$5,12,31)) &lt; MAX($G$2, DATE(Initialisatie!$C$5,1,1)), 0, MONTH(MIN($G$1, DATE(Initialisatie!$C$5,12,31))) - MONTH(MAX($G$2, DATE(Initialisatie!$C$5,1,1))) + 1)) &lt;= 0, IFERROR(VALUE($G132),0)=0)
    ),
    0,
    SUM(
        IFERROR(VALUE($D132),0) * MAX(0, IF(MIN($D$1, DATE(Initialisatie!$C$5,12,31)) &lt; MAX($D$2, DATE(Initialisatie!$C$5,1,1)), 0, MONTH(MIN($D$1, DATE(Initialisatie!$C$5,12,31))) - MONTH(MAX($D$2, DATE(Initialisatie!$C$5,1,1))) + 1)),
        IFERROR(VALUE($E132),0) * MAX(0, IF(MIN($E$1, DATE(Initialisatie!$C$5,12,31)) &lt; MAX($E$2, DATE(Initialisatie!$C$5,1,1)), 0, MONTH(MIN($E$1, DATE(Initialisatie!$C$5,12,31))) - MONTH(MAX($E$2, DATE(Initialisatie!$C$5,1,1))) + 1)),
        IFERROR(VALUE($F132),0) * MAX(0, IF(MIN($F$1, DATE(Initialisatie!$C$5,12,31)) &lt; MAX($F$2, DATE(Initialisatie!$C$5,1,1)), 0, MONTH(MIN($F$1, DATE(Initialisatie!$C$5,12,31))) - MONTH(MAX($F$2, DATE(Initialisatie!$C$5,1,1))) + 1)),
        IFERROR(VALUE($G132),0) * MAX(0, IF(MIN($G$1, DATE(Initialisatie!$C$5,12,31)) &lt; MAX($G$2, DATE(Initialisatie!$C$5,1,1)), 0, MONTH(MIN($G$1, DATE(Initialisatie!$C$5,12,31))) - MONTH(MAX($G$2, DATE(Initialisatie!$C$5,1,1))) + 1))
    ) / 12
)</f>
        <v>4894.333333333333</v>
      </c>
    </row>
    <row r="133" spans="1:10" x14ac:dyDescent="0.45">
      <c r="A133" s="999"/>
      <c r="B133" s="372">
        <v>10</v>
      </c>
      <c r="C133" s="373">
        <v>38</v>
      </c>
      <c r="D133" s="48">
        <v>4725</v>
      </c>
      <c r="E133" s="48">
        <v>4914</v>
      </c>
      <c r="F133" s="48">
        <v>5012</v>
      </c>
      <c r="G133" s="48">
        <v>5112</v>
      </c>
      <c r="I133">
        <f>IF(
    OR(
        AND(MAX(0, MIN($D$1, DATE(Initialisatie!$C$5,12,31)) - MAX($D$2, DATE(Initialisatie!$C$5,1,1)) + 1) &gt; 0, IFERROR(VALUE($D133),0)=0),
        AND(MAX(0, MIN($E$1, DATE(Initialisatie!$C$5,12,31)) - MAX($E$2, DATE(Initialisatie!$C$5,1,1)) + 1) &gt; 0, IFERROR(VALUE($E133),0)=0),
        AND(MAX(0, MIN($F$1, DATE(Initialisatie!$C$5,12,31)) - MAX($F$2, DATE(Initialisatie!$C$5,1,1)) + 1) &gt; 0, IFERROR(VALUE($F133),0)=0),
        AND(MAX(0, MIN($G$1, DATE(Initialisatie!$C$5,12,31)) - MAX($G$2, DATE(Initialisatie!$C$5,1,1)) + 1) &gt; 0, IFERROR(VALUE($G133),0)=0)
    ),
    0,
    SUM(
        IFERROR(VALUE($D133),0) * MAX(0, MIN($D$1, DATE(Initialisatie!$C$5,12,31)) - MAX($D$2, DATE(Initialisatie!$C$5,1,1)) + 1),
        IFERROR(VALUE($E133),0) * MAX(0, MIN($E$1, DATE(Initialisatie!$C$5,12,31)) - MAX($E$2, DATE(Initialisatie!$C$5,1,1)) + 1),
        IFERROR(VALUE($F133),0) * MAX(0, MIN($F$1, DATE(Initialisatie!$C$5,12,31)) - MAX($F$2, DATE(Initialisatie!$C$5,1,1)) + 1),
        IFERROR(VALUE($G133),0) * MAX(0, MIN($G$1, DATE(Initialisatie!$C$5,12,31)) - MAX($G$2, DATE(Initialisatie!$C$5,1,1)) + 1)
    ) / (DATE(Initialisatie!$C$5,12,31) - DATE(Initialisatie!$C$5,1,1) + 1)
)</f>
        <v>4996.4931506849316</v>
      </c>
      <c r="J133">
        <f>IF(
    OR(
        AND(MAX(0, IF(MIN($D$1, DATE(Initialisatie!$C$5,12,31)) &lt; MAX($D$2, DATE(Initialisatie!$C$5,1,1)), 0, MONTH(MIN($D$1, DATE(Initialisatie!$C$5,12,31))) - MONTH(MAX($D$2, DATE(Initialisatie!$C$5,1,1))) + 1)) &lt;= 0, IFERROR(VALUE($D133),0)=0),
        AND(MAX(0, IF(MIN($E$1, DATE(Initialisatie!$C$5,12,31)) &lt; MAX($E$2, DATE(Initialisatie!$C$5,1,1)), 0, MONTH(MIN($E$1, DATE(Initialisatie!$C$5,12,31))) - MONTH(MAX($E$2, DATE(Initialisatie!$C$5,1,1))) + 1)) &lt;= 0, IFERROR(VALUE($E133),0)=0),
        AND(MAX(0, IF(MIN($F$1, DATE(Initialisatie!$C$5,12,31)) &lt; MAX($F$2, DATE(Initialisatie!$C$5,1,1)), 0, MONTH(MIN($F$1, DATE(Initialisatie!$C$5,12,31))) - MONTH(MAX($F$2, DATE(Initialisatie!$C$5,1,1))) + 1)) &lt;= 0, IFERROR(VALUE($F133),0)=0),
        AND(MAX(0, IF(MIN($G$1, DATE(Initialisatie!$C$5,12,31)) &lt; MAX($G$2, DATE(Initialisatie!$C$5,1,1)), 0, MONTH(MIN($G$1, DATE(Initialisatie!$C$5,12,31))) - MONTH(MAX($G$2, DATE(Initialisatie!$C$5,1,1))) + 1)) &lt;= 0, IFERROR(VALUE($G133),0)=0)
    ),
    0,
    SUM(
        IFERROR(VALUE($D133),0) * MAX(0, IF(MIN($D$1, DATE(Initialisatie!$C$5,12,31)) &lt; MAX($D$2, DATE(Initialisatie!$C$5,1,1)), 0, MONTH(MIN($D$1, DATE(Initialisatie!$C$5,12,31))) - MONTH(MAX($D$2, DATE(Initialisatie!$C$5,1,1))) + 1)),
        IFERROR(VALUE($E133),0) * MAX(0, IF(MIN($E$1, DATE(Initialisatie!$C$5,12,31)) &lt; MAX($E$2, DATE(Initialisatie!$C$5,1,1)), 0, MONTH(MIN($E$1, DATE(Initialisatie!$C$5,12,31))) - MONTH(MAX($E$2, DATE(Initialisatie!$C$5,1,1))) + 1)),
        IFERROR(VALUE($F133),0) * MAX(0, IF(MIN($F$1, DATE(Initialisatie!$C$5,12,31)) &lt; MAX($F$2, DATE(Initialisatie!$C$5,1,1)), 0, MONTH(MIN($F$1, DATE(Initialisatie!$C$5,12,31))) - MONTH(MAX($F$2, DATE(Initialisatie!$C$5,1,1))) + 1)),
        IFERROR(VALUE($G133),0) * MAX(0, IF(MIN($G$1, DATE(Initialisatie!$C$5,12,31)) &lt; MAX($G$2, DATE(Initialisatie!$C$5,1,1)), 0, MONTH(MIN($G$1, DATE(Initialisatie!$C$5,12,31))) - MONTH(MAX($G$2, DATE(Initialisatie!$C$5,1,1))) + 1))
    ) / 12
)</f>
        <v>4996</v>
      </c>
    </row>
    <row r="134" spans="1:10" x14ac:dyDescent="0.45">
      <c r="A134" s="999"/>
      <c r="B134" s="373">
        <v>11</v>
      </c>
      <c r="C134" s="373">
        <v>39</v>
      </c>
      <c r="D134" s="48">
        <v>4816</v>
      </c>
      <c r="E134" s="48">
        <v>5009</v>
      </c>
      <c r="F134" s="48">
        <v>5109</v>
      </c>
      <c r="G134" s="48">
        <v>5211</v>
      </c>
      <c r="I134">
        <f>IF(
    OR(
        AND(MAX(0, MIN($D$1, DATE(Initialisatie!$C$5,12,31)) - MAX($D$2, DATE(Initialisatie!$C$5,1,1)) + 1) &gt; 0, IFERROR(VALUE($D134),0)=0),
        AND(MAX(0, MIN($E$1, DATE(Initialisatie!$C$5,12,31)) - MAX($E$2, DATE(Initialisatie!$C$5,1,1)) + 1) &gt; 0, IFERROR(VALUE($E134),0)=0),
        AND(MAX(0, MIN($F$1, DATE(Initialisatie!$C$5,12,31)) - MAX($F$2, DATE(Initialisatie!$C$5,1,1)) + 1) &gt; 0, IFERROR(VALUE($F134),0)=0),
        AND(MAX(0, MIN($G$1, DATE(Initialisatie!$C$5,12,31)) - MAX($G$2, DATE(Initialisatie!$C$5,1,1)) + 1) &gt; 0, IFERROR(VALUE($G134),0)=0)
    ),
    0,
    SUM(
        IFERROR(VALUE($D134),0) * MAX(0, MIN($D$1, DATE(Initialisatie!$C$5,12,31)) - MAX($D$2, DATE(Initialisatie!$C$5,1,1)) + 1),
        IFERROR(VALUE($E134),0) * MAX(0, MIN($E$1, DATE(Initialisatie!$C$5,12,31)) - MAX($E$2, DATE(Initialisatie!$C$5,1,1)) + 1),
        IFERROR(VALUE($F134),0) * MAX(0, MIN($F$1, DATE(Initialisatie!$C$5,12,31)) - MAX($F$2, DATE(Initialisatie!$C$5,1,1)) + 1),
        IFERROR(VALUE($G134),0) * MAX(0, MIN($G$1, DATE(Initialisatie!$C$5,12,31)) - MAX($G$2, DATE(Initialisatie!$C$5,1,1)) + 1)
    ) / (DATE(Initialisatie!$C$5,12,31) - DATE(Initialisatie!$C$5,1,1) + 1)
)</f>
        <v>5093.1698630136989</v>
      </c>
      <c r="J134">
        <f>IF(
    OR(
        AND(MAX(0, IF(MIN($D$1, DATE(Initialisatie!$C$5,12,31)) &lt; MAX($D$2, DATE(Initialisatie!$C$5,1,1)), 0, MONTH(MIN($D$1, DATE(Initialisatie!$C$5,12,31))) - MONTH(MAX($D$2, DATE(Initialisatie!$C$5,1,1))) + 1)) &lt;= 0, IFERROR(VALUE($D134),0)=0),
        AND(MAX(0, IF(MIN($E$1, DATE(Initialisatie!$C$5,12,31)) &lt; MAX($E$2, DATE(Initialisatie!$C$5,1,1)), 0, MONTH(MIN($E$1, DATE(Initialisatie!$C$5,12,31))) - MONTH(MAX($E$2, DATE(Initialisatie!$C$5,1,1))) + 1)) &lt;= 0, IFERROR(VALUE($E134),0)=0),
        AND(MAX(0, IF(MIN($F$1, DATE(Initialisatie!$C$5,12,31)) &lt; MAX($F$2, DATE(Initialisatie!$C$5,1,1)), 0, MONTH(MIN($F$1, DATE(Initialisatie!$C$5,12,31))) - MONTH(MAX($F$2, DATE(Initialisatie!$C$5,1,1))) + 1)) &lt;= 0, IFERROR(VALUE($F134),0)=0),
        AND(MAX(0, IF(MIN($G$1, DATE(Initialisatie!$C$5,12,31)) &lt; MAX($G$2, DATE(Initialisatie!$C$5,1,1)), 0, MONTH(MIN($G$1, DATE(Initialisatie!$C$5,12,31))) - MONTH(MAX($G$2, DATE(Initialisatie!$C$5,1,1))) + 1)) &lt;= 0, IFERROR(VALUE($G134),0)=0)
    ),
    0,
    SUM(
        IFERROR(VALUE($D134),0) * MAX(0, IF(MIN($D$1, DATE(Initialisatie!$C$5,12,31)) &lt; MAX($D$2, DATE(Initialisatie!$C$5,1,1)), 0, MONTH(MIN($D$1, DATE(Initialisatie!$C$5,12,31))) - MONTH(MAX($D$2, DATE(Initialisatie!$C$5,1,1))) + 1)),
        IFERROR(VALUE($E134),0) * MAX(0, IF(MIN($E$1, DATE(Initialisatie!$C$5,12,31)) &lt; MAX($E$2, DATE(Initialisatie!$C$5,1,1)), 0, MONTH(MIN($E$1, DATE(Initialisatie!$C$5,12,31))) - MONTH(MAX($E$2, DATE(Initialisatie!$C$5,1,1))) + 1)),
        IFERROR(VALUE($F134),0) * MAX(0, IF(MIN($F$1, DATE(Initialisatie!$C$5,12,31)) &lt; MAX($F$2, DATE(Initialisatie!$C$5,1,1)), 0, MONTH(MIN($F$1, DATE(Initialisatie!$C$5,12,31))) - MONTH(MAX($F$2, DATE(Initialisatie!$C$5,1,1))) + 1)),
        IFERROR(VALUE($G134),0) * MAX(0, IF(MIN($G$1, DATE(Initialisatie!$C$5,12,31)) &lt; MAX($G$2, DATE(Initialisatie!$C$5,1,1)), 0, MONTH(MIN($G$1, DATE(Initialisatie!$C$5,12,31))) - MONTH(MAX($G$2, DATE(Initialisatie!$C$5,1,1))) + 1))
    ) / 12
)</f>
        <v>5092.666666666667</v>
      </c>
    </row>
    <row r="135" spans="1:10" x14ac:dyDescent="0.45">
      <c r="A135" s="999"/>
      <c r="B135" s="372">
        <v>12</v>
      </c>
      <c r="C135" s="373">
        <v>40</v>
      </c>
      <c r="D135" s="48">
        <v>4902</v>
      </c>
      <c r="E135" s="48">
        <v>5098</v>
      </c>
      <c r="F135" s="48">
        <v>5200</v>
      </c>
      <c r="G135" s="48">
        <v>5304</v>
      </c>
      <c r="I135">
        <f>IF(
    OR(
        AND(MAX(0, MIN($D$1, DATE(Initialisatie!$C$5,12,31)) - MAX($D$2, DATE(Initialisatie!$C$5,1,1)) + 1) &gt; 0, IFERROR(VALUE($D135),0)=0),
        AND(MAX(0, MIN($E$1, DATE(Initialisatie!$C$5,12,31)) - MAX($E$2, DATE(Initialisatie!$C$5,1,1)) + 1) &gt; 0, IFERROR(VALUE($E135),0)=0),
        AND(MAX(0, MIN($F$1, DATE(Initialisatie!$C$5,12,31)) - MAX($F$2, DATE(Initialisatie!$C$5,1,1)) + 1) &gt; 0, IFERROR(VALUE($F135),0)=0),
        AND(MAX(0, MIN($G$1, DATE(Initialisatie!$C$5,12,31)) - MAX($G$2, DATE(Initialisatie!$C$5,1,1)) + 1) &gt; 0, IFERROR(VALUE($G135),0)=0)
    ),
    0,
    SUM(
        IFERROR(VALUE($D135),0) * MAX(0, MIN($D$1, DATE(Initialisatie!$C$5,12,31)) - MAX($D$2, DATE(Initialisatie!$C$5,1,1)) + 1),
        IFERROR(VALUE($E135),0) * MAX(0, MIN($E$1, DATE(Initialisatie!$C$5,12,31)) - MAX($E$2, DATE(Initialisatie!$C$5,1,1)) + 1),
        IFERROR(VALUE($F135),0) * MAX(0, MIN($F$1, DATE(Initialisatie!$C$5,12,31)) - MAX($F$2, DATE(Initialisatie!$C$5,1,1)) + 1),
        IFERROR(VALUE($G135),0) * MAX(0, MIN($G$1, DATE(Initialisatie!$C$5,12,31)) - MAX($G$2, DATE(Initialisatie!$C$5,1,1)) + 1)
    ) / (DATE(Initialisatie!$C$5,12,31) - DATE(Initialisatie!$C$5,1,1) + 1)
)</f>
        <v>5183.8465753424662</v>
      </c>
      <c r="J135">
        <f>IF(
    OR(
        AND(MAX(0, IF(MIN($D$1, DATE(Initialisatie!$C$5,12,31)) &lt; MAX($D$2, DATE(Initialisatie!$C$5,1,1)), 0, MONTH(MIN($D$1, DATE(Initialisatie!$C$5,12,31))) - MONTH(MAX($D$2, DATE(Initialisatie!$C$5,1,1))) + 1)) &lt;= 0, IFERROR(VALUE($D135),0)=0),
        AND(MAX(0, IF(MIN($E$1, DATE(Initialisatie!$C$5,12,31)) &lt; MAX($E$2, DATE(Initialisatie!$C$5,1,1)), 0, MONTH(MIN($E$1, DATE(Initialisatie!$C$5,12,31))) - MONTH(MAX($E$2, DATE(Initialisatie!$C$5,1,1))) + 1)) &lt;= 0, IFERROR(VALUE($E135),0)=0),
        AND(MAX(0, IF(MIN($F$1, DATE(Initialisatie!$C$5,12,31)) &lt; MAX($F$2, DATE(Initialisatie!$C$5,1,1)), 0, MONTH(MIN($F$1, DATE(Initialisatie!$C$5,12,31))) - MONTH(MAX($F$2, DATE(Initialisatie!$C$5,1,1))) + 1)) &lt;= 0, IFERROR(VALUE($F135),0)=0),
        AND(MAX(0, IF(MIN($G$1, DATE(Initialisatie!$C$5,12,31)) &lt; MAX($G$2, DATE(Initialisatie!$C$5,1,1)), 0, MONTH(MIN($G$1, DATE(Initialisatie!$C$5,12,31))) - MONTH(MAX($G$2, DATE(Initialisatie!$C$5,1,1))) + 1)) &lt;= 0, IFERROR(VALUE($G135),0)=0)
    ),
    0,
    SUM(
        IFERROR(VALUE($D135),0) * MAX(0, IF(MIN($D$1, DATE(Initialisatie!$C$5,12,31)) &lt; MAX($D$2, DATE(Initialisatie!$C$5,1,1)), 0, MONTH(MIN($D$1, DATE(Initialisatie!$C$5,12,31))) - MONTH(MAX($D$2, DATE(Initialisatie!$C$5,1,1))) + 1)),
        IFERROR(VALUE($E135),0) * MAX(0, IF(MIN($E$1, DATE(Initialisatie!$C$5,12,31)) &lt; MAX($E$2, DATE(Initialisatie!$C$5,1,1)), 0, MONTH(MIN($E$1, DATE(Initialisatie!$C$5,12,31))) - MONTH(MAX($E$2, DATE(Initialisatie!$C$5,1,1))) + 1)),
        IFERROR(VALUE($F135),0) * MAX(0, IF(MIN($F$1, DATE(Initialisatie!$C$5,12,31)) &lt; MAX($F$2, DATE(Initialisatie!$C$5,1,1)), 0, MONTH(MIN($F$1, DATE(Initialisatie!$C$5,12,31))) - MONTH(MAX($F$2, DATE(Initialisatie!$C$5,1,1))) + 1)),
        IFERROR(VALUE($G135),0) * MAX(0, IF(MIN($G$1, DATE(Initialisatie!$C$5,12,31)) &lt; MAX($G$2, DATE(Initialisatie!$C$5,1,1)), 0, MONTH(MIN($G$1, DATE(Initialisatie!$C$5,12,31))) - MONTH(MAX($G$2, DATE(Initialisatie!$C$5,1,1))) + 1))
    ) / 12
)</f>
        <v>5183.333333333333</v>
      </c>
    </row>
    <row r="136" spans="1:10" x14ac:dyDescent="0.45">
      <c r="A136" s="999">
        <v>60</v>
      </c>
      <c r="B136" s="373">
        <v>0</v>
      </c>
      <c r="C136" s="373">
        <v>28</v>
      </c>
      <c r="D136" s="48">
        <v>3843</v>
      </c>
      <c r="E136" s="48">
        <v>3997</v>
      </c>
      <c r="F136" s="48">
        <v>4077</v>
      </c>
      <c r="G136" s="48">
        <v>4159</v>
      </c>
      <c r="I136">
        <f>IF(
    OR(
        AND(MAX(0, MIN($D$1, DATE(Initialisatie!$C$5,12,31)) - MAX($D$2, DATE(Initialisatie!$C$5,1,1)) + 1) &gt; 0, IFERROR(VALUE($D136),0)=0),
        AND(MAX(0, MIN($E$1, DATE(Initialisatie!$C$5,12,31)) - MAX($E$2, DATE(Initialisatie!$C$5,1,1)) + 1) &gt; 0, IFERROR(VALUE($E136),0)=0),
        AND(MAX(0, MIN($F$1, DATE(Initialisatie!$C$5,12,31)) - MAX($F$2, DATE(Initialisatie!$C$5,1,1)) + 1) &gt; 0, IFERROR(VALUE($F136),0)=0),
        AND(MAX(0, MIN($G$1, DATE(Initialisatie!$C$5,12,31)) - MAX($G$2, DATE(Initialisatie!$C$5,1,1)) + 1) &gt; 0, IFERROR(VALUE($G136),0)=0)
    ),
    0,
    SUM(
        IFERROR(VALUE($D136),0) * MAX(0, MIN($D$1, DATE(Initialisatie!$C$5,12,31)) - MAX($D$2, DATE(Initialisatie!$C$5,1,1)) + 1),
        IFERROR(VALUE($E136),0) * MAX(0, MIN($E$1, DATE(Initialisatie!$C$5,12,31)) - MAX($E$2, DATE(Initialisatie!$C$5,1,1)) + 1),
        IFERROR(VALUE($F136),0) * MAX(0, MIN($F$1, DATE(Initialisatie!$C$5,12,31)) - MAX($F$2, DATE(Initialisatie!$C$5,1,1)) + 1),
        IFERROR(VALUE($G136),0) * MAX(0, MIN($G$1, DATE(Initialisatie!$C$5,12,31)) - MAX($G$2, DATE(Initialisatie!$C$5,1,1)) + 1)
    ) / (DATE(Initialisatie!$C$5,12,31) - DATE(Initialisatie!$C$5,1,1) + 1)
)</f>
        <v>4064.4027397260274</v>
      </c>
      <c r="J136">
        <f>IF(
    OR(
        AND(MAX(0, IF(MIN($D$1, DATE(Initialisatie!$C$5,12,31)) &lt; MAX($D$2, DATE(Initialisatie!$C$5,1,1)), 0, MONTH(MIN($D$1, DATE(Initialisatie!$C$5,12,31))) - MONTH(MAX($D$2, DATE(Initialisatie!$C$5,1,1))) + 1)) &lt;= 0, IFERROR(VALUE($D136),0)=0),
        AND(MAX(0, IF(MIN($E$1, DATE(Initialisatie!$C$5,12,31)) &lt; MAX($E$2, DATE(Initialisatie!$C$5,1,1)), 0, MONTH(MIN($E$1, DATE(Initialisatie!$C$5,12,31))) - MONTH(MAX($E$2, DATE(Initialisatie!$C$5,1,1))) + 1)) &lt;= 0, IFERROR(VALUE($E136),0)=0),
        AND(MAX(0, IF(MIN($F$1, DATE(Initialisatie!$C$5,12,31)) &lt; MAX($F$2, DATE(Initialisatie!$C$5,1,1)), 0, MONTH(MIN($F$1, DATE(Initialisatie!$C$5,12,31))) - MONTH(MAX($F$2, DATE(Initialisatie!$C$5,1,1))) + 1)) &lt;= 0, IFERROR(VALUE($F136),0)=0),
        AND(MAX(0, IF(MIN($G$1, DATE(Initialisatie!$C$5,12,31)) &lt; MAX($G$2, DATE(Initialisatie!$C$5,1,1)), 0, MONTH(MIN($G$1, DATE(Initialisatie!$C$5,12,31))) - MONTH(MAX($G$2, DATE(Initialisatie!$C$5,1,1))) + 1)) &lt;= 0, IFERROR(VALUE($G136),0)=0)
    ),
    0,
    SUM(
        IFERROR(VALUE($D136),0) * MAX(0, IF(MIN($D$1, DATE(Initialisatie!$C$5,12,31)) &lt; MAX($D$2, DATE(Initialisatie!$C$5,1,1)), 0, MONTH(MIN($D$1, DATE(Initialisatie!$C$5,12,31))) - MONTH(MAX($D$2, DATE(Initialisatie!$C$5,1,1))) + 1)),
        IFERROR(VALUE($E136),0) * MAX(0, IF(MIN($E$1, DATE(Initialisatie!$C$5,12,31)) &lt; MAX($E$2, DATE(Initialisatie!$C$5,1,1)), 0, MONTH(MIN($E$1, DATE(Initialisatie!$C$5,12,31))) - MONTH(MAX($E$2, DATE(Initialisatie!$C$5,1,1))) + 1)),
        IFERROR(VALUE($F136),0) * MAX(0, IF(MIN($F$1, DATE(Initialisatie!$C$5,12,31)) &lt; MAX($F$2, DATE(Initialisatie!$C$5,1,1)), 0, MONTH(MIN($F$1, DATE(Initialisatie!$C$5,12,31))) - MONTH(MAX($F$2, DATE(Initialisatie!$C$5,1,1))) + 1)),
        IFERROR(VALUE($G136),0) * MAX(0, IF(MIN($G$1, DATE(Initialisatie!$C$5,12,31)) &lt; MAX($G$2, DATE(Initialisatie!$C$5,1,1)), 0, MONTH(MIN($G$1, DATE(Initialisatie!$C$5,12,31))) - MONTH(MAX($G$2, DATE(Initialisatie!$C$5,1,1))) + 1))
    ) / 12
)</f>
        <v>4064</v>
      </c>
    </row>
    <row r="137" spans="1:10" x14ac:dyDescent="0.45">
      <c r="A137" s="999"/>
      <c r="B137" s="373">
        <v>1</v>
      </c>
      <c r="C137" s="373">
        <v>30</v>
      </c>
      <c r="D137" s="48">
        <v>4017</v>
      </c>
      <c r="E137" s="48">
        <v>4178</v>
      </c>
      <c r="F137" s="48">
        <v>4262</v>
      </c>
      <c r="G137" s="48">
        <v>4347</v>
      </c>
      <c r="I137">
        <f>IF(
    OR(
        AND(MAX(0, MIN($D$1, DATE(Initialisatie!$C$5,12,31)) - MAX($D$2, DATE(Initialisatie!$C$5,1,1)) + 1) &gt; 0, IFERROR(VALUE($D137),0)=0),
        AND(MAX(0, MIN($E$1, DATE(Initialisatie!$C$5,12,31)) - MAX($E$2, DATE(Initialisatie!$C$5,1,1)) + 1) &gt; 0, IFERROR(VALUE($E137),0)=0),
        AND(MAX(0, MIN($F$1, DATE(Initialisatie!$C$5,12,31)) - MAX($F$2, DATE(Initialisatie!$C$5,1,1)) + 1) &gt; 0, IFERROR(VALUE($F137),0)=0),
        AND(MAX(0, MIN($G$1, DATE(Initialisatie!$C$5,12,31)) - MAX($G$2, DATE(Initialisatie!$C$5,1,1)) + 1) &gt; 0, IFERROR(VALUE($G137),0)=0)
    ),
    0,
    SUM(
        IFERROR(VALUE($D137),0) * MAX(0, MIN($D$1, DATE(Initialisatie!$C$5,12,31)) - MAX($D$2, DATE(Initialisatie!$C$5,1,1)) + 1),
        IFERROR(VALUE($E137),0) * MAX(0, MIN($E$1, DATE(Initialisatie!$C$5,12,31)) - MAX($E$2, DATE(Initialisatie!$C$5,1,1)) + 1),
        IFERROR(VALUE($F137),0) * MAX(0, MIN($F$1, DATE(Initialisatie!$C$5,12,31)) - MAX($F$2, DATE(Initialisatie!$C$5,1,1)) + 1),
        IFERROR(VALUE($G137),0) * MAX(0, MIN($G$1, DATE(Initialisatie!$C$5,12,31)) - MAX($G$2, DATE(Initialisatie!$C$5,1,1)) + 1)
    ) / (DATE(Initialisatie!$C$5,12,31) - DATE(Initialisatie!$C$5,1,1) + 1)
)</f>
        <v>4248.58904109589</v>
      </c>
      <c r="J137">
        <f>IF(
    OR(
        AND(MAX(0, IF(MIN($D$1, DATE(Initialisatie!$C$5,12,31)) &lt; MAX($D$2, DATE(Initialisatie!$C$5,1,1)), 0, MONTH(MIN($D$1, DATE(Initialisatie!$C$5,12,31))) - MONTH(MAX($D$2, DATE(Initialisatie!$C$5,1,1))) + 1)) &lt;= 0, IFERROR(VALUE($D137),0)=0),
        AND(MAX(0, IF(MIN($E$1, DATE(Initialisatie!$C$5,12,31)) &lt; MAX($E$2, DATE(Initialisatie!$C$5,1,1)), 0, MONTH(MIN($E$1, DATE(Initialisatie!$C$5,12,31))) - MONTH(MAX($E$2, DATE(Initialisatie!$C$5,1,1))) + 1)) &lt;= 0, IFERROR(VALUE($E137),0)=0),
        AND(MAX(0, IF(MIN($F$1, DATE(Initialisatie!$C$5,12,31)) &lt; MAX($F$2, DATE(Initialisatie!$C$5,1,1)), 0, MONTH(MIN($F$1, DATE(Initialisatie!$C$5,12,31))) - MONTH(MAX($F$2, DATE(Initialisatie!$C$5,1,1))) + 1)) &lt;= 0, IFERROR(VALUE($F137),0)=0),
        AND(MAX(0, IF(MIN($G$1, DATE(Initialisatie!$C$5,12,31)) &lt; MAX($G$2, DATE(Initialisatie!$C$5,1,1)), 0, MONTH(MIN($G$1, DATE(Initialisatie!$C$5,12,31))) - MONTH(MAX($G$2, DATE(Initialisatie!$C$5,1,1))) + 1)) &lt;= 0, IFERROR(VALUE($G137),0)=0)
    ),
    0,
    SUM(
        IFERROR(VALUE($D137),0) * MAX(0, IF(MIN($D$1, DATE(Initialisatie!$C$5,12,31)) &lt; MAX($D$2, DATE(Initialisatie!$C$5,1,1)), 0, MONTH(MIN($D$1, DATE(Initialisatie!$C$5,12,31))) - MONTH(MAX($D$2, DATE(Initialisatie!$C$5,1,1))) + 1)),
        IFERROR(VALUE($E137),0) * MAX(0, IF(MIN($E$1, DATE(Initialisatie!$C$5,12,31)) &lt; MAX($E$2, DATE(Initialisatie!$C$5,1,1)), 0, MONTH(MIN($E$1, DATE(Initialisatie!$C$5,12,31))) - MONTH(MAX($E$2, DATE(Initialisatie!$C$5,1,1))) + 1)),
        IFERROR(VALUE($F137),0) * MAX(0, IF(MIN($F$1, DATE(Initialisatie!$C$5,12,31)) &lt; MAX($F$2, DATE(Initialisatie!$C$5,1,1)), 0, MONTH(MIN($F$1, DATE(Initialisatie!$C$5,12,31))) - MONTH(MAX($F$2, DATE(Initialisatie!$C$5,1,1))) + 1)),
        IFERROR(VALUE($G137),0) * MAX(0, IF(MIN($G$1, DATE(Initialisatie!$C$5,12,31)) &lt; MAX($G$2, DATE(Initialisatie!$C$5,1,1)), 0, MONTH(MIN($G$1, DATE(Initialisatie!$C$5,12,31))) - MONTH(MAX($G$2, DATE(Initialisatie!$C$5,1,1))) + 1))
    ) / 12
)</f>
        <v>4248.166666666667</v>
      </c>
    </row>
    <row r="138" spans="1:10" x14ac:dyDescent="0.45">
      <c r="A138" s="999"/>
      <c r="B138" s="372">
        <v>2</v>
      </c>
      <c r="C138" s="373">
        <v>32</v>
      </c>
      <c r="D138" s="48">
        <v>4184</v>
      </c>
      <c r="E138" s="48">
        <v>4351</v>
      </c>
      <c r="F138" s="48">
        <v>4438</v>
      </c>
      <c r="G138" s="48">
        <v>4527</v>
      </c>
      <c r="I138">
        <f>IF(
    OR(
        AND(MAX(0, MIN($D$1, DATE(Initialisatie!$C$5,12,31)) - MAX($D$2, DATE(Initialisatie!$C$5,1,1)) + 1) &gt; 0, IFERROR(VALUE($D138),0)=0),
        AND(MAX(0, MIN($E$1, DATE(Initialisatie!$C$5,12,31)) - MAX($E$2, DATE(Initialisatie!$C$5,1,1)) + 1) &gt; 0, IFERROR(VALUE($E138),0)=0),
        AND(MAX(0, MIN($F$1, DATE(Initialisatie!$C$5,12,31)) - MAX($F$2, DATE(Initialisatie!$C$5,1,1)) + 1) &gt; 0, IFERROR(VALUE($F138),0)=0),
        AND(MAX(0, MIN($G$1, DATE(Initialisatie!$C$5,12,31)) - MAX($G$2, DATE(Initialisatie!$C$5,1,1)) + 1) &gt; 0, IFERROR(VALUE($G138),0)=0)
    ),
    0,
    SUM(
        IFERROR(VALUE($D138),0) * MAX(0, MIN($D$1, DATE(Initialisatie!$C$5,12,31)) - MAX($D$2, DATE(Initialisatie!$C$5,1,1)) + 1),
        IFERROR(VALUE($E138),0) * MAX(0, MIN($E$1, DATE(Initialisatie!$C$5,12,31)) - MAX($E$2, DATE(Initialisatie!$C$5,1,1)) + 1),
        IFERROR(VALUE($F138),0) * MAX(0, MIN($F$1, DATE(Initialisatie!$C$5,12,31)) - MAX($F$2, DATE(Initialisatie!$C$5,1,1)) + 1),
        IFERROR(VALUE($G138),0) * MAX(0, MIN($G$1, DATE(Initialisatie!$C$5,12,31)) - MAX($G$2, DATE(Initialisatie!$C$5,1,1)) + 1)
    ) / (DATE(Initialisatie!$C$5,12,31) - DATE(Initialisatie!$C$5,1,1) + 1)
)</f>
        <v>4424.271232876712</v>
      </c>
      <c r="J138">
        <f>IF(
    OR(
        AND(MAX(0, IF(MIN($D$1, DATE(Initialisatie!$C$5,12,31)) &lt; MAX($D$2, DATE(Initialisatie!$C$5,1,1)), 0, MONTH(MIN($D$1, DATE(Initialisatie!$C$5,12,31))) - MONTH(MAX($D$2, DATE(Initialisatie!$C$5,1,1))) + 1)) &lt;= 0, IFERROR(VALUE($D138),0)=0),
        AND(MAX(0, IF(MIN($E$1, DATE(Initialisatie!$C$5,12,31)) &lt; MAX($E$2, DATE(Initialisatie!$C$5,1,1)), 0, MONTH(MIN($E$1, DATE(Initialisatie!$C$5,12,31))) - MONTH(MAX($E$2, DATE(Initialisatie!$C$5,1,1))) + 1)) &lt;= 0, IFERROR(VALUE($E138),0)=0),
        AND(MAX(0, IF(MIN($F$1, DATE(Initialisatie!$C$5,12,31)) &lt; MAX($F$2, DATE(Initialisatie!$C$5,1,1)), 0, MONTH(MIN($F$1, DATE(Initialisatie!$C$5,12,31))) - MONTH(MAX($F$2, DATE(Initialisatie!$C$5,1,1))) + 1)) &lt;= 0, IFERROR(VALUE($F138),0)=0),
        AND(MAX(0, IF(MIN($G$1, DATE(Initialisatie!$C$5,12,31)) &lt; MAX($G$2, DATE(Initialisatie!$C$5,1,1)), 0, MONTH(MIN($G$1, DATE(Initialisatie!$C$5,12,31))) - MONTH(MAX($G$2, DATE(Initialisatie!$C$5,1,1))) + 1)) &lt;= 0, IFERROR(VALUE($G138),0)=0)
    ),
    0,
    SUM(
        IFERROR(VALUE($D138),0) * MAX(0, IF(MIN($D$1, DATE(Initialisatie!$C$5,12,31)) &lt; MAX($D$2, DATE(Initialisatie!$C$5,1,1)), 0, MONTH(MIN($D$1, DATE(Initialisatie!$C$5,12,31))) - MONTH(MAX($D$2, DATE(Initialisatie!$C$5,1,1))) + 1)),
        IFERROR(VALUE($E138),0) * MAX(0, IF(MIN($E$1, DATE(Initialisatie!$C$5,12,31)) &lt; MAX($E$2, DATE(Initialisatie!$C$5,1,1)), 0, MONTH(MIN($E$1, DATE(Initialisatie!$C$5,12,31))) - MONTH(MAX($E$2, DATE(Initialisatie!$C$5,1,1))) + 1)),
        IFERROR(VALUE($F138),0) * MAX(0, IF(MIN($F$1, DATE(Initialisatie!$C$5,12,31)) &lt; MAX($F$2, DATE(Initialisatie!$C$5,1,1)), 0, MONTH(MIN($F$1, DATE(Initialisatie!$C$5,12,31))) - MONTH(MAX($F$2, DATE(Initialisatie!$C$5,1,1))) + 1)),
        IFERROR(VALUE($G138),0) * MAX(0, IF(MIN($G$1, DATE(Initialisatie!$C$5,12,31)) &lt; MAX($G$2, DATE(Initialisatie!$C$5,1,1)), 0, MONTH(MIN($G$1, DATE(Initialisatie!$C$5,12,31))) - MONTH(MAX($G$2, DATE(Initialisatie!$C$5,1,1))) + 1))
    ) / 12
)</f>
        <v>4423.833333333333</v>
      </c>
    </row>
    <row r="139" spans="1:10" x14ac:dyDescent="0.45">
      <c r="A139" s="999"/>
      <c r="B139" s="372">
        <v>3</v>
      </c>
      <c r="C139" s="373">
        <v>34</v>
      </c>
      <c r="D139" s="48">
        <v>4354</v>
      </c>
      <c r="E139" s="48">
        <v>4528</v>
      </c>
      <c r="F139" s="48">
        <v>4619</v>
      </c>
      <c r="G139" s="48">
        <v>4711</v>
      </c>
      <c r="I139">
        <f>IF(
    OR(
        AND(MAX(0, MIN($D$1, DATE(Initialisatie!$C$5,12,31)) - MAX($D$2, DATE(Initialisatie!$C$5,1,1)) + 1) &gt; 0, IFERROR(VALUE($D139),0)=0),
        AND(MAX(0, MIN($E$1, DATE(Initialisatie!$C$5,12,31)) - MAX($E$2, DATE(Initialisatie!$C$5,1,1)) + 1) &gt; 0, IFERROR(VALUE($E139),0)=0),
        AND(MAX(0, MIN($F$1, DATE(Initialisatie!$C$5,12,31)) - MAX($F$2, DATE(Initialisatie!$C$5,1,1)) + 1) &gt; 0, IFERROR(VALUE($F139),0)=0),
        AND(MAX(0, MIN($G$1, DATE(Initialisatie!$C$5,12,31)) - MAX($G$2, DATE(Initialisatie!$C$5,1,1)) + 1) &gt; 0, IFERROR(VALUE($G139),0)=0)
    ),
    0,
    SUM(
        IFERROR(VALUE($D139),0) * MAX(0, MIN($D$1, DATE(Initialisatie!$C$5,12,31)) - MAX($D$2, DATE(Initialisatie!$C$5,1,1)) + 1),
        IFERROR(VALUE($E139),0) * MAX(0, MIN($E$1, DATE(Initialisatie!$C$5,12,31)) - MAX($E$2, DATE(Initialisatie!$C$5,1,1)) + 1),
        IFERROR(VALUE($F139),0) * MAX(0, MIN($F$1, DATE(Initialisatie!$C$5,12,31)) - MAX($F$2, DATE(Initialisatie!$C$5,1,1)) + 1),
        IFERROR(VALUE($G139),0) * MAX(0, MIN($G$1, DATE(Initialisatie!$C$5,12,31)) - MAX($G$2, DATE(Initialisatie!$C$5,1,1)) + 1)
    ) / (DATE(Initialisatie!$C$5,12,31) - DATE(Initialisatie!$C$5,1,1) + 1)
)</f>
        <v>4604.4575342465751</v>
      </c>
      <c r="J139">
        <f>IF(
    OR(
        AND(MAX(0, IF(MIN($D$1, DATE(Initialisatie!$C$5,12,31)) &lt; MAX($D$2, DATE(Initialisatie!$C$5,1,1)), 0, MONTH(MIN($D$1, DATE(Initialisatie!$C$5,12,31))) - MONTH(MAX($D$2, DATE(Initialisatie!$C$5,1,1))) + 1)) &lt;= 0, IFERROR(VALUE($D139),0)=0),
        AND(MAX(0, IF(MIN($E$1, DATE(Initialisatie!$C$5,12,31)) &lt; MAX($E$2, DATE(Initialisatie!$C$5,1,1)), 0, MONTH(MIN($E$1, DATE(Initialisatie!$C$5,12,31))) - MONTH(MAX($E$2, DATE(Initialisatie!$C$5,1,1))) + 1)) &lt;= 0, IFERROR(VALUE($E139),0)=0),
        AND(MAX(0, IF(MIN($F$1, DATE(Initialisatie!$C$5,12,31)) &lt; MAX($F$2, DATE(Initialisatie!$C$5,1,1)), 0, MONTH(MIN($F$1, DATE(Initialisatie!$C$5,12,31))) - MONTH(MAX($F$2, DATE(Initialisatie!$C$5,1,1))) + 1)) &lt;= 0, IFERROR(VALUE($F139),0)=0),
        AND(MAX(0, IF(MIN($G$1, DATE(Initialisatie!$C$5,12,31)) &lt; MAX($G$2, DATE(Initialisatie!$C$5,1,1)), 0, MONTH(MIN($G$1, DATE(Initialisatie!$C$5,12,31))) - MONTH(MAX($G$2, DATE(Initialisatie!$C$5,1,1))) + 1)) &lt;= 0, IFERROR(VALUE($G139),0)=0)
    ),
    0,
    SUM(
        IFERROR(VALUE($D139),0) * MAX(0, IF(MIN($D$1, DATE(Initialisatie!$C$5,12,31)) &lt; MAX($D$2, DATE(Initialisatie!$C$5,1,1)), 0, MONTH(MIN($D$1, DATE(Initialisatie!$C$5,12,31))) - MONTH(MAX($D$2, DATE(Initialisatie!$C$5,1,1))) + 1)),
        IFERROR(VALUE($E139),0) * MAX(0, IF(MIN($E$1, DATE(Initialisatie!$C$5,12,31)) &lt; MAX($E$2, DATE(Initialisatie!$C$5,1,1)), 0, MONTH(MIN($E$1, DATE(Initialisatie!$C$5,12,31))) - MONTH(MAX($E$2, DATE(Initialisatie!$C$5,1,1))) + 1)),
        IFERROR(VALUE($F139),0) * MAX(0, IF(MIN($F$1, DATE(Initialisatie!$C$5,12,31)) &lt; MAX($F$2, DATE(Initialisatie!$C$5,1,1)), 0, MONTH(MIN($F$1, DATE(Initialisatie!$C$5,12,31))) - MONTH(MAX($F$2, DATE(Initialisatie!$C$5,1,1))) + 1)),
        IFERROR(VALUE($G139),0) * MAX(0, IF(MIN($G$1, DATE(Initialisatie!$C$5,12,31)) &lt; MAX($G$2, DATE(Initialisatie!$C$5,1,1)), 0, MONTH(MIN($G$1, DATE(Initialisatie!$C$5,12,31))) - MONTH(MAX($G$2, DATE(Initialisatie!$C$5,1,1))) + 1))
    ) / 12
)</f>
        <v>4604</v>
      </c>
    </row>
    <row r="140" spans="1:10" x14ac:dyDescent="0.45">
      <c r="A140" s="999"/>
      <c r="B140" s="372">
        <v>4</v>
      </c>
      <c r="C140" s="373">
        <v>36</v>
      </c>
      <c r="D140" s="48">
        <v>4532</v>
      </c>
      <c r="E140" s="48">
        <v>4713</v>
      </c>
      <c r="F140" s="48">
        <v>4807</v>
      </c>
      <c r="G140" s="48">
        <v>4903</v>
      </c>
      <c r="I140">
        <f>IF(
    OR(
        AND(MAX(0, MIN($D$1, DATE(Initialisatie!$C$5,12,31)) - MAX($D$2, DATE(Initialisatie!$C$5,1,1)) + 1) &gt; 0, IFERROR(VALUE($D140),0)=0),
        AND(MAX(0, MIN($E$1, DATE(Initialisatie!$C$5,12,31)) - MAX($E$2, DATE(Initialisatie!$C$5,1,1)) + 1) &gt; 0, IFERROR(VALUE($E140),0)=0),
        AND(MAX(0, MIN($F$1, DATE(Initialisatie!$C$5,12,31)) - MAX($F$2, DATE(Initialisatie!$C$5,1,1)) + 1) &gt; 0, IFERROR(VALUE($F140),0)=0),
        AND(MAX(0, MIN($G$1, DATE(Initialisatie!$C$5,12,31)) - MAX($G$2, DATE(Initialisatie!$C$5,1,1)) + 1) &gt; 0, IFERROR(VALUE($G140),0)=0)
    ),
    0,
    SUM(
        IFERROR(VALUE($D140),0) * MAX(0, MIN($D$1, DATE(Initialisatie!$C$5,12,31)) - MAX($D$2, DATE(Initialisatie!$C$5,1,1)) + 1),
        IFERROR(VALUE($E140),0) * MAX(0, MIN($E$1, DATE(Initialisatie!$C$5,12,31)) - MAX($E$2, DATE(Initialisatie!$C$5,1,1)) + 1),
        IFERROR(VALUE($F140),0) * MAX(0, MIN($F$1, DATE(Initialisatie!$C$5,12,31)) - MAX($F$2, DATE(Initialisatie!$C$5,1,1)) + 1),
        IFERROR(VALUE($G140),0) * MAX(0, MIN($G$1, DATE(Initialisatie!$C$5,12,31)) - MAX($G$2, DATE(Initialisatie!$C$5,1,1)) + 1)
    ) / (DATE(Initialisatie!$C$5,12,31) - DATE(Initialisatie!$C$5,1,1) + 1)
)</f>
        <v>4792.139726027397</v>
      </c>
      <c r="J140">
        <f>IF(
    OR(
        AND(MAX(0, IF(MIN($D$1, DATE(Initialisatie!$C$5,12,31)) &lt; MAX($D$2, DATE(Initialisatie!$C$5,1,1)), 0, MONTH(MIN($D$1, DATE(Initialisatie!$C$5,12,31))) - MONTH(MAX($D$2, DATE(Initialisatie!$C$5,1,1))) + 1)) &lt;= 0, IFERROR(VALUE($D140),0)=0),
        AND(MAX(0, IF(MIN($E$1, DATE(Initialisatie!$C$5,12,31)) &lt; MAX($E$2, DATE(Initialisatie!$C$5,1,1)), 0, MONTH(MIN($E$1, DATE(Initialisatie!$C$5,12,31))) - MONTH(MAX($E$2, DATE(Initialisatie!$C$5,1,1))) + 1)) &lt;= 0, IFERROR(VALUE($E140),0)=0),
        AND(MAX(0, IF(MIN($F$1, DATE(Initialisatie!$C$5,12,31)) &lt; MAX($F$2, DATE(Initialisatie!$C$5,1,1)), 0, MONTH(MIN($F$1, DATE(Initialisatie!$C$5,12,31))) - MONTH(MAX($F$2, DATE(Initialisatie!$C$5,1,1))) + 1)) &lt;= 0, IFERROR(VALUE($F140),0)=0),
        AND(MAX(0, IF(MIN($G$1, DATE(Initialisatie!$C$5,12,31)) &lt; MAX($G$2, DATE(Initialisatie!$C$5,1,1)), 0, MONTH(MIN($G$1, DATE(Initialisatie!$C$5,12,31))) - MONTH(MAX($G$2, DATE(Initialisatie!$C$5,1,1))) + 1)) &lt;= 0, IFERROR(VALUE($G140),0)=0)
    ),
    0,
    SUM(
        IFERROR(VALUE($D140),0) * MAX(0, IF(MIN($D$1, DATE(Initialisatie!$C$5,12,31)) &lt; MAX($D$2, DATE(Initialisatie!$C$5,1,1)), 0, MONTH(MIN($D$1, DATE(Initialisatie!$C$5,12,31))) - MONTH(MAX($D$2, DATE(Initialisatie!$C$5,1,1))) + 1)),
        IFERROR(VALUE($E140),0) * MAX(0, IF(MIN($E$1, DATE(Initialisatie!$C$5,12,31)) &lt; MAX($E$2, DATE(Initialisatie!$C$5,1,1)), 0, MONTH(MIN($E$1, DATE(Initialisatie!$C$5,12,31))) - MONTH(MAX($E$2, DATE(Initialisatie!$C$5,1,1))) + 1)),
        IFERROR(VALUE($F140),0) * MAX(0, IF(MIN($F$1, DATE(Initialisatie!$C$5,12,31)) &lt; MAX($F$2, DATE(Initialisatie!$C$5,1,1)), 0, MONTH(MIN($F$1, DATE(Initialisatie!$C$5,12,31))) - MONTH(MAX($F$2, DATE(Initialisatie!$C$5,1,1))) + 1)),
        IFERROR(VALUE($G140),0) * MAX(0, IF(MIN($G$1, DATE(Initialisatie!$C$5,12,31)) &lt; MAX($G$2, DATE(Initialisatie!$C$5,1,1)), 0, MONTH(MIN($G$1, DATE(Initialisatie!$C$5,12,31))) - MONTH(MAX($G$2, DATE(Initialisatie!$C$5,1,1))) + 1))
    ) / 12
)</f>
        <v>4791.666666666667</v>
      </c>
    </row>
    <row r="141" spans="1:10" x14ac:dyDescent="0.45">
      <c r="A141" s="999"/>
      <c r="B141" s="43">
        <v>5</v>
      </c>
      <c r="C141" s="373">
        <v>38</v>
      </c>
      <c r="D141" s="48">
        <v>4725</v>
      </c>
      <c r="E141" s="48">
        <v>4914</v>
      </c>
      <c r="F141" s="48">
        <v>5012</v>
      </c>
      <c r="G141" s="48">
        <v>5112</v>
      </c>
      <c r="I141">
        <f>IF(
    OR(
        AND(MAX(0, MIN($D$1, DATE(Initialisatie!$C$5,12,31)) - MAX($D$2, DATE(Initialisatie!$C$5,1,1)) + 1) &gt; 0, IFERROR(VALUE($D141),0)=0),
        AND(MAX(0, MIN($E$1, DATE(Initialisatie!$C$5,12,31)) - MAX($E$2, DATE(Initialisatie!$C$5,1,1)) + 1) &gt; 0, IFERROR(VALUE($E141),0)=0),
        AND(MAX(0, MIN($F$1, DATE(Initialisatie!$C$5,12,31)) - MAX($F$2, DATE(Initialisatie!$C$5,1,1)) + 1) &gt; 0, IFERROR(VALUE($F141),0)=0),
        AND(MAX(0, MIN($G$1, DATE(Initialisatie!$C$5,12,31)) - MAX($G$2, DATE(Initialisatie!$C$5,1,1)) + 1) &gt; 0, IFERROR(VALUE($G141),0)=0)
    ),
    0,
    SUM(
        IFERROR(VALUE($D141),0) * MAX(0, MIN($D$1, DATE(Initialisatie!$C$5,12,31)) - MAX($D$2, DATE(Initialisatie!$C$5,1,1)) + 1),
        IFERROR(VALUE($E141),0) * MAX(0, MIN($E$1, DATE(Initialisatie!$C$5,12,31)) - MAX($E$2, DATE(Initialisatie!$C$5,1,1)) + 1),
        IFERROR(VALUE($F141),0) * MAX(0, MIN($F$1, DATE(Initialisatie!$C$5,12,31)) - MAX($F$2, DATE(Initialisatie!$C$5,1,1)) + 1),
        IFERROR(VALUE($G141),0) * MAX(0, MIN($G$1, DATE(Initialisatie!$C$5,12,31)) - MAX($G$2, DATE(Initialisatie!$C$5,1,1)) + 1)
    ) / (DATE(Initialisatie!$C$5,12,31) - DATE(Initialisatie!$C$5,1,1) + 1)
)</f>
        <v>4996.4931506849316</v>
      </c>
      <c r="J141">
        <f>IF(
    OR(
        AND(MAX(0, IF(MIN($D$1, DATE(Initialisatie!$C$5,12,31)) &lt; MAX($D$2, DATE(Initialisatie!$C$5,1,1)), 0, MONTH(MIN($D$1, DATE(Initialisatie!$C$5,12,31))) - MONTH(MAX($D$2, DATE(Initialisatie!$C$5,1,1))) + 1)) &lt;= 0, IFERROR(VALUE($D141),0)=0),
        AND(MAX(0, IF(MIN($E$1, DATE(Initialisatie!$C$5,12,31)) &lt; MAX($E$2, DATE(Initialisatie!$C$5,1,1)), 0, MONTH(MIN($E$1, DATE(Initialisatie!$C$5,12,31))) - MONTH(MAX($E$2, DATE(Initialisatie!$C$5,1,1))) + 1)) &lt;= 0, IFERROR(VALUE($E141),0)=0),
        AND(MAX(0, IF(MIN($F$1, DATE(Initialisatie!$C$5,12,31)) &lt; MAX($F$2, DATE(Initialisatie!$C$5,1,1)), 0, MONTH(MIN($F$1, DATE(Initialisatie!$C$5,12,31))) - MONTH(MAX($F$2, DATE(Initialisatie!$C$5,1,1))) + 1)) &lt;= 0, IFERROR(VALUE($F141),0)=0),
        AND(MAX(0, IF(MIN($G$1, DATE(Initialisatie!$C$5,12,31)) &lt; MAX($G$2, DATE(Initialisatie!$C$5,1,1)), 0, MONTH(MIN($G$1, DATE(Initialisatie!$C$5,12,31))) - MONTH(MAX($G$2, DATE(Initialisatie!$C$5,1,1))) + 1)) &lt;= 0, IFERROR(VALUE($G141),0)=0)
    ),
    0,
    SUM(
        IFERROR(VALUE($D141),0) * MAX(0, IF(MIN($D$1, DATE(Initialisatie!$C$5,12,31)) &lt; MAX($D$2, DATE(Initialisatie!$C$5,1,1)), 0, MONTH(MIN($D$1, DATE(Initialisatie!$C$5,12,31))) - MONTH(MAX($D$2, DATE(Initialisatie!$C$5,1,1))) + 1)),
        IFERROR(VALUE($E141),0) * MAX(0, IF(MIN($E$1, DATE(Initialisatie!$C$5,12,31)) &lt; MAX($E$2, DATE(Initialisatie!$C$5,1,1)), 0, MONTH(MIN($E$1, DATE(Initialisatie!$C$5,12,31))) - MONTH(MAX($E$2, DATE(Initialisatie!$C$5,1,1))) + 1)),
        IFERROR(VALUE($F141),0) * MAX(0, IF(MIN($F$1, DATE(Initialisatie!$C$5,12,31)) &lt; MAX($F$2, DATE(Initialisatie!$C$5,1,1)), 0, MONTH(MIN($F$1, DATE(Initialisatie!$C$5,12,31))) - MONTH(MAX($F$2, DATE(Initialisatie!$C$5,1,1))) + 1)),
        IFERROR(VALUE($G141),0) * MAX(0, IF(MIN($G$1, DATE(Initialisatie!$C$5,12,31)) &lt; MAX($G$2, DATE(Initialisatie!$C$5,1,1)), 0, MONTH(MIN($G$1, DATE(Initialisatie!$C$5,12,31))) - MONTH(MAX($G$2, DATE(Initialisatie!$C$5,1,1))) + 1))
    ) / 12
)</f>
        <v>4996</v>
      </c>
    </row>
    <row r="142" spans="1:10" x14ac:dyDescent="0.45">
      <c r="A142" s="999"/>
      <c r="B142" s="43">
        <v>6</v>
      </c>
      <c r="C142" s="373">
        <v>40</v>
      </c>
      <c r="D142" s="48">
        <v>4902</v>
      </c>
      <c r="E142" s="48">
        <v>5098</v>
      </c>
      <c r="F142" s="48">
        <v>5200</v>
      </c>
      <c r="G142" s="48">
        <v>5304</v>
      </c>
      <c r="I142">
        <f>IF(
    OR(
        AND(MAX(0, MIN($D$1, DATE(Initialisatie!$C$5,12,31)) - MAX($D$2, DATE(Initialisatie!$C$5,1,1)) + 1) &gt; 0, IFERROR(VALUE($D142),0)=0),
        AND(MAX(0, MIN($E$1, DATE(Initialisatie!$C$5,12,31)) - MAX($E$2, DATE(Initialisatie!$C$5,1,1)) + 1) &gt; 0, IFERROR(VALUE($E142),0)=0),
        AND(MAX(0, MIN($F$1, DATE(Initialisatie!$C$5,12,31)) - MAX($F$2, DATE(Initialisatie!$C$5,1,1)) + 1) &gt; 0, IFERROR(VALUE($F142),0)=0),
        AND(MAX(0, MIN($G$1, DATE(Initialisatie!$C$5,12,31)) - MAX($G$2, DATE(Initialisatie!$C$5,1,1)) + 1) &gt; 0, IFERROR(VALUE($G142),0)=0)
    ),
    0,
    SUM(
        IFERROR(VALUE($D142),0) * MAX(0, MIN($D$1, DATE(Initialisatie!$C$5,12,31)) - MAX($D$2, DATE(Initialisatie!$C$5,1,1)) + 1),
        IFERROR(VALUE($E142),0) * MAX(0, MIN($E$1, DATE(Initialisatie!$C$5,12,31)) - MAX($E$2, DATE(Initialisatie!$C$5,1,1)) + 1),
        IFERROR(VALUE($F142),0) * MAX(0, MIN($F$1, DATE(Initialisatie!$C$5,12,31)) - MAX($F$2, DATE(Initialisatie!$C$5,1,1)) + 1),
        IFERROR(VALUE($G142),0) * MAX(0, MIN($G$1, DATE(Initialisatie!$C$5,12,31)) - MAX($G$2, DATE(Initialisatie!$C$5,1,1)) + 1)
    ) / (DATE(Initialisatie!$C$5,12,31) - DATE(Initialisatie!$C$5,1,1) + 1)
)</f>
        <v>5183.8465753424662</v>
      </c>
      <c r="J142">
        <f>IF(
    OR(
        AND(MAX(0, IF(MIN($D$1, DATE(Initialisatie!$C$5,12,31)) &lt; MAX($D$2, DATE(Initialisatie!$C$5,1,1)), 0, MONTH(MIN($D$1, DATE(Initialisatie!$C$5,12,31))) - MONTH(MAX($D$2, DATE(Initialisatie!$C$5,1,1))) + 1)) &lt;= 0, IFERROR(VALUE($D142),0)=0),
        AND(MAX(0, IF(MIN($E$1, DATE(Initialisatie!$C$5,12,31)) &lt; MAX($E$2, DATE(Initialisatie!$C$5,1,1)), 0, MONTH(MIN($E$1, DATE(Initialisatie!$C$5,12,31))) - MONTH(MAX($E$2, DATE(Initialisatie!$C$5,1,1))) + 1)) &lt;= 0, IFERROR(VALUE($E142),0)=0),
        AND(MAX(0, IF(MIN($F$1, DATE(Initialisatie!$C$5,12,31)) &lt; MAX($F$2, DATE(Initialisatie!$C$5,1,1)), 0, MONTH(MIN($F$1, DATE(Initialisatie!$C$5,12,31))) - MONTH(MAX($F$2, DATE(Initialisatie!$C$5,1,1))) + 1)) &lt;= 0, IFERROR(VALUE($F142),0)=0),
        AND(MAX(0, IF(MIN($G$1, DATE(Initialisatie!$C$5,12,31)) &lt; MAX($G$2, DATE(Initialisatie!$C$5,1,1)), 0, MONTH(MIN($G$1, DATE(Initialisatie!$C$5,12,31))) - MONTH(MAX($G$2, DATE(Initialisatie!$C$5,1,1))) + 1)) &lt;= 0, IFERROR(VALUE($G142),0)=0)
    ),
    0,
    SUM(
        IFERROR(VALUE($D142),0) * MAX(0, IF(MIN($D$1, DATE(Initialisatie!$C$5,12,31)) &lt; MAX($D$2, DATE(Initialisatie!$C$5,1,1)), 0, MONTH(MIN($D$1, DATE(Initialisatie!$C$5,12,31))) - MONTH(MAX($D$2, DATE(Initialisatie!$C$5,1,1))) + 1)),
        IFERROR(VALUE($E142),0) * MAX(0, IF(MIN($E$1, DATE(Initialisatie!$C$5,12,31)) &lt; MAX($E$2, DATE(Initialisatie!$C$5,1,1)), 0, MONTH(MIN($E$1, DATE(Initialisatie!$C$5,12,31))) - MONTH(MAX($E$2, DATE(Initialisatie!$C$5,1,1))) + 1)),
        IFERROR(VALUE($F142),0) * MAX(0, IF(MIN($F$1, DATE(Initialisatie!$C$5,12,31)) &lt; MAX($F$2, DATE(Initialisatie!$C$5,1,1)), 0, MONTH(MIN($F$1, DATE(Initialisatie!$C$5,12,31))) - MONTH(MAX($F$2, DATE(Initialisatie!$C$5,1,1))) + 1)),
        IFERROR(VALUE($G142),0) * MAX(0, IF(MIN($G$1, DATE(Initialisatie!$C$5,12,31)) &lt; MAX($G$2, DATE(Initialisatie!$C$5,1,1)), 0, MONTH(MIN($G$1, DATE(Initialisatie!$C$5,12,31))) - MONTH(MAX($G$2, DATE(Initialisatie!$C$5,1,1))) + 1))
    ) / 12
)</f>
        <v>5183.333333333333</v>
      </c>
    </row>
    <row r="143" spans="1:10" x14ac:dyDescent="0.45">
      <c r="A143" s="999"/>
      <c r="B143" s="43">
        <v>7</v>
      </c>
      <c r="C143" s="373">
        <v>42</v>
      </c>
      <c r="D143" s="48">
        <v>5085</v>
      </c>
      <c r="E143" s="48">
        <v>5288</v>
      </c>
      <c r="F143" s="48">
        <v>5394</v>
      </c>
      <c r="G143" s="48">
        <v>5502</v>
      </c>
      <c r="I143">
        <f>IF(
    OR(
        AND(MAX(0, MIN($D$1, DATE(Initialisatie!$C$5,12,31)) - MAX($D$2, DATE(Initialisatie!$C$5,1,1)) + 1) &gt; 0, IFERROR(VALUE($D143),0)=0),
        AND(MAX(0, MIN($E$1, DATE(Initialisatie!$C$5,12,31)) - MAX($E$2, DATE(Initialisatie!$C$5,1,1)) + 1) &gt; 0, IFERROR(VALUE($E143),0)=0),
        AND(MAX(0, MIN($F$1, DATE(Initialisatie!$C$5,12,31)) - MAX($F$2, DATE(Initialisatie!$C$5,1,1)) + 1) &gt; 0, IFERROR(VALUE($F143),0)=0),
        AND(MAX(0, MIN($G$1, DATE(Initialisatie!$C$5,12,31)) - MAX($G$2, DATE(Initialisatie!$C$5,1,1)) + 1) &gt; 0, IFERROR(VALUE($G143),0)=0)
    ),
    0,
    SUM(
        IFERROR(VALUE($D143),0) * MAX(0, MIN($D$1, DATE(Initialisatie!$C$5,12,31)) - MAX($D$2, DATE(Initialisatie!$C$5,1,1)) + 1),
        IFERROR(VALUE($E143),0) * MAX(0, MIN($E$1, DATE(Initialisatie!$C$5,12,31)) - MAX($E$2, DATE(Initialisatie!$C$5,1,1)) + 1),
        IFERROR(VALUE($F143),0) * MAX(0, MIN($F$1, DATE(Initialisatie!$C$5,12,31)) - MAX($F$2, DATE(Initialisatie!$C$5,1,1)) + 1),
        IFERROR(VALUE($G143),0) * MAX(0, MIN($G$1, DATE(Initialisatie!$C$5,12,31)) - MAX($G$2, DATE(Initialisatie!$C$5,1,1)) + 1)
    ) / (DATE(Initialisatie!$C$5,12,31) - DATE(Initialisatie!$C$5,1,1) + 1)
)</f>
        <v>5377.2</v>
      </c>
      <c r="J143">
        <f>IF(
    OR(
        AND(MAX(0, IF(MIN($D$1, DATE(Initialisatie!$C$5,12,31)) &lt; MAX($D$2, DATE(Initialisatie!$C$5,1,1)), 0, MONTH(MIN($D$1, DATE(Initialisatie!$C$5,12,31))) - MONTH(MAX($D$2, DATE(Initialisatie!$C$5,1,1))) + 1)) &lt;= 0, IFERROR(VALUE($D143),0)=0),
        AND(MAX(0, IF(MIN($E$1, DATE(Initialisatie!$C$5,12,31)) &lt; MAX($E$2, DATE(Initialisatie!$C$5,1,1)), 0, MONTH(MIN($E$1, DATE(Initialisatie!$C$5,12,31))) - MONTH(MAX($E$2, DATE(Initialisatie!$C$5,1,1))) + 1)) &lt;= 0, IFERROR(VALUE($E143),0)=0),
        AND(MAX(0, IF(MIN($F$1, DATE(Initialisatie!$C$5,12,31)) &lt; MAX($F$2, DATE(Initialisatie!$C$5,1,1)), 0, MONTH(MIN($F$1, DATE(Initialisatie!$C$5,12,31))) - MONTH(MAX($F$2, DATE(Initialisatie!$C$5,1,1))) + 1)) &lt;= 0, IFERROR(VALUE($F143),0)=0),
        AND(MAX(0, IF(MIN($G$1, DATE(Initialisatie!$C$5,12,31)) &lt; MAX($G$2, DATE(Initialisatie!$C$5,1,1)), 0, MONTH(MIN($G$1, DATE(Initialisatie!$C$5,12,31))) - MONTH(MAX($G$2, DATE(Initialisatie!$C$5,1,1))) + 1)) &lt;= 0, IFERROR(VALUE($G143),0)=0)
    ),
    0,
    SUM(
        IFERROR(VALUE($D143),0) * MAX(0, IF(MIN($D$1, DATE(Initialisatie!$C$5,12,31)) &lt; MAX($D$2, DATE(Initialisatie!$C$5,1,1)), 0, MONTH(MIN($D$1, DATE(Initialisatie!$C$5,12,31))) - MONTH(MAX($D$2, DATE(Initialisatie!$C$5,1,1))) + 1)),
        IFERROR(VALUE($E143),0) * MAX(0, IF(MIN($E$1, DATE(Initialisatie!$C$5,12,31)) &lt; MAX($E$2, DATE(Initialisatie!$C$5,1,1)), 0, MONTH(MIN($E$1, DATE(Initialisatie!$C$5,12,31))) - MONTH(MAX($E$2, DATE(Initialisatie!$C$5,1,1))) + 1)),
        IFERROR(VALUE($F143),0) * MAX(0, IF(MIN($F$1, DATE(Initialisatie!$C$5,12,31)) &lt; MAX($F$2, DATE(Initialisatie!$C$5,1,1)), 0, MONTH(MIN($F$1, DATE(Initialisatie!$C$5,12,31))) - MONTH(MAX($F$2, DATE(Initialisatie!$C$5,1,1))) + 1)),
        IFERROR(VALUE($G143),0) * MAX(0, IF(MIN($G$1, DATE(Initialisatie!$C$5,12,31)) &lt; MAX($G$2, DATE(Initialisatie!$C$5,1,1)), 0, MONTH(MIN($G$1, DATE(Initialisatie!$C$5,12,31))) - MONTH(MAX($G$2, DATE(Initialisatie!$C$5,1,1))) + 1))
    ) / 12
)</f>
        <v>5376.666666666667</v>
      </c>
    </row>
    <row r="144" spans="1:10" x14ac:dyDescent="0.45">
      <c r="A144" s="999"/>
      <c r="B144" s="43">
        <v>8</v>
      </c>
      <c r="C144" s="373">
        <v>44</v>
      </c>
      <c r="D144" s="48">
        <v>5267</v>
      </c>
      <c r="E144" s="48">
        <v>5478</v>
      </c>
      <c r="F144" s="48">
        <v>5588</v>
      </c>
      <c r="G144" s="48">
        <v>5700</v>
      </c>
      <c r="I144">
        <f>IF(
    OR(
        AND(MAX(0, MIN($D$1, DATE(Initialisatie!$C$5,12,31)) - MAX($D$2, DATE(Initialisatie!$C$5,1,1)) + 1) &gt; 0, IFERROR(VALUE($D144),0)=0),
        AND(MAX(0, MIN($E$1, DATE(Initialisatie!$C$5,12,31)) - MAX($E$2, DATE(Initialisatie!$C$5,1,1)) + 1) &gt; 0, IFERROR(VALUE($E144),0)=0),
        AND(MAX(0, MIN($F$1, DATE(Initialisatie!$C$5,12,31)) - MAX($F$2, DATE(Initialisatie!$C$5,1,1)) + 1) &gt; 0, IFERROR(VALUE($F144),0)=0),
        AND(MAX(0, MIN($G$1, DATE(Initialisatie!$C$5,12,31)) - MAX($G$2, DATE(Initialisatie!$C$5,1,1)) + 1) &gt; 0, IFERROR(VALUE($G144),0)=0)
    ),
    0,
    SUM(
        IFERROR(VALUE($D144),0) * MAX(0, MIN($D$1, DATE(Initialisatie!$C$5,12,31)) - MAX($D$2, DATE(Initialisatie!$C$5,1,1)) + 1),
        IFERROR(VALUE($E144),0) * MAX(0, MIN($E$1, DATE(Initialisatie!$C$5,12,31)) - MAX($E$2, DATE(Initialisatie!$C$5,1,1)) + 1),
        IFERROR(VALUE($F144),0) * MAX(0, MIN($F$1, DATE(Initialisatie!$C$5,12,31)) - MAX($F$2, DATE(Initialisatie!$C$5,1,1)) + 1),
        IFERROR(VALUE($G144),0) * MAX(0, MIN($G$1, DATE(Initialisatie!$C$5,12,31)) - MAX($G$2, DATE(Initialisatie!$C$5,1,1)) + 1)
    ) / (DATE(Initialisatie!$C$5,12,31) - DATE(Initialisatie!$C$5,1,1) + 1)
)</f>
        <v>5570.5534246575344</v>
      </c>
      <c r="J144">
        <f>IF(
    OR(
        AND(MAX(0, IF(MIN($D$1, DATE(Initialisatie!$C$5,12,31)) &lt; MAX($D$2, DATE(Initialisatie!$C$5,1,1)), 0, MONTH(MIN($D$1, DATE(Initialisatie!$C$5,12,31))) - MONTH(MAX($D$2, DATE(Initialisatie!$C$5,1,1))) + 1)) &lt;= 0, IFERROR(VALUE($D144),0)=0),
        AND(MAX(0, IF(MIN($E$1, DATE(Initialisatie!$C$5,12,31)) &lt; MAX($E$2, DATE(Initialisatie!$C$5,1,1)), 0, MONTH(MIN($E$1, DATE(Initialisatie!$C$5,12,31))) - MONTH(MAX($E$2, DATE(Initialisatie!$C$5,1,1))) + 1)) &lt;= 0, IFERROR(VALUE($E144),0)=0),
        AND(MAX(0, IF(MIN($F$1, DATE(Initialisatie!$C$5,12,31)) &lt; MAX($F$2, DATE(Initialisatie!$C$5,1,1)), 0, MONTH(MIN($F$1, DATE(Initialisatie!$C$5,12,31))) - MONTH(MAX($F$2, DATE(Initialisatie!$C$5,1,1))) + 1)) &lt;= 0, IFERROR(VALUE($F144),0)=0),
        AND(MAX(0, IF(MIN($G$1, DATE(Initialisatie!$C$5,12,31)) &lt; MAX($G$2, DATE(Initialisatie!$C$5,1,1)), 0, MONTH(MIN($G$1, DATE(Initialisatie!$C$5,12,31))) - MONTH(MAX($G$2, DATE(Initialisatie!$C$5,1,1))) + 1)) &lt;= 0, IFERROR(VALUE($G144),0)=0)
    ),
    0,
    SUM(
        IFERROR(VALUE($D144),0) * MAX(0, IF(MIN($D$1, DATE(Initialisatie!$C$5,12,31)) &lt; MAX($D$2, DATE(Initialisatie!$C$5,1,1)), 0, MONTH(MIN($D$1, DATE(Initialisatie!$C$5,12,31))) - MONTH(MAX($D$2, DATE(Initialisatie!$C$5,1,1))) + 1)),
        IFERROR(VALUE($E144),0) * MAX(0, IF(MIN($E$1, DATE(Initialisatie!$C$5,12,31)) &lt; MAX($E$2, DATE(Initialisatie!$C$5,1,1)), 0, MONTH(MIN($E$1, DATE(Initialisatie!$C$5,12,31))) - MONTH(MAX($E$2, DATE(Initialisatie!$C$5,1,1))) + 1)),
        IFERROR(VALUE($F144),0) * MAX(0, IF(MIN($F$1, DATE(Initialisatie!$C$5,12,31)) &lt; MAX($F$2, DATE(Initialisatie!$C$5,1,1)), 0, MONTH(MIN($F$1, DATE(Initialisatie!$C$5,12,31))) - MONTH(MAX($F$2, DATE(Initialisatie!$C$5,1,1))) + 1)),
        IFERROR(VALUE($G144),0) * MAX(0, IF(MIN($G$1, DATE(Initialisatie!$C$5,12,31)) &lt; MAX($G$2, DATE(Initialisatie!$C$5,1,1)), 0, MONTH(MIN($G$1, DATE(Initialisatie!$C$5,12,31))) - MONTH(MAX($G$2, DATE(Initialisatie!$C$5,1,1))) + 1))
    ) / 12
)</f>
        <v>5570</v>
      </c>
    </row>
    <row r="145" spans="1:10" x14ac:dyDescent="0.45">
      <c r="A145" s="999"/>
      <c r="B145" s="43">
        <v>9</v>
      </c>
      <c r="C145" s="373">
        <v>45</v>
      </c>
      <c r="D145" s="48">
        <v>5343</v>
      </c>
      <c r="E145" s="48">
        <v>5557</v>
      </c>
      <c r="F145" s="48">
        <v>5668</v>
      </c>
      <c r="G145" s="48">
        <v>5781</v>
      </c>
      <c r="I145">
        <f>IF(
    OR(
        AND(MAX(0, MIN($D$1, DATE(Initialisatie!$C$5,12,31)) - MAX($D$2, DATE(Initialisatie!$C$5,1,1)) + 1) &gt; 0, IFERROR(VALUE($D145),0)=0),
        AND(MAX(0, MIN($E$1, DATE(Initialisatie!$C$5,12,31)) - MAX($E$2, DATE(Initialisatie!$C$5,1,1)) + 1) &gt; 0, IFERROR(VALUE($E145),0)=0),
        AND(MAX(0, MIN($F$1, DATE(Initialisatie!$C$5,12,31)) - MAX($F$2, DATE(Initialisatie!$C$5,1,1)) + 1) &gt; 0, IFERROR(VALUE($F145),0)=0),
        AND(MAX(0, MIN($G$1, DATE(Initialisatie!$C$5,12,31)) - MAX($G$2, DATE(Initialisatie!$C$5,1,1)) + 1) &gt; 0, IFERROR(VALUE($G145),0)=0)
    ),
    0,
    SUM(
        IFERROR(VALUE($D145),0) * MAX(0, MIN($D$1, DATE(Initialisatie!$C$5,12,31)) - MAX($D$2, DATE(Initialisatie!$C$5,1,1)) + 1),
        IFERROR(VALUE($E145),0) * MAX(0, MIN($E$1, DATE(Initialisatie!$C$5,12,31)) - MAX($E$2, DATE(Initialisatie!$C$5,1,1)) + 1),
        IFERROR(VALUE($F145),0) * MAX(0, MIN($F$1, DATE(Initialisatie!$C$5,12,31)) - MAX($F$2, DATE(Initialisatie!$C$5,1,1)) + 1),
        IFERROR(VALUE($G145),0) * MAX(0, MIN($G$1, DATE(Initialisatie!$C$5,12,31)) - MAX($G$2, DATE(Initialisatie!$C$5,1,1)) + 1)
    ) / (DATE(Initialisatie!$C$5,12,31) - DATE(Initialisatie!$C$5,1,1) + 1)
)</f>
        <v>5650.3917808219176</v>
      </c>
      <c r="J145">
        <f>IF(
    OR(
        AND(MAX(0, IF(MIN($D$1, DATE(Initialisatie!$C$5,12,31)) &lt; MAX($D$2, DATE(Initialisatie!$C$5,1,1)), 0, MONTH(MIN($D$1, DATE(Initialisatie!$C$5,12,31))) - MONTH(MAX($D$2, DATE(Initialisatie!$C$5,1,1))) + 1)) &lt;= 0, IFERROR(VALUE($D145),0)=0),
        AND(MAX(0, IF(MIN($E$1, DATE(Initialisatie!$C$5,12,31)) &lt; MAX($E$2, DATE(Initialisatie!$C$5,1,1)), 0, MONTH(MIN($E$1, DATE(Initialisatie!$C$5,12,31))) - MONTH(MAX($E$2, DATE(Initialisatie!$C$5,1,1))) + 1)) &lt;= 0, IFERROR(VALUE($E145),0)=0),
        AND(MAX(0, IF(MIN($F$1, DATE(Initialisatie!$C$5,12,31)) &lt; MAX($F$2, DATE(Initialisatie!$C$5,1,1)), 0, MONTH(MIN($F$1, DATE(Initialisatie!$C$5,12,31))) - MONTH(MAX($F$2, DATE(Initialisatie!$C$5,1,1))) + 1)) &lt;= 0, IFERROR(VALUE($F145),0)=0),
        AND(MAX(0, IF(MIN($G$1, DATE(Initialisatie!$C$5,12,31)) &lt; MAX($G$2, DATE(Initialisatie!$C$5,1,1)), 0, MONTH(MIN($G$1, DATE(Initialisatie!$C$5,12,31))) - MONTH(MAX($G$2, DATE(Initialisatie!$C$5,1,1))) + 1)) &lt;= 0, IFERROR(VALUE($G145),0)=0)
    ),
    0,
    SUM(
        IFERROR(VALUE($D145),0) * MAX(0, IF(MIN($D$1, DATE(Initialisatie!$C$5,12,31)) &lt; MAX($D$2, DATE(Initialisatie!$C$5,1,1)), 0, MONTH(MIN($D$1, DATE(Initialisatie!$C$5,12,31))) - MONTH(MAX($D$2, DATE(Initialisatie!$C$5,1,1))) + 1)),
        IFERROR(VALUE($E145),0) * MAX(0, IF(MIN($E$1, DATE(Initialisatie!$C$5,12,31)) &lt; MAX($E$2, DATE(Initialisatie!$C$5,1,1)), 0, MONTH(MIN($E$1, DATE(Initialisatie!$C$5,12,31))) - MONTH(MAX($E$2, DATE(Initialisatie!$C$5,1,1))) + 1)),
        IFERROR(VALUE($F145),0) * MAX(0, IF(MIN($F$1, DATE(Initialisatie!$C$5,12,31)) &lt; MAX($F$2, DATE(Initialisatie!$C$5,1,1)), 0, MONTH(MIN($F$1, DATE(Initialisatie!$C$5,12,31))) - MONTH(MAX($F$2, DATE(Initialisatie!$C$5,1,1))) + 1)),
        IFERROR(VALUE($G145),0) * MAX(0, IF(MIN($G$1, DATE(Initialisatie!$C$5,12,31)) &lt; MAX($G$2, DATE(Initialisatie!$C$5,1,1)), 0, MONTH(MIN($G$1, DATE(Initialisatie!$C$5,12,31))) - MONTH(MAX($G$2, DATE(Initialisatie!$C$5,1,1))) + 1))
    ) / 12
)</f>
        <v>5649.833333333333</v>
      </c>
    </row>
    <row r="146" spans="1:10" x14ac:dyDescent="0.45">
      <c r="A146" s="999"/>
      <c r="B146" s="374">
        <v>10</v>
      </c>
      <c r="C146" s="373">
        <v>46</v>
      </c>
      <c r="D146" s="48">
        <v>5424</v>
      </c>
      <c r="E146" s="48">
        <v>5641</v>
      </c>
      <c r="F146" s="48">
        <v>5754</v>
      </c>
      <c r="G146" s="48">
        <v>5869</v>
      </c>
      <c r="I146">
        <f>IF(
    OR(
        AND(MAX(0, MIN($D$1, DATE(Initialisatie!$C$5,12,31)) - MAX($D$2, DATE(Initialisatie!$C$5,1,1)) + 1) &gt; 0, IFERROR(VALUE($D146),0)=0),
        AND(MAX(0, MIN($E$1, DATE(Initialisatie!$C$5,12,31)) - MAX($E$2, DATE(Initialisatie!$C$5,1,1)) + 1) &gt; 0, IFERROR(VALUE($E146),0)=0),
        AND(MAX(0, MIN($F$1, DATE(Initialisatie!$C$5,12,31)) - MAX($F$2, DATE(Initialisatie!$C$5,1,1)) + 1) &gt; 0, IFERROR(VALUE($F146),0)=0),
        AND(MAX(0, MIN($G$1, DATE(Initialisatie!$C$5,12,31)) - MAX($G$2, DATE(Initialisatie!$C$5,1,1)) + 1) &gt; 0, IFERROR(VALUE($G146),0)=0)
    ),
    0,
    SUM(
        IFERROR(VALUE($D146),0) * MAX(0, MIN($D$1, DATE(Initialisatie!$C$5,12,31)) - MAX($D$2, DATE(Initialisatie!$C$5,1,1)) + 1),
        IFERROR(VALUE($E146),0) * MAX(0, MIN($E$1, DATE(Initialisatie!$C$5,12,31)) - MAX($E$2, DATE(Initialisatie!$C$5,1,1)) + 1),
        IFERROR(VALUE($F146),0) * MAX(0, MIN($F$1, DATE(Initialisatie!$C$5,12,31)) - MAX($F$2, DATE(Initialisatie!$C$5,1,1)) + 1),
        IFERROR(VALUE($G146),0) * MAX(0, MIN($G$1, DATE(Initialisatie!$C$5,12,31)) - MAX($G$2, DATE(Initialisatie!$C$5,1,1)) + 1)
    ) / (DATE(Initialisatie!$C$5,12,31) - DATE(Initialisatie!$C$5,1,1) + 1)
)</f>
        <v>5736.0684931506848</v>
      </c>
      <c r="J146">
        <f>IF(
    OR(
        AND(MAX(0, IF(MIN($D$1, DATE(Initialisatie!$C$5,12,31)) &lt; MAX($D$2, DATE(Initialisatie!$C$5,1,1)), 0, MONTH(MIN($D$1, DATE(Initialisatie!$C$5,12,31))) - MONTH(MAX($D$2, DATE(Initialisatie!$C$5,1,1))) + 1)) &lt;= 0, IFERROR(VALUE($D146),0)=0),
        AND(MAX(0, IF(MIN($E$1, DATE(Initialisatie!$C$5,12,31)) &lt; MAX($E$2, DATE(Initialisatie!$C$5,1,1)), 0, MONTH(MIN($E$1, DATE(Initialisatie!$C$5,12,31))) - MONTH(MAX($E$2, DATE(Initialisatie!$C$5,1,1))) + 1)) &lt;= 0, IFERROR(VALUE($E146),0)=0),
        AND(MAX(0, IF(MIN($F$1, DATE(Initialisatie!$C$5,12,31)) &lt; MAX($F$2, DATE(Initialisatie!$C$5,1,1)), 0, MONTH(MIN($F$1, DATE(Initialisatie!$C$5,12,31))) - MONTH(MAX($F$2, DATE(Initialisatie!$C$5,1,1))) + 1)) &lt;= 0, IFERROR(VALUE($F146),0)=0),
        AND(MAX(0, IF(MIN($G$1, DATE(Initialisatie!$C$5,12,31)) &lt; MAX($G$2, DATE(Initialisatie!$C$5,1,1)), 0, MONTH(MIN($G$1, DATE(Initialisatie!$C$5,12,31))) - MONTH(MAX($G$2, DATE(Initialisatie!$C$5,1,1))) + 1)) &lt;= 0, IFERROR(VALUE($G146),0)=0)
    ),
    0,
    SUM(
        IFERROR(VALUE($D146),0) * MAX(0, IF(MIN($D$1, DATE(Initialisatie!$C$5,12,31)) &lt; MAX($D$2, DATE(Initialisatie!$C$5,1,1)), 0, MONTH(MIN($D$1, DATE(Initialisatie!$C$5,12,31))) - MONTH(MAX($D$2, DATE(Initialisatie!$C$5,1,1))) + 1)),
        IFERROR(VALUE($E146),0) * MAX(0, IF(MIN($E$1, DATE(Initialisatie!$C$5,12,31)) &lt; MAX($E$2, DATE(Initialisatie!$C$5,1,1)), 0, MONTH(MIN($E$1, DATE(Initialisatie!$C$5,12,31))) - MONTH(MAX($E$2, DATE(Initialisatie!$C$5,1,1))) + 1)),
        IFERROR(VALUE($F146),0) * MAX(0, IF(MIN($F$1, DATE(Initialisatie!$C$5,12,31)) &lt; MAX($F$2, DATE(Initialisatie!$C$5,1,1)), 0, MONTH(MIN($F$1, DATE(Initialisatie!$C$5,12,31))) - MONTH(MAX($F$2, DATE(Initialisatie!$C$5,1,1))) + 1)),
        IFERROR(VALUE($G146),0) * MAX(0, IF(MIN($G$1, DATE(Initialisatie!$C$5,12,31)) &lt; MAX($G$2, DATE(Initialisatie!$C$5,1,1)), 0, MONTH(MIN($G$1, DATE(Initialisatie!$C$5,12,31))) - MONTH(MAX($G$2, DATE(Initialisatie!$C$5,1,1))) + 1))
    ) / 12
)</f>
        <v>5735.5</v>
      </c>
    </row>
    <row r="147" spans="1:10" x14ac:dyDescent="0.45">
      <c r="A147" s="999"/>
      <c r="B147" s="374">
        <v>11</v>
      </c>
      <c r="C147" s="373">
        <v>47</v>
      </c>
      <c r="D147" s="48">
        <v>5508</v>
      </c>
      <c r="E147" s="48">
        <v>5728</v>
      </c>
      <c r="F147" s="48">
        <v>5843</v>
      </c>
      <c r="G147" s="48">
        <v>5960</v>
      </c>
      <c r="I147">
        <f>IF(
    OR(
        AND(MAX(0, MIN($D$1, DATE(Initialisatie!$C$5,12,31)) - MAX($D$2, DATE(Initialisatie!$C$5,1,1)) + 1) &gt; 0, IFERROR(VALUE($D147),0)=0),
        AND(MAX(0, MIN($E$1, DATE(Initialisatie!$C$5,12,31)) - MAX($E$2, DATE(Initialisatie!$C$5,1,1)) + 1) &gt; 0, IFERROR(VALUE($E147),0)=0),
        AND(MAX(0, MIN($F$1, DATE(Initialisatie!$C$5,12,31)) - MAX($F$2, DATE(Initialisatie!$C$5,1,1)) + 1) &gt; 0, IFERROR(VALUE($F147),0)=0),
        AND(MAX(0, MIN($G$1, DATE(Initialisatie!$C$5,12,31)) - MAX($G$2, DATE(Initialisatie!$C$5,1,1)) + 1) &gt; 0, IFERROR(VALUE($G147),0)=0)
    ),
    0,
    SUM(
        IFERROR(VALUE($D147),0) * MAX(0, MIN($D$1, DATE(Initialisatie!$C$5,12,31)) - MAX($D$2, DATE(Initialisatie!$C$5,1,1)) + 1),
        IFERROR(VALUE($E147),0) * MAX(0, MIN($E$1, DATE(Initialisatie!$C$5,12,31)) - MAX($E$2, DATE(Initialisatie!$C$5,1,1)) + 1),
        IFERROR(VALUE($F147),0) * MAX(0, MIN($F$1, DATE(Initialisatie!$C$5,12,31)) - MAX($F$2, DATE(Initialisatie!$C$5,1,1)) + 1),
        IFERROR(VALUE($G147),0) * MAX(0, MIN($G$1, DATE(Initialisatie!$C$5,12,31)) - MAX($G$2, DATE(Initialisatie!$C$5,1,1)) + 1)
    ) / (DATE(Initialisatie!$C$5,12,31) - DATE(Initialisatie!$C$5,1,1) + 1)
)</f>
        <v>5824.7452054794521</v>
      </c>
      <c r="J147">
        <f>IF(
    OR(
        AND(MAX(0, IF(MIN($D$1, DATE(Initialisatie!$C$5,12,31)) &lt; MAX($D$2, DATE(Initialisatie!$C$5,1,1)), 0, MONTH(MIN($D$1, DATE(Initialisatie!$C$5,12,31))) - MONTH(MAX($D$2, DATE(Initialisatie!$C$5,1,1))) + 1)) &lt;= 0, IFERROR(VALUE($D147),0)=0),
        AND(MAX(0, IF(MIN($E$1, DATE(Initialisatie!$C$5,12,31)) &lt; MAX($E$2, DATE(Initialisatie!$C$5,1,1)), 0, MONTH(MIN($E$1, DATE(Initialisatie!$C$5,12,31))) - MONTH(MAX($E$2, DATE(Initialisatie!$C$5,1,1))) + 1)) &lt;= 0, IFERROR(VALUE($E147),0)=0),
        AND(MAX(0, IF(MIN($F$1, DATE(Initialisatie!$C$5,12,31)) &lt; MAX($F$2, DATE(Initialisatie!$C$5,1,1)), 0, MONTH(MIN($F$1, DATE(Initialisatie!$C$5,12,31))) - MONTH(MAX($F$2, DATE(Initialisatie!$C$5,1,1))) + 1)) &lt;= 0, IFERROR(VALUE($F147),0)=0),
        AND(MAX(0, IF(MIN($G$1, DATE(Initialisatie!$C$5,12,31)) &lt; MAX($G$2, DATE(Initialisatie!$C$5,1,1)), 0, MONTH(MIN($G$1, DATE(Initialisatie!$C$5,12,31))) - MONTH(MAX($G$2, DATE(Initialisatie!$C$5,1,1))) + 1)) &lt;= 0, IFERROR(VALUE($G147),0)=0)
    ),
    0,
    SUM(
        IFERROR(VALUE($D147),0) * MAX(0, IF(MIN($D$1, DATE(Initialisatie!$C$5,12,31)) &lt; MAX($D$2, DATE(Initialisatie!$C$5,1,1)), 0, MONTH(MIN($D$1, DATE(Initialisatie!$C$5,12,31))) - MONTH(MAX($D$2, DATE(Initialisatie!$C$5,1,1))) + 1)),
        IFERROR(VALUE($E147),0) * MAX(0, IF(MIN($E$1, DATE(Initialisatie!$C$5,12,31)) &lt; MAX($E$2, DATE(Initialisatie!$C$5,1,1)), 0, MONTH(MIN($E$1, DATE(Initialisatie!$C$5,12,31))) - MONTH(MAX($E$2, DATE(Initialisatie!$C$5,1,1))) + 1)),
        IFERROR(VALUE($F147),0) * MAX(0, IF(MIN($F$1, DATE(Initialisatie!$C$5,12,31)) &lt; MAX($F$2, DATE(Initialisatie!$C$5,1,1)), 0, MONTH(MIN($F$1, DATE(Initialisatie!$C$5,12,31))) - MONTH(MAX($F$2, DATE(Initialisatie!$C$5,1,1))) + 1)),
        IFERROR(VALUE($G147),0) * MAX(0, IF(MIN($G$1, DATE(Initialisatie!$C$5,12,31)) &lt; MAX($G$2, DATE(Initialisatie!$C$5,1,1)), 0, MONTH(MIN($G$1, DATE(Initialisatie!$C$5,12,31))) - MONTH(MAX($G$2, DATE(Initialisatie!$C$5,1,1))) + 1))
    ) / 12
)</f>
        <v>5824.166666666667</v>
      </c>
    </row>
    <row r="148" spans="1:10" x14ac:dyDescent="0.45">
      <c r="A148" s="999"/>
      <c r="B148" s="374">
        <v>12</v>
      </c>
      <c r="C148" s="373">
        <v>48</v>
      </c>
      <c r="D148" s="48">
        <v>5587</v>
      </c>
      <c r="E148" s="48">
        <v>5810</v>
      </c>
      <c r="F148" s="48">
        <v>5926</v>
      </c>
      <c r="G148" s="48">
        <v>6045</v>
      </c>
      <c r="I148">
        <f>IF(
    OR(
        AND(MAX(0, MIN($D$1, DATE(Initialisatie!$C$5,12,31)) - MAX($D$2, DATE(Initialisatie!$C$5,1,1)) + 1) &gt; 0, IFERROR(VALUE($D148),0)=0),
        AND(MAX(0, MIN($E$1, DATE(Initialisatie!$C$5,12,31)) - MAX($E$2, DATE(Initialisatie!$C$5,1,1)) + 1) &gt; 0, IFERROR(VALUE($E148),0)=0),
        AND(MAX(0, MIN($F$1, DATE(Initialisatie!$C$5,12,31)) - MAX($F$2, DATE(Initialisatie!$C$5,1,1)) + 1) &gt; 0, IFERROR(VALUE($F148),0)=0),
        AND(MAX(0, MIN($G$1, DATE(Initialisatie!$C$5,12,31)) - MAX($G$2, DATE(Initialisatie!$C$5,1,1)) + 1) &gt; 0, IFERROR(VALUE($G148),0)=0)
    ),
    0,
    SUM(
        IFERROR(VALUE($D148),0) * MAX(0, MIN($D$1, DATE(Initialisatie!$C$5,12,31)) - MAX($D$2, DATE(Initialisatie!$C$5,1,1)) + 1),
        IFERROR(VALUE($E148),0) * MAX(0, MIN($E$1, DATE(Initialisatie!$C$5,12,31)) - MAX($E$2, DATE(Initialisatie!$C$5,1,1)) + 1),
        IFERROR(VALUE($F148),0) * MAX(0, MIN($F$1, DATE(Initialisatie!$C$5,12,31)) - MAX($F$2, DATE(Initialisatie!$C$5,1,1)) + 1),
        IFERROR(VALUE($G148),0) * MAX(0, MIN($G$1, DATE(Initialisatie!$C$5,12,31)) - MAX($G$2, DATE(Initialisatie!$C$5,1,1)) + 1)
    ) / (DATE(Initialisatie!$C$5,12,31) - DATE(Initialisatie!$C$5,1,1) + 1)
)</f>
        <v>5907.7506849315068</v>
      </c>
      <c r="J148">
        <f>IF(
    OR(
        AND(MAX(0, IF(MIN($D$1, DATE(Initialisatie!$C$5,12,31)) &lt; MAX($D$2, DATE(Initialisatie!$C$5,1,1)), 0, MONTH(MIN($D$1, DATE(Initialisatie!$C$5,12,31))) - MONTH(MAX($D$2, DATE(Initialisatie!$C$5,1,1))) + 1)) &lt;= 0, IFERROR(VALUE($D148),0)=0),
        AND(MAX(0, IF(MIN($E$1, DATE(Initialisatie!$C$5,12,31)) &lt; MAX($E$2, DATE(Initialisatie!$C$5,1,1)), 0, MONTH(MIN($E$1, DATE(Initialisatie!$C$5,12,31))) - MONTH(MAX($E$2, DATE(Initialisatie!$C$5,1,1))) + 1)) &lt;= 0, IFERROR(VALUE($E148),0)=0),
        AND(MAX(0, IF(MIN($F$1, DATE(Initialisatie!$C$5,12,31)) &lt; MAX($F$2, DATE(Initialisatie!$C$5,1,1)), 0, MONTH(MIN($F$1, DATE(Initialisatie!$C$5,12,31))) - MONTH(MAX($F$2, DATE(Initialisatie!$C$5,1,1))) + 1)) &lt;= 0, IFERROR(VALUE($F148),0)=0),
        AND(MAX(0, IF(MIN($G$1, DATE(Initialisatie!$C$5,12,31)) &lt; MAX($G$2, DATE(Initialisatie!$C$5,1,1)), 0, MONTH(MIN($G$1, DATE(Initialisatie!$C$5,12,31))) - MONTH(MAX($G$2, DATE(Initialisatie!$C$5,1,1))) + 1)) &lt;= 0, IFERROR(VALUE($G148),0)=0)
    ),
    0,
    SUM(
        IFERROR(VALUE($D148),0) * MAX(0, IF(MIN($D$1, DATE(Initialisatie!$C$5,12,31)) &lt; MAX($D$2, DATE(Initialisatie!$C$5,1,1)), 0, MONTH(MIN($D$1, DATE(Initialisatie!$C$5,12,31))) - MONTH(MAX($D$2, DATE(Initialisatie!$C$5,1,1))) + 1)),
        IFERROR(VALUE($E148),0) * MAX(0, IF(MIN($E$1, DATE(Initialisatie!$C$5,12,31)) &lt; MAX($E$2, DATE(Initialisatie!$C$5,1,1)), 0, MONTH(MIN($E$1, DATE(Initialisatie!$C$5,12,31))) - MONTH(MAX($E$2, DATE(Initialisatie!$C$5,1,1))) + 1)),
        IFERROR(VALUE($F148),0) * MAX(0, IF(MIN($F$1, DATE(Initialisatie!$C$5,12,31)) &lt; MAX($F$2, DATE(Initialisatie!$C$5,1,1)), 0, MONTH(MIN($F$1, DATE(Initialisatie!$C$5,12,31))) - MONTH(MAX($F$2, DATE(Initialisatie!$C$5,1,1))) + 1)),
        IFERROR(VALUE($G148),0) * MAX(0, IF(MIN($G$1, DATE(Initialisatie!$C$5,12,31)) &lt; MAX($G$2, DATE(Initialisatie!$C$5,1,1)), 0, MONTH(MIN($G$1, DATE(Initialisatie!$C$5,12,31))) - MONTH(MAX($G$2, DATE(Initialisatie!$C$5,1,1))) + 1))
    ) / 12
)</f>
        <v>5907.166666666667</v>
      </c>
    </row>
    <row r="149" spans="1:10" x14ac:dyDescent="0.45">
      <c r="A149" s="999">
        <v>65</v>
      </c>
      <c r="B149" s="43">
        <v>0</v>
      </c>
      <c r="C149" s="373">
        <v>34</v>
      </c>
      <c r="D149" s="48">
        <v>4354</v>
      </c>
      <c r="E149" s="48">
        <v>4528</v>
      </c>
      <c r="F149" s="48">
        <v>4619</v>
      </c>
      <c r="G149" s="48">
        <v>4711</v>
      </c>
      <c r="I149">
        <f>IF(
    OR(
        AND(MAX(0, MIN($D$1, DATE(Initialisatie!$C$5,12,31)) - MAX($D$2, DATE(Initialisatie!$C$5,1,1)) + 1) &gt; 0, IFERROR(VALUE($D149),0)=0),
        AND(MAX(0, MIN($E$1, DATE(Initialisatie!$C$5,12,31)) - MAX($E$2, DATE(Initialisatie!$C$5,1,1)) + 1) &gt; 0, IFERROR(VALUE($E149),0)=0),
        AND(MAX(0, MIN($F$1, DATE(Initialisatie!$C$5,12,31)) - MAX($F$2, DATE(Initialisatie!$C$5,1,1)) + 1) &gt; 0, IFERROR(VALUE($F149),0)=0),
        AND(MAX(0, MIN($G$1, DATE(Initialisatie!$C$5,12,31)) - MAX($G$2, DATE(Initialisatie!$C$5,1,1)) + 1) &gt; 0, IFERROR(VALUE($G149),0)=0)
    ),
    0,
    SUM(
        IFERROR(VALUE($D149),0) * MAX(0, MIN($D$1, DATE(Initialisatie!$C$5,12,31)) - MAX($D$2, DATE(Initialisatie!$C$5,1,1)) + 1),
        IFERROR(VALUE($E149),0) * MAX(0, MIN($E$1, DATE(Initialisatie!$C$5,12,31)) - MAX($E$2, DATE(Initialisatie!$C$5,1,1)) + 1),
        IFERROR(VALUE($F149),0) * MAX(0, MIN($F$1, DATE(Initialisatie!$C$5,12,31)) - MAX($F$2, DATE(Initialisatie!$C$5,1,1)) + 1),
        IFERROR(VALUE($G149),0) * MAX(0, MIN($G$1, DATE(Initialisatie!$C$5,12,31)) - MAX($G$2, DATE(Initialisatie!$C$5,1,1)) + 1)
    ) / (DATE(Initialisatie!$C$5,12,31) - DATE(Initialisatie!$C$5,1,1) + 1)
)</f>
        <v>4604.4575342465751</v>
      </c>
      <c r="J149">
        <f>IF(
    OR(
        AND(MAX(0, IF(MIN($D$1, DATE(Initialisatie!$C$5,12,31)) &lt; MAX($D$2, DATE(Initialisatie!$C$5,1,1)), 0, MONTH(MIN($D$1, DATE(Initialisatie!$C$5,12,31))) - MONTH(MAX($D$2, DATE(Initialisatie!$C$5,1,1))) + 1)) &lt;= 0, IFERROR(VALUE($D149),0)=0),
        AND(MAX(0, IF(MIN($E$1, DATE(Initialisatie!$C$5,12,31)) &lt; MAX($E$2, DATE(Initialisatie!$C$5,1,1)), 0, MONTH(MIN($E$1, DATE(Initialisatie!$C$5,12,31))) - MONTH(MAX($E$2, DATE(Initialisatie!$C$5,1,1))) + 1)) &lt;= 0, IFERROR(VALUE($E149),0)=0),
        AND(MAX(0, IF(MIN($F$1, DATE(Initialisatie!$C$5,12,31)) &lt; MAX($F$2, DATE(Initialisatie!$C$5,1,1)), 0, MONTH(MIN($F$1, DATE(Initialisatie!$C$5,12,31))) - MONTH(MAX($F$2, DATE(Initialisatie!$C$5,1,1))) + 1)) &lt;= 0, IFERROR(VALUE($F149),0)=0),
        AND(MAX(0, IF(MIN($G$1, DATE(Initialisatie!$C$5,12,31)) &lt; MAX($G$2, DATE(Initialisatie!$C$5,1,1)), 0, MONTH(MIN($G$1, DATE(Initialisatie!$C$5,12,31))) - MONTH(MAX($G$2, DATE(Initialisatie!$C$5,1,1))) + 1)) &lt;= 0, IFERROR(VALUE($G149),0)=0)
    ),
    0,
    SUM(
        IFERROR(VALUE($D149),0) * MAX(0, IF(MIN($D$1, DATE(Initialisatie!$C$5,12,31)) &lt; MAX($D$2, DATE(Initialisatie!$C$5,1,1)), 0, MONTH(MIN($D$1, DATE(Initialisatie!$C$5,12,31))) - MONTH(MAX($D$2, DATE(Initialisatie!$C$5,1,1))) + 1)),
        IFERROR(VALUE($E149),0) * MAX(0, IF(MIN($E$1, DATE(Initialisatie!$C$5,12,31)) &lt; MAX($E$2, DATE(Initialisatie!$C$5,1,1)), 0, MONTH(MIN($E$1, DATE(Initialisatie!$C$5,12,31))) - MONTH(MAX($E$2, DATE(Initialisatie!$C$5,1,1))) + 1)),
        IFERROR(VALUE($F149),0) * MAX(0, IF(MIN($F$1, DATE(Initialisatie!$C$5,12,31)) &lt; MAX($F$2, DATE(Initialisatie!$C$5,1,1)), 0, MONTH(MIN($F$1, DATE(Initialisatie!$C$5,12,31))) - MONTH(MAX($F$2, DATE(Initialisatie!$C$5,1,1))) + 1)),
        IFERROR(VALUE($G149),0) * MAX(0, IF(MIN($G$1, DATE(Initialisatie!$C$5,12,31)) &lt; MAX($G$2, DATE(Initialisatie!$C$5,1,1)), 0, MONTH(MIN($G$1, DATE(Initialisatie!$C$5,12,31))) - MONTH(MAX($G$2, DATE(Initialisatie!$C$5,1,1))) + 1))
    ) / 12
)</f>
        <v>4604</v>
      </c>
    </row>
    <row r="150" spans="1:10" x14ac:dyDescent="0.45">
      <c r="A150" s="999"/>
      <c r="B150" s="43">
        <v>1</v>
      </c>
      <c r="C150" s="373">
        <v>37</v>
      </c>
      <c r="D150" s="48">
        <v>4629</v>
      </c>
      <c r="E150" s="48">
        <v>4814</v>
      </c>
      <c r="F150" s="48">
        <v>4910</v>
      </c>
      <c r="G150" s="48">
        <v>5008</v>
      </c>
      <c r="I150">
        <f>IF(
    OR(
        AND(MAX(0, MIN($D$1, DATE(Initialisatie!$C$5,12,31)) - MAX($D$2, DATE(Initialisatie!$C$5,1,1)) + 1) &gt; 0, IFERROR(VALUE($D150),0)=0),
        AND(MAX(0, MIN($E$1, DATE(Initialisatie!$C$5,12,31)) - MAX($E$2, DATE(Initialisatie!$C$5,1,1)) + 1) &gt; 0, IFERROR(VALUE($E150),0)=0),
        AND(MAX(0, MIN($F$1, DATE(Initialisatie!$C$5,12,31)) - MAX($F$2, DATE(Initialisatie!$C$5,1,1)) + 1) &gt; 0, IFERROR(VALUE($F150),0)=0),
        AND(MAX(0, MIN($G$1, DATE(Initialisatie!$C$5,12,31)) - MAX($G$2, DATE(Initialisatie!$C$5,1,1)) + 1) &gt; 0, IFERROR(VALUE($G150),0)=0)
    ),
    0,
    SUM(
        IFERROR(VALUE($D150),0) * MAX(0, MIN($D$1, DATE(Initialisatie!$C$5,12,31)) - MAX($D$2, DATE(Initialisatie!$C$5,1,1)) + 1),
        IFERROR(VALUE($E150),0) * MAX(0, MIN($E$1, DATE(Initialisatie!$C$5,12,31)) - MAX($E$2, DATE(Initialisatie!$C$5,1,1)) + 1),
        IFERROR(VALUE($F150),0) * MAX(0, MIN($F$1, DATE(Initialisatie!$C$5,12,31)) - MAX($F$2, DATE(Initialisatie!$C$5,1,1)) + 1),
        IFERROR(VALUE($G150),0) * MAX(0, MIN($G$1, DATE(Initialisatie!$C$5,12,31)) - MAX($G$2, DATE(Initialisatie!$C$5,1,1)) + 1)
    ) / (DATE(Initialisatie!$C$5,12,31) - DATE(Initialisatie!$C$5,1,1) + 1)
)</f>
        <v>4894.8164383561643</v>
      </c>
      <c r="J150">
        <f>IF(
    OR(
        AND(MAX(0, IF(MIN($D$1, DATE(Initialisatie!$C$5,12,31)) &lt; MAX($D$2, DATE(Initialisatie!$C$5,1,1)), 0, MONTH(MIN($D$1, DATE(Initialisatie!$C$5,12,31))) - MONTH(MAX($D$2, DATE(Initialisatie!$C$5,1,1))) + 1)) &lt;= 0, IFERROR(VALUE($D150),0)=0),
        AND(MAX(0, IF(MIN($E$1, DATE(Initialisatie!$C$5,12,31)) &lt; MAX($E$2, DATE(Initialisatie!$C$5,1,1)), 0, MONTH(MIN($E$1, DATE(Initialisatie!$C$5,12,31))) - MONTH(MAX($E$2, DATE(Initialisatie!$C$5,1,1))) + 1)) &lt;= 0, IFERROR(VALUE($E150),0)=0),
        AND(MAX(0, IF(MIN($F$1, DATE(Initialisatie!$C$5,12,31)) &lt; MAX($F$2, DATE(Initialisatie!$C$5,1,1)), 0, MONTH(MIN($F$1, DATE(Initialisatie!$C$5,12,31))) - MONTH(MAX($F$2, DATE(Initialisatie!$C$5,1,1))) + 1)) &lt;= 0, IFERROR(VALUE($F150),0)=0),
        AND(MAX(0, IF(MIN($G$1, DATE(Initialisatie!$C$5,12,31)) &lt; MAX($G$2, DATE(Initialisatie!$C$5,1,1)), 0, MONTH(MIN($G$1, DATE(Initialisatie!$C$5,12,31))) - MONTH(MAX($G$2, DATE(Initialisatie!$C$5,1,1))) + 1)) &lt;= 0, IFERROR(VALUE($G150),0)=0)
    ),
    0,
    SUM(
        IFERROR(VALUE($D150),0) * MAX(0, IF(MIN($D$1, DATE(Initialisatie!$C$5,12,31)) &lt; MAX($D$2, DATE(Initialisatie!$C$5,1,1)), 0, MONTH(MIN($D$1, DATE(Initialisatie!$C$5,12,31))) - MONTH(MAX($D$2, DATE(Initialisatie!$C$5,1,1))) + 1)),
        IFERROR(VALUE($E150),0) * MAX(0, IF(MIN($E$1, DATE(Initialisatie!$C$5,12,31)) &lt; MAX($E$2, DATE(Initialisatie!$C$5,1,1)), 0, MONTH(MIN($E$1, DATE(Initialisatie!$C$5,12,31))) - MONTH(MAX($E$2, DATE(Initialisatie!$C$5,1,1))) + 1)),
        IFERROR(VALUE($F150),0) * MAX(0, IF(MIN($F$1, DATE(Initialisatie!$C$5,12,31)) &lt; MAX($F$2, DATE(Initialisatie!$C$5,1,1)), 0, MONTH(MIN($F$1, DATE(Initialisatie!$C$5,12,31))) - MONTH(MAX($F$2, DATE(Initialisatie!$C$5,1,1))) + 1)),
        IFERROR(VALUE($G150),0) * MAX(0, IF(MIN($G$1, DATE(Initialisatie!$C$5,12,31)) &lt; MAX($G$2, DATE(Initialisatie!$C$5,1,1)), 0, MONTH(MIN($G$1, DATE(Initialisatie!$C$5,12,31))) - MONTH(MAX($G$2, DATE(Initialisatie!$C$5,1,1))) + 1))
    ) / 12
)</f>
        <v>4894.333333333333</v>
      </c>
    </row>
    <row r="151" spans="1:10" x14ac:dyDescent="0.45">
      <c r="A151" s="999"/>
      <c r="B151" s="375">
        <v>2</v>
      </c>
      <c r="C151" s="373">
        <v>40</v>
      </c>
      <c r="D151" s="48">
        <v>4902</v>
      </c>
      <c r="E151" s="48">
        <v>5098</v>
      </c>
      <c r="F151" s="48">
        <v>5200</v>
      </c>
      <c r="G151" s="48">
        <v>5304</v>
      </c>
      <c r="I151">
        <f>IF(
    OR(
        AND(MAX(0, MIN($D$1, DATE(Initialisatie!$C$5,12,31)) - MAX($D$2, DATE(Initialisatie!$C$5,1,1)) + 1) &gt; 0, IFERROR(VALUE($D151),0)=0),
        AND(MAX(0, MIN($E$1, DATE(Initialisatie!$C$5,12,31)) - MAX($E$2, DATE(Initialisatie!$C$5,1,1)) + 1) &gt; 0, IFERROR(VALUE($E151),0)=0),
        AND(MAX(0, MIN($F$1, DATE(Initialisatie!$C$5,12,31)) - MAX($F$2, DATE(Initialisatie!$C$5,1,1)) + 1) &gt; 0, IFERROR(VALUE($F151),0)=0),
        AND(MAX(0, MIN($G$1, DATE(Initialisatie!$C$5,12,31)) - MAX($G$2, DATE(Initialisatie!$C$5,1,1)) + 1) &gt; 0, IFERROR(VALUE($G151),0)=0)
    ),
    0,
    SUM(
        IFERROR(VALUE($D151),0) * MAX(0, MIN($D$1, DATE(Initialisatie!$C$5,12,31)) - MAX($D$2, DATE(Initialisatie!$C$5,1,1)) + 1),
        IFERROR(VALUE($E151),0) * MAX(0, MIN($E$1, DATE(Initialisatie!$C$5,12,31)) - MAX($E$2, DATE(Initialisatie!$C$5,1,1)) + 1),
        IFERROR(VALUE($F151),0) * MAX(0, MIN($F$1, DATE(Initialisatie!$C$5,12,31)) - MAX($F$2, DATE(Initialisatie!$C$5,1,1)) + 1),
        IFERROR(VALUE($G151),0) * MAX(0, MIN($G$1, DATE(Initialisatie!$C$5,12,31)) - MAX($G$2, DATE(Initialisatie!$C$5,1,1)) + 1)
    ) / (DATE(Initialisatie!$C$5,12,31) - DATE(Initialisatie!$C$5,1,1) + 1)
)</f>
        <v>5183.8465753424662</v>
      </c>
      <c r="J151">
        <f>IF(
    OR(
        AND(MAX(0, IF(MIN($D$1, DATE(Initialisatie!$C$5,12,31)) &lt; MAX($D$2, DATE(Initialisatie!$C$5,1,1)), 0, MONTH(MIN($D$1, DATE(Initialisatie!$C$5,12,31))) - MONTH(MAX($D$2, DATE(Initialisatie!$C$5,1,1))) + 1)) &lt;= 0, IFERROR(VALUE($D151),0)=0),
        AND(MAX(0, IF(MIN($E$1, DATE(Initialisatie!$C$5,12,31)) &lt; MAX($E$2, DATE(Initialisatie!$C$5,1,1)), 0, MONTH(MIN($E$1, DATE(Initialisatie!$C$5,12,31))) - MONTH(MAX($E$2, DATE(Initialisatie!$C$5,1,1))) + 1)) &lt;= 0, IFERROR(VALUE($E151),0)=0),
        AND(MAX(0, IF(MIN($F$1, DATE(Initialisatie!$C$5,12,31)) &lt; MAX($F$2, DATE(Initialisatie!$C$5,1,1)), 0, MONTH(MIN($F$1, DATE(Initialisatie!$C$5,12,31))) - MONTH(MAX($F$2, DATE(Initialisatie!$C$5,1,1))) + 1)) &lt;= 0, IFERROR(VALUE($F151),0)=0),
        AND(MAX(0, IF(MIN($G$1, DATE(Initialisatie!$C$5,12,31)) &lt; MAX($G$2, DATE(Initialisatie!$C$5,1,1)), 0, MONTH(MIN($G$1, DATE(Initialisatie!$C$5,12,31))) - MONTH(MAX($G$2, DATE(Initialisatie!$C$5,1,1))) + 1)) &lt;= 0, IFERROR(VALUE($G151),0)=0)
    ),
    0,
    SUM(
        IFERROR(VALUE($D151),0) * MAX(0, IF(MIN($D$1, DATE(Initialisatie!$C$5,12,31)) &lt; MAX($D$2, DATE(Initialisatie!$C$5,1,1)), 0, MONTH(MIN($D$1, DATE(Initialisatie!$C$5,12,31))) - MONTH(MAX($D$2, DATE(Initialisatie!$C$5,1,1))) + 1)),
        IFERROR(VALUE($E151),0) * MAX(0, IF(MIN($E$1, DATE(Initialisatie!$C$5,12,31)) &lt; MAX($E$2, DATE(Initialisatie!$C$5,1,1)), 0, MONTH(MIN($E$1, DATE(Initialisatie!$C$5,12,31))) - MONTH(MAX($E$2, DATE(Initialisatie!$C$5,1,1))) + 1)),
        IFERROR(VALUE($F151),0) * MAX(0, IF(MIN($F$1, DATE(Initialisatie!$C$5,12,31)) &lt; MAX($F$2, DATE(Initialisatie!$C$5,1,1)), 0, MONTH(MIN($F$1, DATE(Initialisatie!$C$5,12,31))) - MONTH(MAX($F$2, DATE(Initialisatie!$C$5,1,1))) + 1)),
        IFERROR(VALUE($G151),0) * MAX(0, IF(MIN($G$1, DATE(Initialisatie!$C$5,12,31)) &lt; MAX($G$2, DATE(Initialisatie!$C$5,1,1)), 0, MONTH(MIN($G$1, DATE(Initialisatie!$C$5,12,31))) - MONTH(MAX($G$2, DATE(Initialisatie!$C$5,1,1))) + 1))
    ) / 12
)</f>
        <v>5183.333333333333</v>
      </c>
    </row>
    <row r="152" spans="1:10" x14ac:dyDescent="0.45">
      <c r="A152" s="999"/>
      <c r="B152" s="373">
        <v>3</v>
      </c>
      <c r="C152" s="373">
        <v>42</v>
      </c>
      <c r="D152" s="48">
        <v>5085</v>
      </c>
      <c r="E152" s="48">
        <v>5288</v>
      </c>
      <c r="F152" s="48">
        <v>5394</v>
      </c>
      <c r="G152" s="48">
        <v>5502</v>
      </c>
      <c r="I152">
        <f>IF(
    OR(
        AND(MAX(0, MIN($D$1, DATE(Initialisatie!$C$5,12,31)) - MAX($D$2, DATE(Initialisatie!$C$5,1,1)) + 1) &gt; 0, IFERROR(VALUE($D152),0)=0),
        AND(MAX(0, MIN($E$1, DATE(Initialisatie!$C$5,12,31)) - MAX($E$2, DATE(Initialisatie!$C$5,1,1)) + 1) &gt; 0, IFERROR(VALUE($E152),0)=0),
        AND(MAX(0, MIN($F$1, DATE(Initialisatie!$C$5,12,31)) - MAX($F$2, DATE(Initialisatie!$C$5,1,1)) + 1) &gt; 0, IFERROR(VALUE($F152),0)=0),
        AND(MAX(0, MIN($G$1, DATE(Initialisatie!$C$5,12,31)) - MAX($G$2, DATE(Initialisatie!$C$5,1,1)) + 1) &gt; 0, IFERROR(VALUE($G152),0)=0)
    ),
    0,
    SUM(
        IFERROR(VALUE($D152),0) * MAX(0, MIN($D$1, DATE(Initialisatie!$C$5,12,31)) - MAX($D$2, DATE(Initialisatie!$C$5,1,1)) + 1),
        IFERROR(VALUE($E152),0) * MAX(0, MIN($E$1, DATE(Initialisatie!$C$5,12,31)) - MAX($E$2, DATE(Initialisatie!$C$5,1,1)) + 1),
        IFERROR(VALUE($F152),0) * MAX(0, MIN($F$1, DATE(Initialisatie!$C$5,12,31)) - MAX($F$2, DATE(Initialisatie!$C$5,1,1)) + 1),
        IFERROR(VALUE($G152),0) * MAX(0, MIN($G$1, DATE(Initialisatie!$C$5,12,31)) - MAX($G$2, DATE(Initialisatie!$C$5,1,1)) + 1)
    ) / (DATE(Initialisatie!$C$5,12,31) - DATE(Initialisatie!$C$5,1,1) + 1)
)</f>
        <v>5377.2</v>
      </c>
      <c r="J152">
        <f>IF(
    OR(
        AND(MAX(0, IF(MIN($D$1, DATE(Initialisatie!$C$5,12,31)) &lt; MAX($D$2, DATE(Initialisatie!$C$5,1,1)), 0, MONTH(MIN($D$1, DATE(Initialisatie!$C$5,12,31))) - MONTH(MAX($D$2, DATE(Initialisatie!$C$5,1,1))) + 1)) &lt;= 0, IFERROR(VALUE($D152),0)=0),
        AND(MAX(0, IF(MIN($E$1, DATE(Initialisatie!$C$5,12,31)) &lt; MAX($E$2, DATE(Initialisatie!$C$5,1,1)), 0, MONTH(MIN($E$1, DATE(Initialisatie!$C$5,12,31))) - MONTH(MAX($E$2, DATE(Initialisatie!$C$5,1,1))) + 1)) &lt;= 0, IFERROR(VALUE($E152),0)=0),
        AND(MAX(0, IF(MIN($F$1, DATE(Initialisatie!$C$5,12,31)) &lt; MAX($F$2, DATE(Initialisatie!$C$5,1,1)), 0, MONTH(MIN($F$1, DATE(Initialisatie!$C$5,12,31))) - MONTH(MAX($F$2, DATE(Initialisatie!$C$5,1,1))) + 1)) &lt;= 0, IFERROR(VALUE($F152),0)=0),
        AND(MAX(0, IF(MIN($G$1, DATE(Initialisatie!$C$5,12,31)) &lt; MAX($G$2, DATE(Initialisatie!$C$5,1,1)), 0, MONTH(MIN($G$1, DATE(Initialisatie!$C$5,12,31))) - MONTH(MAX($G$2, DATE(Initialisatie!$C$5,1,1))) + 1)) &lt;= 0, IFERROR(VALUE($G152),0)=0)
    ),
    0,
    SUM(
        IFERROR(VALUE($D152),0) * MAX(0, IF(MIN($D$1, DATE(Initialisatie!$C$5,12,31)) &lt; MAX($D$2, DATE(Initialisatie!$C$5,1,1)), 0, MONTH(MIN($D$1, DATE(Initialisatie!$C$5,12,31))) - MONTH(MAX($D$2, DATE(Initialisatie!$C$5,1,1))) + 1)),
        IFERROR(VALUE($E152),0) * MAX(0, IF(MIN($E$1, DATE(Initialisatie!$C$5,12,31)) &lt; MAX($E$2, DATE(Initialisatie!$C$5,1,1)), 0, MONTH(MIN($E$1, DATE(Initialisatie!$C$5,12,31))) - MONTH(MAX($E$2, DATE(Initialisatie!$C$5,1,1))) + 1)),
        IFERROR(VALUE($F152),0) * MAX(0, IF(MIN($F$1, DATE(Initialisatie!$C$5,12,31)) &lt; MAX($F$2, DATE(Initialisatie!$C$5,1,1)), 0, MONTH(MIN($F$1, DATE(Initialisatie!$C$5,12,31))) - MONTH(MAX($F$2, DATE(Initialisatie!$C$5,1,1))) + 1)),
        IFERROR(VALUE($G152),0) * MAX(0, IF(MIN($G$1, DATE(Initialisatie!$C$5,12,31)) &lt; MAX($G$2, DATE(Initialisatie!$C$5,1,1)), 0, MONTH(MIN($G$1, DATE(Initialisatie!$C$5,12,31))) - MONTH(MAX($G$2, DATE(Initialisatie!$C$5,1,1))) + 1))
    ) / 12
)</f>
        <v>5376.666666666667</v>
      </c>
    </row>
    <row r="153" spans="1:10" x14ac:dyDescent="0.45">
      <c r="A153" s="999"/>
      <c r="B153" s="373">
        <v>4</v>
      </c>
      <c r="C153" s="373">
        <v>44</v>
      </c>
      <c r="D153" s="48">
        <v>5267</v>
      </c>
      <c r="E153" s="48">
        <v>5478</v>
      </c>
      <c r="F153" s="48">
        <v>5588</v>
      </c>
      <c r="G153" s="48">
        <v>5700</v>
      </c>
      <c r="I153">
        <f>IF(
    OR(
        AND(MAX(0, MIN($D$1, DATE(Initialisatie!$C$5,12,31)) - MAX($D$2, DATE(Initialisatie!$C$5,1,1)) + 1) &gt; 0, IFERROR(VALUE($D153),0)=0),
        AND(MAX(0, MIN($E$1, DATE(Initialisatie!$C$5,12,31)) - MAX($E$2, DATE(Initialisatie!$C$5,1,1)) + 1) &gt; 0, IFERROR(VALUE($E153),0)=0),
        AND(MAX(0, MIN($F$1, DATE(Initialisatie!$C$5,12,31)) - MAX($F$2, DATE(Initialisatie!$C$5,1,1)) + 1) &gt; 0, IFERROR(VALUE($F153),0)=0),
        AND(MAX(0, MIN($G$1, DATE(Initialisatie!$C$5,12,31)) - MAX($G$2, DATE(Initialisatie!$C$5,1,1)) + 1) &gt; 0, IFERROR(VALUE($G153),0)=0)
    ),
    0,
    SUM(
        IFERROR(VALUE($D153),0) * MAX(0, MIN($D$1, DATE(Initialisatie!$C$5,12,31)) - MAX($D$2, DATE(Initialisatie!$C$5,1,1)) + 1),
        IFERROR(VALUE($E153),0) * MAX(0, MIN($E$1, DATE(Initialisatie!$C$5,12,31)) - MAX($E$2, DATE(Initialisatie!$C$5,1,1)) + 1),
        IFERROR(VALUE($F153),0) * MAX(0, MIN($F$1, DATE(Initialisatie!$C$5,12,31)) - MAX($F$2, DATE(Initialisatie!$C$5,1,1)) + 1),
        IFERROR(VALUE($G153),0) * MAX(0, MIN($G$1, DATE(Initialisatie!$C$5,12,31)) - MAX($G$2, DATE(Initialisatie!$C$5,1,1)) + 1)
    ) / (DATE(Initialisatie!$C$5,12,31) - DATE(Initialisatie!$C$5,1,1) + 1)
)</f>
        <v>5570.5534246575344</v>
      </c>
      <c r="J153">
        <f>IF(
    OR(
        AND(MAX(0, IF(MIN($D$1, DATE(Initialisatie!$C$5,12,31)) &lt; MAX($D$2, DATE(Initialisatie!$C$5,1,1)), 0, MONTH(MIN($D$1, DATE(Initialisatie!$C$5,12,31))) - MONTH(MAX($D$2, DATE(Initialisatie!$C$5,1,1))) + 1)) &lt;= 0, IFERROR(VALUE($D153),0)=0),
        AND(MAX(0, IF(MIN($E$1, DATE(Initialisatie!$C$5,12,31)) &lt; MAX($E$2, DATE(Initialisatie!$C$5,1,1)), 0, MONTH(MIN($E$1, DATE(Initialisatie!$C$5,12,31))) - MONTH(MAX($E$2, DATE(Initialisatie!$C$5,1,1))) + 1)) &lt;= 0, IFERROR(VALUE($E153),0)=0),
        AND(MAX(0, IF(MIN($F$1, DATE(Initialisatie!$C$5,12,31)) &lt; MAX($F$2, DATE(Initialisatie!$C$5,1,1)), 0, MONTH(MIN($F$1, DATE(Initialisatie!$C$5,12,31))) - MONTH(MAX($F$2, DATE(Initialisatie!$C$5,1,1))) + 1)) &lt;= 0, IFERROR(VALUE($F153),0)=0),
        AND(MAX(0, IF(MIN($G$1, DATE(Initialisatie!$C$5,12,31)) &lt; MAX($G$2, DATE(Initialisatie!$C$5,1,1)), 0, MONTH(MIN($G$1, DATE(Initialisatie!$C$5,12,31))) - MONTH(MAX($G$2, DATE(Initialisatie!$C$5,1,1))) + 1)) &lt;= 0, IFERROR(VALUE($G153),0)=0)
    ),
    0,
    SUM(
        IFERROR(VALUE($D153),0) * MAX(0, IF(MIN($D$1, DATE(Initialisatie!$C$5,12,31)) &lt; MAX($D$2, DATE(Initialisatie!$C$5,1,1)), 0, MONTH(MIN($D$1, DATE(Initialisatie!$C$5,12,31))) - MONTH(MAX($D$2, DATE(Initialisatie!$C$5,1,1))) + 1)),
        IFERROR(VALUE($E153),0) * MAX(0, IF(MIN($E$1, DATE(Initialisatie!$C$5,12,31)) &lt; MAX($E$2, DATE(Initialisatie!$C$5,1,1)), 0, MONTH(MIN($E$1, DATE(Initialisatie!$C$5,12,31))) - MONTH(MAX($E$2, DATE(Initialisatie!$C$5,1,1))) + 1)),
        IFERROR(VALUE($F153),0) * MAX(0, IF(MIN($F$1, DATE(Initialisatie!$C$5,12,31)) &lt; MAX($F$2, DATE(Initialisatie!$C$5,1,1)), 0, MONTH(MIN($F$1, DATE(Initialisatie!$C$5,12,31))) - MONTH(MAX($F$2, DATE(Initialisatie!$C$5,1,1))) + 1)),
        IFERROR(VALUE($G153),0) * MAX(0, IF(MIN($G$1, DATE(Initialisatie!$C$5,12,31)) &lt; MAX($G$2, DATE(Initialisatie!$C$5,1,1)), 0, MONTH(MIN($G$1, DATE(Initialisatie!$C$5,12,31))) - MONTH(MAX($G$2, DATE(Initialisatie!$C$5,1,1))) + 1))
    ) / 12
)</f>
        <v>5570</v>
      </c>
    </row>
    <row r="154" spans="1:10" x14ac:dyDescent="0.45">
      <c r="A154" s="999"/>
      <c r="B154" s="373">
        <v>5</v>
      </c>
      <c r="C154" s="373">
        <v>46</v>
      </c>
      <c r="D154" s="48">
        <v>5424</v>
      </c>
      <c r="E154" s="48">
        <v>5641</v>
      </c>
      <c r="F154" s="48">
        <v>5754</v>
      </c>
      <c r="G154" s="48">
        <v>5869</v>
      </c>
      <c r="I154">
        <f>IF(
    OR(
        AND(MAX(0, MIN($D$1, DATE(Initialisatie!$C$5,12,31)) - MAX($D$2, DATE(Initialisatie!$C$5,1,1)) + 1) &gt; 0, IFERROR(VALUE($D154),0)=0),
        AND(MAX(0, MIN($E$1, DATE(Initialisatie!$C$5,12,31)) - MAX($E$2, DATE(Initialisatie!$C$5,1,1)) + 1) &gt; 0, IFERROR(VALUE($E154),0)=0),
        AND(MAX(0, MIN($F$1, DATE(Initialisatie!$C$5,12,31)) - MAX($F$2, DATE(Initialisatie!$C$5,1,1)) + 1) &gt; 0, IFERROR(VALUE($F154),0)=0),
        AND(MAX(0, MIN($G$1, DATE(Initialisatie!$C$5,12,31)) - MAX($G$2, DATE(Initialisatie!$C$5,1,1)) + 1) &gt; 0, IFERROR(VALUE($G154),0)=0)
    ),
    0,
    SUM(
        IFERROR(VALUE($D154),0) * MAX(0, MIN($D$1, DATE(Initialisatie!$C$5,12,31)) - MAX($D$2, DATE(Initialisatie!$C$5,1,1)) + 1),
        IFERROR(VALUE($E154),0) * MAX(0, MIN($E$1, DATE(Initialisatie!$C$5,12,31)) - MAX($E$2, DATE(Initialisatie!$C$5,1,1)) + 1),
        IFERROR(VALUE($F154),0) * MAX(0, MIN($F$1, DATE(Initialisatie!$C$5,12,31)) - MAX($F$2, DATE(Initialisatie!$C$5,1,1)) + 1),
        IFERROR(VALUE($G154),0) * MAX(0, MIN($G$1, DATE(Initialisatie!$C$5,12,31)) - MAX($G$2, DATE(Initialisatie!$C$5,1,1)) + 1)
    ) / (DATE(Initialisatie!$C$5,12,31) - DATE(Initialisatie!$C$5,1,1) + 1)
)</f>
        <v>5736.0684931506848</v>
      </c>
      <c r="J154">
        <f>IF(
    OR(
        AND(MAX(0, IF(MIN($D$1, DATE(Initialisatie!$C$5,12,31)) &lt; MAX($D$2, DATE(Initialisatie!$C$5,1,1)), 0, MONTH(MIN($D$1, DATE(Initialisatie!$C$5,12,31))) - MONTH(MAX($D$2, DATE(Initialisatie!$C$5,1,1))) + 1)) &lt;= 0, IFERROR(VALUE($D154),0)=0),
        AND(MAX(0, IF(MIN($E$1, DATE(Initialisatie!$C$5,12,31)) &lt; MAX($E$2, DATE(Initialisatie!$C$5,1,1)), 0, MONTH(MIN($E$1, DATE(Initialisatie!$C$5,12,31))) - MONTH(MAX($E$2, DATE(Initialisatie!$C$5,1,1))) + 1)) &lt;= 0, IFERROR(VALUE($E154),0)=0),
        AND(MAX(0, IF(MIN($F$1, DATE(Initialisatie!$C$5,12,31)) &lt; MAX($F$2, DATE(Initialisatie!$C$5,1,1)), 0, MONTH(MIN($F$1, DATE(Initialisatie!$C$5,12,31))) - MONTH(MAX($F$2, DATE(Initialisatie!$C$5,1,1))) + 1)) &lt;= 0, IFERROR(VALUE($F154),0)=0),
        AND(MAX(0, IF(MIN($G$1, DATE(Initialisatie!$C$5,12,31)) &lt; MAX($G$2, DATE(Initialisatie!$C$5,1,1)), 0, MONTH(MIN($G$1, DATE(Initialisatie!$C$5,12,31))) - MONTH(MAX($G$2, DATE(Initialisatie!$C$5,1,1))) + 1)) &lt;= 0, IFERROR(VALUE($G154),0)=0)
    ),
    0,
    SUM(
        IFERROR(VALUE($D154),0) * MAX(0, IF(MIN($D$1, DATE(Initialisatie!$C$5,12,31)) &lt; MAX($D$2, DATE(Initialisatie!$C$5,1,1)), 0, MONTH(MIN($D$1, DATE(Initialisatie!$C$5,12,31))) - MONTH(MAX($D$2, DATE(Initialisatie!$C$5,1,1))) + 1)),
        IFERROR(VALUE($E154),0) * MAX(0, IF(MIN($E$1, DATE(Initialisatie!$C$5,12,31)) &lt; MAX($E$2, DATE(Initialisatie!$C$5,1,1)), 0, MONTH(MIN($E$1, DATE(Initialisatie!$C$5,12,31))) - MONTH(MAX($E$2, DATE(Initialisatie!$C$5,1,1))) + 1)),
        IFERROR(VALUE($F154),0) * MAX(0, IF(MIN($F$1, DATE(Initialisatie!$C$5,12,31)) &lt; MAX($F$2, DATE(Initialisatie!$C$5,1,1)), 0, MONTH(MIN($F$1, DATE(Initialisatie!$C$5,12,31))) - MONTH(MAX($F$2, DATE(Initialisatie!$C$5,1,1))) + 1)),
        IFERROR(VALUE($G154),0) * MAX(0, IF(MIN($G$1, DATE(Initialisatie!$C$5,12,31)) &lt; MAX($G$2, DATE(Initialisatie!$C$5,1,1)), 0, MONTH(MIN($G$1, DATE(Initialisatie!$C$5,12,31))) - MONTH(MAX($G$2, DATE(Initialisatie!$C$5,1,1))) + 1))
    ) / 12
)</f>
        <v>5735.5</v>
      </c>
    </row>
    <row r="155" spans="1:10" x14ac:dyDescent="0.45">
      <c r="A155" s="999"/>
      <c r="B155" s="373">
        <v>6</v>
      </c>
      <c r="C155" s="373">
        <v>48</v>
      </c>
      <c r="D155" s="48">
        <v>5587</v>
      </c>
      <c r="E155" s="48">
        <v>5810</v>
      </c>
      <c r="F155" s="48">
        <v>5926</v>
      </c>
      <c r="G155" s="48">
        <v>6045</v>
      </c>
      <c r="I155">
        <f>IF(
    OR(
        AND(MAX(0, MIN($D$1, DATE(Initialisatie!$C$5,12,31)) - MAX($D$2, DATE(Initialisatie!$C$5,1,1)) + 1) &gt; 0, IFERROR(VALUE($D155),0)=0),
        AND(MAX(0, MIN($E$1, DATE(Initialisatie!$C$5,12,31)) - MAX($E$2, DATE(Initialisatie!$C$5,1,1)) + 1) &gt; 0, IFERROR(VALUE($E155),0)=0),
        AND(MAX(0, MIN($F$1, DATE(Initialisatie!$C$5,12,31)) - MAX($F$2, DATE(Initialisatie!$C$5,1,1)) + 1) &gt; 0, IFERROR(VALUE($F155),0)=0),
        AND(MAX(0, MIN($G$1, DATE(Initialisatie!$C$5,12,31)) - MAX($G$2, DATE(Initialisatie!$C$5,1,1)) + 1) &gt; 0, IFERROR(VALUE($G155),0)=0)
    ),
    0,
    SUM(
        IFERROR(VALUE($D155),0) * MAX(0, MIN($D$1, DATE(Initialisatie!$C$5,12,31)) - MAX($D$2, DATE(Initialisatie!$C$5,1,1)) + 1),
        IFERROR(VALUE($E155),0) * MAX(0, MIN($E$1, DATE(Initialisatie!$C$5,12,31)) - MAX($E$2, DATE(Initialisatie!$C$5,1,1)) + 1),
        IFERROR(VALUE($F155),0) * MAX(0, MIN($F$1, DATE(Initialisatie!$C$5,12,31)) - MAX($F$2, DATE(Initialisatie!$C$5,1,1)) + 1),
        IFERROR(VALUE($G155),0) * MAX(0, MIN($G$1, DATE(Initialisatie!$C$5,12,31)) - MAX($G$2, DATE(Initialisatie!$C$5,1,1)) + 1)
    ) / (DATE(Initialisatie!$C$5,12,31) - DATE(Initialisatie!$C$5,1,1) + 1)
)</f>
        <v>5907.7506849315068</v>
      </c>
      <c r="J155">
        <f>IF(
    OR(
        AND(MAX(0, IF(MIN($D$1, DATE(Initialisatie!$C$5,12,31)) &lt; MAX($D$2, DATE(Initialisatie!$C$5,1,1)), 0, MONTH(MIN($D$1, DATE(Initialisatie!$C$5,12,31))) - MONTH(MAX($D$2, DATE(Initialisatie!$C$5,1,1))) + 1)) &lt;= 0, IFERROR(VALUE($D155),0)=0),
        AND(MAX(0, IF(MIN($E$1, DATE(Initialisatie!$C$5,12,31)) &lt; MAX($E$2, DATE(Initialisatie!$C$5,1,1)), 0, MONTH(MIN($E$1, DATE(Initialisatie!$C$5,12,31))) - MONTH(MAX($E$2, DATE(Initialisatie!$C$5,1,1))) + 1)) &lt;= 0, IFERROR(VALUE($E155),0)=0),
        AND(MAX(0, IF(MIN($F$1, DATE(Initialisatie!$C$5,12,31)) &lt; MAX($F$2, DATE(Initialisatie!$C$5,1,1)), 0, MONTH(MIN($F$1, DATE(Initialisatie!$C$5,12,31))) - MONTH(MAX($F$2, DATE(Initialisatie!$C$5,1,1))) + 1)) &lt;= 0, IFERROR(VALUE($F155),0)=0),
        AND(MAX(0, IF(MIN($G$1, DATE(Initialisatie!$C$5,12,31)) &lt; MAX($G$2, DATE(Initialisatie!$C$5,1,1)), 0, MONTH(MIN($G$1, DATE(Initialisatie!$C$5,12,31))) - MONTH(MAX($G$2, DATE(Initialisatie!$C$5,1,1))) + 1)) &lt;= 0, IFERROR(VALUE($G155),0)=0)
    ),
    0,
    SUM(
        IFERROR(VALUE($D155),0) * MAX(0, IF(MIN($D$1, DATE(Initialisatie!$C$5,12,31)) &lt; MAX($D$2, DATE(Initialisatie!$C$5,1,1)), 0, MONTH(MIN($D$1, DATE(Initialisatie!$C$5,12,31))) - MONTH(MAX($D$2, DATE(Initialisatie!$C$5,1,1))) + 1)),
        IFERROR(VALUE($E155),0) * MAX(0, IF(MIN($E$1, DATE(Initialisatie!$C$5,12,31)) &lt; MAX($E$2, DATE(Initialisatie!$C$5,1,1)), 0, MONTH(MIN($E$1, DATE(Initialisatie!$C$5,12,31))) - MONTH(MAX($E$2, DATE(Initialisatie!$C$5,1,1))) + 1)),
        IFERROR(VALUE($F155),0) * MAX(0, IF(MIN($F$1, DATE(Initialisatie!$C$5,12,31)) &lt; MAX($F$2, DATE(Initialisatie!$C$5,1,1)), 0, MONTH(MIN($F$1, DATE(Initialisatie!$C$5,12,31))) - MONTH(MAX($F$2, DATE(Initialisatie!$C$5,1,1))) + 1)),
        IFERROR(VALUE($G155),0) * MAX(0, IF(MIN($G$1, DATE(Initialisatie!$C$5,12,31)) &lt; MAX($G$2, DATE(Initialisatie!$C$5,1,1)), 0, MONTH(MIN($G$1, DATE(Initialisatie!$C$5,12,31))) - MONTH(MAX($G$2, DATE(Initialisatie!$C$5,1,1))) + 1))
    ) / 12
)</f>
        <v>5907.166666666667</v>
      </c>
    </row>
    <row r="156" spans="1:10" x14ac:dyDescent="0.45">
      <c r="A156" s="999"/>
      <c r="B156" s="373">
        <v>7</v>
      </c>
      <c r="C156" s="373">
        <v>50</v>
      </c>
      <c r="D156" s="48">
        <v>5756</v>
      </c>
      <c r="E156" s="48">
        <v>5986</v>
      </c>
      <c r="F156" s="48">
        <v>6106</v>
      </c>
      <c r="G156" s="48">
        <v>6228</v>
      </c>
      <c r="I156">
        <f>IF(
    OR(
        AND(MAX(0, MIN($D$1, DATE(Initialisatie!$C$5,12,31)) - MAX($D$2, DATE(Initialisatie!$C$5,1,1)) + 1) &gt; 0, IFERROR(VALUE($D156),0)=0),
        AND(MAX(0, MIN($E$1, DATE(Initialisatie!$C$5,12,31)) - MAX($E$2, DATE(Initialisatie!$C$5,1,1)) + 1) &gt; 0, IFERROR(VALUE($E156),0)=0),
        AND(MAX(0, MIN($F$1, DATE(Initialisatie!$C$5,12,31)) - MAX($F$2, DATE(Initialisatie!$C$5,1,1)) + 1) &gt; 0, IFERROR(VALUE($F156),0)=0),
        AND(MAX(0, MIN($G$1, DATE(Initialisatie!$C$5,12,31)) - MAX($G$2, DATE(Initialisatie!$C$5,1,1)) + 1) &gt; 0, IFERROR(VALUE($G156),0)=0)
    ),
    0,
    SUM(
        IFERROR(VALUE($D156),0) * MAX(0, MIN($D$1, DATE(Initialisatie!$C$5,12,31)) - MAX($D$2, DATE(Initialisatie!$C$5,1,1)) + 1),
        IFERROR(VALUE($E156),0) * MAX(0, MIN($E$1, DATE(Initialisatie!$C$5,12,31)) - MAX($E$2, DATE(Initialisatie!$C$5,1,1)) + 1),
        IFERROR(VALUE($F156),0) * MAX(0, MIN($F$1, DATE(Initialisatie!$C$5,12,31)) - MAX($F$2, DATE(Initialisatie!$C$5,1,1)) + 1),
        IFERROR(VALUE($G156),0) * MAX(0, MIN($G$1, DATE(Initialisatie!$C$5,12,31)) - MAX($G$2, DATE(Initialisatie!$C$5,1,1)) + 1)
    ) / (DATE(Initialisatie!$C$5,12,31) - DATE(Initialisatie!$C$5,1,1) + 1)
)</f>
        <v>6086.9369863013699</v>
      </c>
      <c r="J156">
        <f>IF(
    OR(
        AND(MAX(0, IF(MIN($D$1, DATE(Initialisatie!$C$5,12,31)) &lt; MAX($D$2, DATE(Initialisatie!$C$5,1,1)), 0, MONTH(MIN($D$1, DATE(Initialisatie!$C$5,12,31))) - MONTH(MAX($D$2, DATE(Initialisatie!$C$5,1,1))) + 1)) &lt;= 0, IFERROR(VALUE($D156),0)=0),
        AND(MAX(0, IF(MIN($E$1, DATE(Initialisatie!$C$5,12,31)) &lt; MAX($E$2, DATE(Initialisatie!$C$5,1,1)), 0, MONTH(MIN($E$1, DATE(Initialisatie!$C$5,12,31))) - MONTH(MAX($E$2, DATE(Initialisatie!$C$5,1,1))) + 1)) &lt;= 0, IFERROR(VALUE($E156),0)=0),
        AND(MAX(0, IF(MIN($F$1, DATE(Initialisatie!$C$5,12,31)) &lt; MAX($F$2, DATE(Initialisatie!$C$5,1,1)), 0, MONTH(MIN($F$1, DATE(Initialisatie!$C$5,12,31))) - MONTH(MAX($F$2, DATE(Initialisatie!$C$5,1,1))) + 1)) &lt;= 0, IFERROR(VALUE($F156),0)=0),
        AND(MAX(0, IF(MIN($G$1, DATE(Initialisatie!$C$5,12,31)) &lt; MAX($G$2, DATE(Initialisatie!$C$5,1,1)), 0, MONTH(MIN($G$1, DATE(Initialisatie!$C$5,12,31))) - MONTH(MAX($G$2, DATE(Initialisatie!$C$5,1,1))) + 1)) &lt;= 0, IFERROR(VALUE($G156),0)=0)
    ),
    0,
    SUM(
        IFERROR(VALUE($D156),0) * MAX(0, IF(MIN($D$1, DATE(Initialisatie!$C$5,12,31)) &lt; MAX($D$2, DATE(Initialisatie!$C$5,1,1)), 0, MONTH(MIN($D$1, DATE(Initialisatie!$C$5,12,31))) - MONTH(MAX($D$2, DATE(Initialisatie!$C$5,1,1))) + 1)),
        IFERROR(VALUE($E156),0) * MAX(0, IF(MIN($E$1, DATE(Initialisatie!$C$5,12,31)) &lt; MAX($E$2, DATE(Initialisatie!$C$5,1,1)), 0, MONTH(MIN($E$1, DATE(Initialisatie!$C$5,12,31))) - MONTH(MAX($E$2, DATE(Initialisatie!$C$5,1,1))) + 1)),
        IFERROR(VALUE($F156),0) * MAX(0, IF(MIN($F$1, DATE(Initialisatie!$C$5,12,31)) &lt; MAX($F$2, DATE(Initialisatie!$C$5,1,1)), 0, MONTH(MIN($F$1, DATE(Initialisatie!$C$5,12,31))) - MONTH(MAX($F$2, DATE(Initialisatie!$C$5,1,1))) + 1)),
        IFERROR(VALUE($G156),0) * MAX(0, IF(MIN($G$1, DATE(Initialisatie!$C$5,12,31)) &lt; MAX($G$2, DATE(Initialisatie!$C$5,1,1)), 0, MONTH(MIN($G$1, DATE(Initialisatie!$C$5,12,31))) - MONTH(MAX($G$2, DATE(Initialisatie!$C$5,1,1))) + 1))
    ) / 12
)</f>
        <v>6086.333333333333</v>
      </c>
    </row>
    <row r="157" spans="1:10" x14ac:dyDescent="0.45">
      <c r="A157" s="999"/>
      <c r="B157" s="373">
        <v>8</v>
      </c>
      <c r="C157" s="373">
        <v>52</v>
      </c>
      <c r="D157" s="48">
        <v>5920</v>
      </c>
      <c r="E157" s="48">
        <v>6157</v>
      </c>
      <c r="F157" s="48">
        <v>6280</v>
      </c>
      <c r="G157" s="48">
        <v>6406</v>
      </c>
      <c r="I157">
        <f>IF(
    OR(
        AND(MAX(0, MIN($D$1, DATE(Initialisatie!$C$5,12,31)) - MAX($D$2, DATE(Initialisatie!$C$5,1,1)) + 1) &gt; 0, IFERROR(VALUE($D157),0)=0),
        AND(MAX(0, MIN($E$1, DATE(Initialisatie!$C$5,12,31)) - MAX($E$2, DATE(Initialisatie!$C$5,1,1)) + 1) &gt; 0, IFERROR(VALUE($E157),0)=0),
        AND(MAX(0, MIN($F$1, DATE(Initialisatie!$C$5,12,31)) - MAX($F$2, DATE(Initialisatie!$C$5,1,1)) + 1) &gt; 0, IFERROR(VALUE($F157),0)=0),
        AND(MAX(0, MIN($G$1, DATE(Initialisatie!$C$5,12,31)) - MAX($G$2, DATE(Initialisatie!$C$5,1,1)) + 1) &gt; 0, IFERROR(VALUE($G157),0)=0)
    ),
    0,
    SUM(
        IFERROR(VALUE($D157),0) * MAX(0, MIN($D$1, DATE(Initialisatie!$C$5,12,31)) - MAX($D$2, DATE(Initialisatie!$C$5,1,1)) + 1),
        IFERROR(VALUE($E157),0) * MAX(0, MIN($E$1, DATE(Initialisatie!$C$5,12,31)) - MAX($E$2, DATE(Initialisatie!$C$5,1,1)) + 1),
        IFERROR(VALUE($F157),0) * MAX(0, MIN($F$1, DATE(Initialisatie!$C$5,12,31)) - MAX($F$2, DATE(Initialisatie!$C$5,1,1)) + 1),
        IFERROR(VALUE($G157),0) * MAX(0, MIN($G$1, DATE(Initialisatie!$C$5,12,31)) - MAX($G$2, DATE(Initialisatie!$C$5,1,1)) + 1)
    ) / (DATE(Initialisatie!$C$5,12,31) - DATE(Initialisatie!$C$5,1,1) + 1)
)</f>
        <v>6260.6191780821919</v>
      </c>
      <c r="J157">
        <f>IF(
    OR(
        AND(MAX(0, IF(MIN($D$1, DATE(Initialisatie!$C$5,12,31)) &lt; MAX($D$2, DATE(Initialisatie!$C$5,1,1)), 0, MONTH(MIN($D$1, DATE(Initialisatie!$C$5,12,31))) - MONTH(MAX($D$2, DATE(Initialisatie!$C$5,1,1))) + 1)) &lt;= 0, IFERROR(VALUE($D157),0)=0),
        AND(MAX(0, IF(MIN($E$1, DATE(Initialisatie!$C$5,12,31)) &lt; MAX($E$2, DATE(Initialisatie!$C$5,1,1)), 0, MONTH(MIN($E$1, DATE(Initialisatie!$C$5,12,31))) - MONTH(MAX($E$2, DATE(Initialisatie!$C$5,1,1))) + 1)) &lt;= 0, IFERROR(VALUE($E157),0)=0),
        AND(MAX(0, IF(MIN($F$1, DATE(Initialisatie!$C$5,12,31)) &lt; MAX($F$2, DATE(Initialisatie!$C$5,1,1)), 0, MONTH(MIN($F$1, DATE(Initialisatie!$C$5,12,31))) - MONTH(MAX($F$2, DATE(Initialisatie!$C$5,1,1))) + 1)) &lt;= 0, IFERROR(VALUE($F157),0)=0),
        AND(MAX(0, IF(MIN($G$1, DATE(Initialisatie!$C$5,12,31)) &lt; MAX($G$2, DATE(Initialisatie!$C$5,1,1)), 0, MONTH(MIN($G$1, DATE(Initialisatie!$C$5,12,31))) - MONTH(MAX($G$2, DATE(Initialisatie!$C$5,1,1))) + 1)) &lt;= 0, IFERROR(VALUE($G157),0)=0)
    ),
    0,
    SUM(
        IFERROR(VALUE($D157),0) * MAX(0, IF(MIN($D$1, DATE(Initialisatie!$C$5,12,31)) &lt; MAX($D$2, DATE(Initialisatie!$C$5,1,1)), 0, MONTH(MIN($D$1, DATE(Initialisatie!$C$5,12,31))) - MONTH(MAX($D$2, DATE(Initialisatie!$C$5,1,1))) + 1)),
        IFERROR(VALUE($E157),0) * MAX(0, IF(MIN($E$1, DATE(Initialisatie!$C$5,12,31)) &lt; MAX($E$2, DATE(Initialisatie!$C$5,1,1)), 0, MONTH(MIN($E$1, DATE(Initialisatie!$C$5,12,31))) - MONTH(MAX($E$2, DATE(Initialisatie!$C$5,1,1))) + 1)),
        IFERROR(VALUE($F157),0) * MAX(0, IF(MIN($F$1, DATE(Initialisatie!$C$5,12,31)) &lt; MAX($F$2, DATE(Initialisatie!$C$5,1,1)), 0, MONTH(MIN($F$1, DATE(Initialisatie!$C$5,12,31))) - MONTH(MAX($F$2, DATE(Initialisatie!$C$5,1,1))) + 1)),
        IFERROR(VALUE($G157),0) * MAX(0, IF(MIN($G$1, DATE(Initialisatie!$C$5,12,31)) &lt; MAX($G$2, DATE(Initialisatie!$C$5,1,1)), 0, MONTH(MIN($G$1, DATE(Initialisatie!$C$5,12,31))) - MONTH(MAX($G$2, DATE(Initialisatie!$C$5,1,1))) + 1))
    ) / 12
)</f>
        <v>6260</v>
      </c>
    </row>
    <row r="158" spans="1:10" x14ac:dyDescent="0.45">
      <c r="A158" s="999"/>
      <c r="B158" s="373">
        <v>9</v>
      </c>
      <c r="C158" s="373">
        <v>54</v>
      </c>
      <c r="D158" s="48">
        <v>6082</v>
      </c>
      <c r="E158" s="48">
        <v>6325</v>
      </c>
      <c r="F158" s="48">
        <v>6452</v>
      </c>
      <c r="G158" s="48">
        <v>6581</v>
      </c>
      <c r="I158">
        <f>IF(
    OR(
        AND(MAX(0, MIN($D$1, DATE(Initialisatie!$C$5,12,31)) - MAX($D$2, DATE(Initialisatie!$C$5,1,1)) + 1) &gt; 0, IFERROR(VALUE($D158),0)=0),
        AND(MAX(0, MIN($E$1, DATE(Initialisatie!$C$5,12,31)) - MAX($E$2, DATE(Initialisatie!$C$5,1,1)) + 1) &gt; 0, IFERROR(VALUE($E158),0)=0),
        AND(MAX(0, MIN($F$1, DATE(Initialisatie!$C$5,12,31)) - MAX($F$2, DATE(Initialisatie!$C$5,1,1)) + 1) &gt; 0, IFERROR(VALUE($F158),0)=0),
        AND(MAX(0, MIN($G$1, DATE(Initialisatie!$C$5,12,31)) - MAX($G$2, DATE(Initialisatie!$C$5,1,1)) + 1) &gt; 0, IFERROR(VALUE($G158),0)=0)
    ),
    0,
    SUM(
        IFERROR(VALUE($D158),0) * MAX(0, MIN($D$1, DATE(Initialisatie!$C$5,12,31)) - MAX($D$2, DATE(Initialisatie!$C$5,1,1)) + 1),
        IFERROR(VALUE($E158),0) * MAX(0, MIN($E$1, DATE(Initialisatie!$C$5,12,31)) - MAX($E$2, DATE(Initialisatie!$C$5,1,1)) + 1),
        IFERROR(VALUE($F158),0) * MAX(0, MIN($F$1, DATE(Initialisatie!$C$5,12,31)) - MAX($F$2, DATE(Initialisatie!$C$5,1,1)) + 1),
        IFERROR(VALUE($G158),0) * MAX(0, MIN($G$1, DATE(Initialisatie!$C$5,12,31)) - MAX($G$2, DATE(Initialisatie!$C$5,1,1)) + 1)
    ) / (DATE(Initialisatie!$C$5,12,31) - DATE(Initialisatie!$C$5,1,1) + 1)
)</f>
        <v>6431.8054794520549</v>
      </c>
      <c r="J158">
        <f>IF(
    OR(
        AND(MAX(0, IF(MIN($D$1, DATE(Initialisatie!$C$5,12,31)) &lt; MAX($D$2, DATE(Initialisatie!$C$5,1,1)), 0, MONTH(MIN($D$1, DATE(Initialisatie!$C$5,12,31))) - MONTH(MAX($D$2, DATE(Initialisatie!$C$5,1,1))) + 1)) &lt;= 0, IFERROR(VALUE($D158),0)=0),
        AND(MAX(0, IF(MIN($E$1, DATE(Initialisatie!$C$5,12,31)) &lt; MAX($E$2, DATE(Initialisatie!$C$5,1,1)), 0, MONTH(MIN($E$1, DATE(Initialisatie!$C$5,12,31))) - MONTH(MAX($E$2, DATE(Initialisatie!$C$5,1,1))) + 1)) &lt;= 0, IFERROR(VALUE($E158),0)=0),
        AND(MAX(0, IF(MIN($F$1, DATE(Initialisatie!$C$5,12,31)) &lt; MAX($F$2, DATE(Initialisatie!$C$5,1,1)), 0, MONTH(MIN($F$1, DATE(Initialisatie!$C$5,12,31))) - MONTH(MAX($F$2, DATE(Initialisatie!$C$5,1,1))) + 1)) &lt;= 0, IFERROR(VALUE($F158),0)=0),
        AND(MAX(0, IF(MIN($G$1, DATE(Initialisatie!$C$5,12,31)) &lt; MAX($G$2, DATE(Initialisatie!$C$5,1,1)), 0, MONTH(MIN($G$1, DATE(Initialisatie!$C$5,12,31))) - MONTH(MAX($G$2, DATE(Initialisatie!$C$5,1,1))) + 1)) &lt;= 0, IFERROR(VALUE($G158),0)=0)
    ),
    0,
    SUM(
        IFERROR(VALUE($D158),0) * MAX(0, IF(MIN($D$1, DATE(Initialisatie!$C$5,12,31)) &lt; MAX($D$2, DATE(Initialisatie!$C$5,1,1)), 0, MONTH(MIN($D$1, DATE(Initialisatie!$C$5,12,31))) - MONTH(MAX($D$2, DATE(Initialisatie!$C$5,1,1))) + 1)),
        IFERROR(VALUE($E158),0) * MAX(0, IF(MIN($E$1, DATE(Initialisatie!$C$5,12,31)) &lt; MAX($E$2, DATE(Initialisatie!$C$5,1,1)), 0, MONTH(MIN($E$1, DATE(Initialisatie!$C$5,12,31))) - MONTH(MAX($E$2, DATE(Initialisatie!$C$5,1,1))) + 1)),
        IFERROR(VALUE($F158),0) * MAX(0, IF(MIN($F$1, DATE(Initialisatie!$C$5,12,31)) &lt; MAX($F$2, DATE(Initialisatie!$C$5,1,1)), 0, MONTH(MIN($F$1, DATE(Initialisatie!$C$5,12,31))) - MONTH(MAX($F$2, DATE(Initialisatie!$C$5,1,1))) + 1)),
        IFERROR(VALUE($G158),0) * MAX(0, IF(MIN($G$1, DATE(Initialisatie!$C$5,12,31)) &lt; MAX($G$2, DATE(Initialisatie!$C$5,1,1)), 0, MONTH(MIN($G$1, DATE(Initialisatie!$C$5,12,31))) - MONTH(MAX($G$2, DATE(Initialisatie!$C$5,1,1))) + 1))
    ) / 12
)</f>
        <v>6431.166666666667</v>
      </c>
    </row>
    <row r="159" spans="1:10" x14ac:dyDescent="0.45">
      <c r="A159" s="999"/>
      <c r="B159" s="372">
        <v>10</v>
      </c>
      <c r="C159" s="373">
        <v>56</v>
      </c>
      <c r="D159" s="48">
        <v>6251</v>
      </c>
      <c r="E159" s="48">
        <v>6501</v>
      </c>
      <c r="F159" s="48">
        <v>6631</v>
      </c>
      <c r="G159" s="48">
        <v>6764</v>
      </c>
      <c r="I159">
        <f>IF(
    OR(
        AND(MAX(0, MIN($D$1, DATE(Initialisatie!$C$5,12,31)) - MAX($D$2, DATE(Initialisatie!$C$5,1,1)) + 1) &gt; 0, IFERROR(VALUE($D159),0)=0),
        AND(MAX(0, MIN($E$1, DATE(Initialisatie!$C$5,12,31)) - MAX($E$2, DATE(Initialisatie!$C$5,1,1)) + 1) &gt; 0, IFERROR(VALUE($E159),0)=0),
        AND(MAX(0, MIN($F$1, DATE(Initialisatie!$C$5,12,31)) - MAX($F$2, DATE(Initialisatie!$C$5,1,1)) + 1) &gt; 0, IFERROR(VALUE($F159),0)=0),
        AND(MAX(0, MIN($G$1, DATE(Initialisatie!$C$5,12,31)) - MAX($G$2, DATE(Initialisatie!$C$5,1,1)) + 1) &gt; 0, IFERROR(VALUE($G159),0)=0)
    ),
    0,
    SUM(
        IFERROR(VALUE($D159),0) * MAX(0, MIN($D$1, DATE(Initialisatie!$C$5,12,31)) - MAX($D$2, DATE(Initialisatie!$C$5,1,1)) + 1),
        IFERROR(VALUE($E159),0) * MAX(0, MIN($E$1, DATE(Initialisatie!$C$5,12,31)) - MAX($E$2, DATE(Initialisatie!$C$5,1,1)) + 1),
        IFERROR(VALUE($F159),0) * MAX(0, MIN($F$1, DATE(Initialisatie!$C$5,12,31)) - MAX($F$2, DATE(Initialisatie!$C$5,1,1)) + 1),
        IFERROR(VALUE($G159),0) * MAX(0, MIN($G$1, DATE(Initialisatie!$C$5,12,31)) - MAX($G$2, DATE(Initialisatie!$C$5,1,1)) + 1)
    ) / (DATE(Initialisatie!$C$5,12,31) - DATE(Initialisatie!$C$5,1,1) + 1)
)</f>
        <v>6610.4876712328769</v>
      </c>
      <c r="J159">
        <f>IF(
    OR(
        AND(MAX(0, IF(MIN($D$1, DATE(Initialisatie!$C$5,12,31)) &lt; MAX($D$2, DATE(Initialisatie!$C$5,1,1)), 0, MONTH(MIN($D$1, DATE(Initialisatie!$C$5,12,31))) - MONTH(MAX($D$2, DATE(Initialisatie!$C$5,1,1))) + 1)) &lt;= 0, IFERROR(VALUE($D159),0)=0),
        AND(MAX(0, IF(MIN($E$1, DATE(Initialisatie!$C$5,12,31)) &lt; MAX($E$2, DATE(Initialisatie!$C$5,1,1)), 0, MONTH(MIN($E$1, DATE(Initialisatie!$C$5,12,31))) - MONTH(MAX($E$2, DATE(Initialisatie!$C$5,1,1))) + 1)) &lt;= 0, IFERROR(VALUE($E159),0)=0),
        AND(MAX(0, IF(MIN($F$1, DATE(Initialisatie!$C$5,12,31)) &lt; MAX($F$2, DATE(Initialisatie!$C$5,1,1)), 0, MONTH(MIN($F$1, DATE(Initialisatie!$C$5,12,31))) - MONTH(MAX($F$2, DATE(Initialisatie!$C$5,1,1))) + 1)) &lt;= 0, IFERROR(VALUE($F159),0)=0),
        AND(MAX(0, IF(MIN($G$1, DATE(Initialisatie!$C$5,12,31)) &lt; MAX($G$2, DATE(Initialisatie!$C$5,1,1)), 0, MONTH(MIN($G$1, DATE(Initialisatie!$C$5,12,31))) - MONTH(MAX($G$2, DATE(Initialisatie!$C$5,1,1))) + 1)) &lt;= 0, IFERROR(VALUE($G159),0)=0)
    ),
    0,
    SUM(
        IFERROR(VALUE($D159),0) * MAX(0, IF(MIN($D$1, DATE(Initialisatie!$C$5,12,31)) &lt; MAX($D$2, DATE(Initialisatie!$C$5,1,1)), 0, MONTH(MIN($D$1, DATE(Initialisatie!$C$5,12,31))) - MONTH(MAX($D$2, DATE(Initialisatie!$C$5,1,1))) + 1)),
        IFERROR(VALUE($E159),0) * MAX(0, IF(MIN($E$1, DATE(Initialisatie!$C$5,12,31)) &lt; MAX($E$2, DATE(Initialisatie!$C$5,1,1)), 0, MONTH(MIN($E$1, DATE(Initialisatie!$C$5,12,31))) - MONTH(MAX($E$2, DATE(Initialisatie!$C$5,1,1))) + 1)),
        IFERROR(VALUE($F159),0) * MAX(0, IF(MIN($F$1, DATE(Initialisatie!$C$5,12,31)) &lt; MAX($F$2, DATE(Initialisatie!$C$5,1,1)), 0, MONTH(MIN($F$1, DATE(Initialisatie!$C$5,12,31))) - MONTH(MAX($F$2, DATE(Initialisatie!$C$5,1,1))) + 1)),
        IFERROR(VALUE($G159),0) * MAX(0, IF(MIN($G$1, DATE(Initialisatie!$C$5,12,31)) &lt; MAX($G$2, DATE(Initialisatie!$C$5,1,1)), 0, MONTH(MIN($G$1, DATE(Initialisatie!$C$5,12,31))) - MONTH(MAX($G$2, DATE(Initialisatie!$C$5,1,1))) + 1))
    ) / 12
)</f>
        <v>6609.833333333333</v>
      </c>
    </row>
    <row r="160" spans="1:10" x14ac:dyDescent="0.45">
      <c r="A160" s="999"/>
      <c r="B160" s="373">
        <v>11</v>
      </c>
      <c r="C160" s="373">
        <v>57</v>
      </c>
      <c r="D160" s="48">
        <v>6329</v>
      </c>
      <c r="E160" s="48">
        <v>6582</v>
      </c>
      <c r="F160" s="48">
        <v>6714</v>
      </c>
      <c r="G160" s="48">
        <v>6848</v>
      </c>
      <c r="I160">
        <f>IF(
    OR(
        AND(MAX(0, MIN($D$1, DATE(Initialisatie!$C$5,12,31)) - MAX($D$2, DATE(Initialisatie!$C$5,1,1)) + 1) &gt; 0, IFERROR(VALUE($D160),0)=0),
        AND(MAX(0, MIN($E$1, DATE(Initialisatie!$C$5,12,31)) - MAX($E$2, DATE(Initialisatie!$C$5,1,1)) + 1) &gt; 0, IFERROR(VALUE($E160),0)=0),
        AND(MAX(0, MIN($F$1, DATE(Initialisatie!$C$5,12,31)) - MAX($F$2, DATE(Initialisatie!$C$5,1,1)) + 1) &gt; 0, IFERROR(VALUE($F160),0)=0),
        AND(MAX(0, MIN($G$1, DATE(Initialisatie!$C$5,12,31)) - MAX($G$2, DATE(Initialisatie!$C$5,1,1)) + 1) &gt; 0, IFERROR(VALUE($G160),0)=0)
    ),
    0,
    SUM(
        IFERROR(VALUE($D160),0) * MAX(0, MIN($D$1, DATE(Initialisatie!$C$5,12,31)) - MAX($D$2, DATE(Initialisatie!$C$5,1,1)) + 1),
        IFERROR(VALUE($E160),0) * MAX(0, MIN($E$1, DATE(Initialisatie!$C$5,12,31)) - MAX($E$2, DATE(Initialisatie!$C$5,1,1)) + 1),
        IFERROR(VALUE($F160),0) * MAX(0, MIN($F$1, DATE(Initialisatie!$C$5,12,31)) - MAX($F$2, DATE(Initialisatie!$C$5,1,1)) + 1),
        IFERROR(VALUE($G160),0) * MAX(0, MIN($G$1, DATE(Initialisatie!$C$5,12,31)) - MAX($G$2, DATE(Initialisatie!$C$5,1,1)) + 1)
    ) / (DATE(Initialisatie!$C$5,12,31) - DATE(Initialisatie!$C$5,1,1) + 1)
)</f>
        <v>6692.9972602739726</v>
      </c>
      <c r="J160">
        <f>IF(
    OR(
        AND(MAX(0, IF(MIN($D$1, DATE(Initialisatie!$C$5,12,31)) &lt; MAX($D$2, DATE(Initialisatie!$C$5,1,1)), 0, MONTH(MIN($D$1, DATE(Initialisatie!$C$5,12,31))) - MONTH(MAX($D$2, DATE(Initialisatie!$C$5,1,1))) + 1)) &lt;= 0, IFERROR(VALUE($D160),0)=0),
        AND(MAX(0, IF(MIN($E$1, DATE(Initialisatie!$C$5,12,31)) &lt; MAX($E$2, DATE(Initialisatie!$C$5,1,1)), 0, MONTH(MIN($E$1, DATE(Initialisatie!$C$5,12,31))) - MONTH(MAX($E$2, DATE(Initialisatie!$C$5,1,1))) + 1)) &lt;= 0, IFERROR(VALUE($E160),0)=0),
        AND(MAX(0, IF(MIN($F$1, DATE(Initialisatie!$C$5,12,31)) &lt; MAX($F$2, DATE(Initialisatie!$C$5,1,1)), 0, MONTH(MIN($F$1, DATE(Initialisatie!$C$5,12,31))) - MONTH(MAX($F$2, DATE(Initialisatie!$C$5,1,1))) + 1)) &lt;= 0, IFERROR(VALUE($F160),0)=0),
        AND(MAX(0, IF(MIN($G$1, DATE(Initialisatie!$C$5,12,31)) &lt; MAX($G$2, DATE(Initialisatie!$C$5,1,1)), 0, MONTH(MIN($G$1, DATE(Initialisatie!$C$5,12,31))) - MONTH(MAX($G$2, DATE(Initialisatie!$C$5,1,1))) + 1)) &lt;= 0, IFERROR(VALUE($G160),0)=0)
    ),
    0,
    SUM(
        IFERROR(VALUE($D160),0) * MAX(0, IF(MIN($D$1, DATE(Initialisatie!$C$5,12,31)) &lt; MAX($D$2, DATE(Initialisatie!$C$5,1,1)), 0, MONTH(MIN($D$1, DATE(Initialisatie!$C$5,12,31))) - MONTH(MAX($D$2, DATE(Initialisatie!$C$5,1,1))) + 1)),
        IFERROR(VALUE($E160),0) * MAX(0, IF(MIN($E$1, DATE(Initialisatie!$C$5,12,31)) &lt; MAX($E$2, DATE(Initialisatie!$C$5,1,1)), 0, MONTH(MIN($E$1, DATE(Initialisatie!$C$5,12,31))) - MONTH(MAX($E$2, DATE(Initialisatie!$C$5,1,1))) + 1)),
        IFERROR(VALUE($F160),0) * MAX(0, IF(MIN($F$1, DATE(Initialisatie!$C$5,12,31)) &lt; MAX($F$2, DATE(Initialisatie!$C$5,1,1)), 0, MONTH(MIN($F$1, DATE(Initialisatie!$C$5,12,31))) - MONTH(MAX($F$2, DATE(Initialisatie!$C$5,1,1))) + 1)),
        IFERROR(VALUE($G160),0) * MAX(0, IF(MIN($G$1, DATE(Initialisatie!$C$5,12,31)) &lt; MAX($G$2, DATE(Initialisatie!$C$5,1,1)), 0, MONTH(MIN($G$1, DATE(Initialisatie!$C$5,12,31))) - MONTH(MAX($G$2, DATE(Initialisatie!$C$5,1,1))) + 1))
    ) / 12
)</f>
        <v>6692.333333333333</v>
      </c>
    </row>
    <row r="161" spans="1:10" x14ac:dyDescent="0.45">
      <c r="A161" s="999"/>
      <c r="B161" s="373">
        <v>12</v>
      </c>
      <c r="C161" s="373">
        <v>58</v>
      </c>
      <c r="D161" s="48">
        <v>6414</v>
      </c>
      <c r="E161" s="48">
        <v>6671</v>
      </c>
      <c r="F161" s="48">
        <v>6804</v>
      </c>
      <c r="G161" s="48">
        <v>6940</v>
      </c>
      <c r="I161">
        <f>IF(
    OR(
        AND(MAX(0, MIN($D$1, DATE(Initialisatie!$C$5,12,31)) - MAX($D$2, DATE(Initialisatie!$C$5,1,1)) + 1) &gt; 0, IFERROR(VALUE($D161),0)=0),
        AND(MAX(0, MIN($E$1, DATE(Initialisatie!$C$5,12,31)) - MAX($E$2, DATE(Initialisatie!$C$5,1,1)) + 1) &gt; 0, IFERROR(VALUE($E161),0)=0),
        AND(MAX(0, MIN($F$1, DATE(Initialisatie!$C$5,12,31)) - MAX($F$2, DATE(Initialisatie!$C$5,1,1)) + 1) &gt; 0, IFERROR(VALUE($F161),0)=0),
        AND(MAX(0, MIN($G$1, DATE(Initialisatie!$C$5,12,31)) - MAX($G$2, DATE(Initialisatie!$C$5,1,1)) + 1) &gt; 0, IFERROR(VALUE($G161),0)=0)
    ),
    0,
    SUM(
        IFERROR(VALUE($D161),0) * MAX(0, MIN($D$1, DATE(Initialisatie!$C$5,12,31)) - MAX($D$2, DATE(Initialisatie!$C$5,1,1)) + 1),
        IFERROR(VALUE($E161),0) * MAX(0, MIN($E$1, DATE(Initialisatie!$C$5,12,31)) - MAX($E$2, DATE(Initialisatie!$C$5,1,1)) + 1),
        IFERROR(VALUE($F161),0) * MAX(0, MIN($F$1, DATE(Initialisatie!$C$5,12,31)) - MAX($F$2, DATE(Initialisatie!$C$5,1,1)) + 1),
        IFERROR(VALUE($G161),0) * MAX(0, MIN($G$1, DATE(Initialisatie!$C$5,12,31)) - MAX($G$2, DATE(Initialisatie!$C$5,1,1)) + 1)
    ) / (DATE(Initialisatie!$C$5,12,31) - DATE(Initialisatie!$C$5,1,1) + 1)
)</f>
        <v>6783.0027397260274</v>
      </c>
      <c r="J161">
        <f>IF(
    OR(
        AND(MAX(0, IF(MIN($D$1, DATE(Initialisatie!$C$5,12,31)) &lt; MAX($D$2, DATE(Initialisatie!$C$5,1,1)), 0, MONTH(MIN($D$1, DATE(Initialisatie!$C$5,12,31))) - MONTH(MAX($D$2, DATE(Initialisatie!$C$5,1,1))) + 1)) &lt;= 0, IFERROR(VALUE($D161),0)=0),
        AND(MAX(0, IF(MIN($E$1, DATE(Initialisatie!$C$5,12,31)) &lt; MAX($E$2, DATE(Initialisatie!$C$5,1,1)), 0, MONTH(MIN($E$1, DATE(Initialisatie!$C$5,12,31))) - MONTH(MAX($E$2, DATE(Initialisatie!$C$5,1,1))) + 1)) &lt;= 0, IFERROR(VALUE($E161),0)=0),
        AND(MAX(0, IF(MIN($F$1, DATE(Initialisatie!$C$5,12,31)) &lt; MAX($F$2, DATE(Initialisatie!$C$5,1,1)), 0, MONTH(MIN($F$1, DATE(Initialisatie!$C$5,12,31))) - MONTH(MAX($F$2, DATE(Initialisatie!$C$5,1,1))) + 1)) &lt;= 0, IFERROR(VALUE($F161),0)=0),
        AND(MAX(0, IF(MIN($G$1, DATE(Initialisatie!$C$5,12,31)) &lt; MAX($G$2, DATE(Initialisatie!$C$5,1,1)), 0, MONTH(MIN($G$1, DATE(Initialisatie!$C$5,12,31))) - MONTH(MAX($G$2, DATE(Initialisatie!$C$5,1,1))) + 1)) &lt;= 0, IFERROR(VALUE($G161),0)=0)
    ),
    0,
    SUM(
        IFERROR(VALUE($D161),0) * MAX(0, IF(MIN($D$1, DATE(Initialisatie!$C$5,12,31)) &lt; MAX($D$2, DATE(Initialisatie!$C$5,1,1)), 0, MONTH(MIN($D$1, DATE(Initialisatie!$C$5,12,31))) - MONTH(MAX($D$2, DATE(Initialisatie!$C$5,1,1))) + 1)),
        IFERROR(VALUE($E161),0) * MAX(0, IF(MIN($E$1, DATE(Initialisatie!$C$5,12,31)) &lt; MAX($E$2, DATE(Initialisatie!$C$5,1,1)), 0, MONTH(MIN($E$1, DATE(Initialisatie!$C$5,12,31))) - MONTH(MAX($E$2, DATE(Initialisatie!$C$5,1,1))) + 1)),
        IFERROR(VALUE($F161),0) * MAX(0, IF(MIN($F$1, DATE(Initialisatie!$C$5,12,31)) &lt; MAX($F$2, DATE(Initialisatie!$C$5,1,1)), 0, MONTH(MIN($F$1, DATE(Initialisatie!$C$5,12,31))) - MONTH(MAX($F$2, DATE(Initialisatie!$C$5,1,1))) + 1)),
        IFERROR(VALUE($G161),0) * MAX(0, IF(MIN($G$1, DATE(Initialisatie!$C$5,12,31)) &lt; MAX($G$2, DATE(Initialisatie!$C$5,1,1)), 0, MONTH(MIN($G$1, DATE(Initialisatie!$C$5,12,31))) - MONTH(MAX($G$2, DATE(Initialisatie!$C$5,1,1))) + 1))
    ) / 12
)</f>
        <v>6782.333333333333</v>
      </c>
    </row>
    <row r="162" spans="1:10" x14ac:dyDescent="0.45">
      <c r="A162" s="999"/>
      <c r="B162" s="373">
        <v>13</v>
      </c>
      <c r="C162" s="373">
        <v>59</v>
      </c>
      <c r="D162" s="48">
        <v>6495</v>
      </c>
      <c r="E162" s="48">
        <v>6755</v>
      </c>
      <c r="F162" s="48">
        <v>6890</v>
      </c>
      <c r="G162" s="48">
        <v>7028</v>
      </c>
      <c r="I162">
        <f>IF(
    OR(
        AND(MAX(0, MIN($D$1, DATE(Initialisatie!$C$5,12,31)) - MAX($D$2, DATE(Initialisatie!$C$5,1,1)) + 1) &gt; 0, IFERROR(VALUE($D162),0)=0),
        AND(MAX(0, MIN($E$1, DATE(Initialisatie!$C$5,12,31)) - MAX($E$2, DATE(Initialisatie!$C$5,1,1)) + 1) &gt; 0, IFERROR(VALUE($E162),0)=0),
        AND(MAX(0, MIN($F$1, DATE(Initialisatie!$C$5,12,31)) - MAX($F$2, DATE(Initialisatie!$C$5,1,1)) + 1) &gt; 0, IFERROR(VALUE($F162),0)=0),
        AND(MAX(0, MIN($G$1, DATE(Initialisatie!$C$5,12,31)) - MAX($G$2, DATE(Initialisatie!$C$5,1,1)) + 1) &gt; 0, IFERROR(VALUE($G162),0)=0)
    ),
    0,
    SUM(
        IFERROR(VALUE($D162),0) * MAX(0, MIN($D$1, DATE(Initialisatie!$C$5,12,31)) - MAX($D$2, DATE(Initialisatie!$C$5,1,1)) + 1),
        IFERROR(VALUE($E162),0) * MAX(0, MIN($E$1, DATE(Initialisatie!$C$5,12,31)) - MAX($E$2, DATE(Initialisatie!$C$5,1,1)) + 1),
        IFERROR(VALUE($F162),0) * MAX(0, MIN($F$1, DATE(Initialisatie!$C$5,12,31)) - MAX($F$2, DATE(Initialisatie!$C$5,1,1)) + 1),
        IFERROR(VALUE($G162),0) * MAX(0, MIN($G$1, DATE(Initialisatie!$C$5,12,31)) - MAX($G$2, DATE(Initialisatie!$C$5,1,1)) + 1)
    ) / (DATE(Initialisatie!$C$5,12,31) - DATE(Initialisatie!$C$5,1,1) + 1)
)</f>
        <v>6868.6794520547946</v>
      </c>
      <c r="J162">
        <f>IF(
    OR(
        AND(MAX(0, IF(MIN($D$1, DATE(Initialisatie!$C$5,12,31)) &lt; MAX($D$2, DATE(Initialisatie!$C$5,1,1)), 0, MONTH(MIN($D$1, DATE(Initialisatie!$C$5,12,31))) - MONTH(MAX($D$2, DATE(Initialisatie!$C$5,1,1))) + 1)) &lt;= 0, IFERROR(VALUE($D162),0)=0),
        AND(MAX(0, IF(MIN($E$1, DATE(Initialisatie!$C$5,12,31)) &lt; MAX($E$2, DATE(Initialisatie!$C$5,1,1)), 0, MONTH(MIN($E$1, DATE(Initialisatie!$C$5,12,31))) - MONTH(MAX($E$2, DATE(Initialisatie!$C$5,1,1))) + 1)) &lt;= 0, IFERROR(VALUE($E162),0)=0),
        AND(MAX(0, IF(MIN($F$1, DATE(Initialisatie!$C$5,12,31)) &lt; MAX($F$2, DATE(Initialisatie!$C$5,1,1)), 0, MONTH(MIN($F$1, DATE(Initialisatie!$C$5,12,31))) - MONTH(MAX($F$2, DATE(Initialisatie!$C$5,1,1))) + 1)) &lt;= 0, IFERROR(VALUE($F162),0)=0),
        AND(MAX(0, IF(MIN($G$1, DATE(Initialisatie!$C$5,12,31)) &lt; MAX($G$2, DATE(Initialisatie!$C$5,1,1)), 0, MONTH(MIN($G$1, DATE(Initialisatie!$C$5,12,31))) - MONTH(MAX($G$2, DATE(Initialisatie!$C$5,1,1))) + 1)) &lt;= 0, IFERROR(VALUE($G162),0)=0)
    ),
    0,
    SUM(
        IFERROR(VALUE($D162),0) * MAX(0, IF(MIN($D$1, DATE(Initialisatie!$C$5,12,31)) &lt; MAX($D$2, DATE(Initialisatie!$C$5,1,1)), 0, MONTH(MIN($D$1, DATE(Initialisatie!$C$5,12,31))) - MONTH(MAX($D$2, DATE(Initialisatie!$C$5,1,1))) + 1)),
        IFERROR(VALUE($E162),0) * MAX(0, IF(MIN($E$1, DATE(Initialisatie!$C$5,12,31)) &lt; MAX($E$2, DATE(Initialisatie!$C$5,1,1)), 0, MONTH(MIN($E$1, DATE(Initialisatie!$C$5,12,31))) - MONTH(MAX($E$2, DATE(Initialisatie!$C$5,1,1))) + 1)),
        IFERROR(VALUE($F162),0) * MAX(0, IF(MIN($F$1, DATE(Initialisatie!$C$5,12,31)) &lt; MAX($F$2, DATE(Initialisatie!$C$5,1,1)), 0, MONTH(MIN($F$1, DATE(Initialisatie!$C$5,12,31))) - MONTH(MAX($F$2, DATE(Initialisatie!$C$5,1,1))) + 1)),
        IFERROR(VALUE($G162),0) * MAX(0, IF(MIN($G$1, DATE(Initialisatie!$C$5,12,31)) &lt; MAX($G$2, DATE(Initialisatie!$C$5,1,1)), 0, MONTH(MIN($G$1, DATE(Initialisatie!$C$5,12,31))) - MONTH(MAX($G$2, DATE(Initialisatie!$C$5,1,1))) + 1))
    ) / 12
)</f>
        <v>6868</v>
      </c>
    </row>
    <row r="163" spans="1:10" x14ac:dyDescent="0.45">
      <c r="A163" s="999"/>
      <c r="B163" s="373">
        <v>14</v>
      </c>
      <c r="C163" s="373">
        <v>60</v>
      </c>
      <c r="D163" s="48">
        <v>6575</v>
      </c>
      <c r="E163" s="48">
        <v>6838</v>
      </c>
      <c r="F163" s="48">
        <v>6975</v>
      </c>
      <c r="G163" s="48">
        <v>7115</v>
      </c>
      <c r="I163">
        <f>IF(
    OR(
        AND(MAX(0, MIN($D$1, DATE(Initialisatie!$C$5,12,31)) - MAX($D$2, DATE(Initialisatie!$C$5,1,1)) + 1) &gt; 0, IFERROR(VALUE($D163),0)=0),
        AND(MAX(0, MIN($E$1, DATE(Initialisatie!$C$5,12,31)) - MAX($E$2, DATE(Initialisatie!$C$5,1,1)) + 1) &gt; 0, IFERROR(VALUE($E163),0)=0),
        AND(MAX(0, MIN($F$1, DATE(Initialisatie!$C$5,12,31)) - MAX($F$2, DATE(Initialisatie!$C$5,1,1)) + 1) &gt; 0, IFERROR(VALUE($F163),0)=0),
        AND(MAX(0, MIN($G$1, DATE(Initialisatie!$C$5,12,31)) - MAX($G$2, DATE(Initialisatie!$C$5,1,1)) + 1) &gt; 0, IFERROR(VALUE($G163),0)=0)
    ),
    0,
    SUM(
        IFERROR(VALUE($D163),0) * MAX(0, MIN($D$1, DATE(Initialisatie!$C$5,12,31)) - MAX($D$2, DATE(Initialisatie!$C$5,1,1)) + 1),
        IFERROR(VALUE($E163),0) * MAX(0, MIN($E$1, DATE(Initialisatie!$C$5,12,31)) - MAX($E$2, DATE(Initialisatie!$C$5,1,1)) + 1),
        IFERROR(VALUE($F163),0) * MAX(0, MIN($F$1, DATE(Initialisatie!$C$5,12,31)) - MAX($F$2, DATE(Initialisatie!$C$5,1,1)) + 1),
        IFERROR(VALUE($G163),0) * MAX(0, MIN($G$1, DATE(Initialisatie!$C$5,12,31)) - MAX($G$2, DATE(Initialisatie!$C$5,1,1)) + 1)
    ) / (DATE(Initialisatie!$C$5,12,31) - DATE(Initialisatie!$C$5,1,1) + 1)
)</f>
        <v>6953.3561643835619</v>
      </c>
      <c r="J163">
        <f>IF(
    OR(
        AND(MAX(0, IF(MIN($D$1, DATE(Initialisatie!$C$5,12,31)) &lt; MAX($D$2, DATE(Initialisatie!$C$5,1,1)), 0, MONTH(MIN($D$1, DATE(Initialisatie!$C$5,12,31))) - MONTH(MAX($D$2, DATE(Initialisatie!$C$5,1,1))) + 1)) &lt;= 0, IFERROR(VALUE($D163),0)=0),
        AND(MAX(0, IF(MIN($E$1, DATE(Initialisatie!$C$5,12,31)) &lt; MAX($E$2, DATE(Initialisatie!$C$5,1,1)), 0, MONTH(MIN($E$1, DATE(Initialisatie!$C$5,12,31))) - MONTH(MAX($E$2, DATE(Initialisatie!$C$5,1,1))) + 1)) &lt;= 0, IFERROR(VALUE($E163),0)=0),
        AND(MAX(0, IF(MIN($F$1, DATE(Initialisatie!$C$5,12,31)) &lt; MAX($F$2, DATE(Initialisatie!$C$5,1,1)), 0, MONTH(MIN($F$1, DATE(Initialisatie!$C$5,12,31))) - MONTH(MAX($F$2, DATE(Initialisatie!$C$5,1,1))) + 1)) &lt;= 0, IFERROR(VALUE($F163),0)=0),
        AND(MAX(0, IF(MIN($G$1, DATE(Initialisatie!$C$5,12,31)) &lt; MAX($G$2, DATE(Initialisatie!$C$5,1,1)), 0, MONTH(MIN($G$1, DATE(Initialisatie!$C$5,12,31))) - MONTH(MAX($G$2, DATE(Initialisatie!$C$5,1,1))) + 1)) &lt;= 0, IFERROR(VALUE($G163),0)=0)
    ),
    0,
    SUM(
        IFERROR(VALUE($D163),0) * MAX(0, IF(MIN($D$1, DATE(Initialisatie!$C$5,12,31)) &lt; MAX($D$2, DATE(Initialisatie!$C$5,1,1)), 0, MONTH(MIN($D$1, DATE(Initialisatie!$C$5,12,31))) - MONTH(MAX($D$2, DATE(Initialisatie!$C$5,1,1))) + 1)),
        IFERROR(VALUE($E163),0) * MAX(0, IF(MIN($E$1, DATE(Initialisatie!$C$5,12,31)) &lt; MAX($E$2, DATE(Initialisatie!$C$5,1,1)), 0, MONTH(MIN($E$1, DATE(Initialisatie!$C$5,12,31))) - MONTH(MAX($E$2, DATE(Initialisatie!$C$5,1,1))) + 1)),
        IFERROR(VALUE($F163),0) * MAX(0, IF(MIN($F$1, DATE(Initialisatie!$C$5,12,31)) &lt; MAX($F$2, DATE(Initialisatie!$C$5,1,1)), 0, MONTH(MIN($F$1, DATE(Initialisatie!$C$5,12,31))) - MONTH(MAX($F$2, DATE(Initialisatie!$C$5,1,1))) + 1)),
        IFERROR(VALUE($G163),0) * MAX(0, IF(MIN($G$1, DATE(Initialisatie!$C$5,12,31)) &lt; MAX($G$2, DATE(Initialisatie!$C$5,1,1)), 0, MONTH(MIN($G$1, DATE(Initialisatie!$C$5,12,31))) - MONTH(MAX($G$2, DATE(Initialisatie!$C$5,1,1))) + 1))
    ) / 12
)</f>
        <v>6952.666666666667</v>
      </c>
    </row>
    <row r="164" spans="1:10" x14ac:dyDescent="0.45">
      <c r="A164" s="999">
        <v>70</v>
      </c>
      <c r="B164" s="373">
        <v>0</v>
      </c>
      <c r="C164" s="373">
        <v>44</v>
      </c>
      <c r="D164" s="48">
        <v>5267</v>
      </c>
      <c r="E164" s="48">
        <v>5478</v>
      </c>
      <c r="F164" s="48">
        <v>5588</v>
      </c>
      <c r="G164" s="48">
        <v>5700</v>
      </c>
      <c r="I164">
        <f>IF(
    OR(
        AND(MAX(0, MIN($D$1, DATE(Initialisatie!$C$5,12,31)) - MAX($D$2, DATE(Initialisatie!$C$5,1,1)) + 1) &gt; 0, IFERROR(VALUE($D164),0)=0),
        AND(MAX(0, MIN($E$1, DATE(Initialisatie!$C$5,12,31)) - MAX($E$2, DATE(Initialisatie!$C$5,1,1)) + 1) &gt; 0, IFERROR(VALUE($E164),0)=0),
        AND(MAX(0, MIN($F$1, DATE(Initialisatie!$C$5,12,31)) - MAX($F$2, DATE(Initialisatie!$C$5,1,1)) + 1) &gt; 0, IFERROR(VALUE($F164),0)=0),
        AND(MAX(0, MIN($G$1, DATE(Initialisatie!$C$5,12,31)) - MAX($G$2, DATE(Initialisatie!$C$5,1,1)) + 1) &gt; 0, IFERROR(VALUE($G164),0)=0)
    ),
    0,
    SUM(
        IFERROR(VALUE($D164),0) * MAX(0, MIN($D$1, DATE(Initialisatie!$C$5,12,31)) - MAX($D$2, DATE(Initialisatie!$C$5,1,1)) + 1),
        IFERROR(VALUE($E164),0) * MAX(0, MIN($E$1, DATE(Initialisatie!$C$5,12,31)) - MAX($E$2, DATE(Initialisatie!$C$5,1,1)) + 1),
        IFERROR(VALUE($F164),0) * MAX(0, MIN($F$1, DATE(Initialisatie!$C$5,12,31)) - MAX($F$2, DATE(Initialisatie!$C$5,1,1)) + 1),
        IFERROR(VALUE($G164),0) * MAX(0, MIN($G$1, DATE(Initialisatie!$C$5,12,31)) - MAX($G$2, DATE(Initialisatie!$C$5,1,1)) + 1)
    ) / (DATE(Initialisatie!$C$5,12,31) - DATE(Initialisatie!$C$5,1,1) + 1)
)</f>
        <v>5570.5534246575344</v>
      </c>
      <c r="J164">
        <f>IF(
    OR(
        AND(MAX(0, IF(MIN($D$1, DATE(Initialisatie!$C$5,12,31)) &lt; MAX($D$2, DATE(Initialisatie!$C$5,1,1)), 0, MONTH(MIN($D$1, DATE(Initialisatie!$C$5,12,31))) - MONTH(MAX($D$2, DATE(Initialisatie!$C$5,1,1))) + 1)) &lt;= 0, IFERROR(VALUE($D164),0)=0),
        AND(MAX(0, IF(MIN($E$1, DATE(Initialisatie!$C$5,12,31)) &lt; MAX($E$2, DATE(Initialisatie!$C$5,1,1)), 0, MONTH(MIN($E$1, DATE(Initialisatie!$C$5,12,31))) - MONTH(MAX($E$2, DATE(Initialisatie!$C$5,1,1))) + 1)) &lt;= 0, IFERROR(VALUE($E164),0)=0),
        AND(MAX(0, IF(MIN($F$1, DATE(Initialisatie!$C$5,12,31)) &lt; MAX($F$2, DATE(Initialisatie!$C$5,1,1)), 0, MONTH(MIN($F$1, DATE(Initialisatie!$C$5,12,31))) - MONTH(MAX($F$2, DATE(Initialisatie!$C$5,1,1))) + 1)) &lt;= 0, IFERROR(VALUE($F164),0)=0),
        AND(MAX(0, IF(MIN($G$1, DATE(Initialisatie!$C$5,12,31)) &lt; MAX($G$2, DATE(Initialisatie!$C$5,1,1)), 0, MONTH(MIN($G$1, DATE(Initialisatie!$C$5,12,31))) - MONTH(MAX($G$2, DATE(Initialisatie!$C$5,1,1))) + 1)) &lt;= 0, IFERROR(VALUE($G164),0)=0)
    ),
    0,
    SUM(
        IFERROR(VALUE($D164),0) * MAX(0, IF(MIN($D$1, DATE(Initialisatie!$C$5,12,31)) &lt; MAX($D$2, DATE(Initialisatie!$C$5,1,1)), 0, MONTH(MIN($D$1, DATE(Initialisatie!$C$5,12,31))) - MONTH(MAX($D$2, DATE(Initialisatie!$C$5,1,1))) + 1)),
        IFERROR(VALUE($E164),0) * MAX(0, IF(MIN($E$1, DATE(Initialisatie!$C$5,12,31)) &lt; MAX($E$2, DATE(Initialisatie!$C$5,1,1)), 0, MONTH(MIN($E$1, DATE(Initialisatie!$C$5,12,31))) - MONTH(MAX($E$2, DATE(Initialisatie!$C$5,1,1))) + 1)),
        IFERROR(VALUE($F164),0) * MAX(0, IF(MIN($F$1, DATE(Initialisatie!$C$5,12,31)) &lt; MAX($F$2, DATE(Initialisatie!$C$5,1,1)), 0, MONTH(MIN($F$1, DATE(Initialisatie!$C$5,12,31))) - MONTH(MAX($F$2, DATE(Initialisatie!$C$5,1,1))) + 1)),
        IFERROR(VALUE($G164),0) * MAX(0, IF(MIN($G$1, DATE(Initialisatie!$C$5,12,31)) &lt; MAX($G$2, DATE(Initialisatie!$C$5,1,1)), 0, MONTH(MIN($G$1, DATE(Initialisatie!$C$5,12,31))) - MONTH(MAX($G$2, DATE(Initialisatie!$C$5,1,1))) + 1))
    ) / 12
)</f>
        <v>5570</v>
      </c>
    </row>
    <row r="165" spans="1:10" x14ac:dyDescent="0.45">
      <c r="A165" s="999"/>
      <c r="B165" s="43">
        <v>1</v>
      </c>
      <c r="C165" s="373">
        <v>47</v>
      </c>
      <c r="D165" s="48">
        <v>5508</v>
      </c>
      <c r="E165" s="48">
        <v>5728</v>
      </c>
      <c r="F165" s="48">
        <v>5843</v>
      </c>
      <c r="G165" s="48">
        <v>5960</v>
      </c>
      <c r="I165">
        <f>IF(
    OR(
        AND(MAX(0, MIN($D$1, DATE(Initialisatie!$C$5,12,31)) - MAX($D$2, DATE(Initialisatie!$C$5,1,1)) + 1) &gt; 0, IFERROR(VALUE($D165),0)=0),
        AND(MAX(0, MIN($E$1, DATE(Initialisatie!$C$5,12,31)) - MAX($E$2, DATE(Initialisatie!$C$5,1,1)) + 1) &gt; 0, IFERROR(VALUE($E165),0)=0),
        AND(MAX(0, MIN($F$1, DATE(Initialisatie!$C$5,12,31)) - MAX($F$2, DATE(Initialisatie!$C$5,1,1)) + 1) &gt; 0, IFERROR(VALUE($F165),0)=0),
        AND(MAX(0, MIN($G$1, DATE(Initialisatie!$C$5,12,31)) - MAX($G$2, DATE(Initialisatie!$C$5,1,1)) + 1) &gt; 0, IFERROR(VALUE($G165),0)=0)
    ),
    0,
    SUM(
        IFERROR(VALUE($D165),0) * MAX(0, MIN($D$1, DATE(Initialisatie!$C$5,12,31)) - MAX($D$2, DATE(Initialisatie!$C$5,1,1)) + 1),
        IFERROR(VALUE($E165),0) * MAX(0, MIN($E$1, DATE(Initialisatie!$C$5,12,31)) - MAX($E$2, DATE(Initialisatie!$C$5,1,1)) + 1),
        IFERROR(VALUE($F165),0) * MAX(0, MIN($F$1, DATE(Initialisatie!$C$5,12,31)) - MAX($F$2, DATE(Initialisatie!$C$5,1,1)) + 1),
        IFERROR(VALUE($G165),0) * MAX(0, MIN($G$1, DATE(Initialisatie!$C$5,12,31)) - MAX($G$2, DATE(Initialisatie!$C$5,1,1)) + 1)
    ) / (DATE(Initialisatie!$C$5,12,31) - DATE(Initialisatie!$C$5,1,1) + 1)
)</f>
        <v>5824.7452054794521</v>
      </c>
      <c r="J165">
        <f>IF(
    OR(
        AND(MAX(0, IF(MIN($D$1, DATE(Initialisatie!$C$5,12,31)) &lt; MAX($D$2, DATE(Initialisatie!$C$5,1,1)), 0, MONTH(MIN($D$1, DATE(Initialisatie!$C$5,12,31))) - MONTH(MAX($D$2, DATE(Initialisatie!$C$5,1,1))) + 1)) &lt;= 0, IFERROR(VALUE($D165),0)=0),
        AND(MAX(0, IF(MIN($E$1, DATE(Initialisatie!$C$5,12,31)) &lt; MAX($E$2, DATE(Initialisatie!$C$5,1,1)), 0, MONTH(MIN($E$1, DATE(Initialisatie!$C$5,12,31))) - MONTH(MAX($E$2, DATE(Initialisatie!$C$5,1,1))) + 1)) &lt;= 0, IFERROR(VALUE($E165),0)=0),
        AND(MAX(0, IF(MIN($F$1, DATE(Initialisatie!$C$5,12,31)) &lt; MAX($F$2, DATE(Initialisatie!$C$5,1,1)), 0, MONTH(MIN($F$1, DATE(Initialisatie!$C$5,12,31))) - MONTH(MAX($F$2, DATE(Initialisatie!$C$5,1,1))) + 1)) &lt;= 0, IFERROR(VALUE($F165),0)=0),
        AND(MAX(0, IF(MIN($G$1, DATE(Initialisatie!$C$5,12,31)) &lt; MAX($G$2, DATE(Initialisatie!$C$5,1,1)), 0, MONTH(MIN($G$1, DATE(Initialisatie!$C$5,12,31))) - MONTH(MAX($G$2, DATE(Initialisatie!$C$5,1,1))) + 1)) &lt;= 0, IFERROR(VALUE($G165),0)=0)
    ),
    0,
    SUM(
        IFERROR(VALUE($D165),0) * MAX(0, IF(MIN($D$1, DATE(Initialisatie!$C$5,12,31)) &lt; MAX($D$2, DATE(Initialisatie!$C$5,1,1)), 0, MONTH(MIN($D$1, DATE(Initialisatie!$C$5,12,31))) - MONTH(MAX($D$2, DATE(Initialisatie!$C$5,1,1))) + 1)),
        IFERROR(VALUE($E165),0) * MAX(0, IF(MIN($E$1, DATE(Initialisatie!$C$5,12,31)) &lt; MAX($E$2, DATE(Initialisatie!$C$5,1,1)), 0, MONTH(MIN($E$1, DATE(Initialisatie!$C$5,12,31))) - MONTH(MAX($E$2, DATE(Initialisatie!$C$5,1,1))) + 1)),
        IFERROR(VALUE($F165),0) * MAX(0, IF(MIN($F$1, DATE(Initialisatie!$C$5,12,31)) &lt; MAX($F$2, DATE(Initialisatie!$C$5,1,1)), 0, MONTH(MIN($F$1, DATE(Initialisatie!$C$5,12,31))) - MONTH(MAX($F$2, DATE(Initialisatie!$C$5,1,1))) + 1)),
        IFERROR(VALUE($G165),0) * MAX(0, IF(MIN($G$1, DATE(Initialisatie!$C$5,12,31)) &lt; MAX($G$2, DATE(Initialisatie!$C$5,1,1)), 0, MONTH(MIN($G$1, DATE(Initialisatie!$C$5,12,31))) - MONTH(MAX($G$2, DATE(Initialisatie!$C$5,1,1))) + 1))
    ) / 12
)</f>
        <v>5824.166666666667</v>
      </c>
    </row>
    <row r="166" spans="1:10" x14ac:dyDescent="0.45">
      <c r="A166" s="999"/>
      <c r="B166" s="43">
        <v>2</v>
      </c>
      <c r="C166" s="373">
        <v>50</v>
      </c>
      <c r="D166" s="48">
        <v>5756</v>
      </c>
      <c r="E166" s="48">
        <v>5986</v>
      </c>
      <c r="F166" s="48">
        <v>6106</v>
      </c>
      <c r="G166" s="48">
        <v>6228</v>
      </c>
      <c r="I166">
        <f>IF(
    OR(
        AND(MAX(0, MIN($D$1, DATE(Initialisatie!$C$5,12,31)) - MAX($D$2, DATE(Initialisatie!$C$5,1,1)) + 1) &gt; 0, IFERROR(VALUE($D166),0)=0),
        AND(MAX(0, MIN($E$1, DATE(Initialisatie!$C$5,12,31)) - MAX($E$2, DATE(Initialisatie!$C$5,1,1)) + 1) &gt; 0, IFERROR(VALUE($E166),0)=0),
        AND(MAX(0, MIN($F$1, DATE(Initialisatie!$C$5,12,31)) - MAX($F$2, DATE(Initialisatie!$C$5,1,1)) + 1) &gt; 0, IFERROR(VALUE($F166),0)=0),
        AND(MAX(0, MIN($G$1, DATE(Initialisatie!$C$5,12,31)) - MAX($G$2, DATE(Initialisatie!$C$5,1,1)) + 1) &gt; 0, IFERROR(VALUE($G166),0)=0)
    ),
    0,
    SUM(
        IFERROR(VALUE($D166),0) * MAX(0, MIN($D$1, DATE(Initialisatie!$C$5,12,31)) - MAX($D$2, DATE(Initialisatie!$C$5,1,1)) + 1),
        IFERROR(VALUE($E166),0) * MAX(0, MIN($E$1, DATE(Initialisatie!$C$5,12,31)) - MAX($E$2, DATE(Initialisatie!$C$5,1,1)) + 1),
        IFERROR(VALUE($F166),0) * MAX(0, MIN($F$1, DATE(Initialisatie!$C$5,12,31)) - MAX($F$2, DATE(Initialisatie!$C$5,1,1)) + 1),
        IFERROR(VALUE($G166),0) * MAX(0, MIN($G$1, DATE(Initialisatie!$C$5,12,31)) - MAX($G$2, DATE(Initialisatie!$C$5,1,1)) + 1)
    ) / (DATE(Initialisatie!$C$5,12,31) - DATE(Initialisatie!$C$5,1,1) + 1)
)</f>
        <v>6086.9369863013699</v>
      </c>
      <c r="J166">
        <f>IF(
    OR(
        AND(MAX(0, IF(MIN($D$1, DATE(Initialisatie!$C$5,12,31)) &lt; MAX($D$2, DATE(Initialisatie!$C$5,1,1)), 0, MONTH(MIN($D$1, DATE(Initialisatie!$C$5,12,31))) - MONTH(MAX($D$2, DATE(Initialisatie!$C$5,1,1))) + 1)) &lt;= 0, IFERROR(VALUE($D166),0)=0),
        AND(MAX(0, IF(MIN($E$1, DATE(Initialisatie!$C$5,12,31)) &lt; MAX($E$2, DATE(Initialisatie!$C$5,1,1)), 0, MONTH(MIN($E$1, DATE(Initialisatie!$C$5,12,31))) - MONTH(MAX($E$2, DATE(Initialisatie!$C$5,1,1))) + 1)) &lt;= 0, IFERROR(VALUE($E166),0)=0),
        AND(MAX(0, IF(MIN($F$1, DATE(Initialisatie!$C$5,12,31)) &lt; MAX($F$2, DATE(Initialisatie!$C$5,1,1)), 0, MONTH(MIN($F$1, DATE(Initialisatie!$C$5,12,31))) - MONTH(MAX($F$2, DATE(Initialisatie!$C$5,1,1))) + 1)) &lt;= 0, IFERROR(VALUE($F166),0)=0),
        AND(MAX(0, IF(MIN($G$1, DATE(Initialisatie!$C$5,12,31)) &lt; MAX($G$2, DATE(Initialisatie!$C$5,1,1)), 0, MONTH(MIN($G$1, DATE(Initialisatie!$C$5,12,31))) - MONTH(MAX($G$2, DATE(Initialisatie!$C$5,1,1))) + 1)) &lt;= 0, IFERROR(VALUE($G166),0)=0)
    ),
    0,
    SUM(
        IFERROR(VALUE($D166),0) * MAX(0, IF(MIN($D$1, DATE(Initialisatie!$C$5,12,31)) &lt; MAX($D$2, DATE(Initialisatie!$C$5,1,1)), 0, MONTH(MIN($D$1, DATE(Initialisatie!$C$5,12,31))) - MONTH(MAX($D$2, DATE(Initialisatie!$C$5,1,1))) + 1)),
        IFERROR(VALUE($E166),0) * MAX(0, IF(MIN($E$1, DATE(Initialisatie!$C$5,12,31)) &lt; MAX($E$2, DATE(Initialisatie!$C$5,1,1)), 0, MONTH(MIN($E$1, DATE(Initialisatie!$C$5,12,31))) - MONTH(MAX($E$2, DATE(Initialisatie!$C$5,1,1))) + 1)),
        IFERROR(VALUE($F166),0) * MAX(0, IF(MIN($F$1, DATE(Initialisatie!$C$5,12,31)) &lt; MAX($F$2, DATE(Initialisatie!$C$5,1,1)), 0, MONTH(MIN($F$1, DATE(Initialisatie!$C$5,12,31))) - MONTH(MAX($F$2, DATE(Initialisatie!$C$5,1,1))) + 1)),
        IFERROR(VALUE($G166),0) * MAX(0, IF(MIN($G$1, DATE(Initialisatie!$C$5,12,31)) &lt; MAX($G$2, DATE(Initialisatie!$C$5,1,1)), 0, MONTH(MIN($G$1, DATE(Initialisatie!$C$5,12,31))) - MONTH(MAX($G$2, DATE(Initialisatie!$C$5,1,1))) + 1))
    ) / 12
)</f>
        <v>6086.333333333333</v>
      </c>
    </row>
    <row r="167" spans="1:10" x14ac:dyDescent="0.45">
      <c r="A167" s="999"/>
      <c r="B167" s="43">
        <v>3</v>
      </c>
      <c r="C167" s="373">
        <v>53</v>
      </c>
      <c r="D167" s="48">
        <v>6000</v>
      </c>
      <c r="E167" s="48">
        <v>6240</v>
      </c>
      <c r="F167" s="48">
        <v>6365</v>
      </c>
      <c r="G167" s="48">
        <v>6492</v>
      </c>
      <c r="I167">
        <f>IF(
    OR(
        AND(MAX(0, MIN($D$1, DATE(Initialisatie!$C$5,12,31)) - MAX($D$2, DATE(Initialisatie!$C$5,1,1)) + 1) &gt; 0, IFERROR(VALUE($D167),0)=0),
        AND(MAX(0, MIN($E$1, DATE(Initialisatie!$C$5,12,31)) - MAX($E$2, DATE(Initialisatie!$C$5,1,1)) + 1) &gt; 0, IFERROR(VALUE($E167),0)=0),
        AND(MAX(0, MIN($F$1, DATE(Initialisatie!$C$5,12,31)) - MAX($F$2, DATE(Initialisatie!$C$5,1,1)) + 1) &gt; 0, IFERROR(VALUE($F167),0)=0),
        AND(MAX(0, MIN($G$1, DATE(Initialisatie!$C$5,12,31)) - MAX($G$2, DATE(Initialisatie!$C$5,1,1)) + 1) &gt; 0, IFERROR(VALUE($G167),0)=0)
    ),
    0,
    SUM(
        IFERROR(VALUE($D167),0) * MAX(0, MIN($D$1, DATE(Initialisatie!$C$5,12,31)) - MAX($D$2, DATE(Initialisatie!$C$5,1,1)) + 1),
        IFERROR(VALUE($E167),0) * MAX(0, MIN($E$1, DATE(Initialisatie!$C$5,12,31)) - MAX($E$2, DATE(Initialisatie!$C$5,1,1)) + 1),
        IFERROR(VALUE($F167),0) * MAX(0, MIN($F$1, DATE(Initialisatie!$C$5,12,31)) - MAX($F$2, DATE(Initialisatie!$C$5,1,1)) + 1),
        IFERROR(VALUE($G167),0) * MAX(0, MIN($G$1, DATE(Initialisatie!$C$5,12,31)) - MAX($G$2, DATE(Initialisatie!$C$5,1,1)) + 1)
    ) / (DATE(Initialisatie!$C$5,12,31) - DATE(Initialisatie!$C$5,1,1) + 1)
)</f>
        <v>6345.1287671232876</v>
      </c>
      <c r="J167">
        <f>IF(
    OR(
        AND(MAX(0, IF(MIN($D$1, DATE(Initialisatie!$C$5,12,31)) &lt; MAX($D$2, DATE(Initialisatie!$C$5,1,1)), 0, MONTH(MIN($D$1, DATE(Initialisatie!$C$5,12,31))) - MONTH(MAX($D$2, DATE(Initialisatie!$C$5,1,1))) + 1)) &lt;= 0, IFERROR(VALUE($D167),0)=0),
        AND(MAX(0, IF(MIN($E$1, DATE(Initialisatie!$C$5,12,31)) &lt; MAX($E$2, DATE(Initialisatie!$C$5,1,1)), 0, MONTH(MIN($E$1, DATE(Initialisatie!$C$5,12,31))) - MONTH(MAX($E$2, DATE(Initialisatie!$C$5,1,1))) + 1)) &lt;= 0, IFERROR(VALUE($E167),0)=0),
        AND(MAX(0, IF(MIN($F$1, DATE(Initialisatie!$C$5,12,31)) &lt; MAX($F$2, DATE(Initialisatie!$C$5,1,1)), 0, MONTH(MIN($F$1, DATE(Initialisatie!$C$5,12,31))) - MONTH(MAX($F$2, DATE(Initialisatie!$C$5,1,1))) + 1)) &lt;= 0, IFERROR(VALUE($F167),0)=0),
        AND(MAX(0, IF(MIN($G$1, DATE(Initialisatie!$C$5,12,31)) &lt; MAX($G$2, DATE(Initialisatie!$C$5,1,1)), 0, MONTH(MIN($G$1, DATE(Initialisatie!$C$5,12,31))) - MONTH(MAX($G$2, DATE(Initialisatie!$C$5,1,1))) + 1)) &lt;= 0, IFERROR(VALUE($G167),0)=0)
    ),
    0,
    SUM(
        IFERROR(VALUE($D167),0) * MAX(0, IF(MIN($D$1, DATE(Initialisatie!$C$5,12,31)) &lt; MAX($D$2, DATE(Initialisatie!$C$5,1,1)), 0, MONTH(MIN($D$1, DATE(Initialisatie!$C$5,12,31))) - MONTH(MAX($D$2, DATE(Initialisatie!$C$5,1,1))) + 1)),
        IFERROR(VALUE($E167),0) * MAX(0, IF(MIN($E$1, DATE(Initialisatie!$C$5,12,31)) &lt; MAX($E$2, DATE(Initialisatie!$C$5,1,1)), 0, MONTH(MIN($E$1, DATE(Initialisatie!$C$5,12,31))) - MONTH(MAX($E$2, DATE(Initialisatie!$C$5,1,1))) + 1)),
        IFERROR(VALUE($F167),0) * MAX(0, IF(MIN($F$1, DATE(Initialisatie!$C$5,12,31)) &lt; MAX($F$2, DATE(Initialisatie!$C$5,1,1)), 0, MONTH(MIN($F$1, DATE(Initialisatie!$C$5,12,31))) - MONTH(MAX($F$2, DATE(Initialisatie!$C$5,1,1))) + 1)),
        IFERROR(VALUE($G167),0) * MAX(0, IF(MIN($G$1, DATE(Initialisatie!$C$5,12,31)) &lt; MAX($G$2, DATE(Initialisatie!$C$5,1,1)), 0, MONTH(MIN($G$1, DATE(Initialisatie!$C$5,12,31))) - MONTH(MAX($G$2, DATE(Initialisatie!$C$5,1,1))) + 1))
    ) / 12
)</f>
        <v>6344.5</v>
      </c>
    </row>
    <row r="168" spans="1:10" x14ac:dyDescent="0.45">
      <c r="A168" s="999"/>
      <c r="B168" s="43">
        <v>4</v>
      </c>
      <c r="C168" s="373">
        <v>56</v>
      </c>
      <c r="D168" s="48">
        <v>6251</v>
      </c>
      <c r="E168" s="48">
        <v>6501</v>
      </c>
      <c r="F168" s="48">
        <v>6631</v>
      </c>
      <c r="G168" s="48">
        <v>6764</v>
      </c>
      <c r="I168">
        <f>IF(
    OR(
        AND(MAX(0, MIN($D$1, DATE(Initialisatie!$C$5,12,31)) - MAX($D$2, DATE(Initialisatie!$C$5,1,1)) + 1) &gt; 0, IFERROR(VALUE($D168),0)=0),
        AND(MAX(0, MIN($E$1, DATE(Initialisatie!$C$5,12,31)) - MAX($E$2, DATE(Initialisatie!$C$5,1,1)) + 1) &gt; 0, IFERROR(VALUE($E168),0)=0),
        AND(MAX(0, MIN($F$1, DATE(Initialisatie!$C$5,12,31)) - MAX($F$2, DATE(Initialisatie!$C$5,1,1)) + 1) &gt; 0, IFERROR(VALUE($F168),0)=0),
        AND(MAX(0, MIN($G$1, DATE(Initialisatie!$C$5,12,31)) - MAX($G$2, DATE(Initialisatie!$C$5,1,1)) + 1) &gt; 0, IFERROR(VALUE($G168),0)=0)
    ),
    0,
    SUM(
        IFERROR(VALUE($D168),0) * MAX(0, MIN($D$1, DATE(Initialisatie!$C$5,12,31)) - MAX($D$2, DATE(Initialisatie!$C$5,1,1)) + 1),
        IFERROR(VALUE($E168),0) * MAX(0, MIN($E$1, DATE(Initialisatie!$C$5,12,31)) - MAX($E$2, DATE(Initialisatie!$C$5,1,1)) + 1),
        IFERROR(VALUE($F168),0) * MAX(0, MIN($F$1, DATE(Initialisatie!$C$5,12,31)) - MAX($F$2, DATE(Initialisatie!$C$5,1,1)) + 1),
        IFERROR(VALUE($G168),0) * MAX(0, MIN($G$1, DATE(Initialisatie!$C$5,12,31)) - MAX($G$2, DATE(Initialisatie!$C$5,1,1)) + 1)
    ) / (DATE(Initialisatie!$C$5,12,31) - DATE(Initialisatie!$C$5,1,1) + 1)
)</f>
        <v>6610.4876712328769</v>
      </c>
      <c r="J168">
        <f>IF(
    OR(
        AND(MAX(0, IF(MIN($D$1, DATE(Initialisatie!$C$5,12,31)) &lt; MAX($D$2, DATE(Initialisatie!$C$5,1,1)), 0, MONTH(MIN($D$1, DATE(Initialisatie!$C$5,12,31))) - MONTH(MAX($D$2, DATE(Initialisatie!$C$5,1,1))) + 1)) &lt;= 0, IFERROR(VALUE($D168),0)=0),
        AND(MAX(0, IF(MIN($E$1, DATE(Initialisatie!$C$5,12,31)) &lt; MAX($E$2, DATE(Initialisatie!$C$5,1,1)), 0, MONTH(MIN($E$1, DATE(Initialisatie!$C$5,12,31))) - MONTH(MAX($E$2, DATE(Initialisatie!$C$5,1,1))) + 1)) &lt;= 0, IFERROR(VALUE($E168),0)=0),
        AND(MAX(0, IF(MIN($F$1, DATE(Initialisatie!$C$5,12,31)) &lt; MAX($F$2, DATE(Initialisatie!$C$5,1,1)), 0, MONTH(MIN($F$1, DATE(Initialisatie!$C$5,12,31))) - MONTH(MAX($F$2, DATE(Initialisatie!$C$5,1,1))) + 1)) &lt;= 0, IFERROR(VALUE($F168),0)=0),
        AND(MAX(0, IF(MIN($G$1, DATE(Initialisatie!$C$5,12,31)) &lt; MAX($G$2, DATE(Initialisatie!$C$5,1,1)), 0, MONTH(MIN($G$1, DATE(Initialisatie!$C$5,12,31))) - MONTH(MAX($G$2, DATE(Initialisatie!$C$5,1,1))) + 1)) &lt;= 0, IFERROR(VALUE($G168),0)=0)
    ),
    0,
    SUM(
        IFERROR(VALUE($D168),0) * MAX(0, IF(MIN($D$1, DATE(Initialisatie!$C$5,12,31)) &lt; MAX($D$2, DATE(Initialisatie!$C$5,1,1)), 0, MONTH(MIN($D$1, DATE(Initialisatie!$C$5,12,31))) - MONTH(MAX($D$2, DATE(Initialisatie!$C$5,1,1))) + 1)),
        IFERROR(VALUE($E168),0) * MAX(0, IF(MIN($E$1, DATE(Initialisatie!$C$5,12,31)) &lt; MAX($E$2, DATE(Initialisatie!$C$5,1,1)), 0, MONTH(MIN($E$1, DATE(Initialisatie!$C$5,12,31))) - MONTH(MAX($E$2, DATE(Initialisatie!$C$5,1,1))) + 1)),
        IFERROR(VALUE($F168),0) * MAX(0, IF(MIN($F$1, DATE(Initialisatie!$C$5,12,31)) &lt; MAX($F$2, DATE(Initialisatie!$C$5,1,1)), 0, MONTH(MIN($F$1, DATE(Initialisatie!$C$5,12,31))) - MONTH(MAX($F$2, DATE(Initialisatie!$C$5,1,1))) + 1)),
        IFERROR(VALUE($G168),0) * MAX(0, IF(MIN($G$1, DATE(Initialisatie!$C$5,12,31)) &lt; MAX($G$2, DATE(Initialisatie!$C$5,1,1)), 0, MONTH(MIN($G$1, DATE(Initialisatie!$C$5,12,31))) - MONTH(MAX($G$2, DATE(Initialisatie!$C$5,1,1))) + 1))
    ) / 12
)</f>
        <v>6609.833333333333</v>
      </c>
    </row>
    <row r="169" spans="1:10" x14ac:dyDescent="0.45">
      <c r="A169" s="999"/>
      <c r="B169" s="43">
        <v>5</v>
      </c>
      <c r="C169" s="373">
        <v>59</v>
      </c>
      <c r="D169" s="48">
        <v>6495</v>
      </c>
      <c r="E169" s="48">
        <v>6755</v>
      </c>
      <c r="F169" s="48">
        <v>6890</v>
      </c>
      <c r="G169" s="48">
        <v>7028</v>
      </c>
      <c r="I169">
        <f>IF(
    OR(
        AND(MAX(0, MIN($D$1, DATE(Initialisatie!$C$5,12,31)) - MAX($D$2, DATE(Initialisatie!$C$5,1,1)) + 1) &gt; 0, IFERROR(VALUE($D169),0)=0),
        AND(MAX(0, MIN($E$1, DATE(Initialisatie!$C$5,12,31)) - MAX($E$2, DATE(Initialisatie!$C$5,1,1)) + 1) &gt; 0, IFERROR(VALUE($E169),0)=0),
        AND(MAX(0, MIN($F$1, DATE(Initialisatie!$C$5,12,31)) - MAX($F$2, DATE(Initialisatie!$C$5,1,1)) + 1) &gt; 0, IFERROR(VALUE($F169),0)=0),
        AND(MAX(0, MIN($G$1, DATE(Initialisatie!$C$5,12,31)) - MAX($G$2, DATE(Initialisatie!$C$5,1,1)) + 1) &gt; 0, IFERROR(VALUE($G169),0)=0)
    ),
    0,
    SUM(
        IFERROR(VALUE($D169),0) * MAX(0, MIN($D$1, DATE(Initialisatie!$C$5,12,31)) - MAX($D$2, DATE(Initialisatie!$C$5,1,1)) + 1),
        IFERROR(VALUE($E169),0) * MAX(0, MIN($E$1, DATE(Initialisatie!$C$5,12,31)) - MAX($E$2, DATE(Initialisatie!$C$5,1,1)) + 1),
        IFERROR(VALUE($F169),0) * MAX(0, MIN($F$1, DATE(Initialisatie!$C$5,12,31)) - MAX($F$2, DATE(Initialisatie!$C$5,1,1)) + 1),
        IFERROR(VALUE($G169),0) * MAX(0, MIN($G$1, DATE(Initialisatie!$C$5,12,31)) - MAX($G$2, DATE(Initialisatie!$C$5,1,1)) + 1)
    ) / (DATE(Initialisatie!$C$5,12,31) - DATE(Initialisatie!$C$5,1,1) + 1)
)</f>
        <v>6868.6794520547946</v>
      </c>
      <c r="J169">
        <f>IF(
    OR(
        AND(MAX(0, IF(MIN($D$1, DATE(Initialisatie!$C$5,12,31)) &lt; MAX($D$2, DATE(Initialisatie!$C$5,1,1)), 0, MONTH(MIN($D$1, DATE(Initialisatie!$C$5,12,31))) - MONTH(MAX($D$2, DATE(Initialisatie!$C$5,1,1))) + 1)) &lt;= 0, IFERROR(VALUE($D169),0)=0),
        AND(MAX(0, IF(MIN($E$1, DATE(Initialisatie!$C$5,12,31)) &lt; MAX($E$2, DATE(Initialisatie!$C$5,1,1)), 0, MONTH(MIN($E$1, DATE(Initialisatie!$C$5,12,31))) - MONTH(MAX($E$2, DATE(Initialisatie!$C$5,1,1))) + 1)) &lt;= 0, IFERROR(VALUE($E169),0)=0),
        AND(MAX(0, IF(MIN($F$1, DATE(Initialisatie!$C$5,12,31)) &lt; MAX($F$2, DATE(Initialisatie!$C$5,1,1)), 0, MONTH(MIN($F$1, DATE(Initialisatie!$C$5,12,31))) - MONTH(MAX($F$2, DATE(Initialisatie!$C$5,1,1))) + 1)) &lt;= 0, IFERROR(VALUE($F169),0)=0),
        AND(MAX(0, IF(MIN($G$1, DATE(Initialisatie!$C$5,12,31)) &lt; MAX($G$2, DATE(Initialisatie!$C$5,1,1)), 0, MONTH(MIN($G$1, DATE(Initialisatie!$C$5,12,31))) - MONTH(MAX($G$2, DATE(Initialisatie!$C$5,1,1))) + 1)) &lt;= 0, IFERROR(VALUE($G169),0)=0)
    ),
    0,
    SUM(
        IFERROR(VALUE($D169),0) * MAX(0, IF(MIN($D$1, DATE(Initialisatie!$C$5,12,31)) &lt; MAX($D$2, DATE(Initialisatie!$C$5,1,1)), 0, MONTH(MIN($D$1, DATE(Initialisatie!$C$5,12,31))) - MONTH(MAX($D$2, DATE(Initialisatie!$C$5,1,1))) + 1)),
        IFERROR(VALUE($E169),0) * MAX(0, IF(MIN($E$1, DATE(Initialisatie!$C$5,12,31)) &lt; MAX($E$2, DATE(Initialisatie!$C$5,1,1)), 0, MONTH(MIN($E$1, DATE(Initialisatie!$C$5,12,31))) - MONTH(MAX($E$2, DATE(Initialisatie!$C$5,1,1))) + 1)),
        IFERROR(VALUE($F169),0) * MAX(0, IF(MIN($F$1, DATE(Initialisatie!$C$5,12,31)) &lt; MAX($F$2, DATE(Initialisatie!$C$5,1,1)), 0, MONTH(MIN($F$1, DATE(Initialisatie!$C$5,12,31))) - MONTH(MAX($F$2, DATE(Initialisatie!$C$5,1,1))) + 1)),
        IFERROR(VALUE($G169),0) * MAX(0, IF(MIN($G$1, DATE(Initialisatie!$C$5,12,31)) &lt; MAX($G$2, DATE(Initialisatie!$C$5,1,1)), 0, MONTH(MIN($G$1, DATE(Initialisatie!$C$5,12,31))) - MONTH(MAX($G$2, DATE(Initialisatie!$C$5,1,1))) + 1))
    ) / 12
)</f>
        <v>6868</v>
      </c>
    </row>
    <row r="170" spans="1:10" x14ac:dyDescent="0.45">
      <c r="A170" s="999"/>
      <c r="B170" s="43">
        <v>6</v>
      </c>
      <c r="C170" s="373">
        <v>62</v>
      </c>
      <c r="D170" s="48">
        <v>6742</v>
      </c>
      <c r="E170" s="48">
        <v>7012</v>
      </c>
      <c r="F170" s="48">
        <v>7152</v>
      </c>
      <c r="G170" s="48">
        <v>7295</v>
      </c>
      <c r="I170">
        <f>IF(
    OR(
        AND(MAX(0, MIN($D$1, DATE(Initialisatie!$C$5,12,31)) - MAX($D$2, DATE(Initialisatie!$C$5,1,1)) + 1) &gt; 0, IFERROR(VALUE($D170),0)=0),
        AND(MAX(0, MIN($E$1, DATE(Initialisatie!$C$5,12,31)) - MAX($E$2, DATE(Initialisatie!$C$5,1,1)) + 1) &gt; 0, IFERROR(VALUE($E170),0)=0),
        AND(MAX(0, MIN($F$1, DATE(Initialisatie!$C$5,12,31)) - MAX($F$2, DATE(Initialisatie!$C$5,1,1)) + 1) &gt; 0, IFERROR(VALUE($F170),0)=0),
        AND(MAX(0, MIN($G$1, DATE(Initialisatie!$C$5,12,31)) - MAX($G$2, DATE(Initialisatie!$C$5,1,1)) + 1) &gt; 0, IFERROR(VALUE($G170),0)=0)
    ),
    0,
    SUM(
        IFERROR(VALUE($D170),0) * MAX(0, MIN($D$1, DATE(Initialisatie!$C$5,12,31)) - MAX($D$2, DATE(Initialisatie!$C$5,1,1)) + 1),
        IFERROR(VALUE($E170),0) * MAX(0, MIN($E$1, DATE(Initialisatie!$C$5,12,31)) - MAX($E$2, DATE(Initialisatie!$C$5,1,1)) + 1),
        IFERROR(VALUE($F170),0) * MAX(0, MIN($F$1, DATE(Initialisatie!$C$5,12,31)) - MAX($F$2, DATE(Initialisatie!$C$5,1,1)) + 1),
        IFERROR(VALUE($G170),0) * MAX(0, MIN($G$1, DATE(Initialisatie!$C$5,12,31)) - MAX($G$2, DATE(Initialisatie!$C$5,1,1)) + 1)
    ) / (DATE(Initialisatie!$C$5,12,31) - DATE(Initialisatie!$C$5,1,1) + 1)
)</f>
        <v>7129.8712328767124</v>
      </c>
      <c r="J170">
        <f>IF(
    OR(
        AND(MAX(0, IF(MIN($D$1, DATE(Initialisatie!$C$5,12,31)) &lt; MAX($D$2, DATE(Initialisatie!$C$5,1,1)), 0, MONTH(MIN($D$1, DATE(Initialisatie!$C$5,12,31))) - MONTH(MAX($D$2, DATE(Initialisatie!$C$5,1,1))) + 1)) &lt;= 0, IFERROR(VALUE($D170),0)=0),
        AND(MAX(0, IF(MIN($E$1, DATE(Initialisatie!$C$5,12,31)) &lt; MAX($E$2, DATE(Initialisatie!$C$5,1,1)), 0, MONTH(MIN($E$1, DATE(Initialisatie!$C$5,12,31))) - MONTH(MAX($E$2, DATE(Initialisatie!$C$5,1,1))) + 1)) &lt;= 0, IFERROR(VALUE($E170),0)=0),
        AND(MAX(0, IF(MIN($F$1, DATE(Initialisatie!$C$5,12,31)) &lt; MAX($F$2, DATE(Initialisatie!$C$5,1,1)), 0, MONTH(MIN($F$1, DATE(Initialisatie!$C$5,12,31))) - MONTH(MAX($F$2, DATE(Initialisatie!$C$5,1,1))) + 1)) &lt;= 0, IFERROR(VALUE($F170),0)=0),
        AND(MAX(0, IF(MIN($G$1, DATE(Initialisatie!$C$5,12,31)) &lt; MAX($G$2, DATE(Initialisatie!$C$5,1,1)), 0, MONTH(MIN($G$1, DATE(Initialisatie!$C$5,12,31))) - MONTH(MAX($G$2, DATE(Initialisatie!$C$5,1,1))) + 1)) &lt;= 0, IFERROR(VALUE($G170),0)=0)
    ),
    0,
    SUM(
        IFERROR(VALUE($D170),0) * MAX(0, IF(MIN($D$1, DATE(Initialisatie!$C$5,12,31)) &lt; MAX($D$2, DATE(Initialisatie!$C$5,1,1)), 0, MONTH(MIN($D$1, DATE(Initialisatie!$C$5,12,31))) - MONTH(MAX($D$2, DATE(Initialisatie!$C$5,1,1))) + 1)),
        IFERROR(VALUE($E170),0) * MAX(0, IF(MIN($E$1, DATE(Initialisatie!$C$5,12,31)) &lt; MAX($E$2, DATE(Initialisatie!$C$5,1,1)), 0, MONTH(MIN($E$1, DATE(Initialisatie!$C$5,12,31))) - MONTH(MAX($E$2, DATE(Initialisatie!$C$5,1,1))) + 1)),
        IFERROR(VALUE($F170),0) * MAX(0, IF(MIN($F$1, DATE(Initialisatie!$C$5,12,31)) &lt; MAX($F$2, DATE(Initialisatie!$C$5,1,1)), 0, MONTH(MIN($F$1, DATE(Initialisatie!$C$5,12,31))) - MONTH(MAX($F$2, DATE(Initialisatie!$C$5,1,1))) + 1)),
        IFERROR(VALUE($G170),0) * MAX(0, IF(MIN($G$1, DATE(Initialisatie!$C$5,12,31)) &lt; MAX($G$2, DATE(Initialisatie!$C$5,1,1)), 0, MONTH(MIN($G$1, DATE(Initialisatie!$C$5,12,31))) - MONTH(MAX($G$2, DATE(Initialisatie!$C$5,1,1))) + 1))
    ) / 12
)</f>
        <v>7129.166666666667</v>
      </c>
    </row>
    <row r="171" spans="1:10" x14ac:dyDescent="0.45">
      <c r="A171" s="999"/>
      <c r="B171" s="374">
        <v>7</v>
      </c>
      <c r="C171" s="373">
        <v>64</v>
      </c>
      <c r="D171" s="48">
        <v>6908</v>
      </c>
      <c r="E171" s="48">
        <v>7184</v>
      </c>
      <c r="F171" s="48">
        <v>7328</v>
      </c>
      <c r="G171" s="48">
        <v>7475</v>
      </c>
      <c r="I171">
        <f>IF(
    OR(
        AND(MAX(0, MIN($D$1, DATE(Initialisatie!$C$5,12,31)) - MAX($D$2, DATE(Initialisatie!$C$5,1,1)) + 1) &gt; 0, IFERROR(VALUE($D171),0)=0),
        AND(MAX(0, MIN($E$1, DATE(Initialisatie!$C$5,12,31)) - MAX($E$2, DATE(Initialisatie!$C$5,1,1)) + 1) &gt; 0, IFERROR(VALUE($E171),0)=0),
        AND(MAX(0, MIN($F$1, DATE(Initialisatie!$C$5,12,31)) - MAX($F$2, DATE(Initialisatie!$C$5,1,1)) + 1) &gt; 0, IFERROR(VALUE($F171),0)=0),
        AND(MAX(0, MIN($G$1, DATE(Initialisatie!$C$5,12,31)) - MAX($G$2, DATE(Initialisatie!$C$5,1,1)) + 1) &gt; 0, IFERROR(VALUE($G171),0)=0)
    ),
    0,
    SUM(
        IFERROR(VALUE($D171),0) * MAX(0, MIN($D$1, DATE(Initialisatie!$C$5,12,31)) - MAX($D$2, DATE(Initialisatie!$C$5,1,1)) + 1),
        IFERROR(VALUE($E171),0) * MAX(0, MIN($E$1, DATE(Initialisatie!$C$5,12,31)) - MAX($E$2, DATE(Initialisatie!$C$5,1,1)) + 1),
        IFERROR(VALUE($F171),0) * MAX(0, MIN($F$1, DATE(Initialisatie!$C$5,12,31)) - MAX($F$2, DATE(Initialisatie!$C$5,1,1)) + 1),
        IFERROR(VALUE($G171),0) * MAX(0, MIN($G$1, DATE(Initialisatie!$C$5,12,31)) - MAX($G$2, DATE(Initialisatie!$C$5,1,1)) + 1)
    ) / (DATE(Initialisatie!$C$5,12,31) - DATE(Initialisatie!$C$5,1,1) + 1)
)</f>
        <v>7305.2246575342469</v>
      </c>
      <c r="J171">
        <f>IF(
    OR(
        AND(MAX(0, IF(MIN($D$1, DATE(Initialisatie!$C$5,12,31)) &lt; MAX($D$2, DATE(Initialisatie!$C$5,1,1)), 0, MONTH(MIN($D$1, DATE(Initialisatie!$C$5,12,31))) - MONTH(MAX($D$2, DATE(Initialisatie!$C$5,1,1))) + 1)) &lt;= 0, IFERROR(VALUE($D171),0)=0),
        AND(MAX(0, IF(MIN($E$1, DATE(Initialisatie!$C$5,12,31)) &lt; MAX($E$2, DATE(Initialisatie!$C$5,1,1)), 0, MONTH(MIN($E$1, DATE(Initialisatie!$C$5,12,31))) - MONTH(MAX($E$2, DATE(Initialisatie!$C$5,1,1))) + 1)) &lt;= 0, IFERROR(VALUE($E171),0)=0),
        AND(MAX(0, IF(MIN($F$1, DATE(Initialisatie!$C$5,12,31)) &lt; MAX($F$2, DATE(Initialisatie!$C$5,1,1)), 0, MONTH(MIN($F$1, DATE(Initialisatie!$C$5,12,31))) - MONTH(MAX($F$2, DATE(Initialisatie!$C$5,1,1))) + 1)) &lt;= 0, IFERROR(VALUE($F171),0)=0),
        AND(MAX(0, IF(MIN($G$1, DATE(Initialisatie!$C$5,12,31)) &lt; MAX($G$2, DATE(Initialisatie!$C$5,1,1)), 0, MONTH(MIN($G$1, DATE(Initialisatie!$C$5,12,31))) - MONTH(MAX($G$2, DATE(Initialisatie!$C$5,1,1))) + 1)) &lt;= 0, IFERROR(VALUE($G171),0)=0)
    ),
    0,
    SUM(
        IFERROR(VALUE($D171),0) * MAX(0, IF(MIN($D$1, DATE(Initialisatie!$C$5,12,31)) &lt; MAX($D$2, DATE(Initialisatie!$C$5,1,1)), 0, MONTH(MIN($D$1, DATE(Initialisatie!$C$5,12,31))) - MONTH(MAX($D$2, DATE(Initialisatie!$C$5,1,1))) + 1)),
        IFERROR(VALUE($E171),0) * MAX(0, IF(MIN($E$1, DATE(Initialisatie!$C$5,12,31)) &lt; MAX($E$2, DATE(Initialisatie!$C$5,1,1)), 0, MONTH(MIN($E$1, DATE(Initialisatie!$C$5,12,31))) - MONTH(MAX($E$2, DATE(Initialisatie!$C$5,1,1))) + 1)),
        IFERROR(VALUE($F171),0) * MAX(0, IF(MIN($F$1, DATE(Initialisatie!$C$5,12,31)) &lt; MAX($F$2, DATE(Initialisatie!$C$5,1,1)), 0, MONTH(MIN($F$1, DATE(Initialisatie!$C$5,12,31))) - MONTH(MAX($F$2, DATE(Initialisatie!$C$5,1,1))) + 1)),
        IFERROR(VALUE($G171),0) * MAX(0, IF(MIN($G$1, DATE(Initialisatie!$C$5,12,31)) &lt; MAX($G$2, DATE(Initialisatie!$C$5,1,1)), 0, MONTH(MIN($G$1, DATE(Initialisatie!$C$5,12,31))) - MONTH(MAX($G$2, DATE(Initialisatie!$C$5,1,1))) + 1))
    ) / 12
)</f>
        <v>7304.5</v>
      </c>
    </row>
    <row r="172" spans="1:10" x14ac:dyDescent="0.45">
      <c r="A172" s="999"/>
      <c r="B172" s="374">
        <v>8</v>
      </c>
      <c r="C172" s="373">
        <v>66</v>
      </c>
      <c r="D172" s="48">
        <v>7116</v>
      </c>
      <c r="E172" s="48">
        <v>7401</v>
      </c>
      <c r="F172" s="48">
        <v>7549</v>
      </c>
      <c r="G172" s="48">
        <v>7700</v>
      </c>
      <c r="I172">
        <f>IF(
    OR(
        AND(MAX(0, MIN($D$1, DATE(Initialisatie!$C$5,12,31)) - MAX($D$2, DATE(Initialisatie!$C$5,1,1)) + 1) &gt; 0, IFERROR(VALUE($D172),0)=0),
        AND(MAX(0, MIN($E$1, DATE(Initialisatie!$C$5,12,31)) - MAX($E$2, DATE(Initialisatie!$C$5,1,1)) + 1) &gt; 0, IFERROR(VALUE($E172),0)=0),
        AND(MAX(0, MIN($F$1, DATE(Initialisatie!$C$5,12,31)) - MAX($F$2, DATE(Initialisatie!$C$5,1,1)) + 1) &gt; 0, IFERROR(VALUE($F172),0)=0),
        AND(MAX(0, MIN($G$1, DATE(Initialisatie!$C$5,12,31)) - MAX($G$2, DATE(Initialisatie!$C$5,1,1)) + 1) &gt; 0, IFERROR(VALUE($G172),0)=0)
    ),
    0,
    SUM(
        IFERROR(VALUE($D172),0) * MAX(0, MIN($D$1, DATE(Initialisatie!$C$5,12,31)) - MAX($D$2, DATE(Initialisatie!$C$5,1,1)) + 1),
        IFERROR(VALUE($E172),0) * MAX(0, MIN($E$1, DATE(Initialisatie!$C$5,12,31)) - MAX($E$2, DATE(Initialisatie!$C$5,1,1)) + 1),
        IFERROR(VALUE($F172),0) * MAX(0, MIN($F$1, DATE(Initialisatie!$C$5,12,31)) - MAX($F$2, DATE(Initialisatie!$C$5,1,1)) + 1),
        IFERROR(VALUE($G172),0) * MAX(0, MIN($G$1, DATE(Initialisatie!$C$5,12,31)) - MAX($G$2, DATE(Initialisatie!$C$5,1,1)) + 1)
    ) / (DATE(Initialisatie!$C$5,12,31) - DATE(Initialisatie!$C$5,1,1) + 1)
)</f>
        <v>7525.5780821917806</v>
      </c>
      <c r="J172">
        <f>IF(
    OR(
        AND(MAX(0, IF(MIN($D$1, DATE(Initialisatie!$C$5,12,31)) &lt; MAX($D$2, DATE(Initialisatie!$C$5,1,1)), 0, MONTH(MIN($D$1, DATE(Initialisatie!$C$5,12,31))) - MONTH(MAX($D$2, DATE(Initialisatie!$C$5,1,1))) + 1)) &lt;= 0, IFERROR(VALUE($D172),0)=0),
        AND(MAX(0, IF(MIN($E$1, DATE(Initialisatie!$C$5,12,31)) &lt; MAX($E$2, DATE(Initialisatie!$C$5,1,1)), 0, MONTH(MIN($E$1, DATE(Initialisatie!$C$5,12,31))) - MONTH(MAX($E$2, DATE(Initialisatie!$C$5,1,1))) + 1)) &lt;= 0, IFERROR(VALUE($E172),0)=0),
        AND(MAX(0, IF(MIN($F$1, DATE(Initialisatie!$C$5,12,31)) &lt; MAX($F$2, DATE(Initialisatie!$C$5,1,1)), 0, MONTH(MIN($F$1, DATE(Initialisatie!$C$5,12,31))) - MONTH(MAX($F$2, DATE(Initialisatie!$C$5,1,1))) + 1)) &lt;= 0, IFERROR(VALUE($F172),0)=0),
        AND(MAX(0, IF(MIN($G$1, DATE(Initialisatie!$C$5,12,31)) &lt; MAX($G$2, DATE(Initialisatie!$C$5,1,1)), 0, MONTH(MIN($G$1, DATE(Initialisatie!$C$5,12,31))) - MONTH(MAX($G$2, DATE(Initialisatie!$C$5,1,1))) + 1)) &lt;= 0, IFERROR(VALUE($G172),0)=0)
    ),
    0,
    SUM(
        IFERROR(VALUE($D172),0) * MAX(0, IF(MIN($D$1, DATE(Initialisatie!$C$5,12,31)) &lt; MAX($D$2, DATE(Initialisatie!$C$5,1,1)), 0, MONTH(MIN($D$1, DATE(Initialisatie!$C$5,12,31))) - MONTH(MAX($D$2, DATE(Initialisatie!$C$5,1,1))) + 1)),
        IFERROR(VALUE($E172),0) * MAX(0, IF(MIN($E$1, DATE(Initialisatie!$C$5,12,31)) &lt; MAX($E$2, DATE(Initialisatie!$C$5,1,1)), 0, MONTH(MIN($E$1, DATE(Initialisatie!$C$5,12,31))) - MONTH(MAX($E$2, DATE(Initialisatie!$C$5,1,1))) + 1)),
        IFERROR(VALUE($F172),0) * MAX(0, IF(MIN($F$1, DATE(Initialisatie!$C$5,12,31)) &lt; MAX($F$2, DATE(Initialisatie!$C$5,1,1)), 0, MONTH(MIN($F$1, DATE(Initialisatie!$C$5,12,31))) - MONTH(MAX($F$2, DATE(Initialisatie!$C$5,1,1))) + 1)),
        IFERROR(VALUE($G172),0) * MAX(0, IF(MIN($G$1, DATE(Initialisatie!$C$5,12,31)) &lt; MAX($G$2, DATE(Initialisatie!$C$5,1,1)), 0, MONTH(MIN($G$1, DATE(Initialisatie!$C$5,12,31))) - MONTH(MAX($G$2, DATE(Initialisatie!$C$5,1,1))) + 1))
    ) / 12
)</f>
        <v>7524.833333333333</v>
      </c>
    </row>
    <row r="173" spans="1:10" x14ac:dyDescent="0.45">
      <c r="A173" s="999"/>
      <c r="B173" s="374">
        <v>9</v>
      </c>
      <c r="C173" s="373">
        <v>68</v>
      </c>
      <c r="D173" s="48">
        <v>7320</v>
      </c>
      <c r="E173" s="48">
        <v>7613</v>
      </c>
      <c r="F173" s="48">
        <v>7765</v>
      </c>
      <c r="G173" s="48">
        <v>7920</v>
      </c>
      <c r="I173">
        <f>IF(
    OR(
        AND(MAX(0, MIN($D$1, DATE(Initialisatie!$C$5,12,31)) - MAX($D$2, DATE(Initialisatie!$C$5,1,1)) + 1) &gt; 0, IFERROR(VALUE($D173),0)=0),
        AND(MAX(0, MIN($E$1, DATE(Initialisatie!$C$5,12,31)) - MAX($E$2, DATE(Initialisatie!$C$5,1,1)) + 1) &gt; 0, IFERROR(VALUE($E173),0)=0),
        AND(MAX(0, MIN($F$1, DATE(Initialisatie!$C$5,12,31)) - MAX($F$2, DATE(Initialisatie!$C$5,1,1)) + 1) &gt; 0, IFERROR(VALUE($F173),0)=0),
        AND(MAX(0, MIN($G$1, DATE(Initialisatie!$C$5,12,31)) - MAX($G$2, DATE(Initialisatie!$C$5,1,1)) + 1) &gt; 0, IFERROR(VALUE($G173),0)=0)
    ),
    0,
    SUM(
        IFERROR(VALUE($D173),0) * MAX(0, MIN($D$1, DATE(Initialisatie!$C$5,12,31)) - MAX($D$2, DATE(Initialisatie!$C$5,1,1)) + 1),
        IFERROR(VALUE($E173),0) * MAX(0, MIN($E$1, DATE(Initialisatie!$C$5,12,31)) - MAX($E$2, DATE(Initialisatie!$C$5,1,1)) + 1),
        IFERROR(VALUE($F173),0) * MAX(0, MIN($F$1, DATE(Initialisatie!$C$5,12,31)) - MAX($F$2, DATE(Initialisatie!$C$5,1,1)) + 1),
        IFERROR(VALUE($G173),0) * MAX(0, MIN($G$1, DATE(Initialisatie!$C$5,12,31)) - MAX($G$2, DATE(Initialisatie!$C$5,1,1)) + 1)
    ) / (DATE(Initialisatie!$C$5,12,31) - DATE(Initialisatie!$C$5,1,1) + 1)
)</f>
        <v>7740.9315068493152</v>
      </c>
      <c r="J173">
        <f>IF(
    OR(
        AND(MAX(0, IF(MIN($D$1, DATE(Initialisatie!$C$5,12,31)) &lt; MAX($D$2, DATE(Initialisatie!$C$5,1,1)), 0, MONTH(MIN($D$1, DATE(Initialisatie!$C$5,12,31))) - MONTH(MAX($D$2, DATE(Initialisatie!$C$5,1,1))) + 1)) &lt;= 0, IFERROR(VALUE($D173),0)=0),
        AND(MAX(0, IF(MIN($E$1, DATE(Initialisatie!$C$5,12,31)) &lt; MAX($E$2, DATE(Initialisatie!$C$5,1,1)), 0, MONTH(MIN($E$1, DATE(Initialisatie!$C$5,12,31))) - MONTH(MAX($E$2, DATE(Initialisatie!$C$5,1,1))) + 1)) &lt;= 0, IFERROR(VALUE($E173),0)=0),
        AND(MAX(0, IF(MIN($F$1, DATE(Initialisatie!$C$5,12,31)) &lt; MAX($F$2, DATE(Initialisatie!$C$5,1,1)), 0, MONTH(MIN($F$1, DATE(Initialisatie!$C$5,12,31))) - MONTH(MAX($F$2, DATE(Initialisatie!$C$5,1,1))) + 1)) &lt;= 0, IFERROR(VALUE($F173),0)=0),
        AND(MAX(0, IF(MIN($G$1, DATE(Initialisatie!$C$5,12,31)) &lt; MAX($G$2, DATE(Initialisatie!$C$5,1,1)), 0, MONTH(MIN($G$1, DATE(Initialisatie!$C$5,12,31))) - MONTH(MAX($G$2, DATE(Initialisatie!$C$5,1,1))) + 1)) &lt;= 0, IFERROR(VALUE($G173),0)=0)
    ),
    0,
    SUM(
        IFERROR(VALUE($D173),0) * MAX(0, IF(MIN($D$1, DATE(Initialisatie!$C$5,12,31)) &lt; MAX($D$2, DATE(Initialisatie!$C$5,1,1)), 0, MONTH(MIN($D$1, DATE(Initialisatie!$C$5,12,31))) - MONTH(MAX($D$2, DATE(Initialisatie!$C$5,1,1))) + 1)),
        IFERROR(VALUE($E173),0) * MAX(0, IF(MIN($E$1, DATE(Initialisatie!$C$5,12,31)) &lt; MAX($E$2, DATE(Initialisatie!$C$5,1,1)), 0, MONTH(MIN($E$1, DATE(Initialisatie!$C$5,12,31))) - MONTH(MAX($E$2, DATE(Initialisatie!$C$5,1,1))) + 1)),
        IFERROR(VALUE($F173),0) * MAX(0, IF(MIN($F$1, DATE(Initialisatie!$C$5,12,31)) &lt; MAX($F$2, DATE(Initialisatie!$C$5,1,1)), 0, MONTH(MIN($F$1, DATE(Initialisatie!$C$5,12,31))) - MONTH(MAX($F$2, DATE(Initialisatie!$C$5,1,1))) + 1)),
        IFERROR(VALUE($G173),0) * MAX(0, IF(MIN($G$1, DATE(Initialisatie!$C$5,12,31)) &lt; MAX($G$2, DATE(Initialisatie!$C$5,1,1)), 0, MONTH(MIN($G$1, DATE(Initialisatie!$C$5,12,31))) - MONTH(MAX($G$2, DATE(Initialisatie!$C$5,1,1))) + 1))
    ) / 12
)</f>
        <v>7740.166666666667</v>
      </c>
    </row>
    <row r="174" spans="1:10" x14ac:dyDescent="0.45">
      <c r="A174" s="999"/>
      <c r="B174" s="43">
        <v>10</v>
      </c>
      <c r="C174" s="373">
        <v>70</v>
      </c>
      <c r="D174" s="48">
        <v>7526</v>
      </c>
      <c r="E174" s="48">
        <v>7827</v>
      </c>
      <c r="F174" s="48">
        <v>7984</v>
      </c>
      <c r="G174" s="48">
        <v>8144</v>
      </c>
      <c r="I174">
        <f>IF(
    OR(
        AND(MAX(0, MIN($D$1, DATE(Initialisatie!$C$5,12,31)) - MAX($D$2, DATE(Initialisatie!$C$5,1,1)) + 1) &gt; 0, IFERROR(VALUE($D174),0)=0),
        AND(MAX(0, MIN($E$1, DATE(Initialisatie!$C$5,12,31)) - MAX($E$2, DATE(Initialisatie!$C$5,1,1)) + 1) &gt; 0, IFERROR(VALUE($E174),0)=0),
        AND(MAX(0, MIN($F$1, DATE(Initialisatie!$C$5,12,31)) - MAX($F$2, DATE(Initialisatie!$C$5,1,1)) + 1) &gt; 0, IFERROR(VALUE($F174),0)=0),
        AND(MAX(0, MIN($G$1, DATE(Initialisatie!$C$5,12,31)) - MAX($G$2, DATE(Initialisatie!$C$5,1,1)) + 1) &gt; 0, IFERROR(VALUE($G174),0)=0)
    ),
    0,
    SUM(
        IFERROR(VALUE($D174),0) * MAX(0, MIN($D$1, DATE(Initialisatie!$C$5,12,31)) - MAX($D$2, DATE(Initialisatie!$C$5,1,1)) + 1),
        IFERROR(VALUE($E174),0) * MAX(0, MIN($E$1, DATE(Initialisatie!$C$5,12,31)) - MAX($E$2, DATE(Initialisatie!$C$5,1,1)) + 1),
        IFERROR(VALUE($F174),0) * MAX(0, MIN($F$1, DATE(Initialisatie!$C$5,12,31)) - MAX($F$2, DATE(Initialisatie!$C$5,1,1)) + 1),
        IFERROR(VALUE($G174),0) * MAX(0, MIN($G$1, DATE(Initialisatie!$C$5,12,31)) - MAX($G$2, DATE(Initialisatie!$C$5,1,1)) + 1)
    ) / (DATE(Initialisatie!$C$5,12,31) - DATE(Initialisatie!$C$5,1,1) + 1)
)</f>
        <v>7959.1232876712329</v>
      </c>
      <c r="J174">
        <f>IF(
    OR(
        AND(MAX(0, IF(MIN($D$1, DATE(Initialisatie!$C$5,12,31)) &lt; MAX($D$2, DATE(Initialisatie!$C$5,1,1)), 0, MONTH(MIN($D$1, DATE(Initialisatie!$C$5,12,31))) - MONTH(MAX($D$2, DATE(Initialisatie!$C$5,1,1))) + 1)) &lt;= 0, IFERROR(VALUE($D174),0)=0),
        AND(MAX(0, IF(MIN($E$1, DATE(Initialisatie!$C$5,12,31)) &lt; MAX($E$2, DATE(Initialisatie!$C$5,1,1)), 0, MONTH(MIN($E$1, DATE(Initialisatie!$C$5,12,31))) - MONTH(MAX($E$2, DATE(Initialisatie!$C$5,1,1))) + 1)) &lt;= 0, IFERROR(VALUE($E174),0)=0),
        AND(MAX(0, IF(MIN($F$1, DATE(Initialisatie!$C$5,12,31)) &lt; MAX($F$2, DATE(Initialisatie!$C$5,1,1)), 0, MONTH(MIN($F$1, DATE(Initialisatie!$C$5,12,31))) - MONTH(MAX($F$2, DATE(Initialisatie!$C$5,1,1))) + 1)) &lt;= 0, IFERROR(VALUE($F174),0)=0),
        AND(MAX(0, IF(MIN($G$1, DATE(Initialisatie!$C$5,12,31)) &lt; MAX($G$2, DATE(Initialisatie!$C$5,1,1)), 0, MONTH(MIN($G$1, DATE(Initialisatie!$C$5,12,31))) - MONTH(MAX($G$2, DATE(Initialisatie!$C$5,1,1))) + 1)) &lt;= 0, IFERROR(VALUE($G174),0)=0)
    ),
    0,
    SUM(
        IFERROR(VALUE($D174),0) * MAX(0, IF(MIN($D$1, DATE(Initialisatie!$C$5,12,31)) &lt; MAX($D$2, DATE(Initialisatie!$C$5,1,1)), 0, MONTH(MIN($D$1, DATE(Initialisatie!$C$5,12,31))) - MONTH(MAX($D$2, DATE(Initialisatie!$C$5,1,1))) + 1)),
        IFERROR(VALUE($E174),0) * MAX(0, IF(MIN($E$1, DATE(Initialisatie!$C$5,12,31)) &lt; MAX($E$2, DATE(Initialisatie!$C$5,1,1)), 0, MONTH(MIN($E$1, DATE(Initialisatie!$C$5,12,31))) - MONTH(MAX($E$2, DATE(Initialisatie!$C$5,1,1))) + 1)),
        IFERROR(VALUE($F174),0) * MAX(0, IF(MIN($F$1, DATE(Initialisatie!$C$5,12,31)) &lt; MAX($F$2, DATE(Initialisatie!$C$5,1,1)), 0, MONTH(MIN($F$1, DATE(Initialisatie!$C$5,12,31))) - MONTH(MAX($F$2, DATE(Initialisatie!$C$5,1,1))) + 1)),
        IFERROR(VALUE($G174),0) * MAX(0, IF(MIN($G$1, DATE(Initialisatie!$C$5,12,31)) &lt; MAX($G$2, DATE(Initialisatie!$C$5,1,1)), 0, MONTH(MIN($G$1, DATE(Initialisatie!$C$5,12,31))) - MONTH(MAX($G$2, DATE(Initialisatie!$C$5,1,1))) + 1))
    ) / 12
)</f>
        <v>7958.333333333333</v>
      </c>
    </row>
    <row r="175" spans="1:10" x14ac:dyDescent="0.45">
      <c r="A175" s="999"/>
      <c r="B175" s="376">
        <v>11</v>
      </c>
      <c r="C175" s="373">
        <v>71</v>
      </c>
      <c r="D175" s="48">
        <v>7632</v>
      </c>
      <c r="E175" s="48">
        <v>7937</v>
      </c>
      <c r="F175" s="48">
        <v>8096</v>
      </c>
      <c r="G175" s="48">
        <v>8258</v>
      </c>
      <c r="I175">
        <f>IF(
    OR(
        AND(MAX(0, MIN($D$1, DATE(Initialisatie!$C$5,12,31)) - MAX($D$2, DATE(Initialisatie!$C$5,1,1)) + 1) &gt; 0, IFERROR(VALUE($D175),0)=0),
        AND(MAX(0, MIN($E$1, DATE(Initialisatie!$C$5,12,31)) - MAX($E$2, DATE(Initialisatie!$C$5,1,1)) + 1) &gt; 0, IFERROR(VALUE($E175),0)=0),
        AND(MAX(0, MIN($F$1, DATE(Initialisatie!$C$5,12,31)) - MAX($F$2, DATE(Initialisatie!$C$5,1,1)) + 1) &gt; 0, IFERROR(VALUE($F175),0)=0),
        AND(MAX(0, MIN($G$1, DATE(Initialisatie!$C$5,12,31)) - MAX($G$2, DATE(Initialisatie!$C$5,1,1)) + 1) &gt; 0, IFERROR(VALUE($G175),0)=0)
    ),
    0,
    SUM(
        IFERROR(VALUE($D175),0) * MAX(0, MIN($D$1, DATE(Initialisatie!$C$5,12,31)) - MAX($D$2, DATE(Initialisatie!$C$5,1,1)) + 1),
        IFERROR(VALUE($E175),0) * MAX(0, MIN($E$1, DATE(Initialisatie!$C$5,12,31)) - MAX($E$2, DATE(Initialisatie!$C$5,1,1)) + 1),
        IFERROR(VALUE($F175),0) * MAX(0, MIN($F$1, DATE(Initialisatie!$C$5,12,31)) - MAX($F$2, DATE(Initialisatie!$C$5,1,1)) + 1),
        IFERROR(VALUE($G175),0) * MAX(0, MIN($G$1, DATE(Initialisatie!$C$5,12,31)) - MAX($G$2, DATE(Initialisatie!$C$5,1,1)) + 1)
    ) / (DATE(Initialisatie!$C$5,12,31) - DATE(Initialisatie!$C$5,1,1) + 1)
)</f>
        <v>8070.8</v>
      </c>
      <c r="J175">
        <f>IF(
    OR(
        AND(MAX(0, IF(MIN($D$1, DATE(Initialisatie!$C$5,12,31)) &lt; MAX($D$2, DATE(Initialisatie!$C$5,1,1)), 0, MONTH(MIN($D$1, DATE(Initialisatie!$C$5,12,31))) - MONTH(MAX($D$2, DATE(Initialisatie!$C$5,1,1))) + 1)) &lt;= 0, IFERROR(VALUE($D175),0)=0),
        AND(MAX(0, IF(MIN($E$1, DATE(Initialisatie!$C$5,12,31)) &lt; MAX($E$2, DATE(Initialisatie!$C$5,1,1)), 0, MONTH(MIN($E$1, DATE(Initialisatie!$C$5,12,31))) - MONTH(MAX($E$2, DATE(Initialisatie!$C$5,1,1))) + 1)) &lt;= 0, IFERROR(VALUE($E175),0)=0),
        AND(MAX(0, IF(MIN($F$1, DATE(Initialisatie!$C$5,12,31)) &lt; MAX($F$2, DATE(Initialisatie!$C$5,1,1)), 0, MONTH(MIN($F$1, DATE(Initialisatie!$C$5,12,31))) - MONTH(MAX($F$2, DATE(Initialisatie!$C$5,1,1))) + 1)) &lt;= 0, IFERROR(VALUE($F175),0)=0),
        AND(MAX(0, IF(MIN($G$1, DATE(Initialisatie!$C$5,12,31)) &lt; MAX($G$2, DATE(Initialisatie!$C$5,1,1)), 0, MONTH(MIN($G$1, DATE(Initialisatie!$C$5,12,31))) - MONTH(MAX($G$2, DATE(Initialisatie!$C$5,1,1))) + 1)) &lt;= 0, IFERROR(VALUE($G175),0)=0)
    ),
    0,
    SUM(
        IFERROR(VALUE($D175),0) * MAX(0, IF(MIN($D$1, DATE(Initialisatie!$C$5,12,31)) &lt; MAX($D$2, DATE(Initialisatie!$C$5,1,1)), 0, MONTH(MIN($D$1, DATE(Initialisatie!$C$5,12,31))) - MONTH(MAX($D$2, DATE(Initialisatie!$C$5,1,1))) + 1)),
        IFERROR(VALUE($E175),0) * MAX(0, IF(MIN($E$1, DATE(Initialisatie!$C$5,12,31)) &lt; MAX($E$2, DATE(Initialisatie!$C$5,1,1)), 0, MONTH(MIN($E$1, DATE(Initialisatie!$C$5,12,31))) - MONTH(MAX($E$2, DATE(Initialisatie!$C$5,1,1))) + 1)),
        IFERROR(VALUE($F175),0) * MAX(0, IF(MIN($F$1, DATE(Initialisatie!$C$5,12,31)) &lt; MAX($F$2, DATE(Initialisatie!$C$5,1,1)), 0, MONTH(MIN($F$1, DATE(Initialisatie!$C$5,12,31))) - MONTH(MAX($F$2, DATE(Initialisatie!$C$5,1,1))) + 1)),
        IFERROR(VALUE($G175),0) * MAX(0, IF(MIN($G$1, DATE(Initialisatie!$C$5,12,31)) &lt; MAX($G$2, DATE(Initialisatie!$C$5,1,1)), 0, MONTH(MIN($G$1, DATE(Initialisatie!$C$5,12,31))) - MONTH(MAX($G$2, DATE(Initialisatie!$C$5,1,1))) + 1))
    ) / 12
)</f>
        <v>8070</v>
      </c>
    </row>
    <row r="176" spans="1:10" x14ac:dyDescent="0.45">
      <c r="A176" s="999"/>
      <c r="B176" s="372">
        <v>12</v>
      </c>
      <c r="C176" s="373">
        <v>72</v>
      </c>
      <c r="D176" s="48">
        <v>7735</v>
      </c>
      <c r="E176" s="48">
        <v>8044</v>
      </c>
      <c r="F176" s="48">
        <v>8205</v>
      </c>
      <c r="G176" s="48">
        <v>8369</v>
      </c>
      <c r="I176">
        <f>IF(
    OR(
        AND(MAX(0, MIN($D$1, DATE(Initialisatie!$C$5,12,31)) - MAX($D$2, DATE(Initialisatie!$C$5,1,1)) + 1) &gt; 0, IFERROR(VALUE($D176),0)=0),
        AND(MAX(0, MIN($E$1, DATE(Initialisatie!$C$5,12,31)) - MAX($E$2, DATE(Initialisatie!$C$5,1,1)) + 1) &gt; 0, IFERROR(VALUE($E176),0)=0),
        AND(MAX(0, MIN($F$1, DATE(Initialisatie!$C$5,12,31)) - MAX($F$2, DATE(Initialisatie!$C$5,1,1)) + 1) &gt; 0, IFERROR(VALUE($F176),0)=0),
        AND(MAX(0, MIN($G$1, DATE(Initialisatie!$C$5,12,31)) - MAX($G$2, DATE(Initialisatie!$C$5,1,1)) + 1) &gt; 0, IFERROR(VALUE($G176),0)=0)
    ),
    0,
    SUM(
        IFERROR(VALUE($D176),0) * MAX(0, MIN($D$1, DATE(Initialisatie!$C$5,12,31)) - MAX($D$2, DATE(Initialisatie!$C$5,1,1)) + 1),
        IFERROR(VALUE($E176),0) * MAX(0, MIN($E$1, DATE(Initialisatie!$C$5,12,31)) - MAX($E$2, DATE(Initialisatie!$C$5,1,1)) + 1),
        IFERROR(VALUE($F176),0) * MAX(0, MIN($F$1, DATE(Initialisatie!$C$5,12,31)) - MAX($F$2, DATE(Initialisatie!$C$5,1,1)) + 1),
        IFERROR(VALUE($G176),0) * MAX(0, MIN($G$1, DATE(Initialisatie!$C$5,12,31)) - MAX($G$2, DATE(Initialisatie!$C$5,1,1)) + 1)
    ) / (DATE(Initialisatie!$C$5,12,31) - DATE(Initialisatie!$C$5,1,1) + 1)
)</f>
        <v>8179.4767123287675</v>
      </c>
      <c r="J176">
        <f>IF(
    OR(
        AND(MAX(0, IF(MIN($D$1, DATE(Initialisatie!$C$5,12,31)) &lt; MAX($D$2, DATE(Initialisatie!$C$5,1,1)), 0, MONTH(MIN($D$1, DATE(Initialisatie!$C$5,12,31))) - MONTH(MAX($D$2, DATE(Initialisatie!$C$5,1,1))) + 1)) &lt;= 0, IFERROR(VALUE($D176),0)=0),
        AND(MAX(0, IF(MIN($E$1, DATE(Initialisatie!$C$5,12,31)) &lt; MAX($E$2, DATE(Initialisatie!$C$5,1,1)), 0, MONTH(MIN($E$1, DATE(Initialisatie!$C$5,12,31))) - MONTH(MAX($E$2, DATE(Initialisatie!$C$5,1,1))) + 1)) &lt;= 0, IFERROR(VALUE($E176),0)=0),
        AND(MAX(0, IF(MIN($F$1, DATE(Initialisatie!$C$5,12,31)) &lt; MAX($F$2, DATE(Initialisatie!$C$5,1,1)), 0, MONTH(MIN($F$1, DATE(Initialisatie!$C$5,12,31))) - MONTH(MAX($F$2, DATE(Initialisatie!$C$5,1,1))) + 1)) &lt;= 0, IFERROR(VALUE($F176),0)=0),
        AND(MAX(0, IF(MIN($G$1, DATE(Initialisatie!$C$5,12,31)) &lt; MAX($G$2, DATE(Initialisatie!$C$5,1,1)), 0, MONTH(MIN($G$1, DATE(Initialisatie!$C$5,12,31))) - MONTH(MAX($G$2, DATE(Initialisatie!$C$5,1,1))) + 1)) &lt;= 0, IFERROR(VALUE($G176),0)=0)
    ),
    0,
    SUM(
        IFERROR(VALUE($D176),0) * MAX(0, IF(MIN($D$1, DATE(Initialisatie!$C$5,12,31)) &lt; MAX($D$2, DATE(Initialisatie!$C$5,1,1)), 0, MONTH(MIN($D$1, DATE(Initialisatie!$C$5,12,31))) - MONTH(MAX($D$2, DATE(Initialisatie!$C$5,1,1))) + 1)),
        IFERROR(VALUE($E176),0) * MAX(0, IF(MIN($E$1, DATE(Initialisatie!$C$5,12,31)) &lt; MAX($E$2, DATE(Initialisatie!$C$5,1,1)), 0, MONTH(MIN($E$1, DATE(Initialisatie!$C$5,12,31))) - MONTH(MAX($E$2, DATE(Initialisatie!$C$5,1,1))) + 1)),
        IFERROR(VALUE($F176),0) * MAX(0, IF(MIN($F$1, DATE(Initialisatie!$C$5,12,31)) &lt; MAX($F$2, DATE(Initialisatie!$C$5,1,1)), 0, MONTH(MIN($F$1, DATE(Initialisatie!$C$5,12,31))) - MONTH(MAX($F$2, DATE(Initialisatie!$C$5,1,1))) + 1)),
        IFERROR(VALUE($G176),0) * MAX(0, IF(MIN($G$1, DATE(Initialisatie!$C$5,12,31)) &lt; MAX($G$2, DATE(Initialisatie!$C$5,1,1)), 0, MONTH(MIN($G$1, DATE(Initialisatie!$C$5,12,31))) - MONTH(MAX($G$2, DATE(Initialisatie!$C$5,1,1))) + 1))
    ) / 12
)</f>
        <v>8178.666666666667</v>
      </c>
    </row>
    <row r="177" spans="1:10" x14ac:dyDescent="0.45">
      <c r="A177" s="999"/>
      <c r="B177" s="372">
        <v>13</v>
      </c>
      <c r="C177" s="373">
        <v>73</v>
      </c>
      <c r="D177" s="48">
        <v>7837</v>
      </c>
      <c r="E177" s="48">
        <v>8150</v>
      </c>
      <c r="F177" s="48">
        <v>8313</v>
      </c>
      <c r="G177" s="48">
        <v>8479</v>
      </c>
      <c r="I177">
        <f>IF(
    OR(
        AND(MAX(0, MIN($D$1, DATE(Initialisatie!$C$5,12,31)) - MAX($D$2, DATE(Initialisatie!$C$5,1,1)) + 1) &gt; 0, IFERROR(VALUE($D177),0)=0),
        AND(MAX(0, MIN($E$1, DATE(Initialisatie!$C$5,12,31)) - MAX($E$2, DATE(Initialisatie!$C$5,1,1)) + 1) &gt; 0, IFERROR(VALUE($E177),0)=0),
        AND(MAX(0, MIN($F$1, DATE(Initialisatie!$C$5,12,31)) - MAX($F$2, DATE(Initialisatie!$C$5,1,1)) + 1) &gt; 0, IFERROR(VALUE($F177),0)=0),
        AND(MAX(0, MIN($G$1, DATE(Initialisatie!$C$5,12,31)) - MAX($G$2, DATE(Initialisatie!$C$5,1,1)) + 1) &gt; 0, IFERROR(VALUE($G177),0)=0)
    ),
    0,
    SUM(
        IFERROR(VALUE($D177),0) * MAX(0, MIN($D$1, DATE(Initialisatie!$C$5,12,31)) - MAX($D$2, DATE(Initialisatie!$C$5,1,1)) + 1),
        IFERROR(VALUE($E177),0) * MAX(0, MIN($E$1, DATE(Initialisatie!$C$5,12,31)) - MAX($E$2, DATE(Initialisatie!$C$5,1,1)) + 1),
        IFERROR(VALUE($F177),0) * MAX(0, MIN($F$1, DATE(Initialisatie!$C$5,12,31)) - MAX($F$2, DATE(Initialisatie!$C$5,1,1)) + 1),
        IFERROR(VALUE($G177),0) * MAX(0, MIN($G$1, DATE(Initialisatie!$C$5,12,31)) - MAX($G$2, DATE(Initialisatie!$C$5,1,1)) + 1)
    ) / (DATE(Initialisatie!$C$5,12,31) - DATE(Initialisatie!$C$5,1,1) + 1)
)</f>
        <v>8287.1534246575338</v>
      </c>
      <c r="J177">
        <f>IF(
    OR(
        AND(MAX(0, IF(MIN($D$1, DATE(Initialisatie!$C$5,12,31)) &lt; MAX($D$2, DATE(Initialisatie!$C$5,1,1)), 0, MONTH(MIN($D$1, DATE(Initialisatie!$C$5,12,31))) - MONTH(MAX($D$2, DATE(Initialisatie!$C$5,1,1))) + 1)) &lt;= 0, IFERROR(VALUE($D177),0)=0),
        AND(MAX(0, IF(MIN($E$1, DATE(Initialisatie!$C$5,12,31)) &lt; MAX($E$2, DATE(Initialisatie!$C$5,1,1)), 0, MONTH(MIN($E$1, DATE(Initialisatie!$C$5,12,31))) - MONTH(MAX($E$2, DATE(Initialisatie!$C$5,1,1))) + 1)) &lt;= 0, IFERROR(VALUE($E177),0)=0),
        AND(MAX(0, IF(MIN($F$1, DATE(Initialisatie!$C$5,12,31)) &lt; MAX($F$2, DATE(Initialisatie!$C$5,1,1)), 0, MONTH(MIN($F$1, DATE(Initialisatie!$C$5,12,31))) - MONTH(MAX($F$2, DATE(Initialisatie!$C$5,1,1))) + 1)) &lt;= 0, IFERROR(VALUE($F177),0)=0),
        AND(MAX(0, IF(MIN($G$1, DATE(Initialisatie!$C$5,12,31)) &lt; MAX($G$2, DATE(Initialisatie!$C$5,1,1)), 0, MONTH(MIN($G$1, DATE(Initialisatie!$C$5,12,31))) - MONTH(MAX($G$2, DATE(Initialisatie!$C$5,1,1))) + 1)) &lt;= 0, IFERROR(VALUE($G177),0)=0)
    ),
    0,
    SUM(
        IFERROR(VALUE($D177),0) * MAX(0, IF(MIN($D$1, DATE(Initialisatie!$C$5,12,31)) &lt; MAX($D$2, DATE(Initialisatie!$C$5,1,1)), 0, MONTH(MIN($D$1, DATE(Initialisatie!$C$5,12,31))) - MONTH(MAX($D$2, DATE(Initialisatie!$C$5,1,1))) + 1)),
        IFERROR(VALUE($E177),0) * MAX(0, IF(MIN($E$1, DATE(Initialisatie!$C$5,12,31)) &lt; MAX($E$2, DATE(Initialisatie!$C$5,1,1)), 0, MONTH(MIN($E$1, DATE(Initialisatie!$C$5,12,31))) - MONTH(MAX($E$2, DATE(Initialisatie!$C$5,1,1))) + 1)),
        IFERROR(VALUE($F177),0) * MAX(0, IF(MIN($F$1, DATE(Initialisatie!$C$5,12,31)) &lt; MAX($F$2, DATE(Initialisatie!$C$5,1,1)), 0, MONTH(MIN($F$1, DATE(Initialisatie!$C$5,12,31))) - MONTH(MAX($F$2, DATE(Initialisatie!$C$5,1,1))) + 1)),
        IFERROR(VALUE($G177),0) * MAX(0, IF(MIN($G$1, DATE(Initialisatie!$C$5,12,31)) &lt; MAX($G$2, DATE(Initialisatie!$C$5,1,1)), 0, MONTH(MIN($G$1, DATE(Initialisatie!$C$5,12,31))) - MONTH(MAX($G$2, DATE(Initialisatie!$C$5,1,1))) + 1))
    ) / 12
)</f>
        <v>8286.3333333333339</v>
      </c>
    </row>
    <row r="178" spans="1:10" x14ac:dyDescent="0.45">
      <c r="A178" s="999"/>
      <c r="B178" s="372">
        <v>14</v>
      </c>
      <c r="C178" s="373">
        <v>74</v>
      </c>
      <c r="D178" s="48">
        <v>7941</v>
      </c>
      <c r="E178" s="48">
        <v>8259</v>
      </c>
      <c r="F178" s="48">
        <v>8424</v>
      </c>
      <c r="G178" s="48">
        <v>8592</v>
      </c>
      <c r="I178">
        <f>IF(
    OR(
        AND(MAX(0, MIN($D$1, DATE(Initialisatie!$C$5,12,31)) - MAX($D$2, DATE(Initialisatie!$C$5,1,1)) + 1) &gt; 0, IFERROR(VALUE($D178),0)=0),
        AND(MAX(0, MIN($E$1, DATE(Initialisatie!$C$5,12,31)) - MAX($E$2, DATE(Initialisatie!$C$5,1,1)) + 1) &gt; 0, IFERROR(VALUE($E178),0)=0),
        AND(MAX(0, MIN($F$1, DATE(Initialisatie!$C$5,12,31)) - MAX($F$2, DATE(Initialisatie!$C$5,1,1)) + 1) &gt; 0, IFERROR(VALUE($F178),0)=0),
        AND(MAX(0, MIN($G$1, DATE(Initialisatie!$C$5,12,31)) - MAX($G$2, DATE(Initialisatie!$C$5,1,1)) + 1) &gt; 0, IFERROR(VALUE($G178),0)=0)
    ),
    0,
    SUM(
        IFERROR(VALUE($D178),0) * MAX(0, MIN($D$1, DATE(Initialisatie!$C$5,12,31)) - MAX($D$2, DATE(Initialisatie!$C$5,1,1)) + 1),
        IFERROR(VALUE($E178),0) * MAX(0, MIN($E$1, DATE(Initialisatie!$C$5,12,31)) - MAX($E$2, DATE(Initialisatie!$C$5,1,1)) + 1),
        IFERROR(VALUE($F178),0) * MAX(0, MIN($F$1, DATE(Initialisatie!$C$5,12,31)) - MAX($F$2, DATE(Initialisatie!$C$5,1,1)) + 1),
        IFERROR(VALUE($G178),0) * MAX(0, MIN($G$1, DATE(Initialisatie!$C$5,12,31)) - MAX($G$2, DATE(Initialisatie!$C$5,1,1)) + 1)
    ) / (DATE(Initialisatie!$C$5,12,31) - DATE(Initialisatie!$C$5,1,1) + 1)
)</f>
        <v>8397.830136986302</v>
      </c>
      <c r="J178">
        <f>IF(
    OR(
        AND(MAX(0, IF(MIN($D$1, DATE(Initialisatie!$C$5,12,31)) &lt; MAX($D$2, DATE(Initialisatie!$C$5,1,1)), 0, MONTH(MIN($D$1, DATE(Initialisatie!$C$5,12,31))) - MONTH(MAX($D$2, DATE(Initialisatie!$C$5,1,1))) + 1)) &lt;= 0, IFERROR(VALUE($D178),0)=0),
        AND(MAX(0, IF(MIN($E$1, DATE(Initialisatie!$C$5,12,31)) &lt; MAX($E$2, DATE(Initialisatie!$C$5,1,1)), 0, MONTH(MIN($E$1, DATE(Initialisatie!$C$5,12,31))) - MONTH(MAX($E$2, DATE(Initialisatie!$C$5,1,1))) + 1)) &lt;= 0, IFERROR(VALUE($E178),0)=0),
        AND(MAX(0, IF(MIN($F$1, DATE(Initialisatie!$C$5,12,31)) &lt; MAX($F$2, DATE(Initialisatie!$C$5,1,1)), 0, MONTH(MIN($F$1, DATE(Initialisatie!$C$5,12,31))) - MONTH(MAX($F$2, DATE(Initialisatie!$C$5,1,1))) + 1)) &lt;= 0, IFERROR(VALUE($F178),0)=0),
        AND(MAX(0, IF(MIN($G$1, DATE(Initialisatie!$C$5,12,31)) &lt; MAX($G$2, DATE(Initialisatie!$C$5,1,1)), 0, MONTH(MIN($G$1, DATE(Initialisatie!$C$5,12,31))) - MONTH(MAX($G$2, DATE(Initialisatie!$C$5,1,1))) + 1)) &lt;= 0, IFERROR(VALUE($G178),0)=0)
    ),
    0,
    SUM(
        IFERROR(VALUE($D178),0) * MAX(0, IF(MIN($D$1, DATE(Initialisatie!$C$5,12,31)) &lt; MAX($D$2, DATE(Initialisatie!$C$5,1,1)), 0, MONTH(MIN($D$1, DATE(Initialisatie!$C$5,12,31))) - MONTH(MAX($D$2, DATE(Initialisatie!$C$5,1,1))) + 1)),
        IFERROR(VALUE($E178),0) * MAX(0, IF(MIN($E$1, DATE(Initialisatie!$C$5,12,31)) &lt; MAX($E$2, DATE(Initialisatie!$C$5,1,1)), 0, MONTH(MIN($E$1, DATE(Initialisatie!$C$5,12,31))) - MONTH(MAX($E$2, DATE(Initialisatie!$C$5,1,1))) + 1)),
        IFERROR(VALUE($F178),0) * MAX(0, IF(MIN($F$1, DATE(Initialisatie!$C$5,12,31)) &lt; MAX($F$2, DATE(Initialisatie!$C$5,1,1)), 0, MONTH(MIN($F$1, DATE(Initialisatie!$C$5,12,31))) - MONTH(MAX($F$2, DATE(Initialisatie!$C$5,1,1))) + 1)),
        IFERROR(VALUE($G178),0) * MAX(0, IF(MIN($G$1, DATE(Initialisatie!$C$5,12,31)) &lt; MAX($G$2, DATE(Initialisatie!$C$5,1,1)), 0, MONTH(MIN($G$1, DATE(Initialisatie!$C$5,12,31))) - MONTH(MAX($G$2, DATE(Initialisatie!$C$5,1,1))) + 1))
    ) / 12
)</f>
        <v>8397</v>
      </c>
    </row>
    <row r="179" spans="1:10" x14ac:dyDescent="0.45">
      <c r="A179" s="999">
        <v>75</v>
      </c>
      <c r="B179" s="373">
        <v>0</v>
      </c>
      <c r="C179" s="373">
        <v>56</v>
      </c>
      <c r="D179" s="48">
        <v>6251</v>
      </c>
      <c r="E179" s="48">
        <v>6501</v>
      </c>
      <c r="F179" s="48">
        <v>6631</v>
      </c>
      <c r="G179" s="48">
        <v>6764</v>
      </c>
      <c r="I179">
        <f>IF(
    OR(
        AND(MAX(0, MIN($D$1, DATE(Initialisatie!$C$5,12,31)) - MAX($D$2, DATE(Initialisatie!$C$5,1,1)) + 1) &gt; 0, IFERROR(VALUE($D179),0)=0),
        AND(MAX(0, MIN($E$1, DATE(Initialisatie!$C$5,12,31)) - MAX($E$2, DATE(Initialisatie!$C$5,1,1)) + 1) &gt; 0, IFERROR(VALUE($E179),0)=0),
        AND(MAX(0, MIN($F$1, DATE(Initialisatie!$C$5,12,31)) - MAX($F$2, DATE(Initialisatie!$C$5,1,1)) + 1) &gt; 0, IFERROR(VALUE($F179),0)=0),
        AND(MAX(0, MIN($G$1, DATE(Initialisatie!$C$5,12,31)) - MAX($G$2, DATE(Initialisatie!$C$5,1,1)) + 1) &gt; 0, IFERROR(VALUE($G179),0)=0)
    ),
    0,
    SUM(
        IFERROR(VALUE($D179),0) * MAX(0, MIN($D$1, DATE(Initialisatie!$C$5,12,31)) - MAX($D$2, DATE(Initialisatie!$C$5,1,1)) + 1),
        IFERROR(VALUE($E179),0) * MAX(0, MIN($E$1, DATE(Initialisatie!$C$5,12,31)) - MAX($E$2, DATE(Initialisatie!$C$5,1,1)) + 1),
        IFERROR(VALUE($F179),0) * MAX(0, MIN($F$1, DATE(Initialisatie!$C$5,12,31)) - MAX($F$2, DATE(Initialisatie!$C$5,1,1)) + 1),
        IFERROR(VALUE($G179),0) * MAX(0, MIN($G$1, DATE(Initialisatie!$C$5,12,31)) - MAX($G$2, DATE(Initialisatie!$C$5,1,1)) + 1)
    ) / (DATE(Initialisatie!$C$5,12,31) - DATE(Initialisatie!$C$5,1,1) + 1)
)</f>
        <v>6610.4876712328769</v>
      </c>
      <c r="J179">
        <f>IF(
    OR(
        AND(MAX(0, IF(MIN($D$1, DATE(Initialisatie!$C$5,12,31)) &lt; MAX($D$2, DATE(Initialisatie!$C$5,1,1)), 0, MONTH(MIN($D$1, DATE(Initialisatie!$C$5,12,31))) - MONTH(MAX($D$2, DATE(Initialisatie!$C$5,1,1))) + 1)) &lt;= 0, IFERROR(VALUE($D179),0)=0),
        AND(MAX(0, IF(MIN($E$1, DATE(Initialisatie!$C$5,12,31)) &lt; MAX($E$2, DATE(Initialisatie!$C$5,1,1)), 0, MONTH(MIN($E$1, DATE(Initialisatie!$C$5,12,31))) - MONTH(MAX($E$2, DATE(Initialisatie!$C$5,1,1))) + 1)) &lt;= 0, IFERROR(VALUE($E179),0)=0),
        AND(MAX(0, IF(MIN($F$1, DATE(Initialisatie!$C$5,12,31)) &lt; MAX($F$2, DATE(Initialisatie!$C$5,1,1)), 0, MONTH(MIN($F$1, DATE(Initialisatie!$C$5,12,31))) - MONTH(MAX($F$2, DATE(Initialisatie!$C$5,1,1))) + 1)) &lt;= 0, IFERROR(VALUE($F179),0)=0),
        AND(MAX(0, IF(MIN($G$1, DATE(Initialisatie!$C$5,12,31)) &lt; MAX($G$2, DATE(Initialisatie!$C$5,1,1)), 0, MONTH(MIN($G$1, DATE(Initialisatie!$C$5,12,31))) - MONTH(MAX($G$2, DATE(Initialisatie!$C$5,1,1))) + 1)) &lt;= 0, IFERROR(VALUE($G179),0)=0)
    ),
    0,
    SUM(
        IFERROR(VALUE($D179),0) * MAX(0, IF(MIN($D$1, DATE(Initialisatie!$C$5,12,31)) &lt; MAX($D$2, DATE(Initialisatie!$C$5,1,1)), 0, MONTH(MIN($D$1, DATE(Initialisatie!$C$5,12,31))) - MONTH(MAX($D$2, DATE(Initialisatie!$C$5,1,1))) + 1)),
        IFERROR(VALUE($E179),0) * MAX(0, IF(MIN($E$1, DATE(Initialisatie!$C$5,12,31)) &lt; MAX($E$2, DATE(Initialisatie!$C$5,1,1)), 0, MONTH(MIN($E$1, DATE(Initialisatie!$C$5,12,31))) - MONTH(MAX($E$2, DATE(Initialisatie!$C$5,1,1))) + 1)),
        IFERROR(VALUE($F179),0) * MAX(0, IF(MIN($F$1, DATE(Initialisatie!$C$5,12,31)) &lt; MAX($F$2, DATE(Initialisatie!$C$5,1,1)), 0, MONTH(MIN($F$1, DATE(Initialisatie!$C$5,12,31))) - MONTH(MAX($F$2, DATE(Initialisatie!$C$5,1,1))) + 1)),
        IFERROR(VALUE($G179),0) * MAX(0, IF(MIN($G$1, DATE(Initialisatie!$C$5,12,31)) &lt; MAX($G$2, DATE(Initialisatie!$C$5,1,1)), 0, MONTH(MIN($G$1, DATE(Initialisatie!$C$5,12,31))) - MONTH(MAX($G$2, DATE(Initialisatie!$C$5,1,1))) + 1))
    ) / 12
)</f>
        <v>6609.833333333333</v>
      </c>
    </row>
    <row r="180" spans="1:10" x14ac:dyDescent="0.45">
      <c r="A180" s="999"/>
      <c r="B180" s="373">
        <v>1</v>
      </c>
      <c r="C180" s="373">
        <v>59</v>
      </c>
      <c r="D180" s="48">
        <v>6495</v>
      </c>
      <c r="E180" s="48">
        <v>6755</v>
      </c>
      <c r="F180" s="48">
        <v>6890</v>
      </c>
      <c r="G180" s="48">
        <v>7028</v>
      </c>
      <c r="I180">
        <f>IF(
    OR(
        AND(MAX(0, MIN($D$1, DATE(Initialisatie!$C$5,12,31)) - MAX($D$2, DATE(Initialisatie!$C$5,1,1)) + 1) &gt; 0, IFERROR(VALUE($D180),0)=0),
        AND(MAX(0, MIN($E$1, DATE(Initialisatie!$C$5,12,31)) - MAX($E$2, DATE(Initialisatie!$C$5,1,1)) + 1) &gt; 0, IFERROR(VALUE($E180),0)=0),
        AND(MAX(0, MIN($F$1, DATE(Initialisatie!$C$5,12,31)) - MAX($F$2, DATE(Initialisatie!$C$5,1,1)) + 1) &gt; 0, IFERROR(VALUE($F180),0)=0),
        AND(MAX(0, MIN($G$1, DATE(Initialisatie!$C$5,12,31)) - MAX($G$2, DATE(Initialisatie!$C$5,1,1)) + 1) &gt; 0, IFERROR(VALUE($G180),0)=0)
    ),
    0,
    SUM(
        IFERROR(VALUE($D180),0) * MAX(0, MIN($D$1, DATE(Initialisatie!$C$5,12,31)) - MAX($D$2, DATE(Initialisatie!$C$5,1,1)) + 1),
        IFERROR(VALUE($E180),0) * MAX(0, MIN($E$1, DATE(Initialisatie!$C$5,12,31)) - MAX($E$2, DATE(Initialisatie!$C$5,1,1)) + 1),
        IFERROR(VALUE($F180),0) * MAX(0, MIN($F$1, DATE(Initialisatie!$C$5,12,31)) - MAX($F$2, DATE(Initialisatie!$C$5,1,1)) + 1),
        IFERROR(VALUE($G180),0) * MAX(0, MIN($G$1, DATE(Initialisatie!$C$5,12,31)) - MAX($G$2, DATE(Initialisatie!$C$5,1,1)) + 1)
    ) / (DATE(Initialisatie!$C$5,12,31) - DATE(Initialisatie!$C$5,1,1) + 1)
)</f>
        <v>6868.6794520547946</v>
      </c>
      <c r="J180">
        <f>IF(
    OR(
        AND(MAX(0, IF(MIN($D$1, DATE(Initialisatie!$C$5,12,31)) &lt; MAX($D$2, DATE(Initialisatie!$C$5,1,1)), 0, MONTH(MIN($D$1, DATE(Initialisatie!$C$5,12,31))) - MONTH(MAX($D$2, DATE(Initialisatie!$C$5,1,1))) + 1)) &lt;= 0, IFERROR(VALUE($D180),0)=0),
        AND(MAX(0, IF(MIN($E$1, DATE(Initialisatie!$C$5,12,31)) &lt; MAX($E$2, DATE(Initialisatie!$C$5,1,1)), 0, MONTH(MIN($E$1, DATE(Initialisatie!$C$5,12,31))) - MONTH(MAX($E$2, DATE(Initialisatie!$C$5,1,1))) + 1)) &lt;= 0, IFERROR(VALUE($E180),0)=0),
        AND(MAX(0, IF(MIN($F$1, DATE(Initialisatie!$C$5,12,31)) &lt; MAX($F$2, DATE(Initialisatie!$C$5,1,1)), 0, MONTH(MIN($F$1, DATE(Initialisatie!$C$5,12,31))) - MONTH(MAX($F$2, DATE(Initialisatie!$C$5,1,1))) + 1)) &lt;= 0, IFERROR(VALUE($F180),0)=0),
        AND(MAX(0, IF(MIN($G$1, DATE(Initialisatie!$C$5,12,31)) &lt; MAX($G$2, DATE(Initialisatie!$C$5,1,1)), 0, MONTH(MIN($G$1, DATE(Initialisatie!$C$5,12,31))) - MONTH(MAX($G$2, DATE(Initialisatie!$C$5,1,1))) + 1)) &lt;= 0, IFERROR(VALUE($G180),0)=0)
    ),
    0,
    SUM(
        IFERROR(VALUE($D180),0) * MAX(0, IF(MIN($D$1, DATE(Initialisatie!$C$5,12,31)) &lt; MAX($D$2, DATE(Initialisatie!$C$5,1,1)), 0, MONTH(MIN($D$1, DATE(Initialisatie!$C$5,12,31))) - MONTH(MAX($D$2, DATE(Initialisatie!$C$5,1,1))) + 1)),
        IFERROR(VALUE($E180),0) * MAX(0, IF(MIN($E$1, DATE(Initialisatie!$C$5,12,31)) &lt; MAX($E$2, DATE(Initialisatie!$C$5,1,1)), 0, MONTH(MIN($E$1, DATE(Initialisatie!$C$5,12,31))) - MONTH(MAX($E$2, DATE(Initialisatie!$C$5,1,1))) + 1)),
        IFERROR(VALUE($F180),0) * MAX(0, IF(MIN($F$1, DATE(Initialisatie!$C$5,12,31)) &lt; MAX($F$2, DATE(Initialisatie!$C$5,1,1)), 0, MONTH(MIN($F$1, DATE(Initialisatie!$C$5,12,31))) - MONTH(MAX($F$2, DATE(Initialisatie!$C$5,1,1))) + 1)),
        IFERROR(VALUE($G180),0) * MAX(0, IF(MIN($G$1, DATE(Initialisatie!$C$5,12,31)) &lt; MAX($G$2, DATE(Initialisatie!$C$5,1,1)), 0, MONTH(MIN($G$1, DATE(Initialisatie!$C$5,12,31))) - MONTH(MAX($G$2, DATE(Initialisatie!$C$5,1,1))) + 1))
    ) / 12
)</f>
        <v>6868</v>
      </c>
    </row>
    <row r="181" spans="1:10" x14ac:dyDescent="0.45">
      <c r="A181" s="999"/>
      <c r="B181" s="373">
        <v>2</v>
      </c>
      <c r="C181" s="373">
        <v>62</v>
      </c>
      <c r="D181" s="48">
        <v>6742</v>
      </c>
      <c r="E181" s="48">
        <v>7012</v>
      </c>
      <c r="F181" s="48">
        <v>7152</v>
      </c>
      <c r="G181" s="48">
        <v>7295</v>
      </c>
      <c r="I181">
        <f>IF(
    OR(
        AND(MAX(0, MIN($D$1, DATE(Initialisatie!$C$5,12,31)) - MAX($D$2, DATE(Initialisatie!$C$5,1,1)) + 1) &gt; 0, IFERROR(VALUE($D181),0)=0),
        AND(MAX(0, MIN($E$1, DATE(Initialisatie!$C$5,12,31)) - MAX($E$2, DATE(Initialisatie!$C$5,1,1)) + 1) &gt; 0, IFERROR(VALUE($E181),0)=0),
        AND(MAX(0, MIN($F$1, DATE(Initialisatie!$C$5,12,31)) - MAX($F$2, DATE(Initialisatie!$C$5,1,1)) + 1) &gt; 0, IFERROR(VALUE($F181),0)=0),
        AND(MAX(0, MIN($G$1, DATE(Initialisatie!$C$5,12,31)) - MAX($G$2, DATE(Initialisatie!$C$5,1,1)) + 1) &gt; 0, IFERROR(VALUE($G181),0)=0)
    ),
    0,
    SUM(
        IFERROR(VALUE($D181),0) * MAX(0, MIN($D$1, DATE(Initialisatie!$C$5,12,31)) - MAX($D$2, DATE(Initialisatie!$C$5,1,1)) + 1),
        IFERROR(VALUE($E181),0) * MAX(0, MIN($E$1, DATE(Initialisatie!$C$5,12,31)) - MAX($E$2, DATE(Initialisatie!$C$5,1,1)) + 1),
        IFERROR(VALUE($F181),0) * MAX(0, MIN($F$1, DATE(Initialisatie!$C$5,12,31)) - MAX($F$2, DATE(Initialisatie!$C$5,1,1)) + 1),
        IFERROR(VALUE($G181),0) * MAX(0, MIN($G$1, DATE(Initialisatie!$C$5,12,31)) - MAX($G$2, DATE(Initialisatie!$C$5,1,1)) + 1)
    ) / (DATE(Initialisatie!$C$5,12,31) - DATE(Initialisatie!$C$5,1,1) + 1)
)</f>
        <v>7129.8712328767124</v>
      </c>
      <c r="J181">
        <f>IF(
    OR(
        AND(MAX(0, IF(MIN($D$1, DATE(Initialisatie!$C$5,12,31)) &lt; MAX($D$2, DATE(Initialisatie!$C$5,1,1)), 0, MONTH(MIN($D$1, DATE(Initialisatie!$C$5,12,31))) - MONTH(MAX($D$2, DATE(Initialisatie!$C$5,1,1))) + 1)) &lt;= 0, IFERROR(VALUE($D181),0)=0),
        AND(MAX(0, IF(MIN($E$1, DATE(Initialisatie!$C$5,12,31)) &lt; MAX($E$2, DATE(Initialisatie!$C$5,1,1)), 0, MONTH(MIN($E$1, DATE(Initialisatie!$C$5,12,31))) - MONTH(MAX($E$2, DATE(Initialisatie!$C$5,1,1))) + 1)) &lt;= 0, IFERROR(VALUE($E181),0)=0),
        AND(MAX(0, IF(MIN($F$1, DATE(Initialisatie!$C$5,12,31)) &lt; MAX($F$2, DATE(Initialisatie!$C$5,1,1)), 0, MONTH(MIN($F$1, DATE(Initialisatie!$C$5,12,31))) - MONTH(MAX($F$2, DATE(Initialisatie!$C$5,1,1))) + 1)) &lt;= 0, IFERROR(VALUE($F181),0)=0),
        AND(MAX(0, IF(MIN($G$1, DATE(Initialisatie!$C$5,12,31)) &lt; MAX($G$2, DATE(Initialisatie!$C$5,1,1)), 0, MONTH(MIN($G$1, DATE(Initialisatie!$C$5,12,31))) - MONTH(MAX($G$2, DATE(Initialisatie!$C$5,1,1))) + 1)) &lt;= 0, IFERROR(VALUE($G181),0)=0)
    ),
    0,
    SUM(
        IFERROR(VALUE($D181),0) * MAX(0, IF(MIN($D$1, DATE(Initialisatie!$C$5,12,31)) &lt; MAX($D$2, DATE(Initialisatie!$C$5,1,1)), 0, MONTH(MIN($D$1, DATE(Initialisatie!$C$5,12,31))) - MONTH(MAX($D$2, DATE(Initialisatie!$C$5,1,1))) + 1)),
        IFERROR(VALUE($E181),0) * MAX(0, IF(MIN($E$1, DATE(Initialisatie!$C$5,12,31)) &lt; MAX($E$2, DATE(Initialisatie!$C$5,1,1)), 0, MONTH(MIN($E$1, DATE(Initialisatie!$C$5,12,31))) - MONTH(MAX($E$2, DATE(Initialisatie!$C$5,1,1))) + 1)),
        IFERROR(VALUE($F181),0) * MAX(0, IF(MIN($F$1, DATE(Initialisatie!$C$5,12,31)) &lt; MAX($F$2, DATE(Initialisatie!$C$5,1,1)), 0, MONTH(MIN($F$1, DATE(Initialisatie!$C$5,12,31))) - MONTH(MAX($F$2, DATE(Initialisatie!$C$5,1,1))) + 1)),
        IFERROR(VALUE($G181),0) * MAX(0, IF(MIN($G$1, DATE(Initialisatie!$C$5,12,31)) &lt; MAX($G$2, DATE(Initialisatie!$C$5,1,1)), 0, MONTH(MIN($G$1, DATE(Initialisatie!$C$5,12,31))) - MONTH(MAX($G$2, DATE(Initialisatie!$C$5,1,1))) + 1))
    ) / 12
)</f>
        <v>7129.166666666667</v>
      </c>
    </row>
    <row r="182" spans="1:10" x14ac:dyDescent="0.45">
      <c r="A182" s="999"/>
      <c r="B182" s="373">
        <v>3</v>
      </c>
      <c r="C182" s="373">
        <v>65</v>
      </c>
      <c r="D182" s="48">
        <v>7013</v>
      </c>
      <c r="E182" s="48">
        <v>7294</v>
      </c>
      <c r="F182" s="48">
        <v>7440</v>
      </c>
      <c r="G182" s="48">
        <v>7589</v>
      </c>
      <c r="I182">
        <f>IF(
    OR(
        AND(MAX(0, MIN($D$1, DATE(Initialisatie!$C$5,12,31)) - MAX($D$2, DATE(Initialisatie!$C$5,1,1)) + 1) &gt; 0, IFERROR(VALUE($D182),0)=0),
        AND(MAX(0, MIN($E$1, DATE(Initialisatie!$C$5,12,31)) - MAX($E$2, DATE(Initialisatie!$C$5,1,1)) + 1) &gt; 0, IFERROR(VALUE($E182),0)=0),
        AND(MAX(0, MIN($F$1, DATE(Initialisatie!$C$5,12,31)) - MAX($F$2, DATE(Initialisatie!$C$5,1,1)) + 1) &gt; 0, IFERROR(VALUE($F182),0)=0),
        AND(MAX(0, MIN($G$1, DATE(Initialisatie!$C$5,12,31)) - MAX($G$2, DATE(Initialisatie!$C$5,1,1)) + 1) &gt; 0, IFERROR(VALUE($G182),0)=0)
    ),
    0,
    SUM(
        IFERROR(VALUE($D182),0) * MAX(0, MIN($D$1, DATE(Initialisatie!$C$5,12,31)) - MAX($D$2, DATE(Initialisatie!$C$5,1,1)) + 1),
        IFERROR(VALUE($E182),0) * MAX(0, MIN($E$1, DATE(Initialisatie!$C$5,12,31)) - MAX($E$2, DATE(Initialisatie!$C$5,1,1)) + 1),
        IFERROR(VALUE($F182),0) * MAX(0, MIN($F$1, DATE(Initialisatie!$C$5,12,31)) - MAX($F$2, DATE(Initialisatie!$C$5,1,1)) + 1),
        IFERROR(VALUE($G182),0) * MAX(0, MIN($G$1, DATE(Initialisatie!$C$5,12,31)) - MAX($G$2, DATE(Initialisatie!$C$5,1,1)) + 1)
    ) / (DATE(Initialisatie!$C$5,12,31) - DATE(Initialisatie!$C$5,1,1) + 1)
)</f>
        <v>7416.9013698630133</v>
      </c>
      <c r="J182">
        <f>IF(
    OR(
        AND(MAX(0, IF(MIN($D$1, DATE(Initialisatie!$C$5,12,31)) &lt; MAX($D$2, DATE(Initialisatie!$C$5,1,1)), 0, MONTH(MIN($D$1, DATE(Initialisatie!$C$5,12,31))) - MONTH(MAX($D$2, DATE(Initialisatie!$C$5,1,1))) + 1)) &lt;= 0, IFERROR(VALUE($D182),0)=0),
        AND(MAX(0, IF(MIN($E$1, DATE(Initialisatie!$C$5,12,31)) &lt; MAX($E$2, DATE(Initialisatie!$C$5,1,1)), 0, MONTH(MIN($E$1, DATE(Initialisatie!$C$5,12,31))) - MONTH(MAX($E$2, DATE(Initialisatie!$C$5,1,1))) + 1)) &lt;= 0, IFERROR(VALUE($E182),0)=0),
        AND(MAX(0, IF(MIN($F$1, DATE(Initialisatie!$C$5,12,31)) &lt; MAX($F$2, DATE(Initialisatie!$C$5,1,1)), 0, MONTH(MIN($F$1, DATE(Initialisatie!$C$5,12,31))) - MONTH(MAX($F$2, DATE(Initialisatie!$C$5,1,1))) + 1)) &lt;= 0, IFERROR(VALUE($F182),0)=0),
        AND(MAX(0, IF(MIN($G$1, DATE(Initialisatie!$C$5,12,31)) &lt; MAX($G$2, DATE(Initialisatie!$C$5,1,1)), 0, MONTH(MIN($G$1, DATE(Initialisatie!$C$5,12,31))) - MONTH(MAX($G$2, DATE(Initialisatie!$C$5,1,1))) + 1)) &lt;= 0, IFERROR(VALUE($G182),0)=0)
    ),
    0,
    SUM(
        IFERROR(VALUE($D182),0) * MAX(0, IF(MIN($D$1, DATE(Initialisatie!$C$5,12,31)) &lt; MAX($D$2, DATE(Initialisatie!$C$5,1,1)), 0, MONTH(MIN($D$1, DATE(Initialisatie!$C$5,12,31))) - MONTH(MAX($D$2, DATE(Initialisatie!$C$5,1,1))) + 1)),
        IFERROR(VALUE($E182),0) * MAX(0, IF(MIN($E$1, DATE(Initialisatie!$C$5,12,31)) &lt; MAX($E$2, DATE(Initialisatie!$C$5,1,1)), 0, MONTH(MIN($E$1, DATE(Initialisatie!$C$5,12,31))) - MONTH(MAX($E$2, DATE(Initialisatie!$C$5,1,1))) + 1)),
        IFERROR(VALUE($F182),0) * MAX(0, IF(MIN($F$1, DATE(Initialisatie!$C$5,12,31)) &lt; MAX($F$2, DATE(Initialisatie!$C$5,1,1)), 0, MONTH(MIN($F$1, DATE(Initialisatie!$C$5,12,31))) - MONTH(MAX($F$2, DATE(Initialisatie!$C$5,1,1))) + 1)),
        IFERROR(VALUE($G182),0) * MAX(0, IF(MIN($G$1, DATE(Initialisatie!$C$5,12,31)) &lt; MAX($G$2, DATE(Initialisatie!$C$5,1,1)), 0, MONTH(MIN($G$1, DATE(Initialisatie!$C$5,12,31))) - MONTH(MAX($G$2, DATE(Initialisatie!$C$5,1,1))) + 1))
    ) / 12
)</f>
        <v>7416.166666666667</v>
      </c>
    </row>
    <row r="183" spans="1:10" x14ac:dyDescent="0.45">
      <c r="A183" s="999"/>
      <c r="B183" s="375">
        <v>4</v>
      </c>
      <c r="C183" s="373">
        <v>68</v>
      </c>
      <c r="D183" s="48">
        <v>7320</v>
      </c>
      <c r="E183" s="48">
        <v>7613</v>
      </c>
      <c r="F183" s="48">
        <v>7765</v>
      </c>
      <c r="G183" s="48">
        <v>7920</v>
      </c>
      <c r="I183">
        <f>IF(
    OR(
        AND(MAX(0, MIN($D$1, DATE(Initialisatie!$C$5,12,31)) - MAX($D$2, DATE(Initialisatie!$C$5,1,1)) + 1) &gt; 0, IFERROR(VALUE($D183),0)=0),
        AND(MAX(0, MIN($E$1, DATE(Initialisatie!$C$5,12,31)) - MAX($E$2, DATE(Initialisatie!$C$5,1,1)) + 1) &gt; 0, IFERROR(VALUE($E183),0)=0),
        AND(MAX(0, MIN($F$1, DATE(Initialisatie!$C$5,12,31)) - MAX($F$2, DATE(Initialisatie!$C$5,1,1)) + 1) &gt; 0, IFERROR(VALUE($F183),0)=0),
        AND(MAX(0, MIN($G$1, DATE(Initialisatie!$C$5,12,31)) - MAX($G$2, DATE(Initialisatie!$C$5,1,1)) + 1) &gt; 0, IFERROR(VALUE($G183),0)=0)
    ),
    0,
    SUM(
        IFERROR(VALUE($D183),0) * MAX(0, MIN($D$1, DATE(Initialisatie!$C$5,12,31)) - MAX($D$2, DATE(Initialisatie!$C$5,1,1)) + 1),
        IFERROR(VALUE($E183),0) * MAX(0, MIN($E$1, DATE(Initialisatie!$C$5,12,31)) - MAX($E$2, DATE(Initialisatie!$C$5,1,1)) + 1),
        IFERROR(VALUE($F183),0) * MAX(0, MIN($F$1, DATE(Initialisatie!$C$5,12,31)) - MAX($F$2, DATE(Initialisatie!$C$5,1,1)) + 1),
        IFERROR(VALUE($G183),0) * MAX(0, MIN($G$1, DATE(Initialisatie!$C$5,12,31)) - MAX($G$2, DATE(Initialisatie!$C$5,1,1)) + 1)
    ) / (DATE(Initialisatie!$C$5,12,31) - DATE(Initialisatie!$C$5,1,1) + 1)
)</f>
        <v>7740.9315068493152</v>
      </c>
      <c r="J183">
        <f>IF(
    OR(
        AND(MAX(0, IF(MIN($D$1, DATE(Initialisatie!$C$5,12,31)) &lt; MAX($D$2, DATE(Initialisatie!$C$5,1,1)), 0, MONTH(MIN($D$1, DATE(Initialisatie!$C$5,12,31))) - MONTH(MAX($D$2, DATE(Initialisatie!$C$5,1,1))) + 1)) &lt;= 0, IFERROR(VALUE($D183),0)=0),
        AND(MAX(0, IF(MIN($E$1, DATE(Initialisatie!$C$5,12,31)) &lt; MAX($E$2, DATE(Initialisatie!$C$5,1,1)), 0, MONTH(MIN($E$1, DATE(Initialisatie!$C$5,12,31))) - MONTH(MAX($E$2, DATE(Initialisatie!$C$5,1,1))) + 1)) &lt;= 0, IFERROR(VALUE($E183),0)=0),
        AND(MAX(0, IF(MIN($F$1, DATE(Initialisatie!$C$5,12,31)) &lt; MAX($F$2, DATE(Initialisatie!$C$5,1,1)), 0, MONTH(MIN($F$1, DATE(Initialisatie!$C$5,12,31))) - MONTH(MAX($F$2, DATE(Initialisatie!$C$5,1,1))) + 1)) &lt;= 0, IFERROR(VALUE($F183),0)=0),
        AND(MAX(0, IF(MIN($G$1, DATE(Initialisatie!$C$5,12,31)) &lt; MAX($G$2, DATE(Initialisatie!$C$5,1,1)), 0, MONTH(MIN($G$1, DATE(Initialisatie!$C$5,12,31))) - MONTH(MAX($G$2, DATE(Initialisatie!$C$5,1,1))) + 1)) &lt;= 0, IFERROR(VALUE($G183),0)=0)
    ),
    0,
    SUM(
        IFERROR(VALUE($D183),0) * MAX(0, IF(MIN($D$1, DATE(Initialisatie!$C$5,12,31)) &lt; MAX($D$2, DATE(Initialisatie!$C$5,1,1)), 0, MONTH(MIN($D$1, DATE(Initialisatie!$C$5,12,31))) - MONTH(MAX($D$2, DATE(Initialisatie!$C$5,1,1))) + 1)),
        IFERROR(VALUE($E183),0) * MAX(0, IF(MIN($E$1, DATE(Initialisatie!$C$5,12,31)) &lt; MAX($E$2, DATE(Initialisatie!$C$5,1,1)), 0, MONTH(MIN($E$1, DATE(Initialisatie!$C$5,12,31))) - MONTH(MAX($E$2, DATE(Initialisatie!$C$5,1,1))) + 1)),
        IFERROR(VALUE($F183),0) * MAX(0, IF(MIN($F$1, DATE(Initialisatie!$C$5,12,31)) &lt; MAX($F$2, DATE(Initialisatie!$C$5,1,1)), 0, MONTH(MIN($F$1, DATE(Initialisatie!$C$5,12,31))) - MONTH(MAX($F$2, DATE(Initialisatie!$C$5,1,1))) + 1)),
        IFERROR(VALUE($G183),0) * MAX(0, IF(MIN($G$1, DATE(Initialisatie!$C$5,12,31)) &lt; MAX($G$2, DATE(Initialisatie!$C$5,1,1)), 0, MONTH(MIN($G$1, DATE(Initialisatie!$C$5,12,31))) - MONTH(MAX($G$2, DATE(Initialisatie!$C$5,1,1))) + 1))
    ) / 12
)</f>
        <v>7740.166666666667</v>
      </c>
    </row>
    <row r="184" spans="1:10" x14ac:dyDescent="0.45">
      <c r="A184" s="999"/>
      <c r="B184" s="373">
        <v>5</v>
      </c>
      <c r="C184" s="373">
        <v>71</v>
      </c>
      <c r="D184" s="48">
        <v>7632</v>
      </c>
      <c r="E184" s="48">
        <v>7937</v>
      </c>
      <c r="F184" s="48">
        <v>8096</v>
      </c>
      <c r="G184" s="48">
        <v>8258</v>
      </c>
      <c r="I184">
        <f>IF(
    OR(
        AND(MAX(0, MIN($D$1, DATE(Initialisatie!$C$5,12,31)) - MAX($D$2, DATE(Initialisatie!$C$5,1,1)) + 1) &gt; 0, IFERROR(VALUE($D184),0)=0),
        AND(MAX(0, MIN($E$1, DATE(Initialisatie!$C$5,12,31)) - MAX($E$2, DATE(Initialisatie!$C$5,1,1)) + 1) &gt; 0, IFERROR(VALUE($E184),0)=0),
        AND(MAX(0, MIN($F$1, DATE(Initialisatie!$C$5,12,31)) - MAX($F$2, DATE(Initialisatie!$C$5,1,1)) + 1) &gt; 0, IFERROR(VALUE($F184),0)=0),
        AND(MAX(0, MIN($G$1, DATE(Initialisatie!$C$5,12,31)) - MAX($G$2, DATE(Initialisatie!$C$5,1,1)) + 1) &gt; 0, IFERROR(VALUE($G184),0)=0)
    ),
    0,
    SUM(
        IFERROR(VALUE($D184),0) * MAX(0, MIN($D$1, DATE(Initialisatie!$C$5,12,31)) - MAX($D$2, DATE(Initialisatie!$C$5,1,1)) + 1),
        IFERROR(VALUE($E184),0) * MAX(0, MIN($E$1, DATE(Initialisatie!$C$5,12,31)) - MAX($E$2, DATE(Initialisatie!$C$5,1,1)) + 1),
        IFERROR(VALUE($F184),0) * MAX(0, MIN($F$1, DATE(Initialisatie!$C$5,12,31)) - MAX($F$2, DATE(Initialisatie!$C$5,1,1)) + 1),
        IFERROR(VALUE($G184),0) * MAX(0, MIN($G$1, DATE(Initialisatie!$C$5,12,31)) - MAX($G$2, DATE(Initialisatie!$C$5,1,1)) + 1)
    ) / (DATE(Initialisatie!$C$5,12,31) - DATE(Initialisatie!$C$5,1,1) + 1)
)</f>
        <v>8070.8</v>
      </c>
      <c r="J184">
        <f>IF(
    OR(
        AND(MAX(0, IF(MIN($D$1, DATE(Initialisatie!$C$5,12,31)) &lt; MAX($D$2, DATE(Initialisatie!$C$5,1,1)), 0, MONTH(MIN($D$1, DATE(Initialisatie!$C$5,12,31))) - MONTH(MAX($D$2, DATE(Initialisatie!$C$5,1,1))) + 1)) &lt;= 0, IFERROR(VALUE($D184),0)=0),
        AND(MAX(0, IF(MIN($E$1, DATE(Initialisatie!$C$5,12,31)) &lt; MAX($E$2, DATE(Initialisatie!$C$5,1,1)), 0, MONTH(MIN($E$1, DATE(Initialisatie!$C$5,12,31))) - MONTH(MAX($E$2, DATE(Initialisatie!$C$5,1,1))) + 1)) &lt;= 0, IFERROR(VALUE($E184),0)=0),
        AND(MAX(0, IF(MIN($F$1, DATE(Initialisatie!$C$5,12,31)) &lt; MAX($F$2, DATE(Initialisatie!$C$5,1,1)), 0, MONTH(MIN($F$1, DATE(Initialisatie!$C$5,12,31))) - MONTH(MAX($F$2, DATE(Initialisatie!$C$5,1,1))) + 1)) &lt;= 0, IFERROR(VALUE($F184),0)=0),
        AND(MAX(0, IF(MIN($G$1, DATE(Initialisatie!$C$5,12,31)) &lt; MAX($G$2, DATE(Initialisatie!$C$5,1,1)), 0, MONTH(MIN($G$1, DATE(Initialisatie!$C$5,12,31))) - MONTH(MAX($G$2, DATE(Initialisatie!$C$5,1,1))) + 1)) &lt;= 0, IFERROR(VALUE($G184),0)=0)
    ),
    0,
    SUM(
        IFERROR(VALUE($D184),0) * MAX(0, IF(MIN($D$1, DATE(Initialisatie!$C$5,12,31)) &lt; MAX($D$2, DATE(Initialisatie!$C$5,1,1)), 0, MONTH(MIN($D$1, DATE(Initialisatie!$C$5,12,31))) - MONTH(MAX($D$2, DATE(Initialisatie!$C$5,1,1))) + 1)),
        IFERROR(VALUE($E184),0) * MAX(0, IF(MIN($E$1, DATE(Initialisatie!$C$5,12,31)) &lt; MAX($E$2, DATE(Initialisatie!$C$5,1,1)), 0, MONTH(MIN($E$1, DATE(Initialisatie!$C$5,12,31))) - MONTH(MAX($E$2, DATE(Initialisatie!$C$5,1,1))) + 1)),
        IFERROR(VALUE($F184),0) * MAX(0, IF(MIN($F$1, DATE(Initialisatie!$C$5,12,31)) &lt; MAX($F$2, DATE(Initialisatie!$C$5,1,1)), 0, MONTH(MIN($F$1, DATE(Initialisatie!$C$5,12,31))) - MONTH(MAX($F$2, DATE(Initialisatie!$C$5,1,1))) + 1)),
        IFERROR(VALUE($G184),0) * MAX(0, IF(MIN($G$1, DATE(Initialisatie!$C$5,12,31)) &lt; MAX($G$2, DATE(Initialisatie!$C$5,1,1)), 0, MONTH(MIN($G$1, DATE(Initialisatie!$C$5,12,31))) - MONTH(MAX($G$2, DATE(Initialisatie!$C$5,1,1))) + 1))
    ) / 12
)</f>
        <v>8070</v>
      </c>
    </row>
    <row r="185" spans="1:10" x14ac:dyDescent="0.45">
      <c r="A185" s="999"/>
      <c r="B185" s="375">
        <v>6</v>
      </c>
      <c r="C185" s="373">
        <v>74</v>
      </c>
      <c r="D185" s="48">
        <v>7941</v>
      </c>
      <c r="E185" s="48">
        <v>8259</v>
      </c>
      <c r="F185" s="48">
        <v>8424</v>
      </c>
      <c r="G185" s="48">
        <v>8592</v>
      </c>
      <c r="I185">
        <f>IF(
    OR(
        AND(MAX(0, MIN($D$1, DATE(Initialisatie!$C$5,12,31)) - MAX($D$2, DATE(Initialisatie!$C$5,1,1)) + 1) &gt; 0, IFERROR(VALUE($D185),0)=0),
        AND(MAX(0, MIN($E$1, DATE(Initialisatie!$C$5,12,31)) - MAX($E$2, DATE(Initialisatie!$C$5,1,1)) + 1) &gt; 0, IFERROR(VALUE($E185),0)=0),
        AND(MAX(0, MIN($F$1, DATE(Initialisatie!$C$5,12,31)) - MAX($F$2, DATE(Initialisatie!$C$5,1,1)) + 1) &gt; 0, IFERROR(VALUE($F185),0)=0),
        AND(MAX(0, MIN($G$1, DATE(Initialisatie!$C$5,12,31)) - MAX($G$2, DATE(Initialisatie!$C$5,1,1)) + 1) &gt; 0, IFERROR(VALUE($G185),0)=0)
    ),
    0,
    SUM(
        IFERROR(VALUE($D185),0) * MAX(0, MIN($D$1, DATE(Initialisatie!$C$5,12,31)) - MAX($D$2, DATE(Initialisatie!$C$5,1,1)) + 1),
        IFERROR(VALUE($E185),0) * MAX(0, MIN($E$1, DATE(Initialisatie!$C$5,12,31)) - MAX($E$2, DATE(Initialisatie!$C$5,1,1)) + 1),
        IFERROR(VALUE($F185),0) * MAX(0, MIN($F$1, DATE(Initialisatie!$C$5,12,31)) - MAX($F$2, DATE(Initialisatie!$C$5,1,1)) + 1),
        IFERROR(VALUE($G185),0) * MAX(0, MIN($G$1, DATE(Initialisatie!$C$5,12,31)) - MAX($G$2, DATE(Initialisatie!$C$5,1,1)) + 1)
    ) / (DATE(Initialisatie!$C$5,12,31) - DATE(Initialisatie!$C$5,1,1) + 1)
)</f>
        <v>8397.830136986302</v>
      </c>
      <c r="J185">
        <f>IF(
    OR(
        AND(MAX(0, IF(MIN($D$1, DATE(Initialisatie!$C$5,12,31)) &lt; MAX($D$2, DATE(Initialisatie!$C$5,1,1)), 0, MONTH(MIN($D$1, DATE(Initialisatie!$C$5,12,31))) - MONTH(MAX($D$2, DATE(Initialisatie!$C$5,1,1))) + 1)) &lt;= 0, IFERROR(VALUE($D185),0)=0),
        AND(MAX(0, IF(MIN($E$1, DATE(Initialisatie!$C$5,12,31)) &lt; MAX($E$2, DATE(Initialisatie!$C$5,1,1)), 0, MONTH(MIN($E$1, DATE(Initialisatie!$C$5,12,31))) - MONTH(MAX($E$2, DATE(Initialisatie!$C$5,1,1))) + 1)) &lt;= 0, IFERROR(VALUE($E185),0)=0),
        AND(MAX(0, IF(MIN($F$1, DATE(Initialisatie!$C$5,12,31)) &lt; MAX($F$2, DATE(Initialisatie!$C$5,1,1)), 0, MONTH(MIN($F$1, DATE(Initialisatie!$C$5,12,31))) - MONTH(MAX($F$2, DATE(Initialisatie!$C$5,1,1))) + 1)) &lt;= 0, IFERROR(VALUE($F185),0)=0),
        AND(MAX(0, IF(MIN($G$1, DATE(Initialisatie!$C$5,12,31)) &lt; MAX($G$2, DATE(Initialisatie!$C$5,1,1)), 0, MONTH(MIN($G$1, DATE(Initialisatie!$C$5,12,31))) - MONTH(MAX($G$2, DATE(Initialisatie!$C$5,1,1))) + 1)) &lt;= 0, IFERROR(VALUE($G185),0)=0)
    ),
    0,
    SUM(
        IFERROR(VALUE($D185),0) * MAX(0, IF(MIN($D$1, DATE(Initialisatie!$C$5,12,31)) &lt; MAX($D$2, DATE(Initialisatie!$C$5,1,1)), 0, MONTH(MIN($D$1, DATE(Initialisatie!$C$5,12,31))) - MONTH(MAX($D$2, DATE(Initialisatie!$C$5,1,1))) + 1)),
        IFERROR(VALUE($E185),0) * MAX(0, IF(MIN($E$1, DATE(Initialisatie!$C$5,12,31)) &lt; MAX($E$2, DATE(Initialisatie!$C$5,1,1)), 0, MONTH(MIN($E$1, DATE(Initialisatie!$C$5,12,31))) - MONTH(MAX($E$2, DATE(Initialisatie!$C$5,1,1))) + 1)),
        IFERROR(VALUE($F185),0) * MAX(0, IF(MIN($F$1, DATE(Initialisatie!$C$5,12,31)) &lt; MAX($F$2, DATE(Initialisatie!$C$5,1,1)), 0, MONTH(MIN($F$1, DATE(Initialisatie!$C$5,12,31))) - MONTH(MAX($F$2, DATE(Initialisatie!$C$5,1,1))) + 1)),
        IFERROR(VALUE($G185),0) * MAX(0, IF(MIN($G$1, DATE(Initialisatie!$C$5,12,31)) &lt; MAX($G$2, DATE(Initialisatie!$C$5,1,1)), 0, MONTH(MIN($G$1, DATE(Initialisatie!$C$5,12,31))) - MONTH(MAX($G$2, DATE(Initialisatie!$C$5,1,1))) + 1))
    ) / 12
)</f>
        <v>8397</v>
      </c>
    </row>
    <row r="186" spans="1:10" x14ac:dyDescent="0.45">
      <c r="A186" s="999"/>
      <c r="B186" s="373">
        <v>7</v>
      </c>
      <c r="C186" s="373">
        <v>76</v>
      </c>
      <c r="D186" s="48">
        <v>8146</v>
      </c>
      <c r="E186" s="48">
        <v>8472</v>
      </c>
      <c r="F186" s="48">
        <v>8641</v>
      </c>
      <c r="G186" s="48">
        <v>8814</v>
      </c>
      <c r="I186">
        <f>IF(
    OR(
        AND(MAX(0, MIN($D$1, DATE(Initialisatie!$C$5,12,31)) - MAX($D$2, DATE(Initialisatie!$C$5,1,1)) + 1) &gt; 0, IFERROR(VALUE($D186),0)=0),
        AND(MAX(0, MIN($E$1, DATE(Initialisatie!$C$5,12,31)) - MAX($E$2, DATE(Initialisatie!$C$5,1,1)) + 1) &gt; 0, IFERROR(VALUE($E186),0)=0),
        AND(MAX(0, MIN($F$1, DATE(Initialisatie!$C$5,12,31)) - MAX($F$2, DATE(Initialisatie!$C$5,1,1)) + 1) &gt; 0, IFERROR(VALUE($F186),0)=0),
        AND(MAX(0, MIN($G$1, DATE(Initialisatie!$C$5,12,31)) - MAX($G$2, DATE(Initialisatie!$C$5,1,1)) + 1) &gt; 0, IFERROR(VALUE($G186),0)=0)
    ),
    0,
    SUM(
        IFERROR(VALUE($D186),0) * MAX(0, MIN($D$1, DATE(Initialisatie!$C$5,12,31)) - MAX($D$2, DATE(Initialisatie!$C$5,1,1)) + 1),
        IFERROR(VALUE($E186),0) * MAX(0, MIN($E$1, DATE(Initialisatie!$C$5,12,31)) - MAX($E$2, DATE(Initialisatie!$C$5,1,1)) + 1),
        IFERROR(VALUE($F186),0) * MAX(0, MIN($F$1, DATE(Initialisatie!$C$5,12,31)) - MAX($F$2, DATE(Initialisatie!$C$5,1,1)) + 1),
        IFERROR(VALUE($G186),0) * MAX(0, MIN($G$1, DATE(Initialisatie!$C$5,12,31)) - MAX($G$2, DATE(Initialisatie!$C$5,1,1)) + 1)
    ) / (DATE(Initialisatie!$C$5,12,31) - DATE(Initialisatie!$C$5,1,1) + 1)
)</f>
        <v>8614.3506849315072</v>
      </c>
      <c r="J186">
        <f>IF(
    OR(
        AND(MAX(0, IF(MIN($D$1, DATE(Initialisatie!$C$5,12,31)) &lt; MAX($D$2, DATE(Initialisatie!$C$5,1,1)), 0, MONTH(MIN($D$1, DATE(Initialisatie!$C$5,12,31))) - MONTH(MAX($D$2, DATE(Initialisatie!$C$5,1,1))) + 1)) &lt;= 0, IFERROR(VALUE($D186),0)=0),
        AND(MAX(0, IF(MIN($E$1, DATE(Initialisatie!$C$5,12,31)) &lt; MAX($E$2, DATE(Initialisatie!$C$5,1,1)), 0, MONTH(MIN($E$1, DATE(Initialisatie!$C$5,12,31))) - MONTH(MAX($E$2, DATE(Initialisatie!$C$5,1,1))) + 1)) &lt;= 0, IFERROR(VALUE($E186),0)=0),
        AND(MAX(0, IF(MIN($F$1, DATE(Initialisatie!$C$5,12,31)) &lt; MAX($F$2, DATE(Initialisatie!$C$5,1,1)), 0, MONTH(MIN($F$1, DATE(Initialisatie!$C$5,12,31))) - MONTH(MAX($F$2, DATE(Initialisatie!$C$5,1,1))) + 1)) &lt;= 0, IFERROR(VALUE($F186),0)=0),
        AND(MAX(0, IF(MIN($G$1, DATE(Initialisatie!$C$5,12,31)) &lt; MAX($G$2, DATE(Initialisatie!$C$5,1,1)), 0, MONTH(MIN($G$1, DATE(Initialisatie!$C$5,12,31))) - MONTH(MAX($G$2, DATE(Initialisatie!$C$5,1,1))) + 1)) &lt;= 0, IFERROR(VALUE($G186),0)=0)
    ),
    0,
    SUM(
        IFERROR(VALUE($D186),0) * MAX(0, IF(MIN($D$1, DATE(Initialisatie!$C$5,12,31)) &lt; MAX($D$2, DATE(Initialisatie!$C$5,1,1)), 0, MONTH(MIN($D$1, DATE(Initialisatie!$C$5,12,31))) - MONTH(MAX($D$2, DATE(Initialisatie!$C$5,1,1))) + 1)),
        IFERROR(VALUE($E186),0) * MAX(0, IF(MIN($E$1, DATE(Initialisatie!$C$5,12,31)) &lt; MAX($E$2, DATE(Initialisatie!$C$5,1,1)), 0, MONTH(MIN($E$1, DATE(Initialisatie!$C$5,12,31))) - MONTH(MAX($E$2, DATE(Initialisatie!$C$5,1,1))) + 1)),
        IFERROR(VALUE($F186),0) * MAX(0, IF(MIN($F$1, DATE(Initialisatie!$C$5,12,31)) &lt; MAX($F$2, DATE(Initialisatie!$C$5,1,1)), 0, MONTH(MIN($F$1, DATE(Initialisatie!$C$5,12,31))) - MONTH(MAX($F$2, DATE(Initialisatie!$C$5,1,1))) + 1)),
        IFERROR(VALUE($G186),0) * MAX(0, IF(MIN($G$1, DATE(Initialisatie!$C$5,12,31)) &lt; MAX($G$2, DATE(Initialisatie!$C$5,1,1)), 0, MONTH(MIN($G$1, DATE(Initialisatie!$C$5,12,31))) - MONTH(MAX($G$2, DATE(Initialisatie!$C$5,1,1))) + 1))
    ) / 12
)</f>
        <v>8613.5</v>
      </c>
    </row>
    <row r="187" spans="1:10" x14ac:dyDescent="0.45">
      <c r="A187" s="999"/>
      <c r="B187" s="376">
        <v>8</v>
      </c>
      <c r="C187" s="373">
        <v>78</v>
      </c>
      <c r="D187" s="48">
        <v>8363</v>
      </c>
      <c r="E187" s="48">
        <v>8698</v>
      </c>
      <c r="F187" s="48">
        <v>8872</v>
      </c>
      <c r="G187" s="48">
        <v>9049</v>
      </c>
      <c r="I187">
        <f>IF(
    OR(
        AND(MAX(0, MIN($D$1, DATE(Initialisatie!$C$5,12,31)) - MAX($D$2, DATE(Initialisatie!$C$5,1,1)) + 1) &gt; 0, IFERROR(VALUE($D187),0)=0),
        AND(MAX(0, MIN($E$1, DATE(Initialisatie!$C$5,12,31)) - MAX($E$2, DATE(Initialisatie!$C$5,1,1)) + 1) &gt; 0, IFERROR(VALUE($E187),0)=0),
        AND(MAX(0, MIN($F$1, DATE(Initialisatie!$C$5,12,31)) - MAX($F$2, DATE(Initialisatie!$C$5,1,1)) + 1) &gt; 0, IFERROR(VALUE($F187),0)=0),
        AND(MAX(0, MIN($G$1, DATE(Initialisatie!$C$5,12,31)) - MAX($G$2, DATE(Initialisatie!$C$5,1,1)) + 1) &gt; 0, IFERROR(VALUE($G187),0)=0)
    ),
    0,
    SUM(
        IFERROR(VALUE($D187),0) * MAX(0, MIN($D$1, DATE(Initialisatie!$C$5,12,31)) - MAX($D$2, DATE(Initialisatie!$C$5,1,1)) + 1),
        IFERROR(VALUE($E187),0) * MAX(0, MIN($E$1, DATE(Initialisatie!$C$5,12,31)) - MAX($E$2, DATE(Initialisatie!$C$5,1,1)) + 1),
        IFERROR(VALUE($F187),0) * MAX(0, MIN($F$1, DATE(Initialisatie!$C$5,12,31)) - MAX($F$2, DATE(Initialisatie!$C$5,1,1)) + 1),
        IFERROR(VALUE($G187),0) * MAX(0, MIN($G$1, DATE(Initialisatie!$C$5,12,31)) - MAX($G$2, DATE(Initialisatie!$C$5,1,1)) + 1)
    ) / (DATE(Initialisatie!$C$5,12,31) - DATE(Initialisatie!$C$5,1,1) + 1)
)</f>
        <v>8844.3753424657534</v>
      </c>
      <c r="J187">
        <f>IF(
    OR(
        AND(MAX(0, IF(MIN($D$1, DATE(Initialisatie!$C$5,12,31)) &lt; MAX($D$2, DATE(Initialisatie!$C$5,1,1)), 0, MONTH(MIN($D$1, DATE(Initialisatie!$C$5,12,31))) - MONTH(MAX($D$2, DATE(Initialisatie!$C$5,1,1))) + 1)) &lt;= 0, IFERROR(VALUE($D187),0)=0),
        AND(MAX(0, IF(MIN($E$1, DATE(Initialisatie!$C$5,12,31)) &lt; MAX($E$2, DATE(Initialisatie!$C$5,1,1)), 0, MONTH(MIN($E$1, DATE(Initialisatie!$C$5,12,31))) - MONTH(MAX($E$2, DATE(Initialisatie!$C$5,1,1))) + 1)) &lt;= 0, IFERROR(VALUE($E187),0)=0),
        AND(MAX(0, IF(MIN($F$1, DATE(Initialisatie!$C$5,12,31)) &lt; MAX($F$2, DATE(Initialisatie!$C$5,1,1)), 0, MONTH(MIN($F$1, DATE(Initialisatie!$C$5,12,31))) - MONTH(MAX($F$2, DATE(Initialisatie!$C$5,1,1))) + 1)) &lt;= 0, IFERROR(VALUE($F187),0)=0),
        AND(MAX(0, IF(MIN($G$1, DATE(Initialisatie!$C$5,12,31)) &lt; MAX($G$2, DATE(Initialisatie!$C$5,1,1)), 0, MONTH(MIN($G$1, DATE(Initialisatie!$C$5,12,31))) - MONTH(MAX($G$2, DATE(Initialisatie!$C$5,1,1))) + 1)) &lt;= 0, IFERROR(VALUE($G187),0)=0)
    ),
    0,
    SUM(
        IFERROR(VALUE($D187),0) * MAX(0, IF(MIN($D$1, DATE(Initialisatie!$C$5,12,31)) &lt; MAX($D$2, DATE(Initialisatie!$C$5,1,1)), 0, MONTH(MIN($D$1, DATE(Initialisatie!$C$5,12,31))) - MONTH(MAX($D$2, DATE(Initialisatie!$C$5,1,1))) + 1)),
        IFERROR(VALUE($E187),0) * MAX(0, IF(MIN($E$1, DATE(Initialisatie!$C$5,12,31)) &lt; MAX($E$2, DATE(Initialisatie!$C$5,1,1)), 0, MONTH(MIN($E$1, DATE(Initialisatie!$C$5,12,31))) - MONTH(MAX($E$2, DATE(Initialisatie!$C$5,1,1))) + 1)),
        IFERROR(VALUE($F187),0) * MAX(0, IF(MIN($F$1, DATE(Initialisatie!$C$5,12,31)) &lt; MAX($F$2, DATE(Initialisatie!$C$5,1,1)), 0, MONTH(MIN($F$1, DATE(Initialisatie!$C$5,12,31))) - MONTH(MAX($F$2, DATE(Initialisatie!$C$5,1,1))) + 1)),
        IFERROR(VALUE($G187),0) * MAX(0, IF(MIN($G$1, DATE(Initialisatie!$C$5,12,31)) &lt; MAX($G$2, DATE(Initialisatie!$C$5,1,1)), 0, MONTH(MIN($G$1, DATE(Initialisatie!$C$5,12,31))) - MONTH(MAX($G$2, DATE(Initialisatie!$C$5,1,1))) + 1))
    ) / 12
)</f>
        <v>8843.5</v>
      </c>
    </row>
    <row r="188" spans="1:10" x14ac:dyDescent="0.45">
      <c r="A188" s="999"/>
      <c r="B188" s="372">
        <v>9</v>
      </c>
      <c r="C188" s="373">
        <v>80</v>
      </c>
      <c r="D188" s="48">
        <v>8592</v>
      </c>
      <c r="E188" s="48">
        <v>8936</v>
      </c>
      <c r="F188" s="48">
        <v>9115</v>
      </c>
      <c r="G188" s="48">
        <v>9297</v>
      </c>
      <c r="I188">
        <f>IF(
    OR(
        AND(MAX(0, MIN($D$1, DATE(Initialisatie!$C$5,12,31)) - MAX($D$2, DATE(Initialisatie!$C$5,1,1)) + 1) &gt; 0, IFERROR(VALUE($D188),0)=0),
        AND(MAX(0, MIN($E$1, DATE(Initialisatie!$C$5,12,31)) - MAX($E$2, DATE(Initialisatie!$C$5,1,1)) + 1) &gt; 0, IFERROR(VALUE($E188),0)=0),
        AND(MAX(0, MIN($F$1, DATE(Initialisatie!$C$5,12,31)) - MAX($F$2, DATE(Initialisatie!$C$5,1,1)) + 1) &gt; 0, IFERROR(VALUE($F188),0)=0),
        AND(MAX(0, MIN($G$1, DATE(Initialisatie!$C$5,12,31)) - MAX($G$2, DATE(Initialisatie!$C$5,1,1)) + 1) &gt; 0, IFERROR(VALUE($G188),0)=0)
    ),
    0,
    SUM(
        IFERROR(VALUE($D188),0) * MAX(0, MIN($D$1, DATE(Initialisatie!$C$5,12,31)) - MAX($D$2, DATE(Initialisatie!$C$5,1,1)) + 1),
        IFERROR(VALUE($E188),0) * MAX(0, MIN($E$1, DATE(Initialisatie!$C$5,12,31)) - MAX($E$2, DATE(Initialisatie!$C$5,1,1)) + 1),
        IFERROR(VALUE($F188),0) * MAX(0, MIN($F$1, DATE(Initialisatie!$C$5,12,31)) - MAX($F$2, DATE(Initialisatie!$C$5,1,1)) + 1),
        IFERROR(VALUE($G188),0) * MAX(0, MIN($G$1, DATE(Initialisatie!$C$5,12,31)) - MAX($G$2, DATE(Initialisatie!$C$5,1,1)) + 1)
    ) / (DATE(Initialisatie!$C$5,12,31) - DATE(Initialisatie!$C$5,1,1) + 1)
)</f>
        <v>9086.5671232876721</v>
      </c>
      <c r="J188">
        <f>IF(
    OR(
        AND(MAX(0, IF(MIN($D$1, DATE(Initialisatie!$C$5,12,31)) &lt; MAX($D$2, DATE(Initialisatie!$C$5,1,1)), 0, MONTH(MIN($D$1, DATE(Initialisatie!$C$5,12,31))) - MONTH(MAX($D$2, DATE(Initialisatie!$C$5,1,1))) + 1)) &lt;= 0, IFERROR(VALUE($D188),0)=0),
        AND(MAX(0, IF(MIN($E$1, DATE(Initialisatie!$C$5,12,31)) &lt; MAX($E$2, DATE(Initialisatie!$C$5,1,1)), 0, MONTH(MIN($E$1, DATE(Initialisatie!$C$5,12,31))) - MONTH(MAX($E$2, DATE(Initialisatie!$C$5,1,1))) + 1)) &lt;= 0, IFERROR(VALUE($E188),0)=0),
        AND(MAX(0, IF(MIN($F$1, DATE(Initialisatie!$C$5,12,31)) &lt; MAX($F$2, DATE(Initialisatie!$C$5,1,1)), 0, MONTH(MIN($F$1, DATE(Initialisatie!$C$5,12,31))) - MONTH(MAX($F$2, DATE(Initialisatie!$C$5,1,1))) + 1)) &lt;= 0, IFERROR(VALUE($F188),0)=0),
        AND(MAX(0, IF(MIN($G$1, DATE(Initialisatie!$C$5,12,31)) &lt; MAX($G$2, DATE(Initialisatie!$C$5,1,1)), 0, MONTH(MIN($G$1, DATE(Initialisatie!$C$5,12,31))) - MONTH(MAX($G$2, DATE(Initialisatie!$C$5,1,1))) + 1)) &lt;= 0, IFERROR(VALUE($G188),0)=0)
    ),
    0,
    SUM(
        IFERROR(VALUE($D188),0) * MAX(0, IF(MIN($D$1, DATE(Initialisatie!$C$5,12,31)) &lt; MAX($D$2, DATE(Initialisatie!$C$5,1,1)), 0, MONTH(MIN($D$1, DATE(Initialisatie!$C$5,12,31))) - MONTH(MAX($D$2, DATE(Initialisatie!$C$5,1,1))) + 1)),
        IFERROR(VALUE($E188),0) * MAX(0, IF(MIN($E$1, DATE(Initialisatie!$C$5,12,31)) &lt; MAX($E$2, DATE(Initialisatie!$C$5,1,1)), 0, MONTH(MIN($E$1, DATE(Initialisatie!$C$5,12,31))) - MONTH(MAX($E$2, DATE(Initialisatie!$C$5,1,1))) + 1)),
        IFERROR(VALUE($F188),0) * MAX(0, IF(MIN($F$1, DATE(Initialisatie!$C$5,12,31)) &lt; MAX($F$2, DATE(Initialisatie!$C$5,1,1)), 0, MONTH(MIN($F$1, DATE(Initialisatie!$C$5,12,31))) - MONTH(MAX($F$2, DATE(Initialisatie!$C$5,1,1))) + 1)),
        IFERROR(VALUE($G188),0) * MAX(0, IF(MIN($G$1, DATE(Initialisatie!$C$5,12,31)) &lt; MAX($G$2, DATE(Initialisatie!$C$5,1,1)), 0, MONTH(MIN($G$1, DATE(Initialisatie!$C$5,12,31))) - MONTH(MAX($G$2, DATE(Initialisatie!$C$5,1,1))) + 1))
    ) / 12
)</f>
        <v>9085.6666666666661</v>
      </c>
    </row>
    <row r="189" spans="1:10" x14ac:dyDescent="0.45">
      <c r="A189" s="999"/>
      <c r="B189" s="373">
        <v>10</v>
      </c>
      <c r="C189" s="373">
        <v>82</v>
      </c>
      <c r="D189" s="48">
        <v>8825</v>
      </c>
      <c r="E189" s="48">
        <v>9178</v>
      </c>
      <c r="F189" s="48">
        <v>9362</v>
      </c>
      <c r="G189" s="48">
        <v>9549</v>
      </c>
      <c r="I189">
        <f>IF(
    OR(
        AND(MAX(0, MIN($D$1, DATE(Initialisatie!$C$5,12,31)) - MAX($D$2, DATE(Initialisatie!$C$5,1,1)) + 1) &gt; 0, IFERROR(VALUE($D189),0)=0),
        AND(MAX(0, MIN($E$1, DATE(Initialisatie!$C$5,12,31)) - MAX($E$2, DATE(Initialisatie!$C$5,1,1)) + 1) &gt; 0, IFERROR(VALUE($E189),0)=0),
        AND(MAX(0, MIN($F$1, DATE(Initialisatie!$C$5,12,31)) - MAX($F$2, DATE(Initialisatie!$C$5,1,1)) + 1) &gt; 0, IFERROR(VALUE($F189),0)=0),
        AND(MAX(0, MIN($G$1, DATE(Initialisatie!$C$5,12,31)) - MAX($G$2, DATE(Initialisatie!$C$5,1,1)) + 1) &gt; 0, IFERROR(VALUE($G189),0)=0)
    ),
    0,
    SUM(
        IFERROR(VALUE($D189),0) * MAX(0, MIN($D$1, DATE(Initialisatie!$C$5,12,31)) - MAX($D$2, DATE(Initialisatie!$C$5,1,1)) + 1),
        IFERROR(VALUE($E189),0) * MAX(0, MIN($E$1, DATE(Initialisatie!$C$5,12,31)) - MAX($E$2, DATE(Initialisatie!$C$5,1,1)) + 1),
        IFERROR(VALUE($F189),0) * MAX(0, MIN($F$1, DATE(Initialisatie!$C$5,12,31)) - MAX($F$2, DATE(Initialisatie!$C$5,1,1)) + 1),
        IFERROR(VALUE($G189),0) * MAX(0, MIN($G$1, DATE(Initialisatie!$C$5,12,31)) - MAX($G$2, DATE(Initialisatie!$C$5,1,1)) + 1)
    ) / (DATE(Initialisatie!$C$5,12,31) - DATE(Initialisatie!$C$5,1,1) + 1)
)</f>
        <v>9332.7589041095889</v>
      </c>
      <c r="J189">
        <f>IF(
    OR(
        AND(MAX(0, IF(MIN($D$1, DATE(Initialisatie!$C$5,12,31)) &lt; MAX($D$2, DATE(Initialisatie!$C$5,1,1)), 0, MONTH(MIN($D$1, DATE(Initialisatie!$C$5,12,31))) - MONTH(MAX($D$2, DATE(Initialisatie!$C$5,1,1))) + 1)) &lt;= 0, IFERROR(VALUE($D189),0)=0),
        AND(MAX(0, IF(MIN($E$1, DATE(Initialisatie!$C$5,12,31)) &lt; MAX($E$2, DATE(Initialisatie!$C$5,1,1)), 0, MONTH(MIN($E$1, DATE(Initialisatie!$C$5,12,31))) - MONTH(MAX($E$2, DATE(Initialisatie!$C$5,1,1))) + 1)) &lt;= 0, IFERROR(VALUE($E189),0)=0),
        AND(MAX(0, IF(MIN($F$1, DATE(Initialisatie!$C$5,12,31)) &lt; MAX($F$2, DATE(Initialisatie!$C$5,1,1)), 0, MONTH(MIN($F$1, DATE(Initialisatie!$C$5,12,31))) - MONTH(MAX($F$2, DATE(Initialisatie!$C$5,1,1))) + 1)) &lt;= 0, IFERROR(VALUE($F189),0)=0),
        AND(MAX(0, IF(MIN($G$1, DATE(Initialisatie!$C$5,12,31)) &lt; MAX($G$2, DATE(Initialisatie!$C$5,1,1)), 0, MONTH(MIN($G$1, DATE(Initialisatie!$C$5,12,31))) - MONTH(MAX($G$2, DATE(Initialisatie!$C$5,1,1))) + 1)) &lt;= 0, IFERROR(VALUE($G189),0)=0)
    ),
    0,
    SUM(
        IFERROR(VALUE($D189),0) * MAX(0, IF(MIN($D$1, DATE(Initialisatie!$C$5,12,31)) &lt; MAX($D$2, DATE(Initialisatie!$C$5,1,1)), 0, MONTH(MIN($D$1, DATE(Initialisatie!$C$5,12,31))) - MONTH(MAX($D$2, DATE(Initialisatie!$C$5,1,1))) + 1)),
        IFERROR(VALUE($E189),0) * MAX(0, IF(MIN($E$1, DATE(Initialisatie!$C$5,12,31)) &lt; MAX($E$2, DATE(Initialisatie!$C$5,1,1)), 0, MONTH(MIN($E$1, DATE(Initialisatie!$C$5,12,31))) - MONTH(MAX($E$2, DATE(Initialisatie!$C$5,1,1))) + 1)),
        IFERROR(VALUE($F189),0) * MAX(0, IF(MIN($F$1, DATE(Initialisatie!$C$5,12,31)) &lt; MAX($F$2, DATE(Initialisatie!$C$5,1,1)), 0, MONTH(MIN($F$1, DATE(Initialisatie!$C$5,12,31))) - MONTH(MAX($F$2, DATE(Initialisatie!$C$5,1,1))) + 1)),
        IFERROR(VALUE($G189),0) * MAX(0, IF(MIN($G$1, DATE(Initialisatie!$C$5,12,31)) &lt; MAX($G$2, DATE(Initialisatie!$C$5,1,1)), 0, MONTH(MIN($G$1, DATE(Initialisatie!$C$5,12,31))) - MONTH(MAX($G$2, DATE(Initialisatie!$C$5,1,1))) + 1))
    ) / 12
)</f>
        <v>9331.8333333333339</v>
      </c>
    </row>
    <row r="190" spans="1:10" x14ac:dyDescent="0.45">
      <c r="A190" s="999"/>
      <c r="B190" s="373">
        <v>11</v>
      </c>
      <c r="C190" s="373">
        <v>83</v>
      </c>
      <c r="D190" s="48">
        <v>8940</v>
      </c>
      <c r="E190" s="48">
        <v>9298</v>
      </c>
      <c r="F190" s="48">
        <v>9484</v>
      </c>
      <c r="G190" s="48">
        <v>9674</v>
      </c>
      <c r="I190">
        <f>IF(
    OR(
        AND(MAX(0, MIN($D$1, DATE(Initialisatie!$C$5,12,31)) - MAX($D$2, DATE(Initialisatie!$C$5,1,1)) + 1) &gt; 0, IFERROR(VALUE($D190),0)=0),
        AND(MAX(0, MIN($E$1, DATE(Initialisatie!$C$5,12,31)) - MAX($E$2, DATE(Initialisatie!$C$5,1,1)) + 1) &gt; 0, IFERROR(VALUE($E190),0)=0),
        AND(MAX(0, MIN($F$1, DATE(Initialisatie!$C$5,12,31)) - MAX($F$2, DATE(Initialisatie!$C$5,1,1)) + 1) &gt; 0, IFERROR(VALUE($F190),0)=0),
        AND(MAX(0, MIN($G$1, DATE(Initialisatie!$C$5,12,31)) - MAX($G$2, DATE(Initialisatie!$C$5,1,1)) + 1) &gt; 0, IFERROR(VALUE($G190),0)=0)
    ),
    0,
    SUM(
        IFERROR(VALUE($D190),0) * MAX(0, MIN($D$1, DATE(Initialisatie!$C$5,12,31)) - MAX($D$2, DATE(Initialisatie!$C$5,1,1)) + 1),
        IFERROR(VALUE($E190),0) * MAX(0, MIN($E$1, DATE(Initialisatie!$C$5,12,31)) - MAX($E$2, DATE(Initialisatie!$C$5,1,1)) + 1),
        IFERROR(VALUE($F190),0) * MAX(0, MIN($F$1, DATE(Initialisatie!$C$5,12,31)) - MAX($F$2, DATE(Initialisatie!$C$5,1,1)) + 1),
        IFERROR(VALUE($G190),0) * MAX(0, MIN($G$1, DATE(Initialisatie!$C$5,12,31)) - MAX($G$2, DATE(Initialisatie!$C$5,1,1)) + 1)
    ) / (DATE(Initialisatie!$C$5,12,31) - DATE(Initialisatie!$C$5,1,1) + 1)
)</f>
        <v>9454.6027397260277</v>
      </c>
      <c r="J190">
        <f>IF(
    OR(
        AND(MAX(0, IF(MIN($D$1, DATE(Initialisatie!$C$5,12,31)) &lt; MAX($D$2, DATE(Initialisatie!$C$5,1,1)), 0, MONTH(MIN($D$1, DATE(Initialisatie!$C$5,12,31))) - MONTH(MAX($D$2, DATE(Initialisatie!$C$5,1,1))) + 1)) &lt;= 0, IFERROR(VALUE($D190),0)=0),
        AND(MAX(0, IF(MIN($E$1, DATE(Initialisatie!$C$5,12,31)) &lt; MAX($E$2, DATE(Initialisatie!$C$5,1,1)), 0, MONTH(MIN($E$1, DATE(Initialisatie!$C$5,12,31))) - MONTH(MAX($E$2, DATE(Initialisatie!$C$5,1,1))) + 1)) &lt;= 0, IFERROR(VALUE($E190),0)=0),
        AND(MAX(0, IF(MIN($F$1, DATE(Initialisatie!$C$5,12,31)) &lt; MAX($F$2, DATE(Initialisatie!$C$5,1,1)), 0, MONTH(MIN($F$1, DATE(Initialisatie!$C$5,12,31))) - MONTH(MAX($F$2, DATE(Initialisatie!$C$5,1,1))) + 1)) &lt;= 0, IFERROR(VALUE($F190),0)=0),
        AND(MAX(0, IF(MIN($G$1, DATE(Initialisatie!$C$5,12,31)) &lt; MAX($G$2, DATE(Initialisatie!$C$5,1,1)), 0, MONTH(MIN($G$1, DATE(Initialisatie!$C$5,12,31))) - MONTH(MAX($G$2, DATE(Initialisatie!$C$5,1,1))) + 1)) &lt;= 0, IFERROR(VALUE($G190),0)=0)
    ),
    0,
    SUM(
        IFERROR(VALUE($D190),0) * MAX(0, IF(MIN($D$1, DATE(Initialisatie!$C$5,12,31)) &lt; MAX($D$2, DATE(Initialisatie!$C$5,1,1)), 0, MONTH(MIN($D$1, DATE(Initialisatie!$C$5,12,31))) - MONTH(MAX($D$2, DATE(Initialisatie!$C$5,1,1))) + 1)),
        IFERROR(VALUE($E190),0) * MAX(0, IF(MIN($E$1, DATE(Initialisatie!$C$5,12,31)) &lt; MAX($E$2, DATE(Initialisatie!$C$5,1,1)), 0, MONTH(MIN($E$1, DATE(Initialisatie!$C$5,12,31))) - MONTH(MAX($E$2, DATE(Initialisatie!$C$5,1,1))) + 1)),
        IFERROR(VALUE($F190),0) * MAX(0, IF(MIN($F$1, DATE(Initialisatie!$C$5,12,31)) &lt; MAX($F$2, DATE(Initialisatie!$C$5,1,1)), 0, MONTH(MIN($F$1, DATE(Initialisatie!$C$5,12,31))) - MONTH(MAX($F$2, DATE(Initialisatie!$C$5,1,1))) + 1)),
        IFERROR(VALUE($G190),0) * MAX(0, IF(MIN($G$1, DATE(Initialisatie!$C$5,12,31)) &lt; MAX($G$2, DATE(Initialisatie!$C$5,1,1)), 0, MONTH(MIN($G$1, DATE(Initialisatie!$C$5,12,31))) - MONTH(MAX($G$2, DATE(Initialisatie!$C$5,1,1))) + 1))
    ) / 12
)</f>
        <v>9453.6666666666661</v>
      </c>
    </row>
    <row r="191" spans="1:10" x14ac:dyDescent="0.45">
      <c r="A191" s="999"/>
      <c r="B191" s="372">
        <v>12</v>
      </c>
      <c r="C191" s="373">
        <v>84</v>
      </c>
      <c r="D191" s="48">
        <v>9057</v>
      </c>
      <c r="E191" s="48">
        <v>9419</v>
      </c>
      <c r="F191" s="48">
        <v>9607</v>
      </c>
      <c r="G191" s="48">
        <v>9799</v>
      </c>
      <c r="I191">
        <f>IF(
    OR(
        AND(MAX(0, MIN($D$1, DATE(Initialisatie!$C$5,12,31)) - MAX($D$2, DATE(Initialisatie!$C$5,1,1)) + 1) &gt; 0, IFERROR(VALUE($D191),0)=0),
        AND(MAX(0, MIN($E$1, DATE(Initialisatie!$C$5,12,31)) - MAX($E$2, DATE(Initialisatie!$C$5,1,1)) + 1) &gt; 0, IFERROR(VALUE($E191),0)=0),
        AND(MAX(0, MIN($F$1, DATE(Initialisatie!$C$5,12,31)) - MAX($F$2, DATE(Initialisatie!$C$5,1,1)) + 1) &gt; 0, IFERROR(VALUE($F191),0)=0),
        AND(MAX(0, MIN($G$1, DATE(Initialisatie!$C$5,12,31)) - MAX($G$2, DATE(Initialisatie!$C$5,1,1)) + 1) &gt; 0, IFERROR(VALUE($G191),0)=0)
    ),
    0,
    SUM(
        IFERROR(VALUE($D191),0) * MAX(0, MIN($D$1, DATE(Initialisatie!$C$5,12,31)) - MAX($D$2, DATE(Initialisatie!$C$5,1,1)) + 1),
        IFERROR(VALUE($E191),0) * MAX(0, MIN($E$1, DATE(Initialisatie!$C$5,12,31)) - MAX($E$2, DATE(Initialisatie!$C$5,1,1)) + 1),
        IFERROR(VALUE($F191),0) * MAX(0, MIN($F$1, DATE(Initialisatie!$C$5,12,31)) - MAX($F$2, DATE(Initialisatie!$C$5,1,1)) + 1),
        IFERROR(VALUE($G191),0) * MAX(0, MIN($G$1, DATE(Initialisatie!$C$5,12,31)) - MAX($G$2, DATE(Initialisatie!$C$5,1,1)) + 1)
    ) / (DATE(Initialisatie!$C$5,12,31) - DATE(Initialisatie!$C$5,1,1) + 1)
)</f>
        <v>9577.2794520547941</v>
      </c>
      <c r="J191">
        <f>IF(
    OR(
        AND(MAX(0, IF(MIN($D$1, DATE(Initialisatie!$C$5,12,31)) &lt; MAX($D$2, DATE(Initialisatie!$C$5,1,1)), 0, MONTH(MIN($D$1, DATE(Initialisatie!$C$5,12,31))) - MONTH(MAX($D$2, DATE(Initialisatie!$C$5,1,1))) + 1)) &lt;= 0, IFERROR(VALUE($D191),0)=0),
        AND(MAX(0, IF(MIN($E$1, DATE(Initialisatie!$C$5,12,31)) &lt; MAX($E$2, DATE(Initialisatie!$C$5,1,1)), 0, MONTH(MIN($E$1, DATE(Initialisatie!$C$5,12,31))) - MONTH(MAX($E$2, DATE(Initialisatie!$C$5,1,1))) + 1)) &lt;= 0, IFERROR(VALUE($E191),0)=0),
        AND(MAX(0, IF(MIN($F$1, DATE(Initialisatie!$C$5,12,31)) &lt; MAX($F$2, DATE(Initialisatie!$C$5,1,1)), 0, MONTH(MIN($F$1, DATE(Initialisatie!$C$5,12,31))) - MONTH(MAX($F$2, DATE(Initialisatie!$C$5,1,1))) + 1)) &lt;= 0, IFERROR(VALUE($F191),0)=0),
        AND(MAX(0, IF(MIN($G$1, DATE(Initialisatie!$C$5,12,31)) &lt; MAX($G$2, DATE(Initialisatie!$C$5,1,1)), 0, MONTH(MIN($G$1, DATE(Initialisatie!$C$5,12,31))) - MONTH(MAX($G$2, DATE(Initialisatie!$C$5,1,1))) + 1)) &lt;= 0, IFERROR(VALUE($G191),0)=0)
    ),
    0,
    SUM(
        IFERROR(VALUE($D191),0) * MAX(0, IF(MIN($D$1, DATE(Initialisatie!$C$5,12,31)) &lt; MAX($D$2, DATE(Initialisatie!$C$5,1,1)), 0, MONTH(MIN($D$1, DATE(Initialisatie!$C$5,12,31))) - MONTH(MAX($D$2, DATE(Initialisatie!$C$5,1,1))) + 1)),
        IFERROR(VALUE($E191),0) * MAX(0, IF(MIN($E$1, DATE(Initialisatie!$C$5,12,31)) &lt; MAX($E$2, DATE(Initialisatie!$C$5,1,1)), 0, MONTH(MIN($E$1, DATE(Initialisatie!$C$5,12,31))) - MONTH(MAX($E$2, DATE(Initialisatie!$C$5,1,1))) + 1)),
        IFERROR(VALUE($F191),0) * MAX(0, IF(MIN($F$1, DATE(Initialisatie!$C$5,12,31)) &lt; MAX($F$2, DATE(Initialisatie!$C$5,1,1)), 0, MONTH(MIN($F$1, DATE(Initialisatie!$C$5,12,31))) - MONTH(MAX($F$2, DATE(Initialisatie!$C$5,1,1))) + 1)),
        IFERROR(VALUE($G191),0) * MAX(0, IF(MIN($G$1, DATE(Initialisatie!$C$5,12,31)) &lt; MAX($G$2, DATE(Initialisatie!$C$5,1,1)), 0, MONTH(MIN($G$1, DATE(Initialisatie!$C$5,12,31))) - MONTH(MAX($G$2, DATE(Initialisatie!$C$5,1,1))) + 1))
    ) / 12
)</f>
        <v>9576.3333333333339</v>
      </c>
    </row>
    <row r="192" spans="1:10" x14ac:dyDescent="0.45">
      <c r="A192" s="999"/>
      <c r="B192" s="373">
        <v>13</v>
      </c>
      <c r="C192" s="373">
        <v>85</v>
      </c>
      <c r="D192" s="48">
        <v>9191</v>
      </c>
      <c r="E192" s="48">
        <v>9559</v>
      </c>
      <c r="F192" s="48">
        <v>9750</v>
      </c>
      <c r="G192" s="48">
        <v>9945</v>
      </c>
      <c r="I192">
        <f>IF(
    OR(
        AND(MAX(0, MIN($D$1, DATE(Initialisatie!$C$5,12,31)) - MAX($D$2, DATE(Initialisatie!$C$5,1,1)) + 1) &gt; 0, IFERROR(VALUE($D192),0)=0),
        AND(MAX(0, MIN($E$1, DATE(Initialisatie!$C$5,12,31)) - MAX($E$2, DATE(Initialisatie!$C$5,1,1)) + 1) &gt; 0, IFERROR(VALUE($E192),0)=0),
        AND(MAX(0, MIN($F$1, DATE(Initialisatie!$C$5,12,31)) - MAX($F$2, DATE(Initialisatie!$C$5,1,1)) + 1) &gt; 0, IFERROR(VALUE($F192),0)=0),
        AND(MAX(0, MIN($G$1, DATE(Initialisatie!$C$5,12,31)) - MAX($G$2, DATE(Initialisatie!$C$5,1,1)) + 1) &gt; 0, IFERROR(VALUE($G192),0)=0)
    ),
    0,
    SUM(
        IFERROR(VALUE($D192),0) * MAX(0, MIN($D$1, DATE(Initialisatie!$C$5,12,31)) - MAX($D$2, DATE(Initialisatie!$C$5,1,1)) + 1),
        IFERROR(VALUE($E192),0) * MAX(0, MIN($E$1, DATE(Initialisatie!$C$5,12,31)) - MAX($E$2, DATE(Initialisatie!$C$5,1,1)) + 1),
        IFERROR(VALUE($F192),0) * MAX(0, MIN($F$1, DATE(Initialisatie!$C$5,12,31)) - MAX($F$2, DATE(Initialisatie!$C$5,1,1)) + 1),
        IFERROR(VALUE($G192),0) * MAX(0, MIN($G$1, DATE(Initialisatie!$C$5,12,31)) - MAX($G$2, DATE(Initialisatie!$C$5,1,1)) + 1)
    ) / (DATE(Initialisatie!$C$5,12,31) - DATE(Initialisatie!$C$5,1,1) + 1)
)</f>
        <v>9719.7945205479446</v>
      </c>
      <c r="J192">
        <f>IF(
    OR(
        AND(MAX(0, IF(MIN($D$1, DATE(Initialisatie!$C$5,12,31)) &lt; MAX($D$2, DATE(Initialisatie!$C$5,1,1)), 0, MONTH(MIN($D$1, DATE(Initialisatie!$C$5,12,31))) - MONTH(MAX($D$2, DATE(Initialisatie!$C$5,1,1))) + 1)) &lt;= 0, IFERROR(VALUE($D192),0)=0),
        AND(MAX(0, IF(MIN($E$1, DATE(Initialisatie!$C$5,12,31)) &lt; MAX($E$2, DATE(Initialisatie!$C$5,1,1)), 0, MONTH(MIN($E$1, DATE(Initialisatie!$C$5,12,31))) - MONTH(MAX($E$2, DATE(Initialisatie!$C$5,1,1))) + 1)) &lt;= 0, IFERROR(VALUE($E192),0)=0),
        AND(MAX(0, IF(MIN($F$1, DATE(Initialisatie!$C$5,12,31)) &lt; MAX($F$2, DATE(Initialisatie!$C$5,1,1)), 0, MONTH(MIN($F$1, DATE(Initialisatie!$C$5,12,31))) - MONTH(MAX($F$2, DATE(Initialisatie!$C$5,1,1))) + 1)) &lt;= 0, IFERROR(VALUE($F192),0)=0),
        AND(MAX(0, IF(MIN($G$1, DATE(Initialisatie!$C$5,12,31)) &lt; MAX($G$2, DATE(Initialisatie!$C$5,1,1)), 0, MONTH(MIN($G$1, DATE(Initialisatie!$C$5,12,31))) - MONTH(MAX($G$2, DATE(Initialisatie!$C$5,1,1))) + 1)) &lt;= 0, IFERROR(VALUE($G192),0)=0)
    ),
    0,
    SUM(
        IFERROR(VALUE($D192),0) * MAX(0, IF(MIN($D$1, DATE(Initialisatie!$C$5,12,31)) &lt; MAX($D$2, DATE(Initialisatie!$C$5,1,1)), 0, MONTH(MIN($D$1, DATE(Initialisatie!$C$5,12,31))) - MONTH(MAX($D$2, DATE(Initialisatie!$C$5,1,1))) + 1)),
        IFERROR(VALUE($E192),0) * MAX(0, IF(MIN($E$1, DATE(Initialisatie!$C$5,12,31)) &lt; MAX($E$2, DATE(Initialisatie!$C$5,1,1)), 0, MONTH(MIN($E$1, DATE(Initialisatie!$C$5,12,31))) - MONTH(MAX($E$2, DATE(Initialisatie!$C$5,1,1))) + 1)),
        IFERROR(VALUE($F192),0) * MAX(0, IF(MIN($F$1, DATE(Initialisatie!$C$5,12,31)) &lt; MAX($F$2, DATE(Initialisatie!$C$5,1,1)), 0, MONTH(MIN($F$1, DATE(Initialisatie!$C$5,12,31))) - MONTH(MAX($F$2, DATE(Initialisatie!$C$5,1,1))) + 1)),
        IFERROR(VALUE($G192),0) * MAX(0, IF(MIN($G$1, DATE(Initialisatie!$C$5,12,31)) &lt; MAX($G$2, DATE(Initialisatie!$C$5,1,1)), 0, MONTH(MIN($G$1, DATE(Initialisatie!$C$5,12,31))) - MONTH(MAX($G$2, DATE(Initialisatie!$C$5,1,1))) + 1))
    ) / 12
)</f>
        <v>9718.8333333333339</v>
      </c>
    </row>
    <row r="193" spans="1:10" x14ac:dyDescent="0.45">
      <c r="A193" s="999"/>
      <c r="B193" s="372">
        <v>14</v>
      </c>
      <c r="C193" s="373">
        <v>86</v>
      </c>
      <c r="D193" s="48">
        <v>9325</v>
      </c>
      <c r="E193" s="48">
        <v>9698</v>
      </c>
      <c r="F193" s="48">
        <v>9892</v>
      </c>
      <c r="G193" s="48">
        <v>10090</v>
      </c>
      <c r="I193">
        <f>IF(
    OR(
        AND(MAX(0, MIN($D$1, DATE(Initialisatie!$C$5,12,31)) - MAX($D$2, DATE(Initialisatie!$C$5,1,1)) + 1) &gt; 0, IFERROR(VALUE($D193),0)=0),
        AND(MAX(0, MIN($E$1, DATE(Initialisatie!$C$5,12,31)) - MAX($E$2, DATE(Initialisatie!$C$5,1,1)) + 1) &gt; 0, IFERROR(VALUE($E193),0)=0),
        AND(MAX(0, MIN($F$1, DATE(Initialisatie!$C$5,12,31)) - MAX($F$2, DATE(Initialisatie!$C$5,1,1)) + 1) &gt; 0, IFERROR(VALUE($F193),0)=0),
        AND(MAX(0, MIN($G$1, DATE(Initialisatie!$C$5,12,31)) - MAX($G$2, DATE(Initialisatie!$C$5,1,1)) + 1) &gt; 0, IFERROR(VALUE($G193),0)=0)
    ),
    0,
    SUM(
        IFERROR(VALUE($D193),0) * MAX(0, MIN($D$1, DATE(Initialisatie!$C$5,12,31)) - MAX($D$2, DATE(Initialisatie!$C$5,1,1)) + 1),
        IFERROR(VALUE($E193),0) * MAX(0, MIN($E$1, DATE(Initialisatie!$C$5,12,31)) - MAX($E$2, DATE(Initialisatie!$C$5,1,1)) + 1),
        IFERROR(VALUE($F193),0) * MAX(0, MIN($F$1, DATE(Initialisatie!$C$5,12,31)) - MAX($F$2, DATE(Initialisatie!$C$5,1,1)) + 1),
        IFERROR(VALUE($G193),0) * MAX(0, MIN($G$1, DATE(Initialisatie!$C$5,12,31)) - MAX($G$2, DATE(Initialisatie!$C$5,1,1)) + 1)
    ) / (DATE(Initialisatie!$C$5,12,31) - DATE(Initialisatie!$C$5,1,1) + 1)
)</f>
        <v>9861.309589041095</v>
      </c>
      <c r="J193">
        <f>IF(
    OR(
        AND(MAX(0, IF(MIN($D$1, DATE(Initialisatie!$C$5,12,31)) &lt; MAX($D$2, DATE(Initialisatie!$C$5,1,1)), 0, MONTH(MIN($D$1, DATE(Initialisatie!$C$5,12,31))) - MONTH(MAX($D$2, DATE(Initialisatie!$C$5,1,1))) + 1)) &lt;= 0, IFERROR(VALUE($D193),0)=0),
        AND(MAX(0, IF(MIN($E$1, DATE(Initialisatie!$C$5,12,31)) &lt; MAX($E$2, DATE(Initialisatie!$C$5,1,1)), 0, MONTH(MIN($E$1, DATE(Initialisatie!$C$5,12,31))) - MONTH(MAX($E$2, DATE(Initialisatie!$C$5,1,1))) + 1)) &lt;= 0, IFERROR(VALUE($E193),0)=0),
        AND(MAX(0, IF(MIN($F$1, DATE(Initialisatie!$C$5,12,31)) &lt; MAX($F$2, DATE(Initialisatie!$C$5,1,1)), 0, MONTH(MIN($F$1, DATE(Initialisatie!$C$5,12,31))) - MONTH(MAX($F$2, DATE(Initialisatie!$C$5,1,1))) + 1)) &lt;= 0, IFERROR(VALUE($F193),0)=0),
        AND(MAX(0, IF(MIN($G$1, DATE(Initialisatie!$C$5,12,31)) &lt; MAX($G$2, DATE(Initialisatie!$C$5,1,1)), 0, MONTH(MIN($G$1, DATE(Initialisatie!$C$5,12,31))) - MONTH(MAX($G$2, DATE(Initialisatie!$C$5,1,1))) + 1)) &lt;= 0, IFERROR(VALUE($G193),0)=0)
    ),
    0,
    SUM(
        IFERROR(VALUE($D193),0) * MAX(0, IF(MIN($D$1, DATE(Initialisatie!$C$5,12,31)) &lt; MAX($D$2, DATE(Initialisatie!$C$5,1,1)), 0, MONTH(MIN($D$1, DATE(Initialisatie!$C$5,12,31))) - MONTH(MAX($D$2, DATE(Initialisatie!$C$5,1,1))) + 1)),
        IFERROR(VALUE($E193),0) * MAX(0, IF(MIN($E$1, DATE(Initialisatie!$C$5,12,31)) &lt; MAX($E$2, DATE(Initialisatie!$C$5,1,1)), 0, MONTH(MIN($E$1, DATE(Initialisatie!$C$5,12,31))) - MONTH(MAX($E$2, DATE(Initialisatie!$C$5,1,1))) + 1)),
        IFERROR(VALUE($F193),0) * MAX(0, IF(MIN($F$1, DATE(Initialisatie!$C$5,12,31)) &lt; MAX($F$2, DATE(Initialisatie!$C$5,1,1)), 0, MONTH(MIN($F$1, DATE(Initialisatie!$C$5,12,31))) - MONTH(MAX($F$2, DATE(Initialisatie!$C$5,1,1))) + 1)),
        IFERROR(VALUE($G193),0) * MAX(0, IF(MIN($G$1, DATE(Initialisatie!$C$5,12,31)) &lt; MAX($G$2, DATE(Initialisatie!$C$5,1,1)), 0, MONTH(MIN($G$1, DATE(Initialisatie!$C$5,12,31))) - MONTH(MAX($G$2, DATE(Initialisatie!$C$5,1,1))) + 1))
    ) / 12
)</f>
        <v>9860.3333333333339</v>
      </c>
    </row>
    <row r="194" spans="1:10" x14ac:dyDescent="0.45">
      <c r="A194" s="999"/>
      <c r="B194" s="374">
        <v>15</v>
      </c>
      <c r="C194" s="373">
        <v>87</v>
      </c>
      <c r="D194" s="48">
        <v>9461</v>
      </c>
      <c r="E194" s="48">
        <v>9839</v>
      </c>
      <c r="F194" s="48">
        <v>10036</v>
      </c>
      <c r="G194" s="48">
        <v>10237</v>
      </c>
      <c r="I194">
        <f>IF(
    OR(
        AND(MAX(0, MIN($D$1, DATE(Initialisatie!$C$5,12,31)) - MAX($D$2, DATE(Initialisatie!$C$5,1,1)) + 1) &gt; 0, IFERROR(VALUE($D194),0)=0),
        AND(MAX(0, MIN($E$1, DATE(Initialisatie!$C$5,12,31)) - MAX($E$2, DATE(Initialisatie!$C$5,1,1)) + 1) &gt; 0, IFERROR(VALUE($E194),0)=0),
        AND(MAX(0, MIN($F$1, DATE(Initialisatie!$C$5,12,31)) - MAX($F$2, DATE(Initialisatie!$C$5,1,1)) + 1) &gt; 0, IFERROR(VALUE($F194),0)=0),
        AND(MAX(0, MIN($G$1, DATE(Initialisatie!$C$5,12,31)) - MAX($G$2, DATE(Initialisatie!$C$5,1,1)) + 1) &gt; 0, IFERROR(VALUE($G194),0)=0)
    ),
    0,
    SUM(
        IFERROR(VALUE($D194),0) * MAX(0, MIN($D$1, DATE(Initialisatie!$C$5,12,31)) - MAX($D$2, DATE(Initialisatie!$C$5,1,1)) + 1),
        IFERROR(VALUE($E194),0) * MAX(0, MIN($E$1, DATE(Initialisatie!$C$5,12,31)) - MAX($E$2, DATE(Initialisatie!$C$5,1,1)) + 1),
        IFERROR(VALUE($F194),0) * MAX(0, MIN($F$1, DATE(Initialisatie!$C$5,12,31)) - MAX($F$2, DATE(Initialisatie!$C$5,1,1)) + 1),
        IFERROR(VALUE($G194),0) * MAX(0, MIN($G$1, DATE(Initialisatie!$C$5,12,31)) - MAX($G$2, DATE(Initialisatie!$C$5,1,1)) + 1)
    ) / (DATE(Initialisatie!$C$5,12,31) - DATE(Initialisatie!$C$5,1,1) + 1)
)</f>
        <v>10004.824657534247</v>
      </c>
      <c r="J194">
        <f>IF(
    OR(
        AND(MAX(0, IF(MIN($D$1, DATE(Initialisatie!$C$5,12,31)) &lt; MAX($D$2, DATE(Initialisatie!$C$5,1,1)), 0, MONTH(MIN($D$1, DATE(Initialisatie!$C$5,12,31))) - MONTH(MAX($D$2, DATE(Initialisatie!$C$5,1,1))) + 1)) &lt;= 0, IFERROR(VALUE($D194),0)=0),
        AND(MAX(0, IF(MIN($E$1, DATE(Initialisatie!$C$5,12,31)) &lt; MAX($E$2, DATE(Initialisatie!$C$5,1,1)), 0, MONTH(MIN($E$1, DATE(Initialisatie!$C$5,12,31))) - MONTH(MAX($E$2, DATE(Initialisatie!$C$5,1,1))) + 1)) &lt;= 0, IFERROR(VALUE($E194),0)=0),
        AND(MAX(0, IF(MIN($F$1, DATE(Initialisatie!$C$5,12,31)) &lt; MAX($F$2, DATE(Initialisatie!$C$5,1,1)), 0, MONTH(MIN($F$1, DATE(Initialisatie!$C$5,12,31))) - MONTH(MAX($F$2, DATE(Initialisatie!$C$5,1,1))) + 1)) &lt;= 0, IFERROR(VALUE($F194),0)=0),
        AND(MAX(0, IF(MIN($G$1, DATE(Initialisatie!$C$5,12,31)) &lt; MAX($G$2, DATE(Initialisatie!$C$5,1,1)), 0, MONTH(MIN($G$1, DATE(Initialisatie!$C$5,12,31))) - MONTH(MAX($G$2, DATE(Initialisatie!$C$5,1,1))) + 1)) &lt;= 0, IFERROR(VALUE($G194),0)=0)
    ),
    0,
    SUM(
        IFERROR(VALUE($D194),0) * MAX(0, IF(MIN($D$1, DATE(Initialisatie!$C$5,12,31)) &lt; MAX($D$2, DATE(Initialisatie!$C$5,1,1)), 0, MONTH(MIN($D$1, DATE(Initialisatie!$C$5,12,31))) - MONTH(MAX($D$2, DATE(Initialisatie!$C$5,1,1))) + 1)),
        IFERROR(VALUE($E194),0) * MAX(0, IF(MIN($E$1, DATE(Initialisatie!$C$5,12,31)) &lt; MAX($E$2, DATE(Initialisatie!$C$5,1,1)), 0, MONTH(MIN($E$1, DATE(Initialisatie!$C$5,12,31))) - MONTH(MAX($E$2, DATE(Initialisatie!$C$5,1,1))) + 1)),
        IFERROR(VALUE($F194),0) * MAX(0, IF(MIN($F$1, DATE(Initialisatie!$C$5,12,31)) &lt; MAX($F$2, DATE(Initialisatie!$C$5,1,1)), 0, MONTH(MIN($F$1, DATE(Initialisatie!$C$5,12,31))) - MONTH(MAX($F$2, DATE(Initialisatie!$C$5,1,1))) + 1)),
        IFERROR(VALUE($G194),0) * MAX(0, IF(MIN($G$1, DATE(Initialisatie!$C$5,12,31)) &lt; MAX($G$2, DATE(Initialisatie!$C$5,1,1)), 0, MONTH(MIN($G$1, DATE(Initialisatie!$C$5,12,31))) - MONTH(MAX($G$2, DATE(Initialisatie!$C$5,1,1))) + 1))
    ) / 12
)</f>
        <v>10003.833333333334</v>
      </c>
    </row>
    <row r="195" spans="1:10" x14ac:dyDescent="0.45">
      <c r="A195" s="999"/>
      <c r="B195" s="43">
        <v>16</v>
      </c>
      <c r="C195" s="373">
        <v>88</v>
      </c>
      <c r="D195" s="48">
        <v>9611</v>
      </c>
      <c r="E195" s="48">
        <v>9995</v>
      </c>
      <c r="F195" s="48">
        <v>10195</v>
      </c>
      <c r="G195" s="48">
        <v>10399</v>
      </c>
      <c r="I195">
        <f>IF(
    OR(
        AND(MAX(0, MIN($D$1, DATE(Initialisatie!$C$5,12,31)) - MAX($D$2, DATE(Initialisatie!$C$5,1,1)) + 1) &gt; 0, IFERROR(VALUE($D195),0)=0),
        AND(MAX(0, MIN($E$1, DATE(Initialisatie!$C$5,12,31)) - MAX($E$2, DATE(Initialisatie!$C$5,1,1)) + 1) &gt; 0, IFERROR(VALUE($E195),0)=0),
        AND(MAX(0, MIN($F$1, DATE(Initialisatie!$C$5,12,31)) - MAX($F$2, DATE(Initialisatie!$C$5,1,1)) + 1) &gt; 0, IFERROR(VALUE($F195),0)=0),
        AND(MAX(0, MIN($G$1, DATE(Initialisatie!$C$5,12,31)) - MAX($G$2, DATE(Initialisatie!$C$5,1,1)) + 1) &gt; 0, IFERROR(VALUE($G195),0)=0)
    ),
    0,
    SUM(
        IFERROR(VALUE($D195),0) * MAX(0, MIN($D$1, DATE(Initialisatie!$C$5,12,31)) - MAX($D$2, DATE(Initialisatie!$C$5,1,1)) + 1),
        IFERROR(VALUE($E195),0) * MAX(0, MIN($E$1, DATE(Initialisatie!$C$5,12,31)) - MAX($E$2, DATE(Initialisatie!$C$5,1,1)) + 1),
        IFERROR(VALUE($F195),0) * MAX(0, MIN($F$1, DATE(Initialisatie!$C$5,12,31)) - MAX($F$2, DATE(Initialisatie!$C$5,1,1)) + 1),
        IFERROR(VALUE($G195),0) * MAX(0, MIN($G$1, DATE(Initialisatie!$C$5,12,31)) - MAX($G$2, DATE(Initialisatie!$C$5,1,1)) + 1)
    ) / (DATE(Initialisatie!$C$5,12,31) - DATE(Initialisatie!$C$5,1,1) + 1)
)</f>
        <v>10163.339726027398</v>
      </c>
      <c r="J195">
        <f>IF(
    OR(
        AND(MAX(0, IF(MIN($D$1, DATE(Initialisatie!$C$5,12,31)) &lt; MAX($D$2, DATE(Initialisatie!$C$5,1,1)), 0, MONTH(MIN($D$1, DATE(Initialisatie!$C$5,12,31))) - MONTH(MAX($D$2, DATE(Initialisatie!$C$5,1,1))) + 1)) &lt;= 0, IFERROR(VALUE($D195),0)=0),
        AND(MAX(0, IF(MIN($E$1, DATE(Initialisatie!$C$5,12,31)) &lt; MAX($E$2, DATE(Initialisatie!$C$5,1,1)), 0, MONTH(MIN($E$1, DATE(Initialisatie!$C$5,12,31))) - MONTH(MAX($E$2, DATE(Initialisatie!$C$5,1,1))) + 1)) &lt;= 0, IFERROR(VALUE($E195),0)=0),
        AND(MAX(0, IF(MIN($F$1, DATE(Initialisatie!$C$5,12,31)) &lt; MAX($F$2, DATE(Initialisatie!$C$5,1,1)), 0, MONTH(MIN($F$1, DATE(Initialisatie!$C$5,12,31))) - MONTH(MAX($F$2, DATE(Initialisatie!$C$5,1,1))) + 1)) &lt;= 0, IFERROR(VALUE($F195),0)=0),
        AND(MAX(0, IF(MIN($G$1, DATE(Initialisatie!$C$5,12,31)) &lt; MAX($G$2, DATE(Initialisatie!$C$5,1,1)), 0, MONTH(MIN($G$1, DATE(Initialisatie!$C$5,12,31))) - MONTH(MAX($G$2, DATE(Initialisatie!$C$5,1,1))) + 1)) &lt;= 0, IFERROR(VALUE($G195),0)=0)
    ),
    0,
    SUM(
        IFERROR(VALUE($D195),0) * MAX(0, IF(MIN($D$1, DATE(Initialisatie!$C$5,12,31)) &lt; MAX($D$2, DATE(Initialisatie!$C$5,1,1)), 0, MONTH(MIN($D$1, DATE(Initialisatie!$C$5,12,31))) - MONTH(MAX($D$2, DATE(Initialisatie!$C$5,1,1))) + 1)),
        IFERROR(VALUE($E195),0) * MAX(0, IF(MIN($E$1, DATE(Initialisatie!$C$5,12,31)) &lt; MAX($E$2, DATE(Initialisatie!$C$5,1,1)), 0, MONTH(MIN($E$1, DATE(Initialisatie!$C$5,12,31))) - MONTH(MAX($E$2, DATE(Initialisatie!$C$5,1,1))) + 1)),
        IFERROR(VALUE($F195),0) * MAX(0, IF(MIN($F$1, DATE(Initialisatie!$C$5,12,31)) &lt; MAX($F$2, DATE(Initialisatie!$C$5,1,1)), 0, MONTH(MIN($F$1, DATE(Initialisatie!$C$5,12,31))) - MONTH(MAX($F$2, DATE(Initialisatie!$C$5,1,1))) + 1)),
        IFERROR(VALUE($G195),0) * MAX(0, IF(MIN($G$1, DATE(Initialisatie!$C$5,12,31)) &lt; MAX($G$2, DATE(Initialisatie!$C$5,1,1)), 0, MONTH(MIN($G$1, DATE(Initialisatie!$C$5,12,31))) - MONTH(MAX($G$2, DATE(Initialisatie!$C$5,1,1))) + 1))
    ) / 12
)</f>
        <v>10162.333333333334</v>
      </c>
    </row>
    <row r="196" spans="1:10" x14ac:dyDescent="0.45">
      <c r="A196" s="999">
        <v>80</v>
      </c>
      <c r="B196" s="43">
        <v>0</v>
      </c>
      <c r="C196" s="373">
        <v>68</v>
      </c>
      <c r="D196" s="48">
        <v>7320</v>
      </c>
      <c r="E196" s="48">
        <v>7613</v>
      </c>
      <c r="F196" s="48">
        <v>7765</v>
      </c>
      <c r="G196" s="48">
        <v>7920</v>
      </c>
      <c r="I196">
        <f>IF(
    OR(
        AND(MAX(0, MIN($D$1, DATE(Initialisatie!$C$5,12,31)) - MAX($D$2, DATE(Initialisatie!$C$5,1,1)) + 1) &gt; 0, IFERROR(VALUE($D196),0)=0),
        AND(MAX(0, MIN($E$1, DATE(Initialisatie!$C$5,12,31)) - MAX($E$2, DATE(Initialisatie!$C$5,1,1)) + 1) &gt; 0, IFERROR(VALUE($E196),0)=0),
        AND(MAX(0, MIN($F$1, DATE(Initialisatie!$C$5,12,31)) - MAX($F$2, DATE(Initialisatie!$C$5,1,1)) + 1) &gt; 0, IFERROR(VALUE($F196),0)=0),
        AND(MAX(0, MIN($G$1, DATE(Initialisatie!$C$5,12,31)) - MAX($G$2, DATE(Initialisatie!$C$5,1,1)) + 1) &gt; 0, IFERROR(VALUE($G196),0)=0)
    ),
    0,
    SUM(
        IFERROR(VALUE($D196),0) * MAX(0, MIN($D$1, DATE(Initialisatie!$C$5,12,31)) - MAX($D$2, DATE(Initialisatie!$C$5,1,1)) + 1),
        IFERROR(VALUE($E196),0) * MAX(0, MIN($E$1, DATE(Initialisatie!$C$5,12,31)) - MAX($E$2, DATE(Initialisatie!$C$5,1,1)) + 1),
        IFERROR(VALUE($F196),0) * MAX(0, MIN($F$1, DATE(Initialisatie!$C$5,12,31)) - MAX($F$2, DATE(Initialisatie!$C$5,1,1)) + 1),
        IFERROR(VALUE($G196),0) * MAX(0, MIN($G$1, DATE(Initialisatie!$C$5,12,31)) - MAX($G$2, DATE(Initialisatie!$C$5,1,1)) + 1)
    ) / (DATE(Initialisatie!$C$5,12,31) - DATE(Initialisatie!$C$5,1,1) + 1)
)</f>
        <v>7740.9315068493152</v>
      </c>
      <c r="J196">
        <f>IF(
    OR(
        AND(MAX(0, IF(MIN($D$1, DATE(Initialisatie!$C$5,12,31)) &lt; MAX($D$2, DATE(Initialisatie!$C$5,1,1)), 0, MONTH(MIN($D$1, DATE(Initialisatie!$C$5,12,31))) - MONTH(MAX($D$2, DATE(Initialisatie!$C$5,1,1))) + 1)) &lt;= 0, IFERROR(VALUE($D196),0)=0),
        AND(MAX(0, IF(MIN($E$1, DATE(Initialisatie!$C$5,12,31)) &lt; MAX($E$2, DATE(Initialisatie!$C$5,1,1)), 0, MONTH(MIN($E$1, DATE(Initialisatie!$C$5,12,31))) - MONTH(MAX($E$2, DATE(Initialisatie!$C$5,1,1))) + 1)) &lt;= 0, IFERROR(VALUE($E196),0)=0),
        AND(MAX(0, IF(MIN($F$1, DATE(Initialisatie!$C$5,12,31)) &lt; MAX($F$2, DATE(Initialisatie!$C$5,1,1)), 0, MONTH(MIN($F$1, DATE(Initialisatie!$C$5,12,31))) - MONTH(MAX($F$2, DATE(Initialisatie!$C$5,1,1))) + 1)) &lt;= 0, IFERROR(VALUE($F196),0)=0),
        AND(MAX(0, IF(MIN($G$1, DATE(Initialisatie!$C$5,12,31)) &lt; MAX($G$2, DATE(Initialisatie!$C$5,1,1)), 0, MONTH(MIN($G$1, DATE(Initialisatie!$C$5,12,31))) - MONTH(MAX($G$2, DATE(Initialisatie!$C$5,1,1))) + 1)) &lt;= 0, IFERROR(VALUE($G196),0)=0)
    ),
    0,
    SUM(
        IFERROR(VALUE($D196),0) * MAX(0, IF(MIN($D$1, DATE(Initialisatie!$C$5,12,31)) &lt; MAX($D$2, DATE(Initialisatie!$C$5,1,1)), 0, MONTH(MIN($D$1, DATE(Initialisatie!$C$5,12,31))) - MONTH(MAX($D$2, DATE(Initialisatie!$C$5,1,1))) + 1)),
        IFERROR(VALUE($E196),0) * MAX(0, IF(MIN($E$1, DATE(Initialisatie!$C$5,12,31)) &lt; MAX($E$2, DATE(Initialisatie!$C$5,1,1)), 0, MONTH(MIN($E$1, DATE(Initialisatie!$C$5,12,31))) - MONTH(MAX($E$2, DATE(Initialisatie!$C$5,1,1))) + 1)),
        IFERROR(VALUE($F196),0) * MAX(0, IF(MIN($F$1, DATE(Initialisatie!$C$5,12,31)) &lt; MAX($F$2, DATE(Initialisatie!$C$5,1,1)), 0, MONTH(MIN($F$1, DATE(Initialisatie!$C$5,12,31))) - MONTH(MAX($F$2, DATE(Initialisatie!$C$5,1,1))) + 1)),
        IFERROR(VALUE($G196),0) * MAX(0, IF(MIN($G$1, DATE(Initialisatie!$C$5,12,31)) &lt; MAX($G$2, DATE(Initialisatie!$C$5,1,1)), 0, MONTH(MIN($G$1, DATE(Initialisatie!$C$5,12,31))) - MONTH(MAX($G$2, DATE(Initialisatie!$C$5,1,1))) + 1))
    ) / 12
)</f>
        <v>7740.166666666667</v>
      </c>
    </row>
    <row r="197" spans="1:10" x14ac:dyDescent="0.45">
      <c r="A197" s="999"/>
      <c r="B197" s="43">
        <v>1</v>
      </c>
      <c r="C197" s="373">
        <v>71</v>
      </c>
      <c r="D197" s="48">
        <v>7632</v>
      </c>
      <c r="E197" s="48">
        <v>7937</v>
      </c>
      <c r="F197" s="48">
        <v>8096</v>
      </c>
      <c r="G197" s="48">
        <v>8258</v>
      </c>
      <c r="I197">
        <f>IF(
    OR(
        AND(MAX(0, MIN($D$1, DATE(Initialisatie!$C$5,12,31)) - MAX($D$2, DATE(Initialisatie!$C$5,1,1)) + 1) &gt; 0, IFERROR(VALUE($D197),0)=0),
        AND(MAX(0, MIN($E$1, DATE(Initialisatie!$C$5,12,31)) - MAX($E$2, DATE(Initialisatie!$C$5,1,1)) + 1) &gt; 0, IFERROR(VALUE($E197),0)=0),
        AND(MAX(0, MIN($F$1, DATE(Initialisatie!$C$5,12,31)) - MAX($F$2, DATE(Initialisatie!$C$5,1,1)) + 1) &gt; 0, IFERROR(VALUE($F197),0)=0),
        AND(MAX(0, MIN($G$1, DATE(Initialisatie!$C$5,12,31)) - MAX($G$2, DATE(Initialisatie!$C$5,1,1)) + 1) &gt; 0, IFERROR(VALUE($G197),0)=0)
    ),
    0,
    SUM(
        IFERROR(VALUE($D197),0) * MAX(0, MIN($D$1, DATE(Initialisatie!$C$5,12,31)) - MAX($D$2, DATE(Initialisatie!$C$5,1,1)) + 1),
        IFERROR(VALUE($E197),0) * MAX(0, MIN($E$1, DATE(Initialisatie!$C$5,12,31)) - MAX($E$2, DATE(Initialisatie!$C$5,1,1)) + 1),
        IFERROR(VALUE($F197),0) * MAX(0, MIN($F$1, DATE(Initialisatie!$C$5,12,31)) - MAX($F$2, DATE(Initialisatie!$C$5,1,1)) + 1),
        IFERROR(VALUE($G197),0) * MAX(0, MIN($G$1, DATE(Initialisatie!$C$5,12,31)) - MAX($G$2, DATE(Initialisatie!$C$5,1,1)) + 1)
    ) / (DATE(Initialisatie!$C$5,12,31) - DATE(Initialisatie!$C$5,1,1) + 1)
)</f>
        <v>8070.8</v>
      </c>
      <c r="J197">
        <f>IF(
    OR(
        AND(MAX(0, IF(MIN($D$1, DATE(Initialisatie!$C$5,12,31)) &lt; MAX($D$2, DATE(Initialisatie!$C$5,1,1)), 0, MONTH(MIN($D$1, DATE(Initialisatie!$C$5,12,31))) - MONTH(MAX($D$2, DATE(Initialisatie!$C$5,1,1))) + 1)) &lt;= 0, IFERROR(VALUE($D197),0)=0),
        AND(MAX(0, IF(MIN($E$1, DATE(Initialisatie!$C$5,12,31)) &lt; MAX($E$2, DATE(Initialisatie!$C$5,1,1)), 0, MONTH(MIN($E$1, DATE(Initialisatie!$C$5,12,31))) - MONTH(MAX($E$2, DATE(Initialisatie!$C$5,1,1))) + 1)) &lt;= 0, IFERROR(VALUE($E197),0)=0),
        AND(MAX(0, IF(MIN($F$1, DATE(Initialisatie!$C$5,12,31)) &lt; MAX($F$2, DATE(Initialisatie!$C$5,1,1)), 0, MONTH(MIN($F$1, DATE(Initialisatie!$C$5,12,31))) - MONTH(MAX($F$2, DATE(Initialisatie!$C$5,1,1))) + 1)) &lt;= 0, IFERROR(VALUE($F197),0)=0),
        AND(MAX(0, IF(MIN($G$1, DATE(Initialisatie!$C$5,12,31)) &lt; MAX($G$2, DATE(Initialisatie!$C$5,1,1)), 0, MONTH(MIN($G$1, DATE(Initialisatie!$C$5,12,31))) - MONTH(MAX($G$2, DATE(Initialisatie!$C$5,1,1))) + 1)) &lt;= 0, IFERROR(VALUE($G197),0)=0)
    ),
    0,
    SUM(
        IFERROR(VALUE($D197),0) * MAX(0, IF(MIN($D$1, DATE(Initialisatie!$C$5,12,31)) &lt; MAX($D$2, DATE(Initialisatie!$C$5,1,1)), 0, MONTH(MIN($D$1, DATE(Initialisatie!$C$5,12,31))) - MONTH(MAX($D$2, DATE(Initialisatie!$C$5,1,1))) + 1)),
        IFERROR(VALUE($E197),0) * MAX(0, IF(MIN($E$1, DATE(Initialisatie!$C$5,12,31)) &lt; MAX($E$2, DATE(Initialisatie!$C$5,1,1)), 0, MONTH(MIN($E$1, DATE(Initialisatie!$C$5,12,31))) - MONTH(MAX($E$2, DATE(Initialisatie!$C$5,1,1))) + 1)),
        IFERROR(VALUE($F197),0) * MAX(0, IF(MIN($F$1, DATE(Initialisatie!$C$5,12,31)) &lt; MAX($F$2, DATE(Initialisatie!$C$5,1,1)), 0, MONTH(MIN($F$1, DATE(Initialisatie!$C$5,12,31))) - MONTH(MAX($F$2, DATE(Initialisatie!$C$5,1,1))) + 1)),
        IFERROR(VALUE($G197),0) * MAX(0, IF(MIN($G$1, DATE(Initialisatie!$C$5,12,31)) &lt; MAX($G$2, DATE(Initialisatie!$C$5,1,1)), 0, MONTH(MIN($G$1, DATE(Initialisatie!$C$5,12,31))) - MONTH(MAX($G$2, DATE(Initialisatie!$C$5,1,1))) + 1))
    ) / 12
)</f>
        <v>8070</v>
      </c>
    </row>
    <row r="198" spans="1:10" x14ac:dyDescent="0.45">
      <c r="A198" s="999"/>
      <c r="B198" s="43">
        <v>2</v>
      </c>
      <c r="C198" s="373">
        <v>74</v>
      </c>
      <c r="D198" s="48">
        <v>7941</v>
      </c>
      <c r="E198" s="48">
        <v>8259</v>
      </c>
      <c r="F198" s="48">
        <v>8424</v>
      </c>
      <c r="G198" s="48">
        <v>8592</v>
      </c>
      <c r="I198">
        <f>IF(
    OR(
        AND(MAX(0, MIN($D$1, DATE(Initialisatie!$C$5,12,31)) - MAX($D$2, DATE(Initialisatie!$C$5,1,1)) + 1) &gt; 0, IFERROR(VALUE($D198),0)=0),
        AND(MAX(0, MIN($E$1, DATE(Initialisatie!$C$5,12,31)) - MAX($E$2, DATE(Initialisatie!$C$5,1,1)) + 1) &gt; 0, IFERROR(VALUE($E198),0)=0),
        AND(MAX(0, MIN($F$1, DATE(Initialisatie!$C$5,12,31)) - MAX($F$2, DATE(Initialisatie!$C$5,1,1)) + 1) &gt; 0, IFERROR(VALUE($F198),0)=0),
        AND(MAX(0, MIN($G$1, DATE(Initialisatie!$C$5,12,31)) - MAX($G$2, DATE(Initialisatie!$C$5,1,1)) + 1) &gt; 0, IFERROR(VALUE($G198),0)=0)
    ),
    0,
    SUM(
        IFERROR(VALUE($D198),0) * MAX(0, MIN($D$1, DATE(Initialisatie!$C$5,12,31)) - MAX($D$2, DATE(Initialisatie!$C$5,1,1)) + 1),
        IFERROR(VALUE($E198),0) * MAX(0, MIN($E$1, DATE(Initialisatie!$C$5,12,31)) - MAX($E$2, DATE(Initialisatie!$C$5,1,1)) + 1),
        IFERROR(VALUE($F198),0) * MAX(0, MIN($F$1, DATE(Initialisatie!$C$5,12,31)) - MAX($F$2, DATE(Initialisatie!$C$5,1,1)) + 1),
        IFERROR(VALUE($G198),0) * MAX(0, MIN($G$1, DATE(Initialisatie!$C$5,12,31)) - MAX($G$2, DATE(Initialisatie!$C$5,1,1)) + 1)
    ) / (DATE(Initialisatie!$C$5,12,31) - DATE(Initialisatie!$C$5,1,1) + 1)
)</f>
        <v>8397.830136986302</v>
      </c>
      <c r="J198">
        <f>IF(
    OR(
        AND(MAX(0, IF(MIN($D$1, DATE(Initialisatie!$C$5,12,31)) &lt; MAX($D$2, DATE(Initialisatie!$C$5,1,1)), 0, MONTH(MIN($D$1, DATE(Initialisatie!$C$5,12,31))) - MONTH(MAX($D$2, DATE(Initialisatie!$C$5,1,1))) + 1)) &lt;= 0, IFERROR(VALUE($D198),0)=0),
        AND(MAX(0, IF(MIN($E$1, DATE(Initialisatie!$C$5,12,31)) &lt; MAX($E$2, DATE(Initialisatie!$C$5,1,1)), 0, MONTH(MIN($E$1, DATE(Initialisatie!$C$5,12,31))) - MONTH(MAX($E$2, DATE(Initialisatie!$C$5,1,1))) + 1)) &lt;= 0, IFERROR(VALUE($E198),0)=0),
        AND(MAX(0, IF(MIN($F$1, DATE(Initialisatie!$C$5,12,31)) &lt; MAX($F$2, DATE(Initialisatie!$C$5,1,1)), 0, MONTH(MIN($F$1, DATE(Initialisatie!$C$5,12,31))) - MONTH(MAX($F$2, DATE(Initialisatie!$C$5,1,1))) + 1)) &lt;= 0, IFERROR(VALUE($F198),0)=0),
        AND(MAX(0, IF(MIN($G$1, DATE(Initialisatie!$C$5,12,31)) &lt; MAX($G$2, DATE(Initialisatie!$C$5,1,1)), 0, MONTH(MIN($G$1, DATE(Initialisatie!$C$5,12,31))) - MONTH(MAX($G$2, DATE(Initialisatie!$C$5,1,1))) + 1)) &lt;= 0, IFERROR(VALUE($G198),0)=0)
    ),
    0,
    SUM(
        IFERROR(VALUE($D198),0) * MAX(0, IF(MIN($D$1, DATE(Initialisatie!$C$5,12,31)) &lt; MAX($D$2, DATE(Initialisatie!$C$5,1,1)), 0, MONTH(MIN($D$1, DATE(Initialisatie!$C$5,12,31))) - MONTH(MAX($D$2, DATE(Initialisatie!$C$5,1,1))) + 1)),
        IFERROR(VALUE($E198),0) * MAX(0, IF(MIN($E$1, DATE(Initialisatie!$C$5,12,31)) &lt; MAX($E$2, DATE(Initialisatie!$C$5,1,1)), 0, MONTH(MIN($E$1, DATE(Initialisatie!$C$5,12,31))) - MONTH(MAX($E$2, DATE(Initialisatie!$C$5,1,1))) + 1)),
        IFERROR(VALUE($F198),0) * MAX(0, IF(MIN($F$1, DATE(Initialisatie!$C$5,12,31)) &lt; MAX($F$2, DATE(Initialisatie!$C$5,1,1)), 0, MONTH(MIN($F$1, DATE(Initialisatie!$C$5,12,31))) - MONTH(MAX($F$2, DATE(Initialisatie!$C$5,1,1))) + 1)),
        IFERROR(VALUE($G198),0) * MAX(0, IF(MIN($G$1, DATE(Initialisatie!$C$5,12,31)) &lt; MAX($G$2, DATE(Initialisatie!$C$5,1,1)), 0, MONTH(MIN($G$1, DATE(Initialisatie!$C$5,12,31))) - MONTH(MAX($G$2, DATE(Initialisatie!$C$5,1,1))) + 1))
    ) / 12
)</f>
        <v>8397</v>
      </c>
    </row>
    <row r="199" spans="1:10" x14ac:dyDescent="0.45">
      <c r="A199" s="999"/>
      <c r="B199" s="374">
        <v>3</v>
      </c>
      <c r="C199" s="373">
        <v>77</v>
      </c>
      <c r="D199" s="48">
        <v>8247</v>
      </c>
      <c r="E199" s="48">
        <v>8577</v>
      </c>
      <c r="F199" s="48">
        <v>8749</v>
      </c>
      <c r="G199" s="48">
        <v>8924</v>
      </c>
      <c r="I199">
        <f>IF(
    OR(
        AND(MAX(0, MIN($D$1, DATE(Initialisatie!$C$5,12,31)) - MAX($D$2, DATE(Initialisatie!$C$5,1,1)) + 1) &gt; 0, IFERROR(VALUE($D199),0)=0),
        AND(MAX(0, MIN($E$1, DATE(Initialisatie!$C$5,12,31)) - MAX($E$2, DATE(Initialisatie!$C$5,1,1)) + 1) &gt; 0, IFERROR(VALUE($E199),0)=0),
        AND(MAX(0, MIN($F$1, DATE(Initialisatie!$C$5,12,31)) - MAX($F$2, DATE(Initialisatie!$C$5,1,1)) + 1) &gt; 0, IFERROR(VALUE($F199),0)=0),
        AND(MAX(0, MIN($G$1, DATE(Initialisatie!$C$5,12,31)) - MAX($G$2, DATE(Initialisatie!$C$5,1,1)) + 1) &gt; 0, IFERROR(VALUE($G199),0)=0)
    ),
    0,
    SUM(
        IFERROR(VALUE($D199),0) * MAX(0, MIN($D$1, DATE(Initialisatie!$C$5,12,31)) - MAX($D$2, DATE(Initialisatie!$C$5,1,1)) + 1),
        IFERROR(VALUE($E199),0) * MAX(0, MIN($E$1, DATE(Initialisatie!$C$5,12,31)) - MAX($E$2, DATE(Initialisatie!$C$5,1,1)) + 1),
        IFERROR(VALUE($F199),0) * MAX(0, MIN($F$1, DATE(Initialisatie!$C$5,12,31)) - MAX($F$2, DATE(Initialisatie!$C$5,1,1)) + 1),
        IFERROR(VALUE($G199),0) * MAX(0, MIN($G$1, DATE(Initialisatie!$C$5,12,31)) - MAX($G$2, DATE(Initialisatie!$C$5,1,1)) + 1)
    ) / (DATE(Initialisatie!$C$5,12,31) - DATE(Initialisatie!$C$5,1,1) + 1)
)</f>
        <v>8721.698630136987</v>
      </c>
      <c r="J199">
        <f>IF(
    OR(
        AND(MAX(0, IF(MIN($D$1, DATE(Initialisatie!$C$5,12,31)) &lt; MAX($D$2, DATE(Initialisatie!$C$5,1,1)), 0, MONTH(MIN($D$1, DATE(Initialisatie!$C$5,12,31))) - MONTH(MAX($D$2, DATE(Initialisatie!$C$5,1,1))) + 1)) &lt;= 0, IFERROR(VALUE($D199),0)=0),
        AND(MAX(0, IF(MIN($E$1, DATE(Initialisatie!$C$5,12,31)) &lt; MAX($E$2, DATE(Initialisatie!$C$5,1,1)), 0, MONTH(MIN($E$1, DATE(Initialisatie!$C$5,12,31))) - MONTH(MAX($E$2, DATE(Initialisatie!$C$5,1,1))) + 1)) &lt;= 0, IFERROR(VALUE($E199),0)=0),
        AND(MAX(0, IF(MIN($F$1, DATE(Initialisatie!$C$5,12,31)) &lt; MAX($F$2, DATE(Initialisatie!$C$5,1,1)), 0, MONTH(MIN($F$1, DATE(Initialisatie!$C$5,12,31))) - MONTH(MAX($F$2, DATE(Initialisatie!$C$5,1,1))) + 1)) &lt;= 0, IFERROR(VALUE($F199),0)=0),
        AND(MAX(0, IF(MIN($G$1, DATE(Initialisatie!$C$5,12,31)) &lt; MAX($G$2, DATE(Initialisatie!$C$5,1,1)), 0, MONTH(MIN($G$1, DATE(Initialisatie!$C$5,12,31))) - MONTH(MAX($G$2, DATE(Initialisatie!$C$5,1,1))) + 1)) &lt;= 0, IFERROR(VALUE($G199),0)=0)
    ),
    0,
    SUM(
        IFERROR(VALUE($D199),0) * MAX(0, IF(MIN($D$1, DATE(Initialisatie!$C$5,12,31)) &lt; MAX($D$2, DATE(Initialisatie!$C$5,1,1)), 0, MONTH(MIN($D$1, DATE(Initialisatie!$C$5,12,31))) - MONTH(MAX($D$2, DATE(Initialisatie!$C$5,1,1))) + 1)),
        IFERROR(VALUE($E199),0) * MAX(0, IF(MIN($E$1, DATE(Initialisatie!$C$5,12,31)) &lt; MAX($E$2, DATE(Initialisatie!$C$5,1,1)), 0, MONTH(MIN($E$1, DATE(Initialisatie!$C$5,12,31))) - MONTH(MAX($E$2, DATE(Initialisatie!$C$5,1,1))) + 1)),
        IFERROR(VALUE($F199),0) * MAX(0, IF(MIN($F$1, DATE(Initialisatie!$C$5,12,31)) &lt; MAX($F$2, DATE(Initialisatie!$C$5,1,1)), 0, MONTH(MIN($F$1, DATE(Initialisatie!$C$5,12,31))) - MONTH(MAX($F$2, DATE(Initialisatie!$C$5,1,1))) + 1)),
        IFERROR(VALUE($G199),0) * MAX(0, IF(MIN($G$1, DATE(Initialisatie!$C$5,12,31)) &lt; MAX($G$2, DATE(Initialisatie!$C$5,1,1)), 0, MONTH(MIN($G$1, DATE(Initialisatie!$C$5,12,31))) - MONTH(MAX($G$2, DATE(Initialisatie!$C$5,1,1))) + 1))
    ) / 12
)</f>
        <v>8720.8333333333339</v>
      </c>
    </row>
    <row r="200" spans="1:10" x14ac:dyDescent="0.45">
      <c r="A200" s="999"/>
      <c r="B200" s="374">
        <v>4</v>
      </c>
      <c r="C200" s="373">
        <v>80</v>
      </c>
      <c r="D200" s="48">
        <v>8592</v>
      </c>
      <c r="E200" s="48">
        <v>8936</v>
      </c>
      <c r="F200" s="48">
        <v>9115</v>
      </c>
      <c r="G200" s="48">
        <v>9297</v>
      </c>
      <c r="I200">
        <f>IF(
    OR(
        AND(MAX(0, MIN($D$1, DATE(Initialisatie!$C$5,12,31)) - MAX($D$2, DATE(Initialisatie!$C$5,1,1)) + 1) &gt; 0, IFERROR(VALUE($D200),0)=0),
        AND(MAX(0, MIN($E$1, DATE(Initialisatie!$C$5,12,31)) - MAX($E$2, DATE(Initialisatie!$C$5,1,1)) + 1) &gt; 0, IFERROR(VALUE($E200),0)=0),
        AND(MAX(0, MIN($F$1, DATE(Initialisatie!$C$5,12,31)) - MAX($F$2, DATE(Initialisatie!$C$5,1,1)) + 1) &gt; 0, IFERROR(VALUE($F200),0)=0),
        AND(MAX(0, MIN($G$1, DATE(Initialisatie!$C$5,12,31)) - MAX($G$2, DATE(Initialisatie!$C$5,1,1)) + 1) &gt; 0, IFERROR(VALUE($G200),0)=0)
    ),
    0,
    SUM(
        IFERROR(VALUE($D200),0) * MAX(0, MIN($D$1, DATE(Initialisatie!$C$5,12,31)) - MAX($D$2, DATE(Initialisatie!$C$5,1,1)) + 1),
        IFERROR(VALUE($E200),0) * MAX(0, MIN($E$1, DATE(Initialisatie!$C$5,12,31)) - MAX($E$2, DATE(Initialisatie!$C$5,1,1)) + 1),
        IFERROR(VALUE($F200),0) * MAX(0, MIN($F$1, DATE(Initialisatie!$C$5,12,31)) - MAX($F$2, DATE(Initialisatie!$C$5,1,1)) + 1),
        IFERROR(VALUE($G200),0) * MAX(0, MIN($G$1, DATE(Initialisatie!$C$5,12,31)) - MAX($G$2, DATE(Initialisatie!$C$5,1,1)) + 1)
    ) / (DATE(Initialisatie!$C$5,12,31) - DATE(Initialisatie!$C$5,1,1) + 1)
)</f>
        <v>9086.5671232876721</v>
      </c>
      <c r="J200">
        <f>IF(
    OR(
        AND(MAX(0, IF(MIN($D$1, DATE(Initialisatie!$C$5,12,31)) &lt; MAX($D$2, DATE(Initialisatie!$C$5,1,1)), 0, MONTH(MIN($D$1, DATE(Initialisatie!$C$5,12,31))) - MONTH(MAX($D$2, DATE(Initialisatie!$C$5,1,1))) + 1)) &lt;= 0, IFERROR(VALUE($D200),0)=0),
        AND(MAX(0, IF(MIN($E$1, DATE(Initialisatie!$C$5,12,31)) &lt; MAX($E$2, DATE(Initialisatie!$C$5,1,1)), 0, MONTH(MIN($E$1, DATE(Initialisatie!$C$5,12,31))) - MONTH(MAX($E$2, DATE(Initialisatie!$C$5,1,1))) + 1)) &lt;= 0, IFERROR(VALUE($E200),0)=0),
        AND(MAX(0, IF(MIN($F$1, DATE(Initialisatie!$C$5,12,31)) &lt; MAX($F$2, DATE(Initialisatie!$C$5,1,1)), 0, MONTH(MIN($F$1, DATE(Initialisatie!$C$5,12,31))) - MONTH(MAX($F$2, DATE(Initialisatie!$C$5,1,1))) + 1)) &lt;= 0, IFERROR(VALUE($F200),0)=0),
        AND(MAX(0, IF(MIN($G$1, DATE(Initialisatie!$C$5,12,31)) &lt; MAX($G$2, DATE(Initialisatie!$C$5,1,1)), 0, MONTH(MIN($G$1, DATE(Initialisatie!$C$5,12,31))) - MONTH(MAX($G$2, DATE(Initialisatie!$C$5,1,1))) + 1)) &lt;= 0, IFERROR(VALUE($G200),0)=0)
    ),
    0,
    SUM(
        IFERROR(VALUE($D200),0) * MAX(0, IF(MIN($D$1, DATE(Initialisatie!$C$5,12,31)) &lt; MAX($D$2, DATE(Initialisatie!$C$5,1,1)), 0, MONTH(MIN($D$1, DATE(Initialisatie!$C$5,12,31))) - MONTH(MAX($D$2, DATE(Initialisatie!$C$5,1,1))) + 1)),
        IFERROR(VALUE($E200),0) * MAX(0, IF(MIN($E$1, DATE(Initialisatie!$C$5,12,31)) &lt; MAX($E$2, DATE(Initialisatie!$C$5,1,1)), 0, MONTH(MIN($E$1, DATE(Initialisatie!$C$5,12,31))) - MONTH(MAX($E$2, DATE(Initialisatie!$C$5,1,1))) + 1)),
        IFERROR(VALUE($F200),0) * MAX(0, IF(MIN($F$1, DATE(Initialisatie!$C$5,12,31)) &lt; MAX($F$2, DATE(Initialisatie!$C$5,1,1)), 0, MONTH(MIN($F$1, DATE(Initialisatie!$C$5,12,31))) - MONTH(MAX($F$2, DATE(Initialisatie!$C$5,1,1))) + 1)),
        IFERROR(VALUE($G200),0) * MAX(0, IF(MIN($G$1, DATE(Initialisatie!$C$5,12,31)) &lt; MAX($G$2, DATE(Initialisatie!$C$5,1,1)), 0, MONTH(MIN($G$1, DATE(Initialisatie!$C$5,12,31))) - MONTH(MAX($G$2, DATE(Initialisatie!$C$5,1,1))) + 1))
    ) / 12
)</f>
        <v>9085.6666666666661</v>
      </c>
    </row>
    <row r="201" spans="1:10" x14ac:dyDescent="0.45">
      <c r="A201" s="999"/>
      <c r="B201" s="374">
        <v>5</v>
      </c>
      <c r="C201" s="373">
        <v>83</v>
      </c>
      <c r="D201" s="48">
        <v>8940</v>
      </c>
      <c r="E201" s="48">
        <v>9298</v>
      </c>
      <c r="F201" s="48">
        <v>9484</v>
      </c>
      <c r="G201" s="48">
        <v>9674</v>
      </c>
      <c r="I201">
        <f>IF(
    OR(
        AND(MAX(0, MIN($D$1, DATE(Initialisatie!$C$5,12,31)) - MAX($D$2, DATE(Initialisatie!$C$5,1,1)) + 1) &gt; 0, IFERROR(VALUE($D201),0)=0),
        AND(MAX(0, MIN($E$1, DATE(Initialisatie!$C$5,12,31)) - MAX($E$2, DATE(Initialisatie!$C$5,1,1)) + 1) &gt; 0, IFERROR(VALUE($E201),0)=0),
        AND(MAX(0, MIN($F$1, DATE(Initialisatie!$C$5,12,31)) - MAX($F$2, DATE(Initialisatie!$C$5,1,1)) + 1) &gt; 0, IFERROR(VALUE($F201),0)=0),
        AND(MAX(0, MIN($G$1, DATE(Initialisatie!$C$5,12,31)) - MAX($G$2, DATE(Initialisatie!$C$5,1,1)) + 1) &gt; 0, IFERROR(VALUE($G201),0)=0)
    ),
    0,
    SUM(
        IFERROR(VALUE($D201),0) * MAX(0, MIN($D$1, DATE(Initialisatie!$C$5,12,31)) - MAX($D$2, DATE(Initialisatie!$C$5,1,1)) + 1),
        IFERROR(VALUE($E201),0) * MAX(0, MIN($E$1, DATE(Initialisatie!$C$5,12,31)) - MAX($E$2, DATE(Initialisatie!$C$5,1,1)) + 1),
        IFERROR(VALUE($F201),0) * MAX(0, MIN($F$1, DATE(Initialisatie!$C$5,12,31)) - MAX($F$2, DATE(Initialisatie!$C$5,1,1)) + 1),
        IFERROR(VALUE($G201),0) * MAX(0, MIN($G$1, DATE(Initialisatie!$C$5,12,31)) - MAX($G$2, DATE(Initialisatie!$C$5,1,1)) + 1)
    ) / (DATE(Initialisatie!$C$5,12,31) - DATE(Initialisatie!$C$5,1,1) + 1)
)</f>
        <v>9454.6027397260277</v>
      </c>
      <c r="J201">
        <f>IF(
    OR(
        AND(MAX(0, IF(MIN($D$1, DATE(Initialisatie!$C$5,12,31)) &lt; MAX($D$2, DATE(Initialisatie!$C$5,1,1)), 0, MONTH(MIN($D$1, DATE(Initialisatie!$C$5,12,31))) - MONTH(MAX($D$2, DATE(Initialisatie!$C$5,1,1))) + 1)) &lt;= 0, IFERROR(VALUE($D201),0)=0),
        AND(MAX(0, IF(MIN($E$1, DATE(Initialisatie!$C$5,12,31)) &lt; MAX($E$2, DATE(Initialisatie!$C$5,1,1)), 0, MONTH(MIN($E$1, DATE(Initialisatie!$C$5,12,31))) - MONTH(MAX($E$2, DATE(Initialisatie!$C$5,1,1))) + 1)) &lt;= 0, IFERROR(VALUE($E201),0)=0),
        AND(MAX(0, IF(MIN($F$1, DATE(Initialisatie!$C$5,12,31)) &lt; MAX($F$2, DATE(Initialisatie!$C$5,1,1)), 0, MONTH(MIN($F$1, DATE(Initialisatie!$C$5,12,31))) - MONTH(MAX($F$2, DATE(Initialisatie!$C$5,1,1))) + 1)) &lt;= 0, IFERROR(VALUE($F201),0)=0),
        AND(MAX(0, IF(MIN($G$1, DATE(Initialisatie!$C$5,12,31)) &lt; MAX($G$2, DATE(Initialisatie!$C$5,1,1)), 0, MONTH(MIN($G$1, DATE(Initialisatie!$C$5,12,31))) - MONTH(MAX($G$2, DATE(Initialisatie!$C$5,1,1))) + 1)) &lt;= 0, IFERROR(VALUE($G201),0)=0)
    ),
    0,
    SUM(
        IFERROR(VALUE($D201),0) * MAX(0, IF(MIN($D$1, DATE(Initialisatie!$C$5,12,31)) &lt; MAX($D$2, DATE(Initialisatie!$C$5,1,1)), 0, MONTH(MIN($D$1, DATE(Initialisatie!$C$5,12,31))) - MONTH(MAX($D$2, DATE(Initialisatie!$C$5,1,1))) + 1)),
        IFERROR(VALUE($E201),0) * MAX(0, IF(MIN($E$1, DATE(Initialisatie!$C$5,12,31)) &lt; MAX($E$2, DATE(Initialisatie!$C$5,1,1)), 0, MONTH(MIN($E$1, DATE(Initialisatie!$C$5,12,31))) - MONTH(MAX($E$2, DATE(Initialisatie!$C$5,1,1))) + 1)),
        IFERROR(VALUE($F201),0) * MAX(0, IF(MIN($F$1, DATE(Initialisatie!$C$5,12,31)) &lt; MAX($F$2, DATE(Initialisatie!$C$5,1,1)), 0, MONTH(MIN($F$1, DATE(Initialisatie!$C$5,12,31))) - MONTH(MAX($F$2, DATE(Initialisatie!$C$5,1,1))) + 1)),
        IFERROR(VALUE($G201),0) * MAX(0, IF(MIN($G$1, DATE(Initialisatie!$C$5,12,31)) &lt; MAX($G$2, DATE(Initialisatie!$C$5,1,1)), 0, MONTH(MIN($G$1, DATE(Initialisatie!$C$5,12,31))) - MONTH(MAX($G$2, DATE(Initialisatie!$C$5,1,1))) + 1))
    ) / 12
)</f>
        <v>9453.6666666666661</v>
      </c>
    </row>
    <row r="202" spans="1:10" x14ac:dyDescent="0.45">
      <c r="A202" s="999"/>
      <c r="B202" s="374">
        <v>6</v>
      </c>
      <c r="C202" s="373">
        <v>86</v>
      </c>
      <c r="D202" s="48">
        <v>9325</v>
      </c>
      <c r="E202" s="48">
        <v>9698</v>
      </c>
      <c r="F202" s="48">
        <v>9892</v>
      </c>
      <c r="G202" s="48">
        <v>10090</v>
      </c>
      <c r="I202">
        <f>IF(
    OR(
        AND(MAX(0, MIN($D$1, DATE(Initialisatie!$C$5,12,31)) - MAX($D$2, DATE(Initialisatie!$C$5,1,1)) + 1) &gt; 0, IFERROR(VALUE($D202),0)=0),
        AND(MAX(0, MIN($E$1, DATE(Initialisatie!$C$5,12,31)) - MAX($E$2, DATE(Initialisatie!$C$5,1,1)) + 1) &gt; 0, IFERROR(VALUE($E202),0)=0),
        AND(MAX(0, MIN($F$1, DATE(Initialisatie!$C$5,12,31)) - MAX($F$2, DATE(Initialisatie!$C$5,1,1)) + 1) &gt; 0, IFERROR(VALUE($F202),0)=0),
        AND(MAX(0, MIN($G$1, DATE(Initialisatie!$C$5,12,31)) - MAX($G$2, DATE(Initialisatie!$C$5,1,1)) + 1) &gt; 0, IFERROR(VALUE($G202),0)=0)
    ),
    0,
    SUM(
        IFERROR(VALUE($D202),0) * MAX(0, MIN($D$1, DATE(Initialisatie!$C$5,12,31)) - MAX($D$2, DATE(Initialisatie!$C$5,1,1)) + 1),
        IFERROR(VALUE($E202),0) * MAX(0, MIN($E$1, DATE(Initialisatie!$C$5,12,31)) - MAX($E$2, DATE(Initialisatie!$C$5,1,1)) + 1),
        IFERROR(VALUE($F202),0) * MAX(0, MIN($F$1, DATE(Initialisatie!$C$5,12,31)) - MAX($F$2, DATE(Initialisatie!$C$5,1,1)) + 1),
        IFERROR(VALUE($G202),0) * MAX(0, MIN($G$1, DATE(Initialisatie!$C$5,12,31)) - MAX($G$2, DATE(Initialisatie!$C$5,1,1)) + 1)
    ) / (DATE(Initialisatie!$C$5,12,31) - DATE(Initialisatie!$C$5,1,1) + 1)
)</f>
        <v>9861.309589041095</v>
      </c>
      <c r="J202">
        <f>IF(
    OR(
        AND(MAX(0, IF(MIN($D$1, DATE(Initialisatie!$C$5,12,31)) &lt; MAX($D$2, DATE(Initialisatie!$C$5,1,1)), 0, MONTH(MIN($D$1, DATE(Initialisatie!$C$5,12,31))) - MONTH(MAX($D$2, DATE(Initialisatie!$C$5,1,1))) + 1)) &lt;= 0, IFERROR(VALUE($D202),0)=0),
        AND(MAX(0, IF(MIN($E$1, DATE(Initialisatie!$C$5,12,31)) &lt; MAX($E$2, DATE(Initialisatie!$C$5,1,1)), 0, MONTH(MIN($E$1, DATE(Initialisatie!$C$5,12,31))) - MONTH(MAX($E$2, DATE(Initialisatie!$C$5,1,1))) + 1)) &lt;= 0, IFERROR(VALUE($E202),0)=0),
        AND(MAX(0, IF(MIN($F$1, DATE(Initialisatie!$C$5,12,31)) &lt; MAX($F$2, DATE(Initialisatie!$C$5,1,1)), 0, MONTH(MIN($F$1, DATE(Initialisatie!$C$5,12,31))) - MONTH(MAX($F$2, DATE(Initialisatie!$C$5,1,1))) + 1)) &lt;= 0, IFERROR(VALUE($F202),0)=0),
        AND(MAX(0, IF(MIN($G$1, DATE(Initialisatie!$C$5,12,31)) &lt; MAX($G$2, DATE(Initialisatie!$C$5,1,1)), 0, MONTH(MIN($G$1, DATE(Initialisatie!$C$5,12,31))) - MONTH(MAX($G$2, DATE(Initialisatie!$C$5,1,1))) + 1)) &lt;= 0, IFERROR(VALUE($G202),0)=0)
    ),
    0,
    SUM(
        IFERROR(VALUE($D202),0) * MAX(0, IF(MIN($D$1, DATE(Initialisatie!$C$5,12,31)) &lt; MAX($D$2, DATE(Initialisatie!$C$5,1,1)), 0, MONTH(MIN($D$1, DATE(Initialisatie!$C$5,12,31))) - MONTH(MAX($D$2, DATE(Initialisatie!$C$5,1,1))) + 1)),
        IFERROR(VALUE($E202),0) * MAX(0, IF(MIN($E$1, DATE(Initialisatie!$C$5,12,31)) &lt; MAX($E$2, DATE(Initialisatie!$C$5,1,1)), 0, MONTH(MIN($E$1, DATE(Initialisatie!$C$5,12,31))) - MONTH(MAX($E$2, DATE(Initialisatie!$C$5,1,1))) + 1)),
        IFERROR(VALUE($F202),0) * MAX(0, IF(MIN($F$1, DATE(Initialisatie!$C$5,12,31)) &lt; MAX($F$2, DATE(Initialisatie!$C$5,1,1)), 0, MONTH(MIN($F$1, DATE(Initialisatie!$C$5,12,31))) - MONTH(MAX($F$2, DATE(Initialisatie!$C$5,1,1))) + 1)),
        IFERROR(VALUE($G202),0) * MAX(0, IF(MIN($G$1, DATE(Initialisatie!$C$5,12,31)) &lt; MAX($G$2, DATE(Initialisatie!$C$5,1,1)), 0, MONTH(MIN($G$1, DATE(Initialisatie!$C$5,12,31))) - MONTH(MAX($G$2, DATE(Initialisatie!$C$5,1,1))) + 1))
    ) / 12
)</f>
        <v>9860.3333333333339</v>
      </c>
    </row>
    <row r="203" spans="1:10" x14ac:dyDescent="0.45">
      <c r="A203" s="999"/>
      <c r="B203" s="374">
        <v>7</v>
      </c>
      <c r="C203" s="373">
        <v>88</v>
      </c>
      <c r="D203" s="48">
        <v>9611</v>
      </c>
      <c r="E203" s="48">
        <v>9995</v>
      </c>
      <c r="F203" s="48">
        <v>10195</v>
      </c>
      <c r="G203" s="48">
        <v>10399</v>
      </c>
      <c r="I203">
        <f>IF(
    OR(
        AND(MAX(0, MIN($D$1, DATE(Initialisatie!$C$5,12,31)) - MAX($D$2, DATE(Initialisatie!$C$5,1,1)) + 1) &gt; 0, IFERROR(VALUE($D203),0)=0),
        AND(MAX(0, MIN($E$1, DATE(Initialisatie!$C$5,12,31)) - MAX($E$2, DATE(Initialisatie!$C$5,1,1)) + 1) &gt; 0, IFERROR(VALUE($E203),0)=0),
        AND(MAX(0, MIN($F$1, DATE(Initialisatie!$C$5,12,31)) - MAX($F$2, DATE(Initialisatie!$C$5,1,1)) + 1) &gt; 0, IFERROR(VALUE($F203),0)=0),
        AND(MAX(0, MIN($G$1, DATE(Initialisatie!$C$5,12,31)) - MAX($G$2, DATE(Initialisatie!$C$5,1,1)) + 1) &gt; 0, IFERROR(VALUE($G203),0)=0)
    ),
    0,
    SUM(
        IFERROR(VALUE($D203),0) * MAX(0, MIN($D$1, DATE(Initialisatie!$C$5,12,31)) - MAX($D$2, DATE(Initialisatie!$C$5,1,1)) + 1),
        IFERROR(VALUE($E203),0) * MAX(0, MIN($E$1, DATE(Initialisatie!$C$5,12,31)) - MAX($E$2, DATE(Initialisatie!$C$5,1,1)) + 1),
        IFERROR(VALUE($F203),0) * MAX(0, MIN($F$1, DATE(Initialisatie!$C$5,12,31)) - MAX($F$2, DATE(Initialisatie!$C$5,1,1)) + 1),
        IFERROR(VALUE($G203),0) * MAX(0, MIN($G$1, DATE(Initialisatie!$C$5,12,31)) - MAX($G$2, DATE(Initialisatie!$C$5,1,1)) + 1)
    ) / (DATE(Initialisatie!$C$5,12,31) - DATE(Initialisatie!$C$5,1,1) + 1)
)</f>
        <v>10163.339726027398</v>
      </c>
      <c r="J203">
        <f>IF(
    OR(
        AND(MAX(0, IF(MIN($D$1, DATE(Initialisatie!$C$5,12,31)) &lt; MAX($D$2, DATE(Initialisatie!$C$5,1,1)), 0, MONTH(MIN($D$1, DATE(Initialisatie!$C$5,12,31))) - MONTH(MAX($D$2, DATE(Initialisatie!$C$5,1,1))) + 1)) &lt;= 0, IFERROR(VALUE($D203),0)=0),
        AND(MAX(0, IF(MIN($E$1, DATE(Initialisatie!$C$5,12,31)) &lt; MAX($E$2, DATE(Initialisatie!$C$5,1,1)), 0, MONTH(MIN($E$1, DATE(Initialisatie!$C$5,12,31))) - MONTH(MAX($E$2, DATE(Initialisatie!$C$5,1,1))) + 1)) &lt;= 0, IFERROR(VALUE($E203),0)=0),
        AND(MAX(0, IF(MIN($F$1, DATE(Initialisatie!$C$5,12,31)) &lt; MAX($F$2, DATE(Initialisatie!$C$5,1,1)), 0, MONTH(MIN($F$1, DATE(Initialisatie!$C$5,12,31))) - MONTH(MAX($F$2, DATE(Initialisatie!$C$5,1,1))) + 1)) &lt;= 0, IFERROR(VALUE($F203),0)=0),
        AND(MAX(0, IF(MIN($G$1, DATE(Initialisatie!$C$5,12,31)) &lt; MAX($G$2, DATE(Initialisatie!$C$5,1,1)), 0, MONTH(MIN($G$1, DATE(Initialisatie!$C$5,12,31))) - MONTH(MAX($G$2, DATE(Initialisatie!$C$5,1,1))) + 1)) &lt;= 0, IFERROR(VALUE($G203),0)=0)
    ),
    0,
    SUM(
        IFERROR(VALUE($D203),0) * MAX(0, IF(MIN($D$1, DATE(Initialisatie!$C$5,12,31)) &lt; MAX($D$2, DATE(Initialisatie!$C$5,1,1)), 0, MONTH(MIN($D$1, DATE(Initialisatie!$C$5,12,31))) - MONTH(MAX($D$2, DATE(Initialisatie!$C$5,1,1))) + 1)),
        IFERROR(VALUE($E203),0) * MAX(0, IF(MIN($E$1, DATE(Initialisatie!$C$5,12,31)) &lt; MAX($E$2, DATE(Initialisatie!$C$5,1,1)), 0, MONTH(MIN($E$1, DATE(Initialisatie!$C$5,12,31))) - MONTH(MAX($E$2, DATE(Initialisatie!$C$5,1,1))) + 1)),
        IFERROR(VALUE($F203),0) * MAX(0, IF(MIN($F$1, DATE(Initialisatie!$C$5,12,31)) &lt; MAX($F$2, DATE(Initialisatie!$C$5,1,1)), 0, MONTH(MIN($F$1, DATE(Initialisatie!$C$5,12,31))) - MONTH(MAX($F$2, DATE(Initialisatie!$C$5,1,1))) + 1)),
        IFERROR(VALUE($G203),0) * MAX(0, IF(MIN($G$1, DATE(Initialisatie!$C$5,12,31)) &lt; MAX($G$2, DATE(Initialisatie!$C$5,1,1)), 0, MONTH(MIN($G$1, DATE(Initialisatie!$C$5,12,31))) - MONTH(MAX($G$2, DATE(Initialisatie!$C$5,1,1))) + 1))
    ) / 12
)</f>
        <v>10162.333333333334</v>
      </c>
    </row>
    <row r="204" spans="1:10" x14ac:dyDescent="0.45">
      <c r="A204" s="999"/>
      <c r="B204" s="374">
        <v>8</v>
      </c>
      <c r="C204" s="373">
        <v>90</v>
      </c>
      <c r="D204" s="48">
        <v>9907</v>
      </c>
      <c r="E204" s="48">
        <v>10303</v>
      </c>
      <c r="F204" s="48">
        <v>10509</v>
      </c>
      <c r="G204" s="48">
        <v>10719</v>
      </c>
      <c r="I204">
        <f>IF(
    OR(
        AND(MAX(0, MIN($D$1, DATE(Initialisatie!$C$5,12,31)) - MAX($D$2, DATE(Initialisatie!$C$5,1,1)) + 1) &gt; 0, IFERROR(VALUE($D204),0)=0),
        AND(MAX(0, MIN($E$1, DATE(Initialisatie!$C$5,12,31)) - MAX($E$2, DATE(Initialisatie!$C$5,1,1)) + 1) &gt; 0, IFERROR(VALUE($E204),0)=0),
        AND(MAX(0, MIN($F$1, DATE(Initialisatie!$C$5,12,31)) - MAX($F$2, DATE(Initialisatie!$C$5,1,1)) + 1) &gt; 0, IFERROR(VALUE($F204),0)=0),
        AND(MAX(0, MIN($G$1, DATE(Initialisatie!$C$5,12,31)) - MAX($G$2, DATE(Initialisatie!$C$5,1,1)) + 1) &gt; 0, IFERROR(VALUE($G204),0)=0)
    ),
    0,
    SUM(
        IFERROR(VALUE($D204),0) * MAX(0, MIN($D$1, DATE(Initialisatie!$C$5,12,31)) - MAX($D$2, DATE(Initialisatie!$C$5,1,1)) + 1),
        IFERROR(VALUE($E204),0) * MAX(0, MIN($E$1, DATE(Initialisatie!$C$5,12,31)) - MAX($E$2, DATE(Initialisatie!$C$5,1,1)) + 1),
        IFERROR(VALUE($F204),0) * MAX(0, MIN($F$1, DATE(Initialisatie!$C$5,12,31)) - MAX($F$2, DATE(Initialisatie!$C$5,1,1)) + 1),
        IFERROR(VALUE($G204),0) * MAX(0, MIN($G$1, DATE(Initialisatie!$C$5,12,31)) - MAX($G$2, DATE(Initialisatie!$C$5,1,1)) + 1)
    ) / (DATE(Initialisatie!$C$5,12,31) - DATE(Initialisatie!$C$5,1,1) + 1)
)</f>
        <v>10476.369863013699</v>
      </c>
      <c r="J204">
        <f>IF(
    OR(
        AND(MAX(0, IF(MIN($D$1, DATE(Initialisatie!$C$5,12,31)) &lt; MAX($D$2, DATE(Initialisatie!$C$5,1,1)), 0, MONTH(MIN($D$1, DATE(Initialisatie!$C$5,12,31))) - MONTH(MAX($D$2, DATE(Initialisatie!$C$5,1,1))) + 1)) &lt;= 0, IFERROR(VALUE($D204),0)=0),
        AND(MAX(0, IF(MIN($E$1, DATE(Initialisatie!$C$5,12,31)) &lt; MAX($E$2, DATE(Initialisatie!$C$5,1,1)), 0, MONTH(MIN($E$1, DATE(Initialisatie!$C$5,12,31))) - MONTH(MAX($E$2, DATE(Initialisatie!$C$5,1,1))) + 1)) &lt;= 0, IFERROR(VALUE($E204),0)=0),
        AND(MAX(0, IF(MIN($F$1, DATE(Initialisatie!$C$5,12,31)) &lt; MAX($F$2, DATE(Initialisatie!$C$5,1,1)), 0, MONTH(MIN($F$1, DATE(Initialisatie!$C$5,12,31))) - MONTH(MAX($F$2, DATE(Initialisatie!$C$5,1,1))) + 1)) &lt;= 0, IFERROR(VALUE($F204),0)=0),
        AND(MAX(0, IF(MIN($G$1, DATE(Initialisatie!$C$5,12,31)) &lt; MAX($G$2, DATE(Initialisatie!$C$5,1,1)), 0, MONTH(MIN($G$1, DATE(Initialisatie!$C$5,12,31))) - MONTH(MAX($G$2, DATE(Initialisatie!$C$5,1,1))) + 1)) &lt;= 0, IFERROR(VALUE($G204),0)=0)
    ),
    0,
    SUM(
        IFERROR(VALUE($D204),0) * MAX(0, IF(MIN($D$1, DATE(Initialisatie!$C$5,12,31)) &lt; MAX($D$2, DATE(Initialisatie!$C$5,1,1)), 0, MONTH(MIN($D$1, DATE(Initialisatie!$C$5,12,31))) - MONTH(MAX($D$2, DATE(Initialisatie!$C$5,1,1))) + 1)),
        IFERROR(VALUE($E204),0) * MAX(0, IF(MIN($E$1, DATE(Initialisatie!$C$5,12,31)) &lt; MAX($E$2, DATE(Initialisatie!$C$5,1,1)), 0, MONTH(MIN($E$1, DATE(Initialisatie!$C$5,12,31))) - MONTH(MAX($E$2, DATE(Initialisatie!$C$5,1,1))) + 1)),
        IFERROR(VALUE($F204),0) * MAX(0, IF(MIN($F$1, DATE(Initialisatie!$C$5,12,31)) &lt; MAX($F$2, DATE(Initialisatie!$C$5,1,1)), 0, MONTH(MIN($F$1, DATE(Initialisatie!$C$5,12,31))) - MONTH(MAX($F$2, DATE(Initialisatie!$C$5,1,1))) + 1)),
        IFERROR(VALUE($G204),0) * MAX(0, IF(MIN($G$1, DATE(Initialisatie!$C$5,12,31)) &lt; MAX($G$2, DATE(Initialisatie!$C$5,1,1)), 0, MONTH(MIN($G$1, DATE(Initialisatie!$C$5,12,31))) - MONTH(MAX($G$2, DATE(Initialisatie!$C$5,1,1))) + 1))
    ) / 12
)</f>
        <v>10475.333333333334</v>
      </c>
    </row>
    <row r="205" spans="1:10" x14ac:dyDescent="0.45">
      <c r="A205" s="999"/>
      <c r="B205" s="375">
        <v>9</v>
      </c>
      <c r="C205" s="373">
        <v>92</v>
      </c>
      <c r="D205" s="48">
        <v>10211</v>
      </c>
      <c r="E205" s="48">
        <v>10619</v>
      </c>
      <c r="F205" s="48">
        <v>10831</v>
      </c>
      <c r="G205" s="48">
        <v>11048</v>
      </c>
      <c r="I205">
        <f>IF(
    OR(
        AND(MAX(0, MIN($D$1, DATE(Initialisatie!$C$5,12,31)) - MAX($D$2, DATE(Initialisatie!$C$5,1,1)) + 1) &gt; 0, IFERROR(VALUE($D205),0)=0),
        AND(MAX(0, MIN($E$1, DATE(Initialisatie!$C$5,12,31)) - MAX($E$2, DATE(Initialisatie!$C$5,1,1)) + 1) &gt; 0, IFERROR(VALUE($E205),0)=0),
        AND(MAX(0, MIN($F$1, DATE(Initialisatie!$C$5,12,31)) - MAX($F$2, DATE(Initialisatie!$C$5,1,1)) + 1) &gt; 0, IFERROR(VALUE($F205),0)=0),
        AND(MAX(0, MIN($G$1, DATE(Initialisatie!$C$5,12,31)) - MAX($G$2, DATE(Initialisatie!$C$5,1,1)) + 1) &gt; 0, IFERROR(VALUE($G205),0)=0)
    ),
    0,
    SUM(
        IFERROR(VALUE($D205),0) * MAX(0, MIN($D$1, DATE(Initialisatie!$C$5,12,31)) - MAX($D$2, DATE(Initialisatie!$C$5,1,1)) + 1),
        IFERROR(VALUE($E205),0) * MAX(0, MIN($E$1, DATE(Initialisatie!$C$5,12,31)) - MAX($E$2, DATE(Initialisatie!$C$5,1,1)) + 1),
        IFERROR(VALUE($F205),0) * MAX(0, MIN($F$1, DATE(Initialisatie!$C$5,12,31)) - MAX($F$2, DATE(Initialisatie!$C$5,1,1)) + 1),
        IFERROR(VALUE($G205),0) * MAX(0, MIN($G$1, DATE(Initialisatie!$C$5,12,31)) - MAX($G$2, DATE(Initialisatie!$C$5,1,1)) + 1)
    ) / (DATE(Initialisatie!$C$5,12,31) - DATE(Initialisatie!$C$5,1,1) + 1)
)</f>
        <v>10797.567123287672</v>
      </c>
      <c r="J205">
        <f>IF(
    OR(
        AND(MAX(0, IF(MIN($D$1, DATE(Initialisatie!$C$5,12,31)) &lt; MAX($D$2, DATE(Initialisatie!$C$5,1,1)), 0, MONTH(MIN($D$1, DATE(Initialisatie!$C$5,12,31))) - MONTH(MAX($D$2, DATE(Initialisatie!$C$5,1,1))) + 1)) &lt;= 0, IFERROR(VALUE($D205),0)=0),
        AND(MAX(0, IF(MIN($E$1, DATE(Initialisatie!$C$5,12,31)) &lt; MAX($E$2, DATE(Initialisatie!$C$5,1,1)), 0, MONTH(MIN($E$1, DATE(Initialisatie!$C$5,12,31))) - MONTH(MAX($E$2, DATE(Initialisatie!$C$5,1,1))) + 1)) &lt;= 0, IFERROR(VALUE($E205),0)=0),
        AND(MAX(0, IF(MIN($F$1, DATE(Initialisatie!$C$5,12,31)) &lt; MAX($F$2, DATE(Initialisatie!$C$5,1,1)), 0, MONTH(MIN($F$1, DATE(Initialisatie!$C$5,12,31))) - MONTH(MAX($F$2, DATE(Initialisatie!$C$5,1,1))) + 1)) &lt;= 0, IFERROR(VALUE($F205),0)=0),
        AND(MAX(0, IF(MIN($G$1, DATE(Initialisatie!$C$5,12,31)) &lt; MAX($G$2, DATE(Initialisatie!$C$5,1,1)), 0, MONTH(MIN($G$1, DATE(Initialisatie!$C$5,12,31))) - MONTH(MAX($G$2, DATE(Initialisatie!$C$5,1,1))) + 1)) &lt;= 0, IFERROR(VALUE($G205),0)=0)
    ),
    0,
    SUM(
        IFERROR(VALUE($D205),0) * MAX(0, IF(MIN($D$1, DATE(Initialisatie!$C$5,12,31)) &lt; MAX($D$2, DATE(Initialisatie!$C$5,1,1)), 0, MONTH(MIN($D$1, DATE(Initialisatie!$C$5,12,31))) - MONTH(MAX($D$2, DATE(Initialisatie!$C$5,1,1))) + 1)),
        IFERROR(VALUE($E205),0) * MAX(0, IF(MIN($E$1, DATE(Initialisatie!$C$5,12,31)) &lt; MAX($E$2, DATE(Initialisatie!$C$5,1,1)), 0, MONTH(MIN($E$1, DATE(Initialisatie!$C$5,12,31))) - MONTH(MAX($E$2, DATE(Initialisatie!$C$5,1,1))) + 1)),
        IFERROR(VALUE($F205),0) * MAX(0, IF(MIN($F$1, DATE(Initialisatie!$C$5,12,31)) &lt; MAX($F$2, DATE(Initialisatie!$C$5,1,1)), 0, MONTH(MIN($F$1, DATE(Initialisatie!$C$5,12,31))) - MONTH(MAX($F$2, DATE(Initialisatie!$C$5,1,1))) + 1)),
        IFERROR(VALUE($G205),0) * MAX(0, IF(MIN($G$1, DATE(Initialisatie!$C$5,12,31)) &lt; MAX($G$2, DATE(Initialisatie!$C$5,1,1)), 0, MONTH(MIN($G$1, DATE(Initialisatie!$C$5,12,31))) - MONTH(MAX($G$2, DATE(Initialisatie!$C$5,1,1))) + 1))
    ) / 12
)</f>
        <v>10796.5</v>
      </c>
    </row>
    <row r="206" spans="1:10" x14ac:dyDescent="0.45">
      <c r="A206" s="999"/>
      <c r="B206" s="372">
        <v>10</v>
      </c>
      <c r="C206" s="373">
        <v>94</v>
      </c>
      <c r="D206" s="48">
        <v>10514</v>
      </c>
      <c r="E206" s="48">
        <v>10935</v>
      </c>
      <c r="F206" s="48">
        <v>11154</v>
      </c>
      <c r="G206" s="48">
        <v>11377</v>
      </c>
      <c r="I206">
        <f>IF(
    OR(
        AND(MAX(0, MIN($D$1, DATE(Initialisatie!$C$5,12,31)) - MAX($D$2, DATE(Initialisatie!$C$5,1,1)) + 1) &gt; 0, IFERROR(VALUE($D206),0)=0),
        AND(MAX(0, MIN($E$1, DATE(Initialisatie!$C$5,12,31)) - MAX($E$2, DATE(Initialisatie!$C$5,1,1)) + 1) &gt; 0, IFERROR(VALUE($E206),0)=0),
        AND(MAX(0, MIN($F$1, DATE(Initialisatie!$C$5,12,31)) - MAX($F$2, DATE(Initialisatie!$C$5,1,1)) + 1) &gt; 0, IFERROR(VALUE($F206),0)=0),
        AND(MAX(0, MIN($G$1, DATE(Initialisatie!$C$5,12,31)) - MAX($G$2, DATE(Initialisatie!$C$5,1,1)) + 1) &gt; 0, IFERROR(VALUE($G206),0)=0)
    ),
    0,
    SUM(
        IFERROR(VALUE($D206),0) * MAX(0, MIN($D$1, DATE(Initialisatie!$C$5,12,31)) - MAX($D$2, DATE(Initialisatie!$C$5,1,1)) + 1),
        IFERROR(VALUE($E206),0) * MAX(0, MIN($E$1, DATE(Initialisatie!$C$5,12,31)) - MAX($E$2, DATE(Initialisatie!$C$5,1,1)) + 1),
        IFERROR(VALUE($F206),0) * MAX(0, MIN($F$1, DATE(Initialisatie!$C$5,12,31)) - MAX($F$2, DATE(Initialisatie!$C$5,1,1)) + 1),
        IFERROR(VALUE($G206),0) * MAX(0, MIN($G$1, DATE(Initialisatie!$C$5,12,31)) - MAX($G$2, DATE(Initialisatie!$C$5,1,1)) + 1)
    ) / (DATE(Initialisatie!$C$5,12,31) - DATE(Initialisatie!$C$5,1,1) + 1)
)</f>
        <v>11119.268493150685</v>
      </c>
      <c r="J206">
        <f>IF(
    OR(
        AND(MAX(0, IF(MIN($D$1, DATE(Initialisatie!$C$5,12,31)) &lt; MAX($D$2, DATE(Initialisatie!$C$5,1,1)), 0, MONTH(MIN($D$1, DATE(Initialisatie!$C$5,12,31))) - MONTH(MAX($D$2, DATE(Initialisatie!$C$5,1,1))) + 1)) &lt;= 0, IFERROR(VALUE($D206),0)=0),
        AND(MAX(0, IF(MIN($E$1, DATE(Initialisatie!$C$5,12,31)) &lt; MAX($E$2, DATE(Initialisatie!$C$5,1,1)), 0, MONTH(MIN($E$1, DATE(Initialisatie!$C$5,12,31))) - MONTH(MAX($E$2, DATE(Initialisatie!$C$5,1,1))) + 1)) &lt;= 0, IFERROR(VALUE($E206),0)=0),
        AND(MAX(0, IF(MIN($F$1, DATE(Initialisatie!$C$5,12,31)) &lt; MAX($F$2, DATE(Initialisatie!$C$5,1,1)), 0, MONTH(MIN($F$1, DATE(Initialisatie!$C$5,12,31))) - MONTH(MAX($F$2, DATE(Initialisatie!$C$5,1,1))) + 1)) &lt;= 0, IFERROR(VALUE($F206),0)=0),
        AND(MAX(0, IF(MIN($G$1, DATE(Initialisatie!$C$5,12,31)) &lt; MAX($G$2, DATE(Initialisatie!$C$5,1,1)), 0, MONTH(MIN($G$1, DATE(Initialisatie!$C$5,12,31))) - MONTH(MAX($G$2, DATE(Initialisatie!$C$5,1,1))) + 1)) &lt;= 0, IFERROR(VALUE($G206),0)=0)
    ),
    0,
    SUM(
        IFERROR(VALUE($D206),0) * MAX(0, IF(MIN($D$1, DATE(Initialisatie!$C$5,12,31)) &lt; MAX($D$2, DATE(Initialisatie!$C$5,1,1)), 0, MONTH(MIN($D$1, DATE(Initialisatie!$C$5,12,31))) - MONTH(MAX($D$2, DATE(Initialisatie!$C$5,1,1))) + 1)),
        IFERROR(VALUE($E206),0) * MAX(0, IF(MIN($E$1, DATE(Initialisatie!$C$5,12,31)) &lt; MAX($E$2, DATE(Initialisatie!$C$5,1,1)), 0, MONTH(MIN($E$1, DATE(Initialisatie!$C$5,12,31))) - MONTH(MAX($E$2, DATE(Initialisatie!$C$5,1,1))) + 1)),
        IFERROR(VALUE($F206),0) * MAX(0, IF(MIN($F$1, DATE(Initialisatie!$C$5,12,31)) &lt; MAX($F$2, DATE(Initialisatie!$C$5,1,1)), 0, MONTH(MIN($F$1, DATE(Initialisatie!$C$5,12,31))) - MONTH(MAX($F$2, DATE(Initialisatie!$C$5,1,1))) + 1)),
        IFERROR(VALUE($G206),0) * MAX(0, IF(MIN($G$1, DATE(Initialisatie!$C$5,12,31)) &lt; MAX($G$2, DATE(Initialisatie!$C$5,1,1)), 0, MONTH(MIN($G$1, DATE(Initialisatie!$C$5,12,31))) - MONTH(MAX($G$2, DATE(Initialisatie!$C$5,1,1))) + 1))
    ) / 12
)</f>
        <v>11118.166666666666</v>
      </c>
    </row>
    <row r="207" spans="1:10" x14ac:dyDescent="0.45">
      <c r="A207" s="999"/>
      <c r="B207" s="372">
        <v>11</v>
      </c>
      <c r="C207" s="373">
        <v>95</v>
      </c>
      <c r="D207" s="48">
        <v>10667</v>
      </c>
      <c r="E207" s="48">
        <v>11094</v>
      </c>
      <c r="F207" s="48">
        <v>11316</v>
      </c>
      <c r="G207" s="48">
        <v>11542</v>
      </c>
      <c r="I207">
        <f>IF(
    OR(
        AND(MAX(0, MIN($D$1, DATE(Initialisatie!$C$5,12,31)) - MAX($D$2, DATE(Initialisatie!$C$5,1,1)) + 1) &gt; 0, IFERROR(VALUE($D207),0)=0),
        AND(MAX(0, MIN($E$1, DATE(Initialisatie!$C$5,12,31)) - MAX($E$2, DATE(Initialisatie!$C$5,1,1)) + 1) &gt; 0, IFERROR(VALUE($E207),0)=0),
        AND(MAX(0, MIN($F$1, DATE(Initialisatie!$C$5,12,31)) - MAX($F$2, DATE(Initialisatie!$C$5,1,1)) + 1) &gt; 0, IFERROR(VALUE($F207),0)=0),
        AND(MAX(0, MIN($G$1, DATE(Initialisatie!$C$5,12,31)) - MAX($G$2, DATE(Initialisatie!$C$5,1,1)) + 1) &gt; 0, IFERROR(VALUE($G207),0)=0)
    ),
    0,
    SUM(
        IFERROR(VALUE($D207),0) * MAX(0, MIN($D$1, DATE(Initialisatie!$C$5,12,31)) - MAX($D$2, DATE(Initialisatie!$C$5,1,1)) + 1),
        IFERROR(VALUE($E207),0) * MAX(0, MIN($E$1, DATE(Initialisatie!$C$5,12,31)) - MAX($E$2, DATE(Initialisatie!$C$5,1,1)) + 1),
        IFERROR(VALUE($F207),0) * MAX(0, MIN($F$1, DATE(Initialisatie!$C$5,12,31)) - MAX($F$2, DATE(Initialisatie!$C$5,1,1)) + 1),
        IFERROR(VALUE($G207),0) * MAX(0, MIN($G$1, DATE(Initialisatie!$C$5,12,31)) - MAX($G$2, DATE(Initialisatie!$C$5,1,1)) + 1)
    ) / (DATE(Initialisatie!$C$5,12,31) - DATE(Initialisatie!$C$5,1,1) + 1)
)</f>
        <v>11280.783561643835</v>
      </c>
      <c r="J207">
        <f>IF(
    OR(
        AND(MAX(0, IF(MIN($D$1, DATE(Initialisatie!$C$5,12,31)) &lt; MAX($D$2, DATE(Initialisatie!$C$5,1,1)), 0, MONTH(MIN($D$1, DATE(Initialisatie!$C$5,12,31))) - MONTH(MAX($D$2, DATE(Initialisatie!$C$5,1,1))) + 1)) &lt;= 0, IFERROR(VALUE($D207),0)=0),
        AND(MAX(0, IF(MIN($E$1, DATE(Initialisatie!$C$5,12,31)) &lt; MAX($E$2, DATE(Initialisatie!$C$5,1,1)), 0, MONTH(MIN($E$1, DATE(Initialisatie!$C$5,12,31))) - MONTH(MAX($E$2, DATE(Initialisatie!$C$5,1,1))) + 1)) &lt;= 0, IFERROR(VALUE($E207),0)=0),
        AND(MAX(0, IF(MIN($F$1, DATE(Initialisatie!$C$5,12,31)) &lt; MAX($F$2, DATE(Initialisatie!$C$5,1,1)), 0, MONTH(MIN($F$1, DATE(Initialisatie!$C$5,12,31))) - MONTH(MAX($F$2, DATE(Initialisatie!$C$5,1,1))) + 1)) &lt;= 0, IFERROR(VALUE($F207),0)=0),
        AND(MAX(0, IF(MIN($G$1, DATE(Initialisatie!$C$5,12,31)) &lt; MAX($G$2, DATE(Initialisatie!$C$5,1,1)), 0, MONTH(MIN($G$1, DATE(Initialisatie!$C$5,12,31))) - MONTH(MAX($G$2, DATE(Initialisatie!$C$5,1,1))) + 1)) &lt;= 0, IFERROR(VALUE($G207),0)=0)
    ),
    0,
    SUM(
        IFERROR(VALUE($D207),0) * MAX(0, IF(MIN($D$1, DATE(Initialisatie!$C$5,12,31)) &lt; MAX($D$2, DATE(Initialisatie!$C$5,1,1)), 0, MONTH(MIN($D$1, DATE(Initialisatie!$C$5,12,31))) - MONTH(MAX($D$2, DATE(Initialisatie!$C$5,1,1))) + 1)),
        IFERROR(VALUE($E207),0) * MAX(0, IF(MIN($E$1, DATE(Initialisatie!$C$5,12,31)) &lt; MAX($E$2, DATE(Initialisatie!$C$5,1,1)), 0, MONTH(MIN($E$1, DATE(Initialisatie!$C$5,12,31))) - MONTH(MAX($E$2, DATE(Initialisatie!$C$5,1,1))) + 1)),
        IFERROR(VALUE($F207),0) * MAX(0, IF(MIN($F$1, DATE(Initialisatie!$C$5,12,31)) &lt; MAX($F$2, DATE(Initialisatie!$C$5,1,1)), 0, MONTH(MIN($F$1, DATE(Initialisatie!$C$5,12,31))) - MONTH(MAX($F$2, DATE(Initialisatie!$C$5,1,1))) + 1)),
        IFERROR(VALUE($G207),0) * MAX(0, IF(MIN($G$1, DATE(Initialisatie!$C$5,12,31)) &lt; MAX($G$2, DATE(Initialisatie!$C$5,1,1)), 0, MONTH(MIN($G$1, DATE(Initialisatie!$C$5,12,31))) - MONTH(MAX($G$2, DATE(Initialisatie!$C$5,1,1))) + 1))
    ) / 12
)</f>
        <v>11279.666666666666</v>
      </c>
    </row>
    <row r="208" spans="1:10" x14ac:dyDescent="0.45">
      <c r="A208" s="999"/>
      <c r="B208" s="372">
        <v>12</v>
      </c>
      <c r="C208" s="373">
        <v>96</v>
      </c>
      <c r="D208" s="48">
        <v>10818</v>
      </c>
      <c r="E208" s="48">
        <v>11251</v>
      </c>
      <c r="F208" s="48">
        <v>11476</v>
      </c>
      <c r="G208" s="48">
        <v>11706</v>
      </c>
      <c r="I208">
        <f>IF(
    OR(
        AND(MAX(0, MIN($D$1, DATE(Initialisatie!$C$5,12,31)) - MAX($D$2, DATE(Initialisatie!$C$5,1,1)) + 1) &gt; 0, IFERROR(VALUE($D208),0)=0),
        AND(MAX(0, MIN($E$1, DATE(Initialisatie!$C$5,12,31)) - MAX($E$2, DATE(Initialisatie!$C$5,1,1)) + 1) &gt; 0, IFERROR(VALUE($E208),0)=0),
        AND(MAX(0, MIN($F$1, DATE(Initialisatie!$C$5,12,31)) - MAX($F$2, DATE(Initialisatie!$C$5,1,1)) + 1) &gt; 0, IFERROR(VALUE($F208),0)=0),
        AND(MAX(0, MIN($G$1, DATE(Initialisatie!$C$5,12,31)) - MAX($G$2, DATE(Initialisatie!$C$5,1,1)) + 1) &gt; 0, IFERROR(VALUE($G208),0)=0)
    ),
    0,
    SUM(
        IFERROR(VALUE($D208),0) * MAX(0, MIN($D$1, DATE(Initialisatie!$C$5,12,31)) - MAX($D$2, DATE(Initialisatie!$C$5,1,1)) + 1),
        IFERROR(VALUE($E208),0) * MAX(0, MIN($E$1, DATE(Initialisatie!$C$5,12,31)) - MAX($E$2, DATE(Initialisatie!$C$5,1,1)) + 1),
        IFERROR(VALUE($F208),0) * MAX(0, MIN($F$1, DATE(Initialisatie!$C$5,12,31)) - MAX($F$2, DATE(Initialisatie!$C$5,1,1)) + 1),
        IFERROR(VALUE($G208),0) * MAX(0, MIN($G$1, DATE(Initialisatie!$C$5,12,31)) - MAX($G$2, DATE(Initialisatie!$C$5,1,1)) + 1)
    ) / (DATE(Initialisatie!$C$5,12,31) - DATE(Initialisatie!$C$5,1,1) + 1)
)</f>
        <v>11440.465753424658</v>
      </c>
      <c r="J208">
        <f>IF(
    OR(
        AND(MAX(0, IF(MIN($D$1, DATE(Initialisatie!$C$5,12,31)) &lt; MAX($D$2, DATE(Initialisatie!$C$5,1,1)), 0, MONTH(MIN($D$1, DATE(Initialisatie!$C$5,12,31))) - MONTH(MAX($D$2, DATE(Initialisatie!$C$5,1,1))) + 1)) &lt;= 0, IFERROR(VALUE($D208),0)=0),
        AND(MAX(0, IF(MIN($E$1, DATE(Initialisatie!$C$5,12,31)) &lt; MAX($E$2, DATE(Initialisatie!$C$5,1,1)), 0, MONTH(MIN($E$1, DATE(Initialisatie!$C$5,12,31))) - MONTH(MAX($E$2, DATE(Initialisatie!$C$5,1,1))) + 1)) &lt;= 0, IFERROR(VALUE($E208),0)=0),
        AND(MAX(0, IF(MIN($F$1, DATE(Initialisatie!$C$5,12,31)) &lt; MAX($F$2, DATE(Initialisatie!$C$5,1,1)), 0, MONTH(MIN($F$1, DATE(Initialisatie!$C$5,12,31))) - MONTH(MAX($F$2, DATE(Initialisatie!$C$5,1,1))) + 1)) &lt;= 0, IFERROR(VALUE($F208),0)=0),
        AND(MAX(0, IF(MIN($G$1, DATE(Initialisatie!$C$5,12,31)) &lt; MAX($G$2, DATE(Initialisatie!$C$5,1,1)), 0, MONTH(MIN($G$1, DATE(Initialisatie!$C$5,12,31))) - MONTH(MAX($G$2, DATE(Initialisatie!$C$5,1,1))) + 1)) &lt;= 0, IFERROR(VALUE($G208),0)=0)
    ),
    0,
    SUM(
        IFERROR(VALUE($D208),0) * MAX(0, IF(MIN($D$1, DATE(Initialisatie!$C$5,12,31)) &lt; MAX($D$2, DATE(Initialisatie!$C$5,1,1)), 0, MONTH(MIN($D$1, DATE(Initialisatie!$C$5,12,31))) - MONTH(MAX($D$2, DATE(Initialisatie!$C$5,1,1))) + 1)),
        IFERROR(VALUE($E208),0) * MAX(0, IF(MIN($E$1, DATE(Initialisatie!$C$5,12,31)) &lt; MAX($E$2, DATE(Initialisatie!$C$5,1,1)), 0, MONTH(MIN($E$1, DATE(Initialisatie!$C$5,12,31))) - MONTH(MAX($E$2, DATE(Initialisatie!$C$5,1,1))) + 1)),
        IFERROR(VALUE($F208),0) * MAX(0, IF(MIN($F$1, DATE(Initialisatie!$C$5,12,31)) &lt; MAX($F$2, DATE(Initialisatie!$C$5,1,1)), 0, MONTH(MIN($F$1, DATE(Initialisatie!$C$5,12,31))) - MONTH(MAX($F$2, DATE(Initialisatie!$C$5,1,1))) + 1)),
        IFERROR(VALUE($G208),0) * MAX(0, IF(MIN($G$1, DATE(Initialisatie!$C$5,12,31)) &lt; MAX($G$2, DATE(Initialisatie!$C$5,1,1)), 0, MONTH(MIN($G$1, DATE(Initialisatie!$C$5,12,31))) - MONTH(MAX($G$2, DATE(Initialisatie!$C$5,1,1))) + 1))
    ) / 12
)</f>
        <v>11439.333333333334</v>
      </c>
    </row>
    <row r="209" spans="1:10" x14ac:dyDescent="0.45">
      <c r="A209" s="999"/>
      <c r="B209" s="372">
        <v>13</v>
      </c>
      <c r="C209" s="373">
        <v>97</v>
      </c>
      <c r="D209" s="48">
        <v>10970</v>
      </c>
      <c r="E209" s="48">
        <v>11409</v>
      </c>
      <c r="F209" s="48">
        <v>11637</v>
      </c>
      <c r="G209" s="48">
        <v>11870</v>
      </c>
      <c r="I209">
        <f>IF(
    OR(
        AND(MAX(0, MIN($D$1, DATE(Initialisatie!$C$5,12,31)) - MAX($D$2, DATE(Initialisatie!$C$5,1,1)) + 1) &gt; 0, IFERROR(VALUE($D209),0)=0),
        AND(MAX(0, MIN($E$1, DATE(Initialisatie!$C$5,12,31)) - MAX($E$2, DATE(Initialisatie!$C$5,1,1)) + 1) &gt; 0, IFERROR(VALUE($E209),0)=0),
        AND(MAX(0, MIN($F$1, DATE(Initialisatie!$C$5,12,31)) - MAX($F$2, DATE(Initialisatie!$C$5,1,1)) + 1) &gt; 0, IFERROR(VALUE($F209),0)=0),
        AND(MAX(0, MIN($G$1, DATE(Initialisatie!$C$5,12,31)) - MAX($G$2, DATE(Initialisatie!$C$5,1,1)) + 1) &gt; 0, IFERROR(VALUE($G209),0)=0)
    ),
    0,
    SUM(
        IFERROR(VALUE($D209),0) * MAX(0, MIN($D$1, DATE(Initialisatie!$C$5,12,31)) - MAX($D$2, DATE(Initialisatie!$C$5,1,1)) + 1),
        IFERROR(VALUE($E209),0) * MAX(0, MIN($E$1, DATE(Initialisatie!$C$5,12,31)) - MAX($E$2, DATE(Initialisatie!$C$5,1,1)) + 1),
        IFERROR(VALUE($F209),0) * MAX(0, MIN($F$1, DATE(Initialisatie!$C$5,12,31)) - MAX($F$2, DATE(Initialisatie!$C$5,1,1)) + 1),
        IFERROR(VALUE($G209),0) * MAX(0, MIN($G$1, DATE(Initialisatie!$C$5,12,31)) - MAX($G$2, DATE(Initialisatie!$C$5,1,1)) + 1)
    ) / (DATE(Initialisatie!$C$5,12,31) - DATE(Initialisatie!$C$5,1,1) + 1)
)</f>
        <v>11600.980821917808</v>
      </c>
      <c r="J209">
        <f>IF(
    OR(
        AND(MAX(0, IF(MIN($D$1, DATE(Initialisatie!$C$5,12,31)) &lt; MAX($D$2, DATE(Initialisatie!$C$5,1,1)), 0, MONTH(MIN($D$1, DATE(Initialisatie!$C$5,12,31))) - MONTH(MAX($D$2, DATE(Initialisatie!$C$5,1,1))) + 1)) &lt;= 0, IFERROR(VALUE($D209),0)=0),
        AND(MAX(0, IF(MIN($E$1, DATE(Initialisatie!$C$5,12,31)) &lt; MAX($E$2, DATE(Initialisatie!$C$5,1,1)), 0, MONTH(MIN($E$1, DATE(Initialisatie!$C$5,12,31))) - MONTH(MAX($E$2, DATE(Initialisatie!$C$5,1,1))) + 1)) &lt;= 0, IFERROR(VALUE($E209),0)=0),
        AND(MAX(0, IF(MIN($F$1, DATE(Initialisatie!$C$5,12,31)) &lt; MAX($F$2, DATE(Initialisatie!$C$5,1,1)), 0, MONTH(MIN($F$1, DATE(Initialisatie!$C$5,12,31))) - MONTH(MAX($F$2, DATE(Initialisatie!$C$5,1,1))) + 1)) &lt;= 0, IFERROR(VALUE($F209),0)=0),
        AND(MAX(0, IF(MIN($G$1, DATE(Initialisatie!$C$5,12,31)) &lt; MAX($G$2, DATE(Initialisatie!$C$5,1,1)), 0, MONTH(MIN($G$1, DATE(Initialisatie!$C$5,12,31))) - MONTH(MAX($G$2, DATE(Initialisatie!$C$5,1,1))) + 1)) &lt;= 0, IFERROR(VALUE($G209),0)=0)
    ),
    0,
    SUM(
        IFERROR(VALUE($D209),0) * MAX(0, IF(MIN($D$1, DATE(Initialisatie!$C$5,12,31)) &lt; MAX($D$2, DATE(Initialisatie!$C$5,1,1)), 0, MONTH(MIN($D$1, DATE(Initialisatie!$C$5,12,31))) - MONTH(MAX($D$2, DATE(Initialisatie!$C$5,1,1))) + 1)),
        IFERROR(VALUE($E209),0) * MAX(0, IF(MIN($E$1, DATE(Initialisatie!$C$5,12,31)) &lt; MAX($E$2, DATE(Initialisatie!$C$5,1,1)), 0, MONTH(MIN($E$1, DATE(Initialisatie!$C$5,12,31))) - MONTH(MAX($E$2, DATE(Initialisatie!$C$5,1,1))) + 1)),
        IFERROR(VALUE($F209),0) * MAX(0, IF(MIN($F$1, DATE(Initialisatie!$C$5,12,31)) &lt; MAX($F$2, DATE(Initialisatie!$C$5,1,1)), 0, MONTH(MIN($F$1, DATE(Initialisatie!$C$5,12,31))) - MONTH(MAX($F$2, DATE(Initialisatie!$C$5,1,1))) + 1)),
        IFERROR(VALUE($G209),0) * MAX(0, IF(MIN($G$1, DATE(Initialisatie!$C$5,12,31)) &lt; MAX($G$2, DATE(Initialisatie!$C$5,1,1)), 0, MONTH(MIN($G$1, DATE(Initialisatie!$C$5,12,31))) - MONTH(MAX($G$2, DATE(Initialisatie!$C$5,1,1))) + 1))
    ) / 12
)</f>
        <v>11599.833333333334</v>
      </c>
    </row>
    <row r="210" spans="1:10" x14ac:dyDescent="0.45">
      <c r="A210" s="999"/>
      <c r="B210" s="372">
        <v>14</v>
      </c>
      <c r="C210" s="373">
        <v>98</v>
      </c>
      <c r="D210" s="48">
        <v>11121</v>
      </c>
      <c r="E210" s="48">
        <v>11566</v>
      </c>
      <c r="F210" s="48">
        <v>11797</v>
      </c>
      <c r="G210" s="48">
        <v>12033</v>
      </c>
      <c r="I210">
        <f>IF(
    OR(
        AND(MAX(0, MIN($D$1, DATE(Initialisatie!$C$5,12,31)) - MAX($D$2, DATE(Initialisatie!$C$5,1,1)) + 1) &gt; 0, IFERROR(VALUE($D210),0)=0),
        AND(MAX(0, MIN($E$1, DATE(Initialisatie!$C$5,12,31)) - MAX($E$2, DATE(Initialisatie!$C$5,1,1)) + 1) &gt; 0, IFERROR(VALUE($E210),0)=0),
        AND(MAX(0, MIN($F$1, DATE(Initialisatie!$C$5,12,31)) - MAX($F$2, DATE(Initialisatie!$C$5,1,1)) + 1) &gt; 0, IFERROR(VALUE($F210),0)=0),
        AND(MAX(0, MIN($G$1, DATE(Initialisatie!$C$5,12,31)) - MAX($G$2, DATE(Initialisatie!$C$5,1,1)) + 1) &gt; 0, IFERROR(VALUE($G210),0)=0)
    ),
    0,
    SUM(
        IFERROR(VALUE($D210),0) * MAX(0, MIN($D$1, DATE(Initialisatie!$C$5,12,31)) - MAX($D$2, DATE(Initialisatie!$C$5,1,1)) + 1),
        IFERROR(VALUE($E210),0) * MAX(0, MIN($E$1, DATE(Initialisatie!$C$5,12,31)) - MAX($E$2, DATE(Initialisatie!$C$5,1,1)) + 1),
        IFERROR(VALUE($F210),0) * MAX(0, MIN($F$1, DATE(Initialisatie!$C$5,12,31)) - MAX($F$2, DATE(Initialisatie!$C$5,1,1)) + 1),
        IFERROR(VALUE($G210),0) * MAX(0, MIN($G$1, DATE(Initialisatie!$C$5,12,31)) - MAX($G$2, DATE(Initialisatie!$C$5,1,1)) + 1)
    ) / (DATE(Initialisatie!$C$5,12,31) - DATE(Initialisatie!$C$5,1,1) + 1)
)</f>
        <v>11760.495890410959</v>
      </c>
      <c r="J210">
        <f>IF(
    OR(
        AND(MAX(0, IF(MIN($D$1, DATE(Initialisatie!$C$5,12,31)) &lt; MAX($D$2, DATE(Initialisatie!$C$5,1,1)), 0, MONTH(MIN($D$1, DATE(Initialisatie!$C$5,12,31))) - MONTH(MAX($D$2, DATE(Initialisatie!$C$5,1,1))) + 1)) &lt;= 0, IFERROR(VALUE($D210),0)=0),
        AND(MAX(0, IF(MIN($E$1, DATE(Initialisatie!$C$5,12,31)) &lt; MAX($E$2, DATE(Initialisatie!$C$5,1,1)), 0, MONTH(MIN($E$1, DATE(Initialisatie!$C$5,12,31))) - MONTH(MAX($E$2, DATE(Initialisatie!$C$5,1,1))) + 1)) &lt;= 0, IFERROR(VALUE($E210),0)=0),
        AND(MAX(0, IF(MIN($F$1, DATE(Initialisatie!$C$5,12,31)) &lt; MAX($F$2, DATE(Initialisatie!$C$5,1,1)), 0, MONTH(MIN($F$1, DATE(Initialisatie!$C$5,12,31))) - MONTH(MAX($F$2, DATE(Initialisatie!$C$5,1,1))) + 1)) &lt;= 0, IFERROR(VALUE($F210),0)=0),
        AND(MAX(0, IF(MIN($G$1, DATE(Initialisatie!$C$5,12,31)) &lt; MAX($G$2, DATE(Initialisatie!$C$5,1,1)), 0, MONTH(MIN($G$1, DATE(Initialisatie!$C$5,12,31))) - MONTH(MAX($G$2, DATE(Initialisatie!$C$5,1,1))) + 1)) &lt;= 0, IFERROR(VALUE($G210),0)=0)
    ),
    0,
    SUM(
        IFERROR(VALUE($D210),0) * MAX(0, IF(MIN($D$1, DATE(Initialisatie!$C$5,12,31)) &lt; MAX($D$2, DATE(Initialisatie!$C$5,1,1)), 0, MONTH(MIN($D$1, DATE(Initialisatie!$C$5,12,31))) - MONTH(MAX($D$2, DATE(Initialisatie!$C$5,1,1))) + 1)),
        IFERROR(VALUE($E210),0) * MAX(0, IF(MIN($E$1, DATE(Initialisatie!$C$5,12,31)) &lt; MAX($E$2, DATE(Initialisatie!$C$5,1,1)), 0, MONTH(MIN($E$1, DATE(Initialisatie!$C$5,12,31))) - MONTH(MAX($E$2, DATE(Initialisatie!$C$5,1,1))) + 1)),
        IFERROR(VALUE($F210),0) * MAX(0, IF(MIN($F$1, DATE(Initialisatie!$C$5,12,31)) &lt; MAX($F$2, DATE(Initialisatie!$C$5,1,1)), 0, MONTH(MIN($F$1, DATE(Initialisatie!$C$5,12,31))) - MONTH(MAX($F$2, DATE(Initialisatie!$C$5,1,1))) + 1)),
        IFERROR(VALUE($G210),0) * MAX(0, IF(MIN($G$1, DATE(Initialisatie!$C$5,12,31)) &lt; MAX($G$2, DATE(Initialisatie!$C$5,1,1)), 0, MONTH(MIN($G$1, DATE(Initialisatie!$C$5,12,31))) - MONTH(MAX($G$2, DATE(Initialisatie!$C$5,1,1))) + 1))
    ) / 12
)</f>
        <v>11759.333333333334</v>
      </c>
    </row>
    <row r="211" spans="1:10" x14ac:dyDescent="0.45">
      <c r="A211" s="999"/>
      <c r="B211" s="372">
        <v>15</v>
      </c>
      <c r="C211" s="373">
        <v>99</v>
      </c>
      <c r="D211" s="48">
        <v>11276</v>
      </c>
      <c r="E211" s="48">
        <v>11727</v>
      </c>
      <c r="F211" s="48">
        <v>11962</v>
      </c>
      <c r="G211" s="48">
        <v>12201</v>
      </c>
      <c r="I211">
        <f>IF(
    OR(
        AND(MAX(0, MIN($D$1, DATE(Initialisatie!$C$5,12,31)) - MAX($D$2, DATE(Initialisatie!$C$5,1,1)) + 1) &gt; 0, IFERROR(VALUE($D211),0)=0),
        AND(MAX(0, MIN($E$1, DATE(Initialisatie!$C$5,12,31)) - MAX($E$2, DATE(Initialisatie!$C$5,1,1)) + 1) &gt; 0, IFERROR(VALUE($E211),0)=0),
        AND(MAX(0, MIN($F$1, DATE(Initialisatie!$C$5,12,31)) - MAX($F$2, DATE(Initialisatie!$C$5,1,1)) + 1) &gt; 0, IFERROR(VALUE($F211),0)=0),
        AND(MAX(0, MIN($G$1, DATE(Initialisatie!$C$5,12,31)) - MAX($G$2, DATE(Initialisatie!$C$5,1,1)) + 1) &gt; 0, IFERROR(VALUE($G211),0)=0)
    ),
    0,
    SUM(
        IFERROR(VALUE($D211),0) * MAX(0, MIN($D$1, DATE(Initialisatie!$C$5,12,31)) - MAX($D$2, DATE(Initialisatie!$C$5,1,1)) + 1),
        IFERROR(VALUE($E211),0) * MAX(0, MIN($E$1, DATE(Initialisatie!$C$5,12,31)) - MAX($E$2, DATE(Initialisatie!$C$5,1,1)) + 1),
        IFERROR(VALUE($F211),0) * MAX(0, MIN($F$1, DATE(Initialisatie!$C$5,12,31)) - MAX($F$2, DATE(Initialisatie!$C$5,1,1)) + 1),
        IFERROR(VALUE($G211),0) * MAX(0, MIN($G$1, DATE(Initialisatie!$C$5,12,31)) - MAX($G$2, DATE(Initialisatie!$C$5,1,1)) + 1)
    ) / (DATE(Initialisatie!$C$5,12,31) - DATE(Initialisatie!$C$5,1,1) + 1)
)</f>
        <v>11924.682191780821</v>
      </c>
      <c r="J211">
        <f>IF(
    OR(
        AND(MAX(0, IF(MIN($D$1, DATE(Initialisatie!$C$5,12,31)) &lt; MAX($D$2, DATE(Initialisatie!$C$5,1,1)), 0, MONTH(MIN($D$1, DATE(Initialisatie!$C$5,12,31))) - MONTH(MAX($D$2, DATE(Initialisatie!$C$5,1,1))) + 1)) &lt;= 0, IFERROR(VALUE($D211),0)=0),
        AND(MAX(0, IF(MIN($E$1, DATE(Initialisatie!$C$5,12,31)) &lt; MAX($E$2, DATE(Initialisatie!$C$5,1,1)), 0, MONTH(MIN($E$1, DATE(Initialisatie!$C$5,12,31))) - MONTH(MAX($E$2, DATE(Initialisatie!$C$5,1,1))) + 1)) &lt;= 0, IFERROR(VALUE($E211),0)=0),
        AND(MAX(0, IF(MIN($F$1, DATE(Initialisatie!$C$5,12,31)) &lt; MAX($F$2, DATE(Initialisatie!$C$5,1,1)), 0, MONTH(MIN($F$1, DATE(Initialisatie!$C$5,12,31))) - MONTH(MAX($F$2, DATE(Initialisatie!$C$5,1,1))) + 1)) &lt;= 0, IFERROR(VALUE($F211),0)=0),
        AND(MAX(0, IF(MIN($G$1, DATE(Initialisatie!$C$5,12,31)) &lt; MAX($G$2, DATE(Initialisatie!$C$5,1,1)), 0, MONTH(MIN($G$1, DATE(Initialisatie!$C$5,12,31))) - MONTH(MAX($G$2, DATE(Initialisatie!$C$5,1,1))) + 1)) &lt;= 0, IFERROR(VALUE($G211),0)=0)
    ),
    0,
    SUM(
        IFERROR(VALUE($D211),0) * MAX(0, IF(MIN($D$1, DATE(Initialisatie!$C$5,12,31)) &lt; MAX($D$2, DATE(Initialisatie!$C$5,1,1)), 0, MONTH(MIN($D$1, DATE(Initialisatie!$C$5,12,31))) - MONTH(MAX($D$2, DATE(Initialisatie!$C$5,1,1))) + 1)),
        IFERROR(VALUE($E211),0) * MAX(0, IF(MIN($E$1, DATE(Initialisatie!$C$5,12,31)) &lt; MAX($E$2, DATE(Initialisatie!$C$5,1,1)), 0, MONTH(MIN($E$1, DATE(Initialisatie!$C$5,12,31))) - MONTH(MAX($E$2, DATE(Initialisatie!$C$5,1,1))) + 1)),
        IFERROR(VALUE($F211),0) * MAX(0, IF(MIN($F$1, DATE(Initialisatie!$C$5,12,31)) &lt; MAX($F$2, DATE(Initialisatie!$C$5,1,1)), 0, MONTH(MIN($F$1, DATE(Initialisatie!$C$5,12,31))) - MONTH(MAX($F$2, DATE(Initialisatie!$C$5,1,1))) + 1)),
        IFERROR(VALUE($G211),0) * MAX(0, IF(MIN($G$1, DATE(Initialisatie!$C$5,12,31)) &lt; MAX($G$2, DATE(Initialisatie!$C$5,1,1)), 0, MONTH(MIN($G$1, DATE(Initialisatie!$C$5,12,31))) - MONTH(MAX($G$2, DATE(Initialisatie!$C$5,1,1))) + 1))
    ) / 12
)</f>
        <v>11923.5</v>
      </c>
    </row>
    <row r="212" spans="1:10" x14ac:dyDescent="0.45">
      <c r="A212" s="999"/>
      <c r="B212" s="372">
        <v>16</v>
      </c>
      <c r="C212" s="373">
        <v>100</v>
      </c>
      <c r="D212" s="48">
        <v>11427</v>
      </c>
      <c r="E212" s="48">
        <v>11884</v>
      </c>
      <c r="F212" s="48">
        <v>12122</v>
      </c>
      <c r="G212" s="48">
        <v>12364</v>
      </c>
      <c r="I212">
        <f>IF(
    OR(
        AND(MAX(0, MIN($D$1, DATE(Initialisatie!$C$5,12,31)) - MAX($D$2, DATE(Initialisatie!$C$5,1,1)) + 1) &gt; 0, IFERROR(VALUE($D212),0)=0),
        AND(MAX(0, MIN($E$1, DATE(Initialisatie!$C$5,12,31)) - MAX($E$2, DATE(Initialisatie!$C$5,1,1)) + 1) &gt; 0, IFERROR(VALUE($E212),0)=0),
        AND(MAX(0, MIN($F$1, DATE(Initialisatie!$C$5,12,31)) - MAX($F$2, DATE(Initialisatie!$C$5,1,1)) + 1) &gt; 0, IFERROR(VALUE($F212),0)=0),
        AND(MAX(0, MIN($G$1, DATE(Initialisatie!$C$5,12,31)) - MAX($G$2, DATE(Initialisatie!$C$5,1,1)) + 1) &gt; 0, IFERROR(VALUE($G212),0)=0)
    ),
    0,
    SUM(
        IFERROR(VALUE($D212),0) * MAX(0, MIN($D$1, DATE(Initialisatie!$C$5,12,31)) - MAX($D$2, DATE(Initialisatie!$C$5,1,1)) + 1),
        IFERROR(VALUE($E212),0) * MAX(0, MIN($E$1, DATE(Initialisatie!$C$5,12,31)) - MAX($E$2, DATE(Initialisatie!$C$5,1,1)) + 1),
        IFERROR(VALUE($F212),0) * MAX(0, MIN($F$1, DATE(Initialisatie!$C$5,12,31)) - MAX($F$2, DATE(Initialisatie!$C$5,1,1)) + 1),
        IFERROR(VALUE($G212),0) * MAX(0, MIN($G$1, DATE(Initialisatie!$C$5,12,31)) - MAX($G$2, DATE(Initialisatie!$C$5,1,1)) + 1)
    ) / (DATE(Initialisatie!$C$5,12,31) - DATE(Initialisatie!$C$5,1,1) + 1)
)</f>
        <v>12084.197260273973</v>
      </c>
      <c r="J212">
        <f>IF(
    OR(
        AND(MAX(0, IF(MIN($D$1, DATE(Initialisatie!$C$5,12,31)) &lt; MAX($D$2, DATE(Initialisatie!$C$5,1,1)), 0, MONTH(MIN($D$1, DATE(Initialisatie!$C$5,12,31))) - MONTH(MAX($D$2, DATE(Initialisatie!$C$5,1,1))) + 1)) &lt;= 0, IFERROR(VALUE($D212),0)=0),
        AND(MAX(0, IF(MIN($E$1, DATE(Initialisatie!$C$5,12,31)) &lt; MAX($E$2, DATE(Initialisatie!$C$5,1,1)), 0, MONTH(MIN($E$1, DATE(Initialisatie!$C$5,12,31))) - MONTH(MAX($E$2, DATE(Initialisatie!$C$5,1,1))) + 1)) &lt;= 0, IFERROR(VALUE($E212),0)=0),
        AND(MAX(0, IF(MIN($F$1, DATE(Initialisatie!$C$5,12,31)) &lt; MAX($F$2, DATE(Initialisatie!$C$5,1,1)), 0, MONTH(MIN($F$1, DATE(Initialisatie!$C$5,12,31))) - MONTH(MAX($F$2, DATE(Initialisatie!$C$5,1,1))) + 1)) &lt;= 0, IFERROR(VALUE($F212),0)=0),
        AND(MAX(0, IF(MIN($G$1, DATE(Initialisatie!$C$5,12,31)) &lt; MAX($G$2, DATE(Initialisatie!$C$5,1,1)), 0, MONTH(MIN($G$1, DATE(Initialisatie!$C$5,12,31))) - MONTH(MAX($G$2, DATE(Initialisatie!$C$5,1,1))) + 1)) &lt;= 0, IFERROR(VALUE($G212),0)=0)
    ),
    0,
    SUM(
        IFERROR(VALUE($D212),0) * MAX(0, IF(MIN($D$1, DATE(Initialisatie!$C$5,12,31)) &lt; MAX($D$2, DATE(Initialisatie!$C$5,1,1)), 0, MONTH(MIN($D$1, DATE(Initialisatie!$C$5,12,31))) - MONTH(MAX($D$2, DATE(Initialisatie!$C$5,1,1))) + 1)),
        IFERROR(VALUE($E212),0) * MAX(0, IF(MIN($E$1, DATE(Initialisatie!$C$5,12,31)) &lt; MAX($E$2, DATE(Initialisatie!$C$5,1,1)), 0, MONTH(MIN($E$1, DATE(Initialisatie!$C$5,12,31))) - MONTH(MAX($E$2, DATE(Initialisatie!$C$5,1,1))) + 1)),
        IFERROR(VALUE($F212),0) * MAX(0, IF(MIN($F$1, DATE(Initialisatie!$C$5,12,31)) &lt; MAX($F$2, DATE(Initialisatie!$C$5,1,1)), 0, MONTH(MIN($F$1, DATE(Initialisatie!$C$5,12,31))) - MONTH(MAX($F$2, DATE(Initialisatie!$C$5,1,1))) + 1)),
        IFERROR(VALUE($G212),0) * MAX(0, IF(MIN($G$1, DATE(Initialisatie!$C$5,12,31)) &lt; MAX($G$2, DATE(Initialisatie!$C$5,1,1)), 0, MONTH(MIN($G$1, DATE(Initialisatie!$C$5,12,31))) - MONTH(MAX($G$2, DATE(Initialisatie!$C$5,1,1))) + 1))
    ) / 12
)</f>
        <v>12083</v>
      </c>
    </row>
  </sheetData>
  <mergeCells count="16">
    <mergeCell ref="A61:A72"/>
    <mergeCell ref="A4:A13"/>
    <mergeCell ref="A14:A24"/>
    <mergeCell ref="A25:A36"/>
    <mergeCell ref="A37:A48"/>
    <mergeCell ref="A49:A60"/>
    <mergeCell ref="A149:A163"/>
    <mergeCell ref="A164:A178"/>
    <mergeCell ref="A179:A195"/>
    <mergeCell ref="A196:A212"/>
    <mergeCell ref="A73:A84"/>
    <mergeCell ref="A85:A96"/>
    <mergeCell ref="A97:A109"/>
    <mergeCell ref="A110:A122"/>
    <mergeCell ref="A123:A135"/>
    <mergeCell ref="A136:A148"/>
  </mergeCell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1"/>
  </sheetPr>
  <dimension ref="A1:J210"/>
  <sheetViews>
    <sheetView zoomScale="85" zoomScaleNormal="85" workbookViewId="0">
      <selection sqref="A1:XFD1"/>
    </sheetView>
  </sheetViews>
  <sheetFormatPr defaultRowHeight="14.25" x14ac:dyDescent="0.45"/>
  <sheetData>
    <row r="1" spans="1:10" x14ac:dyDescent="0.45">
      <c r="A1" s="35" t="s">
        <v>28</v>
      </c>
      <c r="B1" s="35" t="s">
        <v>298</v>
      </c>
      <c r="C1" s="35" t="s">
        <v>299</v>
      </c>
      <c r="D1" s="35" t="s">
        <v>292</v>
      </c>
      <c r="E1" s="35" t="s">
        <v>290</v>
      </c>
      <c r="F1" s="35" t="s">
        <v>684</v>
      </c>
      <c r="G1" s="35" t="s">
        <v>685</v>
      </c>
      <c r="H1" s="35" t="s">
        <v>686</v>
      </c>
      <c r="I1" s="35" t="s">
        <v>302</v>
      </c>
      <c r="J1" s="35" t="s">
        <v>303</v>
      </c>
    </row>
    <row r="2" spans="1:10" x14ac:dyDescent="0.45">
      <c r="A2" s="988">
        <v>5</v>
      </c>
      <c r="B2" s="35">
        <v>0</v>
      </c>
      <c r="C2" s="35">
        <v>1</v>
      </c>
      <c r="D2" s="35">
        <v>0</v>
      </c>
      <c r="E2" s="35" t="s">
        <v>273</v>
      </c>
      <c r="F2">
        <v>1900</v>
      </c>
      <c r="G2">
        <v>1955</v>
      </c>
      <c r="H2">
        <v>2010</v>
      </c>
      <c r="I2">
        <v>2010</v>
      </c>
      <c r="J2">
        <v>12.84345047923323</v>
      </c>
    </row>
    <row r="3" spans="1:10" x14ac:dyDescent="0.45">
      <c r="A3" s="989"/>
      <c r="B3" s="35">
        <v>1</v>
      </c>
      <c r="C3" s="35">
        <v>2</v>
      </c>
      <c r="D3" s="35">
        <v>1</v>
      </c>
      <c r="E3" s="35" t="s">
        <v>272</v>
      </c>
      <c r="F3">
        <v>1930</v>
      </c>
      <c r="G3">
        <v>1985</v>
      </c>
      <c r="H3">
        <v>2040</v>
      </c>
      <c r="I3">
        <v>2040</v>
      </c>
      <c r="J3">
        <v>13.03514376996805</v>
      </c>
    </row>
    <row r="4" spans="1:10" x14ac:dyDescent="0.45">
      <c r="A4" s="989"/>
      <c r="B4" s="35">
        <v>2</v>
      </c>
      <c r="C4" s="35">
        <v>3</v>
      </c>
      <c r="D4" s="35">
        <v>2</v>
      </c>
      <c r="E4" s="35" t="s">
        <v>267</v>
      </c>
      <c r="F4">
        <v>1961</v>
      </c>
      <c r="G4">
        <v>2016</v>
      </c>
      <c r="H4">
        <v>2071</v>
      </c>
      <c r="I4">
        <v>2071</v>
      </c>
      <c r="J4">
        <v>13.2332268370607</v>
      </c>
    </row>
    <row r="5" spans="1:10" x14ac:dyDescent="0.45">
      <c r="A5" s="989"/>
      <c r="B5" s="35">
        <v>3</v>
      </c>
      <c r="C5" s="35">
        <v>4</v>
      </c>
      <c r="D5" s="35">
        <v>3</v>
      </c>
      <c r="E5" s="35" t="s">
        <v>266</v>
      </c>
      <c r="F5">
        <v>2027</v>
      </c>
      <c r="G5">
        <v>2082</v>
      </c>
      <c r="H5">
        <v>2137</v>
      </c>
      <c r="I5">
        <v>2137</v>
      </c>
      <c r="J5">
        <v>13.65495207667732</v>
      </c>
    </row>
    <row r="6" spans="1:10" x14ac:dyDescent="0.45">
      <c r="A6" s="989"/>
      <c r="B6" s="35">
        <v>4</v>
      </c>
      <c r="C6" s="35">
        <v>5</v>
      </c>
      <c r="D6" s="35">
        <v>4</v>
      </c>
      <c r="E6" s="35" t="s">
        <v>265</v>
      </c>
      <c r="F6">
        <v>2093</v>
      </c>
      <c r="G6">
        <v>2148</v>
      </c>
      <c r="H6">
        <v>2203</v>
      </c>
      <c r="I6">
        <v>2203</v>
      </c>
      <c r="J6">
        <v>14.07667731629393</v>
      </c>
    </row>
    <row r="7" spans="1:10" x14ac:dyDescent="0.45">
      <c r="A7" s="989"/>
      <c r="B7" s="35">
        <v>5</v>
      </c>
      <c r="C7" s="35">
        <v>6</v>
      </c>
      <c r="D7" s="35">
        <v>5</v>
      </c>
      <c r="E7" s="35" t="s">
        <v>264</v>
      </c>
      <c r="F7">
        <v>2127</v>
      </c>
      <c r="G7">
        <v>2182</v>
      </c>
      <c r="H7">
        <v>2237</v>
      </c>
      <c r="I7">
        <v>2237</v>
      </c>
      <c r="J7">
        <v>14.293929712460059</v>
      </c>
    </row>
    <row r="8" spans="1:10" x14ac:dyDescent="0.45">
      <c r="A8" s="989"/>
      <c r="B8" s="35">
        <v>6</v>
      </c>
      <c r="C8" s="35">
        <v>7</v>
      </c>
      <c r="D8" s="35">
        <v>6</v>
      </c>
      <c r="E8" s="35" t="s">
        <v>263</v>
      </c>
      <c r="F8">
        <v>2180</v>
      </c>
      <c r="G8">
        <v>2235</v>
      </c>
      <c r="H8">
        <v>2290</v>
      </c>
      <c r="I8">
        <v>2290</v>
      </c>
      <c r="J8">
        <v>14.63258785942492</v>
      </c>
    </row>
    <row r="9" spans="1:10" x14ac:dyDescent="0.45">
      <c r="A9" s="989"/>
      <c r="B9" s="35">
        <v>7</v>
      </c>
      <c r="C9" s="35">
        <v>8</v>
      </c>
      <c r="D9" s="35">
        <v>7</v>
      </c>
      <c r="E9" s="35" t="s">
        <v>262</v>
      </c>
      <c r="F9">
        <v>2229</v>
      </c>
      <c r="G9">
        <v>2284</v>
      </c>
      <c r="H9">
        <v>2339</v>
      </c>
      <c r="I9">
        <v>2339</v>
      </c>
      <c r="J9">
        <v>14.945686900958471</v>
      </c>
    </row>
    <row r="10" spans="1:10" x14ac:dyDescent="0.45">
      <c r="A10" s="989"/>
      <c r="B10" s="35">
        <v>8</v>
      </c>
      <c r="C10" s="35">
        <v>9</v>
      </c>
      <c r="D10" s="35">
        <v>8</v>
      </c>
      <c r="E10" s="35" t="s">
        <v>261</v>
      </c>
      <c r="F10">
        <v>2280</v>
      </c>
      <c r="G10">
        <v>2335</v>
      </c>
      <c r="H10">
        <v>2390</v>
      </c>
      <c r="I10">
        <v>2390</v>
      </c>
      <c r="J10">
        <v>15.271565495207669</v>
      </c>
    </row>
    <row r="11" spans="1:10" x14ac:dyDescent="0.45">
      <c r="A11" s="990"/>
      <c r="B11" s="35">
        <v>9</v>
      </c>
      <c r="C11" s="35">
        <v>10</v>
      </c>
      <c r="D11" s="35">
        <v>9</v>
      </c>
      <c r="E11" s="35" t="s">
        <v>260</v>
      </c>
      <c r="F11">
        <v>2338</v>
      </c>
      <c r="G11">
        <v>2393</v>
      </c>
      <c r="H11">
        <v>2448</v>
      </c>
      <c r="I11">
        <v>2448</v>
      </c>
      <c r="J11">
        <v>15.64217252396166</v>
      </c>
    </row>
    <row r="12" spans="1:10" x14ac:dyDescent="0.45">
      <c r="A12" s="988">
        <v>10</v>
      </c>
      <c r="B12" s="35">
        <v>0</v>
      </c>
      <c r="C12" s="35">
        <v>2</v>
      </c>
      <c r="D12" s="35">
        <v>0</v>
      </c>
      <c r="E12" s="35" t="s">
        <v>193</v>
      </c>
      <c r="F12">
        <v>1930</v>
      </c>
      <c r="G12">
        <v>1985</v>
      </c>
      <c r="H12">
        <v>2040</v>
      </c>
      <c r="I12">
        <v>2040</v>
      </c>
      <c r="J12">
        <v>13.03514376996805</v>
      </c>
    </row>
    <row r="13" spans="1:10" x14ac:dyDescent="0.45">
      <c r="A13" s="989"/>
      <c r="B13" s="35">
        <v>1</v>
      </c>
      <c r="C13" s="35">
        <v>3</v>
      </c>
      <c r="D13" s="35">
        <v>1</v>
      </c>
      <c r="E13" s="35" t="s">
        <v>192</v>
      </c>
      <c r="F13">
        <v>1961</v>
      </c>
      <c r="G13">
        <v>2016</v>
      </c>
      <c r="H13">
        <v>2071</v>
      </c>
      <c r="I13">
        <v>2071</v>
      </c>
      <c r="J13">
        <v>13.2332268370607</v>
      </c>
    </row>
    <row r="14" spans="1:10" x14ac:dyDescent="0.45">
      <c r="A14" s="989"/>
      <c r="B14" s="35">
        <v>2</v>
      </c>
      <c r="C14" s="35">
        <v>4</v>
      </c>
      <c r="D14" s="35">
        <v>2</v>
      </c>
      <c r="E14" s="35" t="s">
        <v>187</v>
      </c>
      <c r="F14">
        <v>2027</v>
      </c>
      <c r="G14">
        <v>2082</v>
      </c>
      <c r="H14">
        <v>2137</v>
      </c>
      <c r="I14">
        <v>2137</v>
      </c>
      <c r="J14">
        <v>13.65495207667732</v>
      </c>
    </row>
    <row r="15" spans="1:10" x14ac:dyDescent="0.45">
      <c r="A15" s="989"/>
      <c r="B15" s="35">
        <v>3</v>
      </c>
      <c r="C15" s="35">
        <v>5</v>
      </c>
      <c r="D15" s="35">
        <v>3</v>
      </c>
      <c r="E15" s="35" t="s">
        <v>186</v>
      </c>
      <c r="F15">
        <v>2093</v>
      </c>
      <c r="G15">
        <v>2148</v>
      </c>
      <c r="H15">
        <v>2203</v>
      </c>
      <c r="I15">
        <v>2203</v>
      </c>
      <c r="J15">
        <v>14.07667731629393</v>
      </c>
    </row>
    <row r="16" spans="1:10" x14ac:dyDescent="0.45">
      <c r="A16" s="989"/>
      <c r="B16" s="35">
        <v>4</v>
      </c>
      <c r="C16" s="35">
        <v>6</v>
      </c>
      <c r="D16" s="35">
        <v>4</v>
      </c>
      <c r="E16" s="35" t="s">
        <v>185</v>
      </c>
      <c r="F16">
        <v>2127</v>
      </c>
      <c r="G16">
        <v>2182</v>
      </c>
      <c r="H16">
        <v>2237</v>
      </c>
      <c r="I16">
        <v>2237</v>
      </c>
      <c r="J16">
        <v>14.293929712460059</v>
      </c>
    </row>
    <row r="17" spans="1:10" x14ac:dyDescent="0.45">
      <c r="A17" s="989"/>
      <c r="B17" s="35">
        <v>5</v>
      </c>
      <c r="C17" s="35">
        <v>7</v>
      </c>
      <c r="D17" s="35">
        <v>5</v>
      </c>
      <c r="E17" s="35" t="s">
        <v>184</v>
      </c>
      <c r="F17">
        <v>2180</v>
      </c>
      <c r="G17">
        <v>2235</v>
      </c>
      <c r="H17">
        <v>2290</v>
      </c>
      <c r="I17">
        <v>2290</v>
      </c>
      <c r="J17">
        <v>14.63258785942492</v>
      </c>
    </row>
    <row r="18" spans="1:10" x14ac:dyDescent="0.45">
      <c r="A18" s="989"/>
      <c r="B18" s="35">
        <v>6</v>
      </c>
      <c r="C18" s="35">
        <v>8</v>
      </c>
      <c r="D18" s="35">
        <v>6</v>
      </c>
      <c r="E18" s="35" t="s">
        <v>183</v>
      </c>
      <c r="F18">
        <v>2229</v>
      </c>
      <c r="G18">
        <v>2284</v>
      </c>
      <c r="H18">
        <v>2339</v>
      </c>
      <c r="I18">
        <v>2339</v>
      </c>
      <c r="J18">
        <v>14.945686900958471</v>
      </c>
    </row>
    <row r="19" spans="1:10" x14ac:dyDescent="0.45">
      <c r="A19" s="989"/>
      <c r="B19" s="35">
        <v>7</v>
      </c>
      <c r="C19" s="35">
        <v>9</v>
      </c>
      <c r="D19" s="35">
        <v>7</v>
      </c>
      <c r="E19" s="35" t="s">
        <v>182</v>
      </c>
      <c r="F19">
        <v>2280</v>
      </c>
      <c r="G19">
        <v>2335</v>
      </c>
      <c r="H19">
        <v>2390</v>
      </c>
      <c r="I19">
        <v>2390</v>
      </c>
      <c r="J19">
        <v>15.271565495207669</v>
      </c>
    </row>
    <row r="20" spans="1:10" x14ac:dyDescent="0.45">
      <c r="A20" s="989"/>
      <c r="B20" s="35">
        <v>8</v>
      </c>
      <c r="C20" s="35">
        <v>10</v>
      </c>
      <c r="D20" s="35">
        <v>8</v>
      </c>
      <c r="E20" s="35" t="s">
        <v>181</v>
      </c>
      <c r="F20">
        <v>2338</v>
      </c>
      <c r="G20">
        <v>2393</v>
      </c>
      <c r="H20">
        <v>2448</v>
      </c>
      <c r="I20">
        <v>2448</v>
      </c>
      <c r="J20">
        <v>15.64217252396166</v>
      </c>
    </row>
    <row r="21" spans="1:10" x14ac:dyDescent="0.45">
      <c r="A21" s="989"/>
      <c r="B21" s="35">
        <v>9</v>
      </c>
      <c r="C21" s="35">
        <v>11</v>
      </c>
      <c r="D21" s="35">
        <v>9</v>
      </c>
      <c r="E21" s="35" t="s">
        <v>180</v>
      </c>
      <c r="F21">
        <v>2402</v>
      </c>
      <c r="G21">
        <v>2457</v>
      </c>
      <c r="H21">
        <v>2512</v>
      </c>
      <c r="I21">
        <v>2512</v>
      </c>
      <c r="J21">
        <v>16.051118210862619</v>
      </c>
    </row>
    <row r="22" spans="1:10" x14ac:dyDescent="0.45">
      <c r="A22" s="990"/>
      <c r="B22" s="35">
        <v>10</v>
      </c>
      <c r="C22" s="35">
        <v>12</v>
      </c>
      <c r="D22" s="35">
        <v>10</v>
      </c>
      <c r="E22" s="35" t="s">
        <v>191</v>
      </c>
      <c r="F22">
        <v>2468</v>
      </c>
      <c r="G22">
        <v>2523</v>
      </c>
      <c r="H22">
        <v>2578</v>
      </c>
      <c r="I22">
        <v>2578</v>
      </c>
      <c r="J22">
        <v>16.472843450479228</v>
      </c>
    </row>
    <row r="23" spans="1:10" x14ac:dyDescent="0.45">
      <c r="A23" s="988">
        <v>15</v>
      </c>
      <c r="B23" s="35">
        <v>0</v>
      </c>
      <c r="C23" s="35">
        <v>3</v>
      </c>
      <c r="D23" s="35">
        <v>0</v>
      </c>
      <c r="E23" s="35" t="s">
        <v>112</v>
      </c>
      <c r="F23">
        <v>1961</v>
      </c>
      <c r="G23">
        <v>2016</v>
      </c>
      <c r="H23">
        <v>2071</v>
      </c>
      <c r="I23">
        <v>2071</v>
      </c>
      <c r="J23">
        <v>13.2332268370607</v>
      </c>
    </row>
    <row r="24" spans="1:10" x14ac:dyDescent="0.45">
      <c r="A24" s="989"/>
      <c r="B24" s="35">
        <v>1</v>
      </c>
      <c r="C24" s="35">
        <v>4</v>
      </c>
      <c r="D24" s="35">
        <v>1</v>
      </c>
      <c r="E24" s="35" t="s">
        <v>110</v>
      </c>
      <c r="F24">
        <v>2027</v>
      </c>
      <c r="G24">
        <v>2082</v>
      </c>
      <c r="H24">
        <v>2137</v>
      </c>
      <c r="I24">
        <v>2137</v>
      </c>
      <c r="J24">
        <v>13.65495207667732</v>
      </c>
    </row>
    <row r="25" spans="1:10" x14ac:dyDescent="0.45">
      <c r="A25" s="989"/>
      <c r="B25" s="35">
        <v>2</v>
      </c>
      <c r="C25" s="35">
        <v>5</v>
      </c>
      <c r="D25" s="35">
        <v>2</v>
      </c>
      <c r="E25" s="35" t="s">
        <v>100</v>
      </c>
      <c r="F25">
        <v>2093</v>
      </c>
      <c r="G25">
        <v>2148</v>
      </c>
      <c r="H25">
        <v>2203</v>
      </c>
      <c r="I25">
        <v>2203</v>
      </c>
      <c r="J25">
        <v>14.07667731629393</v>
      </c>
    </row>
    <row r="26" spans="1:10" x14ac:dyDescent="0.45">
      <c r="A26" s="989"/>
      <c r="B26" s="35">
        <v>3</v>
      </c>
      <c r="C26" s="35">
        <v>6</v>
      </c>
      <c r="D26" s="35">
        <v>3</v>
      </c>
      <c r="E26" s="35" t="s">
        <v>98</v>
      </c>
      <c r="F26">
        <v>2127</v>
      </c>
      <c r="G26">
        <v>2182</v>
      </c>
      <c r="H26">
        <v>2237</v>
      </c>
      <c r="I26">
        <v>2237</v>
      </c>
      <c r="J26">
        <v>14.293929712460059</v>
      </c>
    </row>
    <row r="27" spans="1:10" x14ac:dyDescent="0.45">
      <c r="A27" s="989"/>
      <c r="B27" s="35">
        <v>4</v>
      </c>
      <c r="C27" s="35">
        <v>7</v>
      </c>
      <c r="D27" s="35">
        <v>4</v>
      </c>
      <c r="E27" s="35" t="s">
        <v>96</v>
      </c>
      <c r="F27">
        <v>2180</v>
      </c>
      <c r="G27">
        <v>2235</v>
      </c>
      <c r="H27">
        <v>2290</v>
      </c>
      <c r="I27">
        <v>2290</v>
      </c>
      <c r="J27">
        <v>14.63258785942492</v>
      </c>
    </row>
    <row r="28" spans="1:10" x14ac:dyDescent="0.45">
      <c r="A28" s="989"/>
      <c r="B28" s="35">
        <v>5</v>
      </c>
      <c r="C28" s="35">
        <v>8</v>
      </c>
      <c r="D28" s="35">
        <v>5</v>
      </c>
      <c r="E28" s="35" t="s">
        <v>94</v>
      </c>
      <c r="F28">
        <v>2229</v>
      </c>
      <c r="G28">
        <v>2284</v>
      </c>
      <c r="H28">
        <v>2339</v>
      </c>
      <c r="I28">
        <v>2339</v>
      </c>
      <c r="J28">
        <v>14.945686900958471</v>
      </c>
    </row>
    <row r="29" spans="1:10" x14ac:dyDescent="0.45">
      <c r="A29" s="989"/>
      <c r="B29" s="35">
        <v>6</v>
      </c>
      <c r="C29" s="35">
        <v>9</v>
      </c>
      <c r="D29" s="35">
        <v>6</v>
      </c>
      <c r="E29" s="35" t="s">
        <v>92</v>
      </c>
      <c r="F29">
        <v>2280</v>
      </c>
      <c r="G29">
        <v>2335</v>
      </c>
      <c r="H29">
        <v>2390</v>
      </c>
      <c r="I29">
        <v>2390</v>
      </c>
      <c r="J29">
        <v>15.271565495207669</v>
      </c>
    </row>
    <row r="30" spans="1:10" x14ac:dyDescent="0.45">
      <c r="A30" s="989"/>
      <c r="B30" s="35">
        <v>7</v>
      </c>
      <c r="C30" s="35">
        <v>10</v>
      </c>
      <c r="D30" s="35">
        <v>7</v>
      </c>
      <c r="E30" s="35" t="s">
        <v>90</v>
      </c>
      <c r="F30">
        <v>2338</v>
      </c>
      <c r="G30">
        <v>2393</v>
      </c>
      <c r="H30">
        <v>2448</v>
      </c>
      <c r="I30">
        <v>2448</v>
      </c>
      <c r="J30">
        <v>15.64217252396166</v>
      </c>
    </row>
    <row r="31" spans="1:10" x14ac:dyDescent="0.45">
      <c r="A31" s="989"/>
      <c r="B31" s="35">
        <v>8</v>
      </c>
      <c r="C31" s="35">
        <v>11</v>
      </c>
      <c r="D31" s="35">
        <v>8</v>
      </c>
      <c r="E31" s="35" t="s">
        <v>88</v>
      </c>
      <c r="F31">
        <v>2402</v>
      </c>
      <c r="G31">
        <v>2457</v>
      </c>
      <c r="H31">
        <v>2512</v>
      </c>
      <c r="I31">
        <v>2512</v>
      </c>
      <c r="J31">
        <v>16.051118210862619</v>
      </c>
    </row>
    <row r="32" spans="1:10" x14ac:dyDescent="0.45">
      <c r="A32" s="989"/>
      <c r="B32" s="35">
        <v>9</v>
      </c>
      <c r="C32" s="35">
        <v>12</v>
      </c>
      <c r="D32" s="35">
        <v>9</v>
      </c>
      <c r="E32" s="35" t="s">
        <v>86</v>
      </c>
      <c r="F32">
        <v>2468</v>
      </c>
      <c r="G32">
        <v>2523</v>
      </c>
      <c r="H32">
        <v>2578</v>
      </c>
      <c r="I32">
        <v>2578</v>
      </c>
      <c r="J32">
        <v>16.472843450479228</v>
      </c>
    </row>
    <row r="33" spans="1:10" x14ac:dyDescent="0.45">
      <c r="A33" s="989"/>
      <c r="B33" s="35">
        <v>10</v>
      </c>
      <c r="C33" s="35">
        <v>13</v>
      </c>
      <c r="D33" s="35">
        <v>10</v>
      </c>
      <c r="E33" s="35" t="s">
        <v>108</v>
      </c>
      <c r="F33">
        <v>2541</v>
      </c>
      <c r="G33">
        <v>2596</v>
      </c>
      <c r="H33">
        <v>2651</v>
      </c>
      <c r="I33">
        <v>2651</v>
      </c>
      <c r="J33">
        <v>16.939297124600639</v>
      </c>
    </row>
    <row r="34" spans="1:10" x14ac:dyDescent="0.45">
      <c r="A34" s="990"/>
      <c r="B34" s="35">
        <v>11</v>
      </c>
      <c r="C34" s="35">
        <v>14</v>
      </c>
      <c r="D34" s="35">
        <v>11</v>
      </c>
      <c r="E34" s="35" t="s">
        <v>106</v>
      </c>
      <c r="F34">
        <v>2617</v>
      </c>
      <c r="G34">
        <v>2672</v>
      </c>
      <c r="H34">
        <v>2727</v>
      </c>
      <c r="I34">
        <v>2727</v>
      </c>
      <c r="J34">
        <v>17.424920127795531</v>
      </c>
    </row>
    <row r="35" spans="1:10" x14ac:dyDescent="0.45">
      <c r="A35" s="988">
        <v>20</v>
      </c>
      <c r="B35" s="35">
        <v>0</v>
      </c>
      <c r="C35" s="35">
        <v>4</v>
      </c>
      <c r="D35" s="35">
        <v>0</v>
      </c>
      <c r="E35" s="35" t="s">
        <v>307</v>
      </c>
      <c r="F35">
        <v>2027</v>
      </c>
      <c r="G35">
        <v>2082</v>
      </c>
      <c r="H35">
        <v>2137</v>
      </c>
      <c r="I35">
        <v>2137</v>
      </c>
      <c r="J35">
        <v>13.65495207667732</v>
      </c>
    </row>
    <row r="36" spans="1:10" x14ac:dyDescent="0.45">
      <c r="A36" s="989"/>
      <c r="B36" s="35">
        <v>1</v>
      </c>
      <c r="C36" s="35">
        <v>6</v>
      </c>
      <c r="D36" s="35">
        <v>1</v>
      </c>
      <c r="E36" s="35" t="s">
        <v>308</v>
      </c>
      <c r="F36">
        <v>2127</v>
      </c>
      <c r="G36">
        <v>2182</v>
      </c>
      <c r="H36">
        <v>2237</v>
      </c>
      <c r="I36">
        <v>2237</v>
      </c>
      <c r="J36">
        <v>14.293929712460059</v>
      </c>
    </row>
    <row r="37" spans="1:10" x14ac:dyDescent="0.45">
      <c r="A37" s="989"/>
      <c r="B37" s="35">
        <v>2</v>
      </c>
      <c r="C37" s="35">
        <v>7</v>
      </c>
      <c r="D37" s="35">
        <v>2</v>
      </c>
      <c r="E37" s="35" t="s">
        <v>309</v>
      </c>
      <c r="F37">
        <v>2180</v>
      </c>
      <c r="G37">
        <v>2235</v>
      </c>
      <c r="H37">
        <v>2290</v>
      </c>
      <c r="I37">
        <v>2290</v>
      </c>
      <c r="J37">
        <v>14.63258785942492</v>
      </c>
    </row>
    <row r="38" spans="1:10" x14ac:dyDescent="0.45">
      <c r="A38" s="989"/>
      <c r="B38" s="35">
        <v>3</v>
      </c>
      <c r="C38" s="35">
        <v>8</v>
      </c>
      <c r="D38" s="35">
        <v>3</v>
      </c>
      <c r="E38" s="35" t="s">
        <v>310</v>
      </c>
      <c r="F38">
        <v>2229</v>
      </c>
      <c r="G38">
        <v>2284</v>
      </c>
      <c r="H38">
        <v>2339</v>
      </c>
      <c r="I38">
        <v>2339</v>
      </c>
      <c r="J38">
        <v>14.945686900958471</v>
      </c>
    </row>
    <row r="39" spans="1:10" x14ac:dyDescent="0.45">
      <c r="A39" s="989"/>
      <c r="B39" s="35">
        <v>4</v>
      </c>
      <c r="C39" s="35">
        <v>9</v>
      </c>
      <c r="D39" s="35">
        <v>4</v>
      </c>
      <c r="E39" s="35" t="s">
        <v>311</v>
      </c>
      <c r="F39">
        <v>2280</v>
      </c>
      <c r="G39">
        <v>2335</v>
      </c>
      <c r="H39">
        <v>2390</v>
      </c>
      <c r="I39">
        <v>2390</v>
      </c>
      <c r="J39">
        <v>15.271565495207669</v>
      </c>
    </row>
    <row r="40" spans="1:10" x14ac:dyDescent="0.45">
      <c r="A40" s="989"/>
      <c r="B40" s="35">
        <v>5</v>
      </c>
      <c r="C40" s="35">
        <v>10</v>
      </c>
      <c r="D40" s="35">
        <v>5</v>
      </c>
      <c r="E40" s="35" t="s">
        <v>312</v>
      </c>
      <c r="F40">
        <v>2338</v>
      </c>
      <c r="G40">
        <v>2393</v>
      </c>
      <c r="H40">
        <v>2448</v>
      </c>
      <c r="I40">
        <v>2448</v>
      </c>
      <c r="J40">
        <v>15.64217252396166</v>
      </c>
    </row>
    <row r="41" spans="1:10" x14ac:dyDescent="0.45">
      <c r="A41" s="989"/>
      <c r="B41" s="35">
        <v>6</v>
      </c>
      <c r="C41" s="35">
        <v>11</v>
      </c>
      <c r="D41" s="35">
        <v>6</v>
      </c>
      <c r="E41" s="35" t="s">
        <v>313</v>
      </c>
      <c r="F41">
        <v>2402</v>
      </c>
      <c r="G41">
        <v>2457</v>
      </c>
      <c r="H41">
        <v>2512</v>
      </c>
      <c r="I41">
        <v>2512</v>
      </c>
      <c r="J41">
        <v>16.051118210862619</v>
      </c>
    </row>
    <row r="42" spans="1:10" x14ac:dyDescent="0.45">
      <c r="A42" s="989"/>
      <c r="B42" s="35">
        <v>7</v>
      </c>
      <c r="C42" s="35">
        <v>12</v>
      </c>
      <c r="D42" s="35">
        <v>7</v>
      </c>
      <c r="E42" s="35" t="s">
        <v>314</v>
      </c>
      <c r="F42">
        <v>2468</v>
      </c>
      <c r="G42">
        <v>2523</v>
      </c>
      <c r="H42">
        <v>2578</v>
      </c>
      <c r="I42">
        <v>2578</v>
      </c>
      <c r="J42">
        <v>16.472843450479228</v>
      </c>
    </row>
    <row r="43" spans="1:10" x14ac:dyDescent="0.45">
      <c r="A43" s="989"/>
      <c r="B43" s="35">
        <v>8</v>
      </c>
      <c r="C43" s="35">
        <v>13</v>
      </c>
      <c r="D43" s="35">
        <v>8</v>
      </c>
      <c r="E43" s="35" t="s">
        <v>315</v>
      </c>
      <c r="F43">
        <v>2541</v>
      </c>
      <c r="G43">
        <v>2596</v>
      </c>
      <c r="H43">
        <v>2651</v>
      </c>
      <c r="I43">
        <v>2651</v>
      </c>
      <c r="J43">
        <v>16.939297124600639</v>
      </c>
    </row>
    <row r="44" spans="1:10" x14ac:dyDescent="0.45">
      <c r="A44" s="989"/>
      <c r="B44" s="35">
        <v>9</v>
      </c>
      <c r="C44" s="35">
        <v>14</v>
      </c>
      <c r="D44" s="35">
        <v>9</v>
      </c>
      <c r="E44" s="35" t="s">
        <v>316</v>
      </c>
      <c r="F44">
        <v>2617</v>
      </c>
      <c r="G44">
        <v>2672</v>
      </c>
      <c r="H44">
        <v>2727</v>
      </c>
      <c r="I44">
        <v>2727</v>
      </c>
      <c r="J44">
        <v>17.424920127795531</v>
      </c>
    </row>
    <row r="45" spans="1:10" x14ac:dyDescent="0.45">
      <c r="A45" s="989"/>
      <c r="B45" s="35">
        <v>10</v>
      </c>
      <c r="C45" s="35">
        <v>15</v>
      </c>
      <c r="D45" s="35">
        <v>10</v>
      </c>
      <c r="E45" s="35" t="s">
        <v>317</v>
      </c>
      <c r="F45">
        <v>2686</v>
      </c>
      <c r="G45">
        <v>2741</v>
      </c>
      <c r="H45">
        <v>2796</v>
      </c>
      <c r="I45">
        <v>2796</v>
      </c>
      <c r="J45">
        <v>17.865814696485621</v>
      </c>
    </row>
    <row r="46" spans="1:10" x14ac:dyDescent="0.45">
      <c r="A46" s="990"/>
      <c r="B46" s="35">
        <v>11</v>
      </c>
      <c r="C46" s="35">
        <v>16</v>
      </c>
      <c r="D46" s="35">
        <v>11</v>
      </c>
      <c r="E46" s="35" t="s">
        <v>687</v>
      </c>
      <c r="F46">
        <v>2766</v>
      </c>
      <c r="G46">
        <v>2821</v>
      </c>
      <c r="H46">
        <v>2877</v>
      </c>
      <c r="I46">
        <v>2877</v>
      </c>
      <c r="J46">
        <v>18.383386581469651</v>
      </c>
    </row>
    <row r="47" spans="1:10" x14ac:dyDescent="0.45">
      <c r="A47" s="988">
        <v>25</v>
      </c>
      <c r="B47" s="35">
        <v>0</v>
      </c>
      <c r="C47" s="35">
        <v>5</v>
      </c>
      <c r="D47" s="35">
        <v>0</v>
      </c>
      <c r="E47" s="35" t="s">
        <v>321</v>
      </c>
      <c r="F47">
        <v>2093</v>
      </c>
      <c r="G47">
        <v>2148</v>
      </c>
      <c r="H47">
        <v>2203</v>
      </c>
      <c r="I47">
        <v>2203</v>
      </c>
      <c r="J47">
        <v>14.07667731629393</v>
      </c>
    </row>
    <row r="48" spans="1:10" x14ac:dyDescent="0.45">
      <c r="A48" s="989"/>
      <c r="B48" s="35">
        <v>1</v>
      </c>
      <c r="C48" s="35">
        <v>7</v>
      </c>
      <c r="D48" s="35">
        <v>1</v>
      </c>
      <c r="E48" s="35" t="s">
        <v>322</v>
      </c>
      <c r="F48">
        <v>2180</v>
      </c>
      <c r="G48">
        <v>2235</v>
      </c>
      <c r="H48">
        <v>2290</v>
      </c>
      <c r="I48">
        <v>2290</v>
      </c>
      <c r="J48">
        <v>14.63258785942492</v>
      </c>
    </row>
    <row r="49" spans="1:10" x14ac:dyDescent="0.45">
      <c r="A49" s="989"/>
      <c r="B49" s="35">
        <v>2</v>
      </c>
      <c r="C49" s="35">
        <v>9</v>
      </c>
      <c r="D49" s="35">
        <v>2</v>
      </c>
      <c r="E49" s="35" t="s">
        <v>323</v>
      </c>
      <c r="F49">
        <v>2280</v>
      </c>
      <c r="G49">
        <v>2335</v>
      </c>
      <c r="H49">
        <v>2390</v>
      </c>
      <c r="I49">
        <v>2390</v>
      </c>
      <c r="J49">
        <v>15.271565495207669</v>
      </c>
    </row>
    <row r="50" spans="1:10" x14ac:dyDescent="0.45">
      <c r="A50" s="989"/>
      <c r="B50" s="35">
        <v>3</v>
      </c>
      <c r="C50" s="35">
        <v>10</v>
      </c>
      <c r="D50" s="35">
        <v>3</v>
      </c>
      <c r="E50" s="35" t="s">
        <v>324</v>
      </c>
      <c r="F50">
        <v>2338</v>
      </c>
      <c r="G50">
        <v>2393</v>
      </c>
      <c r="H50">
        <v>2448</v>
      </c>
      <c r="I50">
        <v>2448</v>
      </c>
      <c r="J50">
        <v>15.64217252396166</v>
      </c>
    </row>
    <row r="51" spans="1:10" x14ac:dyDescent="0.45">
      <c r="A51" s="989"/>
      <c r="B51" s="35">
        <v>4</v>
      </c>
      <c r="C51" s="35">
        <v>11</v>
      </c>
      <c r="D51" s="35">
        <v>4</v>
      </c>
      <c r="E51" s="35" t="s">
        <v>325</v>
      </c>
      <c r="F51">
        <v>2402</v>
      </c>
      <c r="G51">
        <v>2457</v>
      </c>
      <c r="H51">
        <v>2512</v>
      </c>
      <c r="I51">
        <v>2512</v>
      </c>
      <c r="J51">
        <v>16.051118210862619</v>
      </c>
    </row>
    <row r="52" spans="1:10" x14ac:dyDescent="0.45">
      <c r="A52" s="989"/>
      <c r="B52" s="35">
        <v>5</v>
      </c>
      <c r="C52" s="35">
        <v>12</v>
      </c>
      <c r="D52" s="35">
        <v>5</v>
      </c>
      <c r="E52" s="35" t="s">
        <v>326</v>
      </c>
      <c r="F52">
        <v>2468</v>
      </c>
      <c r="G52">
        <v>2523</v>
      </c>
      <c r="H52">
        <v>2578</v>
      </c>
      <c r="I52">
        <v>2578</v>
      </c>
      <c r="J52">
        <v>16.472843450479228</v>
      </c>
    </row>
    <row r="53" spans="1:10" x14ac:dyDescent="0.45">
      <c r="A53" s="989"/>
      <c r="B53" s="35">
        <v>6</v>
      </c>
      <c r="C53" s="35">
        <v>13</v>
      </c>
      <c r="D53" s="35">
        <v>6</v>
      </c>
      <c r="E53" s="35" t="s">
        <v>327</v>
      </c>
      <c r="F53">
        <v>2541</v>
      </c>
      <c r="G53">
        <v>2596</v>
      </c>
      <c r="H53">
        <v>2651</v>
      </c>
      <c r="I53">
        <v>2651</v>
      </c>
      <c r="J53">
        <v>16.939297124600639</v>
      </c>
    </row>
    <row r="54" spans="1:10" x14ac:dyDescent="0.45">
      <c r="A54" s="989"/>
      <c r="B54" s="35">
        <v>7</v>
      </c>
      <c r="C54" s="35">
        <v>14</v>
      </c>
      <c r="D54" s="35">
        <v>7</v>
      </c>
      <c r="E54" s="35" t="s">
        <v>328</v>
      </c>
      <c r="F54">
        <v>2617</v>
      </c>
      <c r="G54">
        <v>2672</v>
      </c>
      <c r="H54">
        <v>2727</v>
      </c>
      <c r="I54">
        <v>2727</v>
      </c>
      <c r="J54">
        <v>17.424920127795531</v>
      </c>
    </row>
    <row r="55" spans="1:10" x14ac:dyDescent="0.45">
      <c r="A55" s="989"/>
      <c r="B55" s="35">
        <v>8</v>
      </c>
      <c r="C55" s="35">
        <v>15</v>
      </c>
      <c r="D55" s="35">
        <v>8</v>
      </c>
      <c r="E55" s="35" t="s">
        <v>329</v>
      </c>
      <c r="F55">
        <v>2686</v>
      </c>
      <c r="G55">
        <v>2741</v>
      </c>
      <c r="H55">
        <v>2796</v>
      </c>
      <c r="I55">
        <v>2796</v>
      </c>
      <c r="J55">
        <v>17.865814696485621</v>
      </c>
    </row>
    <row r="56" spans="1:10" x14ac:dyDescent="0.45">
      <c r="A56" s="989"/>
      <c r="B56" s="35">
        <v>9</v>
      </c>
      <c r="C56" s="35">
        <v>16</v>
      </c>
      <c r="D56" s="35">
        <v>9</v>
      </c>
      <c r="E56" s="35" t="s">
        <v>330</v>
      </c>
      <c r="F56">
        <v>2766</v>
      </c>
      <c r="G56">
        <v>2821</v>
      </c>
      <c r="H56">
        <v>2877</v>
      </c>
      <c r="I56">
        <v>2877</v>
      </c>
      <c r="J56">
        <v>18.383386581469651</v>
      </c>
    </row>
    <row r="57" spans="1:10" x14ac:dyDescent="0.45">
      <c r="A57" s="989"/>
      <c r="B57" s="35">
        <v>10</v>
      </c>
      <c r="C57" s="35">
        <v>17</v>
      </c>
      <c r="D57" s="35">
        <v>10</v>
      </c>
      <c r="E57" s="35" t="s">
        <v>331</v>
      </c>
      <c r="F57">
        <v>2831</v>
      </c>
      <c r="G57">
        <v>2888</v>
      </c>
      <c r="H57">
        <v>2946</v>
      </c>
      <c r="I57">
        <v>2946</v>
      </c>
      <c r="J57">
        <v>18.824281150159749</v>
      </c>
    </row>
    <row r="58" spans="1:10" x14ac:dyDescent="0.45">
      <c r="A58" s="990"/>
      <c r="B58" s="35">
        <v>11</v>
      </c>
      <c r="C58" s="35">
        <v>18</v>
      </c>
      <c r="D58" s="35">
        <v>11</v>
      </c>
      <c r="E58" s="35" t="s">
        <v>688</v>
      </c>
      <c r="F58">
        <v>2911</v>
      </c>
      <c r="G58">
        <v>2969</v>
      </c>
      <c r="H58">
        <v>3028</v>
      </c>
      <c r="I58">
        <v>3028</v>
      </c>
      <c r="J58">
        <v>19.348242811501599</v>
      </c>
    </row>
    <row r="59" spans="1:10" x14ac:dyDescent="0.45">
      <c r="A59" s="988">
        <v>30</v>
      </c>
      <c r="B59" s="35">
        <v>0</v>
      </c>
      <c r="C59" s="35">
        <v>6</v>
      </c>
      <c r="D59" s="35">
        <v>0</v>
      </c>
      <c r="E59" s="35" t="s">
        <v>334</v>
      </c>
      <c r="F59">
        <v>2127</v>
      </c>
      <c r="G59">
        <v>2182</v>
      </c>
      <c r="H59">
        <v>2237</v>
      </c>
      <c r="I59">
        <v>2237</v>
      </c>
      <c r="J59">
        <v>14.293929712460059</v>
      </c>
    </row>
    <row r="60" spans="1:10" x14ac:dyDescent="0.45">
      <c r="A60" s="989"/>
      <c r="B60" s="35">
        <v>1</v>
      </c>
      <c r="C60" s="35">
        <v>8</v>
      </c>
      <c r="D60" s="35">
        <v>1</v>
      </c>
      <c r="E60" s="35" t="s">
        <v>335</v>
      </c>
      <c r="F60">
        <v>2229</v>
      </c>
      <c r="G60">
        <v>2284</v>
      </c>
      <c r="H60">
        <v>2339</v>
      </c>
      <c r="I60">
        <v>2339</v>
      </c>
      <c r="J60">
        <v>14.945686900958471</v>
      </c>
    </row>
    <row r="61" spans="1:10" x14ac:dyDescent="0.45">
      <c r="A61" s="989"/>
      <c r="B61" s="35">
        <v>2</v>
      </c>
      <c r="C61" s="35">
        <v>10</v>
      </c>
      <c r="D61" s="35">
        <v>2</v>
      </c>
      <c r="E61" s="35" t="s">
        <v>336</v>
      </c>
      <c r="F61">
        <v>2338</v>
      </c>
      <c r="G61">
        <v>2393</v>
      </c>
      <c r="H61">
        <v>2448</v>
      </c>
      <c r="I61">
        <v>2448</v>
      </c>
      <c r="J61">
        <v>15.64217252396166</v>
      </c>
    </row>
    <row r="62" spans="1:10" x14ac:dyDescent="0.45">
      <c r="A62" s="989"/>
      <c r="B62" s="35">
        <v>3</v>
      </c>
      <c r="C62" s="35">
        <v>12</v>
      </c>
      <c r="D62" s="35">
        <v>3</v>
      </c>
      <c r="E62" s="35" t="s">
        <v>337</v>
      </c>
      <c r="F62">
        <v>2468</v>
      </c>
      <c r="G62">
        <v>2523</v>
      </c>
      <c r="H62">
        <v>2578</v>
      </c>
      <c r="I62">
        <v>2578</v>
      </c>
      <c r="J62">
        <v>16.472843450479228</v>
      </c>
    </row>
    <row r="63" spans="1:10" x14ac:dyDescent="0.45">
      <c r="A63" s="989"/>
      <c r="B63" s="35">
        <v>4</v>
      </c>
      <c r="C63" s="35">
        <v>13</v>
      </c>
      <c r="D63" s="35">
        <v>4</v>
      </c>
      <c r="E63" s="35" t="s">
        <v>338</v>
      </c>
      <c r="F63">
        <v>2541</v>
      </c>
      <c r="G63">
        <v>2596</v>
      </c>
      <c r="H63">
        <v>2651</v>
      </c>
      <c r="I63">
        <v>2651</v>
      </c>
      <c r="J63">
        <v>16.939297124600639</v>
      </c>
    </row>
    <row r="64" spans="1:10" x14ac:dyDescent="0.45">
      <c r="A64" s="989"/>
      <c r="B64" s="35">
        <v>5</v>
      </c>
      <c r="C64" s="35">
        <v>14</v>
      </c>
      <c r="D64" s="35">
        <v>5</v>
      </c>
      <c r="E64" s="35" t="s">
        <v>339</v>
      </c>
      <c r="F64">
        <v>2617</v>
      </c>
      <c r="G64">
        <v>2672</v>
      </c>
      <c r="H64">
        <v>2727</v>
      </c>
      <c r="I64">
        <v>2727</v>
      </c>
      <c r="J64">
        <v>17.424920127795531</v>
      </c>
    </row>
    <row r="65" spans="1:10" x14ac:dyDescent="0.45">
      <c r="A65" s="989"/>
      <c r="B65" s="35">
        <v>6</v>
      </c>
      <c r="C65" s="35">
        <v>15</v>
      </c>
      <c r="D65" s="35">
        <v>6</v>
      </c>
      <c r="E65" s="35" t="s">
        <v>340</v>
      </c>
      <c r="F65">
        <v>2686</v>
      </c>
      <c r="G65">
        <v>2741</v>
      </c>
      <c r="H65">
        <v>2796</v>
      </c>
      <c r="I65">
        <v>2796</v>
      </c>
      <c r="J65">
        <v>17.865814696485621</v>
      </c>
    </row>
    <row r="66" spans="1:10" x14ac:dyDescent="0.45">
      <c r="A66" s="989"/>
      <c r="B66" s="35">
        <v>7</v>
      </c>
      <c r="C66" s="35">
        <v>16</v>
      </c>
      <c r="D66" s="35">
        <v>7</v>
      </c>
      <c r="E66" s="35" t="s">
        <v>341</v>
      </c>
      <c r="F66">
        <v>2766</v>
      </c>
      <c r="G66">
        <v>2821</v>
      </c>
      <c r="H66">
        <v>2877</v>
      </c>
      <c r="I66">
        <v>2877</v>
      </c>
      <c r="J66">
        <v>18.383386581469651</v>
      </c>
    </row>
    <row r="67" spans="1:10" x14ac:dyDescent="0.45">
      <c r="A67" s="989"/>
      <c r="B67" s="35">
        <v>8</v>
      </c>
      <c r="C67" s="35">
        <v>17</v>
      </c>
      <c r="D67" s="35">
        <v>8</v>
      </c>
      <c r="E67" s="35" t="s">
        <v>342</v>
      </c>
      <c r="F67">
        <v>2831</v>
      </c>
      <c r="G67">
        <v>2888</v>
      </c>
      <c r="H67">
        <v>2946</v>
      </c>
      <c r="I67">
        <v>2946</v>
      </c>
      <c r="J67">
        <v>18.824281150159749</v>
      </c>
    </row>
    <row r="68" spans="1:10" x14ac:dyDescent="0.45">
      <c r="A68" s="989"/>
      <c r="B68" s="35">
        <v>9</v>
      </c>
      <c r="C68" s="35">
        <v>18</v>
      </c>
      <c r="D68" s="35">
        <v>9</v>
      </c>
      <c r="E68" s="35" t="s">
        <v>343</v>
      </c>
      <c r="F68">
        <v>2911</v>
      </c>
      <c r="G68">
        <v>2969</v>
      </c>
      <c r="H68">
        <v>3028</v>
      </c>
      <c r="I68">
        <v>3028</v>
      </c>
      <c r="J68">
        <v>19.348242811501599</v>
      </c>
    </row>
    <row r="69" spans="1:10" x14ac:dyDescent="0.45">
      <c r="A69" s="989"/>
      <c r="B69" s="35">
        <v>10</v>
      </c>
      <c r="C69" s="35">
        <v>19</v>
      </c>
      <c r="D69" s="35">
        <v>10</v>
      </c>
      <c r="E69" s="35" t="s">
        <v>344</v>
      </c>
      <c r="F69">
        <v>2986</v>
      </c>
      <c r="G69">
        <v>3046</v>
      </c>
      <c r="H69">
        <v>3107</v>
      </c>
      <c r="I69">
        <v>3107</v>
      </c>
      <c r="J69">
        <v>19.853035143769969</v>
      </c>
    </row>
    <row r="70" spans="1:10" x14ac:dyDescent="0.45">
      <c r="A70" s="990"/>
      <c r="B70" s="35">
        <v>11</v>
      </c>
      <c r="C70" s="35">
        <v>20</v>
      </c>
      <c r="D70" s="35">
        <v>11</v>
      </c>
      <c r="E70" s="35" t="s">
        <v>689</v>
      </c>
      <c r="F70">
        <v>3067</v>
      </c>
      <c r="G70">
        <v>3128</v>
      </c>
      <c r="H70">
        <v>3191</v>
      </c>
      <c r="I70">
        <v>3191</v>
      </c>
      <c r="J70">
        <v>20.389776357827479</v>
      </c>
    </row>
    <row r="71" spans="1:10" x14ac:dyDescent="0.45">
      <c r="A71" s="988">
        <v>35</v>
      </c>
      <c r="B71" s="35">
        <v>1</v>
      </c>
      <c r="C71" s="35">
        <v>10</v>
      </c>
      <c r="D71" s="35">
        <v>1</v>
      </c>
      <c r="E71" s="35" t="s">
        <v>347</v>
      </c>
      <c r="F71">
        <v>2338</v>
      </c>
      <c r="G71">
        <v>2393</v>
      </c>
      <c r="H71">
        <v>2448</v>
      </c>
      <c r="I71">
        <v>2448</v>
      </c>
      <c r="J71">
        <v>15.64217252396166</v>
      </c>
    </row>
    <row r="72" spans="1:10" x14ac:dyDescent="0.45">
      <c r="A72" s="989"/>
      <c r="B72" s="35">
        <v>2</v>
      </c>
      <c r="C72" s="35">
        <v>12</v>
      </c>
      <c r="D72" s="35">
        <v>2</v>
      </c>
      <c r="E72" s="35" t="s">
        <v>348</v>
      </c>
      <c r="F72">
        <v>2468</v>
      </c>
      <c r="G72">
        <v>2523</v>
      </c>
      <c r="H72">
        <v>2578</v>
      </c>
      <c r="I72">
        <v>2578</v>
      </c>
      <c r="J72">
        <v>16.472843450479228</v>
      </c>
    </row>
    <row r="73" spans="1:10" x14ac:dyDescent="0.45">
      <c r="A73" s="989"/>
      <c r="B73" s="35">
        <v>3</v>
      </c>
      <c r="C73" s="35">
        <v>14</v>
      </c>
      <c r="D73" s="35">
        <v>3</v>
      </c>
      <c r="E73" s="35" t="s">
        <v>349</v>
      </c>
      <c r="F73">
        <v>2617</v>
      </c>
      <c r="G73">
        <v>2672</v>
      </c>
      <c r="H73">
        <v>2727</v>
      </c>
      <c r="I73">
        <v>2727</v>
      </c>
      <c r="J73">
        <v>17.424920127795531</v>
      </c>
    </row>
    <row r="74" spans="1:10" x14ac:dyDescent="0.45">
      <c r="A74" s="989"/>
      <c r="B74" s="35">
        <v>4</v>
      </c>
      <c r="C74" s="35">
        <v>15</v>
      </c>
      <c r="D74" s="35">
        <v>4</v>
      </c>
      <c r="E74" s="35" t="s">
        <v>350</v>
      </c>
      <c r="F74">
        <v>2686</v>
      </c>
      <c r="G74">
        <v>2741</v>
      </c>
      <c r="H74">
        <v>2796</v>
      </c>
      <c r="I74">
        <v>2796</v>
      </c>
      <c r="J74">
        <v>17.865814696485621</v>
      </c>
    </row>
    <row r="75" spans="1:10" x14ac:dyDescent="0.45">
      <c r="A75" s="989"/>
      <c r="B75" s="35">
        <v>5</v>
      </c>
      <c r="C75" s="35">
        <v>16</v>
      </c>
      <c r="D75" s="35">
        <v>5</v>
      </c>
      <c r="E75" s="35" t="s">
        <v>351</v>
      </c>
      <c r="F75">
        <v>2766</v>
      </c>
      <c r="G75">
        <v>2821</v>
      </c>
      <c r="H75">
        <v>2877</v>
      </c>
      <c r="I75">
        <v>2877</v>
      </c>
      <c r="J75">
        <v>18.383386581469651</v>
      </c>
    </row>
    <row r="76" spans="1:10" x14ac:dyDescent="0.45">
      <c r="A76" s="989"/>
      <c r="B76" s="35">
        <v>6</v>
      </c>
      <c r="C76" s="35">
        <v>17</v>
      </c>
      <c r="D76" s="35">
        <v>6</v>
      </c>
      <c r="E76" s="35" t="s">
        <v>352</v>
      </c>
      <c r="F76">
        <v>2831</v>
      </c>
      <c r="G76">
        <v>2888</v>
      </c>
      <c r="H76">
        <v>2946</v>
      </c>
      <c r="I76">
        <v>2946</v>
      </c>
      <c r="J76">
        <v>18.824281150159749</v>
      </c>
    </row>
    <row r="77" spans="1:10" x14ac:dyDescent="0.45">
      <c r="A77" s="989"/>
      <c r="B77" s="35">
        <v>7</v>
      </c>
      <c r="C77" s="35">
        <v>18</v>
      </c>
      <c r="D77" s="35">
        <v>7</v>
      </c>
      <c r="E77" s="35" t="s">
        <v>353</v>
      </c>
      <c r="F77">
        <v>2911</v>
      </c>
      <c r="G77">
        <v>2969</v>
      </c>
      <c r="H77">
        <v>3028</v>
      </c>
      <c r="I77">
        <v>3028</v>
      </c>
      <c r="J77">
        <v>19.348242811501599</v>
      </c>
    </row>
    <row r="78" spans="1:10" x14ac:dyDescent="0.45">
      <c r="A78" s="989"/>
      <c r="B78" s="35">
        <v>8</v>
      </c>
      <c r="C78" s="35">
        <v>19</v>
      </c>
      <c r="D78" s="35">
        <v>8</v>
      </c>
      <c r="E78" s="35" t="s">
        <v>354</v>
      </c>
      <c r="F78">
        <v>2986</v>
      </c>
      <c r="G78">
        <v>3046</v>
      </c>
      <c r="H78">
        <v>3107</v>
      </c>
      <c r="I78">
        <v>3107</v>
      </c>
      <c r="J78">
        <v>19.853035143769969</v>
      </c>
    </row>
    <row r="79" spans="1:10" x14ac:dyDescent="0.45">
      <c r="A79" s="989"/>
      <c r="B79" s="35">
        <v>9</v>
      </c>
      <c r="C79" s="35">
        <v>20</v>
      </c>
      <c r="D79" s="35">
        <v>9</v>
      </c>
      <c r="E79" s="35" t="s">
        <v>355</v>
      </c>
      <c r="F79">
        <v>3067</v>
      </c>
      <c r="G79">
        <v>3128</v>
      </c>
      <c r="H79">
        <v>3191</v>
      </c>
      <c r="I79">
        <v>3191</v>
      </c>
      <c r="J79">
        <v>20.389776357827479</v>
      </c>
    </row>
    <row r="80" spans="1:10" x14ac:dyDescent="0.45">
      <c r="A80" s="989"/>
      <c r="B80" s="35">
        <v>10</v>
      </c>
      <c r="C80" s="35">
        <v>21</v>
      </c>
      <c r="D80" s="35">
        <v>10</v>
      </c>
      <c r="E80" s="35" t="s">
        <v>356</v>
      </c>
      <c r="F80">
        <v>3142</v>
      </c>
      <c r="G80">
        <v>3205</v>
      </c>
      <c r="H80">
        <v>3269</v>
      </c>
      <c r="I80">
        <v>3269</v>
      </c>
      <c r="J80">
        <v>20.88817891373802</v>
      </c>
    </row>
    <row r="81" spans="1:10" x14ac:dyDescent="0.45">
      <c r="A81" s="989"/>
      <c r="B81" s="35">
        <v>11</v>
      </c>
      <c r="C81" s="35">
        <v>22</v>
      </c>
      <c r="D81" s="35">
        <v>11</v>
      </c>
      <c r="E81" s="35" t="s">
        <v>357</v>
      </c>
      <c r="F81">
        <v>3217</v>
      </c>
      <c r="G81">
        <v>3281</v>
      </c>
      <c r="H81">
        <v>3347</v>
      </c>
      <c r="I81">
        <v>3347</v>
      </c>
      <c r="J81">
        <v>21.386581469648561</v>
      </c>
    </row>
    <row r="82" spans="1:10" x14ac:dyDescent="0.45">
      <c r="A82" s="990"/>
      <c r="B82" s="35">
        <v>12</v>
      </c>
      <c r="C82" s="35">
        <v>23</v>
      </c>
      <c r="D82" s="35">
        <v>12</v>
      </c>
      <c r="E82" s="35" t="s">
        <v>690</v>
      </c>
      <c r="F82">
        <v>3294</v>
      </c>
      <c r="G82">
        <v>3360</v>
      </c>
      <c r="H82">
        <v>3427</v>
      </c>
      <c r="I82">
        <v>3427</v>
      </c>
      <c r="J82">
        <v>21.897763578274759</v>
      </c>
    </row>
    <row r="83" spans="1:10" x14ac:dyDescent="0.45">
      <c r="A83" s="988">
        <v>40</v>
      </c>
      <c r="B83" s="35">
        <v>2</v>
      </c>
      <c r="C83" s="35">
        <v>14</v>
      </c>
      <c r="D83" s="35">
        <v>2</v>
      </c>
      <c r="E83" s="35" t="s">
        <v>361</v>
      </c>
      <c r="F83">
        <v>2617</v>
      </c>
      <c r="G83">
        <v>2672</v>
      </c>
      <c r="H83">
        <v>2727</v>
      </c>
      <c r="I83">
        <v>2727</v>
      </c>
      <c r="J83">
        <v>17.424920127795531</v>
      </c>
    </row>
    <row r="84" spans="1:10" x14ac:dyDescent="0.45">
      <c r="A84" s="989"/>
      <c r="B84" s="35">
        <v>3</v>
      </c>
      <c r="C84" s="35">
        <v>16</v>
      </c>
      <c r="D84" s="35">
        <v>3</v>
      </c>
      <c r="E84" s="35" t="s">
        <v>362</v>
      </c>
      <c r="F84">
        <v>2766</v>
      </c>
      <c r="G84">
        <v>2821</v>
      </c>
      <c r="H84">
        <v>2877</v>
      </c>
      <c r="I84">
        <v>2877</v>
      </c>
      <c r="J84">
        <v>18.383386581469651</v>
      </c>
    </row>
    <row r="85" spans="1:10" x14ac:dyDescent="0.45">
      <c r="A85" s="989"/>
      <c r="B85" s="35">
        <v>4</v>
      </c>
      <c r="C85" s="35">
        <v>17</v>
      </c>
      <c r="D85" s="35">
        <v>4</v>
      </c>
      <c r="E85" s="35" t="s">
        <v>363</v>
      </c>
      <c r="F85">
        <v>2831</v>
      </c>
      <c r="G85">
        <v>2888</v>
      </c>
      <c r="H85">
        <v>2946</v>
      </c>
      <c r="I85">
        <v>2946</v>
      </c>
      <c r="J85">
        <v>18.824281150159749</v>
      </c>
    </row>
    <row r="86" spans="1:10" x14ac:dyDescent="0.45">
      <c r="A86" s="989"/>
      <c r="B86" s="35">
        <v>5</v>
      </c>
      <c r="C86" s="35">
        <v>18</v>
      </c>
      <c r="D86" s="35">
        <v>5</v>
      </c>
      <c r="E86" s="35" t="s">
        <v>364</v>
      </c>
      <c r="F86">
        <v>2911</v>
      </c>
      <c r="G86">
        <v>2969</v>
      </c>
      <c r="H86">
        <v>3028</v>
      </c>
      <c r="I86">
        <v>3028</v>
      </c>
      <c r="J86">
        <v>19.348242811501599</v>
      </c>
    </row>
    <row r="87" spans="1:10" x14ac:dyDescent="0.45">
      <c r="A87" s="989"/>
      <c r="B87" s="35">
        <v>6</v>
      </c>
      <c r="C87" s="35">
        <v>19</v>
      </c>
      <c r="D87" s="35">
        <v>6</v>
      </c>
      <c r="E87" s="35" t="s">
        <v>365</v>
      </c>
      <c r="F87">
        <v>2986</v>
      </c>
      <c r="G87">
        <v>3046</v>
      </c>
      <c r="H87">
        <v>3107</v>
      </c>
      <c r="I87">
        <v>3107</v>
      </c>
      <c r="J87">
        <v>19.853035143769969</v>
      </c>
    </row>
    <row r="88" spans="1:10" x14ac:dyDescent="0.45">
      <c r="A88" s="989"/>
      <c r="B88" s="35">
        <v>7</v>
      </c>
      <c r="C88" s="35">
        <v>20</v>
      </c>
      <c r="D88" s="35">
        <v>7</v>
      </c>
      <c r="E88" s="35" t="s">
        <v>366</v>
      </c>
      <c r="F88">
        <v>3067</v>
      </c>
      <c r="G88">
        <v>3128</v>
      </c>
      <c r="H88">
        <v>3191</v>
      </c>
      <c r="I88">
        <v>3191</v>
      </c>
      <c r="J88">
        <v>20.389776357827479</v>
      </c>
    </row>
    <row r="89" spans="1:10" x14ac:dyDescent="0.45">
      <c r="A89" s="989"/>
      <c r="B89" s="35">
        <v>8</v>
      </c>
      <c r="C89" s="35">
        <v>21</v>
      </c>
      <c r="D89" s="35">
        <v>8</v>
      </c>
      <c r="E89" s="35" t="s">
        <v>367</v>
      </c>
      <c r="F89">
        <v>3142</v>
      </c>
      <c r="G89">
        <v>3205</v>
      </c>
      <c r="H89">
        <v>3269</v>
      </c>
      <c r="I89">
        <v>3269</v>
      </c>
      <c r="J89">
        <v>20.88817891373802</v>
      </c>
    </row>
    <row r="90" spans="1:10" x14ac:dyDescent="0.45">
      <c r="A90" s="989"/>
      <c r="B90" s="35">
        <v>9</v>
      </c>
      <c r="C90" s="35">
        <v>22</v>
      </c>
      <c r="D90" s="35">
        <v>9</v>
      </c>
      <c r="E90" s="35" t="s">
        <v>368</v>
      </c>
      <c r="F90">
        <v>3217</v>
      </c>
      <c r="G90">
        <v>3281</v>
      </c>
      <c r="H90">
        <v>3347</v>
      </c>
      <c r="I90">
        <v>3347</v>
      </c>
      <c r="J90">
        <v>21.386581469648561</v>
      </c>
    </row>
    <row r="91" spans="1:10" x14ac:dyDescent="0.45">
      <c r="A91" s="989"/>
      <c r="B91" s="35">
        <v>10</v>
      </c>
      <c r="C91" s="35">
        <v>23</v>
      </c>
      <c r="D91" s="35">
        <v>10</v>
      </c>
      <c r="E91" s="35" t="s">
        <v>369</v>
      </c>
      <c r="F91">
        <v>3294</v>
      </c>
      <c r="G91">
        <v>3360</v>
      </c>
      <c r="H91">
        <v>3427</v>
      </c>
      <c r="I91">
        <v>3427</v>
      </c>
      <c r="J91">
        <v>21.897763578274759</v>
      </c>
    </row>
    <row r="92" spans="1:10" x14ac:dyDescent="0.45">
      <c r="A92" s="989"/>
      <c r="B92" s="35">
        <v>11</v>
      </c>
      <c r="C92" s="35">
        <v>24</v>
      </c>
      <c r="D92" s="35">
        <v>11</v>
      </c>
      <c r="E92" s="35" t="s">
        <v>370</v>
      </c>
      <c r="F92">
        <v>3369</v>
      </c>
      <c r="G92">
        <v>3436</v>
      </c>
      <c r="H92">
        <v>3505</v>
      </c>
      <c r="I92">
        <v>3505</v>
      </c>
      <c r="J92">
        <v>22.3961661341853</v>
      </c>
    </row>
    <row r="93" spans="1:10" x14ac:dyDescent="0.45">
      <c r="A93" s="989"/>
      <c r="B93" s="35">
        <v>12</v>
      </c>
      <c r="C93" s="35">
        <v>25</v>
      </c>
      <c r="D93" s="35">
        <v>12</v>
      </c>
      <c r="E93" s="35" t="s">
        <v>371</v>
      </c>
      <c r="F93">
        <v>3454</v>
      </c>
      <c r="G93">
        <v>3523</v>
      </c>
      <c r="H93">
        <v>3593</v>
      </c>
      <c r="I93">
        <v>3593</v>
      </c>
      <c r="J93">
        <v>22.95846645367412</v>
      </c>
    </row>
    <row r="94" spans="1:10" x14ac:dyDescent="0.45">
      <c r="A94" s="990"/>
      <c r="B94" s="35">
        <v>13</v>
      </c>
      <c r="C94" s="35">
        <v>26</v>
      </c>
      <c r="D94" s="35">
        <v>13</v>
      </c>
      <c r="E94" s="35" t="s">
        <v>372</v>
      </c>
      <c r="F94">
        <v>3535</v>
      </c>
      <c r="G94">
        <v>3606</v>
      </c>
      <c r="H94">
        <v>3678</v>
      </c>
      <c r="I94">
        <v>3678</v>
      </c>
      <c r="J94">
        <v>23.501597444089459</v>
      </c>
    </row>
    <row r="95" spans="1:10" x14ac:dyDescent="0.45">
      <c r="A95" s="988">
        <v>45</v>
      </c>
      <c r="B95" s="35">
        <v>2</v>
      </c>
      <c r="C95" s="35">
        <v>16</v>
      </c>
      <c r="D95" s="35">
        <v>2</v>
      </c>
      <c r="E95" s="35" t="s">
        <v>377</v>
      </c>
      <c r="F95">
        <v>2766</v>
      </c>
      <c r="G95">
        <v>2821</v>
      </c>
      <c r="H95">
        <v>2877</v>
      </c>
      <c r="I95">
        <v>2877</v>
      </c>
      <c r="J95">
        <v>18.383386581469651</v>
      </c>
    </row>
    <row r="96" spans="1:10" x14ac:dyDescent="0.45">
      <c r="A96" s="989"/>
      <c r="B96" s="35">
        <v>3</v>
      </c>
      <c r="C96" s="35">
        <v>18</v>
      </c>
      <c r="D96" s="35">
        <v>3</v>
      </c>
      <c r="E96" s="35" t="s">
        <v>378</v>
      </c>
      <c r="F96">
        <v>2911</v>
      </c>
      <c r="G96">
        <v>2969</v>
      </c>
      <c r="H96">
        <v>3028</v>
      </c>
      <c r="I96">
        <v>3028</v>
      </c>
      <c r="J96">
        <v>19.348242811501599</v>
      </c>
    </row>
    <row r="97" spans="1:10" x14ac:dyDescent="0.45">
      <c r="A97" s="989"/>
      <c r="B97" s="35">
        <v>4</v>
      </c>
      <c r="C97" s="35">
        <v>20</v>
      </c>
      <c r="D97" s="35">
        <v>4</v>
      </c>
      <c r="E97" s="35" t="s">
        <v>379</v>
      </c>
      <c r="F97">
        <v>3067</v>
      </c>
      <c r="G97">
        <v>3128</v>
      </c>
      <c r="H97">
        <v>3191</v>
      </c>
      <c r="I97">
        <v>3191</v>
      </c>
      <c r="J97">
        <v>20.389776357827479</v>
      </c>
    </row>
    <row r="98" spans="1:10" x14ac:dyDescent="0.45">
      <c r="A98" s="989"/>
      <c r="B98" s="35">
        <v>5</v>
      </c>
      <c r="C98" s="35">
        <v>21</v>
      </c>
      <c r="D98" s="35">
        <v>5</v>
      </c>
      <c r="E98" s="35" t="s">
        <v>380</v>
      </c>
      <c r="F98">
        <v>3142</v>
      </c>
      <c r="G98">
        <v>3205</v>
      </c>
      <c r="H98">
        <v>3269</v>
      </c>
      <c r="I98">
        <v>3269</v>
      </c>
      <c r="J98">
        <v>20.88817891373802</v>
      </c>
    </row>
    <row r="99" spans="1:10" x14ac:dyDescent="0.45">
      <c r="A99" s="989"/>
      <c r="B99" s="35">
        <v>6</v>
      </c>
      <c r="C99" s="35">
        <v>22</v>
      </c>
      <c r="D99" s="35">
        <v>6</v>
      </c>
      <c r="E99" s="35" t="s">
        <v>381</v>
      </c>
      <c r="F99">
        <v>3217</v>
      </c>
      <c r="G99">
        <v>3281</v>
      </c>
      <c r="H99">
        <v>3347</v>
      </c>
      <c r="I99">
        <v>3347</v>
      </c>
      <c r="J99">
        <v>21.386581469648561</v>
      </c>
    </row>
    <row r="100" spans="1:10" x14ac:dyDescent="0.45">
      <c r="A100" s="989"/>
      <c r="B100" s="35">
        <v>7</v>
      </c>
      <c r="C100" s="35">
        <v>23</v>
      </c>
      <c r="D100" s="35">
        <v>7</v>
      </c>
      <c r="E100" s="35" t="s">
        <v>382</v>
      </c>
      <c r="F100">
        <v>3294</v>
      </c>
      <c r="G100">
        <v>3360</v>
      </c>
      <c r="H100">
        <v>3427</v>
      </c>
      <c r="I100">
        <v>3427</v>
      </c>
      <c r="J100">
        <v>21.897763578274759</v>
      </c>
    </row>
    <row r="101" spans="1:10" x14ac:dyDescent="0.45">
      <c r="A101" s="989"/>
      <c r="B101" s="35">
        <v>8</v>
      </c>
      <c r="C101" s="35">
        <v>24</v>
      </c>
      <c r="D101" s="35">
        <v>8</v>
      </c>
      <c r="E101" s="35" t="s">
        <v>383</v>
      </c>
      <c r="F101">
        <v>3369</v>
      </c>
      <c r="G101">
        <v>3436</v>
      </c>
      <c r="H101">
        <v>3505</v>
      </c>
      <c r="I101">
        <v>3505</v>
      </c>
      <c r="J101">
        <v>22.3961661341853</v>
      </c>
    </row>
    <row r="102" spans="1:10" x14ac:dyDescent="0.45">
      <c r="A102" s="989"/>
      <c r="B102" s="35">
        <v>9</v>
      </c>
      <c r="C102" s="35">
        <v>25</v>
      </c>
      <c r="D102" s="35">
        <v>9</v>
      </c>
      <c r="E102" s="35" t="s">
        <v>384</v>
      </c>
      <c r="F102">
        <v>3454</v>
      </c>
      <c r="G102">
        <v>3523</v>
      </c>
      <c r="H102">
        <v>3593</v>
      </c>
      <c r="I102">
        <v>3593</v>
      </c>
      <c r="J102">
        <v>22.95846645367412</v>
      </c>
    </row>
    <row r="103" spans="1:10" x14ac:dyDescent="0.45">
      <c r="A103" s="989"/>
      <c r="B103" s="35">
        <v>10</v>
      </c>
      <c r="C103" s="35">
        <v>26</v>
      </c>
      <c r="D103" s="35">
        <v>10</v>
      </c>
      <c r="E103" s="35" t="s">
        <v>385</v>
      </c>
      <c r="F103">
        <v>3535</v>
      </c>
      <c r="G103">
        <v>3606</v>
      </c>
      <c r="H103">
        <v>3678</v>
      </c>
      <c r="I103">
        <v>3678</v>
      </c>
      <c r="J103">
        <v>23.501597444089459</v>
      </c>
    </row>
    <row r="104" spans="1:10" x14ac:dyDescent="0.45">
      <c r="A104" s="989"/>
      <c r="B104" s="35">
        <v>11</v>
      </c>
      <c r="C104" s="35">
        <v>27</v>
      </c>
      <c r="D104" s="35">
        <v>11</v>
      </c>
      <c r="E104" s="35" t="s">
        <v>386</v>
      </c>
      <c r="F104">
        <v>3620</v>
      </c>
      <c r="G104">
        <v>3692</v>
      </c>
      <c r="H104">
        <v>3766</v>
      </c>
      <c r="I104">
        <v>3766</v>
      </c>
      <c r="J104">
        <v>24.063897763578279</v>
      </c>
    </row>
    <row r="105" spans="1:10" x14ac:dyDescent="0.45">
      <c r="A105" s="989"/>
      <c r="B105" s="35">
        <v>12</v>
      </c>
      <c r="C105" s="35">
        <v>28</v>
      </c>
      <c r="D105" s="35">
        <v>12</v>
      </c>
      <c r="E105" s="35" t="s">
        <v>387</v>
      </c>
      <c r="F105">
        <v>3694</v>
      </c>
      <c r="G105">
        <v>3768</v>
      </c>
      <c r="H105">
        <v>3843</v>
      </c>
      <c r="I105">
        <v>3843</v>
      </c>
      <c r="J105">
        <v>24.555910543130992</v>
      </c>
    </row>
    <row r="106" spans="1:10" x14ac:dyDescent="0.45">
      <c r="A106" s="989"/>
      <c r="B106" s="35">
        <v>13</v>
      </c>
      <c r="C106" s="35">
        <v>29</v>
      </c>
      <c r="D106" s="35">
        <v>13</v>
      </c>
      <c r="E106" s="35" t="s">
        <v>388</v>
      </c>
      <c r="F106">
        <v>3779</v>
      </c>
      <c r="G106">
        <v>3855</v>
      </c>
      <c r="H106">
        <v>3932</v>
      </c>
      <c r="I106">
        <v>3932</v>
      </c>
      <c r="J106">
        <v>25.12460063897764</v>
      </c>
    </row>
    <row r="107" spans="1:10" x14ac:dyDescent="0.45">
      <c r="A107" s="990"/>
      <c r="B107" s="35">
        <v>14</v>
      </c>
      <c r="C107" s="35">
        <v>30</v>
      </c>
      <c r="D107" s="35">
        <v>14</v>
      </c>
      <c r="E107" s="35" t="s">
        <v>691</v>
      </c>
      <c r="F107">
        <v>3861</v>
      </c>
      <c r="G107">
        <v>3938</v>
      </c>
      <c r="H107">
        <v>4017</v>
      </c>
      <c r="I107">
        <v>4017</v>
      </c>
      <c r="J107">
        <v>25.667731629392971</v>
      </c>
    </row>
    <row r="108" spans="1:10" x14ac:dyDescent="0.45">
      <c r="A108" s="988">
        <v>50</v>
      </c>
      <c r="B108" s="35">
        <v>1</v>
      </c>
      <c r="C108" s="35">
        <v>19</v>
      </c>
      <c r="D108" s="35">
        <v>1</v>
      </c>
      <c r="E108" s="35" t="s">
        <v>393</v>
      </c>
      <c r="F108">
        <v>2986</v>
      </c>
      <c r="G108">
        <v>3046</v>
      </c>
      <c r="H108">
        <v>3107</v>
      </c>
      <c r="I108">
        <v>3107</v>
      </c>
      <c r="J108">
        <v>19.853035143769969</v>
      </c>
    </row>
    <row r="109" spans="1:10" x14ac:dyDescent="0.45">
      <c r="A109" s="989"/>
      <c r="B109" s="35">
        <v>2</v>
      </c>
      <c r="C109" s="35">
        <v>21</v>
      </c>
      <c r="D109" s="35">
        <v>2</v>
      </c>
      <c r="E109" s="35" t="s">
        <v>394</v>
      </c>
      <c r="F109">
        <v>3142</v>
      </c>
      <c r="G109">
        <v>3205</v>
      </c>
      <c r="H109">
        <v>3269</v>
      </c>
      <c r="I109">
        <v>3269</v>
      </c>
      <c r="J109">
        <v>20.88817891373802</v>
      </c>
    </row>
    <row r="110" spans="1:10" x14ac:dyDescent="0.45">
      <c r="A110" s="989"/>
      <c r="B110" s="35">
        <v>3</v>
      </c>
      <c r="C110" s="35">
        <v>23</v>
      </c>
      <c r="D110" s="35">
        <v>3</v>
      </c>
      <c r="E110" s="35" t="s">
        <v>395</v>
      </c>
      <c r="F110">
        <v>3294</v>
      </c>
      <c r="G110">
        <v>3360</v>
      </c>
      <c r="H110">
        <v>3427</v>
      </c>
      <c r="I110">
        <v>3427</v>
      </c>
      <c r="J110">
        <v>21.897763578274759</v>
      </c>
    </row>
    <row r="111" spans="1:10" x14ac:dyDescent="0.45">
      <c r="A111" s="989"/>
      <c r="B111" s="35">
        <v>4</v>
      </c>
      <c r="C111" s="35">
        <v>25</v>
      </c>
      <c r="D111" s="35">
        <v>4</v>
      </c>
      <c r="E111" s="35" t="s">
        <v>396</v>
      </c>
      <c r="F111">
        <v>3454</v>
      </c>
      <c r="G111">
        <v>3523</v>
      </c>
      <c r="H111">
        <v>3593</v>
      </c>
      <c r="I111">
        <v>3593</v>
      </c>
      <c r="J111">
        <v>22.95846645367412</v>
      </c>
    </row>
    <row r="112" spans="1:10" x14ac:dyDescent="0.45">
      <c r="A112" s="989"/>
      <c r="B112" s="35">
        <v>5</v>
      </c>
      <c r="C112" s="35">
        <v>27</v>
      </c>
      <c r="D112" s="35">
        <v>5</v>
      </c>
      <c r="E112" s="35" t="s">
        <v>397</v>
      </c>
      <c r="F112">
        <v>3620</v>
      </c>
      <c r="G112">
        <v>3692</v>
      </c>
      <c r="H112">
        <v>3766</v>
      </c>
      <c r="I112">
        <v>3766</v>
      </c>
      <c r="J112">
        <v>24.063897763578279</v>
      </c>
    </row>
    <row r="113" spans="1:10" x14ac:dyDescent="0.45">
      <c r="A113" s="989"/>
      <c r="B113" s="35">
        <v>6</v>
      </c>
      <c r="C113" s="35">
        <v>28</v>
      </c>
      <c r="D113" s="35">
        <v>6</v>
      </c>
      <c r="E113" s="35" t="s">
        <v>398</v>
      </c>
      <c r="F113">
        <v>3694</v>
      </c>
      <c r="G113">
        <v>3768</v>
      </c>
      <c r="H113">
        <v>3843</v>
      </c>
      <c r="I113">
        <v>3843</v>
      </c>
      <c r="J113">
        <v>24.555910543130992</v>
      </c>
    </row>
    <row r="114" spans="1:10" x14ac:dyDescent="0.45">
      <c r="A114" s="989"/>
      <c r="B114" s="35">
        <v>7</v>
      </c>
      <c r="C114" s="35">
        <v>29</v>
      </c>
      <c r="D114" s="35">
        <v>7</v>
      </c>
      <c r="E114" s="35" t="s">
        <v>399</v>
      </c>
      <c r="F114">
        <v>3779</v>
      </c>
      <c r="G114">
        <v>3855</v>
      </c>
      <c r="H114">
        <v>3932</v>
      </c>
      <c r="I114">
        <v>3932</v>
      </c>
      <c r="J114">
        <v>25.12460063897764</v>
      </c>
    </row>
    <row r="115" spans="1:10" x14ac:dyDescent="0.45">
      <c r="A115" s="989"/>
      <c r="B115" s="35">
        <v>8</v>
      </c>
      <c r="C115" s="35">
        <v>30</v>
      </c>
      <c r="D115" s="35">
        <v>8</v>
      </c>
      <c r="E115" s="35" t="s">
        <v>400</v>
      </c>
      <c r="F115">
        <v>3861</v>
      </c>
      <c r="G115">
        <v>3938</v>
      </c>
      <c r="H115">
        <v>4017</v>
      </c>
      <c r="I115">
        <v>4017</v>
      </c>
      <c r="J115">
        <v>25.667731629392971</v>
      </c>
    </row>
    <row r="116" spans="1:10" x14ac:dyDescent="0.45">
      <c r="A116" s="989"/>
      <c r="B116" s="35">
        <v>9</v>
      </c>
      <c r="C116" s="35">
        <v>31</v>
      </c>
      <c r="D116" s="35">
        <v>9</v>
      </c>
      <c r="E116" s="35" t="s">
        <v>401</v>
      </c>
      <c r="F116">
        <v>3939</v>
      </c>
      <c r="G116">
        <v>4018</v>
      </c>
      <c r="H116">
        <v>4098</v>
      </c>
      <c r="I116">
        <v>4098</v>
      </c>
      <c r="J116">
        <v>26.185303514377001</v>
      </c>
    </row>
    <row r="117" spans="1:10" x14ac:dyDescent="0.45">
      <c r="A117" s="989"/>
      <c r="B117" s="35">
        <v>10</v>
      </c>
      <c r="C117" s="35">
        <v>32</v>
      </c>
      <c r="D117" s="35">
        <v>10</v>
      </c>
      <c r="E117" s="35" t="s">
        <v>402</v>
      </c>
      <c r="F117">
        <v>4022</v>
      </c>
      <c r="G117">
        <v>4102</v>
      </c>
      <c r="H117">
        <v>4184</v>
      </c>
      <c r="I117">
        <v>4184</v>
      </c>
      <c r="J117">
        <v>26.734824281150161</v>
      </c>
    </row>
    <row r="118" spans="1:10" x14ac:dyDescent="0.45">
      <c r="A118" s="989"/>
      <c r="B118" s="35">
        <v>11</v>
      </c>
      <c r="C118" s="35">
        <v>33</v>
      </c>
      <c r="D118" s="35">
        <v>11</v>
      </c>
      <c r="E118" s="35" t="s">
        <v>403</v>
      </c>
      <c r="F118">
        <v>4101</v>
      </c>
      <c r="G118">
        <v>4183</v>
      </c>
      <c r="H118">
        <v>4267</v>
      </c>
      <c r="I118">
        <v>4267</v>
      </c>
      <c r="J118">
        <v>27.265175718849839</v>
      </c>
    </row>
    <row r="119" spans="1:10" x14ac:dyDescent="0.45">
      <c r="A119" s="989"/>
      <c r="B119" s="35">
        <v>12</v>
      </c>
      <c r="C119" s="35">
        <v>34</v>
      </c>
      <c r="D119" s="35">
        <v>12</v>
      </c>
      <c r="E119" s="35" t="s">
        <v>404</v>
      </c>
      <c r="F119">
        <v>4185</v>
      </c>
      <c r="G119">
        <v>4269</v>
      </c>
      <c r="H119">
        <v>4354</v>
      </c>
      <c r="I119">
        <v>4354</v>
      </c>
      <c r="J119">
        <v>27.821086261980831</v>
      </c>
    </row>
    <row r="120" spans="1:10" x14ac:dyDescent="0.45">
      <c r="A120" s="990"/>
      <c r="B120" s="35">
        <v>13</v>
      </c>
      <c r="C120" s="35">
        <v>35</v>
      </c>
      <c r="D120" s="35">
        <v>13</v>
      </c>
      <c r="E120" s="35" t="s">
        <v>692</v>
      </c>
      <c r="F120">
        <v>4264</v>
      </c>
      <c r="G120">
        <v>4349</v>
      </c>
      <c r="H120">
        <v>4436</v>
      </c>
      <c r="I120">
        <v>4436</v>
      </c>
      <c r="J120">
        <v>28.345047923322689</v>
      </c>
    </row>
    <row r="121" spans="1:10" x14ac:dyDescent="0.45">
      <c r="A121" s="988">
        <v>55</v>
      </c>
      <c r="B121" s="35">
        <v>0</v>
      </c>
      <c r="C121" s="35">
        <v>22</v>
      </c>
      <c r="D121" s="35">
        <v>0</v>
      </c>
      <c r="E121" s="35" t="s">
        <v>693</v>
      </c>
      <c r="F121">
        <v>3217</v>
      </c>
      <c r="G121">
        <v>3281</v>
      </c>
      <c r="H121">
        <v>3347</v>
      </c>
      <c r="I121">
        <v>3347</v>
      </c>
      <c r="J121">
        <v>21.386581469648561</v>
      </c>
    </row>
    <row r="122" spans="1:10" x14ac:dyDescent="0.45">
      <c r="A122" s="989"/>
      <c r="B122" s="35">
        <v>1</v>
      </c>
      <c r="C122" s="35">
        <v>24</v>
      </c>
      <c r="D122" s="35">
        <v>1</v>
      </c>
      <c r="E122" s="35" t="s">
        <v>409</v>
      </c>
      <c r="F122">
        <v>3369</v>
      </c>
      <c r="G122">
        <v>3436</v>
      </c>
      <c r="H122">
        <v>3505</v>
      </c>
      <c r="I122">
        <v>3505</v>
      </c>
      <c r="J122">
        <v>22.3961661341853</v>
      </c>
    </row>
    <row r="123" spans="1:10" x14ac:dyDescent="0.45">
      <c r="A123" s="989"/>
      <c r="B123" s="35">
        <v>2</v>
      </c>
      <c r="C123" s="35">
        <v>26</v>
      </c>
      <c r="D123" s="35">
        <v>2</v>
      </c>
      <c r="E123" s="35" t="s">
        <v>410</v>
      </c>
      <c r="F123">
        <v>3535</v>
      </c>
      <c r="G123">
        <v>3606</v>
      </c>
      <c r="H123">
        <v>3678</v>
      </c>
      <c r="I123">
        <v>3678</v>
      </c>
      <c r="J123">
        <v>23.501597444089459</v>
      </c>
    </row>
    <row r="124" spans="1:10" x14ac:dyDescent="0.45">
      <c r="A124" s="989"/>
      <c r="B124" s="35">
        <v>3</v>
      </c>
      <c r="C124" s="35">
        <v>28</v>
      </c>
      <c r="D124" s="35">
        <v>3</v>
      </c>
      <c r="E124" s="35" t="s">
        <v>411</v>
      </c>
      <c r="F124">
        <v>3694</v>
      </c>
      <c r="G124">
        <v>3768</v>
      </c>
      <c r="H124">
        <v>3843</v>
      </c>
      <c r="I124">
        <v>3843</v>
      </c>
      <c r="J124">
        <v>24.555910543130992</v>
      </c>
    </row>
    <row r="125" spans="1:10" x14ac:dyDescent="0.45">
      <c r="A125" s="989"/>
      <c r="B125" s="35">
        <v>4</v>
      </c>
      <c r="C125" s="35">
        <v>30</v>
      </c>
      <c r="D125" s="35">
        <v>4</v>
      </c>
      <c r="E125" s="35" t="s">
        <v>412</v>
      </c>
      <c r="F125">
        <v>3861</v>
      </c>
      <c r="G125">
        <v>3938</v>
      </c>
      <c r="H125">
        <v>4017</v>
      </c>
      <c r="I125">
        <v>4017</v>
      </c>
      <c r="J125">
        <v>25.667731629392971</v>
      </c>
    </row>
    <row r="126" spans="1:10" x14ac:dyDescent="0.45">
      <c r="A126" s="989"/>
      <c r="B126" s="35">
        <v>5</v>
      </c>
      <c r="C126" s="35">
        <v>32</v>
      </c>
      <c r="D126" s="35">
        <v>5</v>
      </c>
      <c r="E126" s="35" t="s">
        <v>413</v>
      </c>
      <c r="F126">
        <v>4022</v>
      </c>
      <c r="G126">
        <v>4102</v>
      </c>
      <c r="H126">
        <v>4184</v>
      </c>
      <c r="I126">
        <v>4184</v>
      </c>
      <c r="J126">
        <v>26.734824281150161</v>
      </c>
    </row>
    <row r="127" spans="1:10" x14ac:dyDescent="0.45">
      <c r="A127" s="989"/>
      <c r="B127" s="35">
        <v>6</v>
      </c>
      <c r="C127" s="35">
        <v>34</v>
      </c>
      <c r="D127" s="35">
        <v>6</v>
      </c>
      <c r="E127" s="35" t="s">
        <v>414</v>
      </c>
      <c r="F127">
        <v>4185</v>
      </c>
      <c r="G127">
        <v>4269</v>
      </c>
      <c r="H127">
        <v>4354</v>
      </c>
      <c r="I127">
        <v>4354</v>
      </c>
      <c r="J127">
        <v>27.821086261980831</v>
      </c>
    </row>
    <row r="128" spans="1:10" x14ac:dyDescent="0.45">
      <c r="A128" s="989"/>
      <c r="B128" s="35">
        <v>7</v>
      </c>
      <c r="C128" s="35">
        <v>35</v>
      </c>
      <c r="D128" s="35">
        <v>7</v>
      </c>
      <c r="E128" s="35" t="s">
        <v>415</v>
      </c>
      <c r="F128">
        <v>4264</v>
      </c>
      <c r="G128">
        <v>4349</v>
      </c>
      <c r="H128">
        <v>4436</v>
      </c>
      <c r="I128">
        <v>4436</v>
      </c>
      <c r="J128">
        <v>28.345047923322689</v>
      </c>
    </row>
    <row r="129" spans="1:10" x14ac:dyDescent="0.45">
      <c r="A129" s="989"/>
      <c r="B129" s="35">
        <v>8</v>
      </c>
      <c r="C129" s="35">
        <v>36</v>
      </c>
      <c r="D129" s="35">
        <v>8</v>
      </c>
      <c r="E129" s="35" t="s">
        <v>416</v>
      </c>
      <c r="F129">
        <v>4356</v>
      </c>
      <c r="G129">
        <v>4443</v>
      </c>
      <c r="H129">
        <v>4532</v>
      </c>
      <c r="I129">
        <v>4532</v>
      </c>
      <c r="J129">
        <v>28.95846645367412</v>
      </c>
    </row>
    <row r="130" spans="1:10" x14ac:dyDescent="0.45">
      <c r="A130" s="989"/>
      <c r="B130" s="35">
        <v>9</v>
      </c>
      <c r="C130" s="35">
        <v>37</v>
      </c>
      <c r="D130" s="35">
        <v>9</v>
      </c>
      <c r="E130" s="35" t="s">
        <v>417</v>
      </c>
      <c r="F130">
        <v>4449</v>
      </c>
      <c r="G130">
        <v>4538</v>
      </c>
      <c r="H130">
        <v>4629</v>
      </c>
      <c r="I130">
        <v>4629</v>
      </c>
      <c r="J130">
        <v>29.57827476038339</v>
      </c>
    </row>
    <row r="131" spans="1:10" x14ac:dyDescent="0.45">
      <c r="A131" s="989"/>
      <c r="B131" s="35">
        <v>10</v>
      </c>
      <c r="C131" s="35">
        <v>38</v>
      </c>
      <c r="D131" s="35">
        <v>10</v>
      </c>
      <c r="E131" s="35" t="s">
        <v>418</v>
      </c>
      <c r="F131">
        <v>4541</v>
      </c>
      <c r="G131">
        <v>4632</v>
      </c>
      <c r="H131">
        <v>4725</v>
      </c>
      <c r="I131">
        <v>4725</v>
      </c>
      <c r="J131">
        <v>30.191693290734829</v>
      </c>
    </row>
    <row r="132" spans="1:10" x14ac:dyDescent="0.45">
      <c r="A132" s="989"/>
      <c r="B132" s="35">
        <v>11</v>
      </c>
      <c r="C132" s="35">
        <v>39</v>
      </c>
      <c r="D132" s="35">
        <v>11</v>
      </c>
      <c r="E132" s="35" t="s">
        <v>419</v>
      </c>
      <c r="F132">
        <v>4629</v>
      </c>
      <c r="G132">
        <v>4722</v>
      </c>
      <c r="H132">
        <v>4816</v>
      </c>
      <c r="I132">
        <v>4816</v>
      </c>
      <c r="J132">
        <v>30.773162939297119</v>
      </c>
    </row>
    <row r="133" spans="1:10" x14ac:dyDescent="0.45">
      <c r="A133" s="990"/>
      <c r="B133" s="35">
        <v>12</v>
      </c>
      <c r="C133" s="35">
        <v>40</v>
      </c>
      <c r="D133" s="35">
        <v>12</v>
      </c>
      <c r="E133" s="35" t="s">
        <v>420</v>
      </c>
      <c r="F133">
        <v>4712</v>
      </c>
      <c r="G133">
        <v>4806</v>
      </c>
      <c r="H133">
        <v>4902</v>
      </c>
      <c r="I133">
        <v>4902</v>
      </c>
      <c r="J133">
        <v>31.32268370607029</v>
      </c>
    </row>
    <row r="134" spans="1:10" x14ac:dyDescent="0.45">
      <c r="A134" s="988">
        <v>60</v>
      </c>
      <c r="B134" s="35">
        <v>0</v>
      </c>
      <c r="C134" s="35">
        <v>28</v>
      </c>
      <c r="D134" s="35">
        <v>0</v>
      </c>
      <c r="E134" s="35" t="s">
        <v>694</v>
      </c>
      <c r="F134">
        <v>3694</v>
      </c>
      <c r="G134">
        <v>3768</v>
      </c>
      <c r="H134">
        <v>3843</v>
      </c>
      <c r="I134">
        <v>3843</v>
      </c>
      <c r="J134">
        <v>24.555910543130992</v>
      </c>
    </row>
    <row r="135" spans="1:10" x14ac:dyDescent="0.45">
      <c r="A135" s="989"/>
      <c r="B135" s="35">
        <v>1</v>
      </c>
      <c r="C135" s="35">
        <v>30</v>
      </c>
      <c r="D135" s="35">
        <v>1</v>
      </c>
      <c r="E135" s="35" t="s">
        <v>425</v>
      </c>
      <c r="F135">
        <v>3861</v>
      </c>
      <c r="G135">
        <v>3938</v>
      </c>
      <c r="H135">
        <v>4017</v>
      </c>
      <c r="I135">
        <v>4017</v>
      </c>
      <c r="J135">
        <v>25.667731629392971</v>
      </c>
    </row>
    <row r="136" spans="1:10" x14ac:dyDescent="0.45">
      <c r="A136" s="989"/>
      <c r="B136" s="35">
        <v>2</v>
      </c>
      <c r="C136" s="35">
        <v>32</v>
      </c>
      <c r="D136" s="35">
        <v>2</v>
      </c>
      <c r="E136" s="35" t="s">
        <v>426</v>
      </c>
      <c r="F136">
        <v>4022</v>
      </c>
      <c r="G136">
        <v>4102</v>
      </c>
      <c r="H136">
        <v>4184</v>
      </c>
      <c r="I136">
        <v>4184</v>
      </c>
      <c r="J136">
        <v>26.734824281150161</v>
      </c>
    </row>
    <row r="137" spans="1:10" x14ac:dyDescent="0.45">
      <c r="A137" s="989"/>
      <c r="B137" s="35">
        <v>3</v>
      </c>
      <c r="C137" s="35">
        <v>34</v>
      </c>
      <c r="D137" s="35">
        <v>3</v>
      </c>
      <c r="E137" s="35" t="s">
        <v>427</v>
      </c>
      <c r="F137">
        <v>4185</v>
      </c>
      <c r="G137">
        <v>4269</v>
      </c>
      <c r="H137">
        <v>4354</v>
      </c>
      <c r="I137">
        <v>4354</v>
      </c>
      <c r="J137">
        <v>27.821086261980831</v>
      </c>
    </row>
    <row r="138" spans="1:10" x14ac:dyDescent="0.45">
      <c r="A138" s="989"/>
      <c r="B138" s="35">
        <v>4</v>
      </c>
      <c r="C138" s="35">
        <v>36</v>
      </c>
      <c r="D138" s="35">
        <v>4</v>
      </c>
      <c r="E138" s="35" t="s">
        <v>428</v>
      </c>
      <c r="F138">
        <v>4356</v>
      </c>
      <c r="G138">
        <v>4443</v>
      </c>
      <c r="H138">
        <v>4532</v>
      </c>
      <c r="I138">
        <v>4532</v>
      </c>
      <c r="J138">
        <v>28.95846645367412</v>
      </c>
    </row>
    <row r="139" spans="1:10" x14ac:dyDescent="0.45">
      <c r="A139" s="989"/>
      <c r="B139" s="35">
        <v>5</v>
      </c>
      <c r="C139" s="35">
        <v>38</v>
      </c>
      <c r="D139" s="35">
        <v>5</v>
      </c>
      <c r="E139" s="35" t="s">
        <v>429</v>
      </c>
      <c r="F139">
        <v>4541</v>
      </c>
      <c r="G139">
        <v>4632</v>
      </c>
      <c r="H139">
        <v>4725</v>
      </c>
      <c r="I139">
        <v>4725</v>
      </c>
      <c r="J139">
        <v>30.191693290734829</v>
      </c>
    </row>
    <row r="140" spans="1:10" x14ac:dyDescent="0.45">
      <c r="A140" s="989"/>
      <c r="B140" s="35">
        <v>6</v>
      </c>
      <c r="C140" s="35">
        <v>40</v>
      </c>
      <c r="D140" s="35">
        <v>6</v>
      </c>
      <c r="E140" s="35" t="s">
        <v>430</v>
      </c>
      <c r="F140">
        <v>4712</v>
      </c>
      <c r="G140">
        <v>4806</v>
      </c>
      <c r="H140">
        <v>4902</v>
      </c>
      <c r="I140">
        <v>4902</v>
      </c>
      <c r="J140">
        <v>31.32268370607029</v>
      </c>
    </row>
    <row r="141" spans="1:10" x14ac:dyDescent="0.45">
      <c r="A141" s="989"/>
      <c r="B141" s="35">
        <v>7</v>
      </c>
      <c r="C141" s="35">
        <v>42</v>
      </c>
      <c r="D141" s="35">
        <v>7</v>
      </c>
      <c r="E141" s="35" t="s">
        <v>431</v>
      </c>
      <c r="F141">
        <v>4887</v>
      </c>
      <c r="G141">
        <v>4985</v>
      </c>
      <c r="H141">
        <v>5085</v>
      </c>
      <c r="I141">
        <v>5085</v>
      </c>
      <c r="J141">
        <v>32.492012779552716</v>
      </c>
    </row>
    <row r="142" spans="1:10" x14ac:dyDescent="0.45">
      <c r="A142" s="989"/>
      <c r="B142" s="35">
        <v>8</v>
      </c>
      <c r="C142" s="35">
        <v>44</v>
      </c>
      <c r="D142" s="35">
        <v>8</v>
      </c>
      <c r="E142" s="35" t="s">
        <v>432</v>
      </c>
      <c r="F142">
        <v>5063</v>
      </c>
      <c r="G142">
        <v>5164</v>
      </c>
      <c r="H142">
        <v>5267</v>
      </c>
      <c r="I142">
        <v>5267</v>
      </c>
      <c r="J142">
        <v>33.654952076677318</v>
      </c>
    </row>
    <row r="143" spans="1:10" x14ac:dyDescent="0.45">
      <c r="A143" s="989"/>
      <c r="B143" s="35">
        <v>9</v>
      </c>
      <c r="C143" s="35">
        <v>45</v>
      </c>
      <c r="D143" s="35">
        <v>9</v>
      </c>
      <c r="E143" s="35" t="s">
        <v>433</v>
      </c>
      <c r="F143">
        <v>5135</v>
      </c>
      <c r="G143">
        <v>5238</v>
      </c>
      <c r="H143">
        <v>5343</v>
      </c>
      <c r="I143">
        <v>5343</v>
      </c>
      <c r="J143">
        <v>34.140575079872207</v>
      </c>
    </row>
    <row r="144" spans="1:10" x14ac:dyDescent="0.45">
      <c r="A144" s="989"/>
      <c r="B144" s="35">
        <v>10</v>
      </c>
      <c r="C144" s="35">
        <v>46</v>
      </c>
      <c r="D144" s="35">
        <v>10</v>
      </c>
      <c r="E144" s="35" t="s">
        <v>434</v>
      </c>
      <c r="F144">
        <v>5214</v>
      </c>
      <c r="G144">
        <v>5318</v>
      </c>
      <c r="H144">
        <v>5424</v>
      </c>
      <c r="I144">
        <v>5424</v>
      </c>
      <c r="J144">
        <v>34.658146964856229</v>
      </c>
    </row>
    <row r="145" spans="1:10" x14ac:dyDescent="0.45">
      <c r="A145" s="989"/>
      <c r="B145" s="35">
        <v>11</v>
      </c>
      <c r="C145" s="35">
        <v>47</v>
      </c>
      <c r="D145" s="35">
        <v>11</v>
      </c>
      <c r="E145" s="35" t="s">
        <v>435</v>
      </c>
      <c r="F145">
        <v>5294</v>
      </c>
      <c r="G145">
        <v>5400</v>
      </c>
      <c r="H145">
        <v>5508</v>
      </c>
      <c r="I145">
        <v>5508</v>
      </c>
      <c r="J145">
        <v>35.194888178913743</v>
      </c>
    </row>
    <row r="146" spans="1:10" x14ac:dyDescent="0.45">
      <c r="A146" s="990"/>
      <c r="B146" s="35">
        <v>12</v>
      </c>
      <c r="C146" s="35">
        <v>48</v>
      </c>
      <c r="D146" s="35">
        <v>12</v>
      </c>
      <c r="E146" s="35" t="s">
        <v>695</v>
      </c>
      <c r="F146">
        <v>5370</v>
      </c>
      <c r="G146">
        <v>5477</v>
      </c>
      <c r="H146">
        <v>5587</v>
      </c>
      <c r="I146">
        <v>5587</v>
      </c>
      <c r="J146">
        <v>35.699680511182109</v>
      </c>
    </row>
    <row r="147" spans="1:10" x14ac:dyDescent="0.45">
      <c r="A147" s="988">
        <v>65</v>
      </c>
      <c r="B147" s="35">
        <v>0</v>
      </c>
      <c r="C147" s="35">
        <v>34</v>
      </c>
      <c r="D147" s="35">
        <v>0</v>
      </c>
      <c r="E147" s="35" t="s">
        <v>696</v>
      </c>
      <c r="F147">
        <v>4185</v>
      </c>
      <c r="G147">
        <v>4269</v>
      </c>
      <c r="H147">
        <v>4354</v>
      </c>
      <c r="I147">
        <v>4354</v>
      </c>
      <c r="J147">
        <v>27.821086261980831</v>
      </c>
    </row>
    <row r="148" spans="1:10" x14ac:dyDescent="0.45">
      <c r="A148" s="989"/>
      <c r="B148" s="35">
        <v>1</v>
      </c>
      <c r="C148" s="35">
        <v>37</v>
      </c>
      <c r="D148" s="35">
        <v>1</v>
      </c>
      <c r="E148" s="35" t="s">
        <v>440</v>
      </c>
      <c r="F148">
        <v>4449</v>
      </c>
      <c r="G148">
        <v>4538</v>
      </c>
      <c r="H148">
        <v>4629</v>
      </c>
      <c r="I148">
        <v>4629</v>
      </c>
      <c r="J148">
        <v>29.57827476038339</v>
      </c>
    </row>
    <row r="149" spans="1:10" x14ac:dyDescent="0.45">
      <c r="A149" s="989"/>
      <c r="B149" s="35">
        <v>2</v>
      </c>
      <c r="C149" s="35">
        <v>40</v>
      </c>
      <c r="D149" s="35">
        <v>2</v>
      </c>
      <c r="E149" s="35" t="s">
        <v>441</v>
      </c>
      <c r="F149">
        <v>4712</v>
      </c>
      <c r="G149">
        <v>4806</v>
      </c>
      <c r="H149">
        <v>4902</v>
      </c>
      <c r="I149">
        <v>4902</v>
      </c>
      <c r="J149">
        <v>31.32268370607029</v>
      </c>
    </row>
    <row r="150" spans="1:10" x14ac:dyDescent="0.45">
      <c r="A150" s="989"/>
      <c r="B150" s="35">
        <v>3</v>
      </c>
      <c r="C150" s="35">
        <v>42</v>
      </c>
      <c r="D150" s="35">
        <v>3</v>
      </c>
      <c r="E150" s="35" t="s">
        <v>442</v>
      </c>
      <c r="F150">
        <v>4887</v>
      </c>
      <c r="G150">
        <v>4985</v>
      </c>
      <c r="H150">
        <v>5085</v>
      </c>
      <c r="I150">
        <v>5085</v>
      </c>
      <c r="J150">
        <v>32.492012779552716</v>
      </c>
    </row>
    <row r="151" spans="1:10" x14ac:dyDescent="0.45">
      <c r="A151" s="989"/>
      <c r="B151" s="35">
        <v>4</v>
      </c>
      <c r="C151" s="35">
        <v>44</v>
      </c>
      <c r="D151" s="35">
        <v>4</v>
      </c>
      <c r="E151" s="35" t="s">
        <v>443</v>
      </c>
      <c r="F151">
        <v>5063</v>
      </c>
      <c r="G151">
        <v>5164</v>
      </c>
      <c r="H151">
        <v>5267</v>
      </c>
      <c r="I151">
        <v>5267</v>
      </c>
      <c r="J151">
        <v>33.654952076677318</v>
      </c>
    </row>
    <row r="152" spans="1:10" x14ac:dyDescent="0.45">
      <c r="A152" s="989"/>
      <c r="B152" s="35">
        <v>5</v>
      </c>
      <c r="C152" s="35">
        <v>46</v>
      </c>
      <c r="D152" s="35">
        <v>5</v>
      </c>
      <c r="E152" s="35" t="s">
        <v>444</v>
      </c>
      <c r="F152">
        <v>5214</v>
      </c>
      <c r="G152">
        <v>5318</v>
      </c>
      <c r="H152">
        <v>5424</v>
      </c>
      <c r="I152">
        <v>5424</v>
      </c>
      <c r="J152">
        <v>34.658146964856229</v>
      </c>
    </row>
    <row r="153" spans="1:10" x14ac:dyDescent="0.45">
      <c r="A153" s="989"/>
      <c r="B153" s="35">
        <v>6</v>
      </c>
      <c r="C153" s="35">
        <v>48</v>
      </c>
      <c r="D153" s="35">
        <v>6</v>
      </c>
      <c r="E153" s="35" t="s">
        <v>445</v>
      </c>
      <c r="F153">
        <v>5370</v>
      </c>
      <c r="G153">
        <v>5477</v>
      </c>
      <c r="H153">
        <v>5587</v>
      </c>
      <c r="I153">
        <v>5587</v>
      </c>
      <c r="J153">
        <v>35.699680511182109</v>
      </c>
    </row>
    <row r="154" spans="1:10" x14ac:dyDescent="0.45">
      <c r="A154" s="989"/>
      <c r="B154" s="35">
        <v>7</v>
      </c>
      <c r="C154" s="35">
        <v>50</v>
      </c>
      <c r="D154" s="35">
        <v>7</v>
      </c>
      <c r="E154" s="35" t="s">
        <v>446</v>
      </c>
      <c r="F154">
        <v>5532</v>
      </c>
      <c r="G154">
        <v>5643</v>
      </c>
      <c r="H154">
        <v>5756</v>
      </c>
      <c r="I154">
        <v>5756</v>
      </c>
      <c r="J154">
        <v>36.779552715654951</v>
      </c>
    </row>
    <row r="155" spans="1:10" x14ac:dyDescent="0.45">
      <c r="A155" s="989"/>
      <c r="B155" s="35">
        <v>8</v>
      </c>
      <c r="C155" s="35">
        <v>52</v>
      </c>
      <c r="D155" s="35">
        <v>8</v>
      </c>
      <c r="E155" s="35" t="s">
        <v>447</v>
      </c>
      <c r="F155">
        <v>5690</v>
      </c>
      <c r="G155">
        <v>5804</v>
      </c>
      <c r="H155">
        <v>5920</v>
      </c>
      <c r="I155">
        <v>5920</v>
      </c>
      <c r="J155">
        <v>37.827476038338659</v>
      </c>
    </row>
    <row r="156" spans="1:10" x14ac:dyDescent="0.45">
      <c r="A156" s="989"/>
      <c r="B156" s="35">
        <v>9</v>
      </c>
      <c r="C156" s="35">
        <v>54</v>
      </c>
      <c r="D156" s="35">
        <v>9</v>
      </c>
      <c r="E156" s="35" t="s">
        <v>448</v>
      </c>
      <c r="F156">
        <v>5846</v>
      </c>
      <c r="G156">
        <v>5963</v>
      </c>
      <c r="H156">
        <v>6082</v>
      </c>
      <c r="I156">
        <v>6082</v>
      </c>
      <c r="J156">
        <v>38.862619808306711</v>
      </c>
    </row>
    <row r="157" spans="1:10" x14ac:dyDescent="0.45">
      <c r="A157" s="989"/>
      <c r="B157" s="35">
        <v>10</v>
      </c>
      <c r="C157" s="35">
        <v>56</v>
      </c>
      <c r="D157" s="35">
        <v>10</v>
      </c>
      <c r="E157" s="35" t="s">
        <v>449</v>
      </c>
      <c r="F157">
        <v>6008</v>
      </c>
      <c r="G157">
        <v>6128</v>
      </c>
      <c r="H157">
        <v>6251</v>
      </c>
      <c r="I157">
        <v>6251</v>
      </c>
      <c r="J157">
        <v>39.942492012779553</v>
      </c>
    </row>
    <row r="158" spans="1:10" x14ac:dyDescent="0.45">
      <c r="A158" s="989"/>
      <c r="B158" s="35">
        <v>11</v>
      </c>
      <c r="C158" s="35">
        <v>57</v>
      </c>
      <c r="D158" s="35">
        <v>11</v>
      </c>
      <c r="E158" s="35" t="s">
        <v>450</v>
      </c>
      <c r="F158">
        <v>6083</v>
      </c>
      <c r="G158">
        <v>6205</v>
      </c>
      <c r="H158">
        <v>6329</v>
      </c>
      <c r="I158">
        <v>6329</v>
      </c>
      <c r="J158">
        <v>40.440894568690098</v>
      </c>
    </row>
    <row r="159" spans="1:10" x14ac:dyDescent="0.45">
      <c r="A159" s="989"/>
      <c r="B159" s="35">
        <v>12</v>
      </c>
      <c r="C159" s="35">
        <v>58</v>
      </c>
      <c r="D159" s="35">
        <v>12</v>
      </c>
      <c r="E159" s="35" t="s">
        <v>451</v>
      </c>
      <c r="F159">
        <v>6165</v>
      </c>
      <c r="G159">
        <v>6288</v>
      </c>
      <c r="H159">
        <v>6414</v>
      </c>
      <c r="I159">
        <v>6414</v>
      </c>
      <c r="J159">
        <v>40.984025559105433</v>
      </c>
    </row>
    <row r="160" spans="1:10" x14ac:dyDescent="0.45">
      <c r="A160" s="989"/>
      <c r="B160" s="35">
        <v>13</v>
      </c>
      <c r="C160" s="35">
        <v>59</v>
      </c>
      <c r="D160" s="35">
        <v>13</v>
      </c>
      <c r="E160" s="35" t="s">
        <v>452</v>
      </c>
      <c r="F160">
        <v>6243</v>
      </c>
      <c r="G160">
        <v>6368</v>
      </c>
      <c r="H160">
        <v>6495</v>
      </c>
      <c r="I160">
        <v>6495</v>
      </c>
      <c r="J160">
        <v>41.501597444089462</v>
      </c>
    </row>
    <row r="161" spans="1:10" x14ac:dyDescent="0.45">
      <c r="A161" s="990"/>
      <c r="B161" s="35">
        <v>14</v>
      </c>
      <c r="C161" s="35">
        <v>60</v>
      </c>
      <c r="D161" s="35">
        <v>14</v>
      </c>
      <c r="E161" s="35" t="s">
        <v>697</v>
      </c>
      <c r="F161">
        <v>6320</v>
      </c>
      <c r="G161">
        <v>6446</v>
      </c>
      <c r="H161">
        <v>6575</v>
      </c>
      <c r="I161">
        <v>6575</v>
      </c>
      <c r="J161">
        <v>42.012779552715656</v>
      </c>
    </row>
    <row r="162" spans="1:10" x14ac:dyDescent="0.45">
      <c r="A162" s="988">
        <v>70</v>
      </c>
      <c r="B162" s="35">
        <v>0</v>
      </c>
      <c r="C162" s="35">
        <v>44</v>
      </c>
      <c r="D162" s="35">
        <v>0</v>
      </c>
      <c r="E162" s="35" t="s">
        <v>457</v>
      </c>
      <c r="F162">
        <v>5063</v>
      </c>
      <c r="G162">
        <v>5164</v>
      </c>
      <c r="H162">
        <v>5267</v>
      </c>
      <c r="I162">
        <v>5267</v>
      </c>
      <c r="J162">
        <v>33.654952076677318</v>
      </c>
    </row>
    <row r="163" spans="1:10" x14ac:dyDescent="0.45">
      <c r="A163" s="989"/>
      <c r="B163" s="35">
        <v>1</v>
      </c>
      <c r="C163" s="35">
        <v>47</v>
      </c>
      <c r="D163" s="35">
        <v>1</v>
      </c>
      <c r="E163" s="35" t="s">
        <v>458</v>
      </c>
      <c r="F163">
        <v>5294</v>
      </c>
      <c r="G163">
        <v>5400</v>
      </c>
      <c r="H163">
        <v>5508</v>
      </c>
      <c r="I163">
        <v>5508</v>
      </c>
      <c r="J163">
        <v>35.194888178913743</v>
      </c>
    </row>
    <row r="164" spans="1:10" x14ac:dyDescent="0.45">
      <c r="A164" s="989"/>
      <c r="B164" s="35">
        <v>2</v>
      </c>
      <c r="C164" s="35">
        <v>50</v>
      </c>
      <c r="D164" s="35">
        <v>2</v>
      </c>
      <c r="E164" s="35" t="s">
        <v>459</v>
      </c>
      <c r="F164">
        <v>5532</v>
      </c>
      <c r="G164">
        <v>5643</v>
      </c>
      <c r="H164">
        <v>5756</v>
      </c>
      <c r="I164">
        <v>5756</v>
      </c>
      <c r="J164">
        <v>36.779552715654951</v>
      </c>
    </row>
    <row r="165" spans="1:10" x14ac:dyDescent="0.45">
      <c r="A165" s="989"/>
      <c r="B165" s="35">
        <v>3</v>
      </c>
      <c r="C165" s="35">
        <v>53</v>
      </c>
      <c r="D165" s="35">
        <v>3</v>
      </c>
      <c r="E165" s="35" t="s">
        <v>460</v>
      </c>
      <c r="F165">
        <v>5767</v>
      </c>
      <c r="G165">
        <v>5882</v>
      </c>
      <c r="H165">
        <v>6000</v>
      </c>
      <c r="I165">
        <v>6000</v>
      </c>
      <c r="J165">
        <v>38.338658146964853</v>
      </c>
    </row>
    <row r="166" spans="1:10" x14ac:dyDescent="0.45">
      <c r="A166" s="989"/>
      <c r="B166" s="35">
        <v>4</v>
      </c>
      <c r="C166" s="35">
        <v>56</v>
      </c>
      <c r="D166" s="35">
        <v>4</v>
      </c>
      <c r="E166" s="35" t="s">
        <v>461</v>
      </c>
      <c r="F166">
        <v>6008</v>
      </c>
      <c r="G166">
        <v>6128</v>
      </c>
      <c r="H166">
        <v>6251</v>
      </c>
      <c r="I166">
        <v>6251</v>
      </c>
      <c r="J166">
        <v>39.942492012779553</v>
      </c>
    </row>
    <row r="167" spans="1:10" x14ac:dyDescent="0.45">
      <c r="A167" s="989"/>
      <c r="B167" s="35">
        <v>5</v>
      </c>
      <c r="C167" s="35">
        <v>59</v>
      </c>
      <c r="D167" s="35">
        <v>5</v>
      </c>
      <c r="E167" s="35" t="s">
        <v>462</v>
      </c>
      <c r="F167">
        <v>6243</v>
      </c>
      <c r="G167">
        <v>6368</v>
      </c>
      <c r="H167">
        <v>6495</v>
      </c>
      <c r="I167">
        <v>6495</v>
      </c>
      <c r="J167">
        <v>41.501597444089462</v>
      </c>
    </row>
    <row r="168" spans="1:10" x14ac:dyDescent="0.45">
      <c r="A168" s="989"/>
      <c r="B168" s="35">
        <v>6</v>
      </c>
      <c r="C168" s="35">
        <v>62</v>
      </c>
      <c r="D168" s="35">
        <v>6</v>
      </c>
      <c r="E168" s="35" t="s">
        <v>463</v>
      </c>
      <c r="F168">
        <v>6480</v>
      </c>
      <c r="G168">
        <v>6610</v>
      </c>
      <c r="H168">
        <v>6742</v>
      </c>
      <c r="I168">
        <v>6742</v>
      </c>
      <c r="J168">
        <v>43.079872204472842</v>
      </c>
    </row>
    <row r="169" spans="1:10" x14ac:dyDescent="0.45">
      <c r="A169" s="989"/>
      <c r="B169" s="35">
        <v>7</v>
      </c>
      <c r="C169" s="35">
        <v>64</v>
      </c>
      <c r="D169" s="35">
        <v>7</v>
      </c>
      <c r="E169" s="35" t="s">
        <v>464</v>
      </c>
      <c r="F169">
        <v>6640</v>
      </c>
      <c r="G169">
        <v>6773</v>
      </c>
      <c r="H169">
        <v>6908</v>
      </c>
      <c r="I169">
        <v>6908</v>
      </c>
      <c r="J169">
        <v>44.140575079872207</v>
      </c>
    </row>
    <row r="170" spans="1:10" x14ac:dyDescent="0.45">
      <c r="A170" s="989"/>
      <c r="B170" s="35">
        <v>8</v>
      </c>
      <c r="C170" s="35">
        <v>66</v>
      </c>
      <c r="D170" s="35">
        <v>8</v>
      </c>
      <c r="E170" s="35" t="s">
        <v>465</v>
      </c>
      <c r="F170">
        <v>6839</v>
      </c>
      <c r="G170">
        <v>6976</v>
      </c>
      <c r="H170">
        <v>7116</v>
      </c>
      <c r="I170">
        <v>7116</v>
      </c>
      <c r="J170">
        <v>45.469648562300321</v>
      </c>
    </row>
    <row r="171" spans="1:10" x14ac:dyDescent="0.45">
      <c r="A171" s="989"/>
      <c r="B171" s="35">
        <v>9</v>
      </c>
      <c r="C171" s="35">
        <v>68</v>
      </c>
      <c r="D171" s="35">
        <v>9</v>
      </c>
      <c r="E171" s="35" t="s">
        <v>466</v>
      </c>
      <c r="F171">
        <v>7035</v>
      </c>
      <c r="G171">
        <v>7176</v>
      </c>
      <c r="H171">
        <v>7320</v>
      </c>
      <c r="I171">
        <v>7320</v>
      </c>
      <c r="J171">
        <v>46.773162939297123</v>
      </c>
    </row>
    <row r="172" spans="1:10" x14ac:dyDescent="0.45">
      <c r="A172" s="989"/>
      <c r="B172" s="35">
        <v>10</v>
      </c>
      <c r="C172" s="35">
        <v>70</v>
      </c>
      <c r="D172" s="35">
        <v>10</v>
      </c>
      <c r="E172" s="35" t="s">
        <v>467</v>
      </c>
      <c r="F172">
        <v>7233</v>
      </c>
      <c r="G172">
        <v>7378</v>
      </c>
      <c r="H172">
        <v>7526</v>
      </c>
      <c r="I172">
        <v>7526</v>
      </c>
      <c r="J172">
        <v>48.089456869009588</v>
      </c>
    </row>
    <row r="173" spans="1:10" x14ac:dyDescent="0.45">
      <c r="A173" s="989"/>
      <c r="B173" s="35">
        <v>11</v>
      </c>
      <c r="C173" s="35">
        <v>71</v>
      </c>
      <c r="D173" s="35">
        <v>11</v>
      </c>
      <c r="E173" s="35" t="s">
        <v>468</v>
      </c>
      <c r="F173">
        <v>7335</v>
      </c>
      <c r="G173">
        <v>7482</v>
      </c>
      <c r="H173">
        <v>7632</v>
      </c>
      <c r="I173">
        <v>7632</v>
      </c>
      <c r="J173">
        <v>48.766773162939288</v>
      </c>
    </row>
    <row r="174" spans="1:10" x14ac:dyDescent="0.45">
      <c r="A174" s="989"/>
      <c r="B174" s="35">
        <v>12</v>
      </c>
      <c r="C174" s="35">
        <v>72</v>
      </c>
      <c r="D174" s="35">
        <v>12</v>
      </c>
      <c r="E174" s="35" t="s">
        <v>469</v>
      </c>
      <c r="F174">
        <v>7434</v>
      </c>
      <c r="G174">
        <v>7583</v>
      </c>
      <c r="H174">
        <v>7735</v>
      </c>
      <c r="I174">
        <v>7735</v>
      </c>
      <c r="J174">
        <v>49.424920127795517</v>
      </c>
    </row>
    <row r="175" spans="1:10" x14ac:dyDescent="0.45">
      <c r="A175" s="989"/>
      <c r="B175" s="35">
        <v>13</v>
      </c>
      <c r="C175" s="35">
        <v>73</v>
      </c>
      <c r="D175" s="35">
        <v>13</v>
      </c>
      <c r="E175" s="35" t="s">
        <v>698</v>
      </c>
      <c r="F175">
        <v>7532</v>
      </c>
      <c r="G175">
        <v>7683</v>
      </c>
      <c r="H175">
        <v>7837</v>
      </c>
      <c r="I175">
        <v>7837</v>
      </c>
      <c r="J175">
        <v>50.076677316293932</v>
      </c>
    </row>
    <row r="176" spans="1:10" x14ac:dyDescent="0.45">
      <c r="A176" s="990"/>
      <c r="B176" s="35">
        <v>14</v>
      </c>
      <c r="C176" s="35">
        <v>74</v>
      </c>
      <c r="D176" s="35">
        <v>14</v>
      </c>
      <c r="E176" s="35" t="s">
        <v>699</v>
      </c>
      <c r="F176">
        <v>7632</v>
      </c>
      <c r="G176">
        <v>7785</v>
      </c>
      <c r="H176">
        <v>7941</v>
      </c>
      <c r="I176">
        <v>7941</v>
      </c>
      <c r="J176">
        <v>50.741214057507989</v>
      </c>
    </row>
    <row r="177" spans="1:10" x14ac:dyDescent="0.45">
      <c r="A177" s="988">
        <v>75</v>
      </c>
      <c r="B177" s="35">
        <v>0</v>
      </c>
      <c r="C177" s="35">
        <v>56</v>
      </c>
      <c r="D177" s="35">
        <v>0</v>
      </c>
      <c r="E177" s="35" t="s">
        <v>474</v>
      </c>
      <c r="F177">
        <v>6008</v>
      </c>
      <c r="G177">
        <v>6128</v>
      </c>
      <c r="H177">
        <v>6251</v>
      </c>
      <c r="I177">
        <v>6251</v>
      </c>
      <c r="J177">
        <v>39.942492012779553</v>
      </c>
    </row>
    <row r="178" spans="1:10" x14ac:dyDescent="0.45">
      <c r="A178" s="989"/>
      <c r="B178" s="35">
        <v>1</v>
      </c>
      <c r="C178" s="35">
        <v>59</v>
      </c>
      <c r="D178" s="35">
        <v>1</v>
      </c>
      <c r="E178" s="35" t="s">
        <v>475</v>
      </c>
      <c r="F178">
        <v>6243</v>
      </c>
      <c r="G178">
        <v>6368</v>
      </c>
      <c r="H178">
        <v>6495</v>
      </c>
      <c r="I178">
        <v>6495</v>
      </c>
      <c r="J178">
        <v>41.501597444089462</v>
      </c>
    </row>
    <row r="179" spans="1:10" x14ac:dyDescent="0.45">
      <c r="A179" s="989"/>
      <c r="B179" s="35">
        <v>2</v>
      </c>
      <c r="C179" s="35">
        <v>62</v>
      </c>
      <c r="D179" s="35">
        <v>2</v>
      </c>
      <c r="E179" s="35" t="s">
        <v>476</v>
      </c>
      <c r="F179">
        <v>6480</v>
      </c>
      <c r="G179">
        <v>6610</v>
      </c>
      <c r="H179">
        <v>6742</v>
      </c>
      <c r="I179">
        <v>6742</v>
      </c>
      <c r="J179">
        <v>43.079872204472842</v>
      </c>
    </row>
    <row r="180" spans="1:10" x14ac:dyDescent="0.45">
      <c r="A180" s="989"/>
      <c r="B180" s="35">
        <v>3</v>
      </c>
      <c r="C180" s="35">
        <v>65</v>
      </c>
      <c r="D180" s="35">
        <v>3</v>
      </c>
      <c r="E180" s="35" t="s">
        <v>477</v>
      </c>
      <c r="F180">
        <v>6740</v>
      </c>
      <c r="G180">
        <v>6875</v>
      </c>
      <c r="H180">
        <v>7013</v>
      </c>
      <c r="I180">
        <v>7013</v>
      </c>
      <c r="J180">
        <v>44.811501597444092</v>
      </c>
    </row>
    <row r="181" spans="1:10" x14ac:dyDescent="0.45">
      <c r="A181" s="989"/>
      <c r="B181" s="35">
        <v>4</v>
      </c>
      <c r="C181" s="35">
        <v>68</v>
      </c>
      <c r="D181" s="35">
        <v>4</v>
      </c>
      <c r="E181" s="35" t="s">
        <v>478</v>
      </c>
      <c r="F181">
        <v>7035</v>
      </c>
      <c r="G181">
        <v>7176</v>
      </c>
      <c r="H181">
        <v>7320</v>
      </c>
      <c r="I181">
        <v>7320</v>
      </c>
      <c r="J181">
        <v>46.773162939297123</v>
      </c>
    </row>
    <row r="182" spans="1:10" x14ac:dyDescent="0.45">
      <c r="A182" s="989"/>
      <c r="B182" s="35">
        <v>5</v>
      </c>
      <c r="C182" s="35">
        <v>71</v>
      </c>
      <c r="D182" s="35">
        <v>5</v>
      </c>
      <c r="E182" s="35" t="s">
        <v>479</v>
      </c>
      <c r="F182">
        <v>7335</v>
      </c>
      <c r="G182">
        <v>7482</v>
      </c>
      <c r="H182">
        <v>7632</v>
      </c>
      <c r="I182">
        <v>7632</v>
      </c>
      <c r="J182">
        <v>48.766773162939288</v>
      </c>
    </row>
    <row r="183" spans="1:10" x14ac:dyDescent="0.45">
      <c r="A183" s="989"/>
      <c r="B183" s="35">
        <v>6</v>
      </c>
      <c r="C183" s="35">
        <v>74</v>
      </c>
      <c r="D183" s="35">
        <v>6</v>
      </c>
      <c r="E183" s="35" t="s">
        <v>480</v>
      </c>
      <c r="F183">
        <v>7632</v>
      </c>
      <c r="G183">
        <v>7785</v>
      </c>
      <c r="H183">
        <v>7941</v>
      </c>
      <c r="I183">
        <v>7941</v>
      </c>
      <c r="J183">
        <v>50.741214057507989</v>
      </c>
    </row>
    <row r="184" spans="1:10" x14ac:dyDescent="0.45">
      <c r="A184" s="989"/>
      <c r="B184" s="35">
        <v>7</v>
      </c>
      <c r="C184" s="35">
        <v>76</v>
      </c>
      <c r="D184" s="35">
        <v>7</v>
      </c>
      <c r="E184" s="35" t="s">
        <v>481</v>
      </c>
      <c r="F184">
        <v>7829</v>
      </c>
      <c r="G184">
        <v>7986</v>
      </c>
      <c r="H184">
        <v>8146</v>
      </c>
      <c r="I184">
        <v>8146</v>
      </c>
      <c r="J184">
        <v>52.051118210862619</v>
      </c>
    </row>
    <row r="185" spans="1:10" x14ac:dyDescent="0.45">
      <c r="A185" s="989"/>
      <c r="B185" s="35">
        <v>8</v>
      </c>
      <c r="C185" s="35">
        <v>78</v>
      </c>
      <c r="D185" s="35">
        <v>8</v>
      </c>
      <c r="E185" s="35" t="s">
        <v>482</v>
      </c>
      <c r="F185">
        <v>8038</v>
      </c>
      <c r="G185">
        <v>8199</v>
      </c>
      <c r="H185">
        <v>8363</v>
      </c>
      <c r="I185">
        <v>8363</v>
      </c>
      <c r="J185">
        <v>53.43769968051118</v>
      </c>
    </row>
    <row r="186" spans="1:10" x14ac:dyDescent="0.45">
      <c r="A186" s="989"/>
      <c r="B186" s="35">
        <v>9</v>
      </c>
      <c r="C186" s="35">
        <v>80</v>
      </c>
      <c r="D186" s="35">
        <v>9</v>
      </c>
      <c r="E186" s="35" t="s">
        <v>483</v>
      </c>
      <c r="F186">
        <v>8259</v>
      </c>
      <c r="G186">
        <v>8424</v>
      </c>
      <c r="H186">
        <v>8592</v>
      </c>
      <c r="I186">
        <v>8592</v>
      </c>
      <c r="J186">
        <v>54.900958466453673</v>
      </c>
    </row>
    <row r="187" spans="1:10" x14ac:dyDescent="0.45">
      <c r="A187" s="989"/>
      <c r="B187" s="35">
        <v>10</v>
      </c>
      <c r="C187" s="35">
        <v>82</v>
      </c>
      <c r="D187" s="35">
        <v>10</v>
      </c>
      <c r="E187" s="35" t="s">
        <v>484</v>
      </c>
      <c r="F187">
        <v>8482</v>
      </c>
      <c r="G187">
        <v>8652</v>
      </c>
      <c r="H187">
        <v>8825</v>
      </c>
      <c r="I187">
        <v>8825</v>
      </c>
      <c r="J187">
        <v>56.389776357827479</v>
      </c>
    </row>
    <row r="188" spans="1:10" x14ac:dyDescent="0.45">
      <c r="A188" s="989"/>
      <c r="B188" s="35">
        <v>11</v>
      </c>
      <c r="C188" s="35">
        <v>83</v>
      </c>
      <c r="D188" s="35">
        <v>11</v>
      </c>
      <c r="E188" s="35" t="s">
        <v>485</v>
      </c>
      <c r="F188">
        <v>8593</v>
      </c>
      <c r="G188">
        <v>8765</v>
      </c>
      <c r="H188">
        <v>8940</v>
      </c>
      <c r="I188">
        <v>8940</v>
      </c>
      <c r="J188">
        <v>57.124600638977633</v>
      </c>
    </row>
    <row r="189" spans="1:10" x14ac:dyDescent="0.45">
      <c r="A189" s="989"/>
      <c r="B189" s="35">
        <v>12</v>
      </c>
      <c r="C189" s="35">
        <v>84</v>
      </c>
      <c r="D189" s="35">
        <v>12</v>
      </c>
      <c r="E189" s="35" t="s">
        <v>486</v>
      </c>
      <c r="F189">
        <v>8705</v>
      </c>
      <c r="G189">
        <v>8879</v>
      </c>
      <c r="H189">
        <v>9057</v>
      </c>
      <c r="I189">
        <v>9057</v>
      </c>
      <c r="J189">
        <v>57.87220447284345</v>
      </c>
    </row>
    <row r="190" spans="1:10" x14ac:dyDescent="0.45">
      <c r="A190" s="989"/>
      <c r="B190" s="35">
        <v>13</v>
      </c>
      <c r="C190" s="35">
        <v>85</v>
      </c>
      <c r="D190" s="35">
        <v>13</v>
      </c>
      <c r="E190" s="35" t="s">
        <v>487</v>
      </c>
      <c r="F190">
        <v>8834</v>
      </c>
      <c r="G190">
        <v>9011</v>
      </c>
      <c r="H190">
        <v>9191</v>
      </c>
      <c r="I190">
        <v>9191</v>
      </c>
      <c r="J190">
        <v>58.728434504792332</v>
      </c>
    </row>
    <row r="191" spans="1:10" x14ac:dyDescent="0.45">
      <c r="A191" s="989"/>
      <c r="B191" s="35">
        <v>14</v>
      </c>
      <c r="C191" s="35">
        <v>86</v>
      </c>
      <c r="D191" s="35">
        <v>14</v>
      </c>
      <c r="E191" s="35" t="s">
        <v>488</v>
      </c>
      <c r="F191">
        <v>8963</v>
      </c>
      <c r="G191">
        <v>9142</v>
      </c>
      <c r="H191">
        <v>9325</v>
      </c>
      <c r="I191">
        <v>9325</v>
      </c>
      <c r="J191">
        <v>59.584664536741222</v>
      </c>
    </row>
    <row r="192" spans="1:10" x14ac:dyDescent="0.45">
      <c r="A192" s="989"/>
      <c r="B192" s="35">
        <v>15</v>
      </c>
      <c r="C192" s="35">
        <v>87</v>
      </c>
      <c r="D192" s="35">
        <v>15</v>
      </c>
      <c r="E192" s="35" t="s">
        <v>700</v>
      </c>
      <c r="F192">
        <v>9093</v>
      </c>
      <c r="G192">
        <v>9275</v>
      </c>
      <c r="H192">
        <v>9461</v>
      </c>
      <c r="I192">
        <v>9461</v>
      </c>
      <c r="J192">
        <v>60.453674121405747</v>
      </c>
    </row>
    <row r="193" spans="1:10" x14ac:dyDescent="0.45">
      <c r="A193" s="990"/>
      <c r="B193" s="35">
        <v>16</v>
      </c>
      <c r="C193" s="35">
        <v>88</v>
      </c>
      <c r="D193" s="35">
        <v>16</v>
      </c>
      <c r="E193" s="35" t="s">
        <v>701</v>
      </c>
      <c r="F193">
        <v>9238</v>
      </c>
      <c r="G193">
        <v>9423</v>
      </c>
      <c r="H193">
        <v>9611</v>
      </c>
      <c r="I193">
        <v>9611</v>
      </c>
      <c r="J193">
        <v>61.412140575079867</v>
      </c>
    </row>
    <row r="194" spans="1:10" x14ac:dyDescent="0.45">
      <c r="A194" s="988">
        <v>80</v>
      </c>
      <c r="B194" s="35">
        <v>0</v>
      </c>
      <c r="C194" s="35">
        <v>68</v>
      </c>
      <c r="D194" s="35">
        <v>0</v>
      </c>
      <c r="E194" s="35" t="s">
        <v>493</v>
      </c>
      <c r="F194">
        <v>6008</v>
      </c>
      <c r="G194">
        <v>7176</v>
      </c>
      <c r="H194">
        <v>7320</v>
      </c>
      <c r="I194">
        <v>7320</v>
      </c>
      <c r="J194">
        <v>46.773162939297123</v>
      </c>
    </row>
    <row r="195" spans="1:10" x14ac:dyDescent="0.45">
      <c r="A195" s="989"/>
      <c r="B195" s="35">
        <v>1</v>
      </c>
      <c r="C195" s="35">
        <v>71</v>
      </c>
      <c r="D195" s="35">
        <v>1</v>
      </c>
      <c r="E195" s="35" t="s">
        <v>494</v>
      </c>
      <c r="F195">
        <v>6243</v>
      </c>
      <c r="G195">
        <v>7482</v>
      </c>
      <c r="H195">
        <v>7632</v>
      </c>
      <c r="I195">
        <v>7632</v>
      </c>
      <c r="J195">
        <v>48.766773162939288</v>
      </c>
    </row>
    <row r="196" spans="1:10" x14ac:dyDescent="0.45">
      <c r="A196" s="989"/>
      <c r="B196" s="35">
        <v>2</v>
      </c>
      <c r="C196" s="35">
        <v>74</v>
      </c>
      <c r="D196" s="35">
        <v>2</v>
      </c>
      <c r="E196" s="35" t="s">
        <v>495</v>
      </c>
      <c r="F196">
        <v>6480</v>
      </c>
      <c r="G196">
        <v>7785</v>
      </c>
      <c r="H196">
        <v>7941</v>
      </c>
      <c r="I196">
        <v>7941</v>
      </c>
      <c r="J196">
        <v>50.741214057507989</v>
      </c>
    </row>
    <row r="197" spans="1:10" x14ac:dyDescent="0.45">
      <c r="A197" s="989"/>
      <c r="B197" s="35">
        <v>3</v>
      </c>
      <c r="C197" s="35">
        <v>77</v>
      </c>
      <c r="D197" s="35">
        <v>3</v>
      </c>
      <c r="E197" s="35" t="s">
        <v>496</v>
      </c>
      <c r="F197">
        <v>6740</v>
      </c>
      <c r="G197">
        <v>8085</v>
      </c>
      <c r="H197">
        <v>8247</v>
      </c>
      <c r="I197">
        <v>8247</v>
      </c>
      <c r="J197">
        <v>52.696485623003198</v>
      </c>
    </row>
    <row r="198" spans="1:10" x14ac:dyDescent="0.45">
      <c r="A198" s="989"/>
      <c r="B198" s="35">
        <v>4</v>
      </c>
      <c r="C198" s="35">
        <v>80</v>
      </c>
      <c r="D198" s="35">
        <v>4</v>
      </c>
      <c r="E198" s="35" t="s">
        <v>497</v>
      </c>
      <c r="F198">
        <v>7035</v>
      </c>
      <c r="G198">
        <v>8424</v>
      </c>
      <c r="H198">
        <v>8592</v>
      </c>
      <c r="I198">
        <v>8592</v>
      </c>
      <c r="J198">
        <v>54.900958466453673</v>
      </c>
    </row>
    <row r="199" spans="1:10" x14ac:dyDescent="0.45">
      <c r="A199" s="989"/>
      <c r="B199" s="35">
        <v>5</v>
      </c>
      <c r="C199" s="35">
        <v>83</v>
      </c>
      <c r="D199" s="35">
        <v>5</v>
      </c>
      <c r="E199" s="35" t="s">
        <v>498</v>
      </c>
      <c r="F199">
        <v>7335</v>
      </c>
      <c r="G199">
        <v>8765</v>
      </c>
      <c r="H199">
        <v>8940</v>
      </c>
      <c r="I199">
        <v>8940</v>
      </c>
      <c r="J199">
        <v>57.124600638977633</v>
      </c>
    </row>
    <row r="200" spans="1:10" x14ac:dyDescent="0.45">
      <c r="A200" s="989"/>
      <c r="B200" s="35">
        <v>6</v>
      </c>
      <c r="C200" s="35">
        <v>86</v>
      </c>
      <c r="D200" s="35">
        <v>6</v>
      </c>
      <c r="E200" s="35" t="s">
        <v>499</v>
      </c>
      <c r="F200">
        <v>7632</v>
      </c>
      <c r="G200">
        <v>9142</v>
      </c>
      <c r="H200">
        <v>9325</v>
      </c>
      <c r="I200">
        <v>9325</v>
      </c>
      <c r="J200">
        <v>59.584664536741222</v>
      </c>
    </row>
    <row r="201" spans="1:10" x14ac:dyDescent="0.45">
      <c r="A201" s="989"/>
      <c r="B201" s="35">
        <v>7</v>
      </c>
      <c r="C201" s="35">
        <v>88</v>
      </c>
      <c r="D201" s="35">
        <v>7</v>
      </c>
      <c r="E201" s="35" t="s">
        <v>500</v>
      </c>
      <c r="F201">
        <v>7829</v>
      </c>
      <c r="G201">
        <v>9423</v>
      </c>
      <c r="H201">
        <v>9611</v>
      </c>
      <c r="I201">
        <v>9611</v>
      </c>
      <c r="J201">
        <v>61.412140575079867</v>
      </c>
    </row>
    <row r="202" spans="1:10" x14ac:dyDescent="0.45">
      <c r="A202" s="989"/>
      <c r="B202" s="35">
        <v>8</v>
      </c>
      <c r="C202" s="35">
        <v>90</v>
      </c>
      <c r="D202" s="35">
        <v>8</v>
      </c>
      <c r="E202" s="35" t="s">
        <v>501</v>
      </c>
      <c r="F202">
        <v>8038</v>
      </c>
      <c r="G202">
        <v>9713</v>
      </c>
      <c r="H202">
        <v>9907</v>
      </c>
      <c r="I202">
        <v>9907</v>
      </c>
      <c r="J202">
        <v>63.303514376996802</v>
      </c>
    </row>
    <row r="203" spans="1:10" x14ac:dyDescent="0.45">
      <c r="A203" s="989"/>
      <c r="B203" s="35">
        <v>9</v>
      </c>
      <c r="C203" s="35">
        <v>92</v>
      </c>
      <c r="D203" s="35">
        <v>9</v>
      </c>
      <c r="E203" s="35" t="s">
        <v>502</v>
      </c>
      <c r="F203">
        <v>8259</v>
      </c>
      <c r="G203">
        <v>10011</v>
      </c>
      <c r="H203">
        <v>10211</v>
      </c>
      <c r="I203">
        <v>10211</v>
      </c>
      <c r="J203">
        <v>65.246006389776355</v>
      </c>
    </row>
    <row r="204" spans="1:10" x14ac:dyDescent="0.45">
      <c r="A204" s="989"/>
      <c r="B204" s="35">
        <v>10</v>
      </c>
      <c r="C204" s="35">
        <v>94</v>
      </c>
      <c r="D204" s="35">
        <v>10</v>
      </c>
      <c r="E204" s="35" t="s">
        <v>503</v>
      </c>
      <c r="F204">
        <v>8482</v>
      </c>
      <c r="G204">
        <v>10308</v>
      </c>
      <c r="H204">
        <v>10514</v>
      </c>
      <c r="I204">
        <v>10514</v>
      </c>
      <c r="J204">
        <v>67.182108626198087</v>
      </c>
    </row>
    <row r="205" spans="1:10" x14ac:dyDescent="0.45">
      <c r="A205" s="989"/>
      <c r="B205" s="35">
        <v>11</v>
      </c>
      <c r="C205" s="35">
        <v>95</v>
      </c>
      <c r="D205" s="35">
        <v>11</v>
      </c>
      <c r="E205" s="35" t="s">
        <v>504</v>
      </c>
      <c r="F205">
        <v>8593</v>
      </c>
      <c r="G205">
        <v>10458</v>
      </c>
      <c r="H205">
        <v>10667</v>
      </c>
      <c r="I205">
        <v>10667</v>
      </c>
      <c r="J205">
        <v>68.159744408945684</v>
      </c>
    </row>
    <row r="206" spans="1:10" x14ac:dyDescent="0.45">
      <c r="A206" s="989"/>
      <c r="B206" s="35">
        <v>12</v>
      </c>
      <c r="C206" s="35">
        <v>96</v>
      </c>
      <c r="D206" s="35">
        <v>12</v>
      </c>
      <c r="E206" s="35" t="s">
        <v>505</v>
      </c>
      <c r="F206">
        <v>8705</v>
      </c>
      <c r="G206">
        <v>10606</v>
      </c>
      <c r="H206">
        <v>10818</v>
      </c>
      <c r="I206">
        <v>10818</v>
      </c>
      <c r="J206">
        <v>69.12460063897764</v>
      </c>
    </row>
    <row r="207" spans="1:10" x14ac:dyDescent="0.45">
      <c r="A207" s="989"/>
      <c r="B207" s="35">
        <v>13</v>
      </c>
      <c r="C207" s="35">
        <v>97</v>
      </c>
      <c r="D207" s="35">
        <v>13</v>
      </c>
      <c r="E207" s="35" t="s">
        <v>506</v>
      </c>
      <c r="F207">
        <v>8834</v>
      </c>
      <c r="G207">
        <v>10755</v>
      </c>
      <c r="H207">
        <v>10970</v>
      </c>
      <c r="I207">
        <v>10970</v>
      </c>
      <c r="J207">
        <v>70.095846645367416</v>
      </c>
    </row>
    <row r="208" spans="1:10" x14ac:dyDescent="0.45">
      <c r="A208" s="989"/>
      <c r="B208" s="35">
        <v>14</v>
      </c>
      <c r="C208" s="35">
        <v>98</v>
      </c>
      <c r="D208" s="35">
        <v>14</v>
      </c>
      <c r="E208" s="35" t="s">
        <v>507</v>
      </c>
      <c r="F208">
        <v>8963</v>
      </c>
      <c r="G208">
        <v>10903</v>
      </c>
      <c r="H208">
        <v>11121</v>
      </c>
      <c r="I208">
        <v>11121</v>
      </c>
      <c r="J208">
        <v>71.060702875399357</v>
      </c>
    </row>
    <row r="209" spans="1:10" x14ac:dyDescent="0.45">
      <c r="A209" s="989"/>
      <c r="B209" s="35">
        <v>15</v>
      </c>
      <c r="C209" s="35">
        <v>99</v>
      </c>
      <c r="D209" s="35">
        <v>15</v>
      </c>
      <c r="E209" s="35" t="s">
        <v>702</v>
      </c>
      <c r="F209">
        <v>9093</v>
      </c>
      <c r="G209">
        <v>11055</v>
      </c>
      <c r="H209">
        <v>11276</v>
      </c>
      <c r="I209">
        <v>11276</v>
      </c>
      <c r="J209">
        <v>72.051118210862626</v>
      </c>
    </row>
    <row r="210" spans="1:10" x14ac:dyDescent="0.45">
      <c r="A210" s="990"/>
      <c r="B210" s="35">
        <v>16</v>
      </c>
      <c r="C210" s="35">
        <v>100</v>
      </c>
      <c r="D210" s="35">
        <v>16</v>
      </c>
      <c r="E210" s="35" t="s">
        <v>703</v>
      </c>
      <c r="F210">
        <v>9238</v>
      </c>
      <c r="G210">
        <v>11203</v>
      </c>
      <c r="H210">
        <v>11427</v>
      </c>
      <c r="I210">
        <v>11427</v>
      </c>
      <c r="J210">
        <v>73.015974440894567</v>
      </c>
    </row>
  </sheetData>
  <mergeCells count="16">
    <mergeCell ref="A147:A161"/>
    <mergeCell ref="A162:A176"/>
    <mergeCell ref="A177:A193"/>
    <mergeCell ref="A194:A210"/>
    <mergeCell ref="A71:A82"/>
    <mergeCell ref="A83:A94"/>
    <mergeCell ref="A95:A107"/>
    <mergeCell ref="A108:A120"/>
    <mergeCell ref="A121:A133"/>
    <mergeCell ref="A134:A146"/>
    <mergeCell ref="A59:A70"/>
    <mergeCell ref="A2:A11"/>
    <mergeCell ref="A12:A22"/>
    <mergeCell ref="A23:A34"/>
    <mergeCell ref="A35:A46"/>
    <mergeCell ref="A47:A5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1"/>
  </sheetPr>
  <dimension ref="A1:J212"/>
  <sheetViews>
    <sheetView zoomScale="70" zoomScaleNormal="70" workbookViewId="0">
      <selection activeCell="J4" sqref="J4"/>
    </sheetView>
  </sheetViews>
  <sheetFormatPr defaultRowHeight="14.25" x14ac:dyDescent="0.45"/>
  <cols>
    <col min="6" max="6" width="10.19921875" bestFit="1" customWidth="1"/>
    <col min="7" max="7" width="11.19921875" customWidth="1"/>
    <col min="8" max="8" width="12.73046875" customWidth="1"/>
  </cols>
  <sheetData>
    <row r="1" spans="1:10" x14ac:dyDescent="0.45">
      <c r="A1" t="s">
        <v>1227</v>
      </c>
      <c r="F1" s="362">
        <f>IF(G2&lt;&gt;"", G2-1, DATE(2030,1,1))</f>
        <v>45443</v>
      </c>
      <c r="G1" s="362">
        <f>IF(H2&lt;&gt;"", H2-1, DATE(2030,1,1))</f>
        <v>45626</v>
      </c>
      <c r="H1" s="362">
        <f>IF(I2&lt;&gt;"", I2-1, DATE(2030,1,1))</f>
        <v>47484</v>
      </c>
    </row>
    <row r="2" spans="1:10" x14ac:dyDescent="0.45">
      <c r="A2" t="s">
        <v>1228</v>
      </c>
      <c r="F2" s="362">
        <v>45261</v>
      </c>
      <c r="G2" s="362">
        <v>45444</v>
      </c>
      <c r="H2" s="362">
        <v>45627</v>
      </c>
    </row>
    <row r="3" spans="1:10" s="5" customFormat="1" x14ac:dyDescent="0.45">
      <c r="A3" s="35" t="s">
        <v>28</v>
      </c>
      <c r="B3" s="35" t="s">
        <v>298</v>
      </c>
      <c r="C3" s="35" t="s">
        <v>299</v>
      </c>
      <c r="D3" s="35" t="s">
        <v>292</v>
      </c>
      <c r="E3" s="35" t="s">
        <v>290</v>
      </c>
      <c r="F3" s="35" t="s">
        <v>684</v>
      </c>
      <c r="G3" s="35" t="s">
        <v>685</v>
      </c>
      <c r="H3" s="35" t="s">
        <v>686</v>
      </c>
      <c r="J3" s="5" t="s">
        <v>1229</v>
      </c>
    </row>
    <row r="4" spans="1:10" x14ac:dyDescent="0.45">
      <c r="A4" s="988">
        <v>5</v>
      </c>
      <c r="B4" s="35">
        <v>0</v>
      </c>
      <c r="C4" s="35">
        <v>1</v>
      </c>
      <c r="D4" s="35">
        <v>0</v>
      </c>
      <c r="E4" s="35" t="s">
        <v>273</v>
      </c>
      <c r="F4">
        <v>1900</v>
      </c>
      <c r="G4">
        <v>1955</v>
      </c>
      <c r="H4">
        <v>2010</v>
      </c>
      <c r="J4">
        <f>IF(
    OR(
        AND(MAX(0, MIN($F$1, DATE(Initialisatie!$C$5,12,31)) - MAX($F$2, DATE(Initialisatie!$C$5,1,1)) + 1) &gt; 0, IFERROR(VALUE($F4),0)=0),
        AND(MAX(0, MIN($G$1, DATE(Initialisatie!$C$5,12,31)) - MAX($G$2, DATE(Initialisatie!$C$5,1,1)) + 1) &gt; 0, IFERROR(VALUE($G4),0)=0),
        AND(MAX(0, MIN($H$1, DATE(Initialisatie!$C$5,12,31)) - MAX($H$2, DATE(Initialisatie!$C$5,1,1)) + 1) &gt; 0, IFERROR(VALUE($H4),0)=0)
    ),
    0,
    SUM(
        IFERROR(VALUE($F4),0) * MAX(0, MIN($F$1, DATE(Initialisatie!$C$5,12,31)) - MAX($F$2, DATE(Initialisatie!$C$5,1,1)) + 1),
        IFERROR(VALUE($G4),0) * MAX(0, MIN($G$1, DATE(Initialisatie!$C$5,12,31)) - MAX($G$2, DATE(Initialisatie!$C$5,1,1)) + 1),
        IFERROR(VALUE($H4),0) * MAX(0, MIN($H$1, DATE(Initialisatie!$C$5,12,31)) - MAX($H$2, DATE(Initialisatie!$C$5,1,1)) + 1)
    ) / (DATE(Initialisatie!$C$5,12,31) - DATE(Initialisatie!$C$5,1,1) + 1)
)</f>
        <v>2010</v>
      </c>
    </row>
    <row r="5" spans="1:10" x14ac:dyDescent="0.45">
      <c r="A5" s="989"/>
      <c r="B5" s="35">
        <v>1</v>
      </c>
      <c r="C5" s="35">
        <v>2</v>
      </c>
      <c r="D5" s="35">
        <v>1</v>
      </c>
      <c r="E5" s="35" t="s">
        <v>272</v>
      </c>
      <c r="F5">
        <v>1930</v>
      </c>
      <c r="G5">
        <v>1985</v>
      </c>
      <c r="H5">
        <v>2040</v>
      </c>
      <c r="J5">
        <f>IF(
    OR(
        AND(MAX(0, MIN($F$1, DATE(Initialisatie!$C$5,12,31)) - MAX($F$2, DATE(Initialisatie!$C$5,1,1)) + 1) &gt; 0, IFERROR(VALUE($F5),0)=0),
        AND(MAX(0, MIN($G$1, DATE(Initialisatie!$C$5,12,31)) - MAX($G$2, DATE(Initialisatie!$C$5,1,1)) + 1) &gt; 0, IFERROR(VALUE($G5),0)=0),
        AND(MAX(0, MIN($H$1, DATE(Initialisatie!$C$5,12,31)) - MAX($H$2, DATE(Initialisatie!$C$5,1,1)) + 1) &gt; 0, IFERROR(VALUE($H5),0)=0)
    ),
    0,
    SUM(
        IFERROR(VALUE($F5),0) * MAX(0, MIN($F$1, DATE(Initialisatie!$C$5,12,31)) - MAX($F$2, DATE(Initialisatie!$C$5,1,1)) + 1),
        IFERROR(VALUE($G5),0) * MAX(0, MIN($G$1, DATE(Initialisatie!$C$5,12,31)) - MAX($G$2, DATE(Initialisatie!$C$5,1,1)) + 1),
        IFERROR(VALUE($H5),0) * MAX(0, MIN($H$1, DATE(Initialisatie!$C$5,12,31)) - MAX($H$2, DATE(Initialisatie!$C$5,1,1)) + 1)
    ) / (DATE(Initialisatie!$C$5,12,31) - DATE(Initialisatie!$C$5,1,1) + 1)
)</f>
        <v>2040</v>
      </c>
    </row>
    <row r="6" spans="1:10" x14ac:dyDescent="0.45">
      <c r="A6" s="989"/>
      <c r="B6" s="35">
        <v>2</v>
      </c>
      <c r="C6" s="35">
        <v>3</v>
      </c>
      <c r="D6" s="35">
        <v>2</v>
      </c>
      <c r="E6" s="35" t="s">
        <v>267</v>
      </c>
      <c r="F6">
        <v>1961</v>
      </c>
      <c r="G6">
        <v>2016</v>
      </c>
      <c r="H6">
        <v>2071</v>
      </c>
      <c r="J6">
        <f>IF(
    OR(
        AND(MAX(0, MIN($F$1, DATE(Initialisatie!$C$5,12,31)) - MAX($F$2, DATE(Initialisatie!$C$5,1,1)) + 1) &gt; 0, IFERROR(VALUE($F6),0)=0),
        AND(MAX(0, MIN($G$1, DATE(Initialisatie!$C$5,12,31)) - MAX($G$2, DATE(Initialisatie!$C$5,1,1)) + 1) &gt; 0, IFERROR(VALUE($G6),0)=0),
        AND(MAX(0, MIN($H$1, DATE(Initialisatie!$C$5,12,31)) - MAX($H$2, DATE(Initialisatie!$C$5,1,1)) + 1) &gt; 0, IFERROR(VALUE($H6),0)=0)
    ),
    0,
    SUM(
        IFERROR(VALUE($F6),0) * MAX(0, MIN($F$1, DATE(Initialisatie!$C$5,12,31)) - MAX($F$2, DATE(Initialisatie!$C$5,1,1)) + 1),
        IFERROR(VALUE($G6),0) * MAX(0, MIN($G$1, DATE(Initialisatie!$C$5,12,31)) - MAX($G$2, DATE(Initialisatie!$C$5,1,1)) + 1),
        IFERROR(VALUE($H6),0) * MAX(0, MIN($H$1, DATE(Initialisatie!$C$5,12,31)) - MAX($H$2, DATE(Initialisatie!$C$5,1,1)) + 1)
    ) / (DATE(Initialisatie!$C$5,12,31) - DATE(Initialisatie!$C$5,1,1) + 1)
)</f>
        <v>2071</v>
      </c>
    </row>
    <row r="7" spans="1:10" x14ac:dyDescent="0.45">
      <c r="A7" s="989"/>
      <c r="B7" s="35">
        <v>3</v>
      </c>
      <c r="C7" s="35">
        <v>4</v>
      </c>
      <c r="D7" s="35">
        <v>3</v>
      </c>
      <c r="E7" s="35" t="s">
        <v>266</v>
      </c>
      <c r="F7">
        <v>2027</v>
      </c>
      <c r="G7">
        <v>2082</v>
      </c>
      <c r="H7">
        <v>2137</v>
      </c>
      <c r="J7">
        <f>IF(
    OR(
        AND(MAX(0, MIN($F$1, DATE(Initialisatie!$C$5,12,31)) - MAX($F$2, DATE(Initialisatie!$C$5,1,1)) + 1) &gt; 0, IFERROR(VALUE($F7),0)=0),
        AND(MAX(0, MIN($G$1, DATE(Initialisatie!$C$5,12,31)) - MAX($G$2, DATE(Initialisatie!$C$5,1,1)) + 1) &gt; 0, IFERROR(VALUE($G7),0)=0),
        AND(MAX(0, MIN($H$1, DATE(Initialisatie!$C$5,12,31)) - MAX($H$2, DATE(Initialisatie!$C$5,1,1)) + 1) &gt; 0, IFERROR(VALUE($H7),0)=0)
    ),
    0,
    SUM(
        IFERROR(VALUE($F7),0) * MAX(0, MIN($F$1, DATE(Initialisatie!$C$5,12,31)) - MAX($F$2, DATE(Initialisatie!$C$5,1,1)) + 1),
        IFERROR(VALUE($G7),0) * MAX(0, MIN($G$1, DATE(Initialisatie!$C$5,12,31)) - MAX($G$2, DATE(Initialisatie!$C$5,1,1)) + 1),
        IFERROR(VALUE($H7),0) * MAX(0, MIN($H$1, DATE(Initialisatie!$C$5,12,31)) - MAX($H$2, DATE(Initialisatie!$C$5,1,1)) + 1)
    ) / (DATE(Initialisatie!$C$5,12,31) - DATE(Initialisatie!$C$5,1,1) + 1)
)</f>
        <v>2137</v>
      </c>
    </row>
    <row r="8" spans="1:10" x14ac:dyDescent="0.45">
      <c r="A8" s="989"/>
      <c r="B8" s="35">
        <v>4</v>
      </c>
      <c r="C8" s="35">
        <v>5</v>
      </c>
      <c r="D8" s="35">
        <v>4</v>
      </c>
      <c r="E8" s="35" t="s">
        <v>265</v>
      </c>
      <c r="F8">
        <v>2093</v>
      </c>
      <c r="G8">
        <v>2148</v>
      </c>
      <c r="H8">
        <v>2203</v>
      </c>
      <c r="J8">
        <f>IF(
    OR(
        AND(MAX(0, MIN($F$1, DATE(Initialisatie!$C$5,12,31)) - MAX($F$2, DATE(Initialisatie!$C$5,1,1)) + 1) &gt; 0, IFERROR(VALUE($F8),0)=0),
        AND(MAX(0, MIN($G$1, DATE(Initialisatie!$C$5,12,31)) - MAX($G$2, DATE(Initialisatie!$C$5,1,1)) + 1) &gt; 0, IFERROR(VALUE($G8),0)=0),
        AND(MAX(0, MIN($H$1, DATE(Initialisatie!$C$5,12,31)) - MAX($H$2, DATE(Initialisatie!$C$5,1,1)) + 1) &gt; 0, IFERROR(VALUE($H8),0)=0)
    ),
    0,
    SUM(
        IFERROR(VALUE($F8),0) * MAX(0, MIN($F$1, DATE(Initialisatie!$C$5,12,31)) - MAX($F$2, DATE(Initialisatie!$C$5,1,1)) + 1),
        IFERROR(VALUE($G8),0) * MAX(0, MIN($G$1, DATE(Initialisatie!$C$5,12,31)) - MAX($G$2, DATE(Initialisatie!$C$5,1,1)) + 1),
        IFERROR(VALUE($H8),0) * MAX(0, MIN($H$1, DATE(Initialisatie!$C$5,12,31)) - MAX($H$2, DATE(Initialisatie!$C$5,1,1)) + 1)
    ) / (DATE(Initialisatie!$C$5,12,31) - DATE(Initialisatie!$C$5,1,1) + 1)
)</f>
        <v>2203</v>
      </c>
    </row>
    <row r="9" spans="1:10" x14ac:dyDescent="0.45">
      <c r="A9" s="989"/>
      <c r="B9" s="35">
        <v>5</v>
      </c>
      <c r="C9" s="35">
        <v>6</v>
      </c>
      <c r="D9" s="35">
        <v>5</v>
      </c>
      <c r="E9" s="35" t="s">
        <v>264</v>
      </c>
      <c r="F9">
        <v>2127</v>
      </c>
      <c r="G9">
        <v>2182</v>
      </c>
      <c r="H9">
        <v>2237</v>
      </c>
      <c r="J9">
        <f>IF(
    OR(
        AND(MAX(0, MIN($F$1, DATE(Initialisatie!$C$5,12,31)) - MAX($F$2, DATE(Initialisatie!$C$5,1,1)) + 1) &gt; 0, IFERROR(VALUE($F9),0)=0),
        AND(MAX(0, MIN($G$1, DATE(Initialisatie!$C$5,12,31)) - MAX($G$2, DATE(Initialisatie!$C$5,1,1)) + 1) &gt; 0, IFERROR(VALUE($G9),0)=0),
        AND(MAX(0, MIN($H$1, DATE(Initialisatie!$C$5,12,31)) - MAX($H$2, DATE(Initialisatie!$C$5,1,1)) + 1) &gt; 0, IFERROR(VALUE($H9),0)=0)
    ),
    0,
    SUM(
        IFERROR(VALUE($F9),0) * MAX(0, MIN($F$1, DATE(Initialisatie!$C$5,12,31)) - MAX($F$2, DATE(Initialisatie!$C$5,1,1)) + 1),
        IFERROR(VALUE($G9),0) * MAX(0, MIN($G$1, DATE(Initialisatie!$C$5,12,31)) - MAX($G$2, DATE(Initialisatie!$C$5,1,1)) + 1),
        IFERROR(VALUE($H9),0) * MAX(0, MIN($H$1, DATE(Initialisatie!$C$5,12,31)) - MAX($H$2, DATE(Initialisatie!$C$5,1,1)) + 1)
    ) / (DATE(Initialisatie!$C$5,12,31) - DATE(Initialisatie!$C$5,1,1) + 1)
)</f>
        <v>2237</v>
      </c>
    </row>
    <row r="10" spans="1:10" x14ac:dyDescent="0.45">
      <c r="A10" s="989"/>
      <c r="B10" s="35">
        <v>6</v>
      </c>
      <c r="C10" s="35">
        <v>7</v>
      </c>
      <c r="D10" s="35">
        <v>6</v>
      </c>
      <c r="E10" s="35" t="s">
        <v>263</v>
      </c>
      <c r="F10">
        <v>2180</v>
      </c>
      <c r="G10">
        <v>2235</v>
      </c>
      <c r="H10">
        <v>2290</v>
      </c>
      <c r="J10">
        <f>IF(
    OR(
        AND(MAX(0, MIN($F$1, DATE(Initialisatie!$C$5,12,31)) - MAX($F$2, DATE(Initialisatie!$C$5,1,1)) + 1) &gt; 0, IFERROR(VALUE($F10),0)=0),
        AND(MAX(0, MIN($G$1, DATE(Initialisatie!$C$5,12,31)) - MAX($G$2, DATE(Initialisatie!$C$5,1,1)) + 1) &gt; 0, IFERROR(VALUE($G10),0)=0),
        AND(MAX(0, MIN($H$1, DATE(Initialisatie!$C$5,12,31)) - MAX($H$2, DATE(Initialisatie!$C$5,1,1)) + 1) &gt; 0, IFERROR(VALUE($H10),0)=0)
    ),
    0,
    SUM(
        IFERROR(VALUE($F10),0) * MAX(0, MIN($F$1, DATE(Initialisatie!$C$5,12,31)) - MAX($F$2, DATE(Initialisatie!$C$5,1,1)) + 1),
        IFERROR(VALUE($G10),0) * MAX(0, MIN($G$1, DATE(Initialisatie!$C$5,12,31)) - MAX($G$2, DATE(Initialisatie!$C$5,1,1)) + 1),
        IFERROR(VALUE($H10),0) * MAX(0, MIN($H$1, DATE(Initialisatie!$C$5,12,31)) - MAX($H$2, DATE(Initialisatie!$C$5,1,1)) + 1)
    ) / (DATE(Initialisatie!$C$5,12,31) - DATE(Initialisatie!$C$5,1,1) + 1)
)</f>
        <v>2290</v>
      </c>
    </row>
    <row r="11" spans="1:10" x14ac:dyDescent="0.45">
      <c r="A11" s="989"/>
      <c r="B11" s="35">
        <v>7</v>
      </c>
      <c r="C11" s="35">
        <v>8</v>
      </c>
      <c r="D11" s="35">
        <v>7</v>
      </c>
      <c r="E11" s="35" t="s">
        <v>262</v>
      </c>
      <c r="F11">
        <v>2229</v>
      </c>
      <c r="G11">
        <v>2284</v>
      </c>
      <c r="H11">
        <v>2339</v>
      </c>
      <c r="J11">
        <f>IF(
    OR(
        AND(MAX(0, MIN($F$1, DATE(Initialisatie!$C$5,12,31)) - MAX($F$2, DATE(Initialisatie!$C$5,1,1)) + 1) &gt; 0, IFERROR(VALUE($F11),0)=0),
        AND(MAX(0, MIN($G$1, DATE(Initialisatie!$C$5,12,31)) - MAX($G$2, DATE(Initialisatie!$C$5,1,1)) + 1) &gt; 0, IFERROR(VALUE($G11),0)=0),
        AND(MAX(0, MIN($H$1, DATE(Initialisatie!$C$5,12,31)) - MAX($H$2, DATE(Initialisatie!$C$5,1,1)) + 1) &gt; 0, IFERROR(VALUE($H11),0)=0)
    ),
    0,
    SUM(
        IFERROR(VALUE($F11),0) * MAX(0, MIN($F$1, DATE(Initialisatie!$C$5,12,31)) - MAX($F$2, DATE(Initialisatie!$C$5,1,1)) + 1),
        IFERROR(VALUE($G11),0) * MAX(0, MIN($G$1, DATE(Initialisatie!$C$5,12,31)) - MAX($G$2, DATE(Initialisatie!$C$5,1,1)) + 1),
        IFERROR(VALUE($H11),0) * MAX(0, MIN($H$1, DATE(Initialisatie!$C$5,12,31)) - MAX($H$2, DATE(Initialisatie!$C$5,1,1)) + 1)
    ) / (DATE(Initialisatie!$C$5,12,31) - DATE(Initialisatie!$C$5,1,1) + 1)
)</f>
        <v>2339</v>
      </c>
    </row>
    <row r="12" spans="1:10" x14ac:dyDescent="0.45">
      <c r="A12" s="989"/>
      <c r="B12" s="35">
        <v>8</v>
      </c>
      <c r="C12" s="35">
        <v>9</v>
      </c>
      <c r="D12" s="35">
        <v>8</v>
      </c>
      <c r="E12" s="35" t="s">
        <v>261</v>
      </c>
      <c r="F12">
        <v>2280</v>
      </c>
      <c r="G12">
        <v>2335</v>
      </c>
      <c r="H12">
        <v>2390</v>
      </c>
      <c r="J12">
        <f>IF(
    OR(
        AND(MAX(0, MIN($F$1, DATE(Initialisatie!$C$5,12,31)) - MAX($F$2, DATE(Initialisatie!$C$5,1,1)) + 1) &gt; 0, IFERROR(VALUE($F12),0)=0),
        AND(MAX(0, MIN($G$1, DATE(Initialisatie!$C$5,12,31)) - MAX($G$2, DATE(Initialisatie!$C$5,1,1)) + 1) &gt; 0, IFERROR(VALUE($G12),0)=0),
        AND(MAX(0, MIN($H$1, DATE(Initialisatie!$C$5,12,31)) - MAX($H$2, DATE(Initialisatie!$C$5,1,1)) + 1) &gt; 0, IFERROR(VALUE($H12),0)=0)
    ),
    0,
    SUM(
        IFERROR(VALUE($F12),0) * MAX(0, MIN($F$1, DATE(Initialisatie!$C$5,12,31)) - MAX($F$2, DATE(Initialisatie!$C$5,1,1)) + 1),
        IFERROR(VALUE($G12),0) * MAX(0, MIN($G$1, DATE(Initialisatie!$C$5,12,31)) - MAX($G$2, DATE(Initialisatie!$C$5,1,1)) + 1),
        IFERROR(VALUE($H12),0) * MAX(0, MIN($H$1, DATE(Initialisatie!$C$5,12,31)) - MAX($H$2, DATE(Initialisatie!$C$5,1,1)) + 1)
    ) / (DATE(Initialisatie!$C$5,12,31) - DATE(Initialisatie!$C$5,1,1) + 1)
)</f>
        <v>2390</v>
      </c>
    </row>
    <row r="13" spans="1:10" x14ac:dyDescent="0.45">
      <c r="A13" s="990"/>
      <c r="B13" s="35">
        <v>9</v>
      </c>
      <c r="C13" s="35">
        <v>10</v>
      </c>
      <c r="D13" s="35">
        <v>9</v>
      </c>
      <c r="E13" s="35" t="s">
        <v>260</v>
      </c>
      <c r="F13">
        <v>2338</v>
      </c>
      <c r="G13">
        <v>2393</v>
      </c>
      <c r="H13">
        <v>2448</v>
      </c>
      <c r="J13">
        <f>IF(
    OR(
        AND(MAX(0, MIN($F$1, DATE(Initialisatie!$C$5,12,31)) - MAX($F$2, DATE(Initialisatie!$C$5,1,1)) + 1) &gt; 0, IFERROR(VALUE($F13),0)=0),
        AND(MAX(0, MIN($G$1, DATE(Initialisatie!$C$5,12,31)) - MAX($G$2, DATE(Initialisatie!$C$5,1,1)) + 1) &gt; 0, IFERROR(VALUE($G13),0)=0),
        AND(MAX(0, MIN($H$1, DATE(Initialisatie!$C$5,12,31)) - MAX($H$2, DATE(Initialisatie!$C$5,1,1)) + 1) &gt; 0, IFERROR(VALUE($H13),0)=0)
    ),
    0,
    SUM(
        IFERROR(VALUE($F13),0) * MAX(0, MIN($F$1, DATE(Initialisatie!$C$5,12,31)) - MAX($F$2, DATE(Initialisatie!$C$5,1,1)) + 1),
        IFERROR(VALUE($G13),0) * MAX(0, MIN($G$1, DATE(Initialisatie!$C$5,12,31)) - MAX($G$2, DATE(Initialisatie!$C$5,1,1)) + 1),
        IFERROR(VALUE($H13),0) * MAX(0, MIN($H$1, DATE(Initialisatie!$C$5,12,31)) - MAX($H$2, DATE(Initialisatie!$C$5,1,1)) + 1)
    ) / (DATE(Initialisatie!$C$5,12,31) - DATE(Initialisatie!$C$5,1,1) + 1)
)</f>
        <v>2448</v>
      </c>
    </row>
    <row r="14" spans="1:10" x14ac:dyDescent="0.45">
      <c r="A14" s="988">
        <v>10</v>
      </c>
      <c r="B14" s="35">
        <v>0</v>
      </c>
      <c r="C14" s="35">
        <v>2</v>
      </c>
      <c r="D14" s="35">
        <v>0</v>
      </c>
      <c r="E14" s="35" t="s">
        <v>193</v>
      </c>
      <c r="F14">
        <v>1930</v>
      </c>
      <c r="G14">
        <v>1985</v>
      </c>
      <c r="H14">
        <v>2040</v>
      </c>
      <c r="J14">
        <f>IF(
    OR(
        AND(MAX(0, MIN($F$1, DATE(Initialisatie!$C$5,12,31)) - MAX($F$2, DATE(Initialisatie!$C$5,1,1)) + 1) &gt; 0, IFERROR(VALUE($F14),0)=0),
        AND(MAX(0, MIN($G$1, DATE(Initialisatie!$C$5,12,31)) - MAX($G$2, DATE(Initialisatie!$C$5,1,1)) + 1) &gt; 0, IFERROR(VALUE($G14),0)=0),
        AND(MAX(0, MIN($H$1, DATE(Initialisatie!$C$5,12,31)) - MAX($H$2, DATE(Initialisatie!$C$5,1,1)) + 1) &gt; 0, IFERROR(VALUE($H14),0)=0)
    ),
    0,
    SUM(
        IFERROR(VALUE($F14),0) * MAX(0, MIN($F$1, DATE(Initialisatie!$C$5,12,31)) - MAX($F$2, DATE(Initialisatie!$C$5,1,1)) + 1),
        IFERROR(VALUE($G14),0) * MAX(0, MIN($G$1, DATE(Initialisatie!$C$5,12,31)) - MAX($G$2, DATE(Initialisatie!$C$5,1,1)) + 1),
        IFERROR(VALUE($H14),0) * MAX(0, MIN($H$1, DATE(Initialisatie!$C$5,12,31)) - MAX($H$2, DATE(Initialisatie!$C$5,1,1)) + 1)
    ) / (DATE(Initialisatie!$C$5,12,31) - DATE(Initialisatie!$C$5,1,1) + 1)
)</f>
        <v>2040</v>
      </c>
    </row>
    <row r="15" spans="1:10" x14ac:dyDescent="0.45">
      <c r="A15" s="989"/>
      <c r="B15" s="35">
        <v>1</v>
      </c>
      <c r="C15" s="35">
        <v>3</v>
      </c>
      <c r="D15" s="35">
        <v>1</v>
      </c>
      <c r="E15" s="35" t="s">
        <v>192</v>
      </c>
      <c r="F15">
        <v>1961</v>
      </c>
      <c r="G15">
        <v>2016</v>
      </c>
      <c r="H15">
        <v>2071</v>
      </c>
      <c r="J15">
        <f>IF(
    OR(
        AND(MAX(0, MIN($F$1, DATE(Initialisatie!$C$5,12,31)) - MAX($F$2, DATE(Initialisatie!$C$5,1,1)) + 1) &gt; 0, IFERROR(VALUE($F15),0)=0),
        AND(MAX(0, MIN($G$1, DATE(Initialisatie!$C$5,12,31)) - MAX($G$2, DATE(Initialisatie!$C$5,1,1)) + 1) &gt; 0, IFERROR(VALUE($G15),0)=0),
        AND(MAX(0, MIN($H$1, DATE(Initialisatie!$C$5,12,31)) - MAX($H$2, DATE(Initialisatie!$C$5,1,1)) + 1) &gt; 0, IFERROR(VALUE($H15),0)=0)
    ),
    0,
    SUM(
        IFERROR(VALUE($F15),0) * MAX(0, MIN($F$1, DATE(Initialisatie!$C$5,12,31)) - MAX($F$2, DATE(Initialisatie!$C$5,1,1)) + 1),
        IFERROR(VALUE($G15),0) * MAX(0, MIN($G$1, DATE(Initialisatie!$C$5,12,31)) - MAX($G$2, DATE(Initialisatie!$C$5,1,1)) + 1),
        IFERROR(VALUE($H15),0) * MAX(0, MIN($H$1, DATE(Initialisatie!$C$5,12,31)) - MAX($H$2, DATE(Initialisatie!$C$5,1,1)) + 1)
    ) / (DATE(Initialisatie!$C$5,12,31) - DATE(Initialisatie!$C$5,1,1) + 1)
)</f>
        <v>2071</v>
      </c>
    </row>
    <row r="16" spans="1:10" x14ac:dyDescent="0.45">
      <c r="A16" s="989"/>
      <c r="B16" s="35">
        <v>2</v>
      </c>
      <c r="C16" s="35">
        <v>4</v>
      </c>
      <c r="D16" s="35">
        <v>2</v>
      </c>
      <c r="E16" s="35" t="s">
        <v>187</v>
      </c>
      <c r="F16">
        <v>2027</v>
      </c>
      <c r="G16">
        <v>2082</v>
      </c>
      <c r="H16">
        <v>2137</v>
      </c>
      <c r="J16">
        <f>IF(
    OR(
        AND(MAX(0, MIN($F$1, DATE(Initialisatie!$C$5,12,31)) - MAX($F$2, DATE(Initialisatie!$C$5,1,1)) + 1) &gt; 0, IFERROR(VALUE($F16),0)=0),
        AND(MAX(0, MIN($G$1, DATE(Initialisatie!$C$5,12,31)) - MAX($G$2, DATE(Initialisatie!$C$5,1,1)) + 1) &gt; 0, IFERROR(VALUE($G16),0)=0),
        AND(MAX(0, MIN($H$1, DATE(Initialisatie!$C$5,12,31)) - MAX($H$2, DATE(Initialisatie!$C$5,1,1)) + 1) &gt; 0, IFERROR(VALUE($H16),0)=0)
    ),
    0,
    SUM(
        IFERROR(VALUE($F16),0) * MAX(0, MIN($F$1, DATE(Initialisatie!$C$5,12,31)) - MAX($F$2, DATE(Initialisatie!$C$5,1,1)) + 1),
        IFERROR(VALUE($G16),0) * MAX(0, MIN($G$1, DATE(Initialisatie!$C$5,12,31)) - MAX($G$2, DATE(Initialisatie!$C$5,1,1)) + 1),
        IFERROR(VALUE($H16),0) * MAX(0, MIN($H$1, DATE(Initialisatie!$C$5,12,31)) - MAX($H$2, DATE(Initialisatie!$C$5,1,1)) + 1)
    ) / (DATE(Initialisatie!$C$5,12,31) - DATE(Initialisatie!$C$5,1,1) + 1)
)</f>
        <v>2137</v>
      </c>
    </row>
    <row r="17" spans="1:10" x14ac:dyDescent="0.45">
      <c r="A17" s="989"/>
      <c r="B17" s="35">
        <v>3</v>
      </c>
      <c r="C17" s="35">
        <v>5</v>
      </c>
      <c r="D17" s="35">
        <v>3</v>
      </c>
      <c r="E17" s="35" t="s">
        <v>186</v>
      </c>
      <c r="F17">
        <v>2093</v>
      </c>
      <c r="G17">
        <v>2148</v>
      </c>
      <c r="H17">
        <v>2203</v>
      </c>
      <c r="J17">
        <f>IF(
    OR(
        AND(MAX(0, MIN($F$1, DATE(Initialisatie!$C$5,12,31)) - MAX($F$2, DATE(Initialisatie!$C$5,1,1)) + 1) &gt; 0, IFERROR(VALUE($F17),0)=0),
        AND(MAX(0, MIN($G$1, DATE(Initialisatie!$C$5,12,31)) - MAX($G$2, DATE(Initialisatie!$C$5,1,1)) + 1) &gt; 0, IFERROR(VALUE($G17),0)=0),
        AND(MAX(0, MIN($H$1, DATE(Initialisatie!$C$5,12,31)) - MAX($H$2, DATE(Initialisatie!$C$5,1,1)) + 1) &gt; 0, IFERROR(VALUE($H17),0)=0)
    ),
    0,
    SUM(
        IFERROR(VALUE($F17),0) * MAX(0, MIN($F$1, DATE(Initialisatie!$C$5,12,31)) - MAX($F$2, DATE(Initialisatie!$C$5,1,1)) + 1),
        IFERROR(VALUE($G17),0) * MAX(0, MIN($G$1, DATE(Initialisatie!$C$5,12,31)) - MAX($G$2, DATE(Initialisatie!$C$5,1,1)) + 1),
        IFERROR(VALUE($H17),0) * MAX(0, MIN($H$1, DATE(Initialisatie!$C$5,12,31)) - MAX($H$2, DATE(Initialisatie!$C$5,1,1)) + 1)
    ) / (DATE(Initialisatie!$C$5,12,31) - DATE(Initialisatie!$C$5,1,1) + 1)
)</f>
        <v>2203</v>
      </c>
    </row>
    <row r="18" spans="1:10" x14ac:dyDescent="0.45">
      <c r="A18" s="989"/>
      <c r="B18" s="35">
        <v>4</v>
      </c>
      <c r="C18" s="35">
        <v>6</v>
      </c>
      <c r="D18" s="35">
        <v>4</v>
      </c>
      <c r="E18" s="35" t="s">
        <v>185</v>
      </c>
      <c r="F18">
        <v>2127</v>
      </c>
      <c r="G18">
        <v>2182</v>
      </c>
      <c r="H18">
        <v>2237</v>
      </c>
      <c r="J18">
        <f>IF(
    OR(
        AND(MAX(0, MIN($F$1, DATE(Initialisatie!$C$5,12,31)) - MAX($F$2, DATE(Initialisatie!$C$5,1,1)) + 1) &gt; 0, IFERROR(VALUE($F18),0)=0),
        AND(MAX(0, MIN($G$1, DATE(Initialisatie!$C$5,12,31)) - MAX($G$2, DATE(Initialisatie!$C$5,1,1)) + 1) &gt; 0, IFERROR(VALUE($G18),0)=0),
        AND(MAX(0, MIN($H$1, DATE(Initialisatie!$C$5,12,31)) - MAX($H$2, DATE(Initialisatie!$C$5,1,1)) + 1) &gt; 0, IFERROR(VALUE($H18),0)=0)
    ),
    0,
    SUM(
        IFERROR(VALUE($F18),0) * MAX(0, MIN($F$1, DATE(Initialisatie!$C$5,12,31)) - MAX($F$2, DATE(Initialisatie!$C$5,1,1)) + 1),
        IFERROR(VALUE($G18),0) * MAX(0, MIN($G$1, DATE(Initialisatie!$C$5,12,31)) - MAX($G$2, DATE(Initialisatie!$C$5,1,1)) + 1),
        IFERROR(VALUE($H18),0) * MAX(0, MIN($H$1, DATE(Initialisatie!$C$5,12,31)) - MAX($H$2, DATE(Initialisatie!$C$5,1,1)) + 1)
    ) / (DATE(Initialisatie!$C$5,12,31) - DATE(Initialisatie!$C$5,1,1) + 1)
)</f>
        <v>2237</v>
      </c>
    </row>
    <row r="19" spans="1:10" x14ac:dyDescent="0.45">
      <c r="A19" s="989"/>
      <c r="B19" s="35">
        <v>5</v>
      </c>
      <c r="C19" s="35">
        <v>7</v>
      </c>
      <c r="D19" s="35">
        <v>5</v>
      </c>
      <c r="E19" s="35" t="s">
        <v>184</v>
      </c>
      <c r="F19">
        <v>2180</v>
      </c>
      <c r="G19">
        <v>2235</v>
      </c>
      <c r="H19">
        <v>2290</v>
      </c>
      <c r="J19">
        <f>IF(
    OR(
        AND(MAX(0, MIN($F$1, DATE(Initialisatie!$C$5,12,31)) - MAX($F$2, DATE(Initialisatie!$C$5,1,1)) + 1) &gt; 0, IFERROR(VALUE($F19),0)=0),
        AND(MAX(0, MIN($G$1, DATE(Initialisatie!$C$5,12,31)) - MAX($G$2, DATE(Initialisatie!$C$5,1,1)) + 1) &gt; 0, IFERROR(VALUE($G19),0)=0),
        AND(MAX(0, MIN($H$1, DATE(Initialisatie!$C$5,12,31)) - MAX($H$2, DATE(Initialisatie!$C$5,1,1)) + 1) &gt; 0, IFERROR(VALUE($H19),0)=0)
    ),
    0,
    SUM(
        IFERROR(VALUE($F19),0) * MAX(0, MIN($F$1, DATE(Initialisatie!$C$5,12,31)) - MAX($F$2, DATE(Initialisatie!$C$5,1,1)) + 1),
        IFERROR(VALUE($G19),0) * MAX(0, MIN($G$1, DATE(Initialisatie!$C$5,12,31)) - MAX($G$2, DATE(Initialisatie!$C$5,1,1)) + 1),
        IFERROR(VALUE($H19),0) * MAX(0, MIN($H$1, DATE(Initialisatie!$C$5,12,31)) - MAX($H$2, DATE(Initialisatie!$C$5,1,1)) + 1)
    ) / (DATE(Initialisatie!$C$5,12,31) - DATE(Initialisatie!$C$5,1,1) + 1)
)</f>
        <v>2290</v>
      </c>
    </row>
    <row r="20" spans="1:10" x14ac:dyDescent="0.45">
      <c r="A20" s="989"/>
      <c r="B20" s="35">
        <v>6</v>
      </c>
      <c r="C20" s="35">
        <v>8</v>
      </c>
      <c r="D20" s="35">
        <v>6</v>
      </c>
      <c r="E20" s="35" t="s">
        <v>183</v>
      </c>
      <c r="F20">
        <v>2229</v>
      </c>
      <c r="G20">
        <v>2284</v>
      </c>
      <c r="H20">
        <v>2339</v>
      </c>
      <c r="J20">
        <f>IF(
    OR(
        AND(MAX(0, MIN($F$1, DATE(Initialisatie!$C$5,12,31)) - MAX($F$2, DATE(Initialisatie!$C$5,1,1)) + 1) &gt; 0, IFERROR(VALUE($F20),0)=0),
        AND(MAX(0, MIN($G$1, DATE(Initialisatie!$C$5,12,31)) - MAX($G$2, DATE(Initialisatie!$C$5,1,1)) + 1) &gt; 0, IFERROR(VALUE($G20),0)=0),
        AND(MAX(0, MIN($H$1, DATE(Initialisatie!$C$5,12,31)) - MAX($H$2, DATE(Initialisatie!$C$5,1,1)) + 1) &gt; 0, IFERROR(VALUE($H20),0)=0)
    ),
    0,
    SUM(
        IFERROR(VALUE($F20),0) * MAX(0, MIN($F$1, DATE(Initialisatie!$C$5,12,31)) - MAX($F$2, DATE(Initialisatie!$C$5,1,1)) + 1),
        IFERROR(VALUE($G20),0) * MAX(0, MIN($G$1, DATE(Initialisatie!$C$5,12,31)) - MAX($G$2, DATE(Initialisatie!$C$5,1,1)) + 1),
        IFERROR(VALUE($H20),0) * MAX(0, MIN($H$1, DATE(Initialisatie!$C$5,12,31)) - MAX($H$2, DATE(Initialisatie!$C$5,1,1)) + 1)
    ) / (DATE(Initialisatie!$C$5,12,31) - DATE(Initialisatie!$C$5,1,1) + 1)
)</f>
        <v>2339</v>
      </c>
    </row>
    <row r="21" spans="1:10" x14ac:dyDescent="0.45">
      <c r="A21" s="989"/>
      <c r="B21" s="35">
        <v>7</v>
      </c>
      <c r="C21" s="35">
        <v>9</v>
      </c>
      <c r="D21" s="35">
        <v>7</v>
      </c>
      <c r="E21" s="35" t="s">
        <v>182</v>
      </c>
      <c r="F21">
        <v>2280</v>
      </c>
      <c r="G21">
        <v>2335</v>
      </c>
      <c r="H21">
        <v>2390</v>
      </c>
      <c r="J21">
        <f>IF(
    OR(
        AND(MAX(0, MIN($F$1, DATE(Initialisatie!$C$5,12,31)) - MAX($F$2, DATE(Initialisatie!$C$5,1,1)) + 1) &gt; 0, IFERROR(VALUE($F21),0)=0),
        AND(MAX(0, MIN($G$1, DATE(Initialisatie!$C$5,12,31)) - MAX($G$2, DATE(Initialisatie!$C$5,1,1)) + 1) &gt; 0, IFERROR(VALUE($G21),0)=0),
        AND(MAX(0, MIN($H$1, DATE(Initialisatie!$C$5,12,31)) - MAX($H$2, DATE(Initialisatie!$C$5,1,1)) + 1) &gt; 0, IFERROR(VALUE($H21),0)=0)
    ),
    0,
    SUM(
        IFERROR(VALUE($F21),0) * MAX(0, MIN($F$1, DATE(Initialisatie!$C$5,12,31)) - MAX($F$2, DATE(Initialisatie!$C$5,1,1)) + 1),
        IFERROR(VALUE($G21),0) * MAX(0, MIN($G$1, DATE(Initialisatie!$C$5,12,31)) - MAX($G$2, DATE(Initialisatie!$C$5,1,1)) + 1),
        IFERROR(VALUE($H21),0) * MAX(0, MIN($H$1, DATE(Initialisatie!$C$5,12,31)) - MAX($H$2, DATE(Initialisatie!$C$5,1,1)) + 1)
    ) / (DATE(Initialisatie!$C$5,12,31) - DATE(Initialisatie!$C$5,1,1) + 1)
)</f>
        <v>2390</v>
      </c>
    </row>
    <row r="22" spans="1:10" x14ac:dyDescent="0.45">
      <c r="A22" s="989"/>
      <c r="B22" s="35">
        <v>8</v>
      </c>
      <c r="C22" s="35">
        <v>10</v>
      </c>
      <c r="D22" s="35">
        <v>8</v>
      </c>
      <c r="E22" s="35" t="s">
        <v>181</v>
      </c>
      <c r="F22">
        <v>2338</v>
      </c>
      <c r="G22">
        <v>2393</v>
      </c>
      <c r="H22">
        <v>2448</v>
      </c>
      <c r="J22">
        <f>IF(
    OR(
        AND(MAX(0, MIN($F$1, DATE(Initialisatie!$C$5,12,31)) - MAX($F$2, DATE(Initialisatie!$C$5,1,1)) + 1) &gt; 0, IFERROR(VALUE($F22),0)=0),
        AND(MAX(0, MIN($G$1, DATE(Initialisatie!$C$5,12,31)) - MAX($G$2, DATE(Initialisatie!$C$5,1,1)) + 1) &gt; 0, IFERROR(VALUE($G22),0)=0),
        AND(MAX(0, MIN($H$1, DATE(Initialisatie!$C$5,12,31)) - MAX($H$2, DATE(Initialisatie!$C$5,1,1)) + 1) &gt; 0, IFERROR(VALUE($H22),0)=0)
    ),
    0,
    SUM(
        IFERROR(VALUE($F22),0) * MAX(0, MIN($F$1, DATE(Initialisatie!$C$5,12,31)) - MAX($F$2, DATE(Initialisatie!$C$5,1,1)) + 1),
        IFERROR(VALUE($G22),0) * MAX(0, MIN($G$1, DATE(Initialisatie!$C$5,12,31)) - MAX($G$2, DATE(Initialisatie!$C$5,1,1)) + 1),
        IFERROR(VALUE($H22),0) * MAX(0, MIN($H$1, DATE(Initialisatie!$C$5,12,31)) - MAX($H$2, DATE(Initialisatie!$C$5,1,1)) + 1)
    ) / (DATE(Initialisatie!$C$5,12,31) - DATE(Initialisatie!$C$5,1,1) + 1)
)</f>
        <v>2448</v>
      </c>
    </row>
    <row r="23" spans="1:10" x14ac:dyDescent="0.45">
      <c r="A23" s="989"/>
      <c r="B23" s="35">
        <v>9</v>
      </c>
      <c r="C23" s="35">
        <v>11</v>
      </c>
      <c r="D23" s="35">
        <v>9</v>
      </c>
      <c r="E23" s="35" t="s">
        <v>180</v>
      </c>
      <c r="F23">
        <v>2402</v>
      </c>
      <c r="G23">
        <v>2457</v>
      </c>
      <c r="H23">
        <v>2512</v>
      </c>
      <c r="J23">
        <f>IF(
    OR(
        AND(MAX(0, MIN($F$1, DATE(Initialisatie!$C$5,12,31)) - MAX($F$2, DATE(Initialisatie!$C$5,1,1)) + 1) &gt; 0, IFERROR(VALUE($F23),0)=0),
        AND(MAX(0, MIN($G$1, DATE(Initialisatie!$C$5,12,31)) - MAX($G$2, DATE(Initialisatie!$C$5,1,1)) + 1) &gt; 0, IFERROR(VALUE($G23),0)=0),
        AND(MAX(0, MIN($H$1, DATE(Initialisatie!$C$5,12,31)) - MAX($H$2, DATE(Initialisatie!$C$5,1,1)) + 1) &gt; 0, IFERROR(VALUE($H23),0)=0)
    ),
    0,
    SUM(
        IFERROR(VALUE($F23),0) * MAX(0, MIN($F$1, DATE(Initialisatie!$C$5,12,31)) - MAX($F$2, DATE(Initialisatie!$C$5,1,1)) + 1),
        IFERROR(VALUE($G23),0) * MAX(0, MIN($G$1, DATE(Initialisatie!$C$5,12,31)) - MAX($G$2, DATE(Initialisatie!$C$5,1,1)) + 1),
        IFERROR(VALUE($H23),0) * MAX(0, MIN($H$1, DATE(Initialisatie!$C$5,12,31)) - MAX($H$2, DATE(Initialisatie!$C$5,1,1)) + 1)
    ) / (DATE(Initialisatie!$C$5,12,31) - DATE(Initialisatie!$C$5,1,1) + 1)
)</f>
        <v>2512</v>
      </c>
    </row>
    <row r="24" spans="1:10" x14ac:dyDescent="0.45">
      <c r="A24" s="990"/>
      <c r="B24" s="35">
        <v>10</v>
      </c>
      <c r="C24" s="35">
        <v>12</v>
      </c>
      <c r="D24" s="35">
        <v>10</v>
      </c>
      <c r="E24" s="35" t="s">
        <v>191</v>
      </c>
      <c r="F24">
        <v>2468</v>
      </c>
      <c r="G24">
        <v>2523</v>
      </c>
      <c r="H24">
        <v>2578</v>
      </c>
      <c r="J24">
        <f>IF(
    OR(
        AND(MAX(0, MIN($F$1, DATE(Initialisatie!$C$5,12,31)) - MAX($F$2, DATE(Initialisatie!$C$5,1,1)) + 1) &gt; 0, IFERROR(VALUE($F24),0)=0),
        AND(MAX(0, MIN($G$1, DATE(Initialisatie!$C$5,12,31)) - MAX($G$2, DATE(Initialisatie!$C$5,1,1)) + 1) &gt; 0, IFERROR(VALUE($G24),0)=0),
        AND(MAX(0, MIN($H$1, DATE(Initialisatie!$C$5,12,31)) - MAX($H$2, DATE(Initialisatie!$C$5,1,1)) + 1) &gt; 0, IFERROR(VALUE($H24),0)=0)
    ),
    0,
    SUM(
        IFERROR(VALUE($F24),0) * MAX(0, MIN($F$1, DATE(Initialisatie!$C$5,12,31)) - MAX($F$2, DATE(Initialisatie!$C$5,1,1)) + 1),
        IFERROR(VALUE($G24),0) * MAX(0, MIN($G$1, DATE(Initialisatie!$C$5,12,31)) - MAX($G$2, DATE(Initialisatie!$C$5,1,1)) + 1),
        IFERROR(VALUE($H24),0) * MAX(0, MIN($H$1, DATE(Initialisatie!$C$5,12,31)) - MAX($H$2, DATE(Initialisatie!$C$5,1,1)) + 1)
    ) / (DATE(Initialisatie!$C$5,12,31) - DATE(Initialisatie!$C$5,1,1) + 1)
)</f>
        <v>2578</v>
      </c>
    </row>
    <row r="25" spans="1:10" x14ac:dyDescent="0.45">
      <c r="A25" s="988">
        <v>15</v>
      </c>
      <c r="B25" s="35">
        <v>0</v>
      </c>
      <c r="C25" s="35">
        <v>3</v>
      </c>
      <c r="D25" s="35">
        <v>0</v>
      </c>
      <c r="E25" s="35" t="s">
        <v>112</v>
      </c>
      <c r="F25">
        <v>1961</v>
      </c>
      <c r="G25">
        <v>2016</v>
      </c>
      <c r="H25">
        <v>2071</v>
      </c>
      <c r="J25">
        <f>IF(
    OR(
        AND(MAX(0, MIN($F$1, DATE(Initialisatie!$C$5,12,31)) - MAX($F$2, DATE(Initialisatie!$C$5,1,1)) + 1) &gt; 0, IFERROR(VALUE($F25),0)=0),
        AND(MAX(0, MIN($G$1, DATE(Initialisatie!$C$5,12,31)) - MAX($G$2, DATE(Initialisatie!$C$5,1,1)) + 1) &gt; 0, IFERROR(VALUE($G25),0)=0),
        AND(MAX(0, MIN($H$1, DATE(Initialisatie!$C$5,12,31)) - MAX($H$2, DATE(Initialisatie!$C$5,1,1)) + 1) &gt; 0, IFERROR(VALUE($H25),0)=0)
    ),
    0,
    SUM(
        IFERROR(VALUE($F25),0) * MAX(0, MIN($F$1, DATE(Initialisatie!$C$5,12,31)) - MAX($F$2, DATE(Initialisatie!$C$5,1,1)) + 1),
        IFERROR(VALUE($G25),0) * MAX(0, MIN($G$1, DATE(Initialisatie!$C$5,12,31)) - MAX($G$2, DATE(Initialisatie!$C$5,1,1)) + 1),
        IFERROR(VALUE($H25),0) * MAX(0, MIN($H$1, DATE(Initialisatie!$C$5,12,31)) - MAX($H$2, DATE(Initialisatie!$C$5,1,1)) + 1)
    ) / (DATE(Initialisatie!$C$5,12,31) - DATE(Initialisatie!$C$5,1,1) + 1)
)</f>
        <v>2071</v>
      </c>
    </row>
    <row r="26" spans="1:10" x14ac:dyDescent="0.45">
      <c r="A26" s="989"/>
      <c r="B26" s="35">
        <v>1</v>
      </c>
      <c r="C26" s="35">
        <v>4</v>
      </c>
      <c r="D26" s="35">
        <v>1</v>
      </c>
      <c r="E26" s="35" t="s">
        <v>110</v>
      </c>
      <c r="F26">
        <v>2027</v>
      </c>
      <c r="G26">
        <v>2082</v>
      </c>
      <c r="H26">
        <v>2137</v>
      </c>
      <c r="J26">
        <f>IF(
    OR(
        AND(MAX(0, MIN($F$1, DATE(Initialisatie!$C$5,12,31)) - MAX($F$2, DATE(Initialisatie!$C$5,1,1)) + 1) &gt; 0, IFERROR(VALUE($F26),0)=0),
        AND(MAX(0, MIN($G$1, DATE(Initialisatie!$C$5,12,31)) - MAX($G$2, DATE(Initialisatie!$C$5,1,1)) + 1) &gt; 0, IFERROR(VALUE($G26),0)=0),
        AND(MAX(0, MIN($H$1, DATE(Initialisatie!$C$5,12,31)) - MAX($H$2, DATE(Initialisatie!$C$5,1,1)) + 1) &gt; 0, IFERROR(VALUE($H26),0)=0)
    ),
    0,
    SUM(
        IFERROR(VALUE($F26),0) * MAX(0, MIN($F$1, DATE(Initialisatie!$C$5,12,31)) - MAX($F$2, DATE(Initialisatie!$C$5,1,1)) + 1),
        IFERROR(VALUE($G26),0) * MAX(0, MIN($G$1, DATE(Initialisatie!$C$5,12,31)) - MAX($G$2, DATE(Initialisatie!$C$5,1,1)) + 1),
        IFERROR(VALUE($H26),0) * MAX(0, MIN($H$1, DATE(Initialisatie!$C$5,12,31)) - MAX($H$2, DATE(Initialisatie!$C$5,1,1)) + 1)
    ) / (DATE(Initialisatie!$C$5,12,31) - DATE(Initialisatie!$C$5,1,1) + 1)
)</f>
        <v>2137</v>
      </c>
    </row>
    <row r="27" spans="1:10" x14ac:dyDescent="0.45">
      <c r="A27" s="989"/>
      <c r="B27" s="35">
        <v>2</v>
      </c>
      <c r="C27" s="35">
        <v>5</v>
      </c>
      <c r="D27" s="35">
        <v>2</v>
      </c>
      <c r="E27" s="35" t="s">
        <v>100</v>
      </c>
      <c r="F27">
        <v>2093</v>
      </c>
      <c r="G27">
        <v>2148</v>
      </c>
      <c r="H27">
        <v>2203</v>
      </c>
      <c r="J27">
        <f>IF(
    OR(
        AND(MAX(0, MIN($F$1, DATE(Initialisatie!$C$5,12,31)) - MAX($F$2, DATE(Initialisatie!$C$5,1,1)) + 1) &gt; 0, IFERROR(VALUE($F27),0)=0),
        AND(MAX(0, MIN($G$1, DATE(Initialisatie!$C$5,12,31)) - MAX($G$2, DATE(Initialisatie!$C$5,1,1)) + 1) &gt; 0, IFERROR(VALUE($G27),0)=0),
        AND(MAX(0, MIN($H$1, DATE(Initialisatie!$C$5,12,31)) - MAX($H$2, DATE(Initialisatie!$C$5,1,1)) + 1) &gt; 0, IFERROR(VALUE($H27),0)=0)
    ),
    0,
    SUM(
        IFERROR(VALUE($F27),0) * MAX(0, MIN($F$1, DATE(Initialisatie!$C$5,12,31)) - MAX($F$2, DATE(Initialisatie!$C$5,1,1)) + 1),
        IFERROR(VALUE($G27),0) * MAX(0, MIN($G$1, DATE(Initialisatie!$C$5,12,31)) - MAX($G$2, DATE(Initialisatie!$C$5,1,1)) + 1),
        IFERROR(VALUE($H27),0) * MAX(0, MIN($H$1, DATE(Initialisatie!$C$5,12,31)) - MAX($H$2, DATE(Initialisatie!$C$5,1,1)) + 1)
    ) / (DATE(Initialisatie!$C$5,12,31) - DATE(Initialisatie!$C$5,1,1) + 1)
)</f>
        <v>2203</v>
      </c>
    </row>
    <row r="28" spans="1:10" x14ac:dyDescent="0.45">
      <c r="A28" s="989"/>
      <c r="B28" s="35">
        <v>3</v>
      </c>
      <c r="C28" s="35">
        <v>6</v>
      </c>
      <c r="D28" s="35">
        <v>3</v>
      </c>
      <c r="E28" s="35" t="s">
        <v>98</v>
      </c>
      <c r="F28">
        <v>2127</v>
      </c>
      <c r="G28">
        <v>2182</v>
      </c>
      <c r="H28">
        <v>2237</v>
      </c>
      <c r="J28">
        <f>IF(
    OR(
        AND(MAX(0, MIN($F$1, DATE(Initialisatie!$C$5,12,31)) - MAX($F$2, DATE(Initialisatie!$C$5,1,1)) + 1) &gt; 0, IFERROR(VALUE($F28),0)=0),
        AND(MAX(0, MIN($G$1, DATE(Initialisatie!$C$5,12,31)) - MAX($G$2, DATE(Initialisatie!$C$5,1,1)) + 1) &gt; 0, IFERROR(VALUE($G28),0)=0),
        AND(MAX(0, MIN($H$1, DATE(Initialisatie!$C$5,12,31)) - MAX($H$2, DATE(Initialisatie!$C$5,1,1)) + 1) &gt; 0, IFERROR(VALUE($H28),0)=0)
    ),
    0,
    SUM(
        IFERROR(VALUE($F28),0) * MAX(0, MIN($F$1, DATE(Initialisatie!$C$5,12,31)) - MAX($F$2, DATE(Initialisatie!$C$5,1,1)) + 1),
        IFERROR(VALUE($G28),0) * MAX(0, MIN($G$1, DATE(Initialisatie!$C$5,12,31)) - MAX($G$2, DATE(Initialisatie!$C$5,1,1)) + 1),
        IFERROR(VALUE($H28),0) * MAX(0, MIN($H$1, DATE(Initialisatie!$C$5,12,31)) - MAX($H$2, DATE(Initialisatie!$C$5,1,1)) + 1)
    ) / (DATE(Initialisatie!$C$5,12,31) - DATE(Initialisatie!$C$5,1,1) + 1)
)</f>
        <v>2237</v>
      </c>
    </row>
    <row r="29" spans="1:10" x14ac:dyDescent="0.45">
      <c r="A29" s="989"/>
      <c r="B29" s="35">
        <v>4</v>
      </c>
      <c r="C29" s="35">
        <v>7</v>
      </c>
      <c r="D29" s="35">
        <v>4</v>
      </c>
      <c r="E29" s="35" t="s">
        <v>96</v>
      </c>
      <c r="F29">
        <v>2180</v>
      </c>
      <c r="G29">
        <v>2235</v>
      </c>
      <c r="H29">
        <v>2290</v>
      </c>
      <c r="J29">
        <f>IF(
    OR(
        AND(MAX(0, MIN($F$1, DATE(Initialisatie!$C$5,12,31)) - MAX($F$2, DATE(Initialisatie!$C$5,1,1)) + 1) &gt; 0, IFERROR(VALUE($F29),0)=0),
        AND(MAX(0, MIN($G$1, DATE(Initialisatie!$C$5,12,31)) - MAX($G$2, DATE(Initialisatie!$C$5,1,1)) + 1) &gt; 0, IFERROR(VALUE($G29),0)=0),
        AND(MAX(0, MIN($H$1, DATE(Initialisatie!$C$5,12,31)) - MAX($H$2, DATE(Initialisatie!$C$5,1,1)) + 1) &gt; 0, IFERROR(VALUE($H29),0)=0)
    ),
    0,
    SUM(
        IFERROR(VALUE($F29),0) * MAX(0, MIN($F$1, DATE(Initialisatie!$C$5,12,31)) - MAX($F$2, DATE(Initialisatie!$C$5,1,1)) + 1),
        IFERROR(VALUE($G29),0) * MAX(0, MIN($G$1, DATE(Initialisatie!$C$5,12,31)) - MAX($G$2, DATE(Initialisatie!$C$5,1,1)) + 1),
        IFERROR(VALUE($H29),0) * MAX(0, MIN($H$1, DATE(Initialisatie!$C$5,12,31)) - MAX($H$2, DATE(Initialisatie!$C$5,1,1)) + 1)
    ) / (DATE(Initialisatie!$C$5,12,31) - DATE(Initialisatie!$C$5,1,1) + 1)
)</f>
        <v>2290</v>
      </c>
    </row>
    <row r="30" spans="1:10" x14ac:dyDescent="0.45">
      <c r="A30" s="989"/>
      <c r="B30" s="35">
        <v>5</v>
      </c>
      <c r="C30" s="35">
        <v>8</v>
      </c>
      <c r="D30" s="35">
        <v>5</v>
      </c>
      <c r="E30" s="35" t="s">
        <v>94</v>
      </c>
      <c r="F30">
        <v>2229</v>
      </c>
      <c r="G30">
        <v>2284</v>
      </c>
      <c r="H30">
        <v>2339</v>
      </c>
      <c r="J30">
        <f>IF(
    OR(
        AND(MAX(0, MIN($F$1, DATE(Initialisatie!$C$5,12,31)) - MAX($F$2, DATE(Initialisatie!$C$5,1,1)) + 1) &gt; 0, IFERROR(VALUE($F30),0)=0),
        AND(MAX(0, MIN($G$1, DATE(Initialisatie!$C$5,12,31)) - MAX($G$2, DATE(Initialisatie!$C$5,1,1)) + 1) &gt; 0, IFERROR(VALUE($G30),0)=0),
        AND(MAX(0, MIN($H$1, DATE(Initialisatie!$C$5,12,31)) - MAX($H$2, DATE(Initialisatie!$C$5,1,1)) + 1) &gt; 0, IFERROR(VALUE($H30),0)=0)
    ),
    0,
    SUM(
        IFERROR(VALUE($F30),0) * MAX(0, MIN($F$1, DATE(Initialisatie!$C$5,12,31)) - MAX($F$2, DATE(Initialisatie!$C$5,1,1)) + 1),
        IFERROR(VALUE($G30),0) * MAX(0, MIN($G$1, DATE(Initialisatie!$C$5,12,31)) - MAX($G$2, DATE(Initialisatie!$C$5,1,1)) + 1),
        IFERROR(VALUE($H30),0) * MAX(0, MIN($H$1, DATE(Initialisatie!$C$5,12,31)) - MAX($H$2, DATE(Initialisatie!$C$5,1,1)) + 1)
    ) / (DATE(Initialisatie!$C$5,12,31) - DATE(Initialisatie!$C$5,1,1) + 1)
)</f>
        <v>2339</v>
      </c>
    </row>
    <row r="31" spans="1:10" x14ac:dyDescent="0.45">
      <c r="A31" s="989"/>
      <c r="B31" s="35">
        <v>6</v>
      </c>
      <c r="C31" s="35">
        <v>9</v>
      </c>
      <c r="D31" s="35">
        <v>6</v>
      </c>
      <c r="E31" s="35" t="s">
        <v>92</v>
      </c>
      <c r="F31">
        <v>2280</v>
      </c>
      <c r="G31">
        <v>2335</v>
      </c>
      <c r="H31">
        <v>2390</v>
      </c>
      <c r="J31">
        <f>IF(
    OR(
        AND(MAX(0, MIN($F$1, DATE(Initialisatie!$C$5,12,31)) - MAX($F$2, DATE(Initialisatie!$C$5,1,1)) + 1) &gt; 0, IFERROR(VALUE($F31),0)=0),
        AND(MAX(0, MIN($G$1, DATE(Initialisatie!$C$5,12,31)) - MAX($G$2, DATE(Initialisatie!$C$5,1,1)) + 1) &gt; 0, IFERROR(VALUE($G31),0)=0),
        AND(MAX(0, MIN($H$1, DATE(Initialisatie!$C$5,12,31)) - MAX($H$2, DATE(Initialisatie!$C$5,1,1)) + 1) &gt; 0, IFERROR(VALUE($H31),0)=0)
    ),
    0,
    SUM(
        IFERROR(VALUE($F31),0) * MAX(0, MIN($F$1, DATE(Initialisatie!$C$5,12,31)) - MAX($F$2, DATE(Initialisatie!$C$5,1,1)) + 1),
        IFERROR(VALUE($G31),0) * MAX(0, MIN($G$1, DATE(Initialisatie!$C$5,12,31)) - MAX($G$2, DATE(Initialisatie!$C$5,1,1)) + 1),
        IFERROR(VALUE($H31),0) * MAX(0, MIN($H$1, DATE(Initialisatie!$C$5,12,31)) - MAX($H$2, DATE(Initialisatie!$C$5,1,1)) + 1)
    ) / (DATE(Initialisatie!$C$5,12,31) - DATE(Initialisatie!$C$5,1,1) + 1)
)</f>
        <v>2390</v>
      </c>
    </row>
    <row r="32" spans="1:10" x14ac:dyDescent="0.45">
      <c r="A32" s="989"/>
      <c r="B32" s="35">
        <v>7</v>
      </c>
      <c r="C32" s="35">
        <v>10</v>
      </c>
      <c r="D32" s="35">
        <v>7</v>
      </c>
      <c r="E32" s="35" t="s">
        <v>90</v>
      </c>
      <c r="F32">
        <v>2338</v>
      </c>
      <c r="G32">
        <v>2393</v>
      </c>
      <c r="H32">
        <v>2448</v>
      </c>
      <c r="J32">
        <f>IF(
    OR(
        AND(MAX(0, MIN($F$1, DATE(Initialisatie!$C$5,12,31)) - MAX($F$2, DATE(Initialisatie!$C$5,1,1)) + 1) &gt; 0, IFERROR(VALUE($F32),0)=0),
        AND(MAX(0, MIN($G$1, DATE(Initialisatie!$C$5,12,31)) - MAX($G$2, DATE(Initialisatie!$C$5,1,1)) + 1) &gt; 0, IFERROR(VALUE($G32),0)=0),
        AND(MAX(0, MIN($H$1, DATE(Initialisatie!$C$5,12,31)) - MAX($H$2, DATE(Initialisatie!$C$5,1,1)) + 1) &gt; 0, IFERROR(VALUE($H32),0)=0)
    ),
    0,
    SUM(
        IFERROR(VALUE($F32),0) * MAX(0, MIN($F$1, DATE(Initialisatie!$C$5,12,31)) - MAX($F$2, DATE(Initialisatie!$C$5,1,1)) + 1),
        IFERROR(VALUE($G32),0) * MAX(0, MIN($G$1, DATE(Initialisatie!$C$5,12,31)) - MAX($G$2, DATE(Initialisatie!$C$5,1,1)) + 1),
        IFERROR(VALUE($H32),0) * MAX(0, MIN($H$1, DATE(Initialisatie!$C$5,12,31)) - MAX($H$2, DATE(Initialisatie!$C$5,1,1)) + 1)
    ) / (DATE(Initialisatie!$C$5,12,31) - DATE(Initialisatie!$C$5,1,1) + 1)
)</f>
        <v>2448</v>
      </c>
    </row>
    <row r="33" spans="1:10" x14ac:dyDescent="0.45">
      <c r="A33" s="989"/>
      <c r="B33" s="35">
        <v>8</v>
      </c>
      <c r="C33" s="35">
        <v>11</v>
      </c>
      <c r="D33" s="35">
        <v>8</v>
      </c>
      <c r="E33" s="35" t="s">
        <v>88</v>
      </c>
      <c r="F33">
        <v>2402</v>
      </c>
      <c r="G33">
        <v>2457</v>
      </c>
      <c r="H33">
        <v>2512</v>
      </c>
      <c r="J33">
        <f>IF(
    OR(
        AND(MAX(0, MIN($F$1, DATE(Initialisatie!$C$5,12,31)) - MAX($F$2, DATE(Initialisatie!$C$5,1,1)) + 1) &gt; 0, IFERROR(VALUE($F33),0)=0),
        AND(MAX(0, MIN($G$1, DATE(Initialisatie!$C$5,12,31)) - MAX($G$2, DATE(Initialisatie!$C$5,1,1)) + 1) &gt; 0, IFERROR(VALUE($G33),0)=0),
        AND(MAX(0, MIN($H$1, DATE(Initialisatie!$C$5,12,31)) - MAX($H$2, DATE(Initialisatie!$C$5,1,1)) + 1) &gt; 0, IFERROR(VALUE($H33),0)=0)
    ),
    0,
    SUM(
        IFERROR(VALUE($F33),0) * MAX(0, MIN($F$1, DATE(Initialisatie!$C$5,12,31)) - MAX($F$2, DATE(Initialisatie!$C$5,1,1)) + 1),
        IFERROR(VALUE($G33),0) * MAX(0, MIN($G$1, DATE(Initialisatie!$C$5,12,31)) - MAX($G$2, DATE(Initialisatie!$C$5,1,1)) + 1),
        IFERROR(VALUE($H33),0) * MAX(0, MIN($H$1, DATE(Initialisatie!$C$5,12,31)) - MAX($H$2, DATE(Initialisatie!$C$5,1,1)) + 1)
    ) / (DATE(Initialisatie!$C$5,12,31) - DATE(Initialisatie!$C$5,1,1) + 1)
)</f>
        <v>2512</v>
      </c>
    </row>
    <row r="34" spans="1:10" x14ac:dyDescent="0.45">
      <c r="A34" s="989"/>
      <c r="B34" s="35">
        <v>9</v>
      </c>
      <c r="C34" s="35">
        <v>12</v>
      </c>
      <c r="D34" s="35">
        <v>9</v>
      </c>
      <c r="E34" s="35" t="s">
        <v>86</v>
      </c>
      <c r="F34">
        <v>2468</v>
      </c>
      <c r="G34">
        <v>2523</v>
      </c>
      <c r="H34">
        <v>2578</v>
      </c>
      <c r="J34">
        <f>IF(
    OR(
        AND(MAX(0, MIN($F$1, DATE(Initialisatie!$C$5,12,31)) - MAX($F$2, DATE(Initialisatie!$C$5,1,1)) + 1) &gt; 0, IFERROR(VALUE($F34),0)=0),
        AND(MAX(0, MIN($G$1, DATE(Initialisatie!$C$5,12,31)) - MAX($G$2, DATE(Initialisatie!$C$5,1,1)) + 1) &gt; 0, IFERROR(VALUE($G34),0)=0),
        AND(MAX(0, MIN($H$1, DATE(Initialisatie!$C$5,12,31)) - MAX($H$2, DATE(Initialisatie!$C$5,1,1)) + 1) &gt; 0, IFERROR(VALUE($H34),0)=0)
    ),
    0,
    SUM(
        IFERROR(VALUE($F34),0) * MAX(0, MIN($F$1, DATE(Initialisatie!$C$5,12,31)) - MAX($F$2, DATE(Initialisatie!$C$5,1,1)) + 1),
        IFERROR(VALUE($G34),0) * MAX(0, MIN($G$1, DATE(Initialisatie!$C$5,12,31)) - MAX($G$2, DATE(Initialisatie!$C$5,1,1)) + 1),
        IFERROR(VALUE($H34),0) * MAX(0, MIN($H$1, DATE(Initialisatie!$C$5,12,31)) - MAX($H$2, DATE(Initialisatie!$C$5,1,1)) + 1)
    ) / (DATE(Initialisatie!$C$5,12,31) - DATE(Initialisatie!$C$5,1,1) + 1)
)</f>
        <v>2578</v>
      </c>
    </row>
    <row r="35" spans="1:10" x14ac:dyDescent="0.45">
      <c r="A35" s="989"/>
      <c r="B35" s="35">
        <v>10</v>
      </c>
      <c r="C35" s="35">
        <v>13</v>
      </c>
      <c r="D35" s="35">
        <v>10</v>
      </c>
      <c r="E35" s="35" t="s">
        <v>108</v>
      </c>
      <c r="F35">
        <v>2541</v>
      </c>
      <c r="G35">
        <v>2596</v>
      </c>
      <c r="H35">
        <v>2651</v>
      </c>
      <c r="J35">
        <f>IF(
    OR(
        AND(MAX(0, MIN($F$1, DATE(Initialisatie!$C$5,12,31)) - MAX($F$2, DATE(Initialisatie!$C$5,1,1)) + 1) &gt; 0, IFERROR(VALUE($F35),0)=0),
        AND(MAX(0, MIN($G$1, DATE(Initialisatie!$C$5,12,31)) - MAX($G$2, DATE(Initialisatie!$C$5,1,1)) + 1) &gt; 0, IFERROR(VALUE($G35),0)=0),
        AND(MAX(0, MIN($H$1, DATE(Initialisatie!$C$5,12,31)) - MAX($H$2, DATE(Initialisatie!$C$5,1,1)) + 1) &gt; 0, IFERROR(VALUE($H35),0)=0)
    ),
    0,
    SUM(
        IFERROR(VALUE($F35),0) * MAX(0, MIN($F$1, DATE(Initialisatie!$C$5,12,31)) - MAX($F$2, DATE(Initialisatie!$C$5,1,1)) + 1),
        IFERROR(VALUE($G35),0) * MAX(0, MIN($G$1, DATE(Initialisatie!$C$5,12,31)) - MAX($G$2, DATE(Initialisatie!$C$5,1,1)) + 1),
        IFERROR(VALUE($H35),0) * MAX(0, MIN($H$1, DATE(Initialisatie!$C$5,12,31)) - MAX($H$2, DATE(Initialisatie!$C$5,1,1)) + 1)
    ) / (DATE(Initialisatie!$C$5,12,31) - DATE(Initialisatie!$C$5,1,1) + 1)
)</f>
        <v>2651</v>
      </c>
    </row>
    <row r="36" spans="1:10" x14ac:dyDescent="0.45">
      <c r="A36" s="990"/>
      <c r="B36" s="35">
        <v>11</v>
      </c>
      <c r="C36" s="35">
        <v>14</v>
      </c>
      <c r="D36" s="35">
        <v>11</v>
      </c>
      <c r="E36" s="35" t="s">
        <v>106</v>
      </c>
      <c r="F36">
        <v>2617</v>
      </c>
      <c r="G36">
        <v>2672</v>
      </c>
      <c r="H36">
        <v>2727</v>
      </c>
      <c r="J36">
        <f>IF(
    OR(
        AND(MAX(0, MIN($F$1, DATE(Initialisatie!$C$5,12,31)) - MAX($F$2, DATE(Initialisatie!$C$5,1,1)) + 1) &gt; 0, IFERROR(VALUE($F36),0)=0),
        AND(MAX(0, MIN($G$1, DATE(Initialisatie!$C$5,12,31)) - MAX($G$2, DATE(Initialisatie!$C$5,1,1)) + 1) &gt; 0, IFERROR(VALUE($G36),0)=0),
        AND(MAX(0, MIN($H$1, DATE(Initialisatie!$C$5,12,31)) - MAX($H$2, DATE(Initialisatie!$C$5,1,1)) + 1) &gt; 0, IFERROR(VALUE($H36),0)=0)
    ),
    0,
    SUM(
        IFERROR(VALUE($F36),0) * MAX(0, MIN($F$1, DATE(Initialisatie!$C$5,12,31)) - MAX($F$2, DATE(Initialisatie!$C$5,1,1)) + 1),
        IFERROR(VALUE($G36),0) * MAX(0, MIN($G$1, DATE(Initialisatie!$C$5,12,31)) - MAX($G$2, DATE(Initialisatie!$C$5,1,1)) + 1),
        IFERROR(VALUE($H36),0) * MAX(0, MIN($H$1, DATE(Initialisatie!$C$5,12,31)) - MAX($H$2, DATE(Initialisatie!$C$5,1,1)) + 1)
    ) / (DATE(Initialisatie!$C$5,12,31) - DATE(Initialisatie!$C$5,1,1) + 1)
)</f>
        <v>2727</v>
      </c>
    </row>
    <row r="37" spans="1:10" x14ac:dyDescent="0.45">
      <c r="A37" s="988">
        <v>20</v>
      </c>
      <c r="B37" s="35">
        <v>0</v>
      </c>
      <c r="C37" s="35">
        <v>4</v>
      </c>
      <c r="D37" s="35">
        <v>0</v>
      </c>
      <c r="E37" s="35" t="s">
        <v>307</v>
      </c>
      <c r="F37">
        <v>2027</v>
      </c>
      <c r="G37">
        <v>2082</v>
      </c>
      <c r="H37">
        <v>2137</v>
      </c>
      <c r="J37">
        <f>IF(
    OR(
        AND(MAX(0, MIN($F$1, DATE(Initialisatie!$C$5,12,31)) - MAX($F$2, DATE(Initialisatie!$C$5,1,1)) + 1) &gt; 0, IFERROR(VALUE($F37),0)=0),
        AND(MAX(0, MIN($G$1, DATE(Initialisatie!$C$5,12,31)) - MAX($G$2, DATE(Initialisatie!$C$5,1,1)) + 1) &gt; 0, IFERROR(VALUE($G37),0)=0),
        AND(MAX(0, MIN($H$1, DATE(Initialisatie!$C$5,12,31)) - MAX($H$2, DATE(Initialisatie!$C$5,1,1)) + 1) &gt; 0, IFERROR(VALUE($H37),0)=0)
    ),
    0,
    SUM(
        IFERROR(VALUE($F37),0) * MAX(0, MIN($F$1, DATE(Initialisatie!$C$5,12,31)) - MAX($F$2, DATE(Initialisatie!$C$5,1,1)) + 1),
        IFERROR(VALUE($G37),0) * MAX(0, MIN($G$1, DATE(Initialisatie!$C$5,12,31)) - MAX($G$2, DATE(Initialisatie!$C$5,1,1)) + 1),
        IFERROR(VALUE($H37),0) * MAX(0, MIN($H$1, DATE(Initialisatie!$C$5,12,31)) - MAX($H$2, DATE(Initialisatie!$C$5,1,1)) + 1)
    ) / (DATE(Initialisatie!$C$5,12,31) - DATE(Initialisatie!$C$5,1,1) + 1)
)</f>
        <v>2137</v>
      </c>
    </row>
    <row r="38" spans="1:10" x14ac:dyDescent="0.45">
      <c r="A38" s="989"/>
      <c r="B38" s="35">
        <v>1</v>
      </c>
      <c r="C38" s="35">
        <v>6</v>
      </c>
      <c r="D38" s="35">
        <v>1</v>
      </c>
      <c r="E38" s="35" t="s">
        <v>308</v>
      </c>
      <c r="F38">
        <v>2127</v>
      </c>
      <c r="G38">
        <v>2182</v>
      </c>
      <c r="H38">
        <v>2237</v>
      </c>
      <c r="J38">
        <f>IF(
    OR(
        AND(MAX(0, MIN($F$1, DATE(Initialisatie!$C$5,12,31)) - MAX($F$2, DATE(Initialisatie!$C$5,1,1)) + 1) &gt; 0, IFERROR(VALUE($F38),0)=0),
        AND(MAX(0, MIN($G$1, DATE(Initialisatie!$C$5,12,31)) - MAX($G$2, DATE(Initialisatie!$C$5,1,1)) + 1) &gt; 0, IFERROR(VALUE($G38),0)=0),
        AND(MAX(0, MIN($H$1, DATE(Initialisatie!$C$5,12,31)) - MAX($H$2, DATE(Initialisatie!$C$5,1,1)) + 1) &gt; 0, IFERROR(VALUE($H38),0)=0)
    ),
    0,
    SUM(
        IFERROR(VALUE($F38),0) * MAX(0, MIN($F$1, DATE(Initialisatie!$C$5,12,31)) - MAX($F$2, DATE(Initialisatie!$C$5,1,1)) + 1),
        IFERROR(VALUE($G38),0) * MAX(0, MIN($G$1, DATE(Initialisatie!$C$5,12,31)) - MAX($G$2, DATE(Initialisatie!$C$5,1,1)) + 1),
        IFERROR(VALUE($H38),0) * MAX(0, MIN($H$1, DATE(Initialisatie!$C$5,12,31)) - MAX($H$2, DATE(Initialisatie!$C$5,1,1)) + 1)
    ) / (DATE(Initialisatie!$C$5,12,31) - DATE(Initialisatie!$C$5,1,1) + 1)
)</f>
        <v>2237</v>
      </c>
    </row>
    <row r="39" spans="1:10" x14ac:dyDescent="0.45">
      <c r="A39" s="989"/>
      <c r="B39" s="35">
        <v>2</v>
      </c>
      <c r="C39" s="35">
        <v>7</v>
      </c>
      <c r="D39" s="35">
        <v>2</v>
      </c>
      <c r="E39" s="35" t="s">
        <v>309</v>
      </c>
      <c r="F39">
        <v>2180</v>
      </c>
      <c r="G39">
        <v>2235</v>
      </c>
      <c r="H39">
        <v>2290</v>
      </c>
      <c r="J39">
        <f>IF(
    OR(
        AND(MAX(0, MIN($F$1, DATE(Initialisatie!$C$5,12,31)) - MAX($F$2, DATE(Initialisatie!$C$5,1,1)) + 1) &gt; 0, IFERROR(VALUE($F39),0)=0),
        AND(MAX(0, MIN($G$1, DATE(Initialisatie!$C$5,12,31)) - MAX($G$2, DATE(Initialisatie!$C$5,1,1)) + 1) &gt; 0, IFERROR(VALUE($G39),0)=0),
        AND(MAX(0, MIN($H$1, DATE(Initialisatie!$C$5,12,31)) - MAX($H$2, DATE(Initialisatie!$C$5,1,1)) + 1) &gt; 0, IFERROR(VALUE($H39),0)=0)
    ),
    0,
    SUM(
        IFERROR(VALUE($F39),0) * MAX(0, MIN($F$1, DATE(Initialisatie!$C$5,12,31)) - MAX($F$2, DATE(Initialisatie!$C$5,1,1)) + 1),
        IFERROR(VALUE($G39),0) * MAX(0, MIN($G$1, DATE(Initialisatie!$C$5,12,31)) - MAX($G$2, DATE(Initialisatie!$C$5,1,1)) + 1),
        IFERROR(VALUE($H39),0) * MAX(0, MIN($H$1, DATE(Initialisatie!$C$5,12,31)) - MAX($H$2, DATE(Initialisatie!$C$5,1,1)) + 1)
    ) / (DATE(Initialisatie!$C$5,12,31) - DATE(Initialisatie!$C$5,1,1) + 1)
)</f>
        <v>2290</v>
      </c>
    </row>
    <row r="40" spans="1:10" x14ac:dyDescent="0.45">
      <c r="A40" s="989"/>
      <c r="B40" s="35">
        <v>3</v>
      </c>
      <c r="C40" s="35">
        <v>8</v>
      </c>
      <c r="D40" s="35">
        <v>3</v>
      </c>
      <c r="E40" s="35" t="s">
        <v>310</v>
      </c>
      <c r="F40">
        <v>2229</v>
      </c>
      <c r="G40">
        <v>2284</v>
      </c>
      <c r="H40">
        <v>2339</v>
      </c>
      <c r="J40">
        <f>IF(
    OR(
        AND(MAX(0, MIN($F$1, DATE(Initialisatie!$C$5,12,31)) - MAX($F$2, DATE(Initialisatie!$C$5,1,1)) + 1) &gt; 0, IFERROR(VALUE($F40),0)=0),
        AND(MAX(0, MIN($G$1, DATE(Initialisatie!$C$5,12,31)) - MAX($G$2, DATE(Initialisatie!$C$5,1,1)) + 1) &gt; 0, IFERROR(VALUE($G40),0)=0),
        AND(MAX(0, MIN($H$1, DATE(Initialisatie!$C$5,12,31)) - MAX($H$2, DATE(Initialisatie!$C$5,1,1)) + 1) &gt; 0, IFERROR(VALUE($H40),0)=0)
    ),
    0,
    SUM(
        IFERROR(VALUE($F40),0) * MAX(0, MIN($F$1, DATE(Initialisatie!$C$5,12,31)) - MAX($F$2, DATE(Initialisatie!$C$5,1,1)) + 1),
        IFERROR(VALUE($G40),0) * MAX(0, MIN($G$1, DATE(Initialisatie!$C$5,12,31)) - MAX($G$2, DATE(Initialisatie!$C$5,1,1)) + 1),
        IFERROR(VALUE($H40),0) * MAX(0, MIN($H$1, DATE(Initialisatie!$C$5,12,31)) - MAX($H$2, DATE(Initialisatie!$C$5,1,1)) + 1)
    ) / (DATE(Initialisatie!$C$5,12,31) - DATE(Initialisatie!$C$5,1,1) + 1)
)</f>
        <v>2339</v>
      </c>
    </row>
    <row r="41" spans="1:10" x14ac:dyDescent="0.45">
      <c r="A41" s="989"/>
      <c r="B41" s="35">
        <v>4</v>
      </c>
      <c r="C41" s="35">
        <v>9</v>
      </c>
      <c r="D41" s="35">
        <v>4</v>
      </c>
      <c r="E41" s="35" t="s">
        <v>311</v>
      </c>
      <c r="F41">
        <v>2280</v>
      </c>
      <c r="G41">
        <v>2335</v>
      </c>
      <c r="H41">
        <v>2390</v>
      </c>
      <c r="J41">
        <f>IF(
    OR(
        AND(MAX(0, MIN($F$1, DATE(Initialisatie!$C$5,12,31)) - MAX($F$2, DATE(Initialisatie!$C$5,1,1)) + 1) &gt; 0, IFERROR(VALUE($F41),0)=0),
        AND(MAX(0, MIN($G$1, DATE(Initialisatie!$C$5,12,31)) - MAX($G$2, DATE(Initialisatie!$C$5,1,1)) + 1) &gt; 0, IFERROR(VALUE($G41),0)=0),
        AND(MAX(0, MIN($H$1, DATE(Initialisatie!$C$5,12,31)) - MAX($H$2, DATE(Initialisatie!$C$5,1,1)) + 1) &gt; 0, IFERROR(VALUE($H41),0)=0)
    ),
    0,
    SUM(
        IFERROR(VALUE($F41),0) * MAX(0, MIN($F$1, DATE(Initialisatie!$C$5,12,31)) - MAX($F$2, DATE(Initialisatie!$C$5,1,1)) + 1),
        IFERROR(VALUE($G41),0) * MAX(0, MIN($G$1, DATE(Initialisatie!$C$5,12,31)) - MAX($G$2, DATE(Initialisatie!$C$5,1,1)) + 1),
        IFERROR(VALUE($H41),0) * MAX(0, MIN($H$1, DATE(Initialisatie!$C$5,12,31)) - MAX($H$2, DATE(Initialisatie!$C$5,1,1)) + 1)
    ) / (DATE(Initialisatie!$C$5,12,31) - DATE(Initialisatie!$C$5,1,1) + 1)
)</f>
        <v>2390</v>
      </c>
    </row>
    <row r="42" spans="1:10" x14ac:dyDescent="0.45">
      <c r="A42" s="989"/>
      <c r="B42" s="35">
        <v>5</v>
      </c>
      <c r="C42" s="35">
        <v>10</v>
      </c>
      <c r="D42" s="35">
        <v>5</v>
      </c>
      <c r="E42" s="35" t="s">
        <v>312</v>
      </c>
      <c r="F42">
        <v>2338</v>
      </c>
      <c r="G42">
        <v>2393</v>
      </c>
      <c r="H42">
        <v>2448</v>
      </c>
      <c r="J42">
        <f>IF(
    OR(
        AND(MAX(0, MIN($F$1, DATE(Initialisatie!$C$5,12,31)) - MAX($F$2, DATE(Initialisatie!$C$5,1,1)) + 1) &gt; 0, IFERROR(VALUE($F42),0)=0),
        AND(MAX(0, MIN($G$1, DATE(Initialisatie!$C$5,12,31)) - MAX($G$2, DATE(Initialisatie!$C$5,1,1)) + 1) &gt; 0, IFERROR(VALUE($G42),0)=0),
        AND(MAX(0, MIN($H$1, DATE(Initialisatie!$C$5,12,31)) - MAX($H$2, DATE(Initialisatie!$C$5,1,1)) + 1) &gt; 0, IFERROR(VALUE($H42),0)=0)
    ),
    0,
    SUM(
        IFERROR(VALUE($F42),0) * MAX(0, MIN($F$1, DATE(Initialisatie!$C$5,12,31)) - MAX($F$2, DATE(Initialisatie!$C$5,1,1)) + 1),
        IFERROR(VALUE($G42),0) * MAX(0, MIN($G$1, DATE(Initialisatie!$C$5,12,31)) - MAX($G$2, DATE(Initialisatie!$C$5,1,1)) + 1),
        IFERROR(VALUE($H42),0) * MAX(0, MIN($H$1, DATE(Initialisatie!$C$5,12,31)) - MAX($H$2, DATE(Initialisatie!$C$5,1,1)) + 1)
    ) / (DATE(Initialisatie!$C$5,12,31) - DATE(Initialisatie!$C$5,1,1) + 1)
)</f>
        <v>2448</v>
      </c>
    </row>
    <row r="43" spans="1:10" x14ac:dyDescent="0.45">
      <c r="A43" s="989"/>
      <c r="B43" s="35">
        <v>6</v>
      </c>
      <c r="C43" s="35">
        <v>11</v>
      </c>
      <c r="D43" s="35">
        <v>6</v>
      </c>
      <c r="E43" s="35" t="s">
        <v>313</v>
      </c>
      <c r="F43">
        <v>2402</v>
      </c>
      <c r="G43">
        <v>2457</v>
      </c>
      <c r="H43">
        <v>2512</v>
      </c>
      <c r="J43">
        <f>IF(
    OR(
        AND(MAX(0, MIN($F$1, DATE(Initialisatie!$C$5,12,31)) - MAX($F$2, DATE(Initialisatie!$C$5,1,1)) + 1) &gt; 0, IFERROR(VALUE($F43),0)=0),
        AND(MAX(0, MIN($G$1, DATE(Initialisatie!$C$5,12,31)) - MAX($G$2, DATE(Initialisatie!$C$5,1,1)) + 1) &gt; 0, IFERROR(VALUE($G43),0)=0),
        AND(MAX(0, MIN($H$1, DATE(Initialisatie!$C$5,12,31)) - MAX($H$2, DATE(Initialisatie!$C$5,1,1)) + 1) &gt; 0, IFERROR(VALUE($H43),0)=0)
    ),
    0,
    SUM(
        IFERROR(VALUE($F43),0) * MAX(0, MIN($F$1, DATE(Initialisatie!$C$5,12,31)) - MAX($F$2, DATE(Initialisatie!$C$5,1,1)) + 1),
        IFERROR(VALUE($G43),0) * MAX(0, MIN($G$1, DATE(Initialisatie!$C$5,12,31)) - MAX($G$2, DATE(Initialisatie!$C$5,1,1)) + 1),
        IFERROR(VALUE($H43),0) * MAX(0, MIN($H$1, DATE(Initialisatie!$C$5,12,31)) - MAX($H$2, DATE(Initialisatie!$C$5,1,1)) + 1)
    ) / (DATE(Initialisatie!$C$5,12,31) - DATE(Initialisatie!$C$5,1,1) + 1)
)</f>
        <v>2512</v>
      </c>
    </row>
    <row r="44" spans="1:10" x14ac:dyDescent="0.45">
      <c r="A44" s="989"/>
      <c r="B44" s="35">
        <v>7</v>
      </c>
      <c r="C44" s="35">
        <v>12</v>
      </c>
      <c r="D44" s="35">
        <v>7</v>
      </c>
      <c r="E44" s="35" t="s">
        <v>314</v>
      </c>
      <c r="F44">
        <v>2468</v>
      </c>
      <c r="G44">
        <v>2523</v>
      </c>
      <c r="H44">
        <v>2578</v>
      </c>
      <c r="J44">
        <f>IF(
    OR(
        AND(MAX(0, MIN($F$1, DATE(Initialisatie!$C$5,12,31)) - MAX($F$2, DATE(Initialisatie!$C$5,1,1)) + 1) &gt; 0, IFERROR(VALUE($F44),0)=0),
        AND(MAX(0, MIN($G$1, DATE(Initialisatie!$C$5,12,31)) - MAX($G$2, DATE(Initialisatie!$C$5,1,1)) + 1) &gt; 0, IFERROR(VALUE($G44),0)=0),
        AND(MAX(0, MIN($H$1, DATE(Initialisatie!$C$5,12,31)) - MAX($H$2, DATE(Initialisatie!$C$5,1,1)) + 1) &gt; 0, IFERROR(VALUE($H44),0)=0)
    ),
    0,
    SUM(
        IFERROR(VALUE($F44),0) * MAX(0, MIN($F$1, DATE(Initialisatie!$C$5,12,31)) - MAX($F$2, DATE(Initialisatie!$C$5,1,1)) + 1),
        IFERROR(VALUE($G44),0) * MAX(0, MIN($G$1, DATE(Initialisatie!$C$5,12,31)) - MAX($G$2, DATE(Initialisatie!$C$5,1,1)) + 1),
        IFERROR(VALUE($H44),0) * MAX(0, MIN($H$1, DATE(Initialisatie!$C$5,12,31)) - MAX($H$2, DATE(Initialisatie!$C$5,1,1)) + 1)
    ) / (DATE(Initialisatie!$C$5,12,31) - DATE(Initialisatie!$C$5,1,1) + 1)
)</f>
        <v>2578</v>
      </c>
    </row>
    <row r="45" spans="1:10" x14ac:dyDescent="0.45">
      <c r="A45" s="989"/>
      <c r="B45" s="35">
        <v>8</v>
      </c>
      <c r="C45" s="35">
        <v>13</v>
      </c>
      <c r="D45" s="35">
        <v>8</v>
      </c>
      <c r="E45" s="35" t="s">
        <v>315</v>
      </c>
      <c r="F45">
        <v>2541</v>
      </c>
      <c r="G45">
        <v>2596</v>
      </c>
      <c r="H45">
        <v>2651</v>
      </c>
      <c r="J45">
        <f>IF(
    OR(
        AND(MAX(0, MIN($F$1, DATE(Initialisatie!$C$5,12,31)) - MAX($F$2, DATE(Initialisatie!$C$5,1,1)) + 1) &gt; 0, IFERROR(VALUE($F45),0)=0),
        AND(MAX(0, MIN($G$1, DATE(Initialisatie!$C$5,12,31)) - MAX($G$2, DATE(Initialisatie!$C$5,1,1)) + 1) &gt; 0, IFERROR(VALUE($G45),0)=0),
        AND(MAX(0, MIN($H$1, DATE(Initialisatie!$C$5,12,31)) - MAX($H$2, DATE(Initialisatie!$C$5,1,1)) + 1) &gt; 0, IFERROR(VALUE($H45),0)=0)
    ),
    0,
    SUM(
        IFERROR(VALUE($F45),0) * MAX(0, MIN($F$1, DATE(Initialisatie!$C$5,12,31)) - MAX($F$2, DATE(Initialisatie!$C$5,1,1)) + 1),
        IFERROR(VALUE($G45),0) * MAX(0, MIN($G$1, DATE(Initialisatie!$C$5,12,31)) - MAX($G$2, DATE(Initialisatie!$C$5,1,1)) + 1),
        IFERROR(VALUE($H45),0) * MAX(0, MIN($H$1, DATE(Initialisatie!$C$5,12,31)) - MAX($H$2, DATE(Initialisatie!$C$5,1,1)) + 1)
    ) / (DATE(Initialisatie!$C$5,12,31) - DATE(Initialisatie!$C$5,1,1) + 1)
)</f>
        <v>2651</v>
      </c>
    </row>
    <row r="46" spans="1:10" x14ac:dyDescent="0.45">
      <c r="A46" s="989"/>
      <c r="B46" s="35">
        <v>9</v>
      </c>
      <c r="C46" s="35">
        <v>14</v>
      </c>
      <c r="D46" s="35">
        <v>9</v>
      </c>
      <c r="E46" s="35" t="s">
        <v>316</v>
      </c>
      <c r="F46">
        <v>2617</v>
      </c>
      <c r="G46">
        <v>2672</v>
      </c>
      <c r="H46">
        <v>2727</v>
      </c>
      <c r="J46">
        <f>IF(
    OR(
        AND(MAX(0, MIN($F$1, DATE(Initialisatie!$C$5,12,31)) - MAX($F$2, DATE(Initialisatie!$C$5,1,1)) + 1) &gt; 0, IFERROR(VALUE($F46),0)=0),
        AND(MAX(0, MIN($G$1, DATE(Initialisatie!$C$5,12,31)) - MAX($G$2, DATE(Initialisatie!$C$5,1,1)) + 1) &gt; 0, IFERROR(VALUE($G46),0)=0),
        AND(MAX(0, MIN($H$1, DATE(Initialisatie!$C$5,12,31)) - MAX($H$2, DATE(Initialisatie!$C$5,1,1)) + 1) &gt; 0, IFERROR(VALUE($H46),0)=0)
    ),
    0,
    SUM(
        IFERROR(VALUE($F46),0) * MAX(0, MIN($F$1, DATE(Initialisatie!$C$5,12,31)) - MAX($F$2, DATE(Initialisatie!$C$5,1,1)) + 1),
        IFERROR(VALUE($G46),0) * MAX(0, MIN($G$1, DATE(Initialisatie!$C$5,12,31)) - MAX($G$2, DATE(Initialisatie!$C$5,1,1)) + 1),
        IFERROR(VALUE($H46),0) * MAX(0, MIN($H$1, DATE(Initialisatie!$C$5,12,31)) - MAX($H$2, DATE(Initialisatie!$C$5,1,1)) + 1)
    ) / (DATE(Initialisatie!$C$5,12,31) - DATE(Initialisatie!$C$5,1,1) + 1)
)</f>
        <v>2727</v>
      </c>
    </row>
    <row r="47" spans="1:10" x14ac:dyDescent="0.45">
      <c r="A47" s="989"/>
      <c r="B47" s="35">
        <v>10</v>
      </c>
      <c r="C47" s="35">
        <v>15</v>
      </c>
      <c r="D47" s="35">
        <v>10</v>
      </c>
      <c r="E47" s="35" t="s">
        <v>317</v>
      </c>
      <c r="F47">
        <v>2686</v>
      </c>
      <c r="G47">
        <v>2741</v>
      </c>
      <c r="H47">
        <v>2796</v>
      </c>
      <c r="J47">
        <f>IF(
    OR(
        AND(MAX(0, MIN($F$1, DATE(Initialisatie!$C$5,12,31)) - MAX($F$2, DATE(Initialisatie!$C$5,1,1)) + 1) &gt; 0, IFERROR(VALUE($F47),0)=0),
        AND(MAX(0, MIN($G$1, DATE(Initialisatie!$C$5,12,31)) - MAX($G$2, DATE(Initialisatie!$C$5,1,1)) + 1) &gt; 0, IFERROR(VALUE($G47),0)=0),
        AND(MAX(0, MIN($H$1, DATE(Initialisatie!$C$5,12,31)) - MAX($H$2, DATE(Initialisatie!$C$5,1,1)) + 1) &gt; 0, IFERROR(VALUE($H47),0)=0)
    ),
    0,
    SUM(
        IFERROR(VALUE($F47),0) * MAX(0, MIN($F$1, DATE(Initialisatie!$C$5,12,31)) - MAX($F$2, DATE(Initialisatie!$C$5,1,1)) + 1),
        IFERROR(VALUE($G47),0) * MAX(0, MIN($G$1, DATE(Initialisatie!$C$5,12,31)) - MAX($G$2, DATE(Initialisatie!$C$5,1,1)) + 1),
        IFERROR(VALUE($H47),0) * MAX(0, MIN($H$1, DATE(Initialisatie!$C$5,12,31)) - MAX($H$2, DATE(Initialisatie!$C$5,1,1)) + 1)
    ) / (DATE(Initialisatie!$C$5,12,31) - DATE(Initialisatie!$C$5,1,1) + 1)
)</f>
        <v>2796</v>
      </c>
    </row>
    <row r="48" spans="1:10" x14ac:dyDescent="0.45">
      <c r="A48" s="990"/>
      <c r="B48" s="35">
        <v>11</v>
      </c>
      <c r="C48" s="35">
        <v>16</v>
      </c>
      <c r="D48" s="35">
        <v>11</v>
      </c>
      <c r="E48" s="35" t="s">
        <v>687</v>
      </c>
      <c r="F48">
        <v>2766</v>
      </c>
      <c r="G48">
        <v>2821</v>
      </c>
      <c r="H48">
        <v>2877</v>
      </c>
      <c r="J48">
        <f>IF(
    OR(
        AND(MAX(0, MIN($F$1, DATE(Initialisatie!$C$5,12,31)) - MAX($F$2, DATE(Initialisatie!$C$5,1,1)) + 1) &gt; 0, IFERROR(VALUE($F48),0)=0),
        AND(MAX(0, MIN($G$1, DATE(Initialisatie!$C$5,12,31)) - MAX($G$2, DATE(Initialisatie!$C$5,1,1)) + 1) &gt; 0, IFERROR(VALUE($G48),0)=0),
        AND(MAX(0, MIN($H$1, DATE(Initialisatie!$C$5,12,31)) - MAX($H$2, DATE(Initialisatie!$C$5,1,1)) + 1) &gt; 0, IFERROR(VALUE($H48),0)=0)
    ),
    0,
    SUM(
        IFERROR(VALUE($F48),0) * MAX(0, MIN($F$1, DATE(Initialisatie!$C$5,12,31)) - MAX($F$2, DATE(Initialisatie!$C$5,1,1)) + 1),
        IFERROR(VALUE($G48),0) * MAX(0, MIN($G$1, DATE(Initialisatie!$C$5,12,31)) - MAX($G$2, DATE(Initialisatie!$C$5,1,1)) + 1),
        IFERROR(VALUE($H48),0) * MAX(0, MIN($H$1, DATE(Initialisatie!$C$5,12,31)) - MAX($H$2, DATE(Initialisatie!$C$5,1,1)) + 1)
    ) / (DATE(Initialisatie!$C$5,12,31) - DATE(Initialisatie!$C$5,1,1) + 1)
)</f>
        <v>2877</v>
      </c>
    </row>
    <row r="49" spans="1:10" x14ac:dyDescent="0.45">
      <c r="A49" s="988">
        <v>25</v>
      </c>
      <c r="B49" s="35">
        <v>0</v>
      </c>
      <c r="C49" s="35">
        <v>5</v>
      </c>
      <c r="D49" s="35">
        <v>0</v>
      </c>
      <c r="E49" s="35" t="s">
        <v>321</v>
      </c>
      <c r="F49">
        <v>2093</v>
      </c>
      <c r="G49">
        <v>2148</v>
      </c>
      <c r="H49">
        <v>2203</v>
      </c>
      <c r="J49">
        <f>IF(
    OR(
        AND(MAX(0, MIN($F$1, DATE(Initialisatie!$C$5,12,31)) - MAX($F$2, DATE(Initialisatie!$C$5,1,1)) + 1) &gt; 0, IFERROR(VALUE($F49),0)=0),
        AND(MAX(0, MIN($G$1, DATE(Initialisatie!$C$5,12,31)) - MAX($G$2, DATE(Initialisatie!$C$5,1,1)) + 1) &gt; 0, IFERROR(VALUE($G49),0)=0),
        AND(MAX(0, MIN($H$1, DATE(Initialisatie!$C$5,12,31)) - MAX($H$2, DATE(Initialisatie!$C$5,1,1)) + 1) &gt; 0, IFERROR(VALUE($H49),0)=0)
    ),
    0,
    SUM(
        IFERROR(VALUE($F49),0) * MAX(0, MIN($F$1, DATE(Initialisatie!$C$5,12,31)) - MAX($F$2, DATE(Initialisatie!$C$5,1,1)) + 1),
        IFERROR(VALUE($G49),0) * MAX(0, MIN($G$1, DATE(Initialisatie!$C$5,12,31)) - MAX($G$2, DATE(Initialisatie!$C$5,1,1)) + 1),
        IFERROR(VALUE($H49),0) * MAX(0, MIN($H$1, DATE(Initialisatie!$C$5,12,31)) - MAX($H$2, DATE(Initialisatie!$C$5,1,1)) + 1)
    ) / (DATE(Initialisatie!$C$5,12,31) - DATE(Initialisatie!$C$5,1,1) + 1)
)</f>
        <v>2203</v>
      </c>
    </row>
    <row r="50" spans="1:10" x14ac:dyDescent="0.45">
      <c r="A50" s="989"/>
      <c r="B50" s="35">
        <v>1</v>
      </c>
      <c r="C50" s="35">
        <v>7</v>
      </c>
      <c r="D50" s="35">
        <v>1</v>
      </c>
      <c r="E50" s="35" t="s">
        <v>322</v>
      </c>
      <c r="F50">
        <v>2180</v>
      </c>
      <c r="G50">
        <v>2235</v>
      </c>
      <c r="H50">
        <v>2290</v>
      </c>
      <c r="J50">
        <f>IF(
    OR(
        AND(MAX(0, MIN($F$1, DATE(Initialisatie!$C$5,12,31)) - MAX($F$2, DATE(Initialisatie!$C$5,1,1)) + 1) &gt; 0, IFERROR(VALUE($F50),0)=0),
        AND(MAX(0, MIN($G$1, DATE(Initialisatie!$C$5,12,31)) - MAX($G$2, DATE(Initialisatie!$C$5,1,1)) + 1) &gt; 0, IFERROR(VALUE($G50),0)=0),
        AND(MAX(0, MIN($H$1, DATE(Initialisatie!$C$5,12,31)) - MAX($H$2, DATE(Initialisatie!$C$5,1,1)) + 1) &gt; 0, IFERROR(VALUE($H50),0)=0)
    ),
    0,
    SUM(
        IFERROR(VALUE($F50),0) * MAX(0, MIN($F$1, DATE(Initialisatie!$C$5,12,31)) - MAX($F$2, DATE(Initialisatie!$C$5,1,1)) + 1),
        IFERROR(VALUE($G50),0) * MAX(0, MIN($G$1, DATE(Initialisatie!$C$5,12,31)) - MAX($G$2, DATE(Initialisatie!$C$5,1,1)) + 1),
        IFERROR(VALUE($H50),0) * MAX(0, MIN($H$1, DATE(Initialisatie!$C$5,12,31)) - MAX($H$2, DATE(Initialisatie!$C$5,1,1)) + 1)
    ) / (DATE(Initialisatie!$C$5,12,31) - DATE(Initialisatie!$C$5,1,1) + 1)
)</f>
        <v>2290</v>
      </c>
    </row>
    <row r="51" spans="1:10" x14ac:dyDescent="0.45">
      <c r="A51" s="989"/>
      <c r="B51" s="35">
        <v>2</v>
      </c>
      <c r="C51" s="35">
        <v>9</v>
      </c>
      <c r="D51" s="35">
        <v>2</v>
      </c>
      <c r="E51" s="35" t="s">
        <v>323</v>
      </c>
      <c r="F51">
        <v>2280</v>
      </c>
      <c r="G51">
        <v>2335</v>
      </c>
      <c r="H51">
        <v>2390</v>
      </c>
      <c r="J51">
        <f>IF(
    OR(
        AND(MAX(0, MIN($F$1, DATE(Initialisatie!$C$5,12,31)) - MAX($F$2, DATE(Initialisatie!$C$5,1,1)) + 1) &gt; 0, IFERROR(VALUE($F51),0)=0),
        AND(MAX(0, MIN($G$1, DATE(Initialisatie!$C$5,12,31)) - MAX($G$2, DATE(Initialisatie!$C$5,1,1)) + 1) &gt; 0, IFERROR(VALUE($G51),0)=0),
        AND(MAX(0, MIN($H$1, DATE(Initialisatie!$C$5,12,31)) - MAX($H$2, DATE(Initialisatie!$C$5,1,1)) + 1) &gt; 0, IFERROR(VALUE($H51),0)=0)
    ),
    0,
    SUM(
        IFERROR(VALUE($F51),0) * MAX(0, MIN($F$1, DATE(Initialisatie!$C$5,12,31)) - MAX($F$2, DATE(Initialisatie!$C$5,1,1)) + 1),
        IFERROR(VALUE($G51),0) * MAX(0, MIN($G$1, DATE(Initialisatie!$C$5,12,31)) - MAX($G$2, DATE(Initialisatie!$C$5,1,1)) + 1),
        IFERROR(VALUE($H51),0) * MAX(0, MIN($H$1, DATE(Initialisatie!$C$5,12,31)) - MAX($H$2, DATE(Initialisatie!$C$5,1,1)) + 1)
    ) / (DATE(Initialisatie!$C$5,12,31) - DATE(Initialisatie!$C$5,1,1) + 1)
)</f>
        <v>2390</v>
      </c>
    </row>
    <row r="52" spans="1:10" x14ac:dyDescent="0.45">
      <c r="A52" s="989"/>
      <c r="B52" s="35">
        <v>3</v>
      </c>
      <c r="C52" s="35">
        <v>10</v>
      </c>
      <c r="D52" s="35">
        <v>3</v>
      </c>
      <c r="E52" s="35" t="s">
        <v>324</v>
      </c>
      <c r="F52">
        <v>2338</v>
      </c>
      <c r="G52">
        <v>2393</v>
      </c>
      <c r="H52">
        <v>2448</v>
      </c>
      <c r="J52">
        <f>IF(
    OR(
        AND(MAX(0, MIN($F$1, DATE(Initialisatie!$C$5,12,31)) - MAX($F$2, DATE(Initialisatie!$C$5,1,1)) + 1) &gt; 0, IFERROR(VALUE($F52),0)=0),
        AND(MAX(0, MIN($G$1, DATE(Initialisatie!$C$5,12,31)) - MAX($G$2, DATE(Initialisatie!$C$5,1,1)) + 1) &gt; 0, IFERROR(VALUE($G52),0)=0),
        AND(MAX(0, MIN($H$1, DATE(Initialisatie!$C$5,12,31)) - MAX($H$2, DATE(Initialisatie!$C$5,1,1)) + 1) &gt; 0, IFERROR(VALUE($H52),0)=0)
    ),
    0,
    SUM(
        IFERROR(VALUE($F52),0) * MAX(0, MIN($F$1, DATE(Initialisatie!$C$5,12,31)) - MAX($F$2, DATE(Initialisatie!$C$5,1,1)) + 1),
        IFERROR(VALUE($G52),0) * MAX(0, MIN($G$1, DATE(Initialisatie!$C$5,12,31)) - MAX($G$2, DATE(Initialisatie!$C$5,1,1)) + 1),
        IFERROR(VALUE($H52),0) * MAX(0, MIN($H$1, DATE(Initialisatie!$C$5,12,31)) - MAX($H$2, DATE(Initialisatie!$C$5,1,1)) + 1)
    ) / (DATE(Initialisatie!$C$5,12,31) - DATE(Initialisatie!$C$5,1,1) + 1)
)</f>
        <v>2448</v>
      </c>
    </row>
    <row r="53" spans="1:10" x14ac:dyDescent="0.45">
      <c r="A53" s="989"/>
      <c r="B53" s="35">
        <v>4</v>
      </c>
      <c r="C53" s="35">
        <v>11</v>
      </c>
      <c r="D53" s="35">
        <v>4</v>
      </c>
      <c r="E53" s="35" t="s">
        <v>325</v>
      </c>
      <c r="F53">
        <v>2402</v>
      </c>
      <c r="G53">
        <v>2457</v>
      </c>
      <c r="H53">
        <v>2512</v>
      </c>
      <c r="J53">
        <f>IF(
    OR(
        AND(MAX(0, MIN($F$1, DATE(Initialisatie!$C$5,12,31)) - MAX($F$2, DATE(Initialisatie!$C$5,1,1)) + 1) &gt; 0, IFERROR(VALUE($F53),0)=0),
        AND(MAX(0, MIN($G$1, DATE(Initialisatie!$C$5,12,31)) - MAX($G$2, DATE(Initialisatie!$C$5,1,1)) + 1) &gt; 0, IFERROR(VALUE($G53),0)=0),
        AND(MAX(0, MIN($H$1, DATE(Initialisatie!$C$5,12,31)) - MAX($H$2, DATE(Initialisatie!$C$5,1,1)) + 1) &gt; 0, IFERROR(VALUE($H53),0)=0)
    ),
    0,
    SUM(
        IFERROR(VALUE($F53),0) * MAX(0, MIN($F$1, DATE(Initialisatie!$C$5,12,31)) - MAX($F$2, DATE(Initialisatie!$C$5,1,1)) + 1),
        IFERROR(VALUE($G53),0) * MAX(0, MIN($G$1, DATE(Initialisatie!$C$5,12,31)) - MAX($G$2, DATE(Initialisatie!$C$5,1,1)) + 1),
        IFERROR(VALUE($H53),0) * MAX(0, MIN($H$1, DATE(Initialisatie!$C$5,12,31)) - MAX($H$2, DATE(Initialisatie!$C$5,1,1)) + 1)
    ) / (DATE(Initialisatie!$C$5,12,31) - DATE(Initialisatie!$C$5,1,1) + 1)
)</f>
        <v>2512</v>
      </c>
    </row>
    <row r="54" spans="1:10" x14ac:dyDescent="0.45">
      <c r="A54" s="989"/>
      <c r="B54" s="35">
        <v>5</v>
      </c>
      <c r="C54" s="35">
        <v>12</v>
      </c>
      <c r="D54" s="35">
        <v>5</v>
      </c>
      <c r="E54" s="35" t="s">
        <v>326</v>
      </c>
      <c r="F54">
        <v>2468</v>
      </c>
      <c r="G54">
        <v>2523</v>
      </c>
      <c r="H54">
        <v>2578</v>
      </c>
      <c r="J54">
        <f>IF(
    OR(
        AND(MAX(0, MIN($F$1, DATE(Initialisatie!$C$5,12,31)) - MAX($F$2, DATE(Initialisatie!$C$5,1,1)) + 1) &gt; 0, IFERROR(VALUE($F54),0)=0),
        AND(MAX(0, MIN($G$1, DATE(Initialisatie!$C$5,12,31)) - MAX($G$2, DATE(Initialisatie!$C$5,1,1)) + 1) &gt; 0, IFERROR(VALUE($G54),0)=0),
        AND(MAX(0, MIN($H$1, DATE(Initialisatie!$C$5,12,31)) - MAX($H$2, DATE(Initialisatie!$C$5,1,1)) + 1) &gt; 0, IFERROR(VALUE($H54),0)=0)
    ),
    0,
    SUM(
        IFERROR(VALUE($F54),0) * MAX(0, MIN($F$1, DATE(Initialisatie!$C$5,12,31)) - MAX($F$2, DATE(Initialisatie!$C$5,1,1)) + 1),
        IFERROR(VALUE($G54),0) * MAX(0, MIN($G$1, DATE(Initialisatie!$C$5,12,31)) - MAX($G$2, DATE(Initialisatie!$C$5,1,1)) + 1),
        IFERROR(VALUE($H54),0) * MAX(0, MIN($H$1, DATE(Initialisatie!$C$5,12,31)) - MAX($H$2, DATE(Initialisatie!$C$5,1,1)) + 1)
    ) / (DATE(Initialisatie!$C$5,12,31) - DATE(Initialisatie!$C$5,1,1) + 1)
)</f>
        <v>2578</v>
      </c>
    </row>
    <row r="55" spans="1:10" x14ac:dyDescent="0.45">
      <c r="A55" s="989"/>
      <c r="B55" s="35">
        <v>6</v>
      </c>
      <c r="C55" s="35">
        <v>13</v>
      </c>
      <c r="D55" s="35">
        <v>6</v>
      </c>
      <c r="E55" s="35" t="s">
        <v>327</v>
      </c>
      <c r="F55">
        <v>2541</v>
      </c>
      <c r="G55">
        <v>2596</v>
      </c>
      <c r="H55">
        <v>2651</v>
      </c>
      <c r="J55">
        <f>IF(
    OR(
        AND(MAX(0, MIN($F$1, DATE(Initialisatie!$C$5,12,31)) - MAX($F$2, DATE(Initialisatie!$C$5,1,1)) + 1) &gt; 0, IFERROR(VALUE($F55),0)=0),
        AND(MAX(0, MIN($G$1, DATE(Initialisatie!$C$5,12,31)) - MAX($G$2, DATE(Initialisatie!$C$5,1,1)) + 1) &gt; 0, IFERROR(VALUE($G55),0)=0),
        AND(MAX(0, MIN($H$1, DATE(Initialisatie!$C$5,12,31)) - MAX($H$2, DATE(Initialisatie!$C$5,1,1)) + 1) &gt; 0, IFERROR(VALUE($H55),0)=0)
    ),
    0,
    SUM(
        IFERROR(VALUE($F55),0) * MAX(0, MIN($F$1, DATE(Initialisatie!$C$5,12,31)) - MAX($F$2, DATE(Initialisatie!$C$5,1,1)) + 1),
        IFERROR(VALUE($G55),0) * MAX(0, MIN($G$1, DATE(Initialisatie!$C$5,12,31)) - MAX($G$2, DATE(Initialisatie!$C$5,1,1)) + 1),
        IFERROR(VALUE($H55),0) * MAX(0, MIN($H$1, DATE(Initialisatie!$C$5,12,31)) - MAX($H$2, DATE(Initialisatie!$C$5,1,1)) + 1)
    ) / (DATE(Initialisatie!$C$5,12,31) - DATE(Initialisatie!$C$5,1,1) + 1)
)</f>
        <v>2651</v>
      </c>
    </row>
    <row r="56" spans="1:10" x14ac:dyDescent="0.45">
      <c r="A56" s="989"/>
      <c r="B56" s="35">
        <v>7</v>
      </c>
      <c r="C56" s="35">
        <v>14</v>
      </c>
      <c r="D56" s="35">
        <v>7</v>
      </c>
      <c r="E56" s="35" t="s">
        <v>328</v>
      </c>
      <c r="F56">
        <v>2617</v>
      </c>
      <c r="G56">
        <v>2672</v>
      </c>
      <c r="H56">
        <v>2727</v>
      </c>
      <c r="J56">
        <f>IF(
    OR(
        AND(MAX(0, MIN($F$1, DATE(Initialisatie!$C$5,12,31)) - MAX($F$2, DATE(Initialisatie!$C$5,1,1)) + 1) &gt; 0, IFERROR(VALUE($F56),0)=0),
        AND(MAX(0, MIN($G$1, DATE(Initialisatie!$C$5,12,31)) - MAX($G$2, DATE(Initialisatie!$C$5,1,1)) + 1) &gt; 0, IFERROR(VALUE($G56),0)=0),
        AND(MAX(0, MIN($H$1, DATE(Initialisatie!$C$5,12,31)) - MAX($H$2, DATE(Initialisatie!$C$5,1,1)) + 1) &gt; 0, IFERROR(VALUE($H56),0)=0)
    ),
    0,
    SUM(
        IFERROR(VALUE($F56),0) * MAX(0, MIN($F$1, DATE(Initialisatie!$C$5,12,31)) - MAX($F$2, DATE(Initialisatie!$C$5,1,1)) + 1),
        IFERROR(VALUE($G56),0) * MAX(0, MIN($G$1, DATE(Initialisatie!$C$5,12,31)) - MAX($G$2, DATE(Initialisatie!$C$5,1,1)) + 1),
        IFERROR(VALUE($H56),0) * MAX(0, MIN($H$1, DATE(Initialisatie!$C$5,12,31)) - MAX($H$2, DATE(Initialisatie!$C$5,1,1)) + 1)
    ) / (DATE(Initialisatie!$C$5,12,31) - DATE(Initialisatie!$C$5,1,1) + 1)
)</f>
        <v>2727</v>
      </c>
    </row>
    <row r="57" spans="1:10" x14ac:dyDescent="0.45">
      <c r="A57" s="989"/>
      <c r="B57" s="35">
        <v>8</v>
      </c>
      <c r="C57" s="35">
        <v>15</v>
      </c>
      <c r="D57" s="35">
        <v>8</v>
      </c>
      <c r="E57" s="35" t="s">
        <v>329</v>
      </c>
      <c r="F57">
        <v>2686</v>
      </c>
      <c r="G57">
        <v>2741</v>
      </c>
      <c r="H57">
        <v>2796</v>
      </c>
      <c r="J57">
        <f>IF(
    OR(
        AND(MAX(0, MIN($F$1, DATE(Initialisatie!$C$5,12,31)) - MAX($F$2, DATE(Initialisatie!$C$5,1,1)) + 1) &gt; 0, IFERROR(VALUE($F57),0)=0),
        AND(MAX(0, MIN($G$1, DATE(Initialisatie!$C$5,12,31)) - MAX($G$2, DATE(Initialisatie!$C$5,1,1)) + 1) &gt; 0, IFERROR(VALUE($G57),0)=0),
        AND(MAX(0, MIN($H$1, DATE(Initialisatie!$C$5,12,31)) - MAX($H$2, DATE(Initialisatie!$C$5,1,1)) + 1) &gt; 0, IFERROR(VALUE($H57),0)=0)
    ),
    0,
    SUM(
        IFERROR(VALUE($F57),0) * MAX(0, MIN($F$1, DATE(Initialisatie!$C$5,12,31)) - MAX($F$2, DATE(Initialisatie!$C$5,1,1)) + 1),
        IFERROR(VALUE($G57),0) * MAX(0, MIN($G$1, DATE(Initialisatie!$C$5,12,31)) - MAX($G$2, DATE(Initialisatie!$C$5,1,1)) + 1),
        IFERROR(VALUE($H57),0) * MAX(0, MIN($H$1, DATE(Initialisatie!$C$5,12,31)) - MAX($H$2, DATE(Initialisatie!$C$5,1,1)) + 1)
    ) / (DATE(Initialisatie!$C$5,12,31) - DATE(Initialisatie!$C$5,1,1) + 1)
)</f>
        <v>2796</v>
      </c>
    </row>
    <row r="58" spans="1:10" x14ac:dyDescent="0.45">
      <c r="A58" s="989"/>
      <c r="B58" s="35">
        <v>9</v>
      </c>
      <c r="C58" s="35">
        <v>16</v>
      </c>
      <c r="D58" s="35">
        <v>9</v>
      </c>
      <c r="E58" s="35" t="s">
        <v>330</v>
      </c>
      <c r="F58">
        <v>2766</v>
      </c>
      <c r="G58">
        <v>2821</v>
      </c>
      <c r="H58">
        <v>2877</v>
      </c>
      <c r="J58">
        <f>IF(
    OR(
        AND(MAX(0, MIN($F$1, DATE(Initialisatie!$C$5,12,31)) - MAX($F$2, DATE(Initialisatie!$C$5,1,1)) + 1) &gt; 0, IFERROR(VALUE($F58),0)=0),
        AND(MAX(0, MIN($G$1, DATE(Initialisatie!$C$5,12,31)) - MAX($G$2, DATE(Initialisatie!$C$5,1,1)) + 1) &gt; 0, IFERROR(VALUE($G58),0)=0),
        AND(MAX(0, MIN($H$1, DATE(Initialisatie!$C$5,12,31)) - MAX($H$2, DATE(Initialisatie!$C$5,1,1)) + 1) &gt; 0, IFERROR(VALUE($H58),0)=0)
    ),
    0,
    SUM(
        IFERROR(VALUE($F58),0) * MAX(0, MIN($F$1, DATE(Initialisatie!$C$5,12,31)) - MAX($F$2, DATE(Initialisatie!$C$5,1,1)) + 1),
        IFERROR(VALUE($G58),0) * MAX(0, MIN($G$1, DATE(Initialisatie!$C$5,12,31)) - MAX($G$2, DATE(Initialisatie!$C$5,1,1)) + 1),
        IFERROR(VALUE($H58),0) * MAX(0, MIN($H$1, DATE(Initialisatie!$C$5,12,31)) - MAX($H$2, DATE(Initialisatie!$C$5,1,1)) + 1)
    ) / (DATE(Initialisatie!$C$5,12,31) - DATE(Initialisatie!$C$5,1,1) + 1)
)</f>
        <v>2877</v>
      </c>
    </row>
    <row r="59" spans="1:10" x14ac:dyDescent="0.45">
      <c r="A59" s="989"/>
      <c r="B59" s="35">
        <v>10</v>
      </c>
      <c r="C59" s="35">
        <v>17</v>
      </c>
      <c r="D59" s="35">
        <v>10</v>
      </c>
      <c r="E59" s="35" t="s">
        <v>331</v>
      </c>
      <c r="F59">
        <v>2831</v>
      </c>
      <c r="G59">
        <v>2888</v>
      </c>
      <c r="H59">
        <v>2946</v>
      </c>
      <c r="J59">
        <f>IF(
    OR(
        AND(MAX(0, MIN($F$1, DATE(Initialisatie!$C$5,12,31)) - MAX($F$2, DATE(Initialisatie!$C$5,1,1)) + 1) &gt; 0, IFERROR(VALUE($F59),0)=0),
        AND(MAX(0, MIN($G$1, DATE(Initialisatie!$C$5,12,31)) - MAX($G$2, DATE(Initialisatie!$C$5,1,1)) + 1) &gt; 0, IFERROR(VALUE($G59),0)=0),
        AND(MAX(0, MIN($H$1, DATE(Initialisatie!$C$5,12,31)) - MAX($H$2, DATE(Initialisatie!$C$5,1,1)) + 1) &gt; 0, IFERROR(VALUE($H59),0)=0)
    ),
    0,
    SUM(
        IFERROR(VALUE($F59),0) * MAX(0, MIN($F$1, DATE(Initialisatie!$C$5,12,31)) - MAX($F$2, DATE(Initialisatie!$C$5,1,1)) + 1),
        IFERROR(VALUE($G59),0) * MAX(0, MIN($G$1, DATE(Initialisatie!$C$5,12,31)) - MAX($G$2, DATE(Initialisatie!$C$5,1,1)) + 1),
        IFERROR(VALUE($H59),0) * MAX(0, MIN($H$1, DATE(Initialisatie!$C$5,12,31)) - MAX($H$2, DATE(Initialisatie!$C$5,1,1)) + 1)
    ) / (DATE(Initialisatie!$C$5,12,31) - DATE(Initialisatie!$C$5,1,1) + 1)
)</f>
        <v>2946</v>
      </c>
    </row>
    <row r="60" spans="1:10" x14ac:dyDescent="0.45">
      <c r="A60" s="990"/>
      <c r="B60" s="35">
        <v>11</v>
      </c>
      <c r="C60" s="35">
        <v>18</v>
      </c>
      <c r="D60" s="35">
        <v>11</v>
      </c>
      <c r="E60" s="35" t="s">
        <v>688</v>
      </c>
      <c r="F60">
        <v>2911</v>
      </c>
      <c r="G60">
        <v>2969</v>
      </c>
      <c r="H60">
        <v>3028</v>
      </c>
      <c r="J60">
        <f>IF(
    OR(
        AND(MAX(0, MIN($F$1, DATE(Initialisatie!$C$5,12,31)) - MAX($F$2, DATE(Initialisatie!$C$5,1,1)) + 1) &gt; 0, IFERROR(VALUE($F60),0)=0),
        AND(MAX(0, MIN($G$1, DATE(Initialisatie!$C$5,12,31)) - MAX($G$2, DATE(Initialisatie!$C$5,1,1)) + 1) &gt; 0, IFERROR(VALUE($G60),0)=0),
        AND(MAX(0, MIN($H$1, DATE(Initialisatie!$C$5,12,31)) - MAX($H$2, DATE(Initialisatie!$C$5,1,1)) + 1) &gt; 0, IFERROR(VALUE($H60),0)=0)
    ),
    0,
    SUM(
        IFERROR(VALUE($F60),0) * MAX(0, MIN($F$1, DATE(Initialisatie!$C$5,12,31)) - MAX($F$2, DATE(Initialisatie!$C$5,1,1)) + 1),
        IFERROR(VALUE($G60),0) * MAX(0, MIN($G$1, DATE(Initialisatie!$C$5,12,31)) - MAX($G$2, DATE(Initialisatie!$C$5,1,1)) + 1),
        IFERROR(VALUE($H60),0) * MAX(0, MIN($H$1, DATE(Initialisatie!$C$5,12,31)) - MAX($H$2, DATE(Initialisatie!$C$5,1,1)) + 1)
    ) / (DATE(Initialisatie!$C$5,12,31) - DATE(Initialisatie!$C$5,1,1) + 1)
)</f>
        <v>3028</v>
      </c>
    </row>
    <row r="61" spans="1:10" x14ac:dyDescent="0.45">
      <c r="A61" s="988">
        <v>30</v>
      </c>
      <c r="B61" s="35">
        <v>0</v>
      </c>
      <c r="C61" s="35">
        <v>6</v>
      </c>
      <c r="D61" s="35">
        <v>0</v>
      </c>
      <c r="E61" s="35" t="s">
        <v>334</v>
      </c>
      <c r="F61">
        <v>2127</v>
      </c>
      <c r="G61">
        <v>2182</v>
      </c>
      <c r="H61">
        <v>2237</v>
      </c>
      <c r="J61">
        <f>IF(
    OR(
        AND(MAX(0, MIN($F$1, DATE(Initialisatie!$C$5,12,31)) - MAX($F$2, DATE(Initialisatie!$C$5,1,1)) + 1) &gt; 0, IFERROR(VALUE($F61),0)=0),
        AND(MAX(0, MIN($G$1, DATE(Initialisatie!$C$5,12,31)) - MAX($G$2, DATE(Initialisatie!$C$5,1,1)) + 1) &gt; 0, IFERROR(VALUE($G61),0)=0),
        AND(MAX(0, MIN($H$1, DATE(Initialisatie!$C$5,12,31)) - MAX($H$2, DATE(Initialisatie!$C$5,1,1)) + 1) &gt; 0, IFERROR(VALUE($H61),0)=0)
    ),
    0,
    SUM(
        IFERROR(VALUE($F61),0) * MAX(0, MIN($F$1, DATE(Initialisatie!$C$5,12,31)) - MAX($F$2, DATE(Initialisatie!$C$5,1,1)) + 1),
        IFERROR(VALUE($G61),0) * MAX(0, MIN($G$1, DATE(Initialisatie!$C$5,12,31)) - MAX($G$2, DATE(Initialisatie!$C$5,1,1)) + 1),
        IFERROR(VALUE($H61),0) * MAX(0, MIN($H$1, DATE(Initialisatie!$C$5,12,31)) - MAX($H$2, DATE(Initialisatie!$C$5,1,1)) + 1)
    ) / (DATE(Initialisatie!$C$5,12,31) - DATE(Initialisatie!$C$5,1,1) + 1)
)</f>
        <v>2237</v>
      </c>
    </row>
    <row r="62" spans="1:10" x14ac:dyDescent="0.45">
      <c r="A62" s="989"/>
      <c r="B62" s="35">
        <v>1</v>
      </c>
      <c r="C62" s="35">
        <v>8</v>
      </c>
      <c r="D62" s="35">
        <v>1</v>
      </c>
      <c r="E62" s="35" t="s">
        <v>335</v>
      </c>
      <c r="F62">
        <v>2229</v>
      </c>
      <c r="G62">
        <v>2284</v>
      </c>
      <c r="H62">
        <v>2339</v>
      </c>
      <c r="J62">
        <f>IF(
    OR(
        AND(MAX(0, MIN($F$1, DATE(Initialisatie!$C$5,12,31)) - MAX($F$2, DATE(Initialisatie!$C$5,1,1)) + 1) &gt; 0, IFERROR(VALUE($F62),0)=0),
        AND(MAX(0, MIN($G$1, DATE(Initialisatie!$C$5,12,31)) - MAX($G$2, DATE(Initialisatie!$C$5,1,1)) + 1) &gt; 0, IFERROR(VALUE($G62),0)=0),
        AND(MAX(0, MIN($H$1, DATE(Initialisatie!$C$5,12,31)) - MAX($H$2, DATE(Initialisatie!$C$5,1,1)) + 1) &gt; 0, IFERROR(VALUE($H62),0)=0)
    ),
    0,
    SUM(
        IFERROR(VALUE($F62),0) * MAX(0, MIN($F$1, DATE(Initialisatie!$C$5,12,31)) - MAX($F$2, DATE(Initialisatie!$C$5,1,1)) + 1),
        IFERROR(VALUE($G62),0) * MAX(0, MIN($G$1, DATE(Initialisatie!$C$5,12,31)) - MAX($G$2, DATE(Initialisatie!$C$5,1,1)) + 1),
        IFERROR(VALUE($H62),0) * MAX(0, MIN($H$1, DATE(Initialisatie!$C$5,12,31)) - MAX($H$2, DATE(Initialisatie!$C$5,1,1)) + 1)
    ) / (DATE(Initialisatie!$C$5,12,31) - DATE(Initialisatie!$C$5,1,1) + 1)
)</f>
        <v>2339</v>
      </c>
    </row>
    <row r="63" spans="1:10" x14ac:dyDescent="0.45">
      <c r="A63" s="989"/>
      <c r="B63" s="35">
        <v>2</v>
      </c>
      <c r="C63" s="35">
        <v>10</v>
      </c>
      <c r="D63" s="35">
        <v>2</v>
      </c>
      <c r="E63" s="35" t="s">
        <v>336</v>
      </c>
      <c r="F63">
        <v>2338</v>
      </c>
      <c r="G63">
        <v>2393</v>
      </c>
      <c r="H63">
        <v>2448</v>
      </c>
      <c r="J63">
        <f>IF(
    OR(
        AND(MAX(0, MIN($F$1, DATE(Initialisatie!$C$5,12,31)) - MAX($F$2, DATE(Initialisatie!$C$5,1,1)) + 1) &gt; 0, IFERROR(VALUE($F63),0)=0),
        AND(MAX(0, MIN($G$1, DATE(Initialisatie!$C$5,12,31)) - MAX($G$2, DATE(Initialisatie!$C$5,1,1)) + 1) &gt; 0, IFERROR(VALUE($G63),0)=0),
        AND(MAX(0, MIN($H$1, DATE(Initialisatie!$C$5,12,31)) - MAX($H$2, DATE(Initialisatie!$C$5,1,1)) + 1) &gt; 0, IFERROR(VALUE($H63),0)=0)
    ),
    0,
    SUM(
        IFERROR(VALUE($F63),0) * MAX(0, MIN($F$1, DATE(Initialisatie!$C$5,12,31)) - MAX($F$2, DATE(Initialisatie!$C$5,1,1)) + 1),
        IFERROR(VALUE($G63),0) * MAX(0, MIN($G$1, DATE(Initialisatie!$C$5,12,31)) - MAX($G$2, DATE(Initialisatie!$C$5,1,1)) + 1),
        IFERROR(VALUE($H63),0) * MAX(0, MIN($H$1, DATE(Initialisatie!$C$5,12,31)) - MAX($H$2, DATE(Initialisatie!$C$5,1,1)) + 1)
    ) / (DATE(Initialisatie!$C$5,12,31) - DATE(Initialisatie!$C$5,1,1) + 1)
)</f>
        <v>2448</v>
      </c>
    </row>
    <row r="64" spans="1:10" x14ac:dyDescent="0.45">
      <c r="A64" s="989"/>
      <c r="B64" s="35">
        <v>3</v>
      </c>
      <c r="C64" s="35">
        <v>12</v>
      </c>
      <c r="D64" s="35">
        <v>3</v>
      </c>
      <c r="E64" s="35" t="s">
        <v>337</v>
      </c>
      <c r="F64">
        <v>2468</v>
      </c>
      <c r="G64">
        <v>2523</v>
      </c>
      <c r="H64">
        <v>2578</v>
      </c>
      <c r="J64">
        <f>IF(
    OR(
        AND(MAX(0, MIN($F$1, DATE(Initialisatie!$C$5,12,31)) - MAX($F$2, DATE(Initialisatie!$C$5,1,1)) + 1) &gt; 0, IFERROR(VALUE($F64),0)=0),
        AND(MAX(0, MIN($G$1, DATE(Initialisatie!$C$5,12,31)) - MAX($G$2, DATE(Initialisatie!$C$5,1,1)) + 1) &gt; 0, IFERROR(VALUE($G64),0)=0),
        AND(MAX(0, MIN($H$1, DATE(Initialisatie!$C$5,12,31)) - MAX($H$2, DATE(Initialisatie!$C$5,1,1)) + 1) &gt; 0, IFERROR(VALUE($H64),0)=0)
    ),
    0,
    SUM(
        IFERROR(VALUE($F64),0) * MAX(0, MIN($F$1, DATE(Initialisatie!$C$5,12,31)) - MAX($F$2, DATE(Initialisatie!$C$5,1,1)) + 1),
        IFERROR(VALUE($G64),0) * MAX(0, MIN($G$1, DATE(Initialisatie!$C$5,12,31)) - MAX($G$2, DATE(Initialisatie!$C$5,1,1)) + 1),
        IFERROR(VALUE($H64),0) * MAX(0, MIN($H$1, DATE(Initialisatie!$C$5,12,31)) - MAX($H$2, DATE(Initialisatie!$C$5,1,1)) + 1)
    ) / (DATE(Initialisatie!$C$5,12,31) - DATE(Initialisatie!$C$5,1,1) + 1)
)</f>
        <v>2578</v>
      </c>
    </row>
    <row r="65" spans="1:10" x14ac:dyDescent="0.45">
      <c r="A65" s="989"/>
      <c r="B65" s="35">
        <v>4</v>
      </c>
      <c r="C65" s="35">
        <v>13</v>
      </c>
      <c r="D65" s="35">
        <v>4</v>
      </c>
      <c r="E65" s="35" t="s">
        <v>338</v>
      </c>
      <c r="F65">
        <v>2541</v>
      </c>
      <c r="G65">
        <v>2596</v>
      </c>
      <c r="H65">
        <v>2651</v>
      </c>
      <c r="J65">
        <f>IF(
    OR(
        AND(MAX(0, MIN($F$1, DATE(Initialisatie!$C$5,12,31)) - MAX($F$2, DATE(Initialisatie!$C$5,1,1)) + 1) &gt; 0, IFERROR(VALUE($F65),0)=0),
        AND(MAX(0, MIN($G$1, DATE(Initialisatie!$C$5,12,31)) - MAX($G$2, DATE(Initialisatie!$C$5,1,1)) + 1) &gt; 0, IFERROR(VALUE($G65),0)=0),
        AND(MAX(0, MIN($H$1, DATE(Initialisatie!$C$5,12,31)) - MAX($H$2, DATE(Initialisatie!$C$5,1,1)) + 1) &gt; 0, IFERROR(VALUE($H65),0)=0)
    ),
    0,
    SUM(
        IFERROR(VALUE($F65),0) * MAX(0, MIN($F$1, DATE(Initialisatie!$C$5,12,31)) - MAX($F$2, DATE(Initialisatie!$C$5,1,1)) + 1),
        IFERROR(VALUE($G65),0) * MAX(0, MIN($G$1, DATE(Initialisatie!$C$5,12,31)) - MAX($G$2, DATE(Initialisatie!$C$5,1,1)) + 1),
        IFERROR(VALUE($H65),0) * MAX(0, MIN($H$1, DATE(Initialisatie!$C$5,12,31)) - MAX($H$2, DATE(Initialisatie!$C$5,1,1)) + 1)
    ) / (DATE(Initialisatie!$C$5,12,31) - DATE(Initialisatie!$C$5,1,1) + 1)
)</f>
        <v>2651</v>
      </c>
    </row>
    <row r="66" spans="1:10" x14ac:dyDescent="0.45">
      <c r="A66" s="989"/>
      <c r="B66" s="35">
        <v>5</v>
      </c>
      <c r="C66" s="35">
        <v>14</v>
      </c>
      <c r="D66" s="35">
        <v>5</v>
      </c>
      <c r="E66" s="35" t="s">
        <v>339</v>
      </c>
      <c r="F66">
        <v>2617</v>
      </c>
      <c r="G66">
        <v>2672</v>
      </c>
      <c r="H66">
        <v>2727</v>
      </c>
      <c r="J66">
        <f>IF(
    OR(
        AND(MAX(0, MIN($F$1, DATE(Initialisatie!$C$5,12,31)) - MAX($F$2, DATE(Initialisatie!$C$5,1,1)) + 1) &gt; 0, IFERROR(VALUE($F66),0)=0),
        AND(MAX(0, MIN($G$1, DATE(Initialisatie!$C$5,12,31)) - MAX($G$2, DATE(Initialisatie!$C$5,1,1)) + 1) &gt; 0, IFERROR(VALUE($G66),0)=0),
        AND(MAX(0, MIN($H$1, DATE(Initialisatie!$C$5,12,31)) - MAX($H$2, DATE(Initialisatie!$C$5,1,1)) + 1) &gt; 0, IFERROR(VALUE($H66),0)=0)
    ),
    0,
    SUM(
        IFERROR(VALUE($F66),0) * MAX(0, MIN($F$1, DATE(Initialisatie!$C$5,12,31)) - MAX($F$2, DATE(Initialisatie!$C$5,1,1)) + 1),
        IFERROR(VALUE($G66),0) * MAX(0, MIN($G$1, DATE(Initialisatie!$C$5,12,31)) - MAX($G$2, DATE(Initialisatie!$C$5,1,1)) + 1),
        IFERROR(VALUE($H66),0) * MAX(0, MIN($H$1, DATE(Initialisatie!$C$5,12,31)) - MAX($H$2, DATE(Initialisatie!$C$5,1,1)) + 1)
    ) / (DATE(Initialisatie!$C$5,12,31) - DATE(Initialisatie!$C$5,1,1) + 1)
)</f>
        <v>2727</v>
      </c>
    </row>
    <row r="67" spans="1:10" x14ac:dyDescent="0.45">
      <c r="A67" s="989"/>
      <c r="B67" s="35">
        <v>6</v>
      </c>
      <c r="C67" s="35">
        <v>15</v>
      </c>
      <c r="D67" s="35">
        <v>6</v>
      </c>
      <c r="E67" s="35" t="s">
        <v>340</v>
      </c>
      <c r="F67">
        <v>2686</v>
      </c>
      <c r="G67">
        <v>2741</v>
      </c>
      <c r="H67">
        <v>2796</v>
      </c>
      <c r="J67">
        <f>IF(
    OR(
        AND(MAX(0, MIN($F$1, DATE(Initialisatie!$C$5,12,31)) - MAX($F$2, DATE(Initialisatie!$C$5,1,1)) + 1) &gt; 0, IFERROR(VALUE($F67),0)=0),
        AND(MAX(0, MIN($G$1, DATE(Initialisatie!$C$5,12,31)) - MAX($G$2, DATE(Initialisatie!$C$5,1,1)) + 1) &gt; 0, IFERROR(VALUE($G67),0)=0),
        AND(MAX(0, MIN($H$1, DATE(Initialisatie!$C$5,12,31)) - MAX($H$2, DATE(Initialisatie!$C$5,1,1)) + 1) &gt; 0, IFERROR(VALUE($H67),0)=0)
    ),
    0,
    SUM(
        IFERROR(VALUE($F67),0) * MAX(0, MIN($F$1, DATE(Initialisatie!$C$5,12,31)) - MAX($F$2, DATE(Initialisatie!$C$5,1,1)) + 1),
        IFERROR(VALUE($G67),0) * MAX(0, MIN($G$1, DATE(Initialisatie!$C$5,12,31)) - MAX($G$2, DATE(Initialisatie!$C$5,1,1)) + 1),
        IFERROR(VALUE($H67),0) * MAX(0, MIN($H$1, DATE(Initialisatie!$C$5,12,31)) - MAX($H$2, DATE(Initialisatie!$C$5,1,1)) + 1)
    ) / (DATE(Initialisatie!$C$5,12,31) - DATE(Initialisatie!$C$5,1,1) + 1)
)</f>
        <v>2796</v>
      </c>
    </row>
    <row r="68" spans="1:10" x14ac:dyDescent="0.45">
      <c r="A68" s="989"/>
      <c r="B68" s="35">
        <v>7</v>
      </c>
      <c r="C68" s="35">
        <v>16</v>
      </c>
      <c r="D68" s="35">
        <v>7</v>
      </c>
      <c r="E68" s="35" t="s">
        <v>341</v>
      </c>
      <c r="F68">
        <v>2766</v>
      </c>
      <c r="G68">
        <v>2821</v>
      </c>
      <c r="H68">
        <v>2877</v>
      </c>
      <c r="J68">
        <f>IF(
    OR(
        AND(MAX(0, MIN($F$1, DATE(Initialisatie!$C$5,12,31)) - MAX($F$2, DATE(Initialisatie!$C$5,1,1)) + 1) &gt; 0, IFERROR(VALUE($F68),0)=0),
        AND(MAX(0, MIN($G$1, DATE(Initialisatie!$C$5,12,31)) - MAX($G$2, DATE(Initialisatie!$C$5,1,1)) + 1) &gt; 0, IFERROR(VALUE($G68),0)=0),
        AND(MAX(0, MIN($H$1, DATE(Initialisatie!$C$5,12,31)) - MAX($H$2, DATE(Initialisatie!$C$5,1,1)) + 1) &gt; 0, IFERROR(VALUE($H68),0)=0)
    ),
    0,
    SUM(
        IFERROR(VALUE($F68),0) * MAX(0, MIN($F$1, DATE(Initialisatie!$C$5,12,31)) - MAX($F$2, DATE(Initialisatie!$C$5,1,1)) + 1),
        IFERROR(VALUE($G68),0) * MAX(0, MIN($G$1, DATE(Initialisatie!$C$5,12,31)) - MAX($G$2, DATE(Initialisatie!$C$5,1,1)) + 1),
        IFERROR(VALUE($H68),0) * MAX(0, MIN($H$1, DATE(Initialisatie!$C$5,12,31)) - MAX($H$2, DATE(Initialisatie!$C$5,1,1)) + 1)
    ) / (DATE(Initialisatie!$C$5,12,31) - DATE(Initialisatie!$C$5,1,1) + 1)
)</f>
        <v>2877</v>
      </c>
    </row>
    <row r="69" spans="1:10" x14ac:dyDescent="0.45">
      <c r="A69" s="989"/>
      <c r="B69" s="35">
        <v>8</v>
      </c>
      <c r="C69" s="35">
        <v>17</v>
      </c>
      <c r="D69" s="35">
        <v>8</v>
      </c>
      <c r="E69" s="35" t="s">
        <v>342</v>
      </c>
      <c r="F69">
        <v>2831</v>
      </c>
      <c r="G69">
        <v>2888</v>
      </c>
      <c r="H69">
        <v>2946</v>
      </c>
      <c r="J69">
        <f>IF(
    OR(
        AND(MAX(0, MIN($F$1, DATE(Initialisatie!$C$5,12,31)) - MAX($F$2, DATE(Initialisatie!$C$5,1,1)) + 1) &gt; 0, IFERROR(VALUE($F69),0)=0),
        AND(MAX(0, MIN($G$1, DATE(Initialisatie!$C$5,12,31)) - MAX($G$2, DATE(Initialisatie!$C$5,1,1)) + 1) &gt; 0, IFERROR(VALUE($G69),0)=0),
        AND(MAX(0, MIN($H$1, DATE(Initialisatie!$C$5,12,31)) - MAX($H$2, DATE(Initialisatie!$C$5,1,1)) + 1) &gt; 0, IFERROR(VALUE($H69),0)=0)
    ),
    0,
    SUM(
        IFERROR(VALUE($F69),0) * MAX(0, MIN($F$1, DATE(Initialisatie!$C$5,12,31)) - MAX($F$2, DATE(Initialisatie!$C$5,1,1)) + 1),
        IFERROR(VALUE($G69),0) * MAX(0, MIN($G$1, DATE(Initialisatie!$C$5,12,31)) - MAX($G$2, DATE(Initialisatie!$C$5,1,1)) + 1),
        IFERROR(VALUE($H69),0) * MAX(0, MIN($H$1, DATE(Initialisatie!$C$5,12,31)) - MAX($H$2, DATE(Initialisatie!$C$5,1,1)) + 1)
    ) / (DATE(Initialisatie!$C$5,12,31) - DATE(Initialisatie!$C$5,1,1) + 1)
)</f>
        <v>2946</v>
      </c>
    </row>
    <row r="70" spans="1:10" x14ac:dyDescent="0.45">
      <c r="A70" s="989"/>
      <c r="B70" s="35">
        <v>9</v>
      </c>
      <c r="C70" s="35">
        <v>18</v>
      </c>
      <c r="D70" s="35">
        <v>9</v>
      </c>
      <c r="E70" s="35" t="s">
        <v>343</v>
      </c>
      <c r="F70">
        <v>2911</v>
      </c>
      <c r="G70">
        <v>2969</v>
      </c>
      <c r="H70">
        <v>3028</v>
      </c>
      <c r="J70">
        <f>IF(
    OR(
        AND(MAX(0, MIN($F$1, DATE(Initialisatie!$C$5,12,31)) - MAX($F$2, DATE(Initialisatie!$C$5,1,1)) + 1) &gt; 0, IFERROR(VALUE($F70),0)=0),
        AND(MAX(0, MIN($G$1, DATE(Initialisatie!$C$5,12,31)) - MAX($G$2, DATE(Initialisatie!$C$5,1,1)) + 1) &gt; 0, IFERROR(VALUE($G70),0)=0),
        AND(MAX(0, MIN($H$1, DATE(Initialisatie!$C$5,12,31)) - MAX($H$2, DATE(Initialisatie!$C$5,1,1)) + 1) &gt; 0, IFERROR(VALUE($H70),0)=0)
    ),
    0,
    SUM(
        IFERROR(VALUE($F70),0) * MAX(0, MIN($F$1, DATE(Initialisatie!$C$5,12,31)) - MAX($F$2, DATE(Initialisatie!$C$5,1,1)) + 1),
        IFERROR(VALUE($G70),0) * MAX(0, MIN($G$1, DATE(Initialisatie!$C$5,12,31)) - MAX($G$2, DATE(Initialisatie!$C$5,1,1)) + 1),
        IFERROR(VALUE($H70),0) * MAX(0, MIN($H$1, DATE(Initialisatie!$C$5,12,31)) - MAX($H$2, DATE(Initialisatie!$C$5,1,1)) + 1)
    ) / (DATE(Initialisatie!$C$5,12,31) - DATE(Initialisatie!$C$5,1,1) + 1)
)</f>
        <v>3028</v>
      </c>
    </row>
    <row r="71" spans="1:10" x14ac:dyDescent="0.45">
      <c r="A71" s="989"/>
      <c r="B71" s="35">
        <v>10</v>
      </c>
      <c r="C71" s="35">
        <v>19</v>
      </c>
      <c r="D71" s="35">
        <v>10</v>
      </c>
      <c r="E71" s="35" t="s">
        <v>344</v>
      </c>
      <c r="F71">
        <v>2986</v>
      </c>
      <c r="G71">
        <v>3046</v>
      </c>
      <c r="H71">
        <v>3107</v>
      </c>
      <c r="J71">
        <f>IF(
    OR(
        AND(MAX(0, MIN($F$1, DATE(Initialisatie!$C$5,12,31)) - MAX($F$2, DATE(Initialisatie!$C$5,1,1)) + 1) &gt; 0, IFERROR(VALUE($F71),0)=0),
        AND(MAX(0, MIN($G$1, DATE(Initialisatie!$C$5,12,31)) - MAX($G$2, DATE(Initialisatie!$C$5,1,1)) + 1) &gt; 0, IFERROR(VALUE($G71),0)=0),
        AND(MAX(0, MIN($H$1, DATE(Initialisatie!$C$5,12,31)) - MAX($H$2, DATE(Initialisatie!$C$5,1,1)) + 1) &gt; 0, IFERROR(VALUE($H71),0)=0)
    ),
    0,
    SUM(
        IFERROR(VALUE($F71),0) * MAX(0, MIN($F$1, DATE(Initialisatie!$C$5,12,31)) - MAX($F$2, DATE(Initialisatie!$C$5,1,1)) + 1),
        IFERROR(VALUE($G71),0) * MAX(0, MIN($G$1, DATE(Initialisatie!$C$5,12,31)) - MAX($G$2, DATE(Initialisatie!$C$5,1,1)) + 1),
        IFERROR(VALUE($H71),0) * MAX(0, MIN($H$1, DATE(Initialisatie!$C$5,12,31)) - MAX($H$2, DATE(Initialisatie!$C$5,1,1)) + 1)
    ) / (DATE(Initialisatie!$C$5,12,31) - DATE(Initialisatie!$C$5,1,1) + 1)
)</f>
        <v>3107</v>
      </c>
    </row>
    <row r="72" spans="1:10" x14ac:dyDescent="0.45">
      <c r="A72" s="990"/>
      <c r="B72" s="35">
        <v>11</v>
      </c>
      <c r="C72" s="35">
        <v>20</v>
      </c>
      <c r="D72" s="35">
        <v>11</v>
      </c>
      <c r="E72" s="35" t="s">
        <v>689</v>
      </c>
      <c r="F72">
        <v>3067</v>
      </c>
      <c r="G72">
        <v>3128</v>
      </c>
      <c r="H72">
        <v>3191</v>
      </c>
      <c r="J72">
        <f>IF(
    OR(
        AND(MAX(0, MIN($F$1, DATE(Initialisatie!$C$5,12,31)) - MAX($F$2, DATE(Initialisatie!$C$5,1,1)) + 1) &gt; 0, IFERROR(VALUE($F72),0)=0),
        AND(MAX(0, MIN($G$1, DATE(Initialisatie!$C$5,12,31)) - MAX($G$2, DATE(Initialisatie!$C$5,1,1)) + 1) &gt; 0, IFERROR(VALUE($G72),0)=0),
        AND(MAX(0, MIN($H$1, DATE(Initialisatie!$C$5,12,31)) - MAX($H$2, DATE(Initialisatie!$C$5,1,1)) + 1) &gt; 0, IFERROR(VALUE($H72),0)=0)
    ),
    0,
    SUM(
        IFERROR(VALUE($F72),0) * MAX(0, MIN($F$1, DATE(Initialisatie!$C$5,12,31)) - MAX($F$2, DATE(Initialisatie!$C$5,1,1)) + 1),
        IFERROR(VALUE($G72),0) * MAX(0, MIN($G$1, DATE(Initialisatie!$C$5,12,31)) - MAX($G$2, DATE(Initialisatie!$C$5,1,1)) + 1),
        IFERROR(VALUE($H72),0) * MAX(0, MIN($H$1, DATE(Initialisatie!$C$5,12,31)) - MAX($H$2, DATE(Initialisatie!$C$5,1,1)) + 1)
    ) / (DATE(Initialisatie!$C$5,12,31) - DATE(Initialisatie!$C$5,1,1) + 1)
)</f>
        <v>3191</v>
      </c>
    </row>
    <row r="73" spans="1:10" x14ac:dyDescent="0.45">
      <c r="A73" s="988">
        <v>35</v>
      </c>
      <c r="B73" s="35">
        <v>1</v>
      </c>
      <c r="C73" s="35">
        <v>10</v>
      </c>
      <c r="D73" s="35">
        <v>1</v>
      </c>
      <c r="E73" s="35" t="s">
        <v>347</v>
      </c>
      <c r="F73">
        <v>2338</v>
      </c>
      <c r="G73">
        <v>2393</v>
      </c>
      <c r="H73">
        <v>2448</v>
      </c>
      <c r="J73">
        <f>IF(
    OR(
        AND(MAX(0, MIN($F$1, DATE(Initialisatie!$C$5,12,31)) - MAX($F$2, DATE(Initialisatie!$C$5,1,1)) + 1) &gt; 0, IFERROR(VALUE($F73),0)=0),
        AND(MAX(0, MIN($G$1, DATE(Initialisatie!$C$5,12,31)) - MAX($G$2, DATE(Initialisatie!$C$5,1,1)) + 1) &gt; 0, IFERROR(VALUE($G73),0)=0),
        AND(MAX(0, MIN($H$1, DATE(Initialisatie!$C$5,12,31)) - MAX($H$2, DATE(Initialisatie!$C$5,1,1)) + 1) &gt; 0, IFERROR(VALUE($H73),0)=0)
    ),
    0,
    SUM(
        IFERROR(VALUE($F73),0) * MAX(0, MIN($F$1, DATE(Initialisatie!$C$5,12,31)) - MAX($F$2, DATE(Initialisatie!$C$5,1,1)) + 1),
        IFERROR(VALUE($G73),0) * MAX(0, MIN($G$1, DATE(Initialisatie!$C$5,12,31)) - MAX($G$2, DATE(Initialisatie!$C$5,1,1)) + 1),
        IFERROR(VALUE($H73),0) * MAX(0, MIN($H$1, DATE(Initialisatie!$C$5,12,31)) - MAX($H$2, DATE(Initialisatie!$C$5,1,1)) + 1)
    ) / (DATE(Initialisatie!$C$5,12,31) - DATE(Initialisatie!$C$5,1,1) + 1)
)</f>
        <v>2448</v>
      </c>
    </row>
    <row r="74" spans="1:10" x14ac:dyDescent="0.45">
      <c r="A74" s="989"/>
      <c r="B74" s="35">
        <v>2</v>
      </c>
      <c r="C74" s="35">
        <v>12</v>
      </c>
      <c r="D74" s="35">
        <v>2</v>
      </c>
      <c r="E74" s="35" t="s">
        <v>348</v>
      </c>
      <c r="F74">
        <v>2468</v>
      </c>
      <c r="G74">
        <v>2523</v>
      </c>
      <c r="H74">
        <v>2578</v>
      </c>
      <c r="J74">
        <f>IF(
    OR(
        AND(MAX(0, MIN($F$1, DATE(Initialisatie!$C$5,12,31)) - MAX($F$2, DATE(Initialisatie!$C$5,1,1)) + 1) &gt; 0, IFERROR(VALUE($F74),0)=0),
        AND(MAX(0, MIN($G$1, DATE(Initialisatie!$C$5,12,31)) - MAX($G$2, DATE(Initialisatie!$C$5,1,1)) + 1) &gt; 0, IFERROR(VALUE($G74),0)=0),
        AND(MAX(0, MIN($H$1, DATE(Initialisatie!$C$5,12,31)) - MAX($H$2, DATE(Initialisatie!$C$5,1,1)) + 1) &gt; 0, IFERROR(VALUE($H74),0)=0)
    ),
    0,
    SUM(
        IFERROR(VALUE($F74),0) * MAX(0, MIN($F$1, DATE(Initialisatie!$C$5,12,31)) - MAX($F$2, DATE(Initialisatie!$C$5,1,1)) + 1),
        IFERROR(VALUE($G74),0) * MAX(0, MIN($G$1, DATE(Initialisatie!$C$5,12,31)) - MAX($G$2, DATE(Initialisatie!$C$5,1,1)) + 1),
        IFERROR(VALUE($H74),0) * MAX(0, MIN($H$1, DATE(Initialisatie!$C$5,12,31)) - MAX($H$2, DATE(Initialisatie!$C$5,1,1)) + 1)
    ) / (DATE(Initialisatie!$C$5,12,31) - DATE(Initialisatie!$C$5,1,1) + 1)
)</f>
        <v>2578</v>
      </c>
    </row>
    <row r="75" spans="1:10" x14ac:dyDescent="0.45">
      <c r="A75" s="989"/>
      <c r="B75" s="35">
        <v>3</v>
      </c>
      <c r="C75" s="35">
        <v>14</v>
      </c>
      <c r="D75" s="35">
        <v>3</v>
      </c>
      <c r="E75" s="35" t="s">
        <v>349</v>
      </c>
      <c r="F75">
        <v>2617</v>
      </c>
      <c r="G75">
        <v>2672</v>
      </c>
      <c r="H75">
        <v>2727</v>
      </c>
      <c r="J75">
        <f>IF(
    OR(
        AND(MAX(0, MIN($F$1, DATE(Initialisatie!$C$5,12,31)) - MAX($F$2, DATE(Initialisatie!$C$5,1,1)) + 1) &gt; 0, IFERROR(VALUE($F75),0)=0),
        AND(MAX(0, MIN($G$1, DATE(Initialisatie!$C$5,12,31)) - MAX($G$2, DATE(Initialisatie!$C$5,1,1)) + 1) &gt; 0, IFERROR(VALUE($G75),0)=0),
        AND(MAX(0, MIN($H$1, DATE(Initialisatie!$C$5,12,31)) - MAX($H$2, DATE(Initialisatie!$C$5,1,1)) + 1) &gt; 0, IFERROR(VALUE($H75),0)=0)
    ),
    0,
    SUM(
        IFERROR(VALUE($F75),0) * MAX(0, MIN($F$1, DATE(Initialisatie!$C$5,12,31)) - MAX($F$2, DATE(Initialisatie!$C$5,1,1)) + 1),
        IFERROR(VALUE($G75),0) * MAX(0, MIN($G$1, DATE(Initialisatie!$C$5,12,31)) - MAX($G$2, DATE(Initialisatie!$C$5,1,1)) + 1),
        IFERROR(VALUE($H75),0) * MAX(0, MIN($H$1, DATE(Initialisatie!$C$5,12,31)) - MAX($H$2, DATE(Initialisatie!$C$5,1,1)) + 1)
    ) / (DATE(Initialisatie!$C$5,12,31) - DATE(Initialisatie!$C$5,1,1) + 1)
)</f>
        <v>2727</v>
      </c>
    </row>
    <row r="76" spans="1:10" x14ac:dyDescent="0.45">
      <c r="A76" s="989"/>
      <c r="B76" s="35">
        <v>4</v>
      </c>
      <c r="C76" s="35">
        <v>15</v>
      </c>
      <c r="D76" s="35">
        <v>4</v>
      </c>
      <c r="E76" s="35" t="s">
        <v>350</v>
      </c>
      <c r="F76">
        <v>2686</v>
      </c>
      <c r="G76">
        <v>2741</v>
      </c>
      <c r="H76">
        <v>2796</v>
      </c>
      <c r="J76">
        <f>IF(
    OR(
        AND(MAX(0, MIN($F$1, DATE(Initialisatie!$C$5,12,31)) - MAX($F$2, DATE(Initialisatie!$C$5,1,1)) + 1) &gt; 0, IFERROR(VALUE($F76),0)=0),
        AND(MAX(0, MIN($G$1, DATE(Initialisatie!$C$5,12,31)) - MAX($G$2, DATE(Initialisatie!$C$5,1,1)) + 1) &gt; 0, IFERROR(VALUE($G76),0)=0),
        AND(MAX(0, MIN($H$1, DATE(Initialisatie!$C$5,12,31)) - MAX($H$2, DATE(Initialisatie!$C$5,1,1)) + 1) &gt; 0, IFERROR(VALUE($H76),0)=0)
    ),
    0,
    SUM(
        IFERROR(VALUE($F76),0) * MAX(0, MIN($F$1, DATE(Initialisatie!$C$5,12,31)) - MAX($F$2, DATE(Initialisatie!$C$5,1,1)) + 1),
        IFERROR(VALUE($G76),0) * MAX(0, MIN($G$1, DATE(Initialisatie!$C$5,12,31)) - MAX($G$2, DATE(Initialisatie!$C$5,1,1)) + 1),
        IFERROR(VALUE($H76),0) * MAX(0, MIN($H$1, DATE(Initialisatie!$C$5,12,31)) - MAX($H$2, DATE(Initialisatie!$C$5,1,1)) + 1)
    ) / (DATE(Initialisatie!$C$5,12,31) - DATE(Initialisatie!$C$5,1,1) + 1)
)</f>
        <v>2796</v>
      </c>
    </row>
    <row r="77" spans="1:10" x14ac:dyDescent="0.45">
      <c r="A77" s="989"/>
      <c r="B77" s="35">
        <v>5</v>
      </c>
      <c r="C77" s="35">
        <v>16</v>
      </c>
      <c r="D77" s="35">
        <v>5</v>
      </c>
      <c r="E77" s="35" t="s">
        <v>351</v>
      </c>
      <c r="F77">
        <v>2766</v>
      </c>
      <c r="G77">
        <v>2821</v>
      </c>
      <c r="H77">
        <v>2877</v>
      </c>
      <c r="J77">
        <f>IF(
    OR(
        AND(MAX(0, MIN($F$1, DATE(Initialisatie!$C$5,12,31)) - MAX($F$2, DATE(Initialisatie!$C$5,1,1)) + 1) &gt; 0, IFERROR(VALUE($F77),0)=0),
        AND(MAX(0, MIN($G$1, DATE(Initialisatie!$C$5,12,31)) - MAX($G$2, DATE(Initialisatie!$C$5,1,1)) + 1) &gt; 0, IFERROR(VALUE($G77),0)=0),
        AND(MAX(0, MIN($H$1, DATE(Initialisatie!$C$5,12,31)) - MAX($H$2, DATE(Initialisatie!$C$5,1,1)) + 1) &gt; 0, IFERROR(VALUE($H77),0)=0)
    ),
    0,
    SUM(
        IFERROR(VALUE($F77),0) * MAX(0, MIN($F$1, DATE(Initialisatie!$C$5,12,31)) - MAX($F$2, DATE(Initialisatie!$C$5,1,1)) + 1),
        IFERROR(VALUE($G77),0) * MAX(0, MIN($G$1, DATE(Initialisatie!$C$5,12,31)) - MAX($G$2, DATE(Initialisatie!$C$5,1,1)) + 1),
        IFERROR(VALUE($H77),0) * MAX(0, MIN($H$1, DATE(Initialisatie!$C$5,12,31)) - MAX($H$2, DATE(Initialisatie!$C$5,1,1)) + 1)
    ) / (DATE(Initialisatie!$C$5,12,31) - DATE(Initialisatie!$C$5,1,1) + 1)
)</f>
        <v>2877</v>
      </c>
    </row>
    <row r="78" spans="1:10" x14ac:dyDescent="0.45">
      <c r="A78" s="989"/>
      <c r="B78" s="35">
        <v>6</v>
      </c>
      <c r="C78" s="35">
        <v>17</v>
      </c>
      <c r="D78" s="35">
        <v>6</v>
      </c>
      <c r="E78" s="35" t="s">
        <v>352</v>
      </c>
      <c r="F78">
        <v>2831</v>
      </c>
      <c r="G78">
        <v>2888</v>
      </c>
      <c r="H78">
        <v>2946</v>
      </c>
      <c r="J78">
        <f>IF(
    OR(
        AND(MAX(0, MIN($F$1, DATE(Initialisatie!$C$5,12,31)) - MAX($F$2, DATE(Initialisatie!$C$5,1,1)) + 1) &gt; 0, IFERROR(VALUE($F78),0)=0),
        AND(MAX(0, MIN($G$1, DATE(Initialisatie!$C$5,12,31)) - MAX($G$2, DATE(Initialisatie!$C$5,1,1)) + 1) &gt; 0, IFERROR(VALUE($G78),0)=0),
        AND(MAX(0, MIN($H$1, DATE(Initialisatie!$C$5,12,31)) - MAX($H$2, DATE(Initialisatie!$C$5,1,1)) + 1) &gt; 0, IFERROR(VALUE($H78),0)=0)
    ),
    0,
    SUM(
        IFERROR(VALUE($F78),0) * MAX(0, MIN($F$1, DATE(Initialisatie!$C$5,12,31)) - MAX($F$2, DATE(Initialisatie!$C$5,1,1)) + 1),
        IFERROR(VALUE($G78),0) * MAX(0, MIN($G$1, DATE(Initialisatie!$C$5,12,31)) - MAX($G$2, DATE(Initialisatie!$C$5,1,1)) + 1),
        IFERROR(VALUE($H78),0) * MAX(0, MIN($H$1, DATE(Initialisatie!$C$5,12,31)) - MAX($H$2, DATE(Initialisatie!$C$5,1,1)) + 1)
    ) / (DATE(Initialisatie!$C$5,12,31) - DATE(Initialisatie!$C$5,1,1) + 1)
)</f>
        <v>2946</v>
      </c>
    </row>
    <row r="79" spans="1:10" x14ac:dyDescent="0.45">
      <c r="A79" s="989"/>
      <c r="B79" s="35">
        <v>7</v>
      </c>
      <c r="C79" s="35">
        <v>18</v>
      </c>
      <c r="D79" s="35">
        <v>7</v>
      </c>
      <c r="E79" s="35" t="s">
        <v>353</v>
      </c>
      <c r="F79">
        <v>2911</v>
      </c>
      <c r="G79">
        <v>2969</v>
      </c>
      <c r="H79">
        <v>3028</v>
      </c>
      <c r="J79">
        <f>IF(
    OR(
        AND(MAX(0, MIN($F$1, DATE(Initialisatie!$C$5,12,31)) - MAX($F$2, DATE(Initialisatie!$C$5,1,1)) + 1) &gt; 0, IFERROR(VALUE($F79),0)=0),
        AND(MAX(0, MIN($G$1, DATE(Initialisatie!$C$5,12,31)) - MAX($G$2, DATE(Initialisatie!$C$5,1,1)) + 1) &gt; 0, IFERROR(VALUE($G79),0)=0),
        AND(MAX(0, MIN($H$1, DATE(Initialisatie!$C$5,12,31)) - MAX($H$2, DATE(Initialisatie!$C$5,1,1)) + 1) &gt; 0, IFERROR(VALUE($H79),0)=0)
    ),
    0,
    SUM(
        IFERROR(VALUE($F79),0) * MAX(0, MIN($F$1, DATE(Initialisatie!$C$5,12,31)) - MAX($F$2, DATE(Initialisatie!$C$5,1,1)) + 1),
        IFERROR(VALUE($G79),0) * MAX(0, MIN($G$1, DATE(Initialisatie!$C$5,12,31)) - MAX($G$2, DATE(Initialisatie!$C$5,1,1)) + 1),
        IFERROR(VALUE($H79),0) * MAX(0, MIN($H$1, DATE(Initialisatie!$C$5,12,31)) - MAX($H$2, DATE(Initialisatie!$C$5,1,1)) + 1)
    ) / (DATE(Initialisatie!$C$5,12,31) - DATE(Initialisatie!$C$5,1,1) + 1)
)</f>
        <v>3028</v>
      </c>
    </row>
    <row r="80" spans="1:10" x14ac:dyDescent="0.45">
      <c r="A80" s="989"/>
      <c r="B80" s="35">
        <v>8</v>
      </c>
      <c r="C80" s="35">
        <v>19</v>
      </c>
      <c r="D80" s="35">
        <v>8</v>
      </c>
      <c r="E80" s="35" t="s">
        <v>354</v>
      </c>
      <c r="F80">
        <v>2986</v>
      </c>
      <c r="G80">
        <v>3046</v>
      </c>
      <c r="H80">
        <v>3107</v>
      </c>
      <c r="J80">
        <f>IF(
    OR(
        AND(MAX(0, MIN($F$1, DATE(Initialisatie!$C$5,12,31)) - MAX($F$2, DATE(Initialisatie!$C$5,1,1)) + 1) &gt; 0, IFERROR(VALUE($F80),0)=0),
        AND(MAX(0, MIN($G$1, DATE(Initialisatie!$C$5,12,31)) - MAX($G$2, DATE(Initialisatie!$C$5,1,1)) + 1) &gt; 0, IFERROR(VALUE($G80),0)=0),
        AND(MAX(0, MIN($H$1, DATE(Initialisatie!$C$5,12,31)) - MAX($H$2, DATE(Initialisatie!$C$5,1,1)) + 1) &gt; 0, IFERROR(VALUE($H80),0)=0)
    ),
    0,
    SUM(
        IFERROR(VALUE($F80),0) * MAX(0, MIN($F$1, DATE(Initialisatie!$C$5,12,31)) - MAX($F$2, DATE(Initialisatie!$C$5,1,1)) + 1),
        IFERROR(VALUE($G80),0) * MAX(0, MIN($G$1, DATE(Initialisatie!$C$5,12,31)) - MAX($G$2, DATE(Initialisatie!$C$5,1,1)) + 1),
        IFERROR(VALUE($H80),0) * MAX(0, MIN($H$1, DATE(Initialisatie!$C$5,12,31)) - MAX($H$2, DATE(Initialisatie!$C$5,1,1)) + 1)
    ) / (DATE(Initialisatie!$C$5,12,31) - DATE(Initialisatie!$C$5,1,1) + 1)
)</f>
        <v>3107</v>
      </c>
    </row>
    <row r="81" spans="1:10" x14ac:dyDescent="0.45">
      <c r="A81" s="989"/>
      <c r="B81" s="35">
        <v>9</v>
      </c>
      <c r="C81" s="35">
        <v>20</v>
      </c>
      <c r="D81" s="35">
        <v>9</v>
      </c>
      <c r="E81" s="35" t="s">
        <v>355</v>
      </c>
      <c r="F81">
        <v>3067</v>
      </c>
      <c r="G81">
        <v>3128</v>
      </c>
      <c r="H81">
        <v>3191</v>
      </c>
      <c r="J81">
        <f>IF(
    OR(
        AND(MAX(0, MIN($F$1, DATE(Initialisatie!$C$5,12,31)) - MAX($F$2, DATE(Initialisatie!$C$5,1,1)) + 1) &gt; 0, IFERROR(VALUE($F81),0)=0),
        AND(MAX(0, MIN($G$1, DATE(Initialisatie!$C$5,12,31)) - MAX($G$2, DATE(Initialisatie!$C$5,1,1)) + 1) &gt; 0, IFERROR(VALUE($G81),0)=0),
        AND(MAX(0, MIN($H$1, DATE(Initialisatie!$C$5,12,31)) - MAX($H$2, DATE(Initialisatie!$C$5,1,1)) + 1) &gt; 0, IFERROR(VALUE($H81),0)=0)
    ),
    0,
    SUM(
        IFERROR(VALUE($F81),0) * MAX(0, MIN($F$1, DATE(Initialisatie!$C$5,12,31)) - MAX($F$2, DATE(Initialisatie!$C$5,1,1)) + 1),
        IFERROR(VALUE($G81),0) * MAX(0, MIN($G$1, DATE(Initialisatie!$C$5,12,31)) - MAX($G$2, DATE(Initialisatie!$C$5,1,1)) + 1),
        IFERROR(VALUE($H81),0) * MAX(0, MIN($H$1, DATE(Initialisatie!$C$5,12,31)) - MAX($H$2, DATE(Initialisatie!$C$5,1,1)) + 1)
    ) / (DATE(Initialisatie!$C$5,12,31) - DATE(Initialisatie!$C$5,1,1) + 1)
)</f>
        <v>3191</v>
      </c>
    </row>
    <row r="82" spans="1:10" x14ac:dyDescent="0.45">
      <c r="A82" s="989"/>
      <c r="B82" s="35">
        <v>10</v>
      </c>
      <c r="C82" s="35">
        <v>21</v>
      </c>
      <c r="D82" s="35">
        <v>10</v>
      </c>
      <c r="E82" s="35" t="s">
        <v>356</v>
      </c>
      <c r="F82">
        <v>3142</v>
      </c>
      <c r="G82">
        <v>3205</v>
      </c>
      <c r="H82">
        <v>3269</v>
      </c>
      <c r="J82">
        <f>IF(
    OR(
        AND(MAX(0, MIN($F$1, DATE(Initialisatie!$C$5,12,31)) - MAX($F$2, DATE(Initialisatie!$C$5,1,1)) + 1) &gt; 0, IFERROR(VALUE($F82),0)=0),
        AND(MAX(0, MIN($G$1, DATE(Initialisatie!$C$5,12,31)) - MAX($G$2, DATE(Initialisatie!$C$5,1,1)) + 1) &gt; 0, IFERROR(VALUE($G82),0)=0),
        AND(MAX(0, MIN($H$1, DATE(Initialisatie!$C$5,12,31)) - MAX($H$2, DATE(Initialisatie!$C$5,1,1)) + 1) &gt; 0, IFERROR(VALUE($H82),0)=0)
    ),
    0,
    SUM(
        IFERROR(VALUE($F82),0) * MAX(0, MIN($F$1, DATE(Initialisatie!$C$5,12,31)) - MAX($F$2, DATE(Initialisatie!$C$5,1,1)) + 1),
        IFERROR(VALUE($G82),0) * MAX(0, MIN($G$1, DATE(Initialisatie!$C$5,12,31)) - MAX($G$2, DATE(Initialisatie!$C$5,1,1)) + 1),
        IFERROR(VALUE($H82),0) * MAX(0, MIN($H$1, DATE(Initialisatie!$C$5,12,31)) - MAX($H$2, DATE(Initialisatie!$C$5,1,1)) + 1)
    ) / (DATE(Initialisatie!$C$5,12,31) - DATE(Initialisatie!$C$5,1,1) + 1)
)</f>
        <v>3269</v>
      </c>
    </row>
    <row r="83" spans="1:10" x14ac:dyDescent="0.45">
      <c r="A83" s="989"/>
      <c r="B83" s="35">
        <v>11</v>
      </c>
      <c r="C83" s="35">
        <v>22</v>
      </c>
      <c r="D83" s="35">
        <v>11</v>
      </c>
      <c r="E83" s="35" t="s">
        <v>357</v>
      </c>
      <c r="F83">
        <v>3217</v>
      </c>
      <c r="G83">
        <v>3281</v>
      </c>
      <c r="H83">
        <v>3347</v>
      </c>
      <c r="J83">
        <f>IF(
    OR(
        AND(MAX(0, MIN($F$1, DATE(Initialisatie!$C$5,12,31)) - MAX($F$2, DATE(Initialisatie!$C$5,1,1)) + 1) &gt; 0, IFERROR(VALUE($F83),0)=0),
        AND(MAX(0, MIN($G$1, DATE(Initialisatie!$C$5,12,31)) - MAX($G$2, DATE(Initialisatie!$C$5,1,1)) + 1) &gt; 0, IFERROR(VALUE($G83),0)=0),
        AND(MAX(0, MIN($H$1, DATE(Initialisatie!$C$5,12,31)) - MAX($H$2, DATE(Initialisatie!$C$5,1,1)) + 1) &gt; 0, IFERROR(VALUE($H83),0)=0)
    ),
    0,
    SUM(
        IFERROR(VALUE($F83),0) * MAX(0, MIN($F$1, DATE(Initialisatie!$C$5,12,31)) - MAX($F$2, DATE(Initialisatie!$C$5,1,1)) + 1),
        IFERROR(VALUE($G83),0) * MAX(0, MIN($G$1, DATE(Initialisatie!$C$5,12,31)) - MAX($G$2, DATE(Initialisatie!$C$5,1,1)) + 1),
        IFERROR(VALUE($H83),0) * MAX(0, MIN($H$1, DATE(Initialisatie!$C$5,12,31)) - MAX($H$2, DATE(Initialisatie!$C$5,1,1)) + 1)
    ) / (DATE(Initialisatie!$C$5,12,31) - DATE(Initialisatie!$C$5,1,1) + 1)
)</f>
        <v>3347</v>
      </c>
    </row>
    <row r="84" spans="1:10" x14ac:dyDescent="0.45">
      <c r="A84" s="990"/>
      <c r="B84" s="35">
        <v>12</v>
      </c>
      <c r="C84" s="35">
        <v>23</v>
      </c>
      <c r="D84" s="35">
        <v>12</v>
      </c>
      <c r="E84" s="35" t="s">
        <v>690</v>
      </c>
      <c r="F84">
        <v>3294</v>
      </c>
      <c r="G84">
        <v>3360</v>
      </c>
      <c r="H84">
        <v>3427</v>
      </c>
      <c r="J84">
        <f>IF(
    OR(
        AND(MAX(0, MIN($F$1, DATE(Initialisatie!$C$5,12,31)) - MAX($F$2, DATE(Initialisatie!$C$5,1,1)) + 1) &gt; 0, IFERROR(VALUE($F84),0)=0),
        AND(MAX(0, MIN($G$1, DATE(Initialisatie!$C$5,12,31)) - MAX($G$2, DATE(Initialisatie!$C$5,1,1)) + 1) &gt; 0, IFERROR(VALUE($G84),0)=0),
        AND(MAX(0, MIN($H$1, DATE(Initialisatie!$C$5,12,31)) - MAX($H$2, DATE(Initialisatie!$C$5,1,1)) + 1) &gt; 0, IFERROR(VALUE($H84),0)=0)
    ),
    0,
    SUM(
        IFERROR(VALUE($F84),0) * MAX(0, MIN($F$1, DATE(Initialisatie!$C$5,12,31)) - MAX($F$2, DATE(Initialisatie!$C$5,1,1)) + 1),
        IFERROR(VALUE($G84),0) * MAX(0, MIN($G$1, DATE(Initialisatie!$C$5,12,31)) - MAX($G$2, DATE(Initialisatie!$C$5,1,1)) + 1),
        IFERROR(VALUE($H84),0) * MAX(0, MIN($H$1, DATE(Initialisatie!$C$5,12,31)) - MAX($H$2, DATE(Initialisatie!$C$5,1,1)) + 1)
    ) / (DATE(Initialisatie!$C$5,12,31) - DATE(Initialisatie!$C$5,1,1) + 1)
)</f>
        <v>3427</v>
      </c>
    </row>
    <row r="85" spans="1:10" x14ac:dyDescent="0.45">
      <c r="A85" s="988">
        <v>40</v>
      </c>
      <c r="B85" s="35">
        <v>2</v>
      </c>
      <c r="C85" s="35">
        <v>14</v>
      </c>
      <c r="D85" s="35">
        <v>2</v>
      </c>
      <c r="E85" s="35" t="s">
        <v>361</v>
      </c>
      <c r="F85">
        <v>2617</v>
      </c>
      <c r="G85">
        <v>2672</v>
      </c>
      <c r="H85">
        <v>2727</v>
      </c>
      <c r="J85">
        <f>IF(
    OR(
        AND(MAX(0, MIN($F$1, DATE(Initialisatie!$C$5,12,31)) - MAX($F$2, DATE(Initialisatie!$C$5,1,1)) + 1) &gt; 0, IFERROR(VALUE($F85),0)=0),
        AND(MAX(0, MIN($G$1, DATE(Initialisatie!$C$5,12,31)) - MAX($G$2, DATE(Initialisatie!$C$5,1,1)) + 1) &gt; 0, IFERROR(VALUE($G85),0)=0),
        AND(MAX(0, MIN($H$1, DATE(Initialisatie!$C$5,12,31)) - MAX($H$2, DATE(Initialisatie!$C$5,1,1)) + 1) &gt; 0, IFERROR(VALUE($H85),0)=0)
    ),
    0,
    SUM(
        IFERROR(VALUE($F85),0) * MAX(0, MIN($F$1, DATE(Initialisatie!$C$5,12,31)) - MAX($F$2, DATE(Initialisatie!$C$5,1,1)) + 1),
        IFERROR(VALUE($G85),0) * MAX(0, MIN($G$1, DATE(Initialisatie!$C$5,12,31)) - MAX($G$2, DATE(Initialisatie!$C$5,1,1)) + 1),
        IFERROR(VALUE($H85),0) * MAX(0, MIN($H$1, DATE(Initialisatie!$C$5,12,31)) - MAX($H$2, DATE(Initialisatie!$C$5,1,1)) + 1)
    ) / (DATE(Initialisatie!$C$5,12,31) - DATE(Initialisatie!$C$5,1,1) + 1)
)</f>
        <v>2727</v>
      </c>
    </row>
    <row r="86" spans="1:10" x14ac:dyDescent="0.45">
      <c r="A86" s="989"/>
      <c r="B86" s="35">
        <v>3</v>
      </c>
      <c r="C86" s="35">
        <v>16</v>
      </c>
      <c r="D86" s="35">
        <v>3</v>
      </c>
      <c r="E86" s="35" t="s">
        <v>362</v>
      </c>
      <c r="F86">
        <v>2766</v>
      </c>
      <c r="G86">
        <v>2821</v>
      </c>
      <c r="H86">
        <v>2877</v>
      </c>
      <c r="J86">
        <f>IF(
    OR(
        AND(MAX(0, MIN($F$1, DATE(Initialisatie!$C$5,12,31)) - MAX($F$2, DATE(Initialisatie!$C$5,1,1)) + 1) &gt; 0, IFERROR(VALUE($F86),0)=0),
        AND(MAX(0, MIN($G$1, DATE(Initialisatie!$C$5,12,31)) - MAX($G$2, DATE(Initialisatie!$C$5,1,1)) + 1) &gt; 0, IFERROR(VALUE($G86),0)=0),
        AND(MAX(0, MIN($H$1, DATE(Initialisatie!$C$5,12,31)) - MAX($H$2, DATE(Initialisatie!$C$5,1,1)) + 1) &gt; 0, IFERROR(VALUE($H86),0)=0)
    ),
    0,
    SUM(
        IFERROR(VALUE($F86),0) * MAX(0, MIN($F$1, DATE(Initialisatie!$C$5,12,31)) - MAX($F$2, DATE(Initialisatie!$C$5,1,1)) + 1),
        IFERROR(VALUE($G86),0) * MAX(0, MIN($G$1, DATE(Initialisatie!$C$5,12,31)) - MAX($G$2, DATE(Initialisatie!$C$5,1,1)) + 1),
        IFERROR(VALUE($H86),0) * MAX(0, MIN($H$1, DATE(Initialisatie!$C$5,12,31)) - MAX($H$2, DATE(Initialisatie!$C$5,1,1)) + 1)
    ) / (DATE(Initialisatie!$C$5,12,31) - DATE(Initialisatie!$C$5,1,1) + 1)
)</f>
        <v>2877</v>
      </c>
    </row>
    <row r="87" spans="1:10" x14ac:dyDescent="0.45">
      <c r="A87" s="989"/>
      <c r="B87" s="35">
        <v>4</v>
      </c>
      <c r="C87" s="35">
        <v>17</v>
      </c>
      <c r="D87" s="35">
        <v>4</v>
      </c>
      <c r="E87" s="35" t="s">
        <v>363</v>
      </c>
      <c r="F87">
        <v>2831</v>
      </c>
      <c r="G87">
        <v>2888</v>
      </c>
      <c r="H87">
        <v>2946</v>
      </c>
      <c r="J87">
        <f>IF(
    OR(
        AND(MAX(0, MIN($F$1, DATE(Initialisatie!$C$5,12,31)) - MAX($F$2, DATE(Initialisatie!$C$5,1,1)) + 1) &gt; 0, IFERROR(VALUE($F87),0)=0),
        AND(MAX(0, MIN($G$1, DATE(Initialisatie!$C$5,12,31)) - MAX($G$2, DATE(Initialisatie!$C$5,1,1)) + 1) &gt; 0, IFERROR(VALUE($G87),0)=0),
        AND(MAX(0, MIN($H$1, DATE(Initialisatie!$C$5,12,31)) - MAX($H$2, DATE(Initialisatie!$C$5,1,1)) + 1) &gt; 0, IFERROR(VALUE($H87),0)=0)
    ),
    0,
    SUM(
        IFERROR(VALUE($F87),0) * MAX(0, MIN($F$1, DATE(Initialisatie!$C$5,12,31)) - MAX($F$2, DATE(Initialisatie!$C$5,1,1)) + 1),
        IFERROR(VALUE($G87),0) * MAX(0, MIN($G$1, DATE(Initialisatie!$C$5,12,31)) - MAX($G$2, DATE(Initialisatie!$C$5,1,1)) + 1),
        IFERROR(VALUE($H87),0) * MAX(0, MIN($H$1, DATE(Initialisatie!$C$5,12,31)) - MAX($H$2, DATE(Initialisatie!$C$5,1,1)) + 1)
    ) / (DATE(Initialisatie!$C$5,12,31) - DATE(Initialisatie!$C$5,1,1) + 1)
)</f>
        <v>2946</v>
      </c>
    </row>
    <row r="88" spans="1:10" x14ac:dyDescent="0.45">
      <c r="A88" s="989"/>
      <c r="B88" s="35">
        <v>5</v>
      </c>
      <c r="C88" s="35">
        <v>18</v>
      </c>
      <c r="D88" s="35">
        <v>5</v>
      </c>
      <c r="E88" s="35" t="s">
        <v>364</v>
      </c>
      <c r="F88">
        <v>2911</v>
      </c>
      <c r="G88">
        <v>2969</v>
      </c>
      <c r="H88">
        <v>3028</v>
      </c>
      <c r="J88">
        <f>IF(
    OR(
        AND(MAX(0, MIN($F$1, DATE(Initialisatie!$C$5,12,31)) - MAX($F$2, DATE(Initialisatie!$C$5,1,1)) + 1) &gt; 0, IFERROR(VALUE($F88),0)=0),
        AND(MAX(0, MIN($G$1, DATE(Initialisatie!$C$5,12,31)) - MAX($G$2, DATE(Initialisatie!$C$5,1,1)) + 1) &gt; 0, IFERROR(VALUE($G88),0)=0),
        AND(MAX(0, MIN($H$1, DATE(Initialisatie!$C$5,12,31)) - MAX($H$2, DATE(Initialisatie!$C$5,1,1)) + 1) &gt; 0, IFERROR(VALUE($H88),0)=0)
    ),
    0,
    SUM(
        IFERROR(VALUE($F88),0) * MAX(0, MIN($F$1, DATE(Initialisatie!$C$5,12,31)) - MAX($F$2, DATE(Initialisatie!$C$5,1,1)) + 1),
        IFERROR(VALUE($G88),0) * MAX(0, MIN($G$1, DATE(Initialisatie!$C$5,12,31)) - MAX($G$2, DATE(Initialisatie!$C$5,1,1)) + 1),
        IFERROR(VALUE($H88),0) * MAX(0, MIN($H$1, DATE(Initialisatie!$C$5,12,31)) - MAX($H$2, DATE(Initialisatie!$C$5,1,1)) + 1)
    ) / (DATE(Initialisatie!$C$5,12,31) - DATE(Initialisatie!$C$5,1,1) + 1)
)</f>
        <v>3028</v>
      </c>
    </row>
    <row r="89" spans="1:10" x14ac:dyDescent="0.45">
      <c r="A89" s="989"/>
      <c r="B89" s="35">
        <v>6</v>
      </c>
      <c r="C89" s="35">
        <v>19</v>
      </c>
      <c r="D89" s="35">
        <v>6</v>
      </c>
      <c r="E89" s="35" t="s">
        <v>365</v>
      </c>
      <c r="F89">
        <v>2986</v>
      </c>
      <c r="G89">
        <v>3046</v>
      </c>
      <c r="H89">
        <v>3107</v>
      </c>
      <c r="J89">
        <f>IF(
    OR(
        AND(MAX(0, MIN($F$1, DATE(Initialisatie!$C$5,12,31)) - MAX($F$2, DATE(Initialisatie!$C$5,1,1)) + 1) &gt; 0, IFERROR(VALUE($F89),0)=0),
        AND(MAX(0, MIN($G$1, DATE(Initialisatie!$C$5,12,31)) - MAX($G$2, DATE(Initialisatie!$C$5,1,1)) + 1) &gt; 0, IFERROR(VALUE($G89),0)=0),
        AND(MAX(0, MIN($H$1, DATE(Initialisatie!$C$5,12,31)) - MAX($H$2, DATE(Initialisatie!$C$5,1,1)) + 1) &gt; 0, IFERROR(VALUE($H89),0)=0)
    ),
    0,
    SUM(
        IFERROR(VALUE($F89),0) * MAX(0, MIN($F$1, DATE(Initialisatie!$C$5,12,31)) - MAX($F$2, DATE(Initialisatie!$C$5,1,1)) + 1),
        IFERROR(VALUE($G89),0) * MAX(0, MIN($G$1, DATE(Initialisatie!$C$5,12,31)) - MAX($G$2, DATE(Initialisatie!$C$5,1,1)) + 1),
        IFERROR(VALUE($H89),0) * MAX(0, MIN($H$1, DATE(Initialisatie!$C$5,12,31)) - MAX($H$2, DATE(Initialisatie!$C$5,1,1)) + 1)
    ) / (DATE(Initialisatie!$C$5,12,31) - DATE(Initialisatie!$C$5,1,1) + 1)
)</f>
        <v>3107</v>
      </c>
    </row>
    <row r="90" spans="1:10" x14ac:dyDescent="0.45">
      <c r="A90" s="989"/>
      <c r="B90" s="35">
        <v>7</v>
      </c>
      <c r="C90" s="35">
        <v>20</v>
      </c>
      <c r="D90" s="35">
        <v>7</v>
      </c>
      <c r="E90" s="35" t="s">
        <v>366</v>
      </c>
      <c r="F90">
        <v>3067</v>
      </c>
      <c r="G90">
        <v>3128</v>
      </c>
      <c r="H90">
        <v>3191</v>
      </c>
      <c r="J90">
        <f>IF(
    OR(
        AND(MAX(0, MIN($F$1, DATE(Initialisatie!$C$5,12,31)) - MAX($F$2, DATE(Initialisatie!$C$5,1,1)) + 1) &gt; 0, IFERROR(VALUE($F90),0)=0),
        AND(MAX(0, MIN($G$1, DATE(Initialisatie!$C$5,12,31)) - MAX($G$2, DATE(Initialisatie!$C$5,1,1)) + 1) &gt; 0, IFERROR(VALUE($G90),0)=0),
        AND(MAX(0, MIN($H$1, DATE(Initialisatie!$C$5,12,31)) - MAX($H$2, DATE(Initialisatie!$C$5,1,1)) + 1) &gt; 0, IFERROR(VALUE($H90),0)=0)
    ),
    0,
    SUM(
        IFERROR(VALUE($F90),0) * MAX(0, MIN($F$1, DATE(Initialisatie!$C$5,12,31)) - MAX($F$2, DATE(Initialisatie!$C$5,1,1)) + 1),
        IFERROR(VALUE($G90),0) * MAX(0, MIN($G$1, DATE(Initialisatie!$C$5,12,31)) - MAX($G$2, DATE(Initialisatie!$C$5,1,1)) + 1),
        IFERROR(VALUE($H90),0) * MAX(0, MIN($H$1, DATE(Initialisatie!$C$5,12,31)) - MAX($H$2, DATE(Initialisatie!$C$5,1,1)) + 1)
    ) / (DATE(Initialisatie!$C$5,12,31) - DATE(Initialisatie!$C$5,1,1) + 1)
)</f>
        <v>3191</v>
      </c>
    </row>
    <row r="91" spans="1:10" x14ac:dyDescent="0.45">
      <c r="A91" s="989"/>
      <c r="B91" s="35">
        <v>8</v>
      </c>
      <c r="C91" s="35">
        <v>21</v>
      </c>
      <c r="D91" s="35">
        <v>8</v>
      </c>
      <c r="E91" s="35" t="s">
        <v>367</v>
      </c>
      <c r="F91">
        <v>3142</v>
      </c>
      <c r="G91">
        <v>3205</v>
      </c>
      <c r="H91">
        <v>3269</v>
      </c>
      <c r="J91">
        <f>IF(
    OR(
        AND(MAX(0, MIN($F$1, DATE(Initialisatie!$C$5,12,31)) - MAX($F$2, DATE(Initialisatie!$C$5,1,1)) + 1) &gt; 0, IFERROR(VALUE($F91),0)=0),
        AND(MAX(0, MIN($G$1, DATE(Initialisatie!$C$5,12,31)) - MAX($G$2, DATE(Initialisatie!$C$5,1,1)) + 1) &gt; 0, IFERROR(VALUE($G91),0)=0),
        AND(MAX(0, MIN($H$1, DATE(Initialisatie!$C$5,12,31)) - MAX($H$2, DATE(Initialisatie!$C$5,1,1)) + 1) &gt; 0, IFERROR(VALUE($H91),0)=0)
    ),
    0,
    SUM(
        IFERROR(VALUE($F91),0) * MAX(0, MIN($F$1, DATE(Initialisatie!$C$5,12,31)) - MAX($F$2, DATE(Initialisatie!$C$5,1,1)) + 1),
        IFERROR(VALUE($G91),0) * MAX(0, MIN($G$1, DATE(Initialisatie!$C$5,12,31)) - MAX($G$2, DATE(Initialisatie!$C$5,1,1)) + 1),
        IFERROR(VALUE($H91),0) * MAX(0, MIN($H$1, DATE(Initialisatie!$C$5,12,31)) - MAX($H$2, DATE(Initialisatie!$C$5,1,1)) + 1)
    ) / (DATE(Initialisatie!$C$5,12,31) - DATE(Initialisatie!$C$5,1,1) + 1)
)</f>
        <v>3269</v>
      </c>
    </row>
    <row r="92" spans="1:10" x14ac:dyDescent="0.45">
      <c r="A92" s="989"/>
      <c r="B92" s="35">
        <v>9</v>
      </c>
      <c r="C92" s="35">
        <v>22</v>
      </c>
      <c r="D92" s="35">
        <v>9</v>
      </c>
      <c r="E92" s="35" t="s">
        <v>368</v>
      </c>
      <c r="F92">
        <v>3217</v>
      </c>
      <c r="G92">
        <v>3281</v>
      </c>
      <c r="H92">
        <v>3347</v>
      </c>
      <c r="J92">
        <f>IF(
    OR(
        AND(MAX(0, MIN($F$1, DATE(Initialisatie!$C$5,12,31)) - MAX($F$2, DATE(Initialisatie!$C$5,1,1)) + 1) &gt; 0, IFERROR(VALUE($F92),0)=0),
        AND(MAX(0, MIN($G$1, DATE(Initialisatie!$C$5,12,31)) - MAX($G$2, DATE(Initialisatie!$C$5,1,1)) + 1) &gt; 0, IFERROR(VALUE($G92),0)=0),
        AND(MAX(0, MIN($H$1, DATE(Initialisatie!$C$5,12,31)) - MAX($H$2, DATE(Initialisatie!$C$5,1,1)) + 1) &gt; 0, IFERROR(VALUE($H92),0)=0)
    ),
    0,
    SUM(
        IFERROR(VALUE($F92),0) * MAX(0, MIN($F$1, DATE(Initialisatie!$C$5,12,31)) - MAX($F$2, DATE(Initialisatie!$C$5,1,1)) + 1),
        IFERROR(VALUE($G92),0) * MAX(0, MIN($G$1, DATE(Initialisatie!$C$5,12,31)) - MAX($G$2, DATE(Initialisatie!$C$5,1,1)) + 1),
        IFERROR(VALUE($H92),0) * MAX(0, MIN($H$1, DATE(Initialisatie!$C$5,12,31)) - MAX($H$2, DATE(Initialisatie!$C$5,1,1)) + 1)
    ) / (DATE(Initialisatie!$C$5,12,31) - DATE(Initialisatie!$C$5,1,1) + 1)
)</f>
        <v>3347</v>
      </c>
    </row>
    <row r="93" spans="1:10" x14ac:dyDescent="0.45">
      <c r="A93" s="989"/>
      <c r="B93" s="35">
        <v>10</v>
      </c>
      <c r="C93" s="35">
        <v>23</v>
      </c>
      <c r="D93" s="35">
        <v>10</v>
      </c>
      <c r="E93" s="35" t="s">
        <v>369</v>
      </c>
      <c r="F93">
        <v>3294</v>
      </c>
      <c r="G93">
        <v>3360</v>
      </c>
      <c r="H93">
        <v>3427</v>
      </c>
      <c r="J93">
        <f>IF(
    OR(
        AND(MAX(0, MIN($F$1, DATE(Initialisatie!$C$5,12,31)) - MAX($F$2, DATE(Initialisatie!$C$5,1,1)) + 1) &gt; 0, IFERROR(VALUE($F93),0)=0),
        AND(MAX(0, MIN($G$1, DATE(Initialisatie!$C$5,12,31)) - MAX($G$2, DATE(Initialisatie!$C$5,1,1)) + 1) &gt; 0, IFERROR(VALUE($G93),0)=0),
        AND(MAX(0, MIN($H$1, DATE(Initialisatie!$C$5,12,31)) - MAX($H$2, DATE(Initialisatie!$C$5,1,1)) + 1) &gt; 0, IFERROR(VALUE($H93),0)=0)
    ),
    0,
    SUM(
        IFERROR(VALUE($F93),0) * MAX(0, MIN($F$1, DATE(Initialisatie!$C$5,12,31)) - MAX($F$2, DATE(Initialisatie!$C$5,1,1)) + 1),
        IFERROR(VALUE($G93),0) * MAX(0, MIN($G$1, DATE(Initialisatie!$C$5,12,31)) - MAX($G$2, DATE(Initialisatie!$C$5,1,1)) + 1),
        IFERROR(VALUE($H93),0) * MAX(0, MIN($H$1, DATE(Initialisatie!$C$5,12,31)) - MAX($H$2, DATE(Initialisatie!$C$5,1,1)) + 1)
    ) / (DATE(Initialisatie!$C$5,12,31) - DATE(Initialisatie!$C$5,1,1) + 1)
)</f>
        <v>3427</v>
      </c>
    </row>
    <row r="94" spans="1:10" x14ac:dyDescent="0.45">
      <c r="A94" s="989"/>
      <c r="B94" s="35">
        <v>11</v>
      </c>
      <c r="C94" s="35">
        <v>24</v>
      </c>
      <c r="D94" s="35">
        <v>11</v>
      </c>
      <c r="E94" s="35" t="s">
        <v>370</v>
      </c>
      <c r="F94">
        <v>3369</v>
      </c>
      <c r="G94">
        <v>3436</v>
      </c>
      <c r="H94">
        <v>3505</v>
      </c>
      <c r="J94">
        <f>IF(
    OR(
        AND(MAX(0, MIN($F$1, DATE(Initialisatie!$C$5,12,31)) - MAX($F$2, DATE(Initialisatie!$C$5,1,1)) + 1) &gt; 0, IFERROR(VALUE($F94),0)=0),
        AND(MAX(0, MIN($G$1, DATE(Initialisatie!$C$5,12,31)) - MAX($G$2, DATE(Initialisatie!$C$5,1,1)) + 1) &gt; 0, IFERROR(VALUE($G94),0)=0),
        AND(MAX(0, MIN($H$1, DATE(Initialisatie!$C$5,12,31)) - MAX($H$2, DATE(Initialisatie!$C$5,1,1)) + 1) &gt; 0, IFERROR(VALUE($H94),0)=0)
    ),
    0,
    SUM(
        IFERROR(VALUE($F94),0) * MAX(0, MIN($F$1, DATE(Initialisatie!$C$5,12,31)) - MAX($F$2, DATE(Initialisatie!$C$5,1,1)) + 1),
        IFERROR(VALUE($G94),0) * MAX(0, MIN($G$1, DATE(Initialisatie!$C$5,12,31)) - MAX($G$2, DATE(Initialisatie!$C$5,1,1)) + 1),
        IFERROR(VALUE($H94),0) * MAX(0, MIN($H$1, DATE(Initialisatie!$C$5,12,31)) - MAX($H$2, DATE(Initialisatie!$C$5,1,1)) + 1)
    ) / (DATE(Initialisatie!$C$5,12,31) - DATE(Initialisatie!$C$5,1,1) + 1)
)</f>
        <v>3505</v>
      </c>
    </row>
    <row r="95" spans="1:10" x14ac:dyDescent="0.45">
      <c r="A95" s="989"/>
      <c r="B95" s="35">
        <v>12</v>
      </c>
      <c r="C95" s="35">
        <v>25</v>
      </c>
      <c r="D95" s="35">
        <v>12</v>
      </c>
      <c r="E95" s="35" t="s">
        <v>371</v>
      </c>
      <c r="F95">
        <v>3454</v>
      </c>
      <c r="G95">
        <v>3523</v>
      </c>
      <c r="H95">
        <v>3593</v>
      </c>
      <c r="J95">
        <f>IF(
    OR(
        AND(MAX(0, MIN($F$1, DATE(Initialisatie!$C$5,12,31)) - MAX($F$2, DATE(Initialisatie!$C$5,1,1)) + 1) &gt; 0, IFERROR(VALUE($F95),0)=0),
        AND(MAX(0, MIN($G$1, DATE(Initialisatie!$C$5,12,31)) - MAX($G$2, DATE(Initialisatie!$C$5,1,1)) + 1) &gt; 0, IFERROR(VALUE($G95),0)=0),
        AND(MAX(0, MIN($H$1, DATE(Initialisatie!$C$5,12,31)) - MAX($H$2, DATE(Initialisatie!$C$5,1,1)) + 1) &gt; 0, IFERROR(VALUE($H95),0)=0)
    ),
    0,
    SUM(
        IFERROR(VALUE($F95),0) * MAX(0, MIN($F$1, DATE(Initialisatie!$C$5,12,31)) - MAX($F$2, DATE(Initialisatie!$C$5,1,1)) + 1),
        IFERROR(VALUE($G95),0) * MAX(0, MIN($G$1, DATE(Initialisatie!$C$5,12,31)) - MAX($G$2, DATE(Initialisatie!$C$5,1,1)) + 1),
        IFERROR(VALUE($H95),0) * MAX(0, MIN($H$1, DATE(Initialisatie!$C$5,12,31)) - MAX($H$2, DATE(Initialisatie!$C$5,1,1)) + 1)
    ) / (DATE(Initialisatie!$C$5,12,31) - DATE(Initialisatie!$C$5,1,1) + 1)
)</f>
        <v>3593</v>
      </c>
    </row>
    <row r="96" spans="1:10" x14ac:dyDescent="0.45">
      <c r="A96" s="990"/>
      <c r="B96" s="35">
        <v>13</v>
      </c>
      <c r="C96" s="35">
        <v>26</v>
      </c>
      <c r="D96" s="35">
        <v>13</v>
      </c>
      <c r="E96" s="35" t="s">
        <v>372</v>
      </c>
      <c r="F96">
        <v>3535</v>
      </c>
      <c r="G96">
        <v>3606</v>
      </c>
      <c r="H96">
        <v>3678</v>
      </c>
      <c r="J96">
        <f>IF(
    OR(
        AND(MAX(0, MIN($F$1, DATE(Initialisatie!$C$5,12,31)) - MAX($F$2, DATE(Initialisatie!$C$5,1,1)) + 1) &gt; 0, IFERROR(VALUE($F96),0)=0),
        AND(MAX(0, MIN($G$1, DATE(Initialisatie!$C$5,12,31)) - MAX($G$2, DATE(Initialisatie!$C$5,1,1)) + 1) &gt; 0, IFERROR(VALUE($G96),0)=0),
        AND(MAX(0, MIN($H$1, DATE(Initialisatie!$C$5,12,31)) - MAX($H$2, DATE(Initialisatie!$C$5,1,1)) + 1) &gt; 0, IFERROR(VALUE($H96),0)=0)
    ),
    0,
    SUM(
        IFERROR(VALUE($F96),0) * MAX(0, MIN($F$1, DATE(Initialisatie!$C$5,12,31)) - MAX($F$2, DATE(Initialisatie!$C$5,1,1)) + 1),
        IFERROR(VALUE($G96),0) * MAX(0, MIN($G$1, DATE(Initialisatie!$C$5,12,31)) - MAX($G$2, DATE(Initialisatie!$C$5,1,1)) + 1),
        IFERROR(VALUE($H96),0) * MAX(0, MIN($H$1, DATE(Initialisatie!$C$5,12,31)) - MAX($H$2, DATE(Initialisatie!$C$5,1,1)) + 1)
    ) / (DATE(Initialisatie!$C$5,12,31) - DATE(Initialisatie!$C$5,1,1) + 1)
)</f>
        <v>3678</v>
      </c>
    </row>
    <row r="97" spans="1:10" x14ac:dyDescent="0.45">
      <c r="A97" s="988">
        <v>45</v>
      </c>
      <c r="B97" s="35">
        <v>2</v>
      </c>
      <c r="C97" s="35">
        <v>16</v>
      </c>
      <c r="D97" s="35">
        <v>2</v>
      </c>
      <c r="E97" s="35" t="s">
        <v>377</v>
      </c>
      <c r="F97">
        <v>2766</v>
      </c>
      <c r="G97">
        <v>2821</v>
      </c>
      <c r="H97">
        <v>2877</v>
      </c>
      <c r="J97">
        <f>IF(
    OR(
        AND(MAX(0, MIN($F$1, DATE(Initialisatie!$C$5,12,31)) - MAX($F$2, DATE(Initialisatie!$C$5,1,1)) + 1) &gt; 0, IFERROR(VALUE($F97),0)=0),
        AND(MAX(0, MIN($G$1, DATE(Initialisatie!$C$5,12,31)) - MAX($G$2, DATE(Initialisatie!$C$5,1,1)) + 1) &gt; 0, IFERROR(VALUE($G97),0)=0),
        AND(MAX(0, MIN($H$1, DATE(Initialisatie!$C$5,12,31)) - MAX($H$2, DATE(Initialisatie!$C$5,1,1)) + 1) &gt; 0, IFERROR(VALUE($H97),0)=0)
    ),
    0,
    SUM(
        IFERROR(VALUE($F97),0) * MAX(0, MIN($F$1, DATE(Initialisatie!$C$5,12,31)) - MAX($F$2, DATE(Initialisatie!$C$5,1,1)) + 1),
        IFERROR(VALUE($G97),0) * MAX(0, MIN($G$1, DATE(Initialisatie!$C$5,12,31)) - MAX($G$2, DATE(Initialisatie!$C$5,1,1)) + 1),
        IFERROR(VALUE($H97),0) * MAX(0, MIN($H$1, DATE(Initialisatie!$C$5,12,31)) - MAX($H$2, DATE(Initialisatie!$C$5,1,1)) + 1)
    ) / (DATE(Initialisatie!$C$5,12,31) - DATE(Initialisatie!$C$5,1,1) + 1)
)</f>
        <v>2877</v>
      </c>
    </row>
    <row r="98" spans="1:10" x14ac:dyDescent="0.45">
      <c r="A98" s="989"/>
      <c r="B98" s="35">
        <v>3</v>
      </c>
      <c r="C98" s="35">
        <v>18</v>
      </c>
      <c r="D98" s="35">
        <v>3</v>
      </c>
      <c r="E98" s="35" t="s">
        <v>378</v>
      </c>
      <c r="F98">
        <v>2911</v>
      </c>
      <c r="G98">
        <v>2969</v>
      </c>
      <c r="H98">
        <v>3028</v>
      </c>
      <c r="J98">
        <f>IF(
    OR(
        AND(MAX(0, MIN($F$1, DATE(Initialisatie!$C$5,12,31)) - MAX($F$2, DATE(Initialisatie!$C$5,1,1)) + 1) &gt; 0, IFERROR(VALUE($F98),0)=0),
        AND(MAX(0, MIN($G$1, DATE(Initialisatie!$C$5,12,31)) - MAX($G$2, DATE(Initialisatie!$C$5,1,1)) + 1) &gt; 0, IFERROR(VALUE($G98),0)=0),
        AND(MAX(0, MIN($H$1, DATE(Initialisatie!$C$5,12,31)) - MAX($H$2, DATE(Initialisatie!$C$5,1,1)) + 1) &gt; 0, IFERROR(VALUE($H98),0)=0)
    ),
    0,
    SUM(
        IFERROR(VALUE($F98),0) * MAX(0, MIN($F$1, DATE(Initialisatie!$C$5,12,31)) - MAX($F$2, DATE(Initialisatie!$C$5,1,1)) + 1),
        IFERROR(VALUE($G98),0) * MAX(0, MIN($G$1, DATE(Initialisatie!$C$5,12,31)) - MAX($G$2, DATE(Initialisatie!$C$5,1,1)) + 1),
        IFERROR(VALUE($H98),0) * MAX(0, MIN($H$1, DATE(Initialisatie!$C$5,12,31)) - MAX($H$2, DATE(Initialisatie!$C$5,1,1)) + 1)
    ) / (DATE(Initialisatie!$C$5,12,31) - DATE(Initialisatie!$C$5,1,1) + 1)
)</f>
        <v>3028</v>
      </c>
    </row>
    <row r="99" spans="1:10" x14ac:dyDescent="0.45">
      <c r="A99" s="989"/>
      <c r="B99" s="35">
        <v>4</v>
      </c>
      <c r="C99" s="35">
        <v>20</v>
      </c>
      <c r="D99" s="35">
        <v>4</v>
      </c>
      <c r="E99" s="35" t="s">
        <v>379</v>
      </c>
      <c r="F99">
        <v>3067</v>
      </c>
      <c r="G99">
        <v>3128</v>
      </c>
      <c r="H99">
        <v>3191</v>
      </c>
      <c r="J99">
        <f>IF(
    OR(
        AND(MAX(0, MIN($F$1, DATE(Initialisatie!$C$5,12,31)) - MAX($F$2, DATE(Initialisatie!$C$5,1,1)) + 1) &gt; 0, IFERROR(VALUE($F99),0)=0),
        AND(MAX(0, MIN($G$1, DATE(Initialisatie!$C$5,12,31)) - MAX($G$2, DATE(Initialisatie!$C$5,1,1)) + 1) &gt; 0, IFERROR(VALUE($G99),0)=0),
        AND(MAX(0, MIN($H$1, DATE(Initialisatie!$C$5,12,31)) - MAX($H$2, DATE(Initialisatie!$C$5,1,1)) + 1) &gt; 0, IFERROR(VALUE($H99),0)=0)
    ),
    0,
    SUM(
        IFERROR(VALUE($F99),0) * MAX(0, MIN($F$1, DATE(Initialisatie!$C$5,12,31)) - MAX($F$2, DATE(Initialisatie!$C$5,1,1)) + 1),
        IFERROR(VALUE($G99),0) * MAX(0, MIN($G$1, DATE(Initialisatie!$C$5,12,31)) - MAX($G$2, DATE(Initialisatie!$C$5,1,1)) + 1),
        IFERROR(VALUE($H99),0) * MAX(0, MIN($H$1, DATE(Initialisatie!$C$5,12,31)) - MAX($H$2, DATE(Initialisatie!$C$5,1,1)) + 1)
    ) / (DATE(Initialisatie!$C$5,12,31) - DATE(Initialisatie!$C$5,1,1) + 1)
)</f>
        <v>3191</v>
      </c>
    </row>
    <row r="100" spans="1:10" x14ac:dyDescent="0.45">
      <c r="A100" s="989"/>
      <c r="B100" s="35">
        <v>5</v>
      </c>
      <c r="C100" s="35">
        <v>21</v>
      </c>
      <c r="D100" s="35">
        <v>5</v>
      </c>
      <c r="E100" s="35" t="s">
        <v>380</v>
      </c>
      <c r="F100">
        <v>3142</v>
      </c>
      <c r="G100">
        <v>3205</v>
      </c>
      <c r="H100">
        <v>3269</v>
      </c>
      <c r="J100">
        <f>IF(
    OR(
        AND(MAX(0, MIN($F$1, DATE(Initialisatie!$C$5,12,31)) - MAX($F$2, DATE(Initialisatie!$C$5,1,1)) + 1) &gt; 0, IFERROR(VALUE($F100),0)=0),
        AND(MAX(0, MIN($G$1, DATE(Initialisatie!$C$5,12,31)) - MAX($G$2, DATE(Initialisatie!$C$5,1,1)) + 1) &gt; 0, IFERROR(VALUE($G100),0)=0),
        AND(MAX(0, MIN($H$1, DATE(Initialisatie!$C$5,12,31)) - MAX($H$2, DATE(Initialisatie!$C$5,1,1)) + 1) &gt; 0, IFERROR(VALUE($H100),0)=0)
    ),
    0,
    SUM(
        IFERROR(VALUE($F100),0) * MAX(0, MIN($F$1, DATE(Initialisatie!$C$5,12,31)) - MAX($F$2, DATE(Initialisatie!$C$5,1,1)) + 1),
        IFERROR(VALUE($G100),0) * MAX(0, MIN($G$1, DATE(Initialisatie!$C$5,12,31)) - MAX($G$2, DATE(Initialisatie!$C$5,1,1)) + 1),
        IFERROR(VALUE($H100),0) * MAX(0, MIN($H$1, DATE(Initialisatie!$C$5,12,31)) - MAX($H$2, DATE(Initialisatie!$C$5,1,1)) + 1)
    ) / (DATE(Initialisatie!$C$5,12,31) - DATE(Initialisatie!$C$5,1,1) + 1)
)</f>
        <v>3269</v>
      </c>
    </row>
    <row r="101" spans="1:10" x14ac:dyDescent="0.45">
      <c r="A101" s="989"/>
      <c r="B101" s="35">
        <v>6</v>
      </c>
      <c r="C101" s="35">
        <v>22</v>
      </c>
      <c r="D101" s="35">
        <v>6</v>
      </c>
      <c r="E101" s="35" t="s">
        <v>381</v>
      </c>
      <c r="F101">
        <v>3217</v>
      </c>
      <c r="G101">
        <v>3281</v>
      </c>
      <c r="H101">
        <v>3347</v>
      </c>
      <c r="J101">
        <f>IF(
    OR(
        AND(MAX(0, MIN($F$1, DATE(Initialisatie!$C$5,12,31)) - MAX($F$2, DATE(Initialisatie!$C$5,1,1)) + 1) &gt; 0, IFERROR(VALUE($F101),0)=0),
        AND(MAX(0, MIN($G$1, DATE(Initialisatie!$C$5,12,31)) - MAX($G$2, DATE(Initialisatie!$C$5,1,1)) + 1) &gt; 0, IFERROR(VALUE($G101),0)=0),
        AND(MAX(0, MIN($H$1, DATE(Initialisatie!$C$5,12,31)) - MAX($H$2, DATE(Initialisatie!$C$5,1,1)) + 1) &gt; 0, IFERROR(VALUE($H101),0)=0)
    ),
    0,
    SUM(
        IFERROR(VALUE($F101),0) * MAX(0, MIN($F$1, DATE(Initialisatie!$C$5,12,31)) - MAX($F$2, DATE(Initialisatie!$C$5,1,1)) + 1),
        IFERROR(VALUE($G101),0) * MAX(0, MIN($G$1, DATE(Initialisatie!$C$5,12,31)) - MAX($G$2, DATE(Initialisatie!$C$5,1,1)) + 1),
        IFERROR(VALUE($H101),0) * MAX(0, MIN($H$1, DATE(Initialisatie!$C$5,12,31)) - MAX($H$2, DATE(Initialisatie!$C$5,1,1)) + 1)
    ) / (DATE(Initialisatie!$C$5,12,31) - DATE(Initialisatie!$C$5,1,1) + 1)
)</f>
        <v>3347</v>
      </c>
    </row>
    <row r="102" spans="1:10" x14ac:dyDescent="0.45">
      <c r="A102" s="989"/>
      <c r="B102" s="35">
        <v>7</v>
      </c>
      <c r="C102" s="35">
        <v>23</v>
      </c>
      <c r="D102" s="35">
        <v>7</v>
      </c>
      <c r="E102" s="35" t="s">
        <v>382</v>
      </c>
      <c r="F102">
        <v>3294</v>
      </c>
      <c r="G102">
        <v>3360</v>
      </c>
      <c r="H102">
        <v>3427</v>
      </c>
      <c r="J102">
        <f>IF(
    OR(
        AND(MAX(0, MIN($F$1, DATE(Initialisatie!$C$5,12,31)) - MAX($F$2, DATE(Initialisatie!$C$5,1,1)) + 1) &gt; 0, IFERROR(VALUE($F102),0)=0),
        AND(MAX(0, MIN($G$1, DATE(Initialisatie!$C$5,12,31)) - MAX($G$2, DATE(Initialisatie!$C$5,1,1)) + 1) &gt; 0, IFERROR(VALUE($G102),0)=0),
        AND(MAX(0, MIN($H$1, DATE(Initialisatie!$C$5,12,31)) - MAX($H$2, DATE(Initialisatie!$C$5,1,1)) + 1) &gt; 0, IFERROR(VALUE($H102),0)=0)
    ),
    0,
    SUM(
        IFERROR(VALUE($F102),0) * MAX(0, MIN($F$1, DATE(Initialisatie!$C$5,12,31)) - MAX($F$2, DATE(Initialisatie!$C$5,1,1)) + 1),
        IFERROR(VALUE($G102),0) * MAX(0, MIN($G$1, DATE(Initialisatie!$C$5,12,31)) - MAX($G$2, DATE(Initialisatie!$C$5,1,1)) + 1),
        IFERROR(VALUE($H102),0) * MAX(0, MIN($H$1, DATE(Initialisatie!$C$5,12,31)) - MAX($H$2, DATE(Initialisatie!$C$5,1,1)) + 1)
    ) / (DATE(Initialisatie!$C$5,12,31) - DATE(Initialisatie!$C$5,1,1) + 1)
)</f>
        <v>3427</v>
      </c>
    </row>
    <row r="103" spans="1:10" x14ac:dyDescent="0.45">
      <c r="A103" s="989"/>
      <c r="B103" s="35">
        <v>8</v>
      </c>
      <c r="C103" s="35">
        <v>24</v>
      </c>
      <c r="D103" s="35">
        <v>8</v>
      </c>
      <c r="E103" s="35" t="s">
        <v>383</v>
      </c>
      <c r="F103">
        <v>3369</v>
      </c>
      <c r="G103">
        <v>3436</v>
      </c>
      <c r="H103">
        <v>3505</v>
      </c>
      <c r="J103">
        <f>IF(
    OR(
        AND(MAX(0, MIN($F$1, DATE(Initialisatie!$C$5,12,31)) - MAX($F$2, DATE(Initialisatie!$C$5,1,1)) + 1) &gt; 0, IFERROR(VALUE($F103),0)=0),
        AND(MAX(0, MIN($G$1, DATE(Initialisatie!$C$5,12,31)) - MAX($G$2, DATE(Initialisatie!$C$5,1,1)) + 1) &gt; 0, IFERROR(VALUE($G103),0)=0),
        AND(MAX(0, MIN($H$1, DATE(Initialisatie!$C$5,12,31)) - MAX($H$2, DATE(Initialisatie!$C$5,1,1)) + 1) &gt; 0, IFERROR(VALUE($H103),0)=0)
    ),
    0,
    SUM(
        IFERROR(VALUE($F103),0) * MAX(0, MIN($F$1, DATE(Initialisatie!$C$5,12,31)) - MAX($F$2, DATE(Initialisatie!$C$5,1,1)) + 1),
        IFERROR(VALUE($G103),0) * MAX(0, MIN($G$1, DATE(Initialisatie!$C$5,12,31)) - MAX($G$2, DATE(Initialisatie!$C$5,1,1)) + 1),
        IFERROR(VALUE($H103),0) * MAX(0, MIN($H$1, DATE(Initialisatie!$C$5,12,31)) - MAX($H$2, DATE(Initialisatie!$C$5,1,1)) + 1)
    ) / (DATE(Initialisatie!$C$5,12,31) - DATE(Initialisatie!$C$5,1,1) + 1)
)</f>
        <v>3505</v>
      </c>
    </row>
    <row r="104" spans="1:10" x14ac:dyDescent="0.45">
      <c r="A104" s="989"/>
      <c r="B104" s="35">
        <v>9</v>
      </c>
      <c r="C104" s="35">
        <v>25</v>
      </c>
      <c r="D104" s="35">
        <v>9</v>
      </c>
      <c r="E104" s="35" t="s">
        <v>384</v>
      </c>
      <c r="F104">
        <v>3454</v>
      </c>
      <c r="G104">
        <v>3523</v>
      </c>
      <c r="H104">
        <v>3593</v>
      </c>
      <c r="J104">
        <f>IF(
    OR(
        AND(MAX(0, MIN($F$1, DATE(Initialisatie!$C$5,12,31)) - MAX($F$2, DATE(Initialisatie!$C$5,1,1)) + 1) &gt; 0, IFERROR(VALUE($F104),0)=0),
        AND(MAX(0, MIN($G$1, DATE(Initialisatie!$C$5,12,31)) - MAX($G$2, DATE(Initialisatie!$C$5,1,1)) + 1) &gt; 0, IFERROR(VALUE($G104),0)=0),
        AND(MAX(0, MIN($H$1, DATE(Initialisatie!$C$5,12,31)) - MAX($H$2, DATE(Initialisatie!$C$5,1,1)) + 1) &gt; 0, IFERROR(VALUE($H104),0)=0)
    ),
    0,
    SUM(
        IFERROR(VALUE($F104),0) * MAX(0, MIN($F$1, DATE(Initialisatie!$C$5,12,31)) - MAX($F$2, DATE(Initialisatie!$C$5,1,1)) + 1),
        IFERROR(VALUE($G104),0) * MAX(0, MIN($G$1, DATE(Initialisatie!$C$5,12,31)) - MAX($G$2, DATE(Initialisatie!$C$5,1,1)) + 1),
        IFERROR(VALUE($H104),0) * MAX(0, MIN($H$1, DATE(Initialisatie!$C$5,12,31)) - MAX($H$2, DATE(Initialisatie!$C$5,1,1)) + 1)
    ) / (DATE(Initialisatie!$C$5,12,31) - DATE(Initialisatie!$C$5,1,1) + 1)
)</f>
        <v>3593</v>
      </c>
    </row>
    <row r="105" spans="1:10" x14ac:dyDescent="0.45">
      <c r="A105" s="989"/>
      <c r="B105" s="35">
        <v>10</v>
      </c>
      <c r="C105" s="35">
        <v>26</v>
      </c>
      <c r="D105" s="35">
        <v>10</v>
      </c>
      <c r="E105" s="35" t="s">
        <v>385</v>
      </c>
      <c r="F105">
        <v>3535</v>
      </c>
      <c r="G105">
        <v>3606</v>
      </c>
      <c r="H105">
        <v>3678</v>
      </c>
      <c r="J105">
        <f>IF(
    OR(
        AND(MAX(0, MIN($F$1, DATE(Initialisatie!$C$5,12,31)) - MAX($F$2, DATE(Initialisatie!$C$5,1,1)) + 1) &gt; 0, IFERROR(VALUE($F105),0)=0),
        AND(MAX(0, MIN($G$1, DATE(Initialisatie!$C$5,12,31)) - MAX($G$2, DATE(Initialisatie!$C$5,1,1)) + 1) &gt; 0, IFERROR(VALUE($G105),0)=0),
        AND(MAX(0, MIN($H$1, DATE(Initialisatie!$C$5,12,31)) - MAX($H$2, DATE(Initialisatie!$C$5,1,1)) + 1) &gt; 0, IFERROR(VALUE($H105),0)=0)
    ),
    0,
    SUM(
        IFERROR(VALUE($F105),0) * MAX(0, MIN($F$1, DATE(Initialisatie!$C$5,12,31)) - MAX($F$2, DATE(Initialisatie!$C$5,1,1)) + 1),
        IFERROR(VALUE($G105),0) * MAX(0, MIN($G$1, DATE(Initialisatie!$C$5,12,31)) - MAX($G$2, DATE(Initialisatie!$C$5,1,1)) + 1),
        IFERROR(VALUE($H105),0) * MAX(0, MIN($H$1, DATE(Initialisatie!$C$5,12,31)) - MAX($H$2, DATE(Initialisatie!$C$5,1,1)) + 1)
    ) / (DATE(Initialisatie!$C$5,12,31) - DATE(Initialisatie!$C$5,1,1) + 1)
)</f>
        <v>3678</v>
      </c>
    </row>
    <row r="106" spans="1:10" x14ac:dyDescent="0.45">
      <c r="A106" s="989"/>
      <c r="B106" s="35">
        <v>11</v>
      </c>
      <c r="C106" s="35">
        <v>27</v>
      </c>
      <c r="D106" s="35">
        <v>11</v>
      </c>
      <c r="E106" s="35" t="s">
        <v>386</v>
      </c>
      <c r="F106">
        <v>3620</v>
      </c>
      <c r="G106">
        <v>3692</v>
      </c>
      <c r="H106">
        <v>3766</v>
      </c>
      <c r="J106">
        <f>IF(
    OR(
        AND(MAX(0, MIN($F$1, DATE(Initialisatie!$C$5,12,31)) - MAX($F$2, DATE(Initialisatie!$C$5,1,1)) + 1) &gt; 0, IFERROR(VALUE($F106),0)=0),
        AND(MAX(0, MIN($G$1, DATE(Initialisatie!$C$5,12,31)) - MAX($G$2, DATE(Initialisatie!$C$5,1,1)) + 1) &gt; 0, IFERROR(VALUE($G106),0)=0),
        AND(MAX(0, MIN($H$1, DATE(Initialisatie!$C$5,12,31)) - MAX($H$2, DATE(Initialisatie!$C$5,1,1)) + 1) &gt; 0, IFERROR(VALUE($H106),0)=0)
    ),
    0,
    SUM(
        IFERROR(VALUE($F106),0) * MAX(0, MIN($F$1, DATE(Initialisatie!$C$5,12,31)) - MAX($F$2, DATE(Initialisatie!$C$5,1,1)) + 1),
        IFERROR(VALUE($G106),0) * MAX(0, MIN($G$1, DATE(Initialisatie!$C$5,12,31)) - MAX($G$2, DATE(Initialisatie!$C$5,1,1)) + 1),
        IFERROR(VALUE($H106),0) * MAX(0, MIN($H$1, DATE(Initialisatie!$C$5,12,31)) - MAX($H$2, DATE(Initialisatie!$C$5,1,1)) + 1)
    ) / (DATE(Initialisatie!$C$5,12,31) - DATE(Initialisatie!$C$5,1,1) + 1)
)</f>
        <v>3766</v>
      </c>
    </row>
    <row r="107" spans="1:10" x14ac:dyDescent="0.45">
      <c r="A107" s="989"/>
      <c r="B107" s="35">
        <v>12</v>
      </c>
      <c r="C107" s="35">
        <v>28</v>
      </c>
      <c r="D107" s="35">
        <v>12</v>
      </c>
      <c r="E107" s="35" t="s">
        <v>387</v>
      </c>
      <c r="F107">
        <v>3694</v>
      </c>
      <c r="G107">
        <v>3768</v>
      </c>
      <c r="H107">
        <v>3843</v>
      </c>
      <c r="J107">
        <f>IF(
    OR(
        AND(MAX(0, MIN($F$1, DATE(Initialisatie!$C$5,12,31)) - MAX($F$2, DATE(Initialisatie!$C$5,1,1)) + 1) &gt; 0, IFERROR(VALUE($F107),0)=0),
        AND(MAX(0, MIN($G$1, DATE(Initialisatie!$C$5,12,31)) - MAX($G$2, DATE(Initialisatie!$C$5,1,1)) + 1) &gt; 0, IFERROR(VALUE($G107),0)=0),
        AND(MAX(0, MIN($H$1, DATE(Initialisatie!$C$5,12,31)) - MAX($H$2, DATE(Initialisatie!$C$5,1,1)) + 1) &gt; 0, IFERROR(VALUE($H107),0)=0)
    ),
    0,
    SUM(
        IFERROR(VALUE($F107),0) * MAX(0, MIN($F$1, DATE(Initialisatie!$C$5,12,31)) - MAX($F$2, DATE(Initialisatie!$C$5,1,1)) + 1),
        IFERROR(VALUE($G107),0) * MAX(0, MIN($G$1, DATE(Initialisatie!$C$5,12,31)) - MAX($G$2, DATE(Initialisatie!$C$5,1,1)) + 1),
        IFERROR(VALUE($H107),0) * MAX(0, MIN($H$1, DATE(Initialisatie!$C$5,12,31)) - MAX($H$2, DATE(Initialisatie!$C$5,1,1)) + 1)
    ) / (DATE(Initialisatie!$C$5,12,31) - DATE(Initialisatie!$C$5,1,1) + 1)
)</f>
        <v>3843</v>
      </c>
    </row>
    <row r="108" spans="1:10" x14ac:dyDescent="0.45">
      <c r="A108" s="989"/>
      <c r="B108" s="35">
        <v>13</v>
      </c>
      <c r="C108" s="35">
        <v>29</v>
      </c>
      <c r="D108" s="35">
        <v>13</v>
      </c>
      <c r="E108" s="35" t="s">
        <v>388</v>
      </c>
      <c r="F108">
        <v>3779</v>
      </c>
      <c r="G108">
        <v>3855</v>
      </c>
      <c r="H108">
        <v>3932</v>
      </c>
      <c r="J108">
        <f>IF(
    OR(
        AND(MAX(0, MIN($F$1, DATE(Initialisatie!$C$5,12,31)) - MAX($F$2, DATE(Initialisatie!$C$5,1,1)) + 1) &gt; 0, IFERROR(VALUE($F108),0)=0),
        AND(MAX(0, MIN($G$1, DATE(Initialisatie!$C$5,12,31)) - MAX($G$2, DATE(Initialisatie!$C$5,1,1)) + 1) &gt; 0, IFERROR(VALUE($G108),0)=0),
        AND(MAX(0, MIN($H$1, DATE(Initialisatie!$C$5,12,31)) - MAX($H$2, DATE(Initialisatie!$C$5,1,1)) + 1) &gt; 0, IFERROR(VALUE($H108),0)=0)
    ),
    0,
    SUM(
        IFERROR(VALUE($F108),0) * MAX(0, MIN($F$1, DATE(Initialisatie!$C$5,12,31)) - MAX($F$2, DATE(Initialisatie!$C$5,1,1)) + 1),
        IFERROR(VALUE($G108),0) * MAX(0, MIN($G$1, DATE(Initialisatie!$C$5,12,31)) - MAX($G$2, DATE(Initialisatie!$C$5,1,1)) + 1),
        IFERROR(VALUE($H108),0) * MAX(0, MIN($H$1, DATE(Initialisatie!$C$5,12,31)) - MAX($H$2, DATE(Initialisatie!$C$5,1,1)) + 1)
    ) / (DATE(Initialisatie!$C$5,12,31) - DATE(Initialisatie!$C$5,1,1) + 1)
)</f>
        <v>3932</v>
      </c>
    </row>
    <row r="109" spans="1:10" x14ac:dyDescent="0.45">
      <c r="A109" s="990"/>
      <c r="B109" s="35">
        <v>14</v>
      </c>
      <c r="C109" s="35">
        <v>30</v>
      </c>
      <c r="D109" s="35">
        <v>14</v>
      </c>
      <c r="E109" s="35" t="s">
        <v>691</v>
      </c>
      <c r="F109">
        <v>3861</v>
      </c>
      <c r="G109">
        <v>3938</v>
      </c>
      <c r="H109">
        <v>4017</v>
      </c>
      <c r="J109">
        <f>IF(
    OR(
        AND(MAX(0, MIN($F$1, DATE(Initialisatie!$C$5,12,31)) - MAX($F$2, DATE(Initialisatie!$C$5,1,1)) + 1) &gt; 0, IFERROR(VALUE($F109),0)=0),
        AND(MAX(0, MIN($G$1, DATE(Initialisatie!$C$5,12,31)) - MAX($G$2, DATE(Initialisatie!$C$5,1,1)) + 1) &gt; 0, IFERROR(VALUE($G109),0)=0),
        AND(MAX(0, MIN($H$1, DATE(Initialisatie!$C$5,12,31)) - MAX($H$2, DATE(Initialisatie!$C$5,1,1)) + 1) &gt; 0, IFERROR(VALUE($H109),0)=0)
    ),
    0,
    SUM(
        IFERROR(VALUE($F109),0) * MAX(0, MIN($F$1, DATE(Initialisatie!$C$5,12,31)) - MAX($F$2, DATE(Initialisatie!$C$5,1,1)) + 1),
        IFERROR(VALUE($G109),0) * MAX(0, MIN($G$1, DATE(Initialisatie!$C$5,12,31)) - MAX($G$2, DATE(Initialisatie!$C$5,1,1)) + 1),
        IFERROR(VALUE($H109),0) * MAX(0, MIN($H$1, DATE(Initialisatie!$C$5,12,31)) - MAX($H$2, DATE(Initialisatie!$C$5,1,1)) + 1)
    ) / (DATE(Initialisatie!$C$5,12,31) - DATE(Initialisatie!$C$5,1,1) + 1)
)</f>
        <v>4017</v>
      </c>
    </row>
    <row r="110" spans="1:10" x14ac:dyDescent="0.45">
      <c r="A110" s="988">
        <v>50</v>
      </c>
      <c r="B110" s="35">
        <v>1</v>
      </c>
      <c r="C110" s="35">
        <v>19</v>
      </c>
      <c r="D110" s="35">
        <v>1</v>
      </c>
      <c r="E110" s="35" t="s">
        <v>393</v>
      </c>
      <c r="F110">
        <v>2986</v>
      </c>
      <c r="G110">
        <v>3046</v>
      </c>
      <c r="H110">
        <v>3107</v>
      </c>
      <c r="J110">
        <f>IF(
    OR(
        AND(MAX(0, MIN($F$1, DATE(Initialisatie!$C$5,12,31)) - MAX($F$2, DATE(Initialisatie!$C$5,1,1)) + 1) &gt; 0, IFERROR(VALUE($F110),0)=0),
        AND(MAX(0, MIN($G$1, DATE(Initialisatie!$C$5,12,31)) - MAX($G$2, DATE(Initialisatie!$C$5,1,1)) + 1) &gt; 0, IFERROR(VALUE($G110),0)=0),
        AND(MAX(0, MIN($H$1, DATE(Initialisatie!$C$5,12,31)) - MAX($H$2, DATE(Initialisatie!$C$5,1,1)) + 1) &gt; 0, IFERROR(VALUE($H110),0)=0)
    ),
    0,
    SUM(
        IFERROR(VALUE($F110),0) * MAX(0, MIN($F$1, DATE(Initialisatie!$C$5,12,31)) - MAX($F$2, DATE(Initialisatie!$C$5,1,1)) + 1),
        IFERROR(VALUE($G110),0) * MAX(0, MIN($G$1, DATE(Initialisatie!$C$5,12,31)) - MAX($G$2, DATE(Initialisatie!$C$5,1,1)) + 1),
        IFERROR(VALUE($H110),0) * MAX(0, MIN($H$1, DATE(Initialisatie!$C$5,12,31)) - MAX($H$2, DATE(Initialisatie!$C$5,1,1)) + 1)
    ) / (DATE(Initialisatie!$C$5,12,31) - DATE(Initialisatie!$C$5,1,1) + 1)
)</f>
        <v>3107</v>
      </c>
    </row>
    <row r="111" spans="1:10" x14ac:dyDescent="0.45">
      <c r="A111" s="989"/>
      <c r="B111" s="35">
        <v>2</v>
      </c>
      <c r="C111" s="35">
        <v>21</v>
      </c>
      <c r="D111" s="35">
        <v>2</v>
      </c>
      <c r="E111" s="35" t="s">
        <v>394</v>
      </c>
      <c r="F111">
        <v>3142</v>
      </c>
      <c r="G111">
        <v>3205</v>
      </c>
      <c r="H111">
        <v>3269</v>
      </c>
      <c r="J111">
        <f>IF(
    OR(
        AND(MAX(0, MIN($F$1, DATE(Initialisatie!$C$5,12,31)) - MAX($F$2, DATE(Initialisatie!$C$5,1,1)) + 1) &gt; 0, IFERROR(VALUE($F111),0)=0),
        AND(MAX(0, MIN($G$1, DATE(Initialisatie!$C$5,12,31)) - MAX($G$2, DATE(Initialisatie!$C$5,1,1)) + 1) &gt; 0, IFERROR(VALUE($G111),0)=0),
        AND(MAX(0, MIN($H$1, DATE(Initialisatie!$C$5,12,31)) - MAX($H$2, DATE(Initialisatie!$C$5,1,1)) + 1) &gt; 0, IFERROR(VALUE($H111),0)=0)
    ),
    0,
    SUM(
        IFERROR(VALUE($F111),0) * MAX(0, MIN($F$1, DATE(Initialisatie!$C$5,12,31)) - MAX($F$2, DATE(Initialisatie!$C$5,1,1)) + 1),
        IFERROR(VALUE($G111),0) * MAX(0, MIN($G$1, DATE(Initialisatie!$C$5,12,31)) - MAX($G$2, DATE(Initialisatie!$C$5,1,1)) + 1),
        IFERROR(VALUE($H111),0) * MAX(0, MIN($H$1, DATE(Initialisatie!$C$5,12,31)) - MAX($H$2, DATE(Initialisatie!$C$5,1,1)) + 1)
    ) / (DATE(Initialisatie!$C$5,12,31) - DATE(Initialisatie!$C$5,1,1) + 1)
)</f>
        <v>3269</v>
      </c>
    </row>
    <row r="112" spans="1:10" x14ac:dyDescent="0.45">
      <c r="A112" s="989"/>
      <c r="B112" s="35">
        <v>3</v>
      </c>
      <c r="C112" s="35">
        <v>23</v>
      </c>
      <c r="D112" s="35">
        <v>3</v>
      </c>
      <c r="E112" s="35" t="s">
        <v>395</v>
      </c>
      <c r="F112">
        <v>3294</v>
      </c>
      <c r="G112">
        <v>3360</v>
      </c>
      <c r="H112">
        <v>3427</v>
      </c>
      <c r="J112">
        <f>IF(
    OR(
        AND(MAX(0, MIN($F$1, DATE(Initialisatie!$C$5,12,31)) - MAX($F$2, DATE(Initialisatie!$C$5,1,1)) + 1) &gt; 0, IFERROR(VALUE($F112),0)=0),
        AND(MAX(0, MIN($G$1, DATE(Initialisatie!$C$5,12,31)) - MAX($G$2, DATE(Initialisatie!$C$5,1,1)) + 1) &gt; 0, IFERROR(VALUE($G112),0)=0),
        AND(MAX(0, MIN($H$1, DATE(Initialisatie!$C$5,12,31)) - MAX($H$2, DATE(Initialisatie!$C$5,1,1)) + 1) &gt; 0, IFERROR(VALUE($H112),0)=0)
    ),
    0,
    SUM(
        IFERROR(VALUE($F112),0) * MAX(0, MIN($F$1, DATE(Initialisatie!$C$5,12,31)) - MAX($F$2, DATE(Initialisatie!$C$5,1,1)) + 1),
        IFERROR(VALUE($G112),0) * MAX(0, MIN($G$1, DATE(Initialisatie!$C$5,12,31)) - MAX($G$2, DATE(Initialisatie!$C$5,1,1)) + 1),
        IFERROR(VALUE($H112),0) * MAX(0, MIN($H$1, DATE(Initialisatie!$C$5,12,31)) - MAX($H$2, DATE(Initialisatie!$C$5,1,1)) + 1)
    ) / (DATE(Initialisatie!$C$5,12,31) - DATE(Initialisatie!$C$5,1,1) + 1)
)</f>
        <v>3427</v>
      </c>
    </row>
    <row r="113" spans="1:10" x14ac:dyDescent="0.45">
      <c r="A113" s="989"/>
      <c r="B113" s="35">
        <v>4</v>
      </c>
      <c r="C113" s="35">
        <v>25</v>
      </c>
      <c r="D113" s="35">
        <v>4</v>
      </c>
      <c r="E113" s="35" t="s">
        <v>396</v>
      </c>
      <c r="F113">
        <v>3454</v>
      </c>
      <c r="G113">
        <v>3523</v>
      </c>
      <c r="H113">
        <v>3593</v>
      </c>
      <c r="J113">
        <f>IF(
    OR(
        AND(MAX(0, MIN($F$1, DATE(Initialisatie!$C$5,12,31)) - MAX($F$2, DATE(Initialisatie!$C$5,1,1)) + 1) &gt; 0, IFERROR(VALUE($F113),0)=0),
        AND(MAX(0, MIN($G$1, DATE(Initialisatie!$C$5,12,31)) - MAX($G$2, DATE(Initialisatie!$C$5,1,1)) + 1) &gt; 0, IFERROR(VALUE($G113),0)=0),
        AND(MAX(0, MIN($H$1, DATE(Initialisatie!$C$5,12,31)) - MAX($H$2, DATE(Initialisatie!$C$5,1,1)) + 1) &gt; 0, IFERROR(VALUE($H113),0)=0)
    ),
    0,
    SUM(
        IFERROR(VALUE($F113),0) * MAX(0, MIN($F$1, DATE(Initialisatie!$C$5,12,31)) - MAX($F$2, DATE(Initialisatie!$C$5,1,1)) + 1),
        IFERROR(VALUE($G113),0) * MAX(0, MIN($G$1, DATE(Initialisatie!$C$5,12,31)) - MAX($G$2, DATE(Initialisatie!$C$5,1,1)) + 1),
        IFERROR(VALUE($H113),0) * MAX(0, MIN($H$1, DATE(Initialisatie!$C$5,12,31)) - MAX($H$2, DATE(Initialisatie!$C$5,1,1)) + 1)
    ) / (DATE(Initialisatie!$C$5,12,31) - DATE(Initialisatie!$C$5,1,1) + 1)
)</f>
        <v>3593</v>
      </c>
    </row>
    <row r="114" spans="1:10" x14ac:dyDescent="0.45">
      <c r="A114" s="989"/>
      <c r="B114" s="35">
        <v>5</v>
      </c>
      <c r="C114" s="35">
        <v>27</v>
      </c>
      <c r="D114" s="35">
        <v>5</v>
      </c>
      <c r="E114" s="35" t="s">
        <v>397</v>
      </c>
      <c r="F114">
        <v>3620</v>
      </c>
      <c r="G114">
        <v>3692</v>
      </c>
      <c r="H114">
        <v>3766</v>
      </c>
      <c r="J114">
        <f>IF(
    OR(
        AND(MAX(0, MIN($F$1, DATE(Initialisatie!$C$5,12,31)) - MAX($F$2, DATE(Initialisatie!$C$5,1,1)) + 1) &gt; 0, IFERROR(VALUE($F114),0)=0),
        AND(MAX(0, MIN($G$1, DATE(Initialisatie!$C$5,12,31)) - MAX($G$2, DATE(Initialisatie!$C$5,1,1)) + 1) &gt; 0, IFERROR(VALUE($G114),0)=0),
        AND(MAX(0, MIN($H$1, DATE(Initialisatie!$C$5,12,31)) - MAX($H$2, DATE(Initialisatie!$C$5,1,1)) + 1) &gt; 0, IFERROR(VALUE($H114),0)=0)
    ),
    0,
    SUM(
        IFERROR(VALUE($F114),0) * MAX(0, MIN($F$1, DATE(Initialisatie!$C$5,12,31)) - MAX($F$2, DATE(Initialisatie!$C$5,1,1)) + 1),
        IFERROR(VALUE($G114),0) * MAX(0, MIN($G$1, DATE(Initialisatie!$C$5,12,31)) - MAX($G$2, DATE(Initialisatie!$C$5,1,1)) + 1),
        IFERROR(VALUE($H114),0) * MAX(0, MIN($H$1, DATE(Initialisatie!$C$5,12,31)) - MAX($H$2, DATE(Initialisatie!$C$5,1,1)) + 1)
    ) / (DATE(Initialisatie!$C$5,12,31) - DATE(Initialisatie!$C$5,1,1) + 1)
)</f>
        <v>3766</v>
      </c>
    </row>
    <row r="115" spans="1:10" x14ac:dyDescent="0.45">
      <c r="A115" s="989"/>
      <c r="B115" s="35">
        <v>6</v>
      </c>
      <c r="C115" s="35">
        <v>28</v>
      </c>
      <c r="D115" s="35">
        <v>6</v>
      </c>
      <c r="E115" s="35" t="s">
        <v>398</v>
      </c>
      <c r="F115">
        <v>3694</v>
      </c>
      <c r="G115">
        <v>3768</v>
      </c>
      <c r="H115">
        <v>3843</v>
      </c>
      <c r="J115">
        <f>IF(
    OR(
        AND(MAX(0, MIN($F$1, DATE(Initialisatie!$C$5,12,31)) - MAX($F$2, DATE(Initialisatie!$C$5,1,1)) + 1) &gt; 0, IFERROR(VALUE($F115),0)=0),
        AND(MAX(0, MIN($G$1, DATE(Initialisatie!$C$5,12,31)) - MAX($G$2, DATE(Initialisatie!$C$5,1,1)) + 1) &gt; 0, IFERROR(VALUE($G115),0)=0),
        AND(MAX(0, MIN($H$1, DATE(Initialisatie!$C$5,12,31)) - MAX($H$2, DATE(Initialisatie!$C$5,1,1)) + 1) &gt; 0, IFERROR(VALUE($H115),0)=0)
    ),
    0,
    SUM(
        IFERROR(VALUE($F115),0) * MAX(0, MIN($F$1, DATE(Initialisatie!$C$5,12,31)) - MAX($F$2, DATE(Initialisatie!$C$5,1,1)) + 1),
        IFERROR(VALUE($G115),0) * MAX(0, MIN($G$1, DATE(Initialisatie!$C$5,12,31)) - MAX($G$2, DATE(Initialisatie!$C$5,1,1)) + 1),
        IFERROR(VALUE($H115),0) * MAX(0, MIN($H$1, DATE(Initialisatie!$C$5,12,31)) - MAX($H$2, DATE(Initialisatie!$C$5,1,1)) + 1)
    ) / (DATE(Initialisatie!$C$5,12,31) - DATE(Initialisatie!$C$5,1,1) + 1)
)</f>
        <v>3843</v>
      </c>
    </row>
    <row r="116" spans="1:10" x14ac:dyDescent="0.45">
      <c r="A116" s="989"/>
      <c r="B116" s="35">
        <v>7</v>
      </c>
      <c r="C116" s="35">
        <v>29</v>
      </c>
      <c r="D116" s="35">
        <v>7</v>
      </c>
      <c r="E116" s="35" t="s">
        <v>399</v>
      </c>
      <c r="F116">
        <v>3779</v>
      </c>
      <c r="G116">
        <v>3855</v>
      </c>
      <c r="H116">
        <v>3932</v>
      </c>
      <c r="J116">
        <f>IF(
    OR(
        AND(MAX(0, MIN($F$1, DATE(Initialisatie!$C$5,12,31)) - MAX($F$2, DATE(Initialisatie!$C$5,1,1)) + 1) &gt; 0, IFERROR(VALUE($F116),0)=0),
        AND(MAX(0, MIN($G$1, DATE(Initialisatie!$C$5,12,31)) - MAX($G$2, DATE(Initialisatie!$C$5,1,1)) + 1) &gt; 0, IFERROR(VALUE($G116),0)=0),
        AND(MAX(0, MIN($H$1, DATE(Initialisatie!$C$5,12,31)) - MAX($H$2, DATE(Initialisatie!$C$5,1,1)) + 1) &gt; 0, IFERROR(VALUE($H116),0)=0)
    ),
    0,
    SUM(
        IFERROR(VALUE($F116),0) * MAX(0, MIN($F$1, DATE(Initialisatie!$C$5,12,31)) - MAX($F$2, DATE(Initialisatie!$C$5,1,1)) + 1),
        IFERROR(VALUE($G116),0) * MAX(0, MIN($G$1, DATE(Initialisatie!$C$5,12,31)) - MAX($G$2, DATE(Initialisatie!$C$5,1,1)) + 1),
        IFERROR(VALUE($H116),0) * MAX(0, MIN($H$1, DATE(Initialisatie!$C$5,12,31)) - MAX($H$2, DATE(Initialisatie!$C$5,1,1)) + 1)
    ) / (DATE(Initialisatie!$C$5,12,31) - DATE(Initialisatie!$C$5,1,1) + 1)
)</f>
        <v>3932</v>
      </c>
    </row>
    <row r="117" spans="1:10" x14ac:dyDescent="0.45">
      <c r="A117" s="989"/>
      <c r="B117" s="35">
        <v>8</v>
      </c>
      <c r="C117" s="35">
        <v>30</v>
      </c>
      <c r="D117" s="35">
        <v>8</v>
      </c>
      <c r="E117" s="35" t="s">
        <v>400</v>
      </c>
      <c r="F117">
        <v>3861</v>
      </c>
      <c r="G117">
        <v>3938</v>
      </c>
      <c r="H117">
        <v>4017</v>
      </c>
      <c r="J117">
        <f>IF(
    OR(
        AND(MAX(0, MIN($F$1, DATE(Initialisatie!$C$5,12,31)) - MAX($F$2, DATE(Initialisatie!$C$5,1,1)) + 1) &gt; 0, IFERROR(VALUE($F117),0)=0),
        AND(MAX(0, MIN($G$1, DATE(Initialisatie!$C$5,12,31)) - MAX($G$2, DATE(Initialisatie!$C$5,1,1)) + 1) &gt; 0, IFERROR(VALUE($G117),0)=0),
        AND(MAX(0, MIN($H$1, DATE(Initialisatie!$C$5,12,31)) - MAX($H$2, DATE(Initialisatie!$C$5,1,1)) + 1) &gt; 0, IFERROR(VALUE($H117),0)=0)
    ),
    0,
    SUM(
        IFERROR(VALUE($F117),0) * MAX(0, MIN($F$1, DATE(Initialisatie!$C$5,12,31)) - MAX($F$2, DATE(Initialisatie!$C$5,1,1)) + 1),
        IFERROR(VALUE($G117),0) * MAX(0, MIN($G$1, DATE(Initialisatie!$C$5,12,31)) - MAX($G$2, DATE(Initialisatie!$C$5,1,1)) + 1),
        IFERROR(VALUE($H117),0) * MAX(0, MIN($H$1, DATE(Initialisatie!$C$5,12,31)) - MAX($H$2, DATE(Initialisatie!$C$5,1,1)) + 1)
    ) / (DATE(Initialisatie!$C$5,12,31) - DATE(Initialisatie!$C$5,1,1) + 1)
)</f>
        <v>4017</v>
      </c>
    </row>
    <row r="118" spans="1:10" x14ac:dyDescent="0.45">
      <c r="A118" s="989"/>
      <c r="B118" s="35">
        <v>9</v>
      </c>
      <c r="C118" s="35">
        <v>31</v>
      </c>
      <c r="D118" s="35">
        <v>9</v>
      </c>
      <c r="E118" s="35" t="s">
        <v>401</v>
      </c>
      <c r="F118">
        <v>3939</v>
      </c>
      <c r="G118">
        <v>4018</v>
      </c>
      <c r="H118">
        <v>4098</v>
      </c>
      <c r="J118">
        <f>IF(
    OR(
        AND(MAX(0, MIN($F$1, DATE(Initialisatie!$C$5,12,31)) - MAX($F$2, DATE(Initialisatie!$C$5,1,1)) + 1) &gt; 0, IFERROR(VALUE($F118),0)=0),
        AND(MAX(0, MIN($G$1, DATE(Initialisatie!$C$5,12,31)) - MAX($G$2, DATE(Initialisatie!$C$5,1,1)) + 1) &gt; 0, IFERROR(VALUE($G118),0)=0),
        AND(MAX(0, MIN($H$1, DATE(Initialisatie!$C$5,12,31)) - MAX($H$2, DATE(Initialisatie!$C$5,1,1)) + 1) &gt; 0, IFERROR(VALUE($H118),0)=0)
    ),
    0,
    SUM(
        IFERROR(VALUE($F118),0) * MAX(0, MIN($F$1, DATE(Initialisatie!$C$5,12,31)) - MAX($F$2, DATE(Initialisatie!$C$5,1,1)) + 1),
        IFERROR(VALUE($G118),0) * MAX(0, MIN($G$1, DATE(Initialisatie!$C$5,12,31)) - MAX($G$2, DATE(Initialisatie!$C$5,1,1)) + 1),
        IFERROR(VALUE($H118),0) * MAX(0, MIN($H$1, DATE(Initialisatie!$C$5,12,31)) - MAX($H$2, DATE(Initialisatie!$C$5,1,1)) + 1)
    ) / (DATE(Initialisatie!$C$5,12,31) - DATE(Initialisatie!$C$5,1,1) + 1)
)</f>
        <v>4098</v>
      </c>
    </row>
    <row r="119" spans="1:10" x14ac:dyDescent="0.45">
      <c r="A119" s="989"/>
      <c r="B119" s="35">
        <v>10</v>
      </c>
      <c r="C119" s="35">
        <v>32</v>
      </c>
      <c r="D119" s="35">
        <v>10</v>
      </c>
      <c r="E119" s="35" t="s">
        <v>402</v>
      </c>
      <c r="F119">
        <v>4022</v>
      </c>
      <c r="G119">
        <v>4102</v>
      </c>
      <c r="H119">
        <v>4184</v>
      </c>
      <c r="J119">
        <f>IF(
    OR(
        AND(MAX(0, MIN($F$1, DATE(Initialisatie!$C$5,12,31)) - MAX($F$2, DATE(Initialisatie!$C$5,1,1)) + 1) &gt; 0, IFERROR(VALUE($F119),0)=0),
        AND(MAX(0, MIN($G$1, DATE(Initialisatie!$C$5,12,31)) - MAX($G$2, DATE(Initialisatie!$C$5,1,1)) + 1) &gt; 0, IFERROR(VALUE($G119),0)=0),
        AND(MAX(0, MIN($H$1, DATE(Initialisatie!$C$5,12,31)) - MAX($H$2, DATE(Initialisatie!$C$5,1,1)) + 1) &gt; 0, IFERROR(VALUE($H119),0)=0)
    ),
    0,
    SUM(
        IFERROR(VALUE($F119),0) * MAX(0, MIN($F$1, DATE(Initialisatie!$C$5,12,31)) - MAX($F$2, DATE(Initialisatie!$C$5,1,1)) + 1),
        IFERROR(VALUE($G119),0) * MAX(0, MIN($G$1, DATE(Initialisatie!$C$5,12,31)) - MAX($G$2, DATE(Initialisatie!$C$5,1,1)) + 1),
        IFERROR(VALUE($H119),0) * MAX(0, MIN($H$1, DATE(Initialisatie!$C$5,12,31)) - MAX($H$2, DATE(Initialisatie!$C$5,1,1)) + 1)
    ) / (DATE(Initialisatie!$C$5,12,31) - DATE(Initialisatie!$C$5,1,1) + 1)
)</f>
        <v>4184</v>
      </c>
    </row>
    <row r="120" spans="1:10" x14ac:dyDescent="0.45">
      <c r="A120" s="989"/>
      <c r="B120" s="35">
        <v>11</v>
      </c>
      <c r="C120" s="35">
        <v>33</v>
      </c>
      <c r="D120" s="35">
        <v>11</v>
      </c>
      <c r="E120" s="35" t="s">
        <v>403</v>
      </c>
      <c r="F120">
        <v>4101</v>
      </c>
      <c r="G120">
        <v>4183</v>
      </c>
      <c r="H120">
        <v>4267</v>
      </c>
      <c r="J120">
        <f>IF(
    OR(
        AND(MAX(0, MIN($F$1, DATE(Initialisatie!$C$5,12,31)) - MAX($F$2, DATE(Initialisatie!$C$5,1,1)) + 1) &gt; 0, IFERROR(VALUE($F120),0)=0),
        AND(MAX(0, MIN($G$1, DATE(Initialisatie!$C$5,12,31)) - MAX($G$2, DATE(Initialisatie!$C$5,1,1)) + 1) &gt; 0, IFERROR(VALUE($G120),0)=0),
        AND(MAX(0, MIN($H$1, DATE(Initialisatie!$C$5,12,31)) - MAX($H$2, DATE(Initialisatie!$C$5,1,1)) + 1) &gt; 0, IFERROR(VALUE($H120),0)=0)
    ),
    0,
    SUM(
        IFERROR(VALUE($F120),0) * MAX(0, MIN($F$1, DATE(Initialisatie!$C$5,12,31)) - MAX($F$2, DATE(Initialisatie!$C$5,1,1)) + 1),
        IFERROR(VALUE($G120),0) * MAX(0, MIN($G$1, DATE(Initialisatie!$C$5,12,31)) - MAX($G$2, DATE(Initialisatie!$C$5,1,1)) + 1),
        IFERROR(VALUE($H120),0) * MAX(0, MIN($H$1, DATE(Initialisatie!$C$5,12,31)) - MAX($H$2, DATE(Initialisatie!$C$5,1,1)) + 1)
    ) / (DATE(Initialisatie!$C$5,12,31) - DATE(Initialisatie!$C$5,1,1) + 1)
)</f>
        <v>4267</v>
      </c>
    </row>
    <row r="121" spans="1:10" x14ac:dyDescent="0.45">
      <c r="A121" s="989"/>
      <c r="B121" s="35">
        <v>12</v>
      </c>
      <c r="C121" s="35">
        <v>34</v>
      </c>
      <c r="D121" s="35">
        <v>12</v>
      </c>
      <c r="E121" s="35" t="s">
        <v>404</v>
      </c>
      <c r="F121">
        <v>4185</v>
      </c>
      <c r="G121">
        <v>4269</v>
      </c>
      <c r="H121">
        <v>4354</v>
      </c>
      <c r="J121">
        <f>IF(
    OR(
        AND(MAX(0, MIN($F$1, DATE(Initialisatie!$C$5,12,31)) - MAX($F$2, DATE(Initialisatie!$C$5,1,1)) + 1) &gt; 0, IFERROR(VALUE($F121),0)=0),
        AND(MAX(0, MIN($G$1, DATE(Initialisatie!$C$5,12,31)) - MAX($G$2, DATE(Initialisatie!$C$5,1,1)) + 1) &gt; 0, IFERROR(VALUE($G121),0)=0),
        AND(MAX(0, MIN($H$1, DATE(Initialisatie!$C$5,12,31)) - MAX($H$2, DATE(Initialisatie!$C$5,1,1)) + 1) &gt; 0, IFERROR(VALUE($H121),0)=0)
    ),
    0,
    SUM(
        IFERROR(VALUE($F121),0) * MAX(0, MIN($F$1, DATE(Initialisatie!$C$5,12,31)) - MAX($F$2, DATE(Initialisatie!$C$5,1,1)) + 1),
        IFERROR(VALUE($G121),0) * MAX(0, MIN($G$1, DATE(Initialisatie!$C$5,12,31)) - MAX($G$2, DATE(Initialisatie!$C$5,1,1)) + 1),
        IFERROR(VALUE($H121),0) * MAX(0, MIN($H$1, DATE(Initialisatie!$C$5,12,31)) - MAX($H$2, DATE(Initialisatie!$C$5,1,1)) + 1)
    ) / (DATE(Initialisatie!$C$5,12,31) - DATE(Initialisatie!$C$5,1,1) + 1)
)</f>
        <v>4354</v>
      </c>
    </row>
    <row r="122" spans="1:10" x14ac:dyDescent="0.45">
      <c r="A122" s="990"/>
      <c r="B122" s="35">
        <v>13</v>
      </c>
      <c r="C122" s="35">
        <v>35</v>
      </c>
      <c r="D122" s="35">
        <v>13</v>
      </c>
      <c r="E122" s="35" t="s">
        <v>692</v>
      </c>
      <c r="F122">
        <v>4264</v>
      </c>
      <c r="G122">
        <v>4349</v>
      </c>
      <c r="H122">
        <v>4436</v>
      </c>
      <c r="J122">
        <f>IF(
    OR(
        AND(MAX(0, MIN($F$1, DATE(Initialisatie!$C$5,12,31)) - MAX($F$2, DATE(Initialisatie!$C$5,1,1)) + 1) &gt; 0, IFERROR(VALUE($F122),0)=0),
        AND(MAX(0, MIN($G$1, DATE(Initialisatie!$C$5,12,31)) - MAX($G$2, DATE(Initialisatie!$C$5,1,1)) + 1) &gt; 0, IFERROR(VALUE($G122),0)=0),
        AND(MAX(0, MIN($H$1, DATE(Initialisatie!$C$5,12,31)) - MAX($H$2, DATE(Initialisatie!$C$5,1,1)) + 1) &gt; 0, IFERROR(VALUE($H122),0)=0)
    ),
    0,
    SUM(
        IFERROR(VALUE($F122),0) * MAX(0, MIN($F$1, DATE(Initialisatie!$C$5,12,31)) - MAX($F$2, DATE(Initialisatie!$C$5,1,1)) + 1),
        IFERROR(VALUE($G122),0) * MAX(0, MIN($G$1, DATE(Initialisatie!$C$5,12,31)) - MAX($G$2, DATE(Initialisatie!$C$5,1,1)) + 1),
        IFERROR(VALUE($H122),0) * MAX(0, MIN($H$1, DATE(Initialisatie!$C$5,12,31)) - MAX($H$2, DATE(Initialisatie!$C$5,1,1)) + 1)
    ) / (DATE(Initialisatie!$C$5,12,31) - DATE(Initialisatie!$C$5,1,1) + 1)
)</f>
        <v>4436</v>
      </c>
    </row>
    <row r="123" spans="1:10" x14ac:dyDescent="0.45">
      <c r="A123" s="988">
        <v>55</v>
      </c>
      <c r="B123" s="35">
        <v>0</v>
      </c>
      <c r="C123" s="35">
        <v>22</v>
      </c>
      <c r="D123" s="35">
        <v>0</v>
      </c>
      <c r="E123" s="35" t="s">
        <v>693</v>
      </c>
      <c r="F123">
        <v>3217</v>
      </c>
      <c r="G123">
        <v>3281</v>
      </c>
      <c r="H123">
        <v>3347</v>
      </c>
      <c r="J123">
        <f>IF(
    OR(
        AND(MAX(0, MIN($F$1, DATE(Initialisatie!$C$5,12,31)) - MAX($F$2, DATE(Initialisatie!$C$5,1,1)) + 1) &gt; 0, IFERROR(VALUE($F123),0)=0),
        AND(MAX(0, MIN($G$1, DATE(Initialisatie!$C$5,12,31)) - MAX($G$2, DATE(Initialisatie!$C$5,1,1)) + 1) &gt; 0, IFERROR(VALUE($G123),0)=0),
        AND(MAX(0, MIN($H$1, DATE(Initialisatie!$C$5,12,31)) - MAX($H$2, DATE(Initialisatie!$C$5,1,1)) + 1) &gt; 0, IFERROR(VALUE($H123),0)=0)
    ),
    0,
    SUM(
        IFERROR(VALUE($F123),0) * MAX(0, MIN($F$1, DATE(Initialisatie!$C$5,12,31)) - MAX($F$2, DATE(Initialisatie!$C$5,1,1)) + 1),
        IFERROR(VALUE($G123),0) * MAX(0, MIN($G$1, DATE(Initialisatie!$C$5,12,31)) - MAX($G$2, DATE(Initialisatie!$C$5,1,1)) + 1),
        IFERROR(VALUE($H123),0) * MAX(0, MIN($H$1, DATE(Initialisatie!$C$5,12,31)) - MAX($H$2, DATE(Initialisatie!$C$5,1,1)) + 1)
    ) / (DATE(Initialisatie!$C$5,12,31) - DATE(Initialisatie!$C$5,1,1) + 1)
)</f>
        <v>3347</v>
      </c>
    </row>
    <row r="124" spans="1:10" x14ac:dyDescent="0.45">
      <c r="A124" s="989"/>
      <c r="B124" s="35">
        <v>1</v>
      </c>
      <c r="C124" s="35">
        <v>24</v>
      </c>
      <c r="D124" s="35">
        <v>1</v>
      </c>
      <c r="E124" s="35" t="s">
        <v>409</v>
      </c>
      <c r="F124">
        <v>3369</v>
      </c>
      <c r="G124">
        <v>3436</v>
      </c>
      <c r="H124">
        <v>3505</v>
      </c>
      <c r="J124">
        <f>IF(
    OR(
        AND(MAX(0, MIN($F$1, DATE(Initialisatie!$C$5,12,31)) - MAX($F$2, DATE(Initialisatie!$C$5,1,1)) + 1) &gt; 0, IFERROR(VALUE($F124),0)=0),
        AND(MAX(0, MIN($G$1, DATE(Initialisatie!$C$5,12,31)) - MAX($G$2, DATE(Initialisatie!$C$5,1,1)) + 1) &gt; 0, IFERROR(VALUE($G124),0)=0),
        AND(MAX(0, MIN($H$1, DATE(Initialisatie!$C$5,12,31)) - MAX($H$2, DATE(Initialisatie!$C$5,1,1)) + 1) &gt; 0, IFERROR(VALUE($H124),0)=0)
    ),
    0,
    SUM(
        IFERROR(VALUE($F124),0) * MAX(0, MIN($F$1, DATE(Initialisatie!$C$5,12,31)) - MAX($F$2, DATE(Initialisatie!$C$5,1,1)) + 1),
        IFERROR(VALUE($G124),0) * MAX(0, MIN($G$1, DATE(Initialisatie!$C$5,12,31)) - MAX($G$2, DATE(Initialisatie!$C$5,1,1)) + 1),
        IFERROR(VALUE($H124),0) * MAX(0, MIN($H$1, DATE(Initialisatie!$C$5,12,31)) - MAX($H$2, DATE(Initialisatie!$C$5,1,1)) + 1)
    ) / (DATE(Initialisatie!$C$5,12,31) - DATE(Initialisatie!$C$5,1,1) + 1)
)</f>
        <v>3505</v>
      </c>
    </row>
    <row r="125" spans="1:10" x14ac:dyDescent="0.45">
      <c r="A125" s="989"/>
      <c r="B125" s="35">
        <v>2</v>
      </c>
      <c r="C125" s="35">
        <v>26</v>
      </c>
      <c r="D125" s="35">
        <v>2</v>
      </c>
      <c r="E125" s="35" t="s">
        <v>410</v>
      </c>
      <c r="F125">
        <v>3535</v>
      </c>
      <c r="G125">
        <v>3606</v>
      </c>
      <c r="H125">
        <v>3678</v>
      </c>
      <c r="J125">
        <f>IF(
    OR(
        AND(MAX(0, MIN($F$1, DATE(Initialisatie!$C$5,12,31)) - MAX($F$2, DATE(Initialisatie!$C$5,1,1)) + 1) &gt; 0, IFERROR(VALUE($F125),0)=0),
        AND(MAX(0, MIN($G$1, DATE(Initialisatie!$C$5,12,31)) - MAX($G$2, DATE(Initialisatie!$C$5,1,1)) + 1) &gt; 0, IFERROR(VALUE($G125),0)=0),
        AND(MAX(0, MIN($H$1, DATE(Initialisatie!$C$5,12,31)) - MAX($H$2, DATE(Initialisatie!$C$5,1,1)) + 1) &gt; 0, IFERROR(VALUE($H125),0)=0)
    ),
    0,
    SUM(
        IFERROR(VALUE($F125),0) * MAX(0, MIN($F$1, DATE(Initialisatie!$C$5,12,31)) - MAX($F$2, DATE(Initialisatie!$C$5,1,1)) + 1),
        IFERROR(VALUE($G125),0) * MAX(0, MIN($G$1, DATE(Initialisatie!$C$5,12,31)) - MAX($G$2, DATE(Initialisatie!$C$5,1,1)) + 1),
        IFERROR(VALUE($H125),0) * MAX(0, MIN($H$1, DATE(Initialisatie!$C$5,12,31)) - MAX($H$2, DATE(Initialisatie!$C$5,1,1)) + 1)
    ) / (DATE(Initialisatie!$C$5,12,31) - DATE(Initialisatie!$C$5,1,1) + 1)
)</f>
        <v>3678</v>
      </c>
    </row>
    <row r="126" spans="1:10" x14ac:dyDescent="0.45">
      <c r="A126" s="989"/>
      <c r="B126" s="35">
        <v>3</v>
      </c>
      <c r="C126" s="35">
        <v>28</v>
      </c>
      <c r="D126" s="35">
        <v>3</v>
      </c>
      <c r="E126" s="35" t="s">
        <v>411</v>
      </c>
      <c r="F126">
        <v>3694</v>
      </c>
      <c r="G126">
        <v>3768</v>
      </c>
      <c r="H126">
        <v>3843</v>
      </c>
      <c r="J126">
        <f>IF(
    OR(
        AND(MAX(0, MIN($F$1, DATE(Initialisatie!$C$5,12,31)) - MAX($F$2, DATE(Initialisatie!$C$5,1,1)) + 1) &gt; 0, IFERROR(VALUE($F126),0)=0),
        AND(MAX(0, MIN($G$1, DATE(Initialisatie!$C$5,12,31)) - MAX($G$2, DATE(Initialisatie!$C$5,1,1)) + 1) &gt; 0, IFERROR(VALUE($G126),0)=0),
        AND(MAX(0, MIN($H$1, DATE(Initialisatie!$C$5,12,31)) - MAX($H$2, DATE(Initialisatie!$C$5,1,1)) + 1) &gt; 0, IFERROR(VALUE($H126),0)=0)
    ),
    0,
    SUM(
        IFERROR(VALUE($F126),0) * MAX(0, MIN($F$1, DATE(Initialisatie!$C$5,12,31)) - MAX($F$2, DATE(Initialisatie!$C$5,1,1)) + 1),
        IFERROR(VALUE($G126),0) * MAX(0, MIN($G$1, DATE(Initialisatie!$C$5,12,31)) - MAX($G$2, DATE(Initialisatie!$C$5,1,1)) + 1),
        IFERROR(VALUE($H126),0) * MAX(0, MIN($H$1, DATE(Initialisatie!$C$5,12,31)) - MAX($H$2, DATE(Initialisatie!$C$5,1,1)) + 1)
    ) / (DATE(Initialisatie!$C$5,12,31) - DATE(Initialisatie!$C$5,1,1) + 1)
)</f>
        <v>3843</v>
      </c>
    </row>
    <row r="127" spans="1:10" x14ac:dyDescent="0.45">
      <c r="A127" s="989"/>
      <c r="B127" s="35">
        <v>4</v>
      </c>
      <c r="C127" s="35">
        <v>30</v>
      </c>
      <c r="D127" s="35">
        <v>4</v>
      </c>
      <c r="E127" s="35" t="s">
        <v>412</v>
      </c>
      <c r="F127">
        <v>3861</v>
      </c>
      <c r="G127">
        <v>3938</v>
      </c>
      <c r="H127">
        <v>4017</v>
      </c>
      <c r="J127">
        <f>IF(
    OR(
        AND(MAX(0, MIN($F$1, DATE(Initialisatie!$C$5,12,31)) - MAX($F$2, DATE(Initialisatie!$C$5,1,1)) + 1) &gt; 0, IFERROR(VALUE($F127),0)=0),
        AND(MAX(0, MIN($G$1, DATE(Initialisatie!$C$5,12,31)) - MAX($G$2, DATE(Initialisatie!$C$5,1,1)) + 1) &gt; 0, IFERROR(VALUE($G127),0)=0),
        AND(MAX(0, MIN($H$1, DATE(Initialisatie!$C$5,12,31)) - MAX($H$2, DATE(Initialisatie!$C$5,1,1)) + 1) &gt; 0, IFERROR(VALUE($H127),0)=0)
    ),
    0,
    SUM(
        IFERROR(VALUE($F127),0) * MAX(0, MIN($F$1, DATE(Initialisatie!$C$5,12,31)) - MAX($F$2, DATE(Initialisatie!$C$5,1,1)) + 1),
        IFERROR(VALUE($G127),0) * MAX(0, MIN($G$1, DATE(Initialisatie!$C$5,12,31)) - MAX($G$2, DATE(Initialisatie!$C$5,1,1)) + 1),
        IFERROR(VALUE($H127),0) * MAX(0, MIN($H$1, DATE(Initialisatie!$C$5,12,31)) - MAX($H$2, DATE(Initialisatie!$C$5,1,1)) + 1)
    ) / (DATE(Initialisatie!$C$5,12,31) - DATE(Initialisatie!$C$5,1,1) + 1)
)</f>
        <v>4017</v>
      </c>
    </row>
    <row r="128" spans="1:10" x14ac:dyDescent="0.45">
      <c r="A128" s="989"/>
      <c r="B128" s="35">
        <v>5</v>
      </c>
      <c r="C128" s="35">
        <v>32</v>
      </c>
      <c r="D128" s="35">
        <v>5</v>
      </c>
      <c r="E128" s="35" t="s">
        <v>413</v>
      </c>
      <c r="F128">
        <v>4022</v>
      </c>
      <c r="G128">
        <v>4102</v>
      </c>
      <c r="H128">
        <v>4184</v>
      </c>
      <c r="J128">
        <f>IF(
    OR(
        AND(MAX(0, MIN($F$1, DATE(Initialisatie!$C$5,12,31)) - MAX($F$2, DATE(Initialisatie!$C$5,1,1)) + 1) &gt; 0, IFERROR(VALUE($F128),0)=0),
        AND(MAX(0, MIN($G$1, DATE(Initialisatie!$C$5,12,31)) - MAX($G$2, DATE(Initialisatie!$C$5,1,1)) + 1) &gt; 0, IFERROR(VALUE($G128),0)=0),
        AND(MAX(0, MIN($H$1, DATE(Initialisatie!$C$5,12,31)) - MAX($H$2, DATE(Initialisatie!$C$5,1,1)) + 1) &gt; 0, IFERROR(VALUE($H128),0)=0)
    ),
    0,
    SUM(
        IFERROR(VALUE($F128),0) * MAX(0, MIN($F$1, DATE(Initialisatie!$C$5,12,31)) - MAX($F$2, DATE(Initialisatie!$C$5,1,1)) + 1),
        IFERROR(VALUE($G128),0) * MAX(0, MIN($G$1, DATE(Initialisatie!$C$5,12,31)) - MAX($G$2, DATE(Initialisatie!$C$5,1,1)) + 1),
        IFERROR(VALUE($H128),0) * MAX(0, MIN($H$1, DATE(Initialisatie!$C$5,12,31)) - MAX($H$2, DATE(Initialisatie!$C$5,1,1)) + 1)
    ) / (DATE(Initialisatie!$C$5,12,31) - DATE(Initialisatie!$C$5,1,1) + 1)
)</f>
        <v>4184</v>
      </c>
    </row>
    <row r="129" spans="1:10" x14ac:dyDescent="0.45">
      <c r="A129" s="989"/>
      <c r="B129" s="35">
        <v>6</v>
      </c>
      <c r="C129" s="35">
        <v>34</v>
      </c>
      <c r="D129" s="35">
        <v>6</v>
      </c>
      <c r="E129" s="35" t="s">
        <v>414</v>
      </c>
      <c r="F129">
        <v>4185</v>
      </c>
      <c r="G129">
        <v>4269</v>
      </c>
      <c r="H129">
        <v>4354</v>
      </c>
      <c r="J129">
        <f>IF(
    OR(
        AND(MAX(0, MIN($F$1, DATE(Initialisatie!$C$5,12,31)) - MAX($F$2, DATE(Initialisatie!$C$5,1,1)) + 1) &gt; 0, IFERROR(VALUE($F129),0)=0),
        AND(MAX(0, MIN($G$1, DATE(Initialisatie!$C$5,12,31)) - MAX($G$2, DATE(Initialisatie!$C$5,1,1)) + 1) &gt; 0, IFERROR(VALUE($G129),0)=0),
        AND(MAX(0, MIN($H$1, DATE(Initialisatie!$C$5,12,31)) - MAX($H$2, DATE(Initialisatie!$C$5,1,1)) + 1) &gt; 0, IFERROR(VALUE($H129),0)=0)
    ),
    0,
    SUM(
        IFERROR(VALUE($F129),0) * MAX(0, MIN($F$1, DATE(Initialisatie!$C$5,12,31)) - MAX($F$2, DATE(Initialisatie!$C$5,1,1)) + 1),
        IFERROR(VALUE($G129),0) * MAX(0, MIN($G$1, DATE(Initialisatie!$C$5,12,31)) - MAX($G$2, DATE(Initialisatie!$C$5,1,1)) + 1),
        IFERROR(VALUE($H129),0) * MAX(0, MIN($H$1, DATE(Initialisatie!$C$5,12,31)) - MAX($H$2, DATE(Initialisatie!$C$5,1,1)) + 1)
    ) / (DATE(Initialisatie!$C$5,12,31) - DATE(Initialisatie!$C$5,1,1) + 1)
)</f>
        <v>4354</v>
      </c>
    </row>
    <row r="130" spans="1:10" x14ac:dyDescent="0.45">
      <c r="A130" s="989"/>
      <c r="B130" s="35">
        <v>7</v>
      </c>
      <c r="C130" s="35">
        <v>35</v>
      </c>
      <c r="D130" s="35">
        <v>7</v>
      </c>
      <c r="E130" s="35" t="s">
        <v>415</v>
      </c>
      <c r="F130">
        <v>4264</v>
      </c>
      <c r="G130">
        <v>4349</v>
      </c>
      <c r="H130">
        <v>4436</v>
      </c>
      <c r="J130">
        <f>IF(
    OR(
        AND(MAX(0, MIN($F$1, DATE(Initialisatie!$C$5,12,31)) - MAX($F$2, DATE(Initialisatie!$C$5,1,1)) + 1) &gt; 0, IFERROR(VALUE($F130),0)=0),
        AND(MAX(0, MIN($G$1, DATE(Initialisatie!$C$5,12,31)) - MAX($G$2, DATE(Initialisatie!$C$5,1,1)) + 1) &gt; 0, IFERROR(VALUE($G130),0)=0),
        AND(MAX(0, MIN($H$1, DATE(Initialisatie!$C$5,12,31)) - MAX($H$2, DATE(Initialisatie!$C$5,1,1)) + 1) &gt; 0, IFERROR(VALUE($H130),0)=0)
    ),
    0,
    SUM(
        IFERROR(VALUE($F130),0) * MAX(0, MIN($F$1, DATE(Initialisatie!$C$5,12,31)) - MAX($F$2, DATE(Initialisatie!$C$5,1,1)) + 1),
        IFERROR(VALUE($G130),0) * MAX(0, MIN($G$1, DATE(Initialisatie!$C$5,12,31)) - MAX($G$2, DATE(Initialisatie!$C$5,1,1)) + 1),
        IFERROR(VALUE($H130),0) * MAX(0, MIN($H$1, DATE(Initialisatie!$C$5,12,31)) - MAX($H$2, DATE(Initialisatie!$C$5,1,1)) + 1)
    ) / (DATE(Initialisatie!$C$5,12,31) - DATE(Initialisatie!$C$5,1,1) + 1)
)</f>
        <v>4436</v>
      </c>
    </row>
    <row r="131" spans="1:10" x14ac:dyDescent="0.45">
      <c r="A131" s="989"/>
      <c r="B131" s="35">
        <v>8</v>
      </c>
      <c r="C131" s="35">
        <v>36</v>
      </c>
      <c r="D131" s="35">
        <v>8</v>
      </c>
      <c r="E131" s="35" t="s">
        <v>416</v>
      </c>
      <c r="F131">
        <v>4356</v>
      </c>
      <c r="G131">
        <v>4443</v>
      </c>
      <c r="H131">
        <v>4532</v>
      </c>
      <c r="J131">
        <f>IF(
    OR(
        AND(MAX(0, MIN($F$1, DATE(Initialisatie!$C$5,12,31)) - MAX($F$2, DATE(Initialisatie!$C$5,1,1)) + 1) &gt; 0, IFERROR(VALUE($F131),0)=0),
        AND(MAX(0, MIN($G$1, DATE(Initialisatie!$C$5,12,31)) - MAX($G$2, DATE(Initialisatie!$C$5,1,1)) + 1) &gt; 0, IFERROR(VALUE($G131),0)=0),
        AND(MAX(0, MIN($H$1, DATE(Initialisatie!$C$5,12,31)) - MAX($H$2, DATE(Initialisatie!$C$5,1,1)) + 1) &gt; 0, IFERROR(VALUE($H131),0)=0)
    ),
    0,
    SUM(
        IFERROR(VALUE($F131),0) * MAX(0, MIN($F$1, DATE(Initialisatie!$C$5,12,31)) - MAX($F$2, DATE(Initialisatie!$C$5,1,1)) + 1),
        IFERROR(VALUE($G131),0) * MAX(0, MIN($G$1, DATE(Initialisatie!$C$5,12,31)) - MAX($G$2, DATE(Initialisatie!$C$5,1,1)) + 1),
        IFERROR(VALUE($H131),0) * MAX(0, MIN($H$1, DATE(Initialisatie!$C$5,12,31)) - MAX($H$2, DATE(Initialisatie!$C$5,1,1)) + 1)
    ) / (DATE(Initialisatie!$C$5,12,31) - DATE(Initialisatie!$C$5,1,1) + 1)
)</f>
        <v>4532</v>
      </c>
    </row>
    <row r="132" spans="1:10" x14ac:dyDescent="0.45">
      <c r="A132" s="989"/>
      <c r="B132" s="35">
        <v>9</v>
      </c>
      <c r="C132" s="35">
        <v>37</v>
      </c>
      <c r="D132" s="35">
        <v>9</v>
      </c>
      <c r="E132" s="35" t="s">
        <v>417</v>
      </c>
      <c r="F132">
        <v>4449</v>
      </c>
      <c r="G132">
        <v>4538</v>
      </c>
      <c r="H132">
        <v>4629</v>
      </c>
      <c r="J132">
        <f>IF(
    OR(
        AND(MAX(0, MIN($F$1, DATE(Initialisatie!$C$5,12,31)) - MAX($F$2, DATE(Initialisatie!$C$5,1,1)) + 1) &gt; 0, IFERROR(VALUE($F132),0)=0),
        AND(MAX(0, MIN($G$1, DATE(Initialisatie!$C$5,12,31)) - MAX($G$2, DATE(Initialisatie!$C$5,1,1)) + 1) &gt; 0, IFERROR(VALUE($G132),0)=0),
        AND(MAX(0, MIN($H$1, DATE(Initialisatie!$C$5,12,31)) - MAX($H$2, DATE(Initialisatie!$C$5,1,1)) + 1) &gt; 0, IFERROR(VALUE($H132),0)=0)
    ),
    0,
    SUM(
        IFERROR(VALUE($F132),0) * MAX(0, MIN($F$1, DATE(Initialisatie!$C$5,12,31)) - MAX($F$2, DATE(Initialisatie!$C$5,1,1)) + 1),
        IFERROR(VALUE($G132),0) * MAX(0, MIN($G$1, DATE(Initialisatie!$C$5,12,31)) - MAX($G$2, DATE(Initialisatie!$C$5,1,1)) + 1),
        IFERROR(VALUE($H132),0) * MAX(0, MIN($H$1, DATE(Initialisatie!$C$5,12,31)) - MAX($H$2, DATE(Initialisatie!$C$5,1,1)) + 1)
    ) / (DATE(Initialisatie!$C$5,12,31) - DATE(Initialisatie!$C$5,1,1) + 1)
)</f>
        <v>4629</v>
      </c>
    </row>
    <row r="133" spans="1:10" x14ac:dyDescent="0.45">
      <c r="A133" s="989"/>
      <c r="B133" s="35">
        <v>10</v>
      </c>
      <c r="C133" s="35">
        <v>38</v>
      </c>
      <c r="D133" s="35">
        <v>10</v>
      </c>
      <c r="E133" s="35" t="s">
        <v>418</v>
      </c>
      <c r="F133">
        <v>4541</v>
      </c>
      <c r="G133">
        <v>4632</v>
      </c>
      <c r="H133">
        <v>4725</v>
      </c>
      <c r="J133">
        <f>IF(
    OR(
        AND(MAX(0, MIN($F$1, DATE(Initialisatie!$C$5,12,31)) - MAX($F$2, DATE(Initialisatie!$C$5,1,1)) + 1) &gt; 0, IFERROR(VALUE($F133),0)=0),
        AND(MAX(0, MIN($G$1, DATE(Initialisatie!$C$5,12,31)) - MAX($G$2, DATE(Initialisatie!$C$5,1,1)) + 1) &gt; 0, IFERROR(VALUE($G133),0)=0),
        AND(MAX(0, MIN($H$1, DATE(Initialisatie!$C$5,12,31)) - MAX($H$2, DATE(Initialisatie!$C$5,1,1)) + 1) &gt; 0, IFERROR(VALUE($H133),0)=0)
    ),
    0,
    SUM(
        IFERROR(VALUE($F133),0) * MAX(0, MIN($F$1, DATE(Initialisatie!$C$5,12,31)) - MAX($F$2, DATE(Initialisatie!$C$5,1,1)) + 1),
        IFERROR(VALUE($G133),0) * MAX(0, MIN($G$1, DATE(Initialisatie!$C$5,12,31)) - MAX($G$2, DATE(Initialisatie!$C$5,1,1)) + 1),
        IFERROR(VALUE($H133),0) * MAX(0, MIN($H$1, DATE(Initialisatie!$C$5,12,31)) - MAX($H$2, DATE(Initialisatie!$C$5,1,1)) + 1)
    ) / (DATE(Initialisatie!$C$5,12,31) - DATE(Initialisatie!$C$5,1,1) + 1)
)</f>
        <v>4725</v>
      </c>
    </row>
    <row r="134" spans="1:10" x14ac:dyDescent="0.45">
      <c r="A134" s="989"/>
      <c r="B134" s="35">
        <v>11</v>
      </c>
      <c r="C134" s="35">
        <v>39</v>
      </c>
      <c r="D134" s="35">
        <v>11</v>
      </c>
      <c r="E134" s="35" t="s">
        <v>419</v>
      </c>
      <c r="F134">
        <v>4629</v>
      </c>
      <c r="G134">
        <v>4722</v>
      </c>
      <c r="H134">
        <v>4816</v>
      </c>
      <c r="J134">
        <f>IF(
    OR(
        AND(MAX(0, MIN($F$1, DATE(Initialisatie!$C$5,12,31)) - MAX($F$2, DATE(Initialisatie!$C$5,1,1)) + 1) &gt; 0, IFERROR(VALUE($F134),0)=0),
        AND(MAX(0, MIN($G$1, DATE(Initialisatie!$C$5,12,31)) - MAX($G$2, DATE(Initialisatie!$C$5,1,1)) + 1) &gt; 0, IFERROR(VALUE($G134),0)=0),
        AND(MAX(0, MIN($H$1, DATE(Initialisatie!$C$5,12,31)) - MAX($H$2, DATE(Initialisatie!$C$5,1,1)) + 1) &gt; 0, IFERROR(VALUE($H134),0)=0)
    ),
    0,
    SUM(
        IFERROR(VALUE($F134),0) * MAX(0, MIN($F$1, DATE(Initialisatie!$C$5,12,31)) - MAX($F$2, DATE(Initialisatie!$C$5,1,1)) + 1),
        IFERROR(VALUE($G134),0) * MAX(0, MIN($G$1, DATE(Initialisatie!$C$5,12,31)) - MAX($G$2, DATE(Initialisatie!$C$5,1,1)) + 1),
        IFERROR(VALUE($H134),0) * MAX(0, MIN($H$1, DATE(Initialisatie!$C$5,12,31)) - MAX($H$2, DATE(Initialisatie!$C$5,1,1)) + 1)
    ) / (DATE(Initialisatie!$C$5,12,31) - DATE(Initialisatie!$C$5,1,1) + 1)
)</f>
        <v>4816</v>
      </c>
    </row>
    <row r="135" spans="1:10" x14ac:dyDescent="0.45">
      <c r="A135" s="990"/>
      <c r="B135" s="35">
        <v>12</v>
      </c>
      <c r="C135" s="35">
        <v>40</v>
      </c>
      <c r="D135" s="35">
        <v>12</v>
      </c>
      <c r="E135" s="35" t="s">
        <v>420</v>
      </c>
      <c r="F135">
        <v>4712</v>
      </c>
      <c r="G135">
        <v>4806</v>
      </c>
      <c r="H135">
        <v>4902</v>
      </c>
      <c r="J135">
        <f>IF(
    OR(
        AND(MAX(0, MIN($F$1, DATE(Initialisatie!$C$5,12,31)) - MAX($F$2, DATE(Initialisatie!$C$5,1,1)) + 1) &gt; 0, IFERROR(VALUE($F135),0)=0),
        AND(MAX(0, MIN($G$1, DATE(Initialisatie!$C$5,12,31)) - MAX($G$2, DATE(Initialisatie!$C$5,1,1)) + 1) &gt; 0, IFERROR(VALUE($G135),0)=0),
        AND(MAX(0, MIN($H$1, DATE(Initialisatie!$C$5,12,31)) - MAX($H$2, DATE(Initialisatie!$C$5,1,1)) + 1) &gt; 0, IFERROR(VALUE($H135),0)=0)
    ),
    0,
    SUM(
        IFERROR(VALUE($F135),0) * MAX(0, MIN($F$1, DATE(Initialisatie!$C$5,12,31)) - MAX($F$2, DATE(Initialisatie!$C$5,1,1)) + 1),
        IFERROR(VALUE($G135),0) * MAX(0, MIN($G$1, DATE(Initialisatie!$C$5,12,31)) - MAX($G$2, DATE(Initialisatie!$C$5,1,1)) + 1),
        IFERROR(VALUE($H135),0) * MAX(0, MIN($H$1, DATE(Initialisatie!$C$5,12,31)) - MAX($H$2, DATE(Initialisatie!$C$5,1,1)) + 1)
    ) / (DATE(Initialisatie!$C$5,12,31) - DATE(Initialisatie!$C$5,1,1) + 1)
)</f>
        <v>4902</v>
      </c>
    </row>
    <row r="136" spans="1:10" x14ac:dyDescent="0.45">
      <c r="A136" s="988">
        <v>60</v>
      </c>
      <c r="B136" s="35">
        <v>0</v>
      </c>
      <c r="C136" s="35">
        <v>28</v>
      </c>
      <c r="D136" s="35">
        <v>0</v>
      </c>
      <c r="E136" s="35" t="s">
        <v>694</v>
      </c>
      <c r="F136">
        <v>3694</v>
      </c>
      <c r="G136">
        <v>3768</v>
      </c>
      <c r="H136">
        <v>3843</v>
      </c>
      <c r="J136">
        <f>IF(
    OR(
        AND(MAX(0, MIN($F$1, DATE(Initialisatie!$C$5,12,31)) - MAX($F$2, DATE(Initialisatie!$C$5,1,1)) + 1) &gt; 0, IFERROR(VALUE($F136),0)=0),
        AND(MAX(0, MIN($G$1, DATE(Initialisatie!$C$5,12,31)) - MAX($G$2, DATE(Initialisatie!$C$5,1,1)) + 1) &gt; 0, IFERROR(VALUE($G136),0)=0),
        AND(MAX(0, MIN($H$1, DATE(Initialisatie!$C$5,12,31)) - MAX($H$2, DATE(Initialisatie!$C$5,1,1)) + 1) &gt; 0, IFERROR(VALUE($H136),0)=0)
    ),
    0,
    SUM(
        IFERROR(VALUE($F136),0) * MAX(0, MIN($F$1, DATE(Initialisatie!$C$5,12,31)) - MAX($F$2, DATE(Initialisatie!$C$5,1,1)) + 1),
        IFERROR(VALUE($G136),0) * MAX(0, MIN($G$1, DATE(Initialisatie!$C$5,12,31)) - MAX($G$2, DATE(Initialisatie!$C$5,1,1)) + 1),
        IFERROR(VALUE($H136),0) * MAX(0, MIN($H$1, DATE(Initialisatie!$C$5,12,31)) - MAX($H$2, DATE(Initialisatie!$C$5,1,1)) + 1)
    ) / (DATE(Initialisatie!$C$5,12,31) - DATE(Initialisatie!$C$5,1,1) + 1)
)</f>
        <v>3843</v>
      </c>
    </row>
    <row r="137" spans="1:10" x14ac:dyDescent="0.45">
      <c r="A137" s="989"/>
      <c r="B137" s="35">
        <v>1</v>
      </c>
      <c r="C137" s="35">
        <v>30</v>
      </c>
      <c r="D137" s="35">
        <v>1</v>
      </c>
      <c r="E137" s="35" t="s">
        <v>425</v>
      </c>
      <c r="F137">
        <v>3861</v>
      </c>
      <c r="G137">
        <v>3938</v>
      </c>
      <c r="H137">
        <v>4017</v>
      </c>
      <c r="J137">
        <f>IF(
    OR(
        AND(MAX(0, MIN($F$1, DATE(Initialisatie!$C$5,12,31)) - MAX($F$2, DATE(Initialisatie!$C$5,1,1)) + 1) &gt; 0, IFERROR(VALUE($F137),0)=0),
        AND(MAX(0, MIN($G$1, DATE(Initialisatie!$C$5,12,31)) - MAX($G$2, DATE(Initialisatie!$C$5,1,1)) + 1) &gt; 0, IFERROR(VALUE($G137),0)=0),
        AND(MAX(0, MIN($H$1, DATE(Initialisatie!$C$5,12,31)) - MAX($H$2, DATE(Initialisatie!$C$5,1,1)) + 1) &gt; 0, IFERROR(VALUE($H137),0)=0)
    ),
    0,
    SUM(
        IFERROR(VALUE($F137),0) * MAX(0, MIN($F$1, DATE(Initialisatie!$C$5,12,31)) - MAX($F$2, DATE(Initialisatie!$C$5,1,1)) + 1),
        IFERROR(VALUE($G137),0) * MAX(0, MIN($G$1, DATE(Initialisatie!$C$5,12,31)) - MAX($G$2, DATE(Initialisatie!$C$5,1,1)) + 1),
        IFERROR(VALUE($H137),0) * MAX(0, MIN($H$1, DATE(Initialisatie!$C$5,12,31)) - MAX($H$2, DATE(Initialisatie!$C$5,1,1)) + 1)
    ) / (DATE(Initialisatie!$C$5,12,31) - DATE(Initialisatie!$C$5,1,1) + 1)
)</f>
        <v>4017</v>
      </c>
    </row>
    <row r="138" spans="1:10" x14ac:dyDescent="0.45">
      <c r="A138" s="989"/>
      <c r="B138" s="35">
        <v>2</v>
      </c>
      <c r="C138" s="35">
        <v>32</v>
      </c>
      <c r="D138" s="35">
        <v>2</v>
      </c>
      <c r="E138" s="35" t="s">
        <v>426</v>
      </c>
      <c r="F138">
        <v>4022</v>
      </c>
      <c r="G138">
        <v>4102</v>
      </c>
      <c r="H138">
        <v>4184</v>
      </c>
      <c r="J138">
        <f>IF(
    OR(
        AND(MAX(0, MIN($F$1, DATE(Initialisatie!$C$5,12,31)) - MAX($F$2, DATE(Initialisatie!$C$5,1,1)) + 1) &gt; 0, IFERROR(VALUE($F138),0)=0),
        AND(MAX(0, MIN($G$1, DATE(Initialisatie!$C$5,12,31)) - MAX($G$2, DATE(Initialisatie!$C$5,1,1)) + 1) &gt; 0, IFERROR(VALUE($G138),0)=0),
        AND(MAX(0, MIN($H$1, DATE(Initialisatie!$C$5,12,31)) - MAX($H$2, DATE(Initialisatie!$C$5,1,1)) + 1) &gt; 0, IFERROR(VALUE($H138),0)=0)
    ),
    0,
    SUM(
        IFERROR(VALUE($F138),0) * MAX(0, MIN($F$1, DATE(Initialisatie!$C$5,12,31)) - MAX($F$2, DATE(Initialisatie!$C$5,1,1)) + 1),
        IFERROR(VALUE($G138),0) * MAX(0, MIN($G$1, DATE(Initialisatie!$C$5,12,31)) - MAX($G$2, DATE(Initialisatie!$C$5,1,1)) + 1),
        IFERROR(VALUE($H138),0) * MAX(0, MIN($H$1, DATE(Initialisatie!$C$5,12,31)) - MAX($H$2, DATE(Initialisatie!$C$5,1,1)) + 1)
    ) / (DATE(Initialisatie!$C$5,12,31) - DATE(Initialisatie!$C$5,1,1) + 1)
)</f>
        <v>4184</v>
      </c>
    </row>
    <row r="139" spans="1:10" x14ac:dyDescent="0.45">
      <c r="A139" s="989"/>
      <c r="B139" s="35">
        <v>3</v>
      </c>
      <c r="C139" s="35">
        <v>34</v>
      </c>
      <c r="D139" s="35">
        <v>3</v>
      </c>
      <c r="E139" s="35" t="s">
        <v>427</v>
      </c>
      <c r="F139">
        <v>4185</v>
      </c>
      <c r="G139">
        <v>4269</v>
      </c>
      <c r="H139">
        <v>4354</v>
      </c>
      <c r="J139">
        <f>IF(
    OR(
        AND(MAX(0, MIN($F$1, DATE(Initialisatie!$C$5,12,31)) - MAX($F$2, DATE(Initialisatie!$C$5,1,1)) + 1) &gt; 0, IFERROR(VALUE($F139),0)=0),
        AND(MAX(0, MIN($G$1, DATE(Initialisatie!$C$5,12,31)) - MAX($G$2, DATE(Initialisatie!$C$5,1,1)) + 1) &gt; 0, IFERROR(VALUE($G139),0)=0),
        AND(MAX(0, MIN($H$1, DATE(Initialisatie!$C$5,12,31)) - MAX($H$2, DATE(Initialisatie!$C$5,1,1)) + 1) &gt; 0, IFERROR(VALUE($H139),0)=0)
    ),
    0,
    SUM(
        IFERROR(VALUE($F139),0) * MAX(0, MIN($F$1, DATE(Initialisatie!$C$5,12,31)) - MAX($F$2, DATE(Initialisatie!$C$5,1,1)) + 1),
        IFERROR(VALUE($G139),0) * MAX(0, MIN($G$1, DATE(Initialisatie!$C$5,12,31)) - MAX($G$2, DATE(Initialisatie!$C$5,1,1)) + 1),
        IFERROR(VALUE($H139),0) * MAX(0, MIN($H$1, DATE(Initialisatie!$C$5,12,31)) - MAX($H$2, DATE(Initialisatie!$C$5,1,1)) + 1)
    ) / (DATE(Initialisatie!$C$5,12,31) - DATE(Initialisatie!$C$5,1,1) + 1)
)</f>
        <v>4354</v>
      </c>
    </row>
    <row r="140" spans="1:10" x14ac:dyDescent="0.45">
      <c r="A140" s="989"/>
      <c r="B140" s="35">
        <v>4</v>
      </c>
      <c r="C140" s="35">
        <v>36</v>
      </c>
      <c r="D140" s="35">
        <v>4</v>
      </c>
      <c r="E140" s="35" t="s">
        <v>428</v>
      </c>
      <c r="F140">
        <v>4356</v>
      </c>
      <c r="G140">
        <v>4443</v>
      </c>
      <c r="H140">
        <v>4532</v>
      </c>
      <c r="J140">
        <f>IF(
    OR(
        AND(MAX(0, MIN($F$1, DATE(Initialisatie!$C$5,12,31)) - MAX($F$2, DATE(Initialisatie!$C$5,1,1)) + 1) &gt; 0, IFERROR(VALUE($F140),0)=0),
        AND(MAX(0, MIN($G$1, DATE(Initialisatie!$C$5,12,31)) - MAX($G$2, DATE(Initialisatie!$C$5,1,1)) + 1) &gt; 0, IFERROR(VALUE($G140),0)=0),
        AND(MAX(0, MIN($H$1, DATE(Initialisatie!$C$5,12,31)) - MAX($H$2, DATE(Initialisatie!$C$5,1,1)) + 1) &gt; 0, IFERROR(VALUE($H140),0)=0)
    ),
    0,
    SUM(
        IFERROR(VALUE($F140),0) * MAX(0, MIN($F$1, DATE(Initialisatie!$C$5,12,31)) - MAX($F$2, DATE(Initialisatie!$C$5,1,1)) + 1),
        IFERROR(VALUE($G140),0) * MAX(0, MIN($G$1, DATE(Initialisatie!$C$5,12,31)) - MAX($G$2, DATE(Initialisatie!$C$5,1,1)) + 1),
        IFERROR(VALUE($H140),0) * MAX(0, MIN($H$1, DATE(Initialisatie!$C$5,12,31)) - MAX($H$2, DATE(Initialisatie!$C$5,1,1)) + 1)
    ) / (DATE(Initialisatie!$C$5,12,31) - DATE(Initialisatie!$C$5,1,1) + 1)
)</f>
        <v>4532</v>
      </c>
    </row>
    <row r="141" spans="1:10" x14ac:dyDescent="0.45">
      <c r="A141" s="989"/>
      <c r="B141" s="35">
        <v>5</v>
      </c>
      <c r="C141" s="35">
        <v>38</v>
      </c>
      <c r="D141" s="35">
        <v>5</v>
      </c>
      <c r="E141" s="35" t="s">
        <v>429</v>
      </c>
      <c r="F141">
        <v>4541</v>
      </c>
      <c r="G141">
        <v>4632</v>
      </c>
      <c r="H141">
        <v>4725</v>
      </c>
      <c r="J141">
        <f>IF(
    OR(
        AND(MAX(0, MIN($F$1, DATE(Initialisatie!$C$5,12,31)) - MAX($F$2, DATE(Initialisatie!$C$5,1,1)) + 1) &gt; 0, IFERROR(VALUE($F141),0)=0),
        AND(MAX(0, MIN($G$1, DATE(Initialisatie!$C$5,12,31)) - MAX($G$2, DATE(Initialisatie!$C$5,1,1)) + 1) &gt; 0, IFERROR(VALUE($G141),0)=0),
        AND(MAX(0, MIN($H$1, DATE(Initialisatie!$C$5,12,31)) - MAX($H$2, DATE(Initialisatie!$C$5,1,1)) + 1) &gt; 0, IFERROR(VALUE($H141),0)=0)
    ),
    0,
    SUM(
        IFERROR(VALUE($F141),0) * MAX(0, MIN($F$1, DATE(Initialisatie!$C$5,12,31)) - MAX($F$2, DATE(Initialisatie!$C$5,1,1)) + 1),
        IFERROR(VALUE($G141),0) * MAX(0, MIN($G$1, DATE(Initialisatie!$C$5,12,31)) - MAX($G$2, DATE(Initialisatie!$C$5,1,1)) + 1),
        IFERROR(VALUE($H141),0) * MAX(0, MIN($H$1, DATE(Initialisatie!$C$5,12,31)) - MAX($H$2, DATE(Initialisatie!$C$5,1,1)) + 1)
    ) / (DATE(Initialisatie!$C$5,12,31) - DATE(Initialisatie!$C$5,1,1) + 1)
)</f>
        <v>4725</v>
      </c>
    </row>
    <row r="142" spans="1:10" x14ac:dyDescent="0.45">
      <c r="A142" s="989"/>
      <c r="B142" s="35">
        <v>6</v>
      </c>
      <c r="C142" s="35">
        <v>40</v>
      </c>
      <c r="D142" s="35">
        <v>6</v>
      </c>
      <c r="E142" s="35" t="s">
        <v>430</v>
      </c>
      <c r="F142">
        <v>4712</v>
      </c>
      <c r="G142">
        <v>4806</v>
      </c>
      <c r="H142">
        <v>4902</v>
      </c>
      <c r="J142">
        <f>IF(
    OR(
        AND(MAX(0, MIN($F$1, DATE(Initialisatie!$C$5,12,31)) - MAX($F$2, DATE(Initialisatie!$C$5,1,1)) + 1) &gt; 0, IFERROR(VALUE($F142),0)=0),
        AND(MAX(0, MIN($G$1, DATE(Initialisatie!$C$5,12,31)) - MAX($G$2, DATE(Initialisatie!$C$5,1,1)) + 1) &gt; 0, IFERROR(VALUE($G142),0)=0),
        AND(MAX(0, MIN($H$1, DATE(Initialisatie!$C$5,12,31)) - MAX($H$2, DATE(Initialisatie!$C$5,1,1)) + 1) &gt; 0, IFERROR(VALUE($H142),0)=0)
    ),
    0,
    SUM(
        IFERROR(VALUE($F142),0) * MAX(0, MIN($F$1, DATE(Initialisatie!$C$5,12,31)) - MAX($F$2, DATE(Initialisatie!$C$5,1,1)) + 1),
        IFERROR(VALUE($G142),0) * MAX(0, MIN($G$1, DATE(Initialisatie!$C$5,12,31)) - MAX($G$2, DATE(Initialisatie!$C$5,1,1)) + 1),
        IFERROR(VALUE($H142),0) * MAX(0, MIN($H$1, DATE(Initialisatie!$C$5,12,31)) - MAX($H$2, DATE(Initialisatie!$C$5,1,1)) + 1)
    ) / (DATE(Initialisatie!$C$5,12,31) - DATE(Initialisatie!$C$5,1,1) + 1)
)</f>
        <v>4902</v>
      </c>
    </row>
    <row r="143" spans="1:10" x14ac:dyDescent="0.45">
      <c r="A143" s="989"/>
      <c r="B143" s="35">
        <v>7</v>
      </c>
      <c r="C143" s="35">
        <v>42</v>
      </c>
      <c r="D143" s="35">
        <v>7</v>
      </c>
      <c r="E143" s="35" t="s">
        <v>431</v>
      </c>
      <c r="F143">
        <v>4887</v>
      </c>
      <c r="G143">
        <v>4985</v>
      </c>
      <c r="H143">
        <v>5085</v>
      </c>
      <c r="J143">
        <f>IF(
    OR(
        AND(MAX(0, MIN($F$1, DATE(Initialisatie!$C$5,12,31)) - MAX($F$2, DATE(Initialisatie!$C$5,1,1)) + 1) &gt; 0, IFERROR(VALUE($F143),0)=0),
        AND(MAX(0, MIN($G$1, DATE(Initialisatie!$C$5,12,31)) - MAX($G$2, DATE(Initialisatie!$C$5,1,1)) + 1) &gt; 0, IFERROR(VALUE($G143),0)=0),
        AND(MAX(0, MIN($H$1, DATE(Initialisatie!$C$5,12,31)) - MAX($H$2, DATE(Initialisatie!$C$5,1,1)) + 1) &gt; 0, IFERROR(VALUE($H143),0)=0)
    ),
    0,
    SUM(
        IFERROR(VALUE($F143),0) * MAX(0, MIN($F$1, DATE(Initialisatie!$C$5,12,31)) - MAX($F$2, DATE(Initialisatie!$C$5,1,1)) + 1),
        IFERROR(VALUE($G143),0) * MAX(0, MIN($G$1, DATE(Initialisatie!$C$5,12,31)) - MAX($G$2, DATE(Initialisatie!$C$5,1,1)) + 1),
        IFERROR(VALUE($H143),0) * MAX(0, MIN($H$1, DATE(Initialisatie!$C$5,12,31)) - MAX($H$2, DATE(Initialisatie!$C$5,1,1)) + 1)
    ) / (DATE(Initialisatie!$C$5,12,31) - DATE(Initialisatie!$C$5,1,1) + 1)
)</f>
        <v>5085</v>
      </c>
    </row>
    <row r="144" spans="1:10" x14ac:dyDescent="0.45">
      <c r="A144" s="989"/>
      <c r="B144" s="35">
        <v>8</v>
      </c>
      <c r="C144" s="35">
        <v>44</v>
      </c>
      <c r="D144" s="35">
        <v>8</v>
      </c>
      <c r="E144" s="35" t="s">
        <v>432</v>
      </c>
      <c r="F144">
        <v>5063</v>
      </c>
      <c r="G144">
        <v>5164</v>
      </c>
      <c r="H144">
        <v>5267</v>
      </c>
      <c r="J144">
        <f>IF(
    OR(
        AND(MAX(0, MIN($F$1, DATE(Initialisatie!$C$5,12,31)) - MAX($F$2, DATE(Initialisatie!$C$5,1,1)) + 1) &gt; 0, IFERROR(VALUE($F144),0)=0),
        AND(MAX(0, MIN($G$1, DATE(Initialisatie!$C$5,12,31)) - MAX($G$2, DATE(Initialisatie!$C$5,1,1)) + 1) &gt; 0, IFERROR(VALUE($G144),0)=0),
        AND(MAX(0, MIN($H$1, DATE(Initialisatie!$C$5,12,31)) - MAX($H$2, DATE(Initialisatie!$C$5,1,1)) + 1) &gt; 0, IFERROR(VALUE($H144),0)=0)
    ),
    0,
    SUM(
        IFERROR(VALUE($F144),0) * MAX(0, MIN($F$1, DATE(Initialisatie!$C$5,12,31)) - MAX($F$2, DATE(Initialisatie!$C$5,1,1)) + 1),
        IFERROR(VALUE($G144),0) * MAX(0, MIN($G$1, DATE(Initialisatie!$C$5,12,31)) - MAX($G$2, DATE(Initialisatie!$C$5,1,1)) + 1),
        IFERROR(VALUE($H144),0) * MAX(0, MIN($H$1, DATE(Initialisatie!$C$5,12,31)) - MAX($H$2, DATE(Initialisatie!$C$5,1,1)) + 1)
    ) / (DATE(Initialisatie!$C$5,12,31) - DATE(Initialisatie!$C$5,1,1) + 1)
)</f>
        <v>5267</v>
      </c>
    </row>
    <row r="145" spans="1:10" x14ac:dyDescent="0.45">
      <c r="A145" s="989"/>
      <c r="B145" s="35">
        <v>9</v>
      </c>
      <c r="C145" s="35">
        <v>45</v>
      </c>
      <c r="D145" s="35">
        <v>9</v>
      </c>
      <c r="E145" s="35" t="s">
        <v>433</v>
      </c>
      <c r="F145">
        <v>5135</v>
      </c>
      <c r="G145">
        <v>5238</v>
      </c>
      <c r="H145">
        <v>5343</v>
      </c>
      <c r="J145">
        <f>IF(
    OR(
        AND(MAX(0, MIN($F$1, DATE(Initialisatie!$C$5,12,31)) - MAX($F$2, DATE(Initialisatie!$C$5,1,1)) + 1) &gt; 0, IFERROR(VALUE($F145),0)=0),
        AND(MAX(0, MIN($G$1, DATE(Initialisatie!$C$5,12,31)) - MAX($G$2, DATE(Initialisatie!$C$5,1,1)) + 1) &gt; 0, IFERROR(VALUE($G145),0)=0),
        AND(MAX(0, MIN($H$1, DATE(Initialisatie!$C$5,12,31)) - MAX($H$2, DATE(Initialisatie!$C$5,1,1)) + 1) &gt; 0, IFERROR(VALUE($H145),0)=0)
    ),
    0,
    SUM(
        IFERROR(VALUE($F145),0) * MAX(0, MIN($F$1, DATE(Initialisatie!$C$5,12,31)) - MAX($F$2, DATE(Initialisatie!$C$5,1,1)) + 1),
        IFERROR(VALUE($G145),0) * MAX(0, MIN($G$1, DATE(Initialisatie!$C$5,12,31)) - MAX($G$2, DATE(Initialisatie!$C$5,1,1)) + 1),
        IFERROR(VALUE($H145),0) * MAX(0, MIN($H$1, DATE(Initialisatie!$C$5,12,31)) - MAX($H$2, DATE(Initialisatie!$C$5,1,1)) + 1)
    ) / (DATE(Initialisatie!$C$5,12,31) - DATE(Initialisatie!$C$5,1,1) + 1)
)</f>
        <v>5343</v>
      </c>
    </row>
    <row r="146" spans="1:10" x14ac:dyDescent="0.45">
      <c r="A146" s="989"/>
      <c r="B146" s="35">
        <v>10</v>
      </c>
      <c r="C146" s="35">
        <v>46</v>
      </c>
      <c r="D146" s="35">
        <v>10</v>
      </c>
      <c r="E146" s="35" t="s">
        <v>434</v>
      </c>
      <c r="F146">
        <v>5214</v>
      </c>
      <c r="G146">
        <v>5318</v>
      </c>
      <c r="H146">
        <v>5424</v>
      </c>
      <c r="J146">
        <f>IF(
    OR(
        AND(MAX(0, MIN($F$1, DATE(Initialisatie!$C$5,12,31)) - MAX($F$2, DATE(Initialisatie!$C$5,1,1)) + 1) &gt; 0, IFERROR(VALUE($F146),0)=0),
        AND(MAX(0, MIN($G$1, DATE(Initialisatie!$C$5,12,31)) - MAX($G$2, DATE(Initialisatie!$C$5,1,1)) + 1) &gt; 0, IFERROR(VALUE($G146),0)=0),
        AND(MAX(0, MIN($H$1, DATE(Initialisatie!$C$5,12,31)) - MAX($H$2, DATE(Initialisatie!$C$5,1,1)) + 1) &gt; 0, IFERROR(VALUE($H146),0)=0)
    ),
    0,
    SUM(
        IFERROR(VALUE($F146),0) * MAX(0, MIN($F$1, DATE(Initialisatie!$C$5,12,31)) - MAX($F$2, DATE(Initialisatie!$C$5,1,1)) + 1),
        IFERROR(VALUE($G146),0) * MAX(0, MIN($G$1, DATE(Initialisatie!$C$5,12,31)) - MAX($G$2, DATE(Initialisatie!$C$5,1,1)) + 1),
        IFERROR(VALUE($H146),0) * MAX(0, MIN($H$1, DATE(Initialisatie!$C$5,12,31)) - MAX($H$2, DATE(Initialisatie!$C$5,1,1)) + 1)
    ) / (DATE(Initialisatie!$C$5,12,31) - DATE(Initialisatie!$C$5,1,1) + 1)
)</f>
        <v>5424</v>
      </c>
    </row>
    <row r="147" spans="1:10" x14ac:dyDescent="0.45">
      <c r="A147" s="989"/>
      <c r="B147" s="35">
        <v>11</v>
      </c>
      <c r="C147" s="35">
        <v>47</v>
      </c>
      <c r="D147" s="35">
        <v>11</v>
      </c>
      <c r="E147" s="35" t="s">
        <v>435</v>
      </c>
      <c r="F147">
        <v>5294</v>
      </c>
      <c r="G147">
        <v>5400</v>
      </c>
      <c r="H147">
        <v>5508</v>
      </c>
      <c r="J147">
        <f>IF(
    OR(
        AND(MAX(0, MIN($F$1, DATE(Initialisatie!$C$5,12,31)) - MAX($F$2, DATE(Initialisatie!$C$5,1,1)) + 1) &gt; 0, IFERROR(VALUE($F147),0)=0),
        AND(MAX(0, MIN($G$1, DATE(Initialisatie!$C$5,12,31)) - MAX($G$2, DATE(Initialisatie!$C$5,1,1)) + 1) &gt; 0, IFERROR(VALUE($G147),0)=0),
        AND(MAX(0, MIN($H$1, DATE(Initialisatie!$C$5,12,31)) - MAX($H$2, DATE(Initialisatie!$C$5,1,1)) + 1) &gt; 0, IFERROR(VALUE($H147),0)=0)
    ),
    0,
    SUM(
        IFERROR(VALUE($F147),0) * MAX(0, MIN($F$1, DATE(Initialisatie!$C$5,12,31)) - MAX($F$2, DATE(Initialisatie!$C$5,1,1)) + 1),
        IFERROR(VALUE($G147),0) * MAX(0, MIN($G$1, DATE(Initialisatie!$C$5,12,31)) - MAX($G$2, DATE(Initialisatie!$C$5,1,1)) + 1),
        IFERROR(VALUE($H147),0) * MAX(0, MIN($H$1, DATE(Initialisatie!$C$5,12,31)) - MAX($H$2, DATE(Initialisatie!$C$5,1,1)) + 1)
    ) / (DATE(Initialisatie!$C$5,12,31) - DATE(Initialisatie!$C$5,1,1) + 1)
)</f>
        <v>5508</v>
      </c>
    </row>
    <row r="148" spans="1:10" x14ac:dyDescent="0.45">
      <c r="A148" s="990"/>
      <c r="B148" s="35">
        <v>12</v>
      </c>
      <c r="C148" s="35">
        <v>48</v>
      </c>
      <c r="D148" s="35">
        <v>12</v>
      </c>
      <c r="E148" s="35" t="s">
        <v>695</v>
      </c>
      <c r="F148">
        <v>5370</v>
      </c>
      <c r="G148">
        <v>5477</v>
      </c>
      <c r="H148">
        <v>5587</v>
      </c>
      <c r="J148">
        <f>IF(
    OR(
        AND(MAX(0, MIN($F$1, DATE(Initialisatie!$C$5,12,31)) - MAX($F$2, DATE(Initialisatie!$C$5,1,1)) + 1) &gt; 0, IFERROR(VALUE($F148),0)=0),
        AND(MAX(0, MIN($G$1, DATE(Initialisatie!$C$5,12,31)) - MAX($G$2, DATE(Initialisatie!$C$5,1,1)) + 1) &gt; 0, IFERROR(VALUE($G148),0)=0),
        AND(MAX(0, MIN($H$1, DATE(Initialisatie!$C$5,12,31)) - MAX($H$2, DATE(Initialisatie!$C$5,1,1)) + 1) &gt; 0, IFERROR(VALUE($H148),0)=0)
    ),
    0,
    SUM(
        IFERROR(VALUE($F148),0) * MAX(0, MIN($F$1, DATE(Initialisatie!$C$5,12,31)) - MAX($F$2, DATE(Initialisatie!$C$5,1,1)) + 1),
        IFERROR(VALUE($G148),0) * MAX(0, MIN($G$1, DATE(Initialisatie!$C$5,12,31)) - MAX($G$2, DATE(Initialisatie!$C$5,1,1)) + 1),
        IFERROR(VALUE($H148),0) * MAX(0, MIN($H$1, DATE(Initialisatie!$C$5,12,31)) - MAX($H$2, DATE(Initialisatie!$C$5,1,1)) + 1)
    ) / (DATE(Initialisatie!$C$5,12,31) - DATE(Initialisatie!$C$5,1,1) + 1)
)</f>
        <v>5587</v>
      </c>
    </row>
    <row r="149" spans="1:10" x14ac:dyDescent="0.45">
      <c r="A149" s="988">
        <v>65</v>
      </c>
      <c r="B149" s="35">
        <v>0</v>
      </c>
      <c r="C149" s="35">
        <v>34</v>
      </c>
      <c r="D149" s="35">
        <v>0</v>
      </c>
      <c r="E149" s="35" t="s">
        <v>696</v>
      </c>
      <c r="F149">
        <v>4185</v>
      </c>
      <c r="G149">
        <v>4269</v>
      </c>
      <c r="H149">
        <v>4354</v>
      </c>
      <c r="J149">
        <f>IF(
    OR(
        AND(MAX(0, MIN($F$1, DATE(Initialisatie!$C$5,12,31)) - MAX($F$2, DATE(Initialisatie!$C$5,1,1)) + 1) &gt; 0, IFERROR(VALUE($F149),0)=0),
        AND(MAX(0, MIN($G$1, DATE(Initialisatie!$C$5,12,31)) - MAX($G$2, DATE(Initialisatie!$C$5,1,1)) + 1) &gt; 0, IFERROR(VALUE($G149),0)=0),
        AND(MAX(0, MIN($H$1, DATE(Initialisatie!$C$5,12,31)) - MAX($H$2, DATE(Initialisatie!$C$5,1,1)) + 1) &gt; 0, IFERROR(VALUE($H149),0)=0)
    ),
    0,
    SUM(
        IFERROR(VALUE($F149),0) * MAX(0, MIN($F$1, DATE(Initialisatie!$C$5,12,31)) - MAX($F$2, DATE(Initialisatie!$C$5,1,1)) + 1),
        IFERROR(VALUE($G149),0) * MAX(0, MIN($G$1, DATE(Initialisatie!$C$5,12,31)) - MAX($G$2, DATE(Initialisatie!$C$5,1,1)) + 1),
        IFERROR(VALUE($H149),0) * MAX(0, MIN($H$1, DATE(Initialisatie!$C$5,12,31)) - MAX($H$2, DATE(Initialisatie!$C$5,1,1)) + 1)
    ) / (DATE(Initialisatie!$C$5,12,31) - DATE(Initialisatie!$C$5,1,1) + 1)
)</f>
        <v>4354</v>
      </c>
    </row>
    <row r="150" spans="1:10" x14ac:dyDescent="0.45">
      <c r="A150" s="989"/>
      <c r="B150" s="35">
        <v>1</v>
      </c>
      <c r="C150" s="35">
        <v>37</v>
      </c>
      <c r="D150" s="35">
        <v>1</v>
      </c>
      <c r="E150" s="35" t="s">
        <v>440</v>
      </c>
      <c r="F150">
        <v>4449</v>
      </c>
      <c r="G150">
        <v>4538</v>
      </c>
      <c r="H150">
        <v>4629</v>
      </c>
      <c r="J150">
        <f>IF(
    OR(
        AND(MAX(0, MIN($F$1, DATE(Initialisatie!$C$5,12,31)) - MAX($F$2, DATE(Initialisatie!$C$5,1,1)) + 1) &gt; 0, IFERROR(VALUE($F150),0)=0),
        AND(MAX(0, MIN($G$1, DATE(Initialisatie!$C$5,12,31)) - MAX($G$2, DATE(Initialisatie!$C$5,1,1)) + 1) &gt; 0, IFERROR(VALUE($G150),0)=0),
        AND(MAX(0, MIN($H$1, DATE(Initialisatie!$C$5,12,31)) - MAX($H$2, DATE(Initialisatie!$C$5,1,1)) + 1) &gt; 0, IFERROR(VALUE($H150),0)=0)
    ),
    0,
    SUM(
        IFERROR(VALUE($F150),0) * MAX(0, MIN($F$1, DATE(Initialisatie!$C$5,12,31)) - MAX($F$2, DATE(Initialisatie!$C$5,1,1)) + 1),
        IFERROR(VALUE($G150),0) * MAX(0, MIN($G$1, DATE(Initialisatie!$C$5,12,31)) - MAX($G$2, DATE(Initialisatie!$C$5,1,1)) + 1),
        IFERROR(VALUE($H150),0) * MAX(0, MIN($H$1, DATE(Initialisatie!$C$5,12,31)) - MAX($H$2, DATE(Initialisatie!$C$5,1,1)) + 1)
    ) / (DATE(Initialisatie!$C$5,12,31) - DATE(Initialisatie!$C$5,1,1) + 1)
)</f>
        <v>4629</v>
      </c>
    </row>
    <row r="151" spans="1:10" x14ac:dyDescent="0.45">
      <c r="A151" s="989"/>
      <c r="B151" s="35">
        <v>2</v>
      </c>
      <c r="C151" s="35">
        <v>40</v>
      </c>
      <c r="D151" s="35">
        <v>2</v>
      </c>
      <c r="E151" s="35" t="s">
        <v>441</v>
      </c>
      <c r="F151">
        <v>4712</v>
      </c>
      <c r="G151">
        <v>4806</v>
      </c>
      <c r="H151">
        <v>4902</v>
      </c>
      <c r="J151">
        <f>IF(
    OR(
        AND(MAX(0, MIN($F$1, DATE(Initialisatie!$C$5,12,31)) - MAX($F$2, DATE(Initialisatie!$C$5,1,1)) + 1) &gt; 0, IFERROR(VALUE($F151),0)=0),
        AND(MAX(0, MIN($G$1, DATE(Initialisatie!$C$5,12,31)) - MAX($G$2, DATE(Initialisatie!$C$5,1,1)) + 1) &gt; 0, IFERROR(VALUE($G151),0)=0),
        AND(MAX(0, MIN($H$1, DATE(Initialisatie!$C$5,12,31)) - MAX($H$2, DATE(Initialisatie!$C$5,1,1)) + 1) &gt; 0, IFERROR(VALUE($H151),0)=0)
    ),
    0,
    SUM(
        IFERROR(VALUE($F151),0) * MAX(0, MIN($F$1, DATE(Initialisatie!$C$5,12,31)) - MAX($F$2, DATE(Initialisatie!$C$5,1,1)) + 1),
        IFERROR(VALUE($G151),0) * MAX(0, MIN($G$1, DATE(Initialisatie!$C$5,12,31)) - MAX($G$2, DATE(Initialisatie!$C$5,1,1)) + 1),
        IFERROR(VALUE($H151),0) * MAX(0, MIN($H$1, DATE(Initialisatie!$C$5,12,31)) - MAX($H$2, DATE(Initialisatie!$C$5,1,1)) + 1)
    ) / (DATE(Initialisatie!$C$5,12,31) - DATE(Initialisatie!$C$5,1,1) + 1)
)</f>
        <v>4902</v>
      </c>
    </row>
    <row r="152" spans="1:10" x14ac:dyDescent="0.45">
      <c r="A152" s="989"/>
      <c r="B152" s="35">
        <v>3</v>
      </c>
      <c r="C152" s="35">
        <v>42</v>
      </c>
      <c r="D152" s="35">
        <v>3</v>
      </c>
      <c r="E152" s="35" t="s">
        <v>442</v>
      </c>
      <c r="F152">
        <v>4887</v>
      </c>
      <c r="G152">
        <v>4985</v>
      </c>
      <c r="H152">
        <v>5085</v>
      </c>
      <c r="J152">
        <f>IF(
    OR(
        AND(MAX(0, MIN($F$1, DATE(Initialisatie!$C$5,12,31)) - MAX($F$2, DATE(Initialisatie!$C$5,1,1)) + 1) &gt; 0, IFERROR(VALUE($F152),0)=0),
        AND(MAX(0, MIN($G$1, DATE(Initialisatie!$C$5,12,31)) - MAX($G$2, DATE(Initialisatie!$C$5,1,1)) + 1) &gt; 0, IFERROR(VALUE($G152),0)=0),
        AND(MAX(0, MIN($H$1, DATE(Initialisatie!$C$5,12,31)) - MAX($H$2, DATE(Initialisatie!$C$5,1,1)) + 1) &gt; 0, IFERROR(VALUE($H152),0)=0)
    ),
    0,
    SUM(
        IFERROR(VALUE($F152),0) * MAX(0, MIN($F$1, DATE(Initialisatie!$C$5,12,31)) - MAX($F$2, DATE(Initialisatie!$C$5,1,1)) + 1),
        IFERROR(VALUE($G152),0) * MAX(0, MIN($G$1, DATE(Initialisatie!$C$5,12,31)) - MAX($G$2, DATE(Initialisatie!$C$5,1,1)) + 1),
        IFERROR(VALUE($H152),0) * MAX(0, MIN($H$1, DATE(Initialisatie!$C$5,12,31)) - MAX($H$2, DATE(Initialisatie!$C$5,1,1)) + 1)
    ) / (DATE(Initialisatie!$C$5,12,31) - DATE(Initialisatie!$C$5,1,1) + 1)
)</f>
        <v>5085</v>
      </c>
    </row>
    <row r="153" spans="1:10" x14ac:dyDescent="0.45">
      <c r="A153" s="989"/>
      <c r="B153" s="35">
        <v>4</v>
      </c>
      <c r="C153" s="35">
        <v>44</v>
      </c>
      <c r="D153" s="35">
        <v>4</v>
      </c>
      <c r="E153" s="35" t="s">
        <v>443</v>
      </c>
      <c r="F153">
        <v>5063</v>
      </c>
      <c r="G153">
        <v>5164</v>
      </c>
      <c r="H153">
        <v>5267</v>
      </c>
      <c r="J153">
        <f>IF(
    OR(
        AND(MAX(0, MIN($F$1, DATE(Initialisatie!$C$5,12,31)) - MAX($F$2, DATE(Initialisatie!$C$5,1,1)) + 1) &gt; 0, IFERROR(VALUE($F153),0)=0),
        AND(MAX(0, MIN($G$1, DATE(Initialisatie!$C$5,12,31)) - MAX($G$2, DATE(Initialisatie!$C$5,1,1)) + 1) &gt; 0, IFERROR(VALUE($G153),0)=0),
        AND(MAX(0, MIN($H$1, DATE(Initialisatie!$C$5,12,31)) - MAX($H$2, DATE(Initialisatie!$C$5,1,1)) + 1) &gt; 0, IFERROR(VALUE($H153),0)=0)
    ),
    0,
    SUM(
        IFERROR(VALUE($F153),0) * MAX(0, MIN($F$1, DATE(Initialisatie!$C$5,12,31)) - MAX($F$2, DATE(Initialisatie!$C$5,1,1)) + 1),
        IFERROR(VALUE($G153),0) * MAX(0, MIN($G$1, DATE(Initialisatie!$C$5,12,31)) - MAX($G$2, DATE(Initialisatie!$C$5,1,1)) + 1),
        IFERROR(VALUE($H153),0) * MAX(0, MIN($H$1, DATE(Initialisatie!$C$5,12,31)) - MAX($H$2, DATE(Initialisatie!$C$5,1,1)) + 1)
    ) / (DATE(Initialisatie!$C$5,12,31) - DATE(Initialisatie!$C$5,1,1) + 1)
)</f>
        <v>5267</v>
      </c>
    </row>
    <row r="154" spans="1:10" x14ac:dyDescent="0.45">
      <c r="A154" s="989"/>
      <c r="B154" s="35">
        <v>5</v>
      </c>
      <c r="C154" s="35">
        <v>46</v>
      </c>
      <c r="D154" s="35">
        <v>5</v>
      </c>
      <c r="E154" s="35" t="s">
        <v>444</v>
      </c>
      <c r="F154">
        <v>5214</v>
      </c>
      <c r="G154">
        <v>5318</v>
      </c>
      <c r="H154">
        <v>5424</v>
      </c>
      <c r="J154">
        <f>IF(
    OR(
        AND(MAX(0, MIN($F$1, DATE(Initialisatie!$C$5,12,31)) - MAX($F$2, DATE(Initialisatie!$C$5,1,1)) + 1) &gt; 0, IFERROR(VALUE($F154),0)=0),
        AND(MAX(0, MIN($G$1, DATE(Initialisatie!$C$5,12,31)) - MAX($G$2, DATE(Initialisatie!$C$5,1,1)) + 1) &gt; 0, IFERROR(VALUE($G154),0)=0),
        AND(MAX(0, MIN($H$1, DATE(Initialisatie!$C$5,12,31)) - MAX($H$2, DATE(Initialisatie!$C$5,1,1)) + 1) &gt; 0, IFERROR(VALUE($H154),0)=0)
    ),
    0,
    SUM(
        IFERROR(VALUE($F154),0) * MAX(0, MIN($F$1, DATE(Initialisatie!$C$5,12,31)) - MAX($F$2, DATE(Initialisatie!$C$5,1,1)) + 1),
        IFERROR(VALUE($G154),0) * MAX(0, MIN($G$1, DATE(Initialisatie!$C$5,12,31)) - MAX($G$2, DATE(Initialisatie!$C$5,1,1)) + 1),
        IFERROR(VALUE($H154),0) * MAX(0, MIN($H$1, DATE(Initialisatie!$C$5,12,31)) - MAX($H$2, DATE(Initialisatie!$C$5,1,1)) + 1)
    ) / (DATE(Initialisatie!$C$5,12,31) - DATE(Initialisatie!$C$5,1,1) + 1)
)</f>
        <v>5424</v>
      </c>
    </row>
    <row r="155" spans="1:10" x14ac:dyDescent="0.45">
      <c r="A155" s="989"/>
      <c r="B155" s="35">
        <v>6</v>
      </c>
      <c r="C155" s="35">
        <v>48</v>
      </c>
      <c r="D155" s="35">
        <v>6</v>
      </c>
      <c r="E155" s="35" t="s">
        <v>445</v>
      </c>
      <c r="F155">
        <v>5370</v>
      </c>
      <c r="G155">
        <v>5477</v>
      </c>
      <c r="H155">
        <v>5587</v>
      </c>
      <c r="J155">
        <f>IF(
    OR(
        AND(MAX(0, MIN($F$1, DATE(Initialisatie!$C$5,12,31)) - MAX($F$2, DATE(Initialisatie!$C$5,1,1)) + 1) &gt; 0, IFERROR(VALUE($F155),0)=0),
        AND(MAX(0, MIN($G$1, DATE(Initialisatie!$C$5,12,31)) - MAX($G$2, DATE(Initialisatie!$C$5,1,1)) + 1) &gt; 0, IFERROR(VALUE($G155),0)=0),
        AND(MAX(0, MIN($H$1, DATE(Initialisatie!$C$5,12,31)) - MAX($H$2, DATE(Initialisatie!$C$5,1,1)) + 1) &gt; 0, IFERROR(VALUE($H155),0)=0)
    ),
    0,
    SUM(
        IFERROR(VALUE($F155),0) * MAX(0, MIN($F$1, DATE(Initialisatie!$C$5,12,31)) - MAX($F$2, DATE(Initialisatie!$C$5,1,1)) + 1),
        IFERROR(VALUE($G155),0) * MAX(0, MIN($G$1, DATE(Initialisatie!$C$5,12,31)) - MAX($G$2, DATE(Initialisatie!$C$5,1,1)) + 1),
        IFERROR(VALUE($H155),0) * MAX(0, MIN($H$1, DATE(Initialisatie!$C$5,12,31)) - MAX($H$2, DATE(Initialisatie!$C$5,1,1)) + 1)
    ) / (DATE(Initialisatie!$C$5,12,31) - DATE(Initialisatie!$C$5,1,1) + 1)
)</f>
        <v>5587</v>
      </c>
    </row>
    <row r="156" spans="1:10" x14ac:dyDescent="0.45">
      <c r="A156" s="989"/>
      <c r="B156" s="35">
        <v>7</v>
      </c>
      <c r="C156" s="35">
        <v>50</v>
      </c>
      <c r="D156" s="35">
        <v>7</v>
      </c>
      <c r="E156" s="35" t="s">
        <v>446</v>
      </c>
      <c r="F156">
        <v>5532</v>
      </c>
      <c r="G156">
        <v>5643</v>
      </c>
      <c r="H156">
        <v>5756</v>
      </c>
      <c r="J156">
        <f>IF(
    OR(
        AND(MAX(0, MIN($F$1, DATE(Initialisatie!$C$5,12,31)) - MAX($F$2, DATE(Initialisatie!$C$5,1,1)) + 1) &gt; 0, IFERROR(VALUE($F156),0)=0),
        AND(MAX(0, MIN($G$1, DATE(Initialisatie!$C$5,12,31)) - MAX($G$2, DATE(Initialisatie!$C$5,1,1)) + 1) &gt; 0, IFERROR(VALUE($G156),0)=0),
        AND(MAX(0, MIN($H$1, DATE(Initialisatie!$C$5,12,31)) - MAX($H$2, DATE(Initialisatie!$C$5,1,1)) + 1) &gt; 0, IFERROR(VALUE($H156),0)=0)
    ),
    0,
    SUM(
        IFERROR(VALUE($F156),0) * MAX(0, MIN($F$1, DATE(Initialisatie!$C$5,12,31)) - MAX($F$2, DATE(Initialisatie!$C$5,1,1)) + 1),
        IFERROR(VALUE($G156),0) * MAX(0, MIN($G$1, DATE(Initialisatie!$C$5,12,31)) - MAX($G$2, DATE(Initialisatie!$C$5,1,1)) + 1),
        IFERROR(VALUE($H156),0) * MAX(0, MIN($H$1, DATE(Initialisatie!$C$5,12,31)) - MAX($H$2, DATE(Initialisatie!$C$5,1,1)) + 1)
    ) / (DATE(Initialisatie!$C$5,12,31) - DATE(Initialisatie!$C$5,1,1) + 1)
)</f>
        <v>5756</v>
      </c>
    </row>
    <row r="157" spans="1:10" x14ac:dyDescent="0.45">
      <c r="A157" s="989"/>
      <c r="B157" s="35">
        <v>8</v>
      </c>
      <c r="C157" s="35">
        <v>52</v>
      </c>
      <c r="D157" s="35">
        <v>8</v>
      </c>
      <c r="E157" s="35" t="s">
        <v>447</v>
      </c>
      <c r="F157">
        <v>5690</v>
      </c>
      <c r="G157">
        <v>5804</v>
      </c>
      <c r="H157">
        <v>5920</v>
      </c>
      <c r="J157">
        <f>IF(
    OR(
        AND(MAX(0, MIN($F$1, DATE(Initialisatie!$C$5,12,31)) - MAX($F$2, DATE(Initialisatie!$C$5,1,1)) + 1) &gt; 0, IFERROR(VALUE($F157),0)=0),
        AND(MAX(0, MIN($G$1, DATE(Initialisatie!$C$5,12,31)) - MAX($G$2, DATE(Initialisatie!$C$5,1,1)) + 1) &gt; 0, IFERROR(VALUE($G157),0)=0),
        AND(MAX(0, MIN($H$1, DATE(Initialisatie!$C$5,12,31)) - MAX($H$2, DATE(Initialisatie!$C$5,1,1)) + 1) &gt; 0, IFERROR(VALUE($H157),0)=0)
    ),
    0,
    SUM(
        IFERROR(VALUE($F157),0) * MAX(0, MIN($F$1, DATE(Initialisatie!$C$5,12,31)) - MAX($F$2, DATE(Initialisatie!$C$5,1,1)) + 1),
        IFERROR(VALUE($G157),0) * MAX(0, MIN($G$1, DATE(Initialisatie!$C$5,12,31)) - MAX($G$2, DATE(Initialisatie!$C$5,1,1)) + 1),
        IFERROR(VALUE($H157),0) * MAX(0, MIN($H$1, DATE(Initialisatie!$C$5,12,31)) - MAX($H$2, DATE(Initialisatie!$C$5,1,1)) + 1)
    ) / (DATE(Initialisatie!$C$5,12,31) - DATE(Initialisatie!$C$5,1,1) + 1)
)</f>
        <v>5920</v>
      </c>
    </row>
    <row r="158" spans="1:10" x14ac:dyDescent="0.45">
      <c r="A158" s="989"/>
      <c r="B158" s="35">
        <v>9</v>
      </c>
      <c r="C158" s="35">
        <v>54</v>
      </c>
      <c r="D158" s="35">
        <v>9</v>
      </c>
      <c r="E158" s="35" t="s">
        <v>448</v>
      </c>
      <c r="F158">
        <v>5846</v>
      </c>
      <c r="G158">
        <v>5963</v>
      </c>
      <c r="H158">
        <v>6082</v>
      </c>
      <c r="J158">
        <f>IF(
    OR(
        AND(MAX(0, MIN($F$1, DATE(Initialisatie!$C$5,12,31)) - MAX($F$2, DATE(Initialisatie!$C$5,1,1)) + 1) &gt; 0, IFERROR(VALUE($F158),0)=0),
        AND(MAX(0, MIN($G$1, DATE(Initialisatie!$C$5,12,31)) - MAX($G$2, DATE(Initialisatie!$C$5,1,1)) + 1) &gt; 0, IFERROR(VALUE($G158),0)=0),
        AND(MAX(0, MIN($H$1, DATE(Initialisatie!$C$5,12,31)) - MAX($H$2, DATE(Initialisatie!$C$5,1,1)) + 1) &gt; 0, IFERROR(VALUE($H158),0)=0)
    ),
    0,
    SUM(
        IFERROR(VALUE($F158),0) * MAX(0, MIN($F$1, DATE(Initialisatie!$C$5,12,31)) - MAX($F$2, DATE(Initialisatie!$C$5,1,1)) + 1),
        IFERROR(VALUE($G158),0) * MAX(0, MIN($G$1, DATE(Initialisatie!$C$5,12,31)) - MAX($G$2, DATE(Initialisatie!$C$5,1,1)) + 1),
        IFERROR(VALUE($H158),0) * MAX(0, MIN($H$1, DATE(Initialisatie!$C$5,12,31)) - MAX($H$2, DATE(Initialisatie!$C$5,1,1)) + 1)
    ) / (DATE(Initialisatie!$C$5,12,31) - DATE(Initialisatie!$C$5,1,1) + 1)
)</f>
        <v>6082</v>
      </c>
    </row>
    <row r="159" spans="1:10" x14ac:dyDescent="0.45">
      <c r="A159" s="989"/>
      <c r="B159" s="35">
        <v>10</v>
      </c>
      <c r="C159" s="35">
        <v>56</v>
      </c>
      <c r="D159" s="35">
        <v>10</v>
      </c>
      <c r="E159" s="35" t="s">
        <v>449</v>
      </c>
      <c r="F159">
        <v>6008</v>
      </c>
      <c r="G159">
        <v>6128</v>
      </c>
      <c r="H159">
        <v>6251</v>
      </c>
      <c r="J159">
        <f>IF(
    OR(
        AND(MAX(0, MIN($F$1, DATE(Initialisatie!$C$5,12,31)) - MAX($F$2, DATE(Initialisatie!$C$5,1,1)) + 1) &gt; 0, IFERROR(VALUE($F159),0)=0),
        AND(MAX(0, MIN($G$1, DATE(Initialisatie!$C$5,12,31)) - MAX($G$2, DATE(Initialisatie!$C$5,1,1)) + 1) &gt; 0, IFERROR(VALUE($G159),0)=0),
        AND(MAX(0, MIN($H$1, DATE(Initialisatie!$C$5,12,31)) - MAX($H$2, DATE(Initialisatie!$C$5,1,1)) + 1) &gt; 0, IFERROR(VALUE($H159),0)=0)
    ),
    0,
    SUM(
        IFERROR(VALUE($F159),0) * MAX(0, MIN($F$1, DATE(Initialisatie!$C$5,12,31)) - MAX($F$2, DATE(Initialisatie!$C$5,1,1)) + 1),
        IFERROR(VALUE($G159),0) * MAX(0, MIN($G$1, DATE(Initialisatie!$C$5,12,31)) - MAX($G$2, DATE(Initialisatie!$C$5,1,1)) + 1),
        IFERROR(VALUE($H159),0) * MAX(0, MIN($H$1, DATE(Initialisatie!$C$5,12,31)) - MAX($H$2, DATE(Initialisatie!$C$5,1,1)) + 1)
    ) / (DATE(Initialisatie!$C$5,12,31) - DATE(Initialisatie!$C$5,1,1) + 1)
)</f>
        <v>6251</v>
      </c>
    </row>
    <row r="160" spans="1:10" x14ac:dyDescent="0.45">
      <c r="A160" s="989"/>
      <c r="B160" s="35">
        <v>11</v>
      </c>
      <c r="C160" s="35">
        <v>57</v>
      </c>
      <c r="D160" s="35">
        <v>11</v>
      </c>
      <c r="E160" s="35" t="s">
        <v>450</v>
      </c>
      <c r="F160">
        <v>6083</v>
      </c>
      <c r="G160">
        <v>6205</v>
      </c>
      <c r="H160">
        <v>6329</v>
      </c>
      <c r="J160">
        <f>IF(
    OR(
        AND(MAX(0, MIN($F$1, DATE(Initialisatie!$C$5,12,31)) - MAX($F$2, DATE(Initialisatie!$C$5,1,1)) + 1) &gt; 0, IFERROR(VALUE($F160),0)=0),
        AND(MAX(0, MIN($G$1, DATE(Initialisatie!$C$5,12,31)) - MAX($G$2, DATE(Initialisatie!$C$5,1,1)) + 1) &gt; 0, IFERROR(VALUE($G160),0)=0),
        AND(MAX(0, MIN($H$1, DATE(Initialisatie!$C$5,12,31)) - MAX($H$2, DATE(Initialisatie!$C$5,1,1)) + 1) &gt; 0, IFERROR(VALUE($H160),0)=0)
    ),
    0,
    SUM(
        IFERROR(VALUE($F160),0) * MAX(0, MIN($F$1, DATE(Initialisatie!$C$5,12,31)) - MAX($F$2, DATE(Initialisatie!$C$5,1,1)) + 1),
        IFERROR(VALUE($G160),0) * MAX(0, MIN($G$1, DATE(Initialisatie!$C$5,12,31)) - MAX($G$2, DATE(Initialisatie!$C$5,1,1)) + 1),
        IFERROR(VALUE($H160),0) * MAX(0, MIN($H$1, DATE(Initialisatie!$C$5,12,31)) - MAX($H$2, DATE(Initialisatie!$C$5,1,1)) + 1)
    ) / (DATE(Initialisatie!$C$5,12,31) - DATE(Initialisatie!$C$5,1,1) + 1)
)</f>
        <v>6329</v>
      </c>
    </row>
    <row r="161" spans="1:10" x14ac:dyDescent="0.45">
      <c r="A161" s="989"/>
      <c r="B161" s="35">
        <v>12</v>
      </c>
      <c r="C161" s="35">
        <v>58</v>
      </c>
      <c r="D161" s="35">
        <v>12</v>
      </c>
      <c r="E161" s="35" t="s">
        <v>451</v>
      </c>
      <c r="F161">
        <v>6165</v>
      </c>
      <c r="G161">
        <v>6288</v>
      </c>
      <c r="H161">
        <v>6414</v>
      </c>
      <c r="J161">
        <f>IF(
    OR(
        AND(MAX(0, MIN($F$1, DATE(Initialisatie!$C$5,12,31)) - MAX($F$2, DATE(Initialisatie!$C$5,1,1)) + 1) &gt; 0, IFERROR(VALUE($F161),0)=0),
        AND(MAX(0, MIN($G$1, DATE(Initialisatie!$C$5,12,31)) - MAX($G$2, DATE(Initialisatie!$C$5,1,1)) + 1) &gt; 0, IFERROR(VALUE($G161),0)=0),
        AND(MAX(0, MIN($H$1, DATE(Initialisatie!$C$5,12,31)) - MAX($H$2, DATE(Initialisatie!$C$5,1,1)) + 1) &gt; 0, IFERROR(VALUE($H161),0)=0)
    ),
    0,
    SUM(
        IFERROR(VALUE($F161),0) * MAX(0, MIN($F$1, DATE(Initialisatie!$C$5,12,31)) - MAX($F$2, DATE(Initialisatie!$C$5,1,1)) + 1),
        IFERROR(VALUE($G161),0) * MAX(0, MIN($G$1, DATE(Initialisatie!$C$5,12,31)) - MAX($G$2, DATE(Initialisatie!$C$5,1,1)) + 1),
        IFERROR(VALUE($H161),0) * MAX(0, MIN($H$1, DATE(Initialisatie!$C$5,12,31)) - MAX($H$2, DATE(Initialisatie!$C$5,1,1)) + 1)
    ) / (DATE(Initialisatie!$C$5,12,31) - DATE(Initialisatie!$C$5,1,1) + 1)
)</f>
        <v>6414</v>
      </c>
    </row>
    <row r="162" spans="1:10" x14ac:dyDescent="0.45">
      <c r="A162" s="989"/>
      <c r="B162" s="35">
        <v>13</v>
      </c>
      <c r="C162" s="35">
        <v>59</v>
      </c>
      <c r="D162" s="35">
        <v>13</v>
      </c>
      <c r="E162" s="35" t="s">
        <v>452</v>
      </c>
      <c r="F162">
        <v>6243</v>
      </c>
      <c r="G162">
        <v>6368</v>
      </c>
      <c r="H162">
        <v>6495</v>
      </c>
      <c r="J162">
        <f>IF(
    OR(
        AND(MAX(0, MIN($F$1, DATE(Initialisatie!$C$5,12,31)) - MAX($F$2, DATE(Initialisatie!$C$5,1,1)) + 1) &gt; 0, IFERROR(VALUE($F162),0)=0),
        AND(MAX(0, MIN($G$1, DATE(Initialisatie!$C$5,12,31)) - MAX($G$2, DATE(Initialisatie!$C$5,1,1)) + 1) &gt; 0, IFERROR(VALUE($G162),0)=0),
        AND(MAX(0, MIN($H$1, DATE(Initialisatie!$C$5,12,31)) - MAX($H$2, DATE(Initialisatie!$C$5,1,1)) + 1) &gt; 0, IFERROR(VALUE($H162),0)=0)
    ),
    0,
    SUM(
        IFERROR(VALUE($F162),0) * MAX(0, MIN($F$1, DATE(Initialisatie!$C$5,12,31)) - MAX($F$2, DATE(Initialisatie!$C$5,1,1)) + 1),
        IFERROR(VALUE($G162),0) * MAX(0, MIN($G$1, DATE(Initialisatie!$C$5,12,31)) - MAX($G$2, DATE(Initialisatie!$C$5,1,1)) + 1),
        IFERROR(VALUE($H162),0) * MAX(0, MIN($H$1, DATE(Initialisatie!$C$5,12,31)) - MAX($H$2, DATE(Initialisatie!$C$5,1,1)) + 1)
    ) / (DATE(Initialisatie!$C$5,12,31) - DATE(Initialisatie!$C$5,1,1) + 1)
)</f>
        <v>6495</v>
      </c>
    </row>
    <row r="163" spans="1:10" x14ac:dyDescent="0.45">
      <c r="A163" s="990"/>
      <c r="B163" s="35">
        <v>14</v>
      </c>
      <c r="C163" s="35">
        <v>60</v>
      </c>
      <c r="D163" s="35">
        <v>14</v>
      </c>
      <c r="E163" s="35" t="s">
        <v>697</v>
      </c>
      <c r="F163">
        <v>6320</v>
      </c>
      <c r="G163">
        <v>6446</v>
      </c>
      <c r="H163">
        <v>6575</v>
      </c>
      <c r="J163">
        <f>IF(
    OR(
        AND(MAX(0, MIN($F$1, DATE(Initialisatie!$C$5,12,31)) - MAX($F$2, DATE(Initialisatie!$C$5,1,1)) + 1) &gt; 0, IFERROR(VALUE($F163),0)=0),
        AND(MAX(0, MIN($G$1, DATE(Initialisatie!$C$5,12,31)) - MAX($G$2, DATE(Initialisatie!$C$5,1,1)) + 1) &gt; 0, IFERROR(VALUE($G163),0)=0),
        AND(MAX(0, MIN($H$1, DATE(Initialisatie!$C$5,12,31)) - MAX($H$2, DATE(Initialisatie!$C$5,1,1)) + 1) &gt; 0, IFERROR(VALUE($H163),0)=0)
    ),
    0,
    SUM(
        IFERROR(VALUE($F163),0) * MAX(0, MIN($F$1, DATE(Initialisatie!$C$5,12,31)) - MAX($F$2, DATE(Initialisatie!$C$5,1,1)) + 1),
        IFERROR(VALUE($G163),0) * MAX(0, MIN($G$1, DATE(Initialisatie!$C$5,12,31)) - MAX($G$2, DATE(Initialisatie!$C$5,1,1)) + 1),
        IFERROR(VALUE($H163),0) * MAX(0, MIN($H$1, DATE(Initialisatie!$C$5,12,31)) - MAX($H$2, DATE(Initialisatie!$C$5,1,1)) + 1)
    ) / (DATE(Initialisatie!$C$5,12,31) - DATE(Initialisatie!$C$5,1,1) + 1)
)</f>
        <v>6575</v>
      </c>
    </row>
    <row r="164" spans="1:10" x14ac:dyDescent="0.45">
      <c r="A164" s="988">
        <v>70</v>
      </c>
      <c r="B164" s="35">
        <v>0</v>
      </c>
      <c r="C164" s="35">
        <v>44</v>
      </c>
      <c r="D164" s="35">
        <v>0</v>
      </c>
      <c r="E164" s="35" t="s">
        <v>457</v>
      </c>
      <c r="F164">
        <v>5063</v>
      </c>
      <c r="G164">
        <v>5164</v>
      </c>
      <c r="H164">
        <v>5267</v>
      </c>
      <c r="J164">
        <f>IF(
    OR(
        AND(MAX(0, MIN($F$1, DATE(Initialisatie!$C$5,12,31)) - MAX($F$2, DATE(Initialisatie!$C$5,1,1)) + 1) &gt; 0, IFERROR(VALUE($F164),0)=0),
        AND(MAX(0, MIN($G$1, DATE(Initialisatie!$C$5,12,31)) - MAX($G$2, DATE(Initialisatie!$C$5,1,1)) + 1) &gt; 0, IFERROR(VALUE($G164),0)=0),
        AND(MAX(0, MIN($H$1, DATE(Initialisatie!$C$5,12,31)) - MAX($H$2, DATE(Initialisatie!$C$5,1,1)) + 1) &gt; 0, IFERROR(VALUE($H164),0)=0)
    ),
    0,
    SUM(
        IFERROR(VALUE($F164),0) * MAX(0, MIN($F$1, DATE(Initialisatie!$C$5,12,31)) - MAX($F$2, DATE(Initialisatie!$C$5,1,1)) + 1),
        IFERROR(VALUE($G164),0) * MAX(0, MIN($G$1, DATE(Initialisatie!$C$5,12,31)) - MAX($G$2, DATE(Initialisatie!$C$5,1,1)) + 1),
        IFERROR(VALUE($H164),0) * MAX(0, MIN($H$1, DATE(Initialisatie!$C$5,12,31)) - MAX($H$2, DATE(Initialisatie!$C$5,1,1)) + 1)
    ) / (DATE(Initialisatie!$C$5,12,31) - DATE(Initialisatie!$C$5,1,1) + 1)
)</f>
        <v>5267</v>
      </c>
    </row>
    <row r="165" spans="1:10" x14ac:dyDescent="0.45">
      <c r="A165" s="989"/>
      <c r="B165" s="35">
        <v>1</v>
      </c>
      <c r="C165" s="35">
        <v>47</v>
      </c>
      <c r="D165" s="35">
        <v>1</v>
      </c>
      <c r="E165" s="35" t="s">
        <v>458</v>
      </c>
      <c r="F165">
        <v>5294</v>
      </c>
      <c r="G165">
        <v>5400</v>
      </c>
      <c r="H165">
        <v>5508</v>
      </c>
      <c r="J165">
        <f>IF(
    OR(
        AND(MAX(0, MIN($F$1, DATE(Initialisatie!$C$5,12,31)) - MAX($F$2, DATE(Initialisatie!$C$5,1,1)) + 1) &gt; 0, IFERROR(VALUE($F165),0)=0),
        AND(MAX(0, MIN($G$1, DATE(Initialisatie!$C$5,12,31)) - MAX($G$2, DATE(Initialisatie!$C$5,1,1)) + 1) &gt; 0, IFERROR(VALUE($G165),0)=0),
        AND(MAX(0, MIN($H$1, DATE(Initialisatie!$C$5,12,31)) - MAX($H$2, DATE(Initialisatie!$C$5,1,1)) + 1) &gt; 0, IFERROR(VALUE($H165),0)=0)
    ),
    0,
    SUM(
        IFERROR(VALUE($F165),0) * MAX(0, MIN($F$1, DATE(Initialisatie!$C$5,12,31)) - MAX($F$2, DATE(Initialisatie!$C$5,1,1)) + 1),
        IFERROR(VALUE($G165),0) * MAX(0, MIN($G$1, DATE(Initialisatie!$C$5,12,31)) - MAX($G$2, DATE(Initialisatie!$C$5,1,1)) + 1),
        IFERROR(VALUE($H165),0) * MAX(0, MIN($H$1, DATE(Initialisatie!$C$5,12,31)) - MAX($H$2, DATE(Initialisatie!$C$5,1,1)) + 1)
    ) / (DATE(Initialisatie!$C$5,12,31) - DATE(Initialisatie!$C$5,1,1) + 1)
)</f>
        <v>5508</v>
      </c>
    </row>
    <row r="166" spans="1:10" x14ac:dyDescent="0.45">
      <c r="A166" s="989"/>
      <c r="B166" s="35">
        <v>2</v>
      </c>
      <c r="C166" s="35">
        <v>50</v>
      </c>
      <c r="D166" s="35">
        <v>2</v>
      </c>
      <c r="E166" s="35" t="s">
        <v>459</v>
      </c>
      <c r="F166">
        <v>5532</v>
      </c>
      <c r="G166">
        <v>5643</v>
      </c>
      <c r="H166">
        <v>5756</v>
      </c>
      <c r="J166">
        <f>IF(
    OR(
        AND(MAX(0, MIN($F$1, DATE(Initialisatie!$C$5,12,31)) - MAX($F$2, DATE(Initialisatie!$C$5,1,1)) + 1) &gt; 0, IFERROR(VALUE($F166),0)=0),
        AND(MAX(0, MIN($G$1, DATE(Initialisatie!$C$5,12,31)) - MAX($G$2, DATE(Initialisatie!$C$5,1,1)) + 1) &gt; 0, IFERROR(VALUE($G166),0)=0),
        AND(MAX(0, MIN($H$1, DATE(Initialisatie!$C$5,12,31)) - MAX($H$2, DATE(Initialisatie!$C$5,1,1)) + 1) &gt; 0, IFERROR(VALUE($H166),0)=0)
    ),
    0,
    SUM(
        IFERROR(VALUE($F166),0) * MAX(0, MIN($F$1, DATE(Initialisatie!$C$5,12,31)) - MAX($F$2, DATE(Initialisatie!$C$5,1,1)) + 1),
        IFERROR(VALUE($G166),0) * MAX(0, MIN($G$1, DATE(Initialisatie!$C$5,12,31)) - MAX($G$2, DATE(Initialisatie!$C$5,1,1)) + 1),
        IFERROR(VALUE($H166),0) * MAX(0, MIN($H$1, DATE(Initialisatie!$C$5,12,31)) - MAX($H$2, DATE(Initialisatie!$C$5,1,1)) + 1)
    ) / (DATE(Initialisatie!$C$5,12,31) - DATE(Initialisatie!$C$5,1,1) + 1)
)</f>
        <v>5756</v>
      </c>
    </row>
    <row r="167" spans="1:10" x14ac:dyDescent="0.45">
      <c r="A167" s="989"/>
      <c r="B167" s="35">
        <v>3</v>
      </c>
      <c r="C167" s="35">
        <v>53</v>
      </c>
      <c r="D167" s="35">
        <v>3</v>
      </c>
      <c r="E167" s="35" t="s">
        <v>460</v>
      </c>
      <c r="F167">
        <v>5767</v>
      </c>
      <c r="G167">
        <v>5882</v>
      </c>
      <c r="H167">
        <v>6000</v>
      </c>
      <c r="J167">
        <f>IF(
    OR(
        AND(MAX(0, MIN($F$1, DATE(Initialisatie!$C$5,12,31)) - MAX($F$2, DATE(Initialisatie!$C$5,1,1)) + 1) &gt; 0, IFERROR(VALUE($F167),0)=0),
        AND(MAX(0, MIN($G$1, DATE(Initialisatie!$C$5,12,31)) - MAX($G$2, DATE(Initialisatie!$C$5,1,1)) + 1) &gt; 0, IFERROR(VALUE($G167),0)=0),
        AND(MAX(0, MIN($H$1, DATE(Initialisatie!$C$5,12,31)) - MAX($H$2, DATE(Initialisatie!$C$5,1,1)) + 1) &gt; 0, IFERROR(VALUE($H167),0)=0)
    ),
    0,
    SUM(
        IFERROR(VALUE($F167),0) * MAX(0, MIN($F$1, DATE(Initialisatie!$C$5,12,31)) - MAX($F$2, DATE(Initialisatie!$C$5,1,1)) + 1),
        IFERROR(VALUE($G167),0) * MAX(0, MIN($G$1, DATE(Initialisatie!$C$5,12,31)) - MAX($G$2, DATE(Initialisatie!$C$5,1,1)) + 1),
        IFERROR(VALUE($H167),0) * MAX(0, MIN($H$1, DATE(Initialisatie!$C$5,12,31)) - MAX($H$2, DATE(Initialisatie!$C$5,1,1)) + 1)
    ) / (DATE(Initialisatie!$C$5,12,31) - DATE(Initialisatie!$C$5,1,1) + 1)
)</f>
        <v>6000</v>
      </c>
    </row>
    <row r="168" spans="1:10" x14ac:dyDescent="0.45">
      <c r="A168" s="989"/>
      <c r="B168" s="35">
        <v>4</v>
      </c>
      <c r="C168" s="35">
        <v>56</v>
      </c>
      <c r="D168" s="35">
        <v>4</v>
      </c>
      <c r="E168" s="35" t="s">
        <v>461</v>
      </c>
      <c r="F168">
        <v>6008</v>
      </c>
      <c r="G168">
        <v>6128</v>
      </c>
      <c r="H168">
        <v>6251</v>
      </c>
      <c r="J168">
        <f>IF(
    OR(
        AND(MAX(0, MIN($F$1, DATE(Initialisatie!$C$5,12,31)) - MAX($F$2, DATE(Initialisatie!$C$5,1,1)) + 1) &gt; 0, IFERROR(VALUE($F168),0)=0),
        AND(MAX(0, MIN($G$1, DATE(Initialisatie!$C$5,12,31)) - MAX($G$2, DATE(Initialisatie!$C$5,1,1)) + 1) &gt; 0, IFERROR(VALUE($G168),0)=0),
        AND(MAX(0, MIN($H$1, DATE(Initialisatie!$C$5,12,31)) - MAX($H$2, DATE(Initialisatie!$C$5,1,1)) + 1) &gt; 0, IFERROR(VALUE($H168),0)=0)
    ),
    0,
    SUM(
        IFERROR(VALUE($F168),0) * MAX(0, MIN($F$1, DATE(Initialisatie!$C$5,12,31)) - MAX($F$2, DATE(Initialisatie!$C$5,1,1)) + 1),
        IFERROR(VALUE($G168),0) * MAX(0, MIN($G$1, DATE(Initialisatie!$C$5,12,31)) - MAX($G$2, DATE(Initialisatie!$C$5,1,1)) + 1),
        IFERROR(VALUE($H168),0) * MAX(0, MIN($H$1, DATE(Initialisatie!$C$5,12,31)) - MAX($H$2, DATE(Initialisatie!$C$5,1,1)) + 1)
    ) / (DATE(Initialisatie!$C$5,12,31) - DATE(Initialisatie!$C$5,1,1) + 1)
)</f>
        <v>6251</v>
      </c>
    </row>
    <row r="169" spans="1:10" x14ac:dyDescent="0.45">
      <c r="A169" s="989"/>
      <c r="B169" s="35">
        <v>5</v>
      </c>
      <c r="C169" s="35">
        <v>59</v>
      </c>
      <c r="D169" s="35">
        <v>5</v>
      </c>
      <c r="E169" s="35" t="s">
        <v>462</v>
      </c>
      <c r="F169">
        <v>6243</v>
      </c>
      <c r="G169">
        <v>6368</v>
      </c>
      <c r="H169">
        <v>6495</v>
      </c>
      <c r="J169">
        <f>IF(
    OR(
        AND(MAX(0, MIN($F$1, DATE(Initialisatie!$C$5,12,31)) - MAX($F$2, DATE(Initialisatie!$C$5,1,1)) + 1) &gt; 0, IFERROR(VALUE($F169),0)=0),
        AND(MAX(0, MIN($G$1, DATE(Initialisatie!$C$5,12,31)) - MAX($G$2, DATE(Initialisatie!$C$5,1,1)) + 1) &gt; 0, IFERROR(VALUE($G169),0)=0),
        AND(MAX(0, MIN($H$1, DATE(Initialisatie!$C$5,12,31)) - MAX($H$2, DATE(Initialisatie!$C$5,1,1)) + 1) &gt; 0, IFERROR(VALUE($H169),0)=0)
    ),
    0,
    SUM(
        IFERROR(VALUE($F169),0) * MAX(0, MIN($F$1, DATE(Initialisatie!$C$5,12,31)) - MAX($F$2, DATE(Initialisatie!$C$5,1,1)) + 1),
        IFERROR(VALUE($G169),0) * MAX(0, MIN($G$1, DATE(Initialisatie!$C$5,12,31)) - MAX($G$2, DATE(Initialisatie!$C$5,1,1)) + 1),
        IFERROR(VALUE($H169),0) * MAX(0, MIN($H$1, DATE(Initialisatie!$C$5,12,31)) - MAX($H$2, DATE(Initialisatie!$C$5,1,1)) + 1)
    ) / (DATE(Initialisatie!$C$5,12,31) - DATE(Initialisatie!$C$5,1,1) + 1)
)</f>
        <v>6495</v>
      </c>
    </row>
    <row r="170" spans="1:10" x14ac:dyDescent="0.45">
      <c r="A170" s="989"/>
      <c r="B170" s="35">
        <v>6</v>
      </c>
      <c r="C170" s="35">
        <v>62</v>
      </c>
      <c r="D170" s="35">
        <v>6</v>
      </c>
      <c r="E170" s="35" t="s">
        <v>463</v>
      </c>
      <c r="F170">
        <v>6480</v>
      </c>
      <c r="G170">
        <v>6610</v>
      </c>
      <c r="H170">
        <v>6742</v>
      </c>
      <c r="J170">
        <f>IF(
    OR(
        AND(MAX(0, MIN($F$1, DATE(Initialisatie!$C$5,12,31)) - MAX($F$2, DATE(Initialisatie!$C$5,1,1)) + 1) &gt; 0, IFERROR(VALUE($F170),0)=0),
        AND(MAX(0, MIN($G$1, DATE(Initialisatie!$C$5,12,31)) - MAX($G$2, DATE(Initialisatie!$C$5,1,1)) + 1) &gt; 0, IFERROR(VALUE($G170),0)=0),
        AND(MAX(0, MIN($H$1, DATE(Initialisatie!$C$5,12,31)) - MAX($H$2, DATE(Initialisatie!$C$5,1,1)) + 1) &gt; 0, IFERROR(VALUE($H170),0)=0)
    ),
    0,
    SUM(
        IFERROR(VALUE($F170),0) * MAX(0, MIN($F$1, DATE(Initialisatie!$C$5,12,31)) - MAX($F$2, DATE(Initialisatie!$C$5,1,1)) + 1),
        IFERROR(VALUE($G170),0) * MAX(0, MIN($G$1, DATE(Initialisatie!$C$5,12,31)) - MAX($G$2, DATE(Initialisatie!$C$5,1,1)) + 1),
        IFERROR(VALUE($H170),0) * MAX(0, MIN($H$1, DATE(Initialisatie!$C$5,12,31)) - MAX($H$2, DATE(Initialisatie!$C$5,1,1)) + 1)
    ) / (DATE(Initialisatie!$C$5,12,31) - DATE(Initialisatie!$C$5,1,1) + 1)
)</f>
        <v>6742</v>
      </c>
    </row>
    <row r="171" spans="1:10" x14ac:dyDescent="0.45">
      <c r="A171" s="989"/>
      <c r="B171" s="35">
        <v>7</v>
      </c>
      <c r="C171" s="35">
        <v>64</v>
      </c>
      <c r="D171" s="35">
        <v>7</v>
      </c>
      <c r="E171" s="35" t="s">
        <v>464</v>
      </c>
      <c r="F171">
        <v>6640</v>
      </c>
      <c r="G171">
        <v>6773</v>
      </c>
      <c r="H171">
        <v>6908</v>
      </c>
      <c r="J171">
        <f>IF(
    OR(
        AND(MAX(0, MIN($F$1, DATE(Initialisatie!$C$5,12,31)) - MAX($F$2, DATE(Initialisatie!$C$5,1,1)) + 1) &gt; 0, IFERROR(VALUE($F171),0)=0),
        AND(MAX(0, MIN($G$1, DATE(Initialisatie!$C$5,12,31)) - MAX($G$2, DATE(Initialisatie!$C$5,1,1)) + 1) &gt; 0, IFERROR(VALUE($G171),0)=0),
        AND(MAX(0, MIN($H$1, DATE(Initialisatie!$C$5,12,31)) - MAX($H$2, DATE(Initialisatie!$C$5,1,1)) + 1) &gt; 0, IFERROR(VALUE($H171),0)=0)
    ),
    0,
    SUM(
        IFERROR(VALUE($F171),0) * MAX(0, MIN($F$1, DATE(Initialisatie!$C$5,12,31)) - MAX($F$2, DATE(Initialisatie!$C$5,1,1)) + 1),
        IFERROR(VALUE($G171),0) * MAX(0, MIN($G$1, DATE(Initialisatie!$C$5,12,31)) - MAX($G$2, DATE(Initialisatie!$C$5,1,1)) + 1),
        IFERROR(VALUE($H171),0) * MAX(0, MIN($H$1, DATE(Initialisatie!$C$5,12,31)) - MAX($H$2, DATE(Initialisatie!$C$5,1,1)) + 1)
    ) / (DATE(Initialisatie!$C$5,12,31) - DATE(Initialisatie!$C$5,1,1) + 1)
)</f>
        <v>6908</v>
      </c>
    </row>
    <row r="172" spans="1:10" x14ac:dyDescent="0.45">
      <c r="A172" s="989"/>
      <c r="B172" s="35">
        <v>8</v>
      </c>
      <c r="C172" s="35">
        <v>66</v>
      </c>
      <c r="D172" s="35">
        <v>8</v>
      </c>
      <c r="E172" s="35" t="s">
        <v>465</v>
      </c>
      <c r="F172">
        <v>6839</v>
      </c>
      <c r="G172">
        <v>6976</v>
      </c>
      <c r="H172">
        <v>7116</v>
      </c>
      <c r="J172">
        <f>IF(
    OR(
        AND(MAX(0, MIN($F$1, DATE(Initialisatie!$C$5,12,31)) - MAX($F$2, DATE(Initialisatie!$C$5,1,1)) + 1) &gt; 0, IFERROR(VALUE($F172),0)=0),
        AND(MAX(0, MIN($G$1, DATE(Initialisatie!$C$5,12,31)) - MAX($G$2, DATE(Initialisatie!$C$5,1,1)) + 1) &gt; 0, IFERROR(VALUE($G172),0)=0),
        AND(MAX(0, MIN($H$1, DATE(Initialisatie!$C$5,12,31)) - MAX($H$2, DATE(Initialisatie!$C$5,1,1)) + 1) &gt; 0, IFERROR(VALUE($H172),0)=0)
    ),
    0,
    SUM(
        IFERROR(VALUE($F172),0) * MAX(0, MIN($F$1, DATE(Initialisatie!$C$5,12,31)) - MAX($F$2, DATE(Initialisatie!$C$5,1,1)) + 1),
        IFERROR(VALUE($G172),0) * MAX(0, MIN($G$1, DATE(Initialisatie!$C$5,12,31)) - MAX($G$2, DATE(Initialisatie!$C$5,1,1)) + 1),
        IFERROR(VALUE($H172),0) * MAX(0, MIN($H$1, DATE(Initialisatie!$C$5,12,31)) - MAX($H$2, DATE(Initialisatie!$C$5,1,1)) + 1)
    ) / (DATE(Initialisatie!$C$5,12,31) - DATE(Initialisatie!$C$5,1,1) + 1)
)</f>
        <v>7116</v>
      </c>
    </row>
    <row r="173" spans="1:10" x14ac:dyDescent="0.45">
      <c r="A173" s="989"/>
      <c r="B173" s="35">
        <v>9</v>
      </c>
      <c r="C173" s="35">
        <v>68</v>
      </c>
      <c r="D173" s="35">
        <v>9</v>
      </c>
      <c r="E173" s="35" t="s">
        <v>466</v>
      </c>
      <c r="F173">
        <v>7035</v>
      </c>
      <c r="G173">
        <v>7176</v>
      </c>
      <c r="H173">
        <v>7320</v>
      </c>
      <c r="J173">
        <f>IF(
    OR(
        AND(MAX(0, MIN($F$1, DATE(Initialisatie!$C$5,12,31)) - MAX($F$2, DATE(Initialisatie!$C$5,1,1)) + 1) &gt; 0, IFERROR(VALUE($F173),0)=0),
        AND(MAX(0, MIN($G$1, DATE(Initialisatie!$C$5,12,31)) - MAX($G$2, DATE(Initialisatie!$C$5,1,1)) + 1) &gt; 0, IFERROR(VALUE($G173),0)=0),
        AND(MAX(0, MIN($H$1, DATE(Initialisatie!$C$5,12,31)) - MAX($H$2, DATE(Initialisatie!$C$5,1,1)) + 1) &gt; 0, IFERROR(VALUE($H173),0)=0)
    ),
    0,
    SUM(
        IFERROR(VALUE($F173),0) * MAX(0, MIN($F$1, DATE(Initialisatie!$C$5,12,31)) - MAX($F$2, DATE(Initialisatie!$C$5,1,1)) + 1),
        IFERROR(VALUE($G173),0) * MAX(0, MIN($G$1, DATE(Initialisatie!$C$5,12,31)) - MAX($G$2, DATE(Initialisatie!$C$5,1,1)) + 1),
        IFERROR(VALUE($H173),0) * MAX(0, MIN($H$1, DATE(Initialisatie!$C$5,12,31)) - MAX($H$2, DATE(Initialisatie!$C$5,1,1)) + 1)
    ) / (DATE(Initialisatie!$C$5,12,31) - DATE(Initialisatie!$C$5,1,1) + 1)
)</f>
        <v>7320</v>
      </c>
    </row>
    <row r="174" spans="1:10" x14ac:dyDescent="0.45">
      <c r="A174" s="989"/>
      <c r="B174" s="35">
        <v>10</v>
      </c>
      <c r="C174" s="35">
        <v>70</v>
      </c>
      <c r="D174" s="35">
        <v>10</v>
      </c>
      <c r="E174" s="35" t="s">
        <v>467</v>
      </c>
      <c r="F174">
        <v>7233</v>
      </c>
      <c r="G174">
        <v>7378</v>
      </c>
      <c r="H174">
        <v>7526</v>
      </c>
      <c r="J174">
        <f>IF(
    OR(
        AND(MAX(0, MIN($F$1, DATE(Initialisatie!$C$5,12,31)) - MAX($F$2, DATE(Initialisatie!$C$5,1,1)) + 1) &gt; 0, IFERROR(VALUE($F174),0)=0),
        AND(MAX(0, MIN($G$1, DATE(Initialisatie!$C$5,12,31)) - MAX($G$2, DATE(Initialisatie!$C$5,1,1)) + 1) &gt; 0, IFERROR(VALUE($G174),0)=0),
        AND(MAX(0, MIN($H$1, DATE(Initialisatie!$C$5,12,31)) - MAX($H$2, DATE(Initialisatie!$C$5,1,1)) + 1) &gt; 0, IFERROR(VALUE($H174),0)=0)
    ),
    0,
    SUM(
        IFERROR(VALUE($F174),0) * MAX(0, MIN($F$1, DATE(Initialisatie!$C$5,12,31)) - MAX($F$2, DATE(Initialisatie!$C$5,1,1)) + 1),
        IFERROR(VALUE($G174),0) * MAX(0, MIN($G$1, DATE(Initialisatie!$C$5,12,31)) - MAX($G$2, DATE(Initialisatie!$C$5,1,1)) + 1),
        IFERROR(VALUE($H174),0) * MAX(0, MIN($H$1, DATE(Initialisatie!$C$5,12,31)) - MAX($H$2, DATE(Initialisatie!$C$5,1,1)) + 1)
    ) / (DATE(Initialisatie!$C$5,12,31) - DATE(Initialisatie!$C$5,1,1) + 1)
)</f>
        <v>7526</v>
      </c>
    </row>
    <row r="175" spans="1:10" x14ac:dyDescent="0.45">
      <c r="A175" s="989"/>
      <c r="B175" s="35">
        <v>11</v>
      </c>
      <c r="C175" s="35">
        <v>71</v>
      </c>
      <c r="D175" s="35">
        <v>11</v>
      </c>
      <c r="E175" s="35" t="s">
        <v>468</v>
      </c>
      <c r="F175">
        <v>7335</v>
      </c>
      <c r="G175">
        <v>7482</v>
      </c>
      <c r="H175">
        <v>7632</v>
      </c>
      <c r="J175">
        <f>IF(
    OR(
        AND(MAX(0, MIN($F$1, DATE(Initialisatie!$C$5,12,31)) - MAX($F$2, DATE(Initialisatie!$C$5,1,1)) + 1) &gt; 0, IFERROR(VALUE($F175),0)=0),
        AND(MAX(0, MIN($G$1, DATE(Initialisatie!$C$5,12,31)) - MAX($G$2, DATE(Initialisatie!$C$5,1,1)) + 1) &gt; 0, IFERROR(VALUE($G175),0)=0),
        AND(MAX(0, MIN($H$1, DATE(Initialisatie!$C$5,12,31)) - MAX($H$2, DATE(Initialisatie!$C$5,1,1)) + 1) &gt; 0, IFERROR(VALUE($H175),0)=0)
    ),
    0,
    SUM(
        IFERROR(VALUE($F175),0) * MAX(0, MIN($F$1, DATE(Initialisatie!$C$5,12,31)) - MAX($F$2, DATE(Initialisatie!$C$5,1,1)) + 1),
        IFERROR(VALUE($G175),0) * MAX(0, MIN($G$1, DATE(Initialisatie!$C$5,12,31)) - MAX($G$2, DATE(Initialisatie!$C$5,1,1)) + 1),
        IFERROR(VALUE($H175),0) * MAX(0, MIN($H$1, DATE(Initialisatie!$C$5,12,31)) - MAX($H$2, DATE(Initialisatie!$C$5,1,1)) + 1)
    ) / (DATE(Initialisatie!$C$5,12,31) - DATE(Initialisatie!$C$5,1,1) + 1)
)</f>
        <v>7632</v>
      </c>
    </row>
    <row r="176" spans="1:10" x14ac:dyDescent="0.45">
      <c r="A176" s="989"/>
      <c r="B176" s="35">
        <v>12</v>
      </c>
      <c r="C176" s="35">
        <v>72</v>
      </c>
      <c r="D176" s="35">
        <v>12</v>
      </c>
      <c r="E176" s="35" t="s">
        <v>469</v>
      </c>
      <c r="F176">
        <v>7434</v>
      </c>
      <c r="G176">
        <v>7583</v>
      </c>
      <c r="H176">
        <v>7735</v>
      </c>
      <c r="J176">
        <f>IF(
    OR(
        AND(MAX(0, MIN($F$1, DATE(Initialisatie!$C$5,12,31)) - MAX($F$2, DATE(Initialisatie!$C$5,1,1)) + 1) &gt; 0, IFERROR(VALUE($F176),0)=0),
        AND(MAX(0, MIN($G$1, DATE(Initialisatie!$C$5,12,31)) - MAX($G$2, DATE(Initialisatie!$C$5,1,1)) + 1) &gt; 0, IFERROR(VALUE($G176),0)=0),
        AND(MAX(0, MIN($H$1, DATE(Initialisatie!$C$5,12,31)) - MAX($H$2, DATE(Initialisatie!$C$5,1,1)) + 1) &gt; 0, IFERROR(VALUE($H176),0)=0)
    ),
    0,
    SUM(
        IFERROR(VALUE($F176),0) * MAX(0, MIN($F$1, DATE(Initialisatie!$C$5,12,31)) - MAX($F$2, DATE(Initialisatie!$C$5,1,1)) + 1),
        IFERROR(VALUE($G176),0) * MAX(0, MIN($G$1, DATE(Initialisatie!$C$5,12,31)) - MAX($G$2, DATE(Initialisatie!$C$5,1,1)) + 1),
        IFERROR(VALUE($H176),0) * MAX(0, MIN($H$1, DATE(Initialisatie!$C$5,12,31)) - MAX($H$2, DATE(Initialisatie!$C$5,1,1)) + 1)
    ) / (DATE(Initialisatie!$C$5,12,31) - DATE(Initialisatie!$C$5,1,1) + 1)
)</f>
        <v>7735</v>
      </c>
    </row>
    <row r="177" spans="1:10" x14ac:dyDescent="0.45">
      <c r="A177" s="989"/>
      <c r="B177" s="35">
        <v>13</v>
      </c>
      <c r="C177" s="35">
        <v>73</v>
      </c>
      <c r="D177" s="35">
        <v>13</v>
      </c>
      <c r="E177" s="35" t="s">
        <v>698</v>
      </c>
      <c r="F177">
        <v>7532</v>
      </c>
      <c r="G177">
        <v>7683</v>
      </c>
      <c r="H177">
        <v>7837</v>
      </c>
      <c r="J177">
        <f>IF(
    OR(
        AND(MAX(0, MIN($F$1, DATE(Initialisatie!$C$5,12,31)) - MAX($F$2, DATE(Initialisatie!$C$5,1,1)) + 1) &gt; 0, IFERROR(VALUE($F177),0)=0),
        AND(MAX(0, MIN($G$1, DATE(Initialisatie!$C$5,12,31)) - MAX($G$2, DATE(Initialisatie!$C$5,1,1)) + 1) &gt; 0, IFERROR(VALUE($G177),0)=0),
        AND(MAX(0, MIN($H$1, DATE(Initialisatie!$C$5,12,31)) - MAX($H$2, DATE(Initialisatie!$C$5,1,1)) + 1) &gt; 0, IFERROR(VALUE($H177),0)=0)
    ),
    0,
    SUM(
        IFERROR(VALUE($F177),0) * MAX(0, MIN($F$1, DATE(Initialisatie!$C$5,12,31)) - MAX($F$2, DATE(Initialisatie!$C$5,1,1)) + 1),
        IFERROR(VALUE($G177),0) * MAX(0, MIN($G$1, DATE(Initialisatie!$C$5,12,31)) - MAX($G$2, DATE(Initialisatie!$C$5,1,1)) + 1),
        IFERROR(VALUE($H177),0) * MAX(0, MIN($H$1, DATE(Initialisatie!$C$5,12,31)) - MAX($H$2, DATE(Initialisatie!$C$5,1,1)) + 1)
    ) / (DATE(Initialisatie!$C$5,12,31) - DATE(Initialisatie!$C$5,1,1) + 1)
)</f>
        <v>7837</v>
      </c>
    </row>
    <row r="178" spans="1:10" x14ac:dyDescent="0.45">
      <c r="A178" s="990"/>
      <c r="B178" s="35">
        <v>14</v>
      </c>
      <c r="C178" s="35">
        <v>74</v>
      </c>
      <c r="D178" s="35">
        <v>14</v>
      </c>
      <c r="E178" s="35" t="s">
        <v>699</v>
      </c>
      <c r="F178">
        <v>7632</v>
      </c>
      <c r="G178">
        <v>7785</v>
      </c>
      <c r="H178">
        <v>7941</v>
      </c>
      <c r="J178">
        <f>IF(
    OR(
        AND(MAX(0, MIN($F$1, DATE(Initialisatie!$C$5,12,31)) - MAX($F$2, DATE(Initialisatie!$C$5,1,1)) + 1) &gt; 0, IFERROR(VALUE($F178),0)=0),
        AND(MAX(0, MIN($G$1, DATE(Initialisatie!$C$5,12,31)) - MAX($G$2, DATE(Initialisatie!$C$5,1,1)) + 1) &gt; 0, IFERROR(VALUE($G178),0)=0),
        AND(MAX(0, MIN($H$1, DATE(Initialisatie!$C$5,12,31)) - MAX($H$2, DATE(Initialisatie!$C$5,1,1)) + 1) &gt; 0, IFERROR(VALUE($H178),0)=0)
    ),
    0,
    SUM(
        IFERROR(VALUE($F178),0) * MAX(0, MIN($F$1, DATE(Initialisatie!$C$5,12,31)) - MAX($F$2, DATE(Initialisatie!$C$5,1,1)) + 1),
        IFERROR(VALUE($G178),0) * MAX(0, MIN($G$1, DATE(Initialisatie!$C$5,12,31)) - MAX($G$2, DATE(Initialisatie!$C$5,1,1)) + 1),
        IFERROR(VALUE($H178),0) * MAX(0, MIN($H$1, DATE(Initialisatie!$C$5,12,31)) - MAX($H$2, DATE(Initialisatie!$C$5,1,1)) + 1)
    ) / (DATE(Initialisatie!$C$5,12,31) - DATE(Initialisatie!$C$5,1,1) + 1)
)</f>
        <v>7941</v>
      </c>
    </row>
    <row r="179" spans="1:10" x14ac:dyDescent="0.45">
      <c r="A179" s="988">
        <v>75</v>
      </c>
      <c r="B179" s="35">
        <v>0</v>
      </c>
      <c r="C179" s="35">
        <v>56</v>
      </c>
      <c r="D179" s="35">
        <v>0</v>
      </c>
      <c r="E179" s="35" t="s">
        <v>474</v>
      </c>
      <c r="F179">
        <v>6008</v>
      </c>
      <c r="G179">
        <v>6128</v>
      </c>
      <c r="H179">
        <v>6251</v>
      </c>
      <c r="J179">
        <f>IF(
    OR(
        AND(MAX(0, MIN($F$1, DATE(Initialisatie!$C$5,12,31)) - MAX($F$2, DATE(Initialisatie!$C$5,1,1)) + 1) &gt; 0, IFERROR(VALUE($F179),0)=0),
        AND(MAX(0, MIN($G$1, DATE(Initialisatie!$C$5,12,31)) - MAX($G$2, DATE(Initialisatie!$C$5,1,1)) + 1) &gt; 0, IFERROR(VALUE($G179),0)=0),
        AND(MAX(0, MIN($H$1, DATE(Initialisatie!$C$5,12,31)) - MAX($H$2, DATE(Initialisatie!$C$5,1,1)) + 1) &gt; 0, IFERROR(VALUE($H179),0)=0)
    ),
    0,
    SUM(
        IFERROR(VALUE($F179),0) * MAX(0, MIN($F$1, DATE(Initialisatie!$C$5,12,31)) - MAX($F$2, DATE(Initialisatie!$C$5,1,1)) + 1),
        IFERROR(VALUE($G179),0) * MAX(0, MIN($G$1, DATE(Initialisatie!$C$5,12,31)) - MAX($G$2, DATE(Initialisatie!$C$5,1,1)) + 1),
        IFERROR(VALUE($H179),0) * MAX(0, MIN($H$1, DATE(Initialisatie!$C$5,12,31)) - MAX($H$2, DATE(Initialisatie!$C$5,1,1)) + 1)
    ) / (DATE(Initialisatie!$C$5,12,31) - DATE(Initialisatie!$C$5,1,1) + 1)
)</f>
        <v>6251</v>
      </c>
    </row>
    <row r="180" spans="1:10" x14ac:dyDescent="0.45">
      <c r="A180" s="989"/>
      <c r="B180" s="35">
        <v>1</v>
      </c>
      <c r="C180" s="35">
        <v>59</v>
      </c>
      <c r="D180" s="35">
        <v>1</v>
      </c>
      <c r="E180" s="35" t="s">
        <v>475</v>
      </c>
      <c r="F180">
        <v>6243</v>
      </c>
      <c r="G180">
        <v>6368</v>
      </c>
      <c r="H180">
        <v>6495</v>
      </c>
      <c r="J180">
        <f>IF(
    OR(
        AND(MAX(0, MIN($F$1, DATE(Initialisatie!$C$5,12,31)) - MAX($F$2, DATE(Initialisatie!$C$5,1,1)) + 1) &gt; 0, IFERROR(VALUE($F180),0)=0),
        AND(MAX(0, MIN($G$1, DATE(Initialisatie!$C$5,12,31)) - MAX($G$2, DATE(Initialisatie!$C$5,1,1)) + 1) &gt; 0, IFERROR(VALUE($G180),0)=0),
        AND(MAX(0, MIN($H$1, DATE(Initialisatie!$C$5,12,31)) - MAX($H$2, DATE(Initialisatie!$C$5,1,1)) + 1) &gt; 0, IFERROR(VALUE($H180),0)=0)
    ),
    0,
    SUM(
        IFERROR(VALUE($F180),0) * MAX(0, MIN($F$1, DATE(Initialisatie!$C$5,12,31)) - MAX($F$2, DATE(Initialisatie!$C$5,1,1)) + 1),
        IFERROR(VALUE($G180),0) * MAX(0, MIN($G$1, DATE(Initialisatie!$C$5,12,31)) - MAX($G$2, DATE(Initialisatie!$C$5,1,1)) + 1),
        IFERROR(VALUE($H180),0) * MAX(0, MIN($H$1, DATE(Initialisatie!$C$5,12,31)) - MAX($H$2, DATE(Initialisatie!$C$5,1,1)) + 1)
    ) / (DATE(Initialisatie!$C$5,12,31) - DATE(Initialisatie!$C$5,1,1) + 1)
)</f>
        <v>6495</v>
      </c>
    </row>
    <row r="181" spans="1:10" x14ac:dyDescent="0.45">
      <c r="A181" s="989"/>
      <c r="B181" s="35">
        <v>2</v>
      </c>
      <c r="C181" s="35">
        <v>62</v>
      </c>
      <c r="D181" s="35">
        <v>2</v>
      </c>
      <c r="E181" s="35" t="s">
        <v>476</v>
      </c>
      <c r="F181">
        <v>6480</v>
      </c>
      <c r="G181">
        <v>6610</v>
      </c>
      <c r="H181">
        <v>6742</v>
      </c>
      <c r="J181">
        <f>IF(
    OR(
        AND(MAX(0, MIN($F$1, DATE(Initialisatie!$C$5,12,31)) - MAX($F$2, DATE(Initialisatie!$C$5,1,1)) + 1) &gt; 0, IFERROR(VALUE($F181),0)=0),
        AND(MAX(0, MIN($G$1, DATE(Initialisatie!$C$5,12,31)) - MAX($G$2, DATE(Initialisatie!$C$5,1,1)) + 1) &gt; 0, IFERROR(VALUE($G181),0)=0),
        AND(MAX(0, MIN($H$1, DATE(Initialisatie!$C$5,12,31)) - MAX($H$2, DATE(Initialisatie!$C$5,1,1)) + 1) &gt; 0, IFERROR(VALUE($H181),0)=0)
    ),
    0,
    SUM(
        IFERROR(VALUE($F181),0) * MAX(0, MIN($F$1, DATE(Initialisatie!$C$5,12,31)) - MAX($F$2, DATE(Initialisatie!$C$5,1,1)) + 1),
        IFERROR(VALUE($G181),0) * MAX(0, MIN($G$1, DATE(Initialisatie!$C$5,12,31)) - MAX($G$2, DATE(Initialisatie!$C$5,1,1)) + 1),
        IFERROR(VALUE($H181),0) * MAX(0, MIN($H$1, DATE(Initialisatie!$C$5,12,31)) - MAX($H$2, DATE(Initialisatie!$C$5,1,1)) + 1)
    ) / (DATE(Initialisatie!$C$5,12,31) - DATE(Initialisatie!$C$5,1,1) + 1)
)</f>
        <v>6742</v>
      </c>
    </row>
    <row r="182" spans="1:10" x14ac:dyDescent="0.45">
      <c r="A182" s="989"/>
      <c r="B182" s="35">
        <v>3</v>
      </c>
      <c r="C182" s="35">
        <v>65</v>
      </c>
      <c r="D182" s="35">
        <v>3</v>
      </c>
      <c r="E182" s="35" t="s">
        <v>477</v>
      </c>
      <c r="F182">
        <v>6740</v>
      </c>
      <c r="G182">
        <v>6875</v>
      </c>
      <c r="H182">
        <v>7013</v>
      </c>
      <c r="J182">
        <f>IF(
    OR(
        AND(MAX(0, MIN($F$1, DATE(Initialisatie!$C$5,12,31)) - MAX($F$2, DATE(Initialisatie!$C$5,1,1)) + 1) &gt; 0, IFERROR(VALUE($F182),0)=0),
        AND(MAX(0, MIN($G$1, DATE(Initialisatie!$C$5,12,31)) - MAX($G$2, DATE(Initialisatie!$C$5,1,1)) + 1) &gt; 0, IFERROR(VALUE($G182),0)=0),
        AND(MAX(0, MIN($H$1, DATE(Initialisatie!$C$5,12,31)) - MAX($H$2, DATE(Initialisatie!$C$5,1,1)) + 1) &gt; 0, IFERROR(VALUE($H182),0)=0)
    ),
    0,
    SUM(
        IFERROR(VALUE($F182),0) * MAX(0, MIN($F$1, DATE(Initialisatie!$C$5,12,31)) - MAX($F$2, DATE(Initialisatie!$C$5,1,1)) + 1),
        IFERROR(VALUE($G182),0) * MAX(0, MIN($G$1, DATE(Initialisatie!$C$5,12,31)) - MAX($G$2, DATE(Initialisatie!$C$5,1,1)) + 1),
        IFERROR(VALUE($H182),0) * MAX(0, MIN($H$1, DATE(Initialisatie!$C$5,12,31)) - MAX($H$2, DATE(Initialisatie!$C$5,1,1)) + 1)
    ) / (DATE(Initialisatie!$C$5,12,31) - DATE(Initialisatie!$C$5,1,1) + 1)
)</f>
        <v>7013</v>
      </c>
    </row>
    <row r="183" spans="1:10" x14ac:dyDescent="0.45">
      <c r="A183" s="989"/>
      <c r="B183" s="35">
        <v>4</v>
      </c>
      <c r="C183" s="35">
        <v>68</v>
      </c>
      <c r="D183" s="35">
        <v>4</v>
      </c>
      <c r="E183" s="35" t="s">
        <v>478</v>
      </c>
      <c r="F183">
        <v>7035</v>
      </c>
      <c r="G183">
        <v>7176</v>
      </c>
      <c r="H183">
        <v>7320</v>
      </c>
      <c r="J183">
        <f>IF(
    OR(
        AND(MAX(0, MIN($F$1, DATE(Initialisatie!$C$5,12,31)) - MAX($F$2, DATE(Initialisatie!$C$5,1,1)) + 1) &gt; 0, IFERROR(VALUE($F183),0)=0),
        AND(MAX(0, MIN($G$1, DATE(Initialisatie!$C$5,12,31)) - MAX($G$2, DATE(Initialisatie!$C$5,1,1)) + 1) &gt; 0, IFERROR(VALUE($G183),0)=0),
        AND(MAX(0, MIN($H$1, DATE(Initialisatie!$C$5,12,31)) - MAX($H$2, DATE(Initialisatie!$C$5,1,1)) + 1) &gt; 0, IFERROR(VALUE($H183),0)=0)
    ),
    0,
    SUM(
        IFERROR(VALUE($F183),0) * MAX(0, MIN($F$1, DATE(Initialisatie!$C$5,12,31)) - MAX($F$2, DATE(Initialisatie!$C$5,1,1)) + 1),
        IFERROR(VALUE($G183),0) * MAX(0, MIN($G$1, DATE(Initialisatie!$C$5,12,31)) - MAX($G$2, DATE(Initialisatie!$C$5,1,1)) + 1),
        IFERROR(VALUE($H183),0) * MAX(0, MIN($H$1, DATE(Initialisatie!$C$5,12,31)) - MAX($H$2, DATE(Initialisatie!$C$5,1,1)) + 1)
    ) / (DATE(Initialisatie!$C$5,12,31) - DATE(Initialisatie!$C$5,1,1) + 1)
)</f>
        <v>7320</v>
      </c>
    </row>
    <row r="184" spans="1:10" x14ac:dyDescent="0.45">
      <c r="A184" s="989"/>
      <c r="B184" s="35">
        <v>5</v>
      </c>
      <c r="C184" s="35">
        <v>71</v>
      </c>
      <c r="D184" s="35">
        <v>5</v>
      </c>
      <c r="E184" s="35" t="s">
        <v>479</v>
      </c>
      <c r="F184">
        <v>7335</v>
      </c>
      <c r="G184">
        <v>7482</v>
      </c>
      <c r="H184">
        <v>7632</v>
      </c>
      <c r="J184">
        <f>IF(
    OR(
        AND(MAX(0, MIN($F$1, DATE(Initialisatie!$C$5,12,31)) - MAX($F$2, DATE(Initialisatie!$C$5,1,1)) + 1) &gt; 0, IFERROR(VALUE($F184),0)=0),
        AND(MAX(0, MIN($G$1, DATE(Initialisatie!$C$5,12,31)) - MAX($G$2, DATE(Initialisatie!$C$5,1,1)) + 1) &gt; 0, IFERROR(VALUE($G184),0)=0),
        AND(MAX(0, MIN($H$1, DATE(Initialisatie!$C$5,12,31)) - MAX($H$2, DATE(Initialisatie!$C$5,1,1)) + 1) &gt; 0, IFERROR(VALUE($H184),0)=0)
    ),
    0,
    SUM(
        IFERROR(VALUE($F184),0) * MAX(0, MIN($F$1, DATE(Initialisatie!$C$5,12,31)) - MAX($F$2, DATE(Initialisatie!$C$5,1,1)) + 1),
        IFERROR(VALUE($G184),0) * MAX(0, MIN($G$1, DATE(Initialisatie!$C$5,12,31)) - MAX($G$2, DATE(Initialisatie!$C$5,1,1)) + 1),
        IFERROR(VALUE($H184),0) * MAX(0, MIN($H$1, DATE(Initialisatie!$C$5,12,31)) - MAX($H$2, DATE(Initialisatie!$C$5,1,1)) + 1)
    ) / (DATE(Initialisatie!$C$5,12,31) - DATE(Initialisatie!$C$5,1,1) + 1)
)</f>
        <v>7632</v>
      </c>
    </row>
    <row r="185" spans="1:10" x14ac:dyDescent="0.45">
      <c r="A185" s="989"/>
      <c r="B185" s="35">
        <v>6</v>
      </c>
      <c r="C185" s="35">
        <v>74</v>
      </c>
      <c r="D185" s="35">
        <v>6</v>
      </c>
      <c r="E185" s="35" t="s">
        <v>480</v>
      </c>
      <c r="F185">
        <v>7632</v>
      </c>
      <c r="G185">
        <v>7785</v>
      </c>
      <c r="H185">
        <v>7941</v>
      </c>
      <c r="J185">
        <f>IF(
    OR(
        AND(MAX(0, MIN($F$1, DATE(Initialisatie!$C$5,12,31)) - MAX($F$2, DATE(Initialisatie!$C$5,1,1)) + 1) &gt; 0, IFERROR(VALUE($F185),0)=0),
        AND(MAX(0, MIN($G$1, DATE(Initialisatie!$C$5,12,31)) - MAX($G$2, DATE(Initialisatie!$C$5,1,1)) + 1) &gt; 0, IFERROR(VALUE($G185),0)=0),
        AND(MAX(0, MIN($H$1, DATE(Initialisatie!$C$5,12,31)) - MAX($H$2, DATE(Initialisatie!$C$5,1,1)) + 1) &gt; 0, IFERROR(VALUE($H185),0)=0)
    ),
    0,
    SUM(
        IFERROR(VALUE($F185),0) * MAX(0, MIN($F$1, DATE(Initialisatie!$C$5,12,31)) - MAX($F$2, DATE(Initialisatie!$C$5,1,1)) + 1),
        IFERROR(VALUE($G185),0) * MAX(0, MIN($G$1, DATE(Initialisatie!$C$5,12,31)) - MAX($G$2, DATE(Initialisatie!$C$5,1,1)) + 1),
        IFERROR(VALUE($H185),0) * MAX(0, MIN($H$1, DATE(Initialisatie!$C$5,12,31)) - MAX($H$2, DATE(Initialisatie!$C$5,1,1)) + 1)
    ) / (DATE(Initialisatie!$C$5,12,31) - DATE(Initialisatie!$C$5,1,1) + 1)
)</f>
        <v>7941</v>
      </c>
    </row>
    <row r="186" spans="1:10" x14ac:dyDescent="0.45">
      <c r="A186" s="989"/>
      <c r="B186" s="35">
        <v>7</v>
      </c>
      <c r="C186" s="35">
        <v>76</v>
      </c>
      <c r="D186" s="35">
        <v>7</v>
      </c>
      <c r="E186" s="35" t="s">
        <v>481</v>
      </c>
      <c r="F186">
        <v>7829</v>
      </c>
      <c r="G186">
        <v>7986</v>
      </c>
      <c r="H186">
        <v>8146</v>
      </c>
      <c r="J186">
        <f>IF(
    OR(
        AND(MAX(0, MIN($F$1, DATE(Initialisatie!$C$5,12,31)) - MAX($F$2, DATE(Initialisatie!$C$5,1,1)) + 1) &gt; 0, IFERROR(VALUE($F186),0)=0),
        AND(MAX(0, MIN($G$1, DATE(Initialisatie!$C$5,12,31)) - MAX($G$2, DATE(Initialisatie!$C$5,1,1)) + 1) &gt; 0, IFERROR(VALUE($G186),0)=0),
        AND(MAX(0, MIN($H$1, DATE(Initialisatie!$C$5,12,31)) - MAX($H$2, DATE(Initialisatie!$C$5,1,1)) + 1) &gt; 0, IFERROR(VALUE($H186),0)=0)
    ),
    0,
    SUM(
        IFERROR(VALUE($F186),0) * MAX(0, MIN($F$1, DATE(Initialisatie!$C$5,12,31)) - MAX($F$2, DATE(Initialisatie!$C$5,1,1)) + 1),
        IFERROR(VALUE($G186),0) * MAX(0, MIN($G$1, DATE(Initialisatie!$C$5,12,31)) - MAX($G$2, DATE(Initialisatie!$C$5,1,1)) + 1),
        IFERROR(VALUE($H186),0) * MAX(0, MIN($H$1, DATE(Initialisatie!$C$5,12,31)) - MAX($H$2, DATE(Initialisatie!$C$5,1,1)) + 1)
    ) / (DATE(Initialisatie!$C$5,12,31) - DATE(Initialisatie!$C$5,1,1) + 1)
)</f>
        <v>8146</v>
      </c>
    </row>
    <row r="187" spans="1:10" x14ac:dyDescent="0.45">
      <c r="A187" s="989"/>
      <c r="B187" s="35">
        <v>8</v>
      </c>
      <c r="C187" s="35">
        <v>78</v>
      </c>
      <c r="D187" s="35">
        <v>8</v>
      </c>
      <c r="E187" s="35" t="s">
        <v>482</v>
      </c>
      <c r="F187">
        <v>8038</v>
      </c>
      <c r="G187">
        <v>8199</v>
      </c>
      <c r="H187">
        <v>8363</v>
      </c>
      <c r="J187">
        <f>IF(
    OR(
        AND(MAX(0, MIN($F$1, DATE(Initialisatie!$C$5,12,31)) - MAX($F$2, DATE(Initialisatie!$C$5,1,1)) + 1) &gt; 0, IFERROR(VALUE($F187),0)=0),
        AND(MAX(0, MIN($G$1, DATE(Initialisatie!$C$5,12,31)) - MAX($G$2, DATE(Initialisatie!$C$5,1,1)) + 1) &gt; 0, IFERROR(VALUE($G187),0)=0),
        AND(MAX(0, MIN($H$1, DATE(Initialisatie!$C$5,12,31)) - MAX($H$2, DATE(Initialisatie!$C$5,1,1)) + 1) &gt; 0, IFERROR(VALUE($H187),0)=0)
    ),
    0,
    SUM(
        IFERROR(VALUE($F187),0) * MAX(0, MIN($F$1, DATE(Initialisatie!$C$5,12,31)) - MAX($F$2, DATE(Initialisatie!$C$5,1,1)) + 1),
        IFERROR(VALUE($G187),0) * MAX(0, MIN($G$1, DATE(Initialisatie!$C$5,12,31)) - MAX($G$2, DATE(Initialisatie!$C$5,1,1)) + 1),
        IFERROR(VALUE($H187),0) * MAX(0, MIN($H$1, DATE(Initialisatie!$C$5,12,31)) - MAX($H$2, DATE(Initialisatie!$C$5,1,1)) + 1)
    ) / (DATE(Initialisatie!$C$5,12,31) - DATE(Initialisatie!$C$5,1,1) + 1)
)</f>
        <v>8363</v>
      </c>
    </row>
    <row r="188" spans="1:10" x14ac:dyDescent="0.45">
      <c r="A188" s="989"/>
      <c r="B188" s="35">
        <v>9</v>
      </c>
      <c r="C188" s="35">
        <v>80</v>
      </c>
      <c r="D188" s="35">
        <v>9</v>
      </c>
      <c r="E188" s="35" t="s">
        <v>483</v>
      </c>
      <c r="F188">
        <v>8259</v>
      </c>
      <c r="G188">
        <v>8424</v>
      </c>
      <c r="H188">
        <v>8592</v>
      </c>
      <c r="J188">
        <f>IF(
    OR(
        AND(MAX(0, MIN($F$1, DATE(Initialisatie!$C$5,12,31)) - MAX($F$2, DATE(Initialisatie!$C$5,1,1)) + 1) &gt; 0, IFERROR(VALUE($F188),0)=0),
        AND(MAX(0, MIN($G$1, DATE(Initialisatie!$C$5,12,31)) - MAX($G$2, DATE(Initialisatie!$C$5,1,1)) + 1) &gt; 0, IFERROR(VALUE($G188),0)=0),
        AND(MAX(0, MIN($H$1, DATE(Initialisatie!$C$5,12,31)) - MAX($H$2, DATE(Initialisatie!$C$5,1,1)) + 1) &gt; 0, IFERROR(VALUE($H188),0)=0)
    ),
    0,
    SUM(
        IFERROR(VALUE($F188),0) * MAX(0, MIN($F$1, DATE(Initialisatie!$C$5,12,31)) - MAX($F$2, DATE(Initialisatie!$C$5,1,1)) + 1),
        IFERROR(VALUE($G188),0) * MAX(0, MIN($G$1, DATE(Initialisatie!$C$5,12,31)) - MAX($G$2, DATE(Initialisatie!$C$5,1,1)) + 1),
        IFERROR(VALUE($H188),0) * MAX(0, MIN($H$1, DATE(Initialisatie!$C$5,12,31)) - MAX($H$2, DATE(Initialisatie!$C$5,1,1)) + 1)
    ) / (DATE(Initialisatie!$C$5,12,31) - DATE(Initialisatie!$C$5,1,1) + 1)
)</f>
        <v>8592</v>
      </c>
    </row>
    <row r="189" spans="1:10" x14ac:dyDescent="0.45">
      <c r="A189" s="989"/>
      <c r="B189" s="35">
        <v>10</v>
      </c>
      <c r="C189" s="35">
        <v>82</v>
      </c>
      <c r="D189" s="35">
        <v>10</v>
      </c>
      <c r="E189" s="35" t="s">
        <v>484</v>
      </c>
      <c r="F189">
        <v>8482</v>
      </c>
      <c r="G189">
        <v>8652</v>
      </c>
      <c r="H189">
        <v>8825</v>
      </c>
      <c r="J189">
        <f>IF(
    OR(
        AND(MAX(0, MIN($F$1, DATE(Initialisatie!$C$5,12,31)) - MAX($F$2, DATE(Initialisatie!$C$5,1,1)) + 1) &gt; 0, IFERROR(VALUE($F189),0)=0),
        AND(MAX(0, MIN($G$1, DATE(Initialisatie!$C$5,12,31)) - MAX($G$2, DATE(Initialisatie!$C$5,1,1)) + 1) &gt; 0, IFERROR(VALUE($G189),0)=0),
        AND(MAX(0, MIN($H$1, DATE(Initialisatie!$C$5,12,31)) - MAX($H$2, DATE(Initialisatie!$C$5,1,1)) + 1) &gt; 0, IFERROR(VALUE($H189),0)=0)
    ),
    0,
    SUM(
        IFERROR(VALUE($F189),0) * MAX(0, MIN($F$1, DATE(Initialisatie!$C$5,12,31)) - MAX($F$2, DATE(Initialisatie!$C$5,1,1)) + 1),
        IFERROR(VALUE($G189),0) * MAX(0, MIN($G$1, DATE(Initialisatie!$C$5,12,31)) - MAX($G$2, DATE(Initialisatie!$C$5,1,1)) + 1),
        IFERROR(VALUE($H189),0) * MAX(0, MIN($H$1, DATE(Initialisatie!$C$5,12,31)) - MAX($H$2, DATE(Initialisatie!$C$5,1,1)) + 1)
    ) / (DATE(Initialisatie!$C$5,12,31) - DATE(Initialisatie!$C$5,1,1) + 1)
)</f>
        <v>8825</v>
      </c>
    </row>
    <row r="190" spans="1:10" x14ac:dyDescent="0.45">
      <c r="A190" s="989"/>
      <c r="B190" s="35">
        <v>11</v>
      </c>
      <c r="C190" s="35">
        <v>83</v>
      </c>
      <c r="D190" s="35">
        <v>11</v>
      </c>
      <c r="E190" s="35" t="s">
        <v>485</v>
      </c>
      <c r="F190">
        <v>8593</v>
      </c>
      <c r="G190">
        <v>8765</v>
      </c>
      <c r="H190">
        <v>8940</v>
      </c>
      <c r="J190">
        <f>IF(
    OR(
        AND(MAX(0, MIN($F$1, DATE(Initialisatie!$C$5,12,31)) - MAX($F$2, DATE(Initialisatie!$C$5,1,1)) + 1) &gt; 0, IFERROR(VALUE($F190),0)=0),
        AND(MAX(0, MIN($G$1, DATE(Initialisatie!$C$5,12,31)) - MAX($G$2, DATE(Initialisatie!$C$5,1,1)) + 1) &gt; 0, IFERROR(VALUE($G190),0)=0),
        AND(MAX(0, MIN($H$1, DATE(Initialisatie!$C$5,12,31)) - MAX($H$2, DATE(Initialisatie!$C$5,1,1)) + 1) &gt; 0, IFERROR(VALUE($H190),0)=0)
    ),
    0,
    SUM(
        IFERROR(VALUE($F190),0) * MAX(0, MIN($F$1, DATE(Initialisatie!$C$5,12,31)) - MAX($F$2, DATE(Initialisatie!$C$5,1,1)) + 1),
        IFERROR(VALUE($G190),0) * MAX(0, MIN($G$1, DATE(Initialisatie!$C$5,12,31)) - MAX($G$2, DATE(Initialisatie!$C$5,1,1)) + 1),
        IFERROR(VALUE($H190),0) * MAX(0, MIN($H$1, DATE(Initialisatie!$C$5,12,31)) - MAX($H$2, DATE(Initialisatie!$C$5,1,1)) + 1)
    ) / (DATE(Initialisatie!$C$5,12,31) - DATE(Initialisatie!$C$5,1,1) + 1)
)</f>
        <v>8940</v>
      </c>
    </row>
    <row r="191" spans="1:10" x14ac:dyDescent="0.45">
      <c r="A191" s="989"/>
      <c r="B191" s="35">
        <v>12</v>
      </c>
      <c r="C191" s="35">
        <v>84</v>
      </c>
      <c r="D191" s="35">
        <v>12</v>
      </c>
      <c r="E191" s="35" t="s">
        <v>486</v>
      </c>
      <c r="F191">
        <v>8705</v>
      </c>
      <c r="G191">
        <v>8879</v>
      </c>
      <c r="H191">
        <v>9057</v>
      </c>
      <c r="J191">
        <f>IF(
    OR(
        AND(MAX(0, MIN($F$1, DATE(Initialisatie!$C$5,12,31)) - MAX($F$2, DATE(Initialisatie!$C$5,1,1)) + 1) &gt; 0, IFERROR(VALUE($F191),0)=0),
        AND(MAX(0, MIN($G$1, DATE(Initialisatie!$C$5,12,31)) - MAX($G$2, DATE(Initialisatie!$C$5,1,1)) + 1) &gt; 0, IFERROR(VALUE($G191),0)=0),
        AND(MAX(0, MIN($H$1, DATE(Initialisatie!$C$5,12,31)) - MAX($H$2, DATE(Initialisatie!$C$5,1,1)) + 1) &gt; 0, IFERROR(VALUE($H191),0)=0)
    ),
    0,
    SUM(
        IFERROR(VALUE($F191),0) * MAX(0, MIN($F$1, DATE(Initialisatie!$C$5,12,31)) - MAX($F$2, DATE(Initialisatie!$C$5,1,1)) + 1),
        IFERROR(VALUE($G191),0) * MAX(0, MIN($G$1, DATE(Initialisatie!$C$5,12,31)) - MAX($G$2, DATE(Initialisatie!$C$5,1,1)) + 1),
        IFERROR(VALUE($H191),0) * MAX(0, MIN($H$1, DATE(Initialisatie!$C$5,12,31)) - MAX($H$2, DATE(Initialisatie!$C$5,1,1)) + 1)
    ) / (DATE(Initialisatie!$C$5,12,31) - DATE(Initialisatie!$C$5,1,1) + 1)
)</f>
        <v>9057</v>
      </c>
    </row>
    <row r="192" spans="1:10" x14ac:dyDescent="0.45">
      <c r="A192" s="989"/>
      <c r="B192" s="35">
        <v>13</v>
      </c>
      <c r="C192" s="35">
        <v>85</v>
      </c>
      <c r="D192" s="35">
        <v>13</v>
      </c>
      <c r="E192" s="35" t="s">
        <v>487</v>
      </c>
      <c r="F192">
        <v>8834</v>
      </c>
      <c r="G192">
        <v>9011</v>
      </c>
      <c r="H192">
        <v>9191</v>
      </c>
      <c r="J192">
        <f>IF(
    OR(
        AND(MAX(0, MIN($F$1, DATE(Initialisatie!$C$5,12,31)) - MAX($F$2, DATE(Initialisatie!$C$5,1,1)) + 1) &gt; 0, IFERROR(VALUE($F192),0)=0),
        AND(MAX(0, MIN($G$1, DATE(Initialisatie!$C$5,12,31)) - MAX($G$2, DATE(Initialisatie!$C$5,1,1)) + 1) &gt; 0, IFERROR(VALUE($G192),0)=0),
        AND(MAX(0, MIN($H$1, DATE(Initialisatie!$C$5,12,31)) - MAX($H$2, DATE(Initialisatie!$C$5,1,1)) + 1) &gt; 0, IFERROR(VALUE($H192),0)=0)
    ),
    0,
    SUM(
        IFERROR(VALUE($F192),0) * MAX(0, MIN($F$1, DATE(Initialisatie!$C$5,12,31)) - MAX($F$2, DATE(Initialisatie!$C$5,1,1)) + 1),
        IFERROR(VALUE($G192),0) * MAX(0, MIN($G$1, DATE(Initialisatie!$C$5,12,31)) - MAX($G$2, DATE(Initialisatie!$C$5,1,1)) + 1),
        IFERROR(VALUE($H192),0) * MAX(0, MIN($H$1, DATE(Initialisatie!$C$5,12,31)) - MAX($H$2, DATE(Initialisatie!$C$5,1,1)) + 1)
    ) / (DATE(Initialisatie!$C$5,12,31) - DATE(Initialisatie!$C$5,1,1) + 1)
)</f>
        <v>9191</v>
      </c>
    </row>
    <row r="193" spans="1:10" x14ac:dyDescent="0.45">
      <c r="A193" s="989"/>
      <c r="B193" s="35">
        <v>14</v>
      </c>
      <c r="C193" s="35">
        <v>86</v>
      </c>
      <c r="D193" s="35">
        <v>14</v>
      </c>
      <c r="E193" s="35" t="s">
        <v>488</v>
      </c>
      <c r="F193">
        <v>8963</v>
      </c>
      <c r="G193">
        <v>9142</v>
      </c>
      <c r="H193">
        <v>9325</v>
      </c>
      <c r="J193">
        <f>IF(
    OR(
        AND(MAX(0, MIN($F$1, DATE(Initialisatie!$C$5,12,31)) - MAX($F$2, DATE(Initialisatie!$C$5,1,1)) + 1) &gt; 0, IFERROR(VALUE($F193),0)=0),
        AND(MAX(0, MIN($G$1, DATE(Initialisatie!$C$5,12,31)) - MAX($G$2, DATE(Initialisatie!$C$5,1,1)) + 1) &gt; 0, IFERROR(VALUE($G193),0)=0),
        AND(MAX(0, MIN($H$1, DATE(Initialisatie!$C$5,12,31)) - MAX($H$2, DATE(Initialisatie!$C$5,1,1)) + 1) &gt; 0, IFERROR(VALUE($H193),0)=0)
    ),
    0,
    SUM(
        IFERROR(VALUE($F193),0) * MAX(0, MIN($F$1, DATE(Initialisatie!$C$5,12,31)) - MAX($F$2, DATE(Initialisatie!$C$5,1,1)) + 1),
        IFERROR(VALUE($G193),0) * MAX(0, MIN($G$1, DATE(Initialisatie!$C$5,12,31)) - MAX($G$2, DATE(Initialisatie!$C$5,1,1)) + 1),
        IFERROR(VALUE($H193),0) * MAX(0, MIN($H$1, DATE(Initialisatie!$C$5,12,31)) - MAX($H$2, DATE(Initialisatie!$C$5,1,1)) + 1)
    ) / (DATE(Initialisatie!$C$5,12,31) - DATE(Initialisatie!$C$5,1,1) + 1)
)</f>
        <v>9325</v>
      </c>
    </row>
    <row r="194" spans="1:10" x14ac:dyDescent="0.45">
      <c r="A194" s="989"/>
      <c r="B194" s="35">
        <v>15</v>
      </c>
      <c r="C194" s="35">
        <v>87</v>
      </c>
      <c r="D194" s="35">
        <v>15</v>
      </c>
      <c r="E194" s="35" t="s">
        <v>700</v>
      </c>
      <c r="F194">
        <v>9093</v>
      </c>
      <c r="G194">
        <v>9275</v>
      </c>
      <c r="H194">
        <v>9461</v>
      </c>
      <c r="J194">
        <f>IF(
    OR(
        AND(MAX(0, MIN($F$1, DATE(Initialisatie!$C$5,12,31)) - MAX($F$2, DATE(Initialisatie!$C$5,1,1)) + 1) &gt; 0, IFERROR(VALUE($F194),0)=0),
        AND(MAX(0, MIN($G$1, DATE(Initialisatie!$C$5,12,31)) - MAX($G$2, DATE(Initialisatie!$C$5,1,1)) + 1) &gt; 0, IFERROR(VALUE($G194),0)=0),
        AND(MAX(0, MIN($H$1, DATE(Initialisatie!$C$5,12,31)) - MAX($H$2, DATE(Initialisatie!$C$5,1,1)) + 1) &gt; 0, IFERROR(VALUE($H194),0)=0)
    ),
    0,
    SUM(
        IFERROR(VALUE($F194),0) * MAX(0, MIN($F$1, DATE(Initialisatie!$C$5,12,31)) - MAX($F$2, DATE(Initialisatie!$C$5,1,1)) + 1),
        IFERROR(VALUE($G194),0) * MAX(0, MIN($G$1, DATE(Initialisatie!$C$5,12,31)) - MAX($G$2, DATE(Initialisatie!$C$5,1,1)) + 1),
        IFERROR(VALUE($H194),0) * MAX(0, MIN($H$1, DATE(Initialisatie!$C$5,12,31)) - MAX($H$2, DATE(Initialisatie!$C$5,1,1)) + 1)
    ) / (DATE(Initialisatie!$C$5,12,31) - DATE(Initialisatie!$C$5,1,1) + 1)
)</f>
        <v>9461</v>
      </c>
    </row>
    <row r="195" spans="1:10" x14ac:dyDescent="0.45">
      <c r="A195" s="990"/>
      <c r="B195" s="35">
        <v>16</v>
      </c>
      <c r="C195" s="35">
        <v>88</v>
      </c>
      <c r="D195" s="35">
        <v>16</v>
      </c>
      <c r="E195" s="35" t="s">
        <v>701</v>
      </c>
      <c r="F195">
        <v>9238</v>
      </c>
      <c r="G195">
        <v>9423</v>
      </c>
      <c r="H195">
        <v>9611</v>
      </c>
      <c r="J195">
        <f>IF(
    OR(
        AND(MAX(0, MIN($F$1, DATE(Initialisatie!$C$5,12,31)) - MAX($F$2, DATE(Initialisatie!$C$5,1,1)) + 1) &gt; 0, IFERROR(VALUE($F195),0)=0),
        AND(MAX(0, MIN($G$1, DATE(Initialisatie!$C$5,12,31)) - MAX($G$2, DATE(Initialisatie!$C$5,1,1)) + 1) &gt; 0, IFERROR(VALUE($G195),0)=0),
        AND(MAX(0, MIN($H$1, DATE(Initialisatie!$C$5,12,31)) - MAX($H$2, DATE(Initialisatie!$C$5,1,1)) + 1) &gt; 0, IFERROR(VALUE($H195),0)=0)
    ),
    0,
    SUM(
        IFERROR(VALUE($F195),0) * MAX(0, MIN($F$1, DATE(Initialisatie!$C$5,12,31)) - MAX($F$2, DATE(Initialisatie!$C$5,1,1)) + 1),
        IFERROR(VALUE($G195),0) * MAX(0, MIN($G$1, DATE(Initialisatie!$C$5,12,31)) - MAX($G$2, DATE(Initialisatie!$C$5,1,1)) + 1),
        IFERROR(VALUE($H195),0) * MAX(0, MIN($H$1, DATE(Initialisatie!$C$5,12,31)) - MAX($H$2, DATE(Initialisatie!$C$5,1,1)) + 1)
    ) / (DATE(Initialisatie!$C$5,12,31) - DATE(Initialisatie!$C$5,1,1) + 1)
)</f>
        <v>9611</v>
      </c>
    </row>
    <row r="196" spans="1:10" x14ac:dyDescent="0.45">
      <c r="A196" s="988">
        <v>80</v>
      </c>
      <c r="B196" s="35">
        <v>0</v>
      </c>
      <c r="C196" s="35">
        <v>68</v>
      </c>
      <c r="D196" s="35">
        <v>0</v>
      </c>
      <c r="E196" s="35" t="s">
        <v>493</v>
      </c>
      <c r="F196">
        <v>6008</v>
      </c>
      <c r="G196">
        <v>7176</v>
      </c>
      <c r="H196">
        <v>7320</v>
      </c>
      <c r="J196">
        <f>IF(
    OR(
        AND(MAX(0, MIN($F$1, DATE(Initialisatie!$C$5,12,31)) - MAX($F$2, DATE(Initialisatie!$C$5,1,1)) + 1) &gt; 0, IFERROR(VALUE($F196),0)=0),
        AND(MAX(0, MIN($G$1, DATE(Initialisatie!$C$5,12,31)) - MAX($G$2, DATE(Initialisatie!$C$5,1,1)) + 1) &gt; 0, IFERROR(VALUE($G196),0)=0),
        AND(MAX(0, MIN($H$1, DATE(Initialisatie!$C$5,12,31)) - MAX($H$2, DATE(Initialisatie!$C$5,1,1)) + 1) &gt; 0, IFERROR(VALUE($H196),0)=0)
    ),
    0,
    SUM(
        IFERROR(VALUE($F196),0) * MAX(0, MIN($F$1, DATE(Initialisatie!$C$5,12,31)) - MAX($F$2, DATE(Initialisatie!$C$5,1,1)) + 1),
        IFERROR(VALUE($G196),0) * MAX(0, MIN($G$1, DATE(Initialisatie!$C$5,12,31)) - MAX($G$2, DATE(Initialisatie!$C$5,1,1)) + 1),
        IFERROR(VALUE($H196),0) * MAX(0, MIN($H$1, DATE(Initialisatie!$C$5,12,31)) - MAX($H$2, DATE(Initialisatie!$C$5,1,1)) + 1)
    ) / (DATE(Initialisatie!$C$5,12,31) - DATE(Initialisatie!$C$5,1,1) + 1)
)</f>
        <v>7320</v>
      </c>
    </row>
    <row r="197" spans="1:10" x14ac:dyDescent="0.45">
      <c r="A197" s="989"/>
      <c r="B197" s="35">
        <v>1</v>
      </c>
      <c r="C197" s="35">
        <v>71</v>
      </c>
      <c r="D197" s="35">
        <v>1</v>
      </c>
      <c r="E197" s="35" t="s">
        <v>494</v>
      </c>
      <c r="F197">
        <v>6243</v>
      </c>
      <c r="G197">
        <v>7482</v>
      </c>
      <c r="H197">
        <v>7632</v>
      </c>
      <c r="J197">
        <f>IF(
    OR(
        AND(MAX(0, MIN($F$1, DATE(Initialisatie!$C$5,12,31)) - MAX($F$2, DATE(Initialisatie!$C$5,1,1)) + 1) &gt; 0, IFERROR(VALUE($F197),0)=0),
        AND(MAX(0, MIN($G$1, DATE(Initialisatie!$C$5,12,31)) - MAX($G$2, DATE(Initialisatie!$C$5,1,1)) + 1) &gt; 0, IFERROR(VALUE($G197),0)=0),
        AND(MAX(0, MIN($H$1, DATE(Initialisatie!$C$5,12,31)) - MAX($H$2, DATE(Initialisatie!$C$5,1,1)) + 1) &gt; 0, IFERROR(VALUE($H197),0)=0)
    ),
    0,
    SUM(
        IFERROR(VALUE($F197),0) * MAX(0, MIN($F$1, DATE(Initialisatie!$C$5,12,31)) - MAX($F$2, DATE(Initialisatie!$C$5,1,1)) + 1),
        IFERROR(VALUE($G197),0) * MAX(0, MIN($G$1, DATE(Initialisatie!$C$5,12,31)) - MAX($G$2, DATE(Initialisatie!$C$5,1,1)) + 1),
        IFERROR(VALUE($H197),0) * MAX(0, MIN($H$1, DATE(Initialisatie!$C$5,12,31)) - MAX($H$2, DATE(Initialisatie!$C$5,1,1)) + 1)
    ) / (DATE(Initialisatie!$C$5,12,31) - DATE(Initialisatie!$C$5,1,1) + 1)
)</f>
        <v>7632</v>
      </c>
    </row>
    <row r="198" spans="1:10" x14ac:dyDescent="0.45">
      <c r="A198" s="989"/>
      <c r="B198" s="35">
        <v>2</v>
      </c>
      <c r="C198" s="35">
        <v>74</v>
      </c>
      <c r="D198" s="35">
        <v>2</v>
      </c>
      <c r="E198" s="35" t="s">
        <v>495</v>
      </c>
      <c r="F198">
        <v>6480</v>
      </c>
      <c r="G198">
        <v>7785</v>
      </c>
      <c r="H198">
        <v>7941</v>
      </c>
      <c r="J198">
        <f>IF(
    OR(
        AND(MAX(0, MIN($F$1, DATE(Initialisatie!$C$5,12,31)) - MAX($F$2, DATE(Initialisatie!$C$5,1,1)) + 1) &gt; 0, IFERROR(VALUE($F198),0)=0),
        AND(MAX(0, MIN($G$1, DATE(Initialisatie!$C$5,12,31)) - MAX($G$2, DATE(Initialisatie!$C$5,1,1)) + 1) &gt; 0, IFERROR(VALUE($G198),0)=0),
        AND(MAX(0, MIN($H$1, DATE(Initialisatie!$C$5,12,31)) - MAX($H$2, DATE(Initialisatie!$C$5,1,1)) + 1) &gt; 0, IFERROR(VALUE($H198),0)=0)
    ),
    0,
    SUM(
        IFERROR(VALUE($F198),0) * MAX(0, MIN($F$1, DATE(Initialisatie!$C$5,12,31)) - MAX($F$2, DATE(Initialisatie!$C$5,1,1)) + 1),
        IFERROR(VALUE($G198),0) * MAX(0, MIN($G$1, DATE(Initialisatie!$C$5,12,31)) - MAX($G$2, DATE(Initialisatie!$C$5,1,1)) + 1),
        IFERROR(VALUE($H198),0) * MAX(0, MIN($H$1, DATE(Initialisatie!$C$5,12,31)) - MAX($H$2, DATE(Initialisatie!$C$5,1,1)) + 1)
    ) / (DATE(Initialisatie!$C$5,12,31) - DATE(Initialisatie!$C$5,1,1) + 1)
)</f>
        <v>7941</v>
      </c>
    </row>
    <row r="199" spans="1:10" x14ac:dyDescent="0.45">
      <c r="A199" s="989"/>
      <c r="B199" s="35">
        <v>3</v>
      </c>
      <c r="C199" s="35">
        <v>77</v>
      </c>
      <c r="D199" s="35">
        <v>3</v>
      </c>
      <c r="E199" s="35" t="s">
        <v>496</v>
      </c>
      <c r="F199">
        <v>6740</v>
      </c>
      <c r="G199">
        <v>8085</v>
      </c>
      <c r="H199">
        <v>8247</v>
      </c>
      <c r="J199">
        <f>IF(
    OR(
        AND(MAX(0, MIN($F$1, DATE(Initialisatie!$C$5,12,31)) - MAX($F$2, DATE(Initialisatie!$C$5,1,1)) + 1) &gt; 0, IFERROR(VALUE($F199),0)=0),
        AND(MAX(0, MIN($G$1, DATE(Initialisatie!$C$5,12,31)) - MAX($G$2, DATE(Initialisatie!$C$5,1,1)) + 1) &gt; 0, IFERROR(VALUE($G199),0)=0),
        AND(MAX(0, MIN($H$1, DATE(Initialisatie!$C$5,12,31)) - MAX($H$2, DATE(Initialisatie!$C$5,1,1)) + 1) &gt; 0, IFERROR(VALUE($H199),0)=0)
    ),
    0,
    SUM(
        IFERROR(VALUE($F199),0) * MAX(0, MIN($F$1, DATE(Initialisatie!$C$5,12,31)) - MAX($F$2, DATE(Initialisatie!$C$5,1,1)) + 1),
        IFERROR(VALUE($G199),0) * MAX(0, MIN($G$1, DATE(Initialisatie!$C$5,12,31)) - MAX($G$2, DATE(Initialisatie!$C$5,1,1)) + 1),
        IFERROR(VALUE($H199),0) * MAX(0, MIN($H$1, DATE(Initialisatie!$C$5,12,31)) - MAX($H$2, DATE(Initialisatie!$C$5,1,1)) + 1)
    ) / (DATE(Initialisatie!$C$5,12,31) - DATE(Initialisatie!$C$5,1,1) + 1)
)</f>
        <v>8247</v>
      </c>
    </row>
    <row r="200" spans="1:10" x14ac:dyDescent="0.45">
      <c r="A200" s="989"/>
      <c r="B200" s="35">
        <v>4</v>
      </c>
      <c r="C200" s="35">
        <v>80</v>
      </c>
      <c r="D200" s="35">
        <v>4</v>
      </c>
      <c r="E200" s="35" t="s">
        <v>497</v>
      </c>
      <c r="F200">
        <v>7035</v>
      </c>
      <c r="G200">
        <v>8424</v>
      </c>
      <c r="H200">
        <v>8592</v>
      </c>
      <c r="J200">
        <f>IF(
    OR(
        AND(MAX(0, MIN($F$1, DATE(Initialisatie!$C$5,12,31)) - MAX($F$2, DATE(Initialisatie!$C$5,1,1)) + 1) &gt; 0, IFERROR(VALUE($F200),0)=0),
        AND(MAX(0, MIN($G$1, DATE(Initialisatie!$C$5,12,31)) - MAX($G$2, DATE(Initialisatie!$C$5,1,1)) + 1) &gt; 0, IFERROR(VALUE($G200),0)=0),
        AND(MAX(0, MIN($H$1, DATE(Initialisatie!$C$5,12,31)) - MAX($H$2, DATE(Initialisatie!$C$5,1,1)) + 1) &gt; 0, IFERROR(VALUE($H200),0)=0)
    ),
    0,
    SUM(
        IFERROR(VALUE($F200),0) * MAX(0, MIN($F$1, DATE(Initialisatie!$C$5,12,31)) - MAX($F$2, DATE(Initialisatie!$C$5,1,1)) + 1),
        IFERROR(VALUE($G200),0) * MAX(0, MIN($G$1, DATE(Initialisatie!$C$5,12,31)) - MAX($G$2, DATE(Initialisatie!$C$5,1,1)) + 1),
        IFERROR(VALUE($H200),0) * MAX(0, MIN($H$1, DATE(Initialisatie!$C$5,12,31)) - MAX($H$2, DATE(Initialisatie!$C$5,1,1)) + 1)
    ) / (DATE(Initialisatie!$C$5,12,31) - DATE(Initialisatie!$C$5,1,1) + 1)
)</f>
        <v>8592</v>
      </c>
    </row>
    <row r="201" spans="1:10" x14ac:dyDescent="0.45">
      <c r="A201" s="989"/>
      <c r="B201" s="35">
        <v>5</v>
      </c>
      <c r="C201" s="35">
        <v>83</v>
      </c>
      <c r="D201" s="35">
        <v>5</v>
      </c>
      <c r="E201" s="35" t="s">
        <v>498</v>
      </c>
      <c r="F201">
        <v>7335</v>
      </c>
      <c r="G201">
        <v>8765</v>
      </c>
      <c r="H201">
        <v>8940</v>
      </c>
      <c r="J201">
        <f>IF(
    OR(
        AND(MAX(0, MIN($F$1, DATE(Initialisatie!$C$5,12,31)) - MAX($F$2, DATE(Initialisatie!$C$5,1,1)) + 1) &gt; 0, IFERROR(VALUE($F201),0)=0),
        AND(MAX(0, MIN($G$1, DATE(Initialisatie!$C$5,12,31)) - MAX($G$2, DATE(Initialisatie!$C$5,1,1)) + 1) &gt; 0, IFERROR(VALUE($G201),0)=0),
        AND(MAX(0, MIN($H$1, DATE(Initialisatie!$C$5,12,31)) - MAX($H$2, DATE(Initialisatie!$C$5,1,1)) + 1) &gt; 0, IFERROR(VALUE($H201),0)=0)
    ),
    0,
    SUM(
        IFERROR(VALUE($F201),0) * MAX(0, MIN($F$1, DATE(Initialisatie!$C$5,12,31)) - MAX($F$2, DATE(Initialisatie!$C$5,1,1)) + 1),
        IFERROR(VALUE($G201),0) * MAX(0, MIN($G$1, DATE(Initialisatie!$C$5,12,31)) - MAX($G$2, DATE(Initialisatie!$C$5,1,1)) + 1),
        IFERROR(VALUE($H201),0) * MAX(0, MIN($H$1, DATE(Initialisatie!$C$5,12,31)) - MAX($H$2, DATE(Initialisatie!$C$5,1,1)) + 1)
    ) / (DATE(Initialisatie!$C$5,12,31) - DATE(Initialisatie!$C$5,1,1) + 1)
)</f>
        <v>8940</v>
      </c>
    </row>
    <row r="202" spans="1:10" x14ac:dyDescent="0.45">
      <c r="A202" s="989"/>
      <c r="B202" s="35">
        <v>6</v>
      </c>
      <c r="C202" s="35">
        <v>86</v>
      </c>
      <c r="D202" s="35">
        <v>6</v>
      </c>
      <c r="E202" s="35" t="s">
        <v>499</v>
      </c>
      <c r="F202">
        <v>7632</v>
      </c>
      <c r="G202">
        <v>9142</v>
      </c>
      <c r="H202">
        <v>9325</v>
      </c>
      <c r="J202">
        <f>IF(
    OR(
        AND(MAX(0, MIN($F$1, DATE(Initialisatie!$C$5,12,31)) - MAX($F$2, DATE(Initialisatie!$C$5,1,1)) + 1) &gt; 0, IFERROR(VALUE($F202),0)=0),
        AND(MAX(0, MIN($G$1, DATE(Initialisatie!$C$5,12,31)) - MAX($G$2, DATE(Initialisatie!$C$5,1,1)) + 1) &gt; 0, IFERROR(VALUE($G202),0)=0),
        AND(MAX(0, MIN($H$1, DATE(Initialisatie!$C$5,12,31)) - MAX($H$2, DATE(Initialisatie!$C$5,1,1)) + 1) &gt; 0, IFERROR(VALUE($H202),0)=0)
    ),
    0,
    SUM(
        IFERROR(VALUE($F202),0) * MAX(0, MIN($F$1, DATE(Initialisatie!$C$5,12,31)) - MAX($F$2, DATE(Initialisatie!$C$5,1,1)) + 1),
        IFERROR(VALUE($G202),0) * MAX(0, MIN($G$1, DATE(Initialisatie!$C$5,12,31)) - MAX($G$2, DATE(Initialisatie!$C$5,1,1)) + 1),
        IFERROR(VALUE($H202),0) * MAX(0, MIN($H$1, DATE(Initialisatie!$C$5,12,31)) - MAX($H$2, DATE(Initialisatie!$C$5,1,1)) + 1)
    ) / (DATE(Initialisatie!$C$5,12,31) - DATE(Initialisatie!$C$5,1,1) + 1)
)</f>
        <v>9325</v>
      </c>
    </row>
    <row r="203" spans="1:10" x14ac:dyDescent="0.45">
      <c r="A203" s="989"/>
      <c r="B203" s="35">
        <v>7</v>
      </c>
      <c r="C203" s="35">
        <v>88</v>
      </c>
      <c r="D203" s="35">
        <v>7</v>
      </c>
      <c r="E203" s="35" t="s">
        <v>500</v>
      </c>
      <c r="F203">
        <v>7829</v>
      </c>
      <c r="G203">
        <v>9423</v>
      </c>
      <c r="H203">
        <v>9611</v>
      </c>
      <c r="J203">
        <f>IF(
    OR(
        AND(MAX(0, MIN($F$1, DATE(Initialisatie!$C$5,12,31)) - MAX($F$2, DATE(Initialisatie!$C$5,1,1)) + 1) &gt; 0, IFERROR(VALUE($F203),0)=0),
        AND(MAX(0, MIN($G$1, DATE(Initialisatie!$C$5,12,31)) - MAX($G$2, DATE(Initialisatie!$C$5,1,1)) + 1) &gt; 0, IFERROR(VALUE($G203),0)=0),
        AND(MAX(0, MIN($H$1, DATE(Initialisatie!$C$5,12,31)) - MAX($H$2, DATE(Initialisatie!$C$5,1,1)) + 1) &gt; 0, IFERROR(VALUE($H203),0)=0)
    ),
    0,
    SUM(
        IFERROR(VALUE($F203),0) * MAX(0, MIN($F$1, DATE(Initialisatie!$C$5,12,31)) - MAX($F$2, DATE(Initialisatie!$C$5,1,1)) + 1),
        IFERROR(VALUE($G203),0) * MAX(0, MIN($G$1, DATE(Initialisatie!$C$5,12,31)) - MAX($G$2, DATE(Initialisatie!$C$5,1,1)) + 1),
        IFERROR(VALUE($H203),0) * MAX(0, MIN($H$1, DATE(Initialisatie!$C$5,12,31)) - MAX($H$2, DATE(Initialisatie!$C$5,1,1)) + 1)
    ) / (DATE(Initialisatie!$C$5,12,31) - DATE(Initialisatie!$C$5,1,1) + 1)
)</f>
        <v>9611</v>
      </c>
    </row>
    <row r="204" spans="1:10" x14ac:dyDescent="0.45">
      <c r="A204" s="989"/>
      <c r="B204" s="35">
        <v>8</v>
      </c>
      <c r="C204" s="35">
        <v>90</v>
      </c>
      <c r="D204" s="35">
        <v>8</v>
      </c>
      <c r="E204" s="35" t="s">
        <v>501</v>
      </c>
      <c r="F204">
        <v>8038</v>
      </c>
      <c r="G204">
        <v>9713</v>
      </c>
      <c r="H204">
        <v>9907</v>
      </c>
      <c r="J204">
        <f>IF(
    OR(
        AND(MAX(0, MIN($F$1, DATE(Initialisatie!$C$5,12,31)) - MAX($F$2, DATE(Initialisatie!$C$5,1,1)) + 1) &gt; 0, IFERROR(VALUE($F204),0)=0),
        AND(MAX(0, MIN($G$1, DATE(Initialisatie!$C$5,12,31)) - MAX($G$2, DATE(Initialisatie!$C$5,1,1)) + 1) &gt; 0, IFERROR(VALUE($G204),0)=0),
        AND(MAX(0, MIN($H$1, DATE(Initialisatie!$C$5,12,31)) - MAX($H$2, DATE(Initialisatie!$C$5,1,1)) + 1) &gt; 0, IFERROR(VALUE($H204),0)=0)
    ),
    0,
    SUM(
        IFERROR(VALUE($F204),0) * MAX(0, MIN($F$1, DATE(Initialisatie!$C$5,12,31)) - MAX($F$2, DATE(Initialisatie!$C$5,1,1)) + 1),
        IFERROR(VALUE($G204),0) * MAX(0, MIN($G$1, DATE(Initialisatie!$C$5,12,31)) - MAX($G$2, DATE(Initialisatie!$C$5,1,1)) + 1),
        IFERROR(VALUE($H204),0) * MAX(0, MIN($H$1, DATE(Initialisatie!$C$5,12,31)) - MAX($H$2, DATE(Initialisatie!$C$5,1,1)) + 1)
    ) / (DATE(Initialisatie!$C$5,12,31) - DATE(Initialisatie!$C$5,1,1) + 1)
)</f>
        <v>9907</v>
      </c>
    </row>
    <row r="205" spans="1:10" x14ac:dyDescent="0.45">
      <c r="A205" s="989"/>
      <c r="B205" s="35">
        <v>9</v>
      </c>
      <c r="C205" s="35">
        <v>92</v>
      </c>
      <c r="D205" s="35">
        <v>9</v>
      </c>
      <c r="E205" s="35" t="s">
        <v>502</v>
      </c>
      <c r="F205">
        <v>8259</v>
      </c>
      <c r="G205">
        <v>10011</v>
      </c>
      <c r="H205">
        <v>10211</v>
      </c>
      <c r="J205">
        <f>IF(
    OR(
        AND(MAX(0, MIN($F$1, DATE(Initialisatie!$C$5,12,31)) - MAX($F$2, DATE(Initialisatie!$C$5,1,1)) + 1) &gt; 0, IFERROR(VALUE($F205),0)=0),
        AND(MAX(0, MIN($G$1, DATE(Initialisatie!$C$5,12,31)) - MAX($G$2, DATE(Initialisatie!$C$5,1,1)) + 1) &gt; 0, IFERROR(VALUE($G205),0)=0),
        AND(MAX(0, MIN($H$1, DATE(Initialisatie!$C$5,12,31)) - MAX($H$2, DATE(Initialisatie!$C$5,1,1)) + 1) &gt; 0, IFERROR(VALUE($H205),0)=0)
    ),
    0,
    SUM(
        IFERROR(VALUE($F205),0) * MAX(0, MIN($F$1, DATE(Initialisatie!$C$5,12,31)) - MAX($F$2, DATE(Initialisatie!$C$5,1,1)) + 1),
        IFERROR(VALUE($G205),0) * MAX(0, MIN($G$1, DATE(Initialisatie!$C$5,12,31)) - MAX($G$2, DATE(Initialisatie!$C$5,1,1)) + 1),
        IFERROR(VALUE($H205),0) * MAX(0, MIN($H$1, DATE(Initialisatie!$C$5,12,31)) - MAX($H$2, DATE(Initialisatie!$C$5,1,1)) + 1)
    ) / (DATE(Initialisatie!$C$5,12,31) - DATE(Initialisatie!$C$5,1,1) + 1)
)</f>
        <v>10211</v>
      </c>
    </row>
    <row r="206" spans="1:10" x14ac:dyDescent="0.45">
      <c r="A206" s="989"/>
      <c r="B206" s="35">
        <v>10</v>
      </c>
      <c r="C206" s="35">
        <v>94</v>
      </c>
      <c r="D206" s="35">
        <v>10</v>
      </c>
      <c r="E206" s="35" t="s">
        <v>503</v>
      </c>
      <c r="F206">
        <v>8482</v>
      </c>
      <c r="G206">
        <v>10308</v>
      </c>
      <c r="H206">
        <v>10514</v>
      </c>
      <c r="J206">
        <f>IF(
    OR(
        AND(MAX(0, MIN($F$1, DATE(Initialisatie!$C$5,12,31)) - MAX($F$2, DATE(Initialisatie!$C$5,1,1)) + 1) &gt; 0, IFERROR(VALUE($F206),0)=0),
        AND(MAX(0, MIN($G$1, DATE(Initialisatie!$C$5,12,31)) - MAX($G$2, DATE(Initialisatie!$C$5,1,1)) + 1) &gt; 0, IFERROR(VALUE($G206),0)=0),
        AND(MAX(0, MIN($H$1, DATE(Initialisatie!$C$5,12,31)) - MAX($H$2, DATE(Initialisatie!$C$5,1,1)) + 1) &gt; 0, IFERROR(VALUE($H206),0)=0)
    ),
    0,
    SUM(
        IFERROR(VALUE($F206),0) * MAX(0, MIN($F$1, DATE(Initialisatie!$C$5,12,31)) - MAX($F$2, DATE(Initialisatie!$C$5,1,1)) + 1),
        IFERROR(VALUE($G206),0) * MAX(0, MIN($G$1, DATE(Initialisatie!$C$5,12,31)) - MAX($G$2, DATE(Initialisatie!$C$5,1,1)) + 1),
        IFERROR(VALUE($H206),0) * MAX(0, MIN($H$1, DATE(Initialisatie!$C$5,12,31)) - MAX($H$2, DATE(Initialisatie!$C$5,1,1)) + 1)
    ) / (DATE(Initialisatie!$C$5,12,31) - DATE(Initialisatie!$C$5,1,1) + 1)
)</f>
        <v>10514</v>
      </c>
    </row>
    <row r="207" spans="1:10" x14ac:dyDescent="0.45">
      <c r="A207" s="989"/>
      <c r="B207" s="35">
        <v>11</v>
      </c>
      <c r="C207" s="35">
        <v>95</v>
      </c>
      <c r="D207" s="35">
        <v>11</v>
      </c>
      <c r="E207" s="35" t="s">
        <v>504</v>
      </c>
      <c r="F207">
        <v>8593</v>
      </c>
      <c r="G207">
        <v>10458</v>
      </c>
      <c r="H207">
        <v>10667</v>
      </c>
      <c r="J207">
        <f>IF(
    OR(
        AND(MAX(0, MIN($F$1, DATE(Initialisatie!$C$5,12,31)) - MAX($F$2, DATE(Initialisatie!$C$5,1,1)) + 1) &gt; 0, IFERROR(VALUE($F207),0)=0),
        AND(MAX(0, MIN($G$1, DATE(Initialisatie!$C$5,12,31)) - MAX($G$2, DATE(Initialisatie!$C$5,1,1)) + 1) &gt; 0, IFERROR(VALUE($G207),0)=0),
        AND(MAX(0, MIN($H$1, DATE(Initialisatie!$C$5,12,31)) - MAX($H$2, DATE(Initialisatie!$C$5,1,1)) + 1) &gt; 0, IFERROR(VALUE($H207),0)=0)
    ),
    0,
    SUM(
        IFERROR(VALUE($F207),0) * MAX(0, MIN($F$1, DATE(Initialisatie!$C$5,12,31)) - MAX($F$2, DATE(Initialisatie!$C$5,1,1)) + 1),
        IFERROR(VALUE($G207),0) * MAX(0, MIN($G$1, DATE(Initialisatie!$C$5,12,31)) - MAX($G$2, DATE(Initialisatie!$C$5,1,1)) + 1),
        IFERROR(VALUE($H207),0) * MAX(0, MIN($H$1, DATE(Initialisatie!$C$5,12,31)) - MAX($H$2, DATE(Initialisatie!$C$5,1,1)) + 1)
    ) / (DATE(Initialisatie!$C$5,12,31) - DATE(Initialisatie!$C$5,1,1) + 1)
)</f>
        <v>10667</v>
      </c>
    </row>
    <row r="208" spans="1:10" x14ac:dyDescent="0.45">
      <c r="A208" s="989"/>
      <c r="B208" s="35">
        <v>12</v>
      </c>
      <c r="C208" s="35">
        <v>96</v>
      </c>
      <c r="D208" s="35">
        <v>12</v>
      </c>
      <c r="E208" s="35" t="s">
        <v>505</v>
      </c>
      <c r="F208">
        <v>8705</v>
      </c>
      <c r="G208">
        <v>10606</v>
      </c>
      <c r="H208">
        <v>10818</v>
      </c>
      <c r="J208">
        <f>IF(
    OR(
        AND(MAX(0, MIN($F$1, DATE(Initialisatie!$C$5,12,31)) - MAX($F$2, DATE(Initialisatie!$C$5,1,1)) + 1) &gt; 0, IFERROR(VALUE($F208),0)=0),
        AND(MAX(0, MIN($G$1, DATE(Initialisatie!$C$5,12,31)) - MAX($G$2, DATE(Initialisatie!$C$5,1,1)) + 1) &gt; 0, IFERROR(VALUE($G208),0)=0),
        AND(MAX(0, MIN($H$1, DATE(Initialisatie!$C$5,12,31)) - MAX($H$2, DATE(Initialisatie!$C$5,1,1)) + 1) &gt; 0, IFERROR(VALUE($H208),0)=0)
    ),
    0,
    SUM(
        IFERROR(VALUE($F208),0) * MAX(0, MIN($F$1, DATE(Initialisatie!$C$5,12,31)) - MAX($F$2, DATE(Initialisatie!$C$5,1,1)) + 1),
        IFERROR(VALUE($G208),0) * MAX(0, MIN($G$1, DATE(Initialisatie!$C$5,12,31)) - MAX($G$2, DATE(Initialisatie!$C$5,1,1)) + 1),
        IFERROR(VALUE($H208),0) * MAX(0, MIN($H$1, DATE(Initialisatie!$C$5,12,31)) - MAX($H$2, DATE(Initialisatie!$C$5,1,1)) + 1)
    ) / (DATE(Initialisatie!$C$5,12,31) - DATE(Initialisatie!$C$5,1,1) + 1)
)</f>
        <v>10818</v>
      </c>
    </row>
    <row r="209" spans="1:10" x14ac:dyDescent="0.45">
      <c r="A209" s="989"/>
      <c r="B209" s="35">
        <v>13</v>
      </c>
      <c r="C209" s="35">
        <v>97</v>
      </c>
      <c r="D209" s="35">
        <v>13</v>
      </c>
      <c r="E209" s="35" t="s">
        <v>506</v>
      </c>
      <c r="F209">
        <v>8834</v>
      </c>
      <c r="G209">
        <v>10755</v>
      </c>
      <c r="H209">
        <v>10970</v>
      </c>
      <c r="J209">
        <f>IF(
    OR(
        AND(MAX(0, MIN($F$1, DATE(Initialisatie!$C$5,12,31)) - MAX($F$2, DATE(Initialisatie!$C$5,1,1)) + 1) &gt; 0, IFERROR(VALUE($F209),0)=0),
        AND(MAX(0, MIN($G$1, DATE(Initialisatie!$C$5,12,31)) - MAX($G$2, DATE(Initialisatie!$C$5,1,1)) + 1) &gt; 0, IFERROR(VALUE($G209),0)=0),
        AND(MAX(0, MIN($H$1, DATE(Initialisatie!$C$5,12,31)) - MAX($H$2, DATE(Initialisatie!$C$5,1,1)) + 1) &gt; 0, IFERROR(VALUE($H209),0)=0)
    ),
    0,
    SUM(
        IFERROR(VALUE($F209),0) * MAX(0, MIN($F$1, DATE(Initialisatie!$C$5,12,31)) - MAX($F$2, DATE(Initialisatie!$C$5,1,1)) + 1),
        IFERROR(VALUE($G209),0) * MAX(0, MIN($G$1, DATE(Initialisatie!$C$5,12,31)) - MAX($G$2, DATE(Initialisatie!$C$5,1,1)) + 1),
        IFERROR(VALUE($H209),0) * MAX(0, MIN($H$1, DATE(Initialisatie!$C$5,12,31)) - MAX($H$2, DATE(Initialisatie!$C$5,1,1)) + 1)
    ) / (DATE(Initialisatie!$C$5,12,31) - DATE(Initialisatie!$C$5,1,1) + 1)
)</f>
        <v>10970</v>
      </c>
    </row>
    <row r="210" spans="1:10" x14ac:dyDescent="0.45">
      <c r="A210" s="989"/>
      <c r="B210" s="35">
        <v>14</v>
      </c>
      <c r="C210" s="35">
        <v>98</v>
      </c>
      <c r="D210" s="35">
        <v>14</v>
      </c>
      <c r="E210" s="35" t="s">
        <v>507</v>
      </c>
      <c r="F210">
        <v>8963</v>
      </c>
      <c r="G210">
        <v>10903</v>
      </c>
      <c r="H210">
        <v>11121</v>
      </c>
      <c r="J210">
        <f>IF(
    OR(
        AND(MAX(0, MIN($F$1, DATE(Initialisatie!$C$5,12,31)) - MAX($F$2, DATE(Initialisatie!$C$5,1,1)) + 1) &gt; 0, IFERROR(VALUE($F210),0)=0),
        AND(MAX(0, MIN($G$1, DATE(Initialisatie!$C$5,12,31)) - MAX($G$2, DATE(Initialisatie!$C$5,1,1)) + 1) &gt; 0, IFERROR(VALUE($G210),0)=0),
        AND(MAX(0, MIN($H$1, DATE(Initialisatie!$C$5,12,31)) - MAX($H$2, DATE(Initialisatie!$C$5,1,1)) + 1) &gt; 0, IFERROR(VALUE($H210),0)=0)
    ),
    0,
    SUM(
        IFERROR(VALUE($F210),0) * MAX(0, MIN($F$1, DATE(Initialisatie!$C$5,12,31)) - MAX($F$2, DATE(Initialisatie!$C$5,1,1)) + 1),
        IFERROR(VALUE($G210),0) * MAX(0, MIN($G$1, DATE(Initialisatie!$C$5,12,31)) - MAX($G$2, DATE(Initialisatie!$C$5,1,1)) + 1),
        IFERROR(VALUE($H210),0) * MAX(0, MIN($H$1, DATE(Initialisatie!$C$5,12,31)) - MAX($H$2, DATE(Initialisatie!$C$5,1,1)) + 1)
    ) / (DATE(Initialisatie!$C$5,12,31) - DATE(Initialisatie!$C$5,1,1) + 1)
)</f>
        <v>11121</v>
      </c>
    </row>
    <row r="211" spans="1:10" x14ac:dyDescent="0.45">
      <c r="A211" s="989"/>
      <c r="B211" s="35">
        <v>15</v>
      </c>
      <c r="C211" s="35">
        <v>99</v>
      </c>
      <c r="D211" s="35">
        <v>15</v>
      </c>
      <c r="E211" s="35" t="s">
        <v>702</v>
      </c>
      <c r="F211">
        <v>9093</v>
      </c>
      <c r="G211">
        <v>11055</v>
      </c>
      <c r="H211">
        <v>11276</v>
      </c>
      <c r="J211">
        <f>IF(
    OR(
        AND(MAX(0, MIN($F$1, DATE(Initialisatie!$C$5,12,31)) - MAX($F$2, DATE(Initialisatie!$C$5,1,1)) + 1) &gt; 0, IFERROR(VALUE($F211),0)=0),
        AND(MAX(0, MIN($G$1, DATE(Initialisatie!$C$5,12,31)) - MAX($G$2, DATE(Initialisatie!$C$5,1,1)) + 1) &gt; 0, IFERROR(VALUE($G211),0)=0),
        AND(MAX(0, MIN($H$1, DATE(Initialisatie!$C$5,12,31)) - MAX($H$2, DATE(Initialisatie!$C$5,1,1)) + 1) &gt; 0, IFERROR(VALUE($H211),0)=0)
    ),
    0,
    SUM(
        IFERROR(VALUE($F211),0) * MAX(0, MIN($F$1, DATE(Initialisatie!$C$5,12,31)) - MAX($F$2, DATE(Initialisatie!$C$5,1,1)) + 1),
        IFERROR(VALUE($G211),0) * MAX(0, MIN($G$1, DATE(Initialisatie!$C$5,12,31)) - MAX($G$2, DATE(Initialisatie!$C$5,1,1)) + 1),
        IFERROR(VALUE($H211),0) * MAX(0, MIN($H$1, DATE(Initialisatie!$C$5,12,31)) - MAX($H$2, DATE(Initialisatie!$C$5,1,1)) + 1)
    ) / (DATE(Initialisatie!$C$5,12,31) - DATE(Initialisatie!$C$5,1,1) + 1)
)</f>
        <v>11276</v>
      </c>
    </row>
    <row r="212" spans="1:10" x14ac:dyDescent="0.45">
      <c r="A212" s="990"/>
      <c r="B212" s="35">
        <v>16</v>
      </c>
      <c r="C212" s="35">
        <v>100</v>
      </c>
      <c r="D212" s="35">
        <v>16</v>
      </c>
      <c r="E212" s="35" t="s">
        <v>703</v>
      </c>
      <c r="F212">
        <v>9238</v>
      </c>
      <c r="G212">
        <v>11203</v>
      </c>
      <c r="H212">
        <v>11427</v>
      </c>
      <c r="J212">
        <f>IF(
    OR(
        AND(MAX(0, MIN($F$1, DATE(Initialisatie!$C$5,12,31)) - MAX($F$2, DATE(Initialisatie!$C$5,1,1)) + 1) &gt; 0, IFERROR(VALUE($F212),0)=0),
        AND(MAX(0, MIN($G$1, DATE(Initialisatie!$C$5,12,31)) - MAX($G$2, DATE(Initialisatie!$C$5,1,1)) + 1) &gt; 0, IFERROR(VALUE($G212),0)=0),
        AND(MAX(0, MIN($H$1, DATE(Initialisatie!$C$5,12,31)) - MAX($H$2, DATE(Initialisatie!$C$5,1,1)) + 1) &gt; 0, IFERROR(VALUE($H212),0)=0)
    ),
    0,
    SUM(
        IFERROR(VALUE($F212),0) * MAX(0, MIN($F$1, DATE(Initialisatie!$C$5,12,31)) - MAX($F$2, DATE(Initialisatie!$C$5,1,1)) + 1),
        IFERROR(VALUE($G212),0) * MAX(0, MIN($G$1, DATE(Initialisatie!$C$5,12,31)) - MAX($G$2, DATE(Initialisatie!$C$5,1,1)) + 1),
        IFERROR(VALUE($H212),0) * MAX(0, MIN($H$1, DATE(Initialisatie!$C$5,12,31)) - MAX($H$2, DATE(Initialisatie!$C$5,1,1)) + 1)
    ) / (DATE(Initialisatie!$C$5,12,31) - DATE(Initialisatie!$C$5,1,1) + 1)
)</f>
        <v>11427</v>
      </c>
    </row>
  </sheetData>
  <mergeCells count="16">
    <mergeCell ref="A61:A72"/>
    <mergeCell ref="A4:A13"/>
    <mergeCell ref="A14:A24"/>
    <mergeCell ref="A25:A36"/>
    <mergeCell ref="A37:A48"/>
    <mergeCell ref="A49:A60"/>
    <mergeCell ref="A149:A163"/>
    <mergeCell ref="A164:A178"/>
    <mergeCell ref="A179:A195"/>
    <mergeCell ref="A196:A212"/>
    <mergeCell ref="A73:A84"/>
    <mergeCell ref="A85:A96"/>
    <mergeCell ref="A97:A109"/>
    <mergeCell ref="A110:A122"/>
    <mergeCell ref="A123:A135"/>
    <mergeCell ref="A136:A14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E38D-D168-4A4F-8DF9-EDFCBAEBB888}">
  <sheetPr>
    <tabColor theme="1"/>
  </sheetPr>
  <dimension ref="A1:E7"/>
  <sheetViews>
    <sheetView workbookViewId="0"/>
  </sheetViews>
  <sheetFormatPr defaultRowHeight="14.25" x14ac:dyDescent="0.45"/>
  <sheetData>
    <row r="1" spans="1:5" x14ac:dyDescent="0.45">
      <c r="B1" s="35" t="s">
        <v>28</v>
      </c>
      <c r="C1" s="35" t="s">
        <v>292</v>
      </c>
      <c r="D1" s="35" t="s">
        <v>2187</v>
      </c>
      <c r="E1" s="35" t="s">
        <v>2188</v>
      </c>
    </row>
    <row r="2" spans="1:5" x14ac:dyDescent="0.45">
      <c r="A2" s="35">
        <v>0</v>
      </c>
      <c r="B2" t="s">
        <v>113</v>
      </c>
      <c r="C2" t="s">
        <v>113</v>
      </c>
      <c r="D2">
        <v>2096.64</v>
      </c>
      <c r="E2">
        <v>2170.08</v>
      </c>
    </row>
    <row r="3" spans="1:5" x14ac:dyDescent="0.45">
      <c r="A3" s="35">
        <v>1</v>
      </c>
      <c r="B3" t="s">
        <v>111</v>
      </c>
      <c r="C3" t="s">
        <v>111</v>
      </c>
      <c r="D3">
        <v>2185.92</v>
      </c>
      <c r="E3">
        <v>2262.2399999999998</v>
      </c>
    </row>
    <row r="4" spans="1:5" x14ac:dyDescent="0.45">
      <c r="A4" s="35">
        <v>2</v>
      </c>
      <c r="B4" t="s">
        <v>101</v>
      </c>
      <c r="C4" t="s">
        <v>101</v>
      </c>
      <c r="D4">
        <v>2273.7600000000002</v>
      </c>
      <c r="E4">
        <v>2354.4</v>
      </c>
    </row>
    <row r="5" spans="1:5" x14ac:dyDescent="0.45">
      <c r="A5" s="35">
        <v>3</v>
      </c>
      <c r="B5" t="s">
        <v>99</v>
      </c>
      <c r="C5" t="s">
        <v>99</v>
      </c>
      <c r="D5">
        <v>2363.04</v>
      </c>
      <c r="E5">
        <v>2445.12</v>
      </c>
    </row>
    <row r="6" spans="1:5" x14ac:dyDescent="0.45">
      <c r="A6" s="35">
        <v>4</v>
      </c>
      <c r="B6" t="s">
        <v>97</v>
      </c>
      <c r="C6" t="s">
        <v>97</v>
      </c>
      <c r="D6">
        <v>2450.88</v>
      </c>
      <c r="E6">
        <v>2537.2800000000002</v>
      </c>
    </row>
    <row r="7" spans="1:5" x14ac:dyDescent="0.45">
      <c r="A7" s="35">
        <v>5</v>
      </c>
      <c r="B7" t="s">
        <v>95</v>
      </c>
      <c r="C7" t="s">
        <v>95</v>
      </c>
      <c r="D7">
        <v>2541.6</v>
      </c>
      <c r="E7">
        <v>2630.88</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A609-373A-4570-932D-97D8C9403ECF}">
  <sheetPr>
    <tabColor theme="1"/>
  </sheetPr>
  <dimension ref="A1:J9"/>
  <sheetViews>
    <sheetView zoomScale="120" zoomScaleNormal="120" workbookViewId="0"/>
  </sheetViews>
  <sheetFormatPr defaultRowHeight="14.25" x14ac:dyDescent="0.45"/>
  <cols>
    <col min="3" max="3" width="8.73046875" customWidth="1"/>
  </cols>
  <sheetData>
    <row r="1" spans="1:10" x14ac:dyDescent="0.45">
      <c r="A1" t="s">
        <v>1277</v>
      </c>
      <c r="C1" s="378">
        <f>IF(D2&lt;&gt;"", D2-1, DATE(2030,1,1))</f>
        <v>46203</v>
      </c>
      <c r="D1" s="378">
        <f>IF(E2&lt;&gt;"", E2-1, DATE(2030,1,1))</f>
        <v>47484</v>
      </c>
      <c r="F1" s="378">
        <f>IF(G2&lt;&gt;"", G2-1, DATE(2030,1,1))</f>
        <v>46203</v>
      </c>
      <c r="G1" s="378">
        <f>IF(H2&lt;&gt;"", H2-1, DATE(2030,1,1))</f>
        <v>47484</v>
      </c>
    </row>
    <row r="2" spans="1:10" x14ac:dyDescent="0.45">
      <c r="A2" t="s">
        <v>1276</v>
      </c>
      <c r="C2" s="362">
        <v>46023</v>
      </c>
      <c r="D2" s="362">
        <v>46204</v>
      </c>
      <c r="F2" s="362">
        <v>46023</v>
      </c>
      <c r="G2" s="362">
        <v>46204</v>
      </c>
    </row>
    <row r="3" spans="1:10" x14ac:dyDescent="0.45">
      <c r="A3" s="694" t="s">
        <v>28</v>
      </c>
      <c r="B3" s="694" t="s">
        <v>292</v>
      </c>
      <c r="C3" s="694" t="s">
        <v>2187</v>
      </c>
      <c r="D3" s="694" t="s">
        <v>2188</v>
      </c>
      <c r="F3" s="35" t="s">
        <v>2187</v>
      </c>
      <c r="G3" s="694" t="s">
        <v>2188</v>
      </c>
      <c r="J3" s="5" t="s">
        <v>1229</v>
      </c>
    </row>
    <row r="4" spans="1:10" x14ac:dyDescent="0.45">
      <c r="A4">
        <v>0</v>
      </c>
      <c r="B4">
        <v>0</v>
      </c>
      <c r="C4">
        <v>2096.64</v>
      </c>
      <c r="D4">
        <v>2170.08</v>
      </c>
      <c r="F4">
        <f>MAX(C4, 'Hulp (overig)'!$C$12*'Hulp (CAO''s)'!$Z$7/12)</f>
        <v>2302.1150000000002</v>
      </c>
      <c r="G4">
        <f>MAX(D4, 'Hulp (overig)'!$C$12*'Hulp (CAO''s)'!$Z$7/12)</f>
        <v>2302.1150000000002</v>
      </c>
      <c r="J4">
        <f>IF(
    OR(
        AND(MAX(0, MIN($F$1, DATE(Initialisatie!$C$5,12,31)) - MAX($F$2, DATE(Initialisatie!$C$5,1,1)) + 1) &gt; 0, IFERROR(VALUE($F4),0)=0),
        AND(MAX(0, MIN($G$1, DATE(Initialisatie!$C$5,12,31)) - MAX($G$2, DATE(Initialisatie!$C$5,1,1)) + 1) &gt; 0, IFERROR(VALUE($G4),0)=0)
    ),
    0,
    SUM(
        IFERROR(VALUE($F4),0) * MAX(0, MIN($F$1, DATE(Initialisatie!$C$5,12,31)) - MAX($F$2, DATE(Initialisatie!$C$5,1,1)) + 1),
        IFERROR(VALUE($G4),0) * MAX(0, MIN($G$1, DATE(Initialisatie!$C$5,12,31)) - MAX($G$2, DATE(Initialisatie!$C$5,1,1)) + 1)
    ) / (DATE(Initialisatie!$C$5,12,31) - DATE(Initialisatie!$C$5,1,1) + 1)
)</f>
        <v>2302.1150000000002</v>
      </c>
    </row>
    <row r="5" spans="1:10" x14ac:dyDescent="0.45">
      <c r="A5">
        <v>1</v>
      </c>
      <c r="B5">
        <v>1</v>
      </c>
      <c r="C5">
        <v>2185.92</v>
      </c>
      <c r="D5">
        <v>2262.2399999999998</v>
      </c>
      <c r="F5">
        <f>MAX(C5, 'Hulp (overig)'!$C$12*'Hulp (CAO''s)'!$Z$7/12)</f>
        <v>2302.1150000000002</v>
      </c>
      <c r="G5">
        <f>MAX(D5, 'Hulp (overig)'!$C$12*'Hulp (CAO''s)'!$Z$7/12)</f>
        <v>2302.1150000000002</v>
      </c>
      <c r="J5">
        <f>IF(
    OR(
        AND(MAX(0, MIN($F$1, DATE(Initialisatie!$C$5,12,31)) - MAX($F$2, DATE(Initialisatie!$C$5,1,1)) + 1) &gt; 0, IFERROR(VALUE($F5),0)=0),
        AND(MAX(0, MIN($G$1, DATE(Initialisatie!$C$5,12,31)) - MAX($G$2, DATE(Initialisatie!$C$5,1,1)) + 1) &gt; 0, IFERROR(VALUE($G5),0)=0)
    ),
    0,
    SUM(
        IFERROR(VALUE($F5),0) * MAX(0, MIN($F$1, DATE(Initialisatie!$C$5,12,31)) - MAX($F$2, DATE(Initialisatie!$C$5,1,1)) + 1),
        IFERROR(VALUE($G5),0) * MAX(0, MIN($G$1, DATE(Initialisatie!$C$5,12,31)) - MAX($G$2, DATE(Initialisatie!$C$5,1,1)) + 1)
    ) / (DATE(Initialisatie!$C$5,12,31) - DATE(Initialisatie!$C$5,1,1) + 1)
)</f>
        <v>2302.1150000000002</v>
      </c>
    </row>
    <row r="6" spans="1:10" x14ac:dyDescent="0.45">
      <c r="A6">
        <v>2</v>
      </c>
      <c r="B6">
        <v>2</v>
      </c>
      <c r="C6">
        <v>2273.7600000000002</v>
      </c>
      <c r="D6">
        <v>2354.4</v>
      </c>
      <c r="F6">
        <f>MAX(C6, 'Hulp (overig)'!$C$12*'Hulp (CAO''s)'!$Z$7/12)</f>
        <v>2302.1150000000002</v>
      </c>
      <c r="G6">
        <f>MAX(D6, 'Hulp (overig)'!$C$12*'Hulp (CAO''s)'!$Z$7/12)</f>
        <v>2354.4</v>
      </c>
      <c r="J6">
        <f>IF(
    OR(
        AND(MAX(0, MIN($F$1, DATE(Initialisatie!$C$5,12,31)) - MAX($F$2, DATE(Initialisatie!$C$5,1,1)) + 1) &gt; 0, IFERROR(VALUE($F6),0)=0),
        AND(MAX(0, MIN($G$1, DATE(Initialisatie!$C$5,12,31)) - MAX($G$2, DATE(Initialisatie!$C$5,1,1)) + 1) &gt; 0, IFERROR(VALUE($G6),0)=0)
    ),
    0,
    SUM(
        IFERROR(VALUE($F6),0) * MAX(0, MIN($F$1, DATE(Initialisatie!$C$5,12,31)) - MAX($F$2, DATE(Initialisatie!$C$5,1,1)) + 1),
        IFERROR(VALUE($G6),0) * MAX(0, MIN($G$1, DATE(Initialisatie!$C$5,12,31)) - MAX($G$2, DATE(Initialisatie!$C$5,1,1)) + 1)
    ) / (DATE(Initialisatie!$C$5,12,31) - DATE(Initialisatie!$C$5,1,1) + 1)
)</f>
        <v>2328.4723698630137</v>
      </c>
    </row>
    <row r="7" spans="1:10" x14ac:dyDescent="0.45">
      <c r="A7">
        <v>3</v>
      </c>
      <c r="B7">
        <v>3</v>
      </c>
      <c r="C7">
        <v>2363.04</v>
      </c>
      <c r="D7">
        <v>2445.12</v>
      </c>
      <c r="F7">
        <f>MAX(C7, 'Hulp (overig)'!$C$12*'Hulp (CAO''s)'!$Z$7/12)</f>
        <v>2363.04</v>
      </c>
      <c r="G7">
        <f>MAX(D7, 'Hulp (overig)'!$C$12*'Hulp (CAO''s)'!$Z$7/12)</f>
        <v>2445.12</v>
      </c>
      <c r="J7">
        <f>IF(
    OR(
        AND(MAX(0, MIN($F$1, DATE(Initialisatie!$C$5,12,31)) - MAX($F$2, DATE(Initialisatie!$C$5,1,1)) + 1) &gt; 0, IFERROR(VALUE($F7),0)=0),
        AND(MAX(0, MIN($G$1, DATE(Initialisatie!$C$5,12,31)) - MAX($G$2, DATE(Initialisatie!$C$5,1,1)) + 1) &gt; 0, IFERROR(VALUE($G7),0)=0)
    ),
    0,
    SUM(
        IFERROR(VALUE($F7),0) * MAX(0, MIN($F$1, DATE(Initialisatie!$C$5,12,31)) - MAX($F$2, DATE(Initialisatie!$C$5,1,1)) + 1),
        IFERROR(VALUE($G7),0) * MAX(0, MIN($G$1, DATE(Initialisatie!$C$5,12,31)) - MAX($G$2, DATE(Initialisatie!$C$5,1,1)) + 1)
    ) / (DATE(Initialisatie!$C$5,12,31) - DATE(Initialisatie!$C$5,1,1) + 1)
)</f>
        <v>2404.4173150684928</v>
      </c>
    </row>
    <row r="8" spans="1:10" x14ac:dyDescent="0.45">
      <c r="A8">
        <v>4</v>
      </c>
      <c r="B8">
        <v>4</v>
      </c>
      <c r="C8">
        <v>2450.88</v>
      </c>
      <c r="D8">
        <v>2537.2800000000002</v>
      </c>
      <c r="F8">
        <f>MAX(C8, 'Hulp (overig)'!$C$12*'Hulp (CAO''s)'!$Z$7/12)</f>
        <v>2450.88</v>
      </c>
      <c r="G8">
        <f>MAX(D8, 'Hulp (overig)'!$C$12*'Hulp (CAO''s)'!$Z$7/12)</f>
        <v>2537.2800000000002</v>
      </c>
      <c r="J8">
        <f>IF(
    OR(
        AND(MAX(0, MIN($F$1, DATE(Initialisatie!$C$5,12,31)) - MAX($F$2, DATE(Initialisatie!$C$5,1,1)) + 1) &gt; 0, IFERROR(VALUE($F8),0)=0),
        AND(MAX(0, MIN($G$1, DATE(Initialisatie!$C$5,12,31)) - MAX($G$2, DATE(Initialisatie!$C$5,1,1)) + 1) &gt; 0, IFERROR(VALUE($G8),0)=0)
    ),
    0,
    SUM(
        IFERROR(VALUE($F8),0) * MAX(0, MIN($F$1, DATE(Initialisatie!$C$5,12,31)) - MAX($F$2, DATE(Initialisatie!$C$5,1,1)) + 1),
        IFERROR(VALUE($G8),0) * MAX(0, MIN($G$1, DATE(Initialisatie!$C$5,12,31)) - MAX($G$2, DATE(Initialisatie!$C$5,1,1)) + 1)
    ) / (DATE(Initialisatie!$C$5,12,31) - DATE(Initialisatie!$C$5,1,1) + 1)
)</f>
        <v>2494.435068493151</v>
      </c>
    </row>
    <row r="9" spans="1:10" x14ac:dyDescent="0.45">
      <c r="A9">
        <v>5</v>
      </c>
      <c r="B9">
        <v>5</v>
      </c>
      <c r="C9">
        <v>2541.6</v>
      </c>
      <c r="D9">
        <v>2630.88</v>
      </c>
      <c r="F9">
        <f>MAX(C9, 'Hulp (overig)'!$C$12*'Hulp (CAO''s)'!$Z$7/12)</f>
        <v>2541.6</v>
      </c>
      <c r="G9">
        <f>MAX(D9, 'Hulp (overig)'!$C$12*'Hulp (CAO''s)'!$Z$7/12)</f>
        <v>2630.88</v>
      </c>
      <c r="J9">
        <f>IF(
    OR(
        AND(MAX(0, MIN($F$1, DATE(Initialisatie!$C$5,12,31)) - MAX($F$2, DATE(Initialisatie!$C$5,1,1)) + 1) &gt; 0, IFERROR(VALUE($F9),0)=0),
        AND(MAX(0, MIN($G$1, DATE(Initialisatie!$C$5,12,31)) - MAX($G$2, DATE(Initialisatie!$C$5,1,1)) + 1) &gt; 0, IFERROR(VALUE($G9),0)=0)
    ),
    0,
    SUM(
        IFERROR(VALUE($F9),0) * MAX(0, MIN($F$1, DATE(Initialisatie!$C$5,12,31)) - MAX($F$2, DATE(Initialisatie!$C$5,1,1)) + 1),
        IFERROR(VALUE($G9),0) * MAX(0, MIN($G$1, DATE(Initialisatie!$C$5,12,31)) - MAX($G$2, DATE(Initialisatie!$C$5,1,1)) + 1)
    ) / (DATE(Initialisatie!$C$5,12,31) - DATE(Initialisatie!$C$5,1,1) + 1)
)</f>
        <v>2586.6069041095889</v>
      </c>
    </row>
  </sheetData>
  <pageMargins left="0.75" right="0.75" top="1" bottom="1" header="0.5" footer="0.5"/>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364FB-C780-4F9E-80D1-9A31CED14959}">
  <sheetPr>
    <tabColor theme="1"/>
  </sheetPr>
  <dimension ref="A1:E192"/>
  <sheetViews>
    <sheetView workbookViewId="0"/>
  </sheetViews>
  <sheetFormatPr defaultRowHeight="14.25" x14ac:dyDescent="0.45"/>
  <sheetData>
    <row r="1" spans="1:5" x14ac:dyDescent="0.45">
      <c r="B1" s="35" t="s">
        <v>2195</v>
      </c>
      <c r="C1" s="35" t="s">
        <v>292</v>
      </c>
      <c r="D1" s="35" t="s">
        <v>2187</v>
      </c>
      <c r="E1" s="35" t="s">
        <v>2188</v>
      </c>
    </row>
    <row r="2" spans="1:5" x14ac:dyDescent="0.45">
      <c r="A2" s="35">
        <v>0</v>
      </c>
      <c r="B2">
        <v>15</v>
      </c>
      <c r="C2" t="s">
        <v>113</v>
      </c>
      <c r="D2">
        <v>2320.5</v>
      </c>
      <c r="E2">
        <v>2401.7199999999998</v>
      </c>
    </row>
    <row r="3" spans="1:5" x14ac:dyDescent="0.45">
      <c r="A3" s="35">
        <v>1</v>
      </c>
      <c r="B3">
        <v>15</v>
      </c>
      <c r="C3" t="s">
        <v>111</v>
      </c>
      <c r="D3">
        <v>2351.37</v>
      </c>
      <c r="E3">
        <v>2433.67</v>
      </c>
    </row>
    <row r="4" spans="1:5" x14ac:dyDescent="0.45">
      <c r="A4" s="35">
        <v>2</v>
      </c>
      <c r="B4">
        <v>15</v>
      </c>
      <c r="C4" t="s">
        <v>101</v>
      </c>
      <c r="D4">
        <v>2404.0300000000002</v>
      </c>
      <c r="E4">
        <v>2488.17</v>
      </c>
    </row>
    <row r="5" spans="1:5" x14ac:dyDescent="0.45">
      <c r="A5" s="35">
        <v>3</v>
      </c>
      <c r="B5">
        <v>15</v>
      </c>
      <c r="C5" t="s">
        <v>99</v>
      </c>
      <c r="D5">
        <v>2455.1999999999998</v>
      </c>
      <c r="E5">
        <v>2541.13</v>
      </c>
    </row>
    <row r="6" spans="1:5" x14ac:dyDescent="0.45">
      <c r="A6" s="35">
        <v>4</v>
      </c>
      <c r="B6">
        <v>15</v>
      </c>
      <c r="C6" t="s">
        <v>97</v>
      </c>
      <c r="D6">
        <v>2511.31</v>
      </c>
      <c r="E6">
        <v>2599.21</v>
      </c>
    </row>
    <row r="7" spans="1:5" x14ac:dyDescent="0.45">
      <c r="A7" s="35">
        <v>5</v>
      </c>
      <c r="B7">
        <v>15</v>
      </c>
      <c r="C7" t="s">
        <v>95</v>
      </c>
      <c r="D7">
        <v>2573.4699999999998</v>
      </c>
      <c r="E7">
        <v>2663.54</v>
      </c>
    </row>
    <row r="8" spans="1:5" x14ac:dyDescent="0.45">
      <c r="A8" s="35">
        <v>6</v>
      </c>
      <c r="B8">
        <v>15</v>
      </c>
      <c r="C8" t="s">
        <v>93</v>
      </c>
      <c r="D8">
        <v>2643.39</v>
      </c>
      <c r="E8">
        <v>2735.91</v>
      </c>
    </row>
    <row r="9" spans="1:5" x14ac:dyDescent="0.45">
      <c r="A9" s="35">
        <v>7</v>
      </c>
      <c r="B9">
        <v>15</v>
      </c>
      <c r="C9" t="s">
        <v>91</v>
      </c>
      <c r="D9">
        <v>2716.43</v>
      </c>
      <c r="E9">
        <v>2811.51</v>
      </c>
    </row>
    <row r="10" spans="1:5" x14ac:dyDescent="0.45">
      <c r="A10" s="35">
        <v>8</v>
      </c>
      <c r="B10">
        <v>15</v>
      </c>
      <c r="C10" t="s">
        <v>89</v>
      </c>
      <c r="D10">
        <v>2798.8</v>
      </c>
      <c r="E10">
        <v>2896.76</v>
      </c>
    </row>
    <row r="11" spans="1:5" x14ac:dyDescent="0.45">
      <c r="A11" s="35">
        <v>9</v>
      </c>
      <c r="B11">
        <v>20</v>
      </c>
      <c r="C11" t="s">
        <v>113</v>
      </c>
      <c r="D11">
        <v>2404.0300000000002</v>
      </c>
      <c r="E11">
        <v>2488.17</v>
      </c>
    </row>
    <row r="12" spans="1:5" x14ac:dyDescent="0.45">
      <c r="A12" s="35">
        <v>10</v>
      </c>
      <c r="B12">
        <v>20</v>
      </c>
      <c r="C12" t="s">
        <v>111</v>
      </c>
      <c r="D12">
        <v>2455.1999999999998</v>
      </c>
      <c r="E12">
        <v>2541.13</v>
      </c>
    </row>
    <row r="13" spans="1:5" x14ac:dyDescent="0.45">
      <c r="A13" s="35">
        <v>11</v>
      </c>
      <c r="B13">
        <v>20</v>
      </c>
      <c r="C13" t="s">
        <v>101</v>
      </c>
      <c r="D13">
        <v>2511.31</v>
      </c>
      <c r="E13">
        <v>2599.21</v>
      </c>
    </row>
    <row r="14" spans="1:5" x14ac:dyDescent="0.45">
      <c r="A14" s="35">
        <v>12</v>
      </c>
      <c r="B14">
        <v>20</v>
      </c>
      <c r="C14" t="s">
        <v>99</v>
      </c>
      <c r="D14">
        <v>2573.4699999999998</v>
      </c>
      <c r="E14">
        <v>2663.54</v>
      </c>
    </row>
    <row r="15" spans="1:5" x14ac:dyDescent="0.45">
      <c r="A15" s="35">
        <v>13</v>
      </c>
      <c r="B15">
        <v>20</v>
      </c>
      <c r="C15" t="s">
        <v>97</v>
      </c>
      <c r="D15">
        <v>2643.39</v>
      </c>
      <c r="E15">
        <v>2735.91</v>
      </c>
    </row>
    <row r="16" spans="1:5" x14ac:dyDescent="0.45">
      <c r="A16" s="35">
        <v>14</v>
      </c>
      <c r="B16">
        <v>20</v>
      </c>
      <c r="C16" t="s">
        <v>95</v>
      </c>
      <c r="D16">
        <v>2716.43</v>
      </c>
      <c r="E16">
        <v>2811.51</v>
      </c>
    </row>
    <row r="17" spans="1:5" x14ac:dyDescent="0.45">
      <c r="A17" s="35">
        <v>15</v>
      </c>
      <c r="B17">
        <v>20</v>
      </c>
      <c r="C17" t="s">
        <v>93</v>
      </c>
      <c r="D17">
        <v>2798.8</v>
      </c>
      <c r="E17">
        <v>2896.76</v>
      </c>
    </row>
    <row r="18" spans="1:5" x14ac:dyDescent="0.45">
      <c r="A18" s="35">
        <v>16</v>
      </c>
      <c r="B18">
        <v>20</v>
      </c>
      <c r="C18" t="s">
        <v>91</v>
      </c>
      <c r="D18">
        <v>2881.14</v>
      </c>
      <c r="E18">
        <v>2981.98</v>
      </c>
    </row>
    <row r="19" spans="1:5" x14ac:dyDescent="0.45">
      <c r="A19" s="35">
        <v>17</v>
      </c>
      <c r="B19">
        <v>20</v>
      </c>
      <c r="C19" t="s">
        <v>89</v>
      </c>
      <c r="D19">
        <v>2960.9</v>
      </c>
      <c r="E19">
        <v>3064.53</v>
      </c>
    </row>
    <row r="20" spans="1:5" x14ac:dyDescent="0.45">
      <c r="A20" s="35">
        <v>18</v>
      </c>
      <c r="B20">
        <v>25</v>
      </c>
      <c r="C20" t="s">
        <v>2189</v>
      </c>
      <c r="D20">
        <v>2455.1999999999998</v>
      </c>
      <c r="E20">
        <v>2541.13</v>
      </c>
    </row>
    <row r="21" spans="1:5" x14ac:dyDescent="0.45">
      <c r="A21" s="35">
        <v>19</v>
      </c>
      <c r="B21">
        <v>25</v>
      </c>
      <c r="C21" t="s">
        <v>111</v>
      </c>
      <c r="D21">
        <v>2511.31</v>
      </c>
      <c r="E21">
        <v>2599.21</v>
      </c>
    </row>
    <row r="22" spans="1:5" x14ac:dyDescent="0.45">
      <c r="A22" s="35">
        <v>20</v>
      </c>
      <c r="B22">
        <v>25</v>
      </c>
      <c r="C22" t="s">
        <v>101</v>
      </c>
      <c r="D22">
        <v>2573.4699999999998</v>
      </c>
      <c r="E22">
        <v>2663.54</v>
      </c>
    </row>
    <row r="23" spans="1:5" x14ac:dyDescent="0.45">
      <c r="A23" s="35">
        <v>21</v>
      </c>
      <c r="B23">
        <v>25</v>
      </c>
      <c r="C23" t="s">
        <v>99</v>
      </c>
      <c r="D23">
        <v>2643.39</v>
      </c>
      <c r="E23">
        <v>2735.91</v>
      </c>
    </row>
    <row r="24" spans="1:5" x14ac:dyDescent="0.45">
      <c r="A24" s="35">
        <v>22</v>
      </c>
      <c r="B24">
        <v>25</v>
      </c>
      <c r="C24" t="s">
        <v>97</v>
      </c>
      <c r="D24">
        <v>2716.43</v>
      </c>
      <c r="E24">
        <v>2811.51</v>
      </c>
    </row>
    <row r="25" spans="1:5" x14ac:dyDescent="0.45">
      <c r="A25" s="35">
        <v>23</v>
      </c>
      <c r="B25">
        <v>25</v>
      </c>
      <c r="C25" t="s">
        <v>95</v>
      </c>
      <c r="D25">
        <v>2798.8</v>
      </c>
      <c r="E25">
        <v>2896.76</v>
      </c>
    </row>
    <row r="26" spans="1:5" x14ac:dyDescent="0.45">
      <c r="A26" s="35">
        <v>24</v>
      </c>
      <c r="B26">
        <v>25</v>
      </c>
      <c r="C26" t="s">
        <v>93</v>
      </c>
      <c r="D26">
        <v>2881.14</v>
      </c>
      <c r="E26">
        <v>2981.98</v>
      </c>
    </row>
    <row r="27" spans="1:5" x14ac:dyDescent="0.45">
      <c r="A27" s="35">
        <v>25</v>
      </c>
      <c r="B27">
        <v>25</v>
      </c>
      <c r="C27" t="s">
        <v>91</v>
      </c>
      <c r="D27">
        <v>2960.9</v>
      </c>
      <c r="E27">
        <v>3064.53</v>
      </c>
    </row>
    <row r="28" spans="1:5" x14ac:dyDescent="0.45">
      <c r="A28" s="35">
        <v>26</v>
      </c>
      <c r="B28">
        <v>25</v>
      </c>
      <c r="C28" t="s">
        <v>89</v>
      </c>
      <c r="D28">
        <v>3050.6</v>
      </c>
      <c r="E28">
        <v>3157.37</v>
      </c>
    </row>
    <row r="29" spans="1:5" x14ac:dyDescent="0.45">
      <c r="A29" s="35">
        <v>27</v>
      </c>
      <c r="B29">
        <v>25</v>
      </c>
      <c r="C29" t="s">
        <v>87</v>
      </c>
      <c r="D29">
        <v>3124.01</v>
      </c>
      <c r="E29">
        <v>3233.35</v>
      </c>
    </row>
    <row r="30" spans="1:5" x14ac:dyDescent="0.45">
      <c r="A30" s="35">
        <v>28</v>
      </c>
      <c r="B30">
        <v>30</v>
      </c>
      <c r="C30" t="s">
        <v>2189</v>
      </c>
      <c r="D30">
        <v>2511.31</v>
      </c>
      <c r="E30">
        <v>2599.21</v>
      </c>
    </row>
    <row r="31" spans="1:5" x14ac:dyDescent="0.45">
      <c r="A31" s="35">
        <v>29</v>
      </c>
      <c r="B31">
        <v>30</v>
      </c>
      <c r="C31" t="s">
        <v>111</v>
      </c>
      <c r="D31">
        <v>2573.4699999999998</v>
      </c>
      <c r="E31">
        <v>2663.54</v>
      </c>
    </row>
    <row r="32" spans="1:5" x14ac:dyDescent="0.45">
      <c r="A32" s="35">
        <v>30</v>
      </c>
      <c r="B32">
        <v>30</v>
      </c>
      <c r="C32" t="s">
        <v>101</v>
      </c>
      <c r="D32">
        <v>2643.39</v>
      </c>
      <c r="E32">
        <v>2735.91</v>
      </c>
    </row>
    <row r="33" spans="1:5" x14ac:dyDescent="0.45">
      <c r="A33" s="35">
        <v>31</v>
      </c>
      <c r="B33">
        <v>30</v>
      </c>
      <c r="C33" t="s">
        <v>99</v>
      </c>
      <c r="D33">
        <v>2716.43</v>
      </c>
      <c r="E33">
        <v>2811.51</v>
      </c>
    </row>
    <row r="34" spans="1:5" x14ac:dyDescent="0.45">
      <c r="A34" s="35">
        <v>32</v>
      </c>
      <c r="B34">
        <v>30</v>
      </c>
      <c r="C34" t="s">
        <v>97</v>
      </c>
      <c r="D34">
        <v>2798.8</v>
      </c>
      <c r="E34">
        <v>2896.76</v>
      </c>
    </row>
    <row r="35" spans="1:5" x14ac:dyDescent="0.45">
      <c r="A35" s="35">
        <v>33</v>
      </c>
      <c r="B35">
        <v>30</v>
      </c>
      <c r="C35" t="s">
        <v>95</v>
      </c>
      <c r="D35">
        <v>2881.14</v>
      </c>
      <c r="E35">
        <v>2981.98</v>
      </c>
    </row>
    <row r="36" spans="1:5" x14ac:dyDescent="0.45">
      <c r="A36" s="35">
        <v>34</v>
      </c>
      <c r="B36">
        <v>30</v>
      </c>
      <c r="C36" t="s">
        <v>93</v>
      </c>
      <c r="D36">
        <v>2960.9</v>
      </c>
      <c r="E36">
        <v>3064.53</v>
      </c>
    </row>
    <row r="37" spans="1:5" x14ac:dyDescent="0.45">
      <c r="A37" s="35">
        <v>35</v>
      </c>
      <c r="B37">
        <v>30</v>
      </c>
      <c r="C37" t="s">
        <v>91</v>
      </c>
      <c r="D37">
        <v>3050.6</v>
      </c>
      <c r="E37">
        <v>3157.37</v>
      </c>
    </row>
    <row r="38" spans="1:5" x14ac:dyDescent="0.45">
      <c r="A38" s="35">
        <v>36</v>
      </c>
      <c r="B38">
        <v>30</v>
      </c>
      <c r="C38" t="s">
        <v>89</v>
      </c>
      <c r="D38">
        <v>3124.01</v>
      </c>
      <c r="E38">
        <v>3233.35</v>
      </c>
    </row>
    <row r="39" spans="1:5" x14ac:dyDescent="0.45">
      <c r="A39" s="35">
        <v>37</v>
      </c>
      <c r="B39">
        <v>30</v>
      </c>
      <c r="C39" t="s">
        <v>87</v>
      </c>
      <c r="D39">
        <v>3212.5</v>
      </c>
      <c r="E39">
        <v>3324.94</v>
      </c>
    </row>
    <row r="40" spans="1:5" x14ac:dyDescent="0.45">
      <c r="A40" s="35">
        <v>38</v>
      </c>
      <c r="B40">
        <v>30</v>
      </c>
      <c r="C40" t="s">
        <v>109</v>
      </c>
      <c r="D40">
        <v>3294.84</v>
      </c>
      <c r="E40">
        <v>3410.16</v>
      </c>
    </row>
    <row r="41" spans="1:5" x14ac:dyDescent="0.45">
      <c r="A41" s="35">
        <v>39</v>
      </c>
      <c r="B41">
        <v>35</v>
      </c>
      <c r="C41" t="s">
        <v>2189</v>
      </c>
      <c r="D41">
        <v>2573.4699999999998</v>
      </c>
      <c r="E41">
        <v>2663.54</v>
      </c>
    </row>
    <row r="42" spans="1:5" x14ac:dyDescent="0.45">
      <c r="A42" s="35">
        <v>40</v>
      </c>
      <c r="B42">
        <v>35</v>
      </c>
      <c r="C42" t="s">
        <v>111</v>
      </c>
      <c r="D42">
        <v>2643.39</v>
      </c>
      <c r="E42">
        <v>2735.91</v>
      </c>
    </row>
    <row r="43" spans="1:5" x14ac:dyDescent="0.45">
      <c r="A43" s="35">
        <v>41</v>
      </c>
      <c r="B43">
        <v>35</v>
      </c>
      <c r="C43" t="s">
        <v>101</v>
      </c>
      <c r="D43">
        <v>2716.43</v>
      </c>
      <c r="E43">
        <v>2811.51</v>
      </c>
    </row>
    <row r="44" spans="1:5" x14ac:dyDescent="0.45">
      <c r="A44" s="35">
        <v>42</v>
      </c>
      <c r="B44">
        <v>35</v>
      </c>
      <c r="C44" t="s">
        <v>99</v>
      </c>
      <c r="D44">
        <v>2798.8</v>
      </c>
      <c r="E44">
        <v>2896.76</v>
      </c>
    </row>
    <row r="45" spans="1:5" x14ac:dyDescent="0.45">
      <c r="A45" s="35">
        <v>43</v>
      </c>
      <c r="B45">
        <v>35</v>
      </c>
      <c r="C45" t="s">
        <v>97</v>
      </c>
      <c r="D45">
        <v>2881.14</v>
      </c>
      <c r="E45">
        <v>2981.98</v>
      </c>
    </row>
    <row r="46" spans="1:5" x14ac:dyDescent="0.45">
      <c r="A46" s="35">
        <v>44</v>
      </c>
      <c r="B46">
        <v>35</v>
      </c>
      <c r="C46" t="s">
        <v>95</v>
      </c>
      <c r="D46">
        <v>2960.9</v>
      </c>
      <c r="E46">
        <v>3064.53</v>
      </c>
    </row>
    <row r="47" spans="1:5" x14ac:dyDescent="0.45">
      <c r="A47" s="35">
        <v>45</v>
      </c>
      <c r="B47">
        <v>35</v>
      </c>
      <c r="C47" t="s">
        <v>93</v>
      </c>
      <c r="D47">
        <v>3050.6</v>
      </c>
      <c r="E47">
        <v>3157.37</v>
      </c>
    </row>
    <row r="48" spans="1:5" x14ac:dyDescent="0.45">
      <c r="A48" s="35">
        <v>46</v>
      </c>
      <c r="B48">
        <v>35</v>
      </c>
      <c r="C48" t="s">
        <v>91</v>
      </c>
      <c r="D48">
        <v>3124.01</v>
      </c>
      <c r="E48">
        <v>3233.35</v>
      </c>
    </row>
    <row r="49" spans="1:5" x14ac:dyDescent="0.45">
      <c r="A49" s="35">
        <v>47</v>
      </c>
      <c r="B49">
        <v>35</v>
      </c>
      <c r="C49" t="s">
        <v>89</v>
      </c>
      <c r="D49">
        <v>3212.5</v>
      </c>
      <c r="E49">
        <v>3324.94</v>
      </c>
    </row>
    <row r="50" spans="1:5" x14ac:dyDescent="0.45">
      <c r="A50" s="35">
        <v>48</v>
      </c>
      <c r="B50">
        <v>35</v>
      </c>
      <c r="C50" t="s">
        <v>87</v>
      </c>
      <c r="D50">
        <v>3294.84</v>
      </c>
      <c r="E50">
        <v>3410.16</v>
      </c>
    </row>
    <row r="51" spans="1:5" x14ac:dyDescent="0.45">
      <c r="A51" s="35">
        <v>49</v>
      </c>
      <c r="B51">
        <v>35</v>
      </c>
      <c r="C51" t="s">
        <v>109</v>
      </c>
      <c r="D51">
        <v>3384.01</v>
      </c>
      <c r="E51">
        <v>3502.45</v>
      </c>
    </row>
    <row r="52" spans="1:5" x14ac:dyDescent="0.45">
      <c r="A52" s="35">
        <v>50</v>
      </c>
      <c r="B52">
        <v>35</v>
      </c>
      <c r="C52" t="s">
        <v>107</v>
      </c>
      <c r="D52">
        <v>3471.46</v>
      </c>
      <c r="E52">
        <v>3592.96</v>
      </c>
    </row>
    <row r="53" spans="1:5" x14ac:dyDescent="0.45">
      <c r="A53" s="35">
        <v>51</v>
      </c>
      <c r="B53">
        <v>40</v>
      </c>
      <c r="C53" t="s">
        <v>2189</v>
      </c>
      <c r="D53">
        <v>2716.43</v>
      </c>
      <c r="E53">
        <v>2811.51</v>
      </c>
    </row>
    <row r="54" spans="1:5" x14ac:dyDescent="0.45">
      <c r="A54" s="35">
        <v>52</v>
      </c>
      <c r="B54">
        <v>40</v>
      </c>
      <c r="C54" t="s">
        <v>111</v>
      </c>
      <c r="D54">
        <v>2881.14</v>
      </c>
      <c r="E54">
        <v>2981.98</v>
      </c>
    </row>
    <row r="55" spans="1:5" x14ac:dyDescent="0.45">
      <c r="A55" s="35">
        <v>53</v>
      </c>
      <c r="B55">
        <v>40</v>
      </c>
      <c r="C55" t="s">
        <v>101</v>
      </c>
      <c r="D55">
        <v>3050.6</v>
      </c>
      <c r="E55">
        <v>3157.37</v>
      </c>
    </row>
    <row r="56" spans="1:5" x14ac:dyDescent="0.45">
      <c r="A56" s="35">
        <v>54</v>
      </c>
      <c r="B56">
        <v>40</v>
      </c>
      <c r="C56" t="s">
        <v>99</v>
      </c>
      <c r="D56">
        <v>3124.01</v>
      </c>
      <c r="E56">
        <v>3233.35</v>
      </c>
    </row>
    <row r="57" spans="1:5" x14ac:dyDescent="0.45">
      <c r="A57" s="35">
        <v>55</v>
      </c>
      <c r="B57">
        <v>40</v>
      </c>
      <c r="C57" t="s">
        <v>97</v>
      </c>
      <c r="D57">
        <v>3212.5</v>
      </c>
      <c r="E57">
        <v>3324.94</v>
      </c>
    </row>
    <row r="58" spans="1:5" x14ac:dyDescent="0.45">
      <c r="A58" s="35">
        <v>56</v>
      </c>
      <c r="B58">
        <v>40</v>
      </c>
      <c r="C58" t="s">
        <v>95</v>
      </c>
      <c r="D58">
        <v>3294.84</v>
      </c>
      <c r="E58">
        <v>3410.16</v>
      </c>
    </row>
    <row r="59" spans="1:5" x14ac:dyDescent="0.45">
      <c r="A59" s="35">
        <v>57</v>
      </c>
      <c r="B59">
        <v>40</v>
      </c>
      <c r="C59" t="s">
        <v>93</v>
      </c>
      <c r="D59">
        <v>3384.01</v>
      </c>
      <c r="E59">
        <v>3502.45</v>
      </c>
    </row>
    <row r="60" spans="1:5" x14ac:dyDescent="0.45">
      <c r="A60" s="35">
        <v>58</v>
      </c>
      <c r="B60">
        <v>40</v>
      </c>
      <c r="C60" t="s">
        <v>91</v>
      </c>
      <c r="D60">
        <v>3471.46</v>
      </c>
      <c r="E60">
        <v>3592.96</v>
      </c>
    </row>
    <row r="61" spans="1:5" x14ac:dyDescent="0.45">
      <c r="A61" s="35">
        <v>59</v>
      </c>
      <c r="B61">
        <v>40</v>
      </c>
      <c r="C61" t="s">
        <v>89</v>
      </c>
      <c r="D61">
        <v>3557.17</v>
      </c>
      <c r="E61">
        <v>3681.67</v>
      </c>
    </row>
    <row r="62" spans="1:5" x14ac:dyDescent="0.45">
      <c r="A62" s="35">
        <v>60</v>
      </c>
      <c r="B62">
        <v>40</v>
      </c>
      <c r="C62" t="s">
        <v>87</v>
      </c>
      <c r="D62">
        <v>3644.59</v>
      </c>
      <c r="E62">
        <v>3772.15</v>
      </c>
    </row>
    <row r="63" spans="1:5" x14ac:dyDescent="0.45">
      <c r="A63" s="35">
        <v>61</v>
      </c>
      <c r="B63">
        <v>40</v>
      </c>
      <c r="C63" t="s">
        <v>109</v>
      </c>
      <c r="D63">
        <v>3733.75</v>
      </c>
      <c r="E63">
        <v>3864.43</v>
      </c>
    </row>
    <row r="64" spans="1:5" x14ac:dyDescent="0.45">
      <c r="A64" s="35">
        <v>62</v>
      </c>
      <c r="B64">
        <v>45</v>
      </c>
      <c r="C64" t="s">
        <v>2189</v>
      </c>
      <c r="D64">
        <v>2881.14</v>
      </c>
      <c r="E64">
        <v>2981.98</v>
      </c>
    </row>
    <row r="65" spans="1:5" x14ac:dyDescent="0.45">
      <c r="A65" s="35">
        <v>63</v>
      </c>
      <c r="B65">
        <v>45</v>
      </c>
      <c r="C65" t="s">
        <v>2190</v>
      </c>
      <c r="D65">
        <v>3050.6</v>
      </c>
      <c r="E65">
        <v>3157.37</v>
      </c>
    </row>
    <row r="66" spans="1:5" x14ac:dyDescent="0.45">
      <c r="A66" s="35">
        <v>64</v>
      </c>
      <c r="B66">
        <v>45</v>
      </c>
      <c r="C66" t="s">
        <v>2191</v>
      </c>
      <c r="D66">
        <v>3212.5</v>
      </c>
      <c r="E66">
        <v>3324.94</v>
      </c>
    </row>
    <row r="67" spans="1:5" x14ac:dyDescent="0.45">
      <c r="A67" s="35">
        <v>65</v>
      </c>
      <c r="B67">
        <v>45</v>
      </c>
      <c r="C67" t="s">
        <v>113</v>
      </c>
      <c r="D67">
        <v>3384.01</v>
      </c>
      <c r="E67">
        <v>3502.45</v>
      </c>
    </row>
    <row r="68" spans="1:5" x14ac:dyDescent="0.45">
      <c r="A68" s="35">
        <v>66</v>
      </c>
      <c r="B68">
        <v>45</v>
      </c>
      <c r="C68" t="s">
        <v>111</v>
      </c>
      <c r="D68">
        <v>3471.46</v>
      </c>
      <c r="E68">
        <v>3592.96</v>
      </c>
    </row>
    <row r="69" spans="1:5" x14ac:dyDescent="0.45">
      <c r="A69" s="35">
        <v>67</v>
      </c>
      <c r="B69">
        <v>45</v>
      </c>
      <c r="C69" t="s">
        <v>101</v>
      </c>
      <c r="D69">
        <v>3557.17</v>
      </c>
      <c r="E69">
        <v>3681.67</v>
      </c>
    </row>
    <row r="70" spans="1:5" x14ac:dyDescent="0.45">
      <c r="A70" s="35">
        <v>68</v>
      </c>
      <c r="B70">
        <v>45</v>
      </c>
      <c r="C70" t="s">
        <v>99</v>
      </c>
      <c r="D70">
        <v>3644.59</v>
      </c>
      <c r="E70">
        <v>3772.15</v>
      </c>
    </row>
    <row r="71" spans="1:5" x14ac:dyDescent="0.45">
      <c r="A71" s="35">
        <v>69</v>
      </c>
      <c r="B71">
        <v>45</v>
      </c>
      <c r="C71" t="s">
        <v>97</v>
      </c>
      <c r="D71">
        <v>3733.75</v>
      </c>
      <c r="E71">
        <v>3864.43</v>
      </c>
    </row>
    <row r="72" spans="1:5" x14ac:dyDescent="0.45">
      <c r="A72" s="35">
        <v>70</v>
      </c>
      <c r="B72">
        <v>45</v>
      </c>
      <c r="C72" t="s">
        <v>95</v>
      </c>
      <c r="D72">
        <v>3824.58</v>
      </c>
      <c r="E72">
        <v>3958.44</v>
      </c>
    </row>
    <row r="73" spans="1:5" x14ac:dyDescent="0.45">
      <c r="A73" s="35">
        <v>71</v>
      </c>
      <c r="B73">
        <v>45</v>
      </c>
      <c r="C73" t="s">
        <v>93</v>
      </c>
      <c r="D73">
        <v>3918.86</v>
      </c>
      <c r="E73">
        <v>4056.02</v>
      </c>
    </row>
    <row r="74" spans="1:5" x14ac:dyDescent="0.45">
      <c r="A74" s="35">
        <v>72</v>
      </c>
      <c r="B74">
        <v>45</v>
      </c>
      <c r="C74" t="s">
        <v>91</v>
      </c>
      <c r="D74">
        <v>4016.62</v>
      </c>
      <c r="E74">
        <v>4157.2</v>
      </c>
    </row>
    <row r="75" spans="1:5" x14ac:dyDescent="0.45">
      <c r="A75" s="35">
        <v>73</v>
      </c>
      <c r="B75">
        <v>45</v>
      </c>
      <c r="C75" t="s">
        <v>89</v>
      </c>
      <c r="D75">
        <v>4102.26</v>
      </c>
      <c r="E75">
        <v>4245.84</v>
      </c>
    </row>
    <row r="76" spans="1:5" x14ac:dyDescent="0.45">
      <c r="A76" s="35">
        <v>74</v>
      </c>
      <c r="B76">
        <v>50</v>
      </c>
      <c r="C76" t="s">
        <v>2189</v>
      </c>
      <c r="D76">
        <v>3212.5</v>
      </c>
      <c r="E76">
        <v>3324.94</v>
      </c>
    </row>
    <row r="77" spans="1:5" x14ac:dyDescent="0.45">
      <c r="A77" s="35">
        <v>75</v>
      </c>
      <c r="B77">
        <v>50</v>
      </c>
      <c r="C77" t="s">
        <v>2191</v>
      </c>
      <c r="D77">
        <v>3384.01</v>
      </c>
      <c r="E77">
        <v>3502.45</v>
      </c>
    </row>
    <row r="78" spans="1:5" x14ac:dyDescent="0.45">
      <c r="A78" s="35">
        <v>76</v>
      </c>
      <c r="B78">
        <v>50</v>
      </c>
      <c r="C78" t="s">
        <v>113</v>
      </c>
      <c r="D78">
        <v>3471.46</v>
      </c>
      <c r="E78">
        <v>3592.96</v>
      </c>
    </row>
    <row r="79" spans="1:5" x14ac:dyDescent="0.45">
      <c r="A79" s="35">
        <v>77</v>
      </c>
      <c r="B79">
        <v>50</v>
      </c>
      <c r="C79" t="s">
        <v>111</v>
      </c>
      <c r="D79">
        <v>3644.59</v>
      </c>
      <c r="E79">
        <v>3772.15</v>
      </c>
    </row>
    <row r="80" spans="1:5" x14ac:dyDescent="0.45">
      <c r="A80" s="35">
        <v>78</v>
      </c>
      <c r="B80">
        <v>50</v>
      </c>
      <c r="C80" t="s">
        <v>101</v>
      </c>
      <c r="D80">
        <v>3824.58</v>
      </c>
      <c r="E80">
        <v>3958.44</v>
      </c>
    </row>
    <row r="81" spans="1:5" x14ac:dyDescent="0.45">
      <c r="A81" s="35">
        <v>79</v>
      </c>
      <c r="B81">
        <v>50</v>
      </c>
      <c r="C81" t="s">
        <v>99</v>
      </c>
      <c r="D81">
        <v>4016.62</v>
      </c>
      <c r="E81">
        <v>4157.2</v>
      </c>
    </row>
    <row r="82" spans="1:5" x14ac:dyDescent="0.45">
      <c r="A82" s="35">
        <v>80</v>
      </c>
      <c r="B82">
        <v>50</v>
      </c>
      <c r="C82" t="s">
        <v>97</v>
      </c>
      <c r="D82">
        <v>4102.26</v>
      </c>
      <c r="E82">
        <v>4245.84</v>
      </c>
    </row>
    <row r="83" spans="1:5" x14ac:dyDescent="0.45">
      <c r="A83" s="35">
        <v>81</v>
      </c>
      <c r="B83">
        <v>50</v>
      </c>
      <c r="C83" t="s">
        <v>95</v>
      </c>
      <c r="D83">
        <v>4198.28</v>
      </c>
      <c r="E83">
        <v>4345.22</v>
      </c>
    </row>
    <row r="84" spans="1:5" x14ac:dyDescent="0.45">
      <c r="A84" s="35">
        <v>82</v>
      </c>
      <c r="B84">
        <v>50</v>
      </c>
      <c r="C84" t="s">
        <v>93</v>
      </c>
      <c r="D84">
        <v>4292.6099999999997</v>
      </c>
      <c r="E84">
        <v>4442.8500000000004</v>
      </c>
    </row>
    <row r="85" spans="1:5" x14ac:dyDescent="0.45">
      <c r="A85" s="35">
        <v>83</v>
      </c>
      <c r="B85">
        <v>50</v>
      </c>
      <c r="C85" t="s">
        <v>91</v>
      </c>
      <c r="D85">
        <v>4381.75</v>
      </c>
      <c r="E85">
        <v>4535.1099999999997</v>
      </c>
    </row>
    <row r="86" spans="1:5" x14ac:dyDescent="0.45">
      <c r="A86" s="35">
        <v>84</v>
      </c>
      <c r="B86">
        <v>50</v>
      </c>
      <c r="C86" t="s">
        <v>89</v>
      </c>
      <c r="D86">
        <v>4470.82</v>
      </c>
      <c r="E86">
        <v>4627.3</v>
      </c>
    </row>
    <row r="87" spans="1:5" x14ac:dyDescent="0.45">
      <c r="A87" s="35">
        <v>85</v>
      </c>
      <c r="B87">
        <v>50</v>
      </c>
      <c r="C87" t="s">
        <v>87</v>
      </c>
      <c r="D87">
        <v>4565.13</v>
      </c>
      <c r="E87">
        <v>4724.91</v>
      </c>
    </row>
    <row r="88" spans="1:5" x14ac:dyDescent="0.45">
      <c r="A88" s="35">
        <v>86</v>
      </c>
      <c r="B88">
        <v>50</v>
      </c>
      <c r="C88" t="s">
        <v>109</v>
      </c>
      <c r="D88">
        <v>4659.42</v>
      </c>
      <c r="E88">
        <v>4822.5</v>
      </c>
    </row>
    <row r="89" spans="1:5" x14ac:dyDescent="0.45">
      <c r="A89" s="35">
        <v>87</v>
      </c>
      <c r="B89">
        <v>55</v>
      </c>
      <c r="C89" t="s">
        <v>2189</v>
      </c>
      <c r="D89">
        <v>3471.46</v>
      </c>
      <c r="E89">
        <v>3592.96</v>
      </c>
    </row>
    <row r="90" spans="1:5" x14ac:dyDescent="0.45">
      <c r="A90" s="35">
        <v>88</v>
      </c>
      <c r="B90">
        <v>55</v>
      </c>
      <c r="C90" t="s">
        <v>113</v>
      </c>
      <c r="D90">
        <v>3644.59</v>
      </c>
      <c r="E90">
        <v>3772.15</v>
      </c>
    </row>
    <row r="91" spans="1:5" x14ac:dyDescent="0.45">
      <c r="A91" s="35">
        <v>89</v>
      </c>
      <c r="B91">
        <v>55</v>
      </c>
      <c r="C91" t="s">
        <v>111</v>
      </c>
      <c r="D91">
        <v>3918.86</v>
      </c>
      <c r="E91">
        <v>4056.02</v>
      </c>
    </row>
    <row r="92" spans="1:5" x14ac:dyDescent="0.45">
      <c r="A92" s="35">
        <v>90</v>
      </c>
      <c r="B92">
        <v>55</v>
      </c>
      <c r="C92" t="s">
        <v>101</v>
      </c>
      <c r="D92">
        <v>4102.26</v>
      </c>
      <c r="E92">
        <v>4245.84</v>
      </c>
    </row>
    <row r="93" spans="1:5" x14ac:dyDescent="0.45">
      <c r="A93" s="35">
        <v>91</v>
      </c>
      <c r="B93">
        <v>55</v>
      </c>
      <c r="C93" t="s">
        <v>99</v>
      </c>
      <c r="D93">
        <v>4292.6099999999997</v>
      </c>
      <c r="E93">
        <v>4442.8500000000004</v>
      </c>
    </row>
    <row r="94" spans="1:5" x14ac:dyDescent="0.45">
      <c r="A94" s="35">
        <v>92</v>
      </c>
      <c r="B94">
        <v>55</v>
      </c>
      <c r="C94" t="s">
        <v>97</v>
      </c>
      <c r="D94">
        <v>4470.82</v>
      </c>
      <c r="E94">
        <v>4627.3</v>
      </c>
    </row>
    <row r="95" spans="1:5" x14ac:dyDescent="0.45">
      <c r="A95" s="35">
        <v>93</v>
      </c>
      <c r="B95">
        <v>55</v>
      </c>
      <c r="C95" t="s">
        <v>95</v>
      </c>
      <c r="D95">
        <v>4659.42</v>
      </c>
      <c r="E95">
        <v>4822.5</v>
      </c>
    </row>
    <row r="96" spans="1:5" x14ac:dyDescent="0.45">
      <c r="A96" s="35">
        <v>94</v>
      </c>
      <c r="B96">
        <v>55</v>
      </c>
      <c r="C96" t="s">
        <v>93</v>
      </c>
      <c r="D96">
        <v>4746.8999999999996</v>
      </c>
      <c r="E96">
        <v>4913.04</v>
      </c>
    </row>
    <row r="97" spans="1:5" x14ac:dyDescent="0.45">
      <c r="A97" s="35">
        <v>95</v>
      </c>
      <c r="B97">
        <v>55</v>
      </c>
      <c r="C97" t="s">
        <v>91</v>
      </c>
      <c r="D97">
        <v>4834.28</v>
      </c>
      <c r="E97">
        <v>5003.4799999999996</v>
      </c>
    </row>
    <row r="98" spans="1:5" x14ac:dyDescent="0.45">
      <c r="A98" s="35">
        <v>96</v>
      </c>
      <c r="B98">
        <v>55</v>
      </c>
      <c r="C98" t="s">
        <v>89</v>
      </c>
      <c r="D98">
        <v>4935.4799999999996</v>
      </c>
      <c r="E98">
        <v>5108.22</v>
      </c>
    </row>
    <row r="99" spans="1:5" x14ac:dyDescent="0.45">
      <c r="A99" s="35">
        <v>97</v>
      </c>
      <c r="B99">
        <v>55</v>
      </c>
      <c r="C99" t="s">
        <v>87</v>
      </c>
      <c r="D99">
        <v>5038.32</v>
      </c>
      <c r="E99">
        <v>5214.66</v>
      </c>
    </row>
    <row r="100" spans="1:5" x14ac:dyDescent="0.45">
      <c r="A100" s="35">
        <v>98</v>
      </c>
      <c r="B100">
        <v>55</v>
      </c>
      <c r="C100" t="s">
        <v>109</v>
      </c>
      <c r="D100">
        <v>5139.46</v>
      </c>
      <c r="E100">
        <v>5319.34</v>
      </c>
    </row>
    <row r="101" spans="1:5" x14ac:dyDescent="0.45">
      <c r="A101" s="35">
        <v>99</v>
      </c>
      <c r="B101">
        <v>55</v>
      </c>
      <c r="C101" t="s">
        <v>107</v>
      </c>
      <c r="D101">
        <v>5230.32</v>
      </c>
      <c r="E101">
        <v>5413.38</v>
      </c>
    </row>
    <row r="102" spans="1:5" x14ac:dyDescent="0.45">
      <c r="A102" s="35">
        <v>100</v>
      </c>
      <c r="B102">
        <v>60</v>
      </c>
      <c r="C102" t="s">
        <v>2190</v>
      </c>
      <c r="D102">
        <v>4016.62</v>
      </c>
      <c r="E102">
        <v>4157.2</v>
      </c>
    </row>
    <row r="103" spans="1:5" x14ac:dyDescent="0.45">
      <c r="A103" s="35">
        <v>101</v>
      </c>
      <c r="B103">
        <v>60</v>
      </c>
      <c r="C103" t="s">
        <v>2191</v>
      </c>
      <c r="D103">
        <v>4198.28</v>
      </c>
      <c r="E103">
        <v>4345.22</v>
      </c>
    </row>
    <row r="104" spans="1:5" x14ac:dyDescent="0.45">
      <c r="A104" s="35">
        <v>102</v>
      </c>
      <c r="B104">
        <v>60</v>
      </c>
      <c r="C104" t="s">
        <v>113</v>
      </c>
      <c r="D104">
        <v>4470.82</v>
      </c>
      <c r="E104">
        <v>4627.3</v>
      </c>
    </row>
    <row r="105" spans="1:5" x14ac:dyDescent="0.45">
      <c r="A105" s="35">
        <v>103</v>
      </c>
      <c r="B105">
        <v>60</v>
      </c>
      <c r="C105" t="s">
        <v>111</v>
      </c>
      <c r="D105">
        <v>4659.42</v>
      </c>
      <c r="E105">
        <v>4822.5</v>
      </c>
    </row>
    <row r="106" spans="1:5" x14ac:dyDescent="0.45">
      <c r="A106" s="35">
        <v>104</v>
      </c>
      <c r="B106">
        <v>60</v>
      </c>
      <c r="C106" t="s">
        <v>101</v>
      </c>
      <c r="D106">
        <v>4834.28</v>
      </c>
      <c r="E106">
        <v>5003.4799999999996</v>
      </c>
    </row>
    <row r="107" spans="1:5" x14ac:dyDescent="0.45">
      <c r="A107" s="35">
        <v>105</v>
      </c>
      <c r="B107">
        <v>60</v>
      </c>
      <c r="C107" t="s">
        <v>99</v>
      </c>
      <c r="D107">
        <v>5038.32</v>
      </c>
      <c r="E107">
        <v>5214.66</v>
      </c>
    </row>
    <row r="108" spans="1:5" x14ac:dyDescent="0.45">
      <c r="A108" s="35">
        <v>106</v>
      </c>
      <c r="B108">
        <v>60</v>
      </c>
      <c r="C108" t="s">
        <v>97</v>
      </c>
      <c r="D108">
        <v>5230.32</v>
      </c>
      <c r="E108">
        <v>5413.38</v>
      </c>
    </row>
    <row r="109" spans="1:5" x14ac:dyDescent="0.45">
      <c r="A109" s="35">
        <v>107</v>
      </c>
      <c r="B109">
        <v>60</v>
      </c>
      <c r="C109" t="s">
        <v>95</v>
      </c>
      <c r="D109">
        <v>5427.49</v>
      </c>
      <c r="E109">
        <v>5617.45</v>
      </c>
    </row>
    <row r="110" spans="1:5" x14ac:dyDescent="0.45">
      <c r="A110" s="35">
        <v>108</v>
      </c>
      <c r="B110">
        <v>60</v>
      </c>
      <c r="C110" t="s">
        <v>93</v>
      </c>
      <c r="D110">
        <v>5617.74</v>
      </c>
      <c r="E110">
        <v>5814.36</v>
      </c>
    </row>
    <row r="111" spans="1:5" x14ac:dyDescent="0.45">
      <c r="A111" s="35">
        <v>109</v>
      </c>
      <c r="B111">
        <v>60</v>
      </c>
      <c r="C111" t="s">
        <v>91</v>
      </c>
      <c r="D111">
        <v>5701.76</v>
      </c>
      <c r="E111">
        <v>5901.32</v>
      </c>
    </row>
    <row r="112" spans="1:5" x14ac:dyDescent="0.45">
      <c r="A112" s="35">
        <v>110</v>
      </c>
      <c r="B112">
        <v>60</v>
      </c>
      <c r="C112" t="s">
        <v>89</v>
      </c>
      <c r="D112">
        <v>5787.48</v>
      </c>
      <c r="E112">
        <v>5990.04</v>
      </c>
    </row>
    <row r="113" spans="1:5" x14ac:dyDescent="0.45">
      <c r="A113" s="35">
        <v>111</v>
      </c>
      <c r="B113">
        <v>60</v>
      </c>
      <c r="C113" t="s">
        <v>87</v>
      </c>
      <c r="D113">
        <v>5876.59</v>
      </c>
      <c r="E113">
        <v>6082.27</v>
      </c>
    </row>
    <row r="114" spans="1:5" x14ac:dyDescent="0.45">
      <c r="A114" s="35">
        <v>112</v>
      </c>
      <c r="B114">
        <v>60</v>
      </c>
      <c r="C114" t="s">
        <v>109</v>
      </c>
      <c r="D114">
        <v>5962.34</v>
      </c>
      <c r="E114">
        <v>6171.02</v>
      </c>
    </row>
    <row r="115" spans="1:5" x14ac:dyDescent="0.45">
      <c r="A115" s="35">
        <v>113</v>
      </c>
      <c r="B115">
        <v>65</v>
      </c>
      <c r="C115" t="s">
        <v>2190</v>
      </c>
      <c r="D115">
        <v>4659.42</v>
      </c>
      <c r="E115">
        <v>4822.5</v>
      </c>
    </row>
    <row r="116" spans="1:5" x14ac:dyDescent="0.45">
      <c r="A116" s="35">
        <v>114</v>
      </c>
      <c r="B116">
        <v>65</v>
      </c>
      <c r="C116" t="s">
        <v>2191</v>
      </c>
      <c r="D116">
        <v>4834.28</v>
      </c>
      <c r="E116">
        <v>5003.4799999999996</v>
      </c>
    </row>
    <row r="117" spans="1:5" x14ac:dyDescent="0.45">
      <c r="A117" s="35">
        <v>115</v>
      </c>
      <c r="B117">
        <v>65</v>
      </c>
      <c r="C117" t="s">
        <v>113</v>
      </c>
      <c r="D117">
        <v>5038.32</v>
      </c>
      <c r="E117">
        <v>5214.66</v>
      </c>
    </row>
    <row r="118" spans="1:5" x14ac:dyDescent="0.45">
      <c r="A118" s="35">
        <v>116</v>
      </c>
      <c r="B118">
        <v>65</v>
      </c>
      <c r="C118" t="s">
        <v>111</v>
      </c>
      <c r="D118">
        <v>5230.32</v>
      </c>
      <c r="E118">
        <v>5413.38</v>
      </c>
    </row>
    <row r="119" spans="1:5" x14ac:dyDescent="0.45">
      <c r="A119" s="35">
        <v>117</v>
      </c>
      <c r="B119">
        <v>65</v>
      </c>
      <c r="C119" t="s">
        <v>101</v>
      </c>
      <c r="D119">
        <v>5331.45</v>
      </c>
      <c r="E119">
        <v>5518.05</v>
      </c>
    </row>
    <row r="120" spans="1:5" x14ac:dyDescent="0.45">
      <c r="A120" s="35">
        <v>118</v>
      </c>
      <c r="B120">
        <v>65</v>
      </c>
      <c r="C120" t="s">
        <v>99</v>
      </c>
      <c r="D120">
        <v>5427.49</v>
      </c>
      <c r="E120">
        <v>5617.45</v>
      </c>
    </row>
    <row r="121" spans="1:5" x14ac:dyDescent="0.45">
      <c r="A121" s="35">
        <v>119</v>
      </c>
      <c r="B121">
        <v>65</v>
      </c>
      <c r="C121" t="s">
        <v>97</v>
      </c>
      <c r="D121">
        <v>5525.21</v>
      </c>
      <c r="E121">
        <v>5718.59</v>
      </c>
    </row>
    <row r="122" spans="1:5" x14ac:dyDescent="0.45">
      <c r="A122" s="35">
        <v>120</v>
      </c>
      <c r="B122">
        <v>65</v>
      </c>
      <c r="C122" t="s">
        <v>95</v>
      </c>
      <c r="D122">
        <v>5617.74</v>
      </c>
      <c r="E122">
        <v>5814.36</v>
      </c>
    </row>
    <row r="123" spans="1:5" x14ac:dyDescent="0.45">
      <c r="A123" s="35">
        <v>121</v>
      </c>
      <c r="B123">
        <v>65</v>
      </c>
      <c r="C123" t="s">
        <v>93</v>
      </c>
      <c r="D123">
        <v>5787.48</v>
      </c>
      <c r="E123">
        <v>5990.04</v>
      </c>
    </row>
    <row r="124" spans="1:5" x14ac:dyDescent="0.45">
      <c r="A124" s="35">
        <v>122</v>
      </c>
      <c r="B124">
        <v>65</v>
      </c>
      <c r="C124" t="s">
        <v>91</v>
      </c>
      <c r="D124">
        <v>5962.34</v>
      </c>
      <c r="E124">
        <v>6171.02</v>
      </c>
    </row>
    <row r="125" spans="1:5" x14ac:dyDescent="0.45">
      <c r="A125" s="35">
        <v>123</v>
      </c>
      <c r="B125">
        <v>65</v>
      </c>
      <c r="C125" t="s">
        <v>89</v>
      </c>
      <c r="D125">
        <v>6138.9</v>
      </c>
      <c r="E125">
        <v>6353.76</v>
      </c>
    </row>
    <row r="126" spans="1:5" x14ac:dyDescent="0.45">
      <c r="A126" s="35">
        <v>124</v>
      </c>
      <c r="B126">
        <v>65</v>
      </c>
      <c r="C126" t="s">
        <v>87</v>
      </c>
      <c r="D126">
        <v>6313.73</v>
      </c>
      <c r="E126">
        <v>6534.71</v>
      </c>
    </row>
    <row r="127" spans="1:5" x14ac:dyDescent="0.45">
      <c r="A127" s="35">
        <v>125</v>
      </c>
      <c r="B127">
        <v>65</v>
      </c>
      <c r="C127" t="s">
        <v>109</v>
      </c>
      <c r="D127">
        <v>6490.32</v>
      </c>
      <c r="E127">
        <v>6717.48</v>
      </c>
    </row>
    <row r="128" spans="1:5" x14ac:dyDescent="0.45">
      <c r="A128" s="35">
        <v>126</v>
      </c>
      <c r="B128">
        <v>65</v>
      </c>
      <c r="C128" t="s">
        <v>107</v>
      </c>
      <c r="D128">
        <v>6666.89</v>
      </c>
      <c r="E128">
        <v>6900.23</v>
      </c>
    </row>
    <row r="129" spans="1:5" x14ac:dyDescent="0.45">
      <c r="A129" s="35">
        <v>127</v>
      </c>
      <c r="B129">
        <v>65</v>
      </c>
      <c r="C129" t="s">
        <v>105</v>
      </c>
      <c r="D129">
        <v>6752.61</v>
      </c>
      <c r="E129">
        <v>6988.95</v>
      </c>
    </row>
    <row r="130" spans="1:5" x14ac:dyDescent="0.45">
      <c r="A130" s="35">
        <v>128</v>
      </c>
      <c r="B130">
        <v>65</v>
      </c>
      <c r="C130" t="s">
        <v>103</v>
      </c>
      <c r="D130">
        <v>6840.02</v>
      </c>
      <c r="E130">
        <v>7079.42</v>
      </c>
    </row>
    <row r="131" spans="1:5" x14ac:dyDescent="0.45">
      <c r="A131" s="35">
        <v>129</v>
      </c>
      <c r="B131">
        <v>65</v>
      </c>
      <c r="C131" t="s">
        <v>1286</v>
      </c>
      <c r="D131">
        <v>6930.89</v>
      </c>
      <c r="E131">
        <v>7173.47</v>
      </c>
    </row>
    <row r="132" spans="1:5" x14ac:dyDescent="0.45">
      <c r="A132" s="35">
        <v>130</v>
      </c>
      <c r="B132">
        <v>65</v>
      </c>
      <c r="C132" t="s">
        <v>1287</v>
      </c>
      <c r="D132">
        <v>7018.3</v>
      </c>
      <c r="E132">
        <v>7263.94</v>
      </c>
    </row>
    <row r="133" spans="1:5" x14ac:dyDescent="0.45">
      <c r="A133" s="35">
        <v>131</v>
      </c>
      <c r="B133">
        <v>70</v>
      </c>
      <c r="C133" t="s">
        <v>2190</v>
      </c>
      <c r="D133">
        <v>5617.74</v>
      </c>
      <c r="E133">
        <v>5814.36</v>
      </c>
    </row>
    <row r="134" spans="1:5" x14ac:dyDescent="0.45">
      <c r="A134" s="35">
        <v>132</v>
      </c>
      <c r="B134">
        <v>70</v>
      </c>
      <c r="C134" t="s">
        <v>2191</v>
      </c>
      <c r="D134">
        <v>5787.48</v>
      </c>
      <c r="E134">
        <v>5990.04</v>
      </c>
    </row>
    <row r="135" spans="1:5" x14ac:dyDescent="0.45">
      <c r="A135" s="35">
        <v>133</v>
      </c>
      <c r="B135">
        <v>70</v>
      </c>
      <c r="C135" t="s">
        <v>113</v>
      </c>
      <c r="D135">
        <v>5962.34</v>
      </c>
      <c r="E135">
        <v>6171.02</v>
      </c>
    </row>
    <row r="136" spans="1:5" x14ac:dyDescent="0.45">
      <c r="A136" s="35">
        <v>134</v>
      </c>
      <c r="B136">
        <v>70</v>
      </c>
      <c r="C136" t="s">
        <v>111</v>
      </c>
      <c r="D136">
        <v>6138.9</v>
      </c>
      <c r="E136">
        <v>6353.76</v>
      </c>
    </row>
    <row r="137" spans="1:5" x14ac:dyDescent="0.45">
      <c r="A137" s="35">
        <v>135</v>
      </c>
      <c r="B137">
        <v>70</v>
      </c>
      <c r="C137" t="s">
        <v>101</v>
      </c>
      <c r="D137">
        <v>6228.03</v>
      </c>
      <c r="E137">
        <v>6446.01</v>
      </c>
    </row>
    <row r="138" spans="1:5" x14ac:dyDescent="0.45">
      <c r="A138" s="35">
        <v>136</v>
      </c>
      <c r="B138">
        <v>70</v>
      </c>
      <c r="C138" t="s">
        <v>99</v>
      </c>
      <c r="D138">
        <v>6313.73</v>
      </c>
      <c r="E138">
        <v>6534.71</v>
      </c>
    </row>
    <row r="139" spans="1:5" x14ac:dyDescent="0.45">
      <c r="A139" s="35">
        <v>137</v>
      </c>
      <c r="B139">
        <v>70</v>
      </c>
      <c r="C139" t="s">
        <v>97</v>
      </c>
      <c r="D139">
        <v>6404.59</v>
      </c>
      <c r="E139">
        <v>6628.75</v>
      </c>
    </row>
    <row r="140" spans="1:5" x14ac:dyDescent="0.45">
      <c r="A140" s="35">
        <v>138</v>
      </c>
      <c r="B140">
        <v>70</v>
      </c>
      <c r="C140" t="s">
        <v>95</v>
      </c>
      <c r="D140">
        <v>6666.89</v>
      </c>
      <c r="E140">
        <v>6900.23</v>
      </c>
    </row>
    <row r="141" spans="1:5" x14ac:dyDescent="0.45">
      <c r="A141" s="35">
        <v>139</v>
      </c>
      <c r="B141">
        <v>70</v>
      </c>
      <c r="C141" t="s">
        <v>93</v>
      </c>
      <c r="D141">
        <v>6930.89</v>
      </c>
      <c r="E141">
        <v>7173.47</v>
      </c>
    </row>
    <row r="142" spans="1:5" x14ac:dyDescent="0.45">
      <c r="A142" s="35">
        <v>140</v>
      </c>
      <c r="B142">
        <v>70</v>
      </c>
      <c r="C142" t="s">
        <v>91</v>
      </c>
      <c r="D142">
        <v>7107.79</v>
      </c>
      <c r="E142">
        <v>7356.56</v>
      </c>
    </row>
    <row r="143" spans="1:5" x14ac:dyDescent="0.45">
      <c r="A143" s="35">
        <v>141</v>
      </c>
      <c r="B143">
        <v>70</v>
      </c>
      <c r="C143" t="s">
        <v>89</v>
      </c>
      <c r="D143">
        <v>7282.19</v>
      </c>
      <c r="E143">
        <v>7537.07</v>
      </c>
    </row>
    <row r="144" spans="1:5" x14ac:dyDescent="0.45">
      <c r="A144" s="35">
        <v>142</v>
      </c>
      <c r="B144">
        <v>70</v>
      </c>
      <c r="C144" t="s">
        <v>87</v>
      </c>
      <c r="D144">
        <v>7497.34</v>
      </c>
      <c r="E144">
        <v>7759.75</v>
      </c>
    </row>
    <row r="145" spans="1:5" x14ac:dyDescent="0.45">
      <c r="A145" s="35">
        <v>143</v>
      </c>
      <c r="B145">
        <v>70</v>
      </c>
      <c r="C145" t="s">
        <v>109</v>
      </c>
      <c r="D145">
        <v>7715.77</v>
      </c>
      <c r="E145">
        <v>7985.82</v>
      </c>
    </row>
    <row r="146" spans="1:5" x14ac:dyDescent="0.45">
      <c r="A146" s="35">
        <v>144</v>
      </c>
      <c r="B146">
        <v>70</v>
      </c>
      <c r="C146" t="s">
        <v>107</v>
      </c>
      <c r="D146">
        <v>7932.55</v>
      </c>
      <c r="E146">
        <v>8210.19</v>
      </c>
    </row>
    <row r="147" spans="1:5" x14ac:dyDescent="0.45">
      <c r="A147" s="35">
        <v>145</v>
      </c>
      <c r="B147">
        <v>70</v>
      </c>
      <c r="C147" t="s">
        <v>105</v>
      </c>
      <c r="D147">
        <v>8039.23</v>
      </c>
      <c r="E147">
        <v>8320.6</v>
      </c>
    </row>
    <row r="148" spans="1:5" x14ac:dyDescent="0.45">
      <c r="A148" s="35">
        <v>146</v>
      </c>
      <c r="B148">
        <v>70</v>
      </c>
      <c r="C148" t="s">
        <v>103</v>
      </c>
      <c r="D148">
        <v>8150.99</v>
      </c>
      <c r="E148">
        <v>8436.27</v>
      </c>
    </row>
    <row r="149" spans="1:5" x14ac:dyDescent="0.45">
      <c r="A149" s="35">
        <v>147</v>
      </c>
      <c r="B149">
        <v>70</v>
      </c>
      <c r="C149" t="s">
        <v>1286</v>
      </c>
      <c r="D149">
        <v>8259.39</v>
      </c>
      <c r="E149">
        <v>8548.4699999999993</v>
      </c>
    </row>
    <row r="150" spans="1:5" x14ac:dyDescent="0.45">
      <c r="A150" s="35">
        <v>148</v>
      </c>
      <c r="B150">
        <v>70</v>
      </c>
      <c r="C150" t="s">
        <v>1287</v>
      </c>
      <c r="D150">
        <v>8367.7999999999993</v>
      </c>
      <c r="E150">
        <v>8660.67</v>
      </c>
    </row>
    <row r="151" spans="1:5" x14ac:dyDescent="0.45">
      <c r="A151" s="35">
        <v>149</v>
      </c>
      <c r="B151">
        <v>75</v>
      </c>
      <c r="C151" t="s">
        <v>2190</v>
      </c>
      <c r="D151">
        <v>6490.32</v>
      </c>
      <c r="E151">
        <v>6717.48</v>
      </c>
    </row>
    <row r="152" spans="1:5" x14ac:dyDescent="0.45">
      <c r="A152" s="35">
        <v>150</v>
      </c>
      <c r="B152">
        <v>75</v>
      </c>
      <c r="C152" t="s">
        <v>2191</v>
      </c>
      <c r="D152">
        <v>6666.89</v>
      </c>
      <c r="E152">
        <v>6900.23</v>
      </c>
    </row>
    <row r="153" spans="1:5" x14ac:dyDescent="0.45">
      <c r="A153" s="35">
        <v>151</v>
      </c>
      <c r="B153">
        <v>75</v>
      </c>
      <c r="C153" t="s">
        <v>113</v>
      </c>
      <c r="D153">
        <v>6840.02</v>
      </c>
      <c r="E153">
        <v>7079.42</v>
      </c>
    </row>
    <row r="154" spans="1:5" x14ac:dyDescent="0.45">
      <c r="A154" s="35">
        <v>152</v>
      </c>
      <c r="B154">
        <v>75</v>
      </c>
      <c r="C154" t="s">
        <v>111</v>
      </c>
      <c r="D154">
        <v>7018.3</v>
      </c>
      <c r="E154">
        <v>7263.94</v>
      </c>
    </row>
    <row r="155" spans="1:5" x14ac:dyDescent="0.45">
      <c r="A155" s="35">
        <v>153</v>
      </c>
      <c r="B155">
        <v>75</v>
      </c>
      <c r="C155" t="s">
        <v>101</v>
      </c>
      <c r="D155">
        <v>7107.79</v>
      </c>
      <c r="E155">
        <v>7356.56</v>
      </c>
    </row>
    <row r="156" spans="1:5" x14ac:dyDescent="0.45">
      <c r="A156" s="35">
        <v>154</v>
      </c>
      <c r="B156">
        <v>75</v>
      </c>
      <c r="C156" t="s">
        <v>99</v>
      </c>
      <c r="D156">
        <v>7192.46</v>
      </c>
      <c r="E156">
        <v>7444.2</v>
      </c>
    </row>
    <row r="157" spans="1:5" x14ac:dyDescent="0.45">
      <c r="A157" s="35">
        <v>155</v>
      </c>
      <c r="B157">
        <v>75</v>
      </c>
      <c r="C157" t="s">
        <v>97</v>
      </c>
      <c r="D157">
        <v>7282.19</v>
      </c>
      <c r="E157">
        <v>7537.07</v>
      </c>
    </row>
    <row r="158" spans="1:5" x14ac:dyDescent="0.45">
      <c r="A158" s="35">
        <v>156</v>
      </c>
      <c r="B158">
        <v>75</v>
      </c>
      <c r="C158" t="s">
        <v>95</v>
      </c>
      <c r="D158">
        <v>7388.9</v>
      </c>
      <c r="E158">
        <v>7647.51</v>
      </c>
    </row>
    <row r="159" spans="1:5" x14ac:dyDescent="0.45">
      <c r="A159" s="35">
        <v>157</v>
      </c>
      <c r="B159">
        <v>75</v>
      </c>
      <c r="C159" t="s">
        <v>93</v>
      </c>
      <c r="D159">
        <v>7715.77</v>
      </c>
      <c r="E159">
        <v>7985.82</v>
      </c>
    </row>
    <row r="160" spans="1:5" x14ac:dyDescent="0.45">
      <c r="A160" s="35">
        <v>158</v>
      </c>
      <c r="B160">
        <v>75</v>
      </c>
      <c r="C160" t="s">
        <v>91</v>
      </c>
      <c r="D160">
        <v>8039.23</v>
      </c>
      <c r="E160">
        <v>8320.6</v>
      </c>
    </row>
    <row r="161" spans="1:5" x14ac:dyDescent="0.45">
      <c r="A161" s="35">
        <v>159</v>
      </c>
      <c r="B161">
        <v>75</v>
      </c>
      <c r="C161" t="s">
        <v>89</v>
      </c>
      <c r="D161">
        <v>8367.7999999999993</v>
      </c>
      <c r="E161">
        <v>8660.67</v>
      </c>
    </row>
    <row r="162" spans="1:5" x14ac:dyDescent="0.45">
      <c r="A162" s="35">
        <v>160</v>
      </c>
      <c r="B162">
        <v>75</v>
      </c>
      <c r="C162" t="s">
        <v>87</v>
      </c>
      <c r="D162">
        <v>8586.25</v>
      </c>
      <c r="E162">
        <v>8886.77</v>
      </c>
    </row>
    <row r="163" spans="1:5" x14ac:dyDescent="0.45">
      <c r="A163" s="35">
        <v>161</v>
      </c>
      <c r="B163">
        <v>75</v>
      </c>
      <c r="C163" t="s">
        <v>109</v>
      </c>
      <c r="D163">
        <v>8813.2099999999991</v>
      </c>
      <c r="E163">
        <v>9121.67</v>
      </c>
    </row>
    <row r="164" spans="1:5" x14ac:dyDescent="0.45">
      <c r="A164" s="35">
        <v>162</v>
      </c>
      <c r="B164">
        <v>75</v>
      </c>
      <c r="C164" t="s">
        <v>107</v>
      </c>
      <c r="D164">
        <v>9055.34</v>
      </c>
      <c r="E164">
        <v>9372.2800000000007</v>
      </c>
    </row>
    <row r="165" spans="1:5" x14ac:dyDescent="0.45">
      <c r="A165" s="35">
        <v>163</v>
      </c>
      <c r="B165">
        <v>75</v>
      </c>
      <c r="C165" t="s">
        <v>105</v>
      </c>
      <c r="D165">
        <v>9300.9599999999991</v>
      </c>
      <c r="E165">
        <v>9626.49</v>
      </c>
    </row>
    <row r="166" spans="1:5" x14ac:dyDescent="0.45">
      <c r="A166" s="35">
        <v>164</v>
      </c>
      <c r="B166">
        <v>75</v>
      </c>
      <c r="C166" t="s">
        <v>103</v>
      </c>
      <c r="D166">
        <v>9419.4699999999993</v>
      </c>
      <c r="E166">
        <v>9749.15</v>
      </c>
    </row>
    <row r="167" spans="1:5" x14ac:dyDescent="0.45">
      <c r="A167" s="35">
        <v>165</v>
      </c>
      <c r="B167">
        <v>75</v>
      </c>
      <c r="C167" t="s">
        <v>1286</v>
      </c>
      <c r="D167">
        <v>9543.1</v>
      </c>
      <c r="E167">
        <v>9877.11</v>
      </c>
    </row>
    <row r="168" spans="1:5" x14ac:dyDescent="0.45">
      <c r="A168" s="35">
        <v>166</v>
      </c>
      <c r="B168">
        <v>75</v>
      </c>
      <c r="C168" t="s">
        <v>1287</v>
      </c>
      <c r="D168">
        <v>9685.33</v>
      </c>
      <c r="E168">
        <v>10024.32</v>
      </c>
    </row>
    <row r="169" spans="1:5" x14ac:dyDescent="0.45">
      <c r="A169" s="35">
        <v>167</v>
      </c>
      <c r="B169">
        <v>75</v>
      </c>
      <c r="C169" t="s">
        <v>1578</v>
      </c>
      <c r="D169">
        <v>9829.32</v>
      </c>
      <c r="E169">
        <v>10173.35</v>
      </c>
    </row>
    <row r="170" spans="1:5" x14ac:dyDescent="0.45">
      <c r="A170" s="35">
        <v>168</v>
      </c>
      <c r="B170">
        <v>75</v>
      </c>
      <c r="C170" t="s">
        <v>1574</v>
      </c>
      <c r="D170">
        <v>9969.85</v>
      </c>
      <c r="E170">
        <v>10318.790000000001</v>
      </c>
    </row>
    <row r="171" spans="1:5" x14ac:dyDescent="0.45">
      <c r="A171" s="35">
        <v>169</v>
      </c>
      <c r="B171">
        <v>75</v>
      </c>
      <c r="C171" t="s">
        <v>1567</v>
      </c>
      <c r="D171">
        <v>10113.799999999999</v>
      </c>
      <c r="E171">
        <v>10467.780000000001</v>
      </c>
    </row>
    <row r="172" spans="1:5" x14ac:dyDescent="0.45">
      <c r="A172" s="35">
        <v>170</v>
      </c>
      <c r="B172">
        <v>80</v>
      </c>
      <c r="C172" t="s">
        <v>2190</v>
      </c>
      <c r="D172">
        <v>7497.34</v>
      </c>
      <c r="E172">
        <v>7759.75</v>
      </c>
    </row>
    <row r="173" spans="1:5" x14ac:dyDescent="0.45">
      <c r="A173" s="35">
        <v>171</v>
      </c>
      <c r="B173">
        <v>80</v>
      </c>
      <c r="C173" t="s">
        <v>2191</v>
      </c>
      <c r="D173">
        <v>7715.77</v>
      </c>
      <c r="E173">
        <v>7985.82</v>
      </c>
    </row>
    <row r="174" spans="1:5" x14ac:dyDescent="0.45">
      <c r="A174" s="35">
        <v>172</v>
      </c>
      <c r="B174">
        <v>80</v>
      </c>
      <c r="C174" t="s">
        <v>113</v>
      </c>
      <c r="D174">
        <v>7932.55</v>
      </c>
      <c r="E174">
        <v>8210.19</v>
      </c>
    </row>
    <row r="175" spans="1:5" x14ac:dyDescent="0.45">
      <c r="A175" s="35">
        <v>173</v>
      </c>
      <c r="B175">
        <v>80</v>
      </c>
      <c r="C175" t="s">
        <v>111</v>
      </c>
      <c r="D175">
        <v>8150.99</v>
      </c>
      <c r="E175">
        <v>8436.27</v>
      </c>
    </row>
    <row r="176" spans="1:5" x14ac:dyDescent="0.45">
      <c r="A176" s="35">
        <v>174</v>
      </c>
      <c r="B176">
        <v>80</v>
      </c>
      <c r="C176" t="s">
        <v>101</v>
      </c>
      <c r="D176">
        <v>8367.7999999999993</v>
      </c>
      <c r="E176">
        <v>8660.67</v>
      </c>
    </row>
    <row r="177" spans="1:5" x14ac:dyDescent="0.45">
      <c r="A177" s="35">
        <v>175</v>
      </c>
      <c r="B177">
        <v>80</v>
      </c>
      <c r="C177" t="s">
        <v>99</v>
      </c>
      <c r="D177">
        <v>8476.16</v>
      </c>
      <c r="E177">
        <v>8772.83</v>
      </c>
    </row>
    <row r="178" spans="1:5" x14ac:dyDescent="0.45">
      <c r="A178" s="35">
        <v>176</v>
      </c>
      <c r="B178">
        <v>80</v>
      </c>
      <c r="C178" t="s">
        <v>97</v>
      </c>
      <c r="D178">
        <v>8586.25</v>
      </c>
      <c r="E178">
        <v>8886.77</v>
      </c>
    </row>
    <row r="179" spans="1:5" x14ac:dyDescent="0.45">
      <c r="A179" s="35">
        <v>177</v>
      </c>
      <c r="B179">
        <v>80</v>
      </c>
      <c r="C179" t="s">
        <v>95</v>
      </c>
      <c r="D179">
        <v>8692.93</v>
      </c>
      <c r="E179">
        <v>8997.18</v>
      </c>
    </row>
    <row r="180" spans="1:5" x14ac:dyDescent="0.45">
      <c r="A180" s="35">
        <v>178</v>
      </c>
      <c r="B180">
        <v>80</v>
      </c>
      <c r="C180" t="s">
        <v>93</v>
      </c>
      <c r="D180">
        <v>9055.34</v>
      </c>
      <c r="E180">
        <v>9372.2800000000007</v>
      </c>
    </row>
    <row r="181" spans="1:5" x14ac:dyDescent="0.45">
      <c r="A181" s="35">
        <v>179</v>
      </c>
      <c r="B181">
        <v>80</v>
      </c>
      <c r="C181" t="s">
        <v>91</v>
      </c>
      <c r="D181">
        <v>9419.4699999999993</v>
      </c>
      <c r="E181">
        <v>9749.15</v>
      </c>
    </row>
    <row r="182" spans="1:5" x14ac:dyDescent="0.45">
      <c r="A182" s="35">
        <v>180</v>
      </c>
      <c r="B182">
        <v>80</v>
      </c>
      <c r="C182" t="s">
        <v>89</v>
      </c>
      <c r="D182">
        <v>9829.32</v>
      </c>
      <c r="E182">
        <v>10173.35</v>
      </c>
    </row>
    <row r="183" spans="1:5" x14ac:dyDescent="0.45">
      <c r="A183" s="35">
        <v>181</v>
      </c>
      <c r="B183">
        <v>80</v>
      </c>
      <c r="C183" t="s">
        <v>87</v>
      </c>
      <c r="D183">
        <v>10113.799999999999</v>
      </c>
      <c r="E183">
        <v>10467.780000000001</v>
      </c>
    </row>
    <row r="184" spans="1:5" x14ac:dyDescent="0.45">
      <c r="A184" s="35">
        <v>182</v>
      </c>
      <c r="B184">
        <v>80</v>
      </c>
      <c r="C184" t="s">
        <v>109</v>
      </c>
      <c r="D184">
        <v>10394.94</v>
      </c>
      <c r="E184">
        <v>10758.76</v>
      </c>
    </row>
    <row r="185" spans="1:5" x14ac:dyDescent="0.45">
      <c r="A185" s="35">
        <v>183</v>
      </c>
      <c r="B185">
        <v>80</v>
      </c>
      <c r="C185" t="s">
        <v>107</v>
      </c>
      <c r="D185">
        <v>10679.45</v>
      </c>
      <c r="E185">
        <v>11053.23</v>
      </c>
    </row>
    <row r="186" spans="1:5" x14ac:dyDescent="0.45">
      <c r="A186" s="35">
        <v>184</v>
      </c>
      <c r="B186">
        <v>80</v>
      </c>
      <c r="C186" t="s">
        <v>105</v>
      </c>
      <c r="D186">
        <v>10967.4</v>
      </c>
      <c r="E186">
        <v>11351.26</v>
      </c>
    </row>
    <row r="187" spans="1:5" x14ac:dyDescent="0.45">
      <c r="A187" s="35">
        <v>185</v>
      </c>
      <c r="B187">
        <v>80</v>
      </c>
      <c r="C187" t="s">
        <v>103</v>
      </c>
      <c r="D187">
        <v>11109.64</v>
      </c>
      <c r="E187">
        <v>11498.48</v>
      </c>
    </row>
    <row r="188" spans="1:5" x14ac:dyDescent="0.45">
      <c r="A188" s="35">
        <v>186</v>
      </c>
      <c r="B188">
        <v>80</v>
      </c>
      <c r="C188" t="s">
        <v>1286</v>
      </c>
      <c r="D188">
        <v>11253.6</v>
      </c>
      <c r="E188">
        <v>11647.48</v>
      </c>
    </row>
    <row r="189" spans="1:5" x14ac:dyDescent="0.45">
      <c r="A189" s="35">
        <v>187</v>
      </c>
      <c r="B189">
        <v>80</v>
      </c>
      <c r="C189" t="s">
        <v>1287</v>
      </c>
      <c r="D189">
        <v>11395.82</v>
      </c>
      <c r="E189">
        <v>11794.67</v>
      </c>
    </row>
    <row r="190" spans="1:5" x14ac:dyDescent="0.45">
      <c r="A190" s="35">
        <v>188</v>
      </c>
      <c r="B190">
        <v>80</v>
      </c>
      <c r="C190" t="s">
        <v>1578</v>
      </c>
      <c r="D190">
        <v>11538.07</v>
      </c>
      <c r="E190">
        <v>11941.9</v>
      </c>
    </row>
    <row r="191" spans="1:5" x14ac:dyDescent="0.45">
      <c r="A191" s="35">
        <v>189</v>
      </c>
      <c r="B191">
        <v>80</v>
      </c>
      <c r="C191" t="s">
        <v>1574</v>
      </c>
      <c r="D191">
        <v>11683.71</v>
      </c>
      <c r="E191">
        <v>12092.64</v>
      </c>
    </row>
    <row r="192" spans="1:5" x14ac:dyDescent="0.45">
      <c r="A192" s="35">
        <v>190</v>
      </c>
      <c r="B192">
        <v>80</v>
      </c>
      <c r="C192" t="s">
        <v>1567</v>
      </c>
      <c r="D192">
        <v>11825.98</v>
      </c>
      <c r="E192">
        <v>12239.89</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AC117"/>
  <sheetViews>
    <sheetView zoomScale="70" zoomScaleNormal="70" workbookViewId="0">
      <selection activeCell="Y19" sqref="Y19"/>
    </sheetView>
  </sheetViews>
  <sheetFormatPr defaultRowHeight="15.75" x14ac:dyDescent="0.5"/>
  <cols>
    <col min="1" max="1" width="10.59765625" customWidth="1"/>
    <col min="2" max="2" width="20.59765625" style="12" customWidth="1"/>
    <col min="3" max="3" width="5.59765625" style="60" customWidth="1"/>
    <col min="4" max="4" width="14.265625" customWidth="1"/>
    <col min="5" max="5" width="24.06640625" customWidth="1"/>
    <col min="6" max="21" width="4.53125" customWidth="1"/>
    <col min="22" max="23" width="14.59765625" style="5" customWidth="1"/>
    <col min="24" max="24" width="8.59765625" style="60" customWidth="1"/>
  </cols>
  <sheetData>
    <row r="1" spans="1:29" ht="16.05" customHeight="1" x14ac:dyDescent="0.5"/>
    <row r="2" spans="1:29" s="47" customFormat="1" ht="16.05" customHeight="1" x14ac:dyDescent="0.55000000000000004">
      <c r="B2" s="46" t="s">
        <v>1</v>
      </c>
      <c r="C2" s="60"/>
      <c r="D2" s="46"/>
      <c r="E2" s="157" t="s">
        <v>776</v>
      </c>
      <c r="V2" s="46"/>
      <c r="W2" s="157"/>
      <c r="X2" s="60"/>
    </row>
    <row r="3" spans="1:29" ht="16.05" customHeight="1" thickBot="1" x14ac:dyDescent="0.55000000000000004">
      <c r="E3" s="12"/>
    </row>
    <row r="4" spans="1:29" ht="16.05" customHeight="1" thickBot="1" x14ac:dyDescent="0.55000000000000004">
      <c r="A4" s="5"/>
      <c r="B4" s="159" t="str">
        <f ca="1">IF(B5="","",
IF(
   OR(
      INDIRECT("'1a. Input organisatieniveau'!AC" &amp; (7 + INT((ROW()-4)/7)))="",
      INDIRECT("'1a. Input organisatieniveau'!AC" &amp; (7 + INT((ROW()-4)/7)))=0
   ),
   "",
   INDIRECT("'1a. Input organisatieniveau'!AC" &amp; (7 + INT((ROW()-4)/7)))
))</f>
        <v/>
      </c>
      <c r="C4" s="148"/>
      <c r="D4" s="139"/>
      <c r="E4" s="139"/>
      <c r="F4" s="149" t="str">
        <f t="shared" ref="F4:U4" ca="1" si="0">IF($D6="Gebruik % van maximum trede", IF(AND(AND(F5&lt;&gt;"",F6&lt;&gt;""),F8=""),"!",""), IF(AND(AND(F5&lt;&gt;"",F7&lt;&gt;""),F8=""),"!",""))</f>
        <v/>
      </c>
      <c r="G4" s="149" t="str">
        <f t="shared" ca="1" si="0"/>
        <v/>
      </c>
      <c r="H4" s="149" t="str">
        <f t="shared" ca="1" si="0"/>
        <v/>
      </c>
      <c r="I4" s="149" t="str">
        <f t="shared" ca="1" si="0"/>
        <v/>
      </c>
      <c r="J4" s="149" t="str">
        <f t="shared" ca="1" si="0"/>
        <v/>
      </c>
      <c r="K4" s="149" t="str">
        <f t="shared" ca="1" si="0"/>
        <v/>
      </c>
      <c r="L4" s="149" t="str">
        <f t="shared" ca="1" si="0"/>
        <v/>
      </c>
      <c r="M4" s="149" t="str">
        <f t="shared" ca="1" si="0"/>
        <v/>
      </c>
      <c r="N4" s="149" t="str">
        <f t="shared" ca="1" si="0"/>
        <v/>
      </c>
      <c r="O4" s="149" t="str">
        <f t="shared" ca="1" si="0"/>
        <v/>
      </c>
      <c r="P4" s="149" t="str">
        <f t="shared" ca="1" si="0"/>
        <v/>
      </c>
      <c r="Q4" s="149" t="str">
        <f t="shared" ca="1" si="0"/>
        <v/>
      </c>
      <c r="R4" s="149" t="str">
        <f t="shared" ca="1" si="0"/>
        <v/>
      </c>
      <c r="S4" s="149" t="str">
        <f t="shared" ca="1" si="0"/>
        <v/>
      </c>
      <c r="T4" s="149" t="str">
        <f t="shared" ca="1" si="0"/>
        <v/>
      </c>
      <c r="U4" s="149" t="str">
        <f t="shared" ca="1" si="0"/>
        <v/>
      </c>
      <c r="V4" s="167"/>
      <c r="W4" s="167"/>
      <c r="X4" s="150"/>
      <c r="Z4" s="780" t="str">
        <f>HYPERLINK("#'3. Toelichting input'!B54", "Geef toelichting(en)")</f>
        <v>Geef toelichting(en)</v>
      </c>
      <c r="AA4" s="781"/>
      <c r="AB4" s="781"/>
      <c r="AC4" s="782"/>
    </row>
    <row r="5" spans="1:29" ht="16.05" customHeight="1" thickBot="1" x14ac:dyDescent="0.55000000000000004">
      <c r="B5" s="158" t="str">
        <f ca="1">IF(
   OR(
      INDIRECT("'1a. Input organisatieniveau'!AA" &amp; (7 + INT((ROW()-4)/7)))="",
      INDIRECT("'1a. Input organisatieniveau'!AA" &amp; (7 + INT((ROW()-4)/7)))=0
   ),
   "",
   INDIRECT("'1a. Input organisatieniveau'!AA" &amp; (7 + INT((ROW()-4)/7)))
)</f>
        <v/>
      </c>
      <c r="C5" s="151"/>
      <c r="D5" s="152"/>
      <c r="E5" s="22" t="s">
        <v>28</v>
      </c>
      <c r="F5" s="143" t="str">
        <f t="array" aca="1" ref="F5" ca="1">IF($B5="", "", INDEX('Hulp (CAO''s)'!J$3:J$6, MATCH(TRUE, 'Hulp (CAO''s)'!$D$3:$D$6, 0)))</f>
        <v/>
      </c>
      <c r="G5" s="143" t="str">
        <f t="array" aca="1" ref="G5" ca="1">IF($B5="", "", INDEX('Hulp (CAO''s)'!K$3:K$6, MATCH(TRUE, 'Hulp (CAO''s)'!$D$3:$D$6, 0)))</f>
        <v/>
      </c>
      <c r="H5" s="143" t="str">
        <f t="array" aca="1" ref="H5" ca="1">IF($B5="", "", INDEX('Hulp (CAO''s)'!L$3:L$6, MATCH(TRUE, 'Hulp (CAO''s)'!$D$3:$D$6, 0)))</f>
        <v/>
      </c>
      <c r="I5" s="143" t="str">
        <f t="array" aca="1" ref="I5" ca="1">IF($B5="", "", INDEX('Hulp (CAO''s)'!M$3:M$6, MATCH(TRUE, 'Hulp (CAO''s)'!$D$3:$D$6, 0)))</f>
        <v/>
      </c>
      <c r="J5" s="143" t="str">
        <f t="array" aca="1" ref="J5" ca="1">IF($B5="", "", INDEX('Hulp (CAO''s)'!N$3:N$6, MATCH(TRUE, 'Hulp (CAO''s)'!$D$3:$D$6, 0)))</f>
        <v/>
      </c>
      <c r="K5" s="143" t="str">
        <f t="array" aca="1" ref="K5" ca="1">IF($B5="", "", INDEX('Hulp (CAO''s)'!O$3:O$6, MATCH(TRUE, 'Hulp (CAO''s)'!$D$3:$D$6, 0)))</f>
        <v/>
      </c>
      <c r="L5" s="143" t="str">
        <f t="array" aca="1" ref="L5" ca="1">IF($B5="", "", INDEX('Hulp (CAO''s)'!P$3:P$6, MATCH(TRUE, 'Hulp (CAO''s)'!$D$3:$D$6, 0)))</f>
        <v/>
      </c>
      <c r="M5" s="143" t="str">
        <f t="array" aca="1" ref="M5" ca="1">IF($B5="", "", INDEX('Hulp (CAO''s)'!Q$3:Q$6, MATCH(TRUE, 'Hulp (CAO''s)'!$D$3:$D$6, 0)))</f>
        <v/>
      </c>
      <c r="N5" s="143" t="str">
        <f t="array" aca="1" ref="N5" ca="1">IF($B5="", "", INDEX('Hulp (CAO''s)'!R$3:R$6, MATCH(TRUE, 'Hulp (CAO''s)'!$D$3:$D$6, 0)))</f>
        <v/>
      </c>
      <c r="O5" s="143" t="str">
        <f t="array" aca="1" ref="O5" ca="1">IF($B5="", "", INDEX('Hulp (CAO''s)'!S$3:S$6, MATCH(TRUE, 'Hulp (CAO''s)'!$D$3:$D$6, 0)))</f>
        <v/>
      </c>
      <c r="P5" s="143" t="str">
        <f t="array" aca="1" ref="P5" ca="1">IF($B5="", "", INDEX('Hulp (CAO''s)'!T$3:T$6, MATCH(TRUE, 'Hulp (CAO''s)'!$D$3:$D$6, 0)))</f>
        <v/>
      </c>
      <c r="Q5" s="143" t="str">
        <f t="array" aca="1" ref="Q5" ca="1">IF($B5="", "", INDEX('Hulp (CAO''s)'!U$3:U$6, MATCH(TRUE, 'Hulp (CAO''s)'!$D$3:$D$6, 0)))</f>
        <v/>
      </c>
      <c r="R5" s="143" t="str">
        <f t="array" aca="1" ref="R5" ca="1">IF($B5="", "", INDEX('Hulp (CAO''s)'!V$3:V$6, MATCH(TRUE, 'Hulp (CAO''s)'!$D$3:$D$6, 0)))</f>
        <v/>
      </c>
      <c r="S5" s="143" t="str">
        <f t="array" aca="1" ref="S5" ca="1">IF($B5="", "", INDEX('Hulp (CAO''s)'!W$3:W$6, MATCH(TRUE, 'Hulp (CAO''s)'!$D$3:$D$6, 0)))</f>
        <v/>
      </c>
      <c r="T5" s="143" t="str">
        <f t="array" aca="1" ref="T5" ca="1">IF($B5="", "", INDEX('Hulp (CAO''s)'!X$3:X$6, MATCH(TRUE, 'Hulp (CAO''s)'!$D$3:$D$6, 0)))</f>
        <v/>
      </c>
      <c r="U5" s="144" t="str">
        <f t="array" aca="1" ref="U5" ca="1">IF($B5="", "", INDEX('Hulp (CAO''s)'!Y$3:Y$6, MATCH(TRUE, 'Hulp (CAO''s)'!$D$3:$D$6, 0)))</f>
        <v/>
      </c>
      <c r="W5" s="788" t="s">
        <v>747</v>
      </c>
      <c r="X5" s="153"/>
      <c r="Z5" s="783"/>
      <c r="AA5" s="784"/>
      <c r="AB5" s="784"/>
      <c r="AC5" s="785"/>
    </row>
    <row r="6" spans="1:29" ht="16.05" customHeight="1" thickBot="1" x14ac:dyDescent="0.55000000000000004">
      <c r="C6" s="151"/>
      <c r="D6" s="786" t="s">
        <v>771</v>
      </c>
      <c r="E6" s="162" t="s">
        <v>770</v>
      </c>
      <c r="F6" s="163">
        <v>0.96</v>
      </c>
      <c r="G6" s="163">
        <v>0.9</v>
      </c>
      <c r="H6" s="163">
        <v>0.9</v>
      </c>
      <c r="I6" s="163">
        <v>0.7</v>
      </c>
      <c r="J6" s="163">
        <v>0.8</v>
      </c>
      <c r="K6" s="163">
        <v>0.9</v>
      </c>
      <c r="L6" s="163">
        <v>0.9</v>
      </c>
      <c r="M6" s="163">
        <v>0.9</v>
      </c>
      <c r="N6" s="163">
        <v>0.9</v>
      </c>
      <c r="O6" s="163">
        <v>0.8</v>
      </c>
      <c r="P6" s="163">
        <v>0.95</v>
      </c>
      <c r="Q6" s="163">
        <v>0.93</v>
      </c>
      <c r="R6" s="163">
        <v>0.93</v>
      </c>
      <c r="S6" s="163">
        <v>0.99</v>
      </c>
      <c r="T6" s="163">
        <v>0.99</v>
      </c>
      <c r="U6" s="164">
        <v>0.95</v>
      </c>
      <c r="W6" s="789"/>
      <c r="X6" s="153"/>
    </row>
    <row r="7" spans="1:29" ht="16.05" customHeight="1" thickBot="1" x14ac:dyDescent="0.55000000000000004">
      <c r="C7" s="151"/>
      <c r="D7" s="787"/>
      <c r="E7" s="31" t="s">
        <v>29</v>
      </c>
      <c r="F7" s="160">
        <v>8</v>
      </c>
      <c r="G7" s="160">
        <v>10</v>
      </c>
      <c r="H7" s="160">
        <v>10</v>
      </c>
      <c r="I7" s="160">
        <v>9</v>
      </c>
      <c r="J7" s="160">
        <v>10</v>
      </c>
      <c r="K7" s="160">
        <v>11</v>
      </c>
      <c r="L7" s="160">
        <v>10</v>
      </c>
      <c r="M7" s="160">
        <v>10</v>
      </c>
      <c r="N7" s="160">
        <v>9</v>
      </c>
      <c r="O7" s="160">
        <v>10</v>
      </c>
      <c r="P7" s="160">
        <v>11</v>
      </c>
      <c r="Q7" s="160">
        <v>12</v>
      </c>
      <c r="R7" s="160">
        <v>13</v>
      </c>
      <c r="S7" s="160">
        <v>12</v>
      </c>
      <c r="T7" s="160">
        <v>10</v>
      </c>
      <c r="U7" s="161">
        <v>5</v>
      </c>
      <c r="W7" s="166">
        <v>4200</v>
      </c>
      <c r="X7" s="153"/>
    </row>
    <row r="8" spans="1:29" ht="16.05" customHeight="1" thickBot="1" x14ac:dyDescent="0.55000000000000004">
      <c r="C8" s="151"/>
      <c r="E8" s="40" t="str">
        <f>IFERROR(
   INDEX('Hulp (CAO''s)'!$I$3:$I$6, MATCH(TRUE, 'Hulp (CAO''s)'!$D$3:$D$6, 0)),
"")</f>
        <v>Bruto maandsalaris</v>
      </c>
      <c r="F8" s="145" t="str">
        <f t="array" aca="1" ref="F8" ca="1">IF($D6="Gebruik % van maximum trede",
IF(
    OR(F5="",F6=""),
    "",
    MAX(
    INDIRECT("'" &amp; INDEX('Hulp (CAO''s)'!$C$3:$C$6,
        MATCH(TRUE,'Hulp (CAO''s)'!$D$3:$D$6,0)) &amp; "'!" &amp;
        INDEX('Hulp (CAO''s)'!$H$3:$H$6,
            MATCH(TRUE,'Hulp (CAO''s)'!$D$3:$D$6,0))
        &amp;
        MATCH(F5, INDIRECT("'" &amp; INDEX('Hulp (CAO''s)'!$C$3:$C$6,
            MATCH(TRUE,'Hulp (CAO''s)'!$D$3:$D$6,0)) &amp; "'!A:A"),0)
        &amp; ":H" &amp;
        IF(G5&lt;&gt;"",
            MATCH(G5, INDIRECT("'" &amp; INDEX('Hulp (CAO''s)'!$C$3:$C$6,
                MATCH(TRUE,'Hulp (CAO''s)'!$D$3:$D$6,0)) &amp; "'!A:A"),0)-1,
            1000
        )
    )
) * F6
),
IF(
    IFERROR(MIN(
        IF(
            (TRIM(INDIRECT("'" &amp; INDEX('Hulp (CAO''s)'!$C$3:$C$6,
                MATCH(TRUE,'Hulp (CAO''s)'!$D$3:$D$6,0)) &amp; "'!B1:B1000")) = TEXT(F7,"0")) *
            (ROW(INDIRECT("'" &amp; INDEX('Hulp (CAO''s)'!$C$3:$C$6,
                MATCH(TRUE,'Hulp (CAO''s)'!$D$3:$D$6,0)) &amp; "'!B1:B1000")) &gt; MATCH(
                F5,
                INDIRECT("'" &amp; INDEX('Hulp (CAO''s)'!$C$3:$C$6,
                    MATCH(TRUE,'Hulp (CAO''s)'!$D$3:$D$6,0)) &amp; "'!A:A"),
                0
            )) *
            IF(
                G5="",
                1,
                (ROW(INDIRECT("'" &amp; INDEX('Hulp (CAO''s)'!$C$3:$C$6,
                    MATCH(TRUE,'Hulp (CAO''s)'!$D$3:$D$6,0)) &amp; "'!B1:B1000")) &lt; MATCH(
                    G5,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TEXT(F7,"0")) *
                (ROW(INDIRECT("'" &amp; INDEX('Hulp (CAO''s)'!$C$3:$C$6,
                    MATCH(TRUE,'Hulp (CAO''s)'!$D$3:$D$6,0)) &amp; "'!B1:B1000")) &gt; MATCH(
                    F5,
                    INDIRECT("'" &amp; INDEX('Hulp (CAO''s)'!$C$3:$C$6,
                        MATCH(TRUE,'Hulp (CAO''s)'!$D$3:$D$6,0)) &amp; "'!A:A"),
                    0
                )) *
                IF(
                    G5="",
                    1,
                    (ROW(INDIRECT("'" &amp; INDEX('Hulp (CAO''s)'!$C$3:$C$6,
                        MATCH(TRUE,'Hulp (CAO''s)'!$D$3:$D$6,0)) &amp; "'!B1:B1000")) &lt; MATCH(
                        G5,
                        INDIRECT("'" &amp; INDEX('Hulp (CAO''s)'!$C$3:$C$6,
                            MATCH(TRUE,'Hulp (CAO''s)'!$D$3:$D$6,0)) &amp; "'!A:A"),
                        0
                    ))
                ),
                ROW(INDIRECT("'" &amp; INDEX('Hulp (CAO''s)'!$C$3:$C$6,
                    MATCH(TRUE,'Hulp (CAO''s)'!$D$3:$D$6,0)) &amp; "'!B1:B1000"))
            )
        ),0)
    )
))</f>
        <v/>
      </c>
      <c r="G8" s="145" t="str">
        <f t="array" aca="1" ref="G8" ca="1">IF($D6="Gebruik % van maximum trede",
IF(
    OR(G5="",G6=""),
    "",
    MAX(
    INDIRECT("'" &amp; INDEX('Hulp (CAO''s)'!$C$3:$C$6,
        MATCH(TRUE,'Hulp (CAO''s)'!$D$3:$D$6,0)) &amp; "'!" &amp;
        INDEX('Hulp (CAO''s)'!$H$3:$H$6,
            MATCH(TRUE,'Hulp (CAO''s)'!$D$3:$D$6,0))
        &amp;
        MATCH(G5, INDIRECT("'" &amp; INDEX('Hulp (CAO''s)'!$C$3:$C$6,
            MATCH(TRUE,'Hulp (CAO''s)'!$D$3:$D$6,0)) &amp; "'!A:A"),0)
        &amp; ":H" &amp;
        IF(H5&lt;&gt;"",
            MATCH(H5, INDIRECT("'" &amp; INDEX('Hulp (CAO''s)'!$C$3:$C$6,
                MATCH(TRUE,'Hulp (CAO''s)'!$D$3:$D$6,0)) &amp; "'!A:A"),0)-1,
            1000
        )
    )
) * G6
),
IF(
    IFERROR(MIN(
        IF(
            (TRIM(INDIRECT("'" &amp; INDEX('Hulp (CAO''s)'!$C$3:$C$6,
                MATCH(TRUE,'Hulp (CAO''s)'!$D$3:$D$6,0)) &amp; "'!B1:B1000")) = TEXT(G7,"0")) *
            (ROW(INDIRECT("'" &amp; INDEX('Hulp (CAO''s)'!$C$3:$C$6,
                MATCH(TRUE,'Hulp (CAO''s)'!$D$3:$D$6,0)) &amp; "'!B1:B1000")) &gt; MATCH(
                G5,
                INDIRECT("'" &amp; INDEX('Hulp (CAO''s)'!$C$3:$C$6,
                    MATCH(TRUE,'Hulp (CAO''s)'!$D$3:$D$6,0)) &amp; "'!A:A"),
                0
            )) *
            IF(
                H5="",
                1,
                (ROW(INDIRECT("'" &amp; INDEX('Hulp (CAO''s)'!$C$3:$C$6,
                    MATCH(TRUE,'Hulp (CAO''s)'!$D$3:$D$6,0)) &amp; "'!B1:B1000")) &lt; MATCH(
                    H5,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TEXT(G7,"0")) *
                (ROW(INDIRECT("'" &amp; INDEX('Hulp (CAO''s)'!$C$3:$C$6,
                    MATCH(TRUE,'Hulp (CAO''s)'!$D$3:$D$6,0)) &amp; "'!B1:B1000")) &gt; MATCH(
                    G5,
                    INDIRECT("'" &amp; INDEX('Hulp (CAO''s)'!$C$3:$C$6,
                        MATCH(TRUE,'Hulp (CAO''s)'!$D$3:$D$6,0)) &amp; "'!A:A"),
                    0
                )) *
                IF(
                    H5="",
                    1,
                    (ROW(INDIRECT("'" &amp; INDEX('Hulp (CAO''s)'!$C$3:$C$6,
                        MATCH(TRUE,'Hulp (CAO''s)'!$D$3:$D$6,0)) &amp; "'!B1:B1000")) &lt; MATCH(
                        H5,
                        INDIRECT("'" &amp; INDEX('Hulp (CAO''s)'!$C$3:$C$6,
                            MATCH(TRUE,'Hulp (CAO''s)'!$D$3:$D$6,0)) &amp; "'!A:A"),
                        0
                    ))
                ),
                ROW(INDIRECT("'" &amp; INDEX('Hulp (CAO''s)'!$C$3:$C$6,
                    MATCH(TRUE,'Hulp (CAO''s)'!$D$3:$D$6,0)) &amp; "'!B1:B1000"))
            )
        ),0)
    )
))</f>
        <v/>
      </c>
      <c r="H8" s="145" t="str">
        <f t="array" aca="1" ref="H8" ca="1">IF($D6="Gebruik % van maximum trede",
IF(
    OR(H5="",H6=""),
    "",
    MAX(
    INDIRECT("'" &amp; INDEX('Hulp (CAO''s)'!$C$3:$C$6,
        MATCH(TRUE,'Hulp (CAO''s)'!$D$3:$D$6,0)) &amp; "'!" &amp;
        INDEX('Hulp (CAO''s)'!$H$3:$H$6,
            MATCH(TRUE,'Hulp (CAO''s)'!$D$3:$D$6,0))
        &amp;
        MATCH(H5, INDIRECT("'" &amp; INDEX('Hulp (CAO''s)'!$C$3:$C$6,
            MATCH(TRUE,'Hulp (CAO''s)'!$D$3:$D$6,0)) &amp; "'!A:A"),0)
        &amp; ":H" &amp;
        IF(I5&lt;&gt;"",
            MATCH(I5, INDIRECT("'" &amp; INDEX('Hulp (CAO''s)'!$C$3:$C$6,
                MATCH(TRUE,'Hulp (CAO''s)'!$D$3:$D$6,0)) &amp; "'!A:A"),0)-1,
            1000
        )
    )
) * H6
),
IF(
    IFERROR(MIN(
        IF(
            (TRIM(INDIRECT("'" &amp; INDEX('Hulp (CAO''s)'!$C$3:$C$6,
                MATCH(TRUE,'Hulp (CAO''s)'!$D$3:$D$6,0)) &amp; "'!B1:B1000")) = TEXT(H7,"0")) *
            (ROW(INDIRECT("'" &amp; INDEX('Hulp (CAO''s)'!$C$3:$C$6,
                MATCH(TRUE,'Hulp (CAO''s)'!$D$3:$D$6,0)) &amp; "'!B1:B1000")) &gt; MATCH(
                H5,
                INDIRECT("'" &amp; INDEX('Hulp (CAO''s)'!$C$3:$C$6,
                    MATCH(TRUE,'Hulp (CAO''s)'!$D$3:$D$6,0)) &amp; "'!A:A"),
                0
            )) *
            IF(
                I5="",
                1,
                (ROW(INDIRECT("'" &amp; INDEX('Hulp (CAO''s)'!$C$3:$C$6,
                    MATCH(TRUE,'Hulp (CAO''s)'!$D$3:$D$6,0)) &amp; "'!B1:B1000")) &lt; MATCH(
                    I5,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TEXT(H7,"0")) *
                (ROW(INDIRECT("'" &amp; INDEX('Hulp (CAO''s)'!$C$3:$C$6,
                    MATCH(TRUE,'Hulp (CAO''s)'!$D$3:$D$6,0)) &amp; "'!B1:B1000")) &gt; MATCH(
                    H5,
                    INDIRECT("'" &amp; INDEX('Hulp (CAO''s)'!$C$3:$C$6,
                        MATCH(TRUE,'Hulp (CAO''s)'!$D$3:$D$6,0)) &amp; "'!A:A"),
                    0
                )) *
                IF(
                    I5="",
                    1,
                    (ROW(INDIRECT("'" &amp; INDEX('Hulp (CAO''s)'!$C$3:$C$6,
                        MATCH(TRUE,'Hulp (CAO''s)'!$D$3:$D$6,0)) &amp; "'!B1:B1000")) &lt; MATCH(
                        I5,
                        INDIRECT("'" &amp; INDEX('Hulp (CAO''s)'!$C$3:$C$6,
                            MATCH(TRUE,'Hulp (CAO''s)'!$D$3:$D$6,0)) &amp; "'!A:A"),
                        0
                    ))
                ),
                ROW(INDIRECT("'" &amp; INDEX('Hulp (CAO''s)'!$C$3:$C$6,
                    MATCH(TRUE,'Hulp (CAO''s)'!$D$3:$D$6,0)) &amp; "'!B1:B1000"))
            )
        ),0)
    )
))</f>
        <v/>
      </c>
      <c r="I8" s="145" t="str">
        <f t="array" aca="1" ref="I8" ca="1">IF($D6="Gebruik % van maximum trede",
IF(
    OR(I5="",I6=""),
    "",
    MAX(
    INDIRECT("'" &amp; INDEX('Hulp (CAO''s)'!$C$3:$C$6,
        MATCH(TRUE,'Hulp (CAO''s)'!$D$3:$D$6,0)) &amp; "'!" &amp;
        INDEX('Hulp (CAO''s)'!$H$3:$H$6,
            MATCH(TRUE,'Hulp (CAO''s)'!$D$3:$D$6,0))
        &amp;
        MATCH(I5, INDIRECT("'" &amp; INDEX('Hulp (CAO''s)'!$C$3:$C$6,
            MATCH(TRUE,'Hulp (CAO''s)'!$D$3:$D$6,0)) &amp; "'!A:A"),0)
        &amp; ":H" &amp;
        IF(J5&lt;&gt;"",
            MATCH(J5, INDIRECT("'" &amp; INDEX('Hulp (CAO''s)'!$C$3:$C$6,
                MATCH(TRUE,'Hulp (CAO''s)'!$D$3:$D$6,0)) &amp; "'!A:A"),0)-1,
            1000
        )
    )
) * I6
),
IF(
    IFERROR(MIN(
        IF(
            (TRIM(INDIRECT("'" &amp; INDEX('Hulp (CAO''s)'!$C$3:$C$6,
                MATCH(TRUE,'Hulp (CAO''s)'!$D$3:$D$6,0)) &amp; "'!B1:B1000")) = TEXT(I7,"0")) *
            (ROW(INDIRECT("'" &amp; INDEX('Hulp (CAO''s)'!$C$3:$C$6,
                MATCH(TRUE,'Hulp (CAO''s)'!$D$3:$D$6,0)) &amp; "'!B1:B1000")) &gt; MATCH(
                I5,
                INDIRECT("'" &amp; INDEX('Hulp (CAO''s)'!$C$3:$C$6,
                    MATCH(TRUE,'Hulp (CAO''s)'!$D$3:$D$6,0)) &amp; "'!A:A"),
                0
            )) *
            IF(
                J5="",
                1,
                (ROW(INDIRECT("'" &amp; INDEX('Hulp (CAO''s)'!$C$3:$C$6,
                    MATCH(TRUE,'Hulp (CAO''s)'!$D$3:$D$6,0)) &amp; "'!B1:B1000")) &lt; MATCH(
                    J5,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TEXT(I7,"0")) *
                (ROW(INDIRECT("'" &amp; INDEX('Hulp (CAO''s)'!$C$3:$C$6,
                    MATCH(TRUE,'Hulp (CAO''s)'!$D$3:$D$6,0)) &amp; "'!B1:B1000")) &gt; MATCH(
                    I5,
                    INDIRECT("'" &amp; INDEX('Hulp (CAO''s)'!$C$3:$C$6,
                        MATCH(TRUE,'Hulp (CAO''s)'!$D$3:$D$6,0)) &amp; "'!A:A"),
                    0
                )) *
                IF(
                    J5="",
                    1,
                    (ROW(INDIRECT("'" &amp; INDEX('Hulp (CAO''s)'!$C$3:$C$6,
                        MATCH(TRUE,'Hulp (CAO''s)'!$D$3:$D$6,0)) &amp; "'!B1:B1000")) &lt; MATCH(
                        J5,
                        INDIRECT("'" &amp; INDEX('Hulp (CAO''s)'!$C$3:$C$6,
                            MATCH(TRUE,'Hulp (CAO''s)'!$D$3:$D$6,0)) &amp; "'!A:A"),
                        0
                    ))
                ),
                ROW(INDIRECT("'" &amp; INDEX('Hulp (CAO''s)'!$C$3:$C$6,
                    MATCH(TRUE,'Hulp (CAO''s)'!$D$3:$D$6,0)) &amp; "'!B1:B1000"))
            )
        ),0)
    )
))</f>
        <v/>
      </c>
      <c r="J8" s="145" t="str">
        <f t="array" aca="1" ref="J8" ca="1">IF($D6="Gebruik % van maximum trede",
IF(
    OR(J5="",J6=""),
    "",
    MAX(
    INDIRECT("'" &amp; INDEX('Hulp (CAO''s)'!$C$3:$C$6,
        MATCH(TRUE,'Hulp (CAO''s)'!$D$3:$D$6,0)) &amp; "'!" &amp;
        INDEX('Hulp (CAO''s)'!$H$3:$H$6,
            MATCH(TRUE,'Hulp (CAO''s)'!$D$3:$D$6,0))
        &amp;
        MATCH(J5, INDIRECT("'" &amp; INDEX('Hulp (CAO''s)'!$C$3:$C$6,
            MATCH(TRUE,'Hulp (CAO''s)'!$D$3:$D$6,0)) &amp; "'!A:A"),0)
        &amp; ":H" &amp;
        IF(K5&lt;&gt;"",
            MATCH(K5, INDIRECT("'" &amp; INDEX('Hulp (CAO''s)'!$C$3:$C$6,
                MATCH(TRUE,'Hulp (CAO''s)'!$D$3:$D$6,0)) &amp; "'!A:A"),0)-1,
            1000
        )
    )
) * J6
),
IF(
    IFERROR(MIN(
        IF(
            (TRIM(INDIRECT("'" &amp; INDEX('Hulp (CAO''s)'!$C$3:$C$6,
                MATCH(TRUE,'Hulp (CAO''s)'!$D$3:$D$6,0)) &amp; "'!B1:B1000")) = TEXT(J7,"0")) *
            (ROW(INDIRECT("'" &amp; INDEX('Hulp (CAO''s)'!$C$3:$C$6,
                MATCH(TRUE,'Hulp (CAO''s)'!$D$3:$D$6,0)) &amp; "'!B1:B1000")) &gt; MATCH(
                J5,
                INDIRECT("'" &amp; INDEX('Hulp (CAO''s)'!$C$3:$C$6,
                    MATCH(TRUE,'Hulp (CAO''s)'!$D$3:$D$6,0)) &amp; "'!A:A"),
                0
            )) *
            IF(
                K5="",
                1,
                (ROW(INDIRECT("'" &amp; INDEX('Hulp (CAO''s)'!$C$3:$C$6,
                    MATCH(TRUE,'Hulp (CAO''s)'!$D$3:$D$6,0)) &amp; "'!B1:B1000")) &lt; MATCH(
                    K5,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TEXT(J7,"0")) *
                (ROW(INDIRECT("'" &amp; INDEX('Hulp (CAO''s)'!$C$3:$C$6,
                    MATCH(TRUE,'Hulp (CAO''s)'!$D$3:$D$6,0)) &amp; "'!B1:B1000")) &gt; MATCH(
                    J5,
                    INDIRECT("'" &amp; INDEX('Hulp (CAO''s)'!$C$3:$C$6,
                        MATCH(TRUE,'Hulp (CAO''s)'!$D$3:$D$6,0)) &amp; "'!A:A"),
                    0
                )) *
                IF(
                    K5="",
                    1,
                    (ROW(INDIRECT("'" &amp; INDEX('Hulp (CAO''s)'!$C$3:$C$6,
                        MATCH(TRUE,'Hulp (CAO''s)'!$D$3:$D$6,0)) &amp; "'!B1:B1000")) &lt; MATCH(
                        K5,
                        INDIRECT("'" &amp; INDEX('Hulp (CAO''s)'!$C$3:$C$6,
                            MATCH(TRUE,'Hulp (CAO''s)'!$D$3:$D$6,0)) &amp; "'!A:A"),
                        0
                    ))
                ),
                ROW(INDIRECT("'" &amp; INDEX('Hulp (CAO''s)'!$C$3:$C$6,
                    MATCH(TRUE,'Hulp (CAO''s)'!$D$3:$D$6,0)) &amp; "'!B1:B1000"))
            )
        ),0)
    )
))</f>
        <v/>
      </c>
      <c r="K8" s="145" t="str">
        <f t="array" aca="1" ref="K8" ca="1">IF($D6="Gebruik % van maximum trede",
IF(
    OR(K5="",K6=""),
    "",
    MAX(
    INDIRECT("'" &amp; INDEX('Hulp (CAO''s)'!$C$3:$C$6,
        MATCH(TRUE,'Hulp (CAO''s)'!$D$3:$D$6,0)) &amp; "'!" &amp;
        INDEX('Hulp (CAO''s)'!$H$3:$H$6,
            MATCH(TRUE,'Hulp (CAO''s)'!$D$3:$D$6,0))
        &amp;
        MATCH(K5, INDIRECT("'" &amp; INDEX('Hulp (CAO''s)'!$C$3:$C$6,
            MATCH(TRUE,'Hulp (CAO''s)'!$D$3:$D$6,0)) &amp; "'!A:A"),0)
        &amp; ":H" &amp;
        IF(L5&lt;&gt;"",
            MATCH(L5, INDIRECT("'" &amp; INDEX('Hulp (CAO''s)'!$C$3:$C$6,
                MATCH(TRUE,'Hulp (CAO''s)'!$D$3:$D$6,0)) &amp; "'!A:A"),0)-1,
            1000
        )
    )
) * K6
),
IF(
    IFERROR(MIN(
        IF(
            (TRIM(INDIRECT("'" &amp; INDEX('Hulp (CAO''s)'!$C$3:$C$6,
                MATCH(TRUE,'Hulp (CAO''s)'!$D$3:$D$6,0)) &amp; "'!B1:B1000")) = TEXT(K7,"0")) *
            (ROW(INDIRECT("'" &amp; INDEX('Hulp (CAO''s)'!$C$3:$C$6,
                MATCH(TRUE,'Hulp (CAO''s)'!$D$3:$D$6,0)) &amp; "'!B1:B1000")) &gt; MATCH(
                K5,
                INDIRECT("'" &amp; INDEX('Hulp (CAO''s)'!$C$3:$C$6,
                    MATCH(TRUE,'Hulp (CAO''s)'!$D$3:$D$6,0)) &amp; "'!A:A"),
                0
            )) *
            IF(
                L5="",
                1,
                (ROW(INDIRECT("'" &amp; INDEX('Hulp (CAO''s)'!$C$3:$C$6,
                    MATCH(TRUE,'Hulp (CAO''s)'!$D$3:$D$6,0)) &amp; "'!B1:B1000")) &lt; MATCH(
                    L5,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TEXT(K7,"0")) *
                (ROW(INDIRECT("'" &amp; INDEX('Hulp (CAO''s)'!$C$3:$C$6,
                    MATCH(TRUE,'Hulp (CAO''s)'!$D$3:$D$6,0)) &amp; "'!B1:B1000")) &gt; MATCH(
                    K5,
                    INDIRECT("'" &amp; INDEX('Hulp (CAO''s)'!$C$3:$C$6,
                        MATCH(TRUE,'Hulp (CAO''s)'!$D$3:$D$6,0)) &amp; "'!A:A"),
                    0
                )) *
                IF(
                    L5="",
                    1,
                    (ROW(INDIRECT("'" &amp; INDEX('Hulp (CAO''s)'!$C$3:$C$6,
                        MATCH(TRUE,'Hulp (CAO''s)'!$D$3:$D$6,0)) &amp; "'!B1:B1000")) &lt; MATCH(
                        L5,
                        INDIRECT("'" &amp; INDEX('Hulp (CAO''s)'!$C$3:$C$6,
                            MATCH(TRUE,'Hulp (CAO''s)'!$D$3:$D$6,0)) &amp; "'!A:A"),
                        0
                    ))
                ),
                ROW(INDIRECT("'" &amp; INDEX('Hulp (CAO''s)'!$C$3:$C$6,
                    MATCH(TRUE,'Hulp (CAO''s)'!$D$3:$D$6,0)) &amp; "'!B1:B1000"))
            )
        ),0)
    )
))</f>
        <v/>
      </c>
      <c r="L8" s="145" t="str">
        <f t="array" aca="1" ref="L8" ca="1">IF($D6="Gebruik % van maximum trede",
IF(
    OR(L5="",L6=""),
    "",
    MAX(
    INDIRECT("'" &amp; INDEX('Hulp (CAO''s)'!$C$3:$C$6,
        MATCH(TRUE,'Hulp (CAO''s)'!$D$3:$D$6,0)) &amp; "'!" &amp;
        INDEX('Hulp (CAO''s)'!$H$3:$H$6,
            MATCH(TRUE,'Hulp (CAO''s)'!$D$3:$D$6,0))
        &amp;
        MATCH(L5, INDIRECT("'" &amp; INDEX('Hulp (CAO''s)'!$C$3:$C$6,
            MATCH(TRUE,'Hulp (CAO''s)'!$D$3:$D$6,0)) &amp; "'!A:A"),0)
        &amp; ":H" &amp;
        IF(M5&lt;&gt;"",
            MATCH(M5, INDIRECT("'" &amp; INDEX('Hulp (CAO''s)'!$C$3:$C$6,
                MATCH(TRUE,'Hulp (CAO''s)'!$D$3:$D$6,0)) &amp; "'!A:A"),0)-1,
            1000
        )
    )
) * L6
),
IF(
    IFERROR(MIN(
        IF(
            (TRIM(INDIRECT("'" &amp; INDEX('Hulp (CAO''s)'!$C$3:$C$6,
                MATCH(TRUE,'Hulp (CAO''s)'!$D$3:$D$6,0)) &amp; "'!B1:B1000")) = TEXT(L7,"0")) *
            (ROW(INDIRECT("'" &amp; INDEX('Hulp (CAO''s)'!$C$3:$C$6,
                MATCH(TRUE,'Hulp (CAO''s)'!$D$3:$D$6,0)) &amp; "'!B1:B1000")) &gt; MATCH(
                L5,
                INDIRECT("'" &amp; INDEX('Hulp (CAO''s)'!$C$3:$C$6,
                    MATCH(TRUE,'Hulp (CAO''s)'!$D$3:$D$6,0)) &amp; "'!A:A"),
                0
            )) *
            IF(
                M5="",
                1,
                (ROW(INDIRECT("'" &amp; INDEX('Hulp (CAO''s)'!$C$3:$C$6,
                    MATCH(TRUE,'Hulp (CAO''s)'!$D$3:$D$6,0)) &amp; "'!B1:B1000")) &lt; MATCH(
                    M5,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TEXT(L7,"0")) *
                (ROW(INDIRECT("'" &amp; INDEX('Hulp (CAO''s)'!$C$3:$C$6,
                    MATCH(TRUE,'Hulp (CAO''s)'!$D$3:$D$6,0)) &amp; "'!B1:B1000")) &gt; MATCH(
                    L5,
                    INDIRECT("'" &amp; INDEX('Hulp (CAO''s)'!$C$3:$C$6,
                        MATCH(TRUE,'Hulp (CAO''s)'!$D$3:$D$6,0)) &amp; "'!A:A"),
                    0
                )) *
                IF(
                    M5="",
                    1,
                    (ROW(INDIRECT("'" &amp; INDEX('Hulp (CAO''s)'!$C$3:$C$6,
                        MATCH(TRUE,'Hulp (CAO''s)'!$D$3:$D$6,0)) &amp; "'!B1:B1000")) &lt; MATCH(
                        M5,
                        INDIRECT("'" &amp; INDEX('Hulp (CAO''s)'!$C$3:$C$6,
                            MATCH(TRUE,'Hulp (CAO''s)'!$D$3:$D$6,0)) &amp; "'!A:A"),
                        0
                    ))
                ),
                ROW(INDIRECT("'" &amp; INDEX('Hulp (CAO''s)'!$C$3:$C$6,
                    MATCH(TRUE,'Hulp (CAO''s)'!$D$3:$D$6,0)) &amp; "'!B1:B1000"))
            )
        ),0)
    )
))</f>
        <v/>
      </c>
      <c r="M8" s="145" t="str">
        <f t="array" aca="1" ref="M8" ca="1">IF($D6="Gebruik % van maximum trede",
IF(
    OR(M5="",M6=""),
    "",
    MAX(
    INDIRECT("'" &amp; INDEX('Hulp (CAO''s)'!$C$3:$C$6,
        MATCH(TRUE,'Hulp (CAO''s)'!$D$3:$D$6,0)) &amp; "'!" &amp;
        INDEX('Hulp (CAO''s)'!$H$3:$H$6,
            MATCH(TRUE,'Hulp (CAO''s)'!$D$3:$D$6,0))
        &amp;
        MATCH(M5, INDIRECT("'" &amp; INDEX('Hulp (CAO''s)'!$C$3:$C$6,
            MATCH(TRUE,'Hulp (CAO''s)'!$D$3:$D$6,0)) &amp; "'!A:A"),0)
        &amp; ":H" &amp;
        IF(N5&lt;&gt;"",
            MATCH(N5, INDIRECT("'" &amp; INDEX('Hulp (CAO''s)'!$C$3:$C$6,
                MATCH(TRUE,'Hulp (CAO''s)'!$D$3:$D$6,0)) &amp; "'!A:A"),0)-1,
            1000
        )
    )
) * M6
),
IF(
    IFERROR(MIN(
        IF(
            (TRIM(INDIRECT("'" &amp; INDEX('Hulp (CAO''s)'!$C$3:$C$6,
                MATCH(TRUE,'Hulp (CAO''s)'!$D$3:$D$6,0)) &amp; "'!B1:B1000")) = TEXT(M7,"0")) *
            (ROW(INDIRECT("'" &amp; INDEX('Hulp (CAO''s)'!$C$3:$C$6,
                MATCH(TRUE,'Hulp (CAO''s)'!$D$3:$D$6,0)) &amp; "'!B1:B1000")) &gt; MATCH(
                M5,
                INDIRECT("'" &amp; INDEX('Hulp (CAO''s)'!$C$3:$C$6,
                    MATCH(TRUE,'Hulp (CAO''s)'!$D$3:$D$6,0)) &amp; "'!A:A"),
                0
            )) *
            IF(
                N5="",
                1,
                (ROW(INDIRECT("'" &amp; INDEX('Hulp (CAO''s)'!$C$3:$C$6,
                    MATCH(TRUE,'Hulp (CAO''s)'!$D$3:$D$6,0)) &amp; "'!B1:B1000")) &lt; MATCH(
                    N5,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TEXT(M7,"0")) *
                (ROW(INDIRECT("'" &amp; INDEX('Hulp (CAO''s)'!$C$3:$C$6,
                    MATCH(TRUE,'Hulp (CAO''s)'!$D$3:$D$6,0)) &amp; "'!B1:B1000")) &gt; MATCH(
                    M5,
                    INDIRECT("'" &amp; INDEX('Hulp (CAO''s)'!$C$3:$C$6,
                        MATCH(TRUE,'Hulp (CAO''s)'!$D$3:$D$6,0)) &amp; "'!A:A"),
                    0
                )) *
                IF(
                    N5="",
                    1,
                    (ROW(INDIRECT("'" &amp; INDEX('Hulp (CAO''s)'!$C$3:$C$6,
                        MATCH(TRUE,'Hulp (CAO''s)'!$D$3:$D$6,0)) &amp; "'!B1:B1000")) &lt; MATCH(
                        N5,
                        INDIRECT("'" &amp; INDEX('Hulp (CAO''s)'!$C$3:$C$6,
                            MATCH(TRUE,'Hulp (CAO''s)'!$D$3:$D$6,0)) &amp; "'!A:A"),
                        0
                    ))
                ),
                ROW(INDIRECT("'" &amp; INDEX('Hulp (CAO''s)'!$C$3:$C$6,
                    MATCH(TRUE,'Hulp (CAO''s)'!$D$3:$D$6,0)) &amp; "'!B1:B1000"))
            )
        ),0)
    )
))</f>
        <v/>
      </c>
      <c r="N8" s="145" t="str">
        <f t="array" aca="1" ref="N8" ca="1">IF($D6="Gebruik % van maximum trede",
IF(
    OR(N5="",N6=""),
    "",
    MAX(
    INDIRECT("'" &amp; INDEX('Hulp (CAO''s)'!$C$3:$C$6,
        MATCH(TRUE,'Hulp (CAO''s)'!$D$3:$D$6,0)) &amp; "'!" &amp;
        INDEX('Hulp (CAO''s)'!$H$3:$H$6,
            MATCH(TRUE,'Hulp (CAO''s)'!$D$3:$D$6,0))
        &amp;
        MATCH(N5, INDIRECT("'" &amp; INDEX('Hulp (CAO''s)'!$C$3:$C$6,
            MATCH(TRUE,'Hulp (CAO''s)'!$D$3:$D$6,0)) &amp; "'!A:A"),0)
        &amp; ":H" &amp;
        IF(O5&lt;&gt;"",
            MATCH(O5, INDIRECT("'" &amp; INDEX('Hulp (CAO''s)'!$C$3:$C$6,
                MATCH(TRUE,'Hulp (CAO''s)'!$D$3:$D$6,0)) &amp; "'!A:A"),0)-1,
            1000
        )
    )
) * N6
),
IF(
    IFERROR(MIN(
        IF(
            (TRIM(INDIRECT("'" &amp; INDEX('Hulp (CAO''s)'!$C$3:$C$6,
                MATCH(TRUE,'Hulp (CAO''s)'!$D$3:$D$6,0)) &amp; "'!B1:B1000")) = TEXT(N7,"0")) *
            (ROW(INDIRECT("'" &amp; INDEX('Hulp (CAO''s)'!$C$3:$C$6,
                MATCH(TRUE,'Hulp (CAO''s)'!$D$3:$D$6,0)) &amp; "'!B1:B1000")) &gt; MATCH(
                N5,
                INDIRECT("'" &amp; INDEX('Hulp (CAO''s)'!$C$3:$C$6,
                    MATCH(TRUE,'Hulp (CAO''s)'!$D$3:$D$6,0)) &amp; "'!A:A"),
                0
            )) *
            IF(
                O5="",
                1,
                (ROW(INDIRECT("'" &amp; INDEX('Hulp (CAO''s)'!$C$3:$C$6,
                    MATCH(TRUE,'Hulp (CAO''s)'!$D$3:$D$6,0)) &amp; "'!B1:B1000")) &lt; MATCH(
                    O5,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TEXT(N7,"0")) *
                (ROW(INDIRECT("'" &amp; INDEX('Hulp (CAO''s)'!$C$3:$C$6,
                    MATCH(TRUE,'Hulp (CAO''s)'!$D$3:$D$6,0)) &amp; "'!B1:B1000")) &gt; MATCH(
                    N5,
                    INDIRECT("'" &amp; INDEX('Hulp (CAO''s)'!$C$3:$C$6,
                        MATCH(TRUE,'Hulp (CAO''s)'!$D$3:$D$6,0)) &amp; "'!A:A"),
                    0
                )) *
                IF(
                    O5="",
                    1,
                    (ROW(INDIRECT("'" &amp; INDEX('Hulp (CAO''s)'!$C$3:$C$6,
                        MATCH(TRUE,'Hulp (CAO''s)'!$D$3:$D$6,0)) &amp; "'!B1:B1000")) &lt; MATCH(
                        O5,
                        INDIRECT("'" &amp; INDEX('Hulp (CAO''s)'!$C$3:$C$6,
                            MATCH(TRUE,'Hulp (CAO''s)'!$D$3:$D$6,0)) &amp; "'!A:A"),
                        0
                    ))
                ),
                ROW(INDIRECT("'" &amp; INDEX('Hulp (CAO''s)'!$C$3:$C$6,
                    MATCH(TRUE,'Hulp (CAO''s)'!$D$3:$D$6,0)) &amp; "'!B1:B1000"))
            )
        ),0)
    )
))</f>
        <v/>
      </c>
      <c r="O8" s="145" t="str">
        <f t="array" aca="1" ref="O8" ca="1">IF($D6="Gebruik % van maximum trede",
IF(
    OR(O5="",O6=""),
    "",
    MAX(
    INDIRECT("'" &amp; INDEX('Hulp (CAO''s)'!$C$3:$C$6,
        MATCH(TRUE,'Hulp (CAO''s)'!$D$3:$D$6,0)) &amp; "'!" &amp;
        INDEX('Hulp (CAO''s)'!$H$3:$H$6,
            MATCH(TRUE,'Hulp (CAO''s)'!$D$3:$D$6,0))
        &amp;
        MATCH(O5, INDIRECT("'" &amp; INDEX('Hulp (CAO''s)'!$C$3:$C$6,
            MATCH(TRUE,'Hulp (CAO''s)'!$D$3:$D$6,0)) &amp; "'!A:A"),0)
        &amp; ":H" &amp;
        IF(P5&lt;&gt;"",
            MATCH(P5, INDIRECT("'" &amp; INDEX('Hulp (CAO''s)'!$C$3:$C$6,
                MATCH(TRUE,'Hulp (CAO''s)'!$D$3:$D$6,0)) &amp; "'!A:A"),0)-1,
            1000
        )
    )
) * O6
),
IF(
    IFERROR(MIN(
        IF(
            (TRIM(INDIRECT("'" &amp; INDEX('Hulp (CAO''s)'!$C$3:$C$6,
                MATCH(TRUE,'Hulp (CAO''s)'!$D$3:$D$6,0)) &amp; "'!B1:B1000")) = TEXT(O7,"0")) *
            (ROW(INDIRECT("'" &amp; INDEX('Hulp (CAO''s)'!$C$3:$C$6,
                MATCH(TRUE,'Hulp (CAO''s)'!$D$3:$D$6,0)) &amp; "'!B1:B1000")) &gt; MATCH(
                O5,
                INDIRECT("'" &amp; INDEX('Hulp (CAO''s)'!$C$3:$C$6,
                    MATCH(TRUE,'Hulp (CAO''s)'!$D$3:$D$6,0)) &amp; "'!A:A"),
                0
            )) *
            IF(
                P5="",
                1,
                (ROW(INDIRECT("'" &amp; INDEX('Hulp (CAO''s)'!$C$3:$C$6,
                    MATCH(TRUE,'Hulp (CAO''s)'!$D$3:$D$6,0)) &amp; "'!B1:B1000")) &lt; MATCH(
                    P5,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TEXT(O7,"0")) *
                (ROW(INDIRECT("'" &amp; INDEX('Hulp (CAO''s)'!$C$3:$C$6,
                    MATCH(TRUE,'Hulp (CAO''s)'!$D$3:$D$6,0)) &amp; "'!B1:B1000")) &gt; MATCH(
                    O5,
                    INDIRECT("'" &amp; INDEX('Hulp (CAO''s)'!$C$3:$C$6,
                        MATCH(TRUE,'Hulp (CAO''s)'!$D$3:$D$6,0)) &amp; "'!A:A"),
                    0
                )) *
                IF(
                    P5="",
                    1,
                    (ROW(INDIRECT("'" &amp; INDEX('Hulp (CAO''s)'!$C$3:$C$6,
                        MATCH(TRUE,'Hulp (CAO''s)'!$D$3:$D$6,0)) &amp; "'!B1:B1000")) &lt; MATCH(
                        P5,
                        INDIRECT("'" &amp; INDEX('Hulp (CAO''s)'!$C$3:$C$6,
                            MATCH(TRUE,'Hulp (CAO''s)'!$D$3:$D$6,0)) &amp; "'!A:A"),
                        0
                    ))
                ),
                ROW(INDIRECT("'" &amp; INDEX('Hulp (CAO''s)'!$C$3:$C$6,
                    MATCH(TRUE,'Hulp (CAO''s)'!$D$3:$D$6,0)) &amp; "'!B1:B1000"))
            )
        ),0)
    )
))</f>
        <v/>
      </c>
      <c r="P8" s="145" t="str">
        <f t="array" aca="1" ref="P8" ca="1">IF($D6="Gebruik % van maximum trede",
IF(
    OR(P5="",P6=""),
    "",
    MAX(
    INDIRECT("'" &amp; INDEX('Hulp (CAO''s)'!$C$3:$C$6,
        MATCH(TRUE,'Hulp (CAO''s)'!$D$3:$D$6,0)) &amp; "'!" &amp;
        INDEX('Hulp (CAO''s)'!$H$3:$H$6,
            MATCH(TRUE,'Hulp (CAO''s)'!$D$3:$D$6,0))
        &amp;
        MATCH(P5, INDIRECT("'" &amp; INDEX('Hulp (CAO''s)'!$C$3:$C$6,
            MATCH(TRUE,'Hulp (CAO''s)'!$D$3:$D$6,0)) &amp; "'!A:A"),0)
        &amp; ":H" &amp;
        IF(Q5&lt;&gt;"",
            MATCH(Q5, INDIRECT("'" &amp; INDEX('Hulp (CAO''s)'!$C$3:$C$6,
                MATCH(TRUE,'Hulp (CAO''s)'!$D$3:$D$6,0)) &amp; "'!A:A"),0)-1,
            1000
        )
    )
) * P6
),
IF(
    IFERROR(MIN(
        IF(
            (TRIM(INDIRECT("'" &amp; INDEX('Hulp (CAO''s)'!$C$3:$C$6,
                MATCH(TRUE,'Hulp (CAO''s)'!$D$3:$D$6,0)) &amp; "'!B1:B1000")) = TEXT(P7,"0")) *
            (ROW(INDIRECT("'" &amp; INDEX('Hulp (CAO''s)'!$C$3:$C$6,
                MATCH(TRUE,'Hulp (CAO''s)'!$D$3:$D$6,0)) &amp; "'!B1:B1000")) &gt; MATCH(
                P5,
                INDIRECT("'" &amp; INDEX('Hulp (CAO''s)'!$C$3:$C$6,
                    MATCH(TRUE,'Hulp (CAO''s)'!$D$3:$D$6,0)) &amp; "'!A:A"),
                0
            )) *
            IF(
                Q5="",
                1,
                (ROW(INDIRECT("'" &amp; INDEX('Hulp (CAO''s)'!$C$3:$C$6,
                    MATCH(TRUE,'Hulp (CAO''s)'!$D$3:$D$6,0)) &amp; "'!B1:B1000")) &lt; MATCH(
                    Q5,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TEXT(P7,"0")) *
                (ROW(INDIRECT("'" &amp; INDEX('Hulp (CAO''s)'!$C$3:$C$6,
                    MATCH(TRUE,'Hulp (CAO''s)'!$D$3:$D$6,0)) &amp; "'!B1:B1000")) &gt; MATCH(
                    P5,
                    INDIRECT("'" &amp; INDEX('Hulp (CAO''s)'!$C$3:$C$6,
                        MATCH(TRUE,'Hulp (CAO''s)'!$D$3:$D$6,0)) &amp; "'!A:A"),
                    0
                )) *
                IF(
                    Q5="",
                    1,
                    (ROW(INDIRECT("'" &amp; INDEX('Hulp (CAO''s)'!$C$3:$C$6,
                        MATCH(TRUE,'Hulp (CAO''s)'!$D$3:$D$6,0)) &amp; "'!B1:B1000")) &lt; MATCH(
                        Q5,
                        INDIRECT("'" &amp; INDEX('Hulp (CAO''s)'!$C$3:$C$6,
                            MATCH(TRUE,'Hulp (CAO''s)'!$D$3:$D$6,0)) &amp; "'!A:A"),
                        0
                    ))
                ),
                ROW(INDIRECT("'" &amp; INDEX('Hulp (CAO''s)'!$C$3:$C$6,
                    MATCH(TRUE,'Hulp (CAO''s)'!$D$3:$D$6,0)) &amp; "'!B1:B1000"))
            )
        ),0)
    )
))</f>
        <v/>
      </c>
      <c r="Q8" s="145" t="str">
        <f t="array" aca="1" ref="Q8" ca="1">IF($D6="Gebruik % van maximum trede",
IF(
    OR(Q5="",Q6=""),
    "",
    MAX(
    INDIRECT("'" &amp; INDEX('Hulp (CAO''s)'!$C$3:$C$6,
        MATCH(TRUE,'Hulp (CAO''s)'!$D$3:$D$6,0)) &amp; "'!" &amp;
        INDEX('Hulp (CAO''s)'!$H$3:$H$6,
            MATCH(TRUE,'Hulp (CAO''s)'!$D$3:$D$6,0))
        &amp;
        MATCH(Q5, INDIRECT("'" &amp; INDEX('Hulp (CAO''s)'!$C$3:$C$6,
            MATCH(TRUE,'Hulp (CAO''s)'!$D$3:$D$6,0)) &amp; "'!A:A"),0)
        &amp; ":H" &amp;
        IF(R5&lt;&gt;"",
            MATCH(R5, INDIRECT("'" &amp; INDEX('Hulp (CAO''s)'!$C$3:$C$6,
                MATCH(TRUE,'Hulp (CAO''s)'!$D$3:$D$6,0)) &amp; "'!A:A"),0)-1,
            1000
        )
    )
) * Q6
),
IF(
    IFERROR(MIN(
        IF(
            (TRIM(INDIRECT("'" &amp; INDEX('Hulp (CAO''s)'!$C$3:$C$6,
                MATCH(TRUE,'Hulp (CAO''s)'!$D$3:$D$6,0)) &amp; "'!B1:B1000")) = TEXT(Q7,"0")) *
            (ROW(INDIRECT("'" &amp; INDEX('Hulp (CAO''s)'!$C$3:$C$6,
                MATCH(TRUE,'Hulp (CAO''s)'!$D$3:$D$6,0)) &amp; "'!B1:B1000")) &gt; MATCH(
                Q5,
                INDIRECT("'" &amp; INDEX('Hulp (CAO''s)'!$C$3:$C$6,
                    MATCH(TRUE,'Hulp (CAO''s)'!$D$3:$D$6,0)) &amp; "'!A:A"),
                0
            )) *
            IF(
                R5="",
                1,
                (ROW(INDIRECT("'" &amp; INDEX('Hulp (CAO''s)'!$C$3:$C$6,
                    MATCH(TRUE,'Hulp (CAO''s)'!$D$3:$D$6,0)) &amp; "'!B1:B1000")) &lt; MATCH(
                    R5,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TEXT(Q7,"0")) *
                (ROW(INDIRECT("'" &amp; INDEX('Hulp (CAO''s)'!$C$3:$C$6,
                    MATCH(TRUE,'Hulp (CAO''s)'!$D$3:$D$6,0)) &amp; "'!B1:B1000")) &gt; MATCH(
                    Q5,
                    INDIRECT("'" &amp; INDEX('Hulp (CAO''s)'!$C$3:$C$6,
                        MATCH(TRUE,'Hulp (CAO''s)'!$D$3:$D$6,0)) &amp; "'!A:A"),
                    0
                )) *
                IF(
                    R5="",
                    1,
                    (ROW(INDIRECT("'" &amp; INDEX('Hulp (CAO''s)'!$C$3:$C$6,
                        MATCH(TRUE,'Hulp (CAO''s)'!$D$3:$D$6,0)) &amp; "'!B1:B1000")) &lt; MATCH(
                        R5,
                        INDIRECT("'" &amp; INDEX('Hulp (CAO''s)'!$C$3:$C$6,
                            MATCH(TRUE,'Hulp (CAO''s)'!$D$3:$D$6,0)) &amp; "'!A:A"),
                        0
                    ))
                ),
                ROW(INDIRECT("'" &amp; INDEX('Hulp (CAO''s)'!$C$3:$C$6,
                    MATCH(TRUE,'Hulp (CAO''s)'!$D$3:$D$6,0)) &amp; "'!B1:B1000"))
            )
        ),0)
    )
))</f>
        <v/>
      </c>
      <c r="R8" s="145" t="str">
        <f t="array" aca="1" ref="R8" ca="1">IF($D6="Gebruik % van maximum trede",
IF(
    OR(R5="",R6=""),
    "",
    MAX(
    INDIRECT("'" &amp; INDEX('Hulp (CAO''s)'!$C$3:$C$6,
        MATCH(TRUE,'Hulp (CAO''s)'!$D$3:$D$6,0)) &amp; "'!" &amp;
        INDEX('Hulp (CAO''s)'!$H$3:$H$6,
            MATCH(TRUE,'Hulp (CAO''s)'!$D$3:$D$6,0))
        &amp;
        MATCH(R5, INDIRECT("'" &amp; INDEX('Hulp (CAO''s)'!$C$3:$C$6,
            MATCH(TRUE,'Hulp (CAO''s)'!$D$3:$D$6,0)) &amp; "'!A:A"),0)
        &amp; ":H" &amp;
        IF(S5&lt;&gt;"",
            MATCH(S5, INDIRECT("'" &amp; INDEX('Hulp (CAO''s)'!$C$3:$C$6,
                MATCH(TRUE,'Hulp (CAO''s)'!$D$3:$D$6,0)) &amp; "'!A:A"),0)-1,
            1000
        )
    )
) * R6
),
IF(
    IFERROR(MIN(
        IF(
            (TRIM(INDIRECT("'" &amp; INDEX('Hulp (CAO''s)'!$C$3:$C$6,
                MATCH(TRUE,'Hulp (CAO''s)'!$D$3:$D$6,0)) &amp; "'!B1:B1000")) = TEXT(R7,"0")) *
            (ROW(INDIRECT("'" &amp; INDEX('Hulp (CAO''s)'!$C$3:$C$6,
                MATCH(TRUE,'Hulp (CAO''s)'!$D$3:$D$6,0)) &amp; "'!B1:B1000")) &gt; MATCH(
                R5,
                INDIRECT("'" &amp; INDEX('Hulp (CAO''s)'!$C$3:$C$6,
                    MATCH(TRUE,'Hulp (CAO''s)'!$D$3:$D$6,0)) &amp; "'!A:A"),
                0
            )) *
            IF(
                S5="",
                1,
                (ROW(INDIRECT("'" &amp; INDEX('Hulp (CAO''s)'!$C$3:$C$6,
                    MATCH(TRUE,'Hulp (CAO''s)'!$D$3:$D$6,0)) &amp; "'!B1:B1000")) &lt; MATCH(
                    S5,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TEXT(R7,"0")) *
                (ROW(INDIRECT("'" &amp; INDEX('Hulp (CAO''s)'!$C$3:$C$6,
                    MATCH(TRUE,'Hulp (CAO''s)'!$D$3:$D$6,0)) &amp; "'!B1:B1000")) &gt; MATCH(
                    R5,
                    INDIRECT("'" &amp; INDEX('Hulp (CAO''s)'!$C$3:$C$6,
                        MATCH(TRUE,'Hulp (CAO''s)'!$D$3:$D$6,0)) &amp; "'!A:A"),
                    0
                )) *
                IF(
                    S5="",
                    1,
                    (ROW(INDIRECT("'" &amp; INDEX('Hulp (CAO''s)'!$C$3:$C$6,
                        MATCH(TRUE,'Hulp (CAO''s)'!$D$3:$D$6,0)) &amp; "'!B1:B1000")) &lt; MATCH(
                        S5,
                        INDIRECT("'" &amp; INDEX('Hulp (CAO''s)'!$C$3:$C$6,
                            MATCH(TRUE,'Hulp (CAO''s)'!$D$3:$D$6,0)) &amp; "'!A:A"),
                        0
                    ))
                ),
                ROW(INDIRECT("'" &amp; INDEX('Hulp (CAO''s)'!$C$3:$C$6,
                    MATCH(TRUE,'Hulp (CAO''s)'!$D$3:$D$6,0)) &amp; "'!B1:B1000"))
            )
        ),0)
    )
))</f>
        <v/>
      </c>
      <c r="S8" s="145" t="str">
        <f t="array" aca="1" ref="S8" ca="1">IF($D6="Gebruik % van maximum trede",
IF(
    OR(S5="",S6=""),
    "",
    MAX(
    INDIRECT("'" &amp; INDEX('Hulp (CAO''s)'!$C$3:$C$6,
        MATCH(TRUE,'Hulp (CAO''s)'!$D$3:$D$6,0)) &amp; "'!" &amp;
        INDEX('Hulp (CAO''s)'!$H$3:$H$6,
            MATCH(TRUE,'Hulp (CAO''s)'!$D$3:$D$6,0))
        &amp;
        MATCH(S5, INDIRECT("'" &amp; INDEX('Hulp (CAO''s)'!$C$3:$C$6,
            MATCH(TRUE,'Hulp (CAO''s)'!$D$3:$D$6,0)) &amp; "'!A:A"),0)
        &amp; ":H" &amp;
        IF(T5&lt;&gt;"",
            MATCH(T5, INDIRECT("'" &amp; INDEX('Hulp (CAO''s)'!$C$3:$C$6,
                MATCH(TRUE,'Hulp (CAO''s)'!$D$3:$D$6,0)) &amp; "'!A:A"),0)-1,
            1000
        )
    )
) * S6
),
IF(
    IFERROR(MIN(
        IF(
            (TRIM(INDIRECT("'" &amp; INDEX('Hulp (CAO''s)'!$C$3:$C$6,
                MATCH(TRUE,'Hulp (CAO''s)'!$D$3:$D$6,0)) &amp; "'!B1:B1000")) = TEXT(S7,"0")) *
            (ROW(INDIRECT("'" &amp; INDEX('Hulp (CAO''s)'!$C$3:$C$6,
                MATCH(TRUE,'Hulp (CAO''s)'!$D$3:$D$6,0)) &amp; "'!B1:B1000")) &gt; MATCH(
                S5,
                INDIRECT("'" &amp; INDEX('Hulp (CAO''s)'!$C$3:$C$6,
                    MATCH(TRUE,'Hulp (CAO''s)'!$D$3:$D$6,0)) &amp; "'!A:A"),
                0
            )) *
            IF(
                T5="",
                1,
                (ROW(INDIRECT("'" &amp; INDEX('Hulp (CAO''s)'!$C$3:$C$6,
                    MATCH(TRUE,'Hulp (CAO''s)'!$D$3:$D$6,0)) &amp; "'!B1:B1000")) &lt; MATCH(
                    T5,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TEXT(S7,"0")) *
                (ROW(INDIRECT("'" &amp; INDEX('Hulp (CAO''s)'!$C$3:$C$6,
                    MATCH(TRUE,'Hulp (CAO''s)'!$D$3:$D$6,0)) &amp; "'!B1:B1000")) &gt; MATCH(
                    S5,
                    INDIRECT("'" &amp; INDEX('Hulp (CAO''s)'!$C$3:$C$6,
                        MATCH(TRUE,'Hulp (CAO''s)'!$D$3:$D$6,0)) &amp; "'!A:A"),
                    0
                )) *
                IF(
                    T5="",
                    1,
                    (ROW(INDIRECT("'" &amp; INDEX('Hulp (CAO''s)'!$C$3:$C$6,
                        MATCH(TRUE,'Hulp (CAO''s)'!$D$3:$D$6,0)) &amp; "'!B1:B1000")) &lt; MATCH(
                        T5,
                        INDIRECT("'" &amp; INDEX('Hulp (CAO''s)'!$C$3:$C$6,
                            MATCH(TRUE,'Hulp (CAO''s)'!$D$3:$D$6,0)) &amp; "'!A:A"),
                        0
                    ))
                ),
                ROW(INDIRECT("'" &amp; INDEX('Hulp (CAO''s)'!$C$3:$C$6,
                    MATCH(TRUE,'Hulp (CAO''s)'!$D$3:$D$6,0)) &amp; "'!B1:B1000"))
            )
        ),0)
    )
))</f>
        <v/>
      </c>
      <c r="T8" s="145" t="str">
        <f t="array" aca="1" ref="T8" ca="1">IF($D6="Gebruik % van maximum trede",
IF(
    OR(T5="",T6=""),
    "",
    MAX(
    INDIRECT("'" &amp; INDEX('Hulp (CAO''s)'!$C$3:$C$6,
        MATCH(TRUE,'Hulp (CAO''s)'!$D$3:$D$6,0)) &amp; "'!" &amp;
        INDEX('Hulp (CAO''s)'!$H$3:$H$6,
            MATCH(TRUE,'Hulp (CAO''s)'!$D$3:$D$6,0))
        &amp;
        MATCH(T5, INDIRECT("'" &amp; INDEX('Hulp (CAO''s)'!$C$3:$C$6,
            MATCH(TRUE,'Hulp (CAO''s)'!$D$3:$D$6,0)) &amp; "'!A:A"),0)
        &amp; ":H" &amp;
        IF(U5&lt;&gt;"",
            MATCH(U5, INDIRECT("'" &amp; INDEX('Hulp (CAO''s)'!$C$3:$C$6,
                MATCH(TRUE,'Hulp (CAO''s)'!$D$3:$D$6,0)) &amp; "'!A:A"),0)-1,
            1000
        )
    )
) * T6
),
IF(
    IFERROR(MIN(
        IF(
            (TRIM(INDIRECT("'" &amp; INDEX('Hulp (CAO''s)'!$C$3:$C$6,
                MATCH(TRUE,'Hulp (CAO''s)'!$D$3:$D$6,0)) &amp; "'!B1:B1000")) = TEXT(T7,"0")) *
            (ROW(INDIRECT("'" &amp; INDEX('Hulp (CAO''s)'!$C$3:$C$6,
                MATCH(TRUE,'Hulp (CAO''s)'!$D$3:$D$6,0)) &amp; "'!B1:B1000")) &gt; MATCH(
                T5,
                INDIRECT("'" &amp; INDEX('Hulp (CAO''s)'!$C$3:$C$6,
                    MATCH(TRUE,'Hulp (CAO''s)'!$D$3:$D$6,0)) &amp; "'!A:A"),
                0
            )) *
            IF(
                U5="",
                1,
                (ROW(INDIRECT("'" &amp; INDEX('Hulp (CAO''s)'!$C$3:$C$6,
                    MATCH(TRUE,'Hulp (CAO''s)'!$D$3:$D$6,0)) &amp; "'!B1:B1000")) &lt; MATCH(
                    U5,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TEXT(T7,"0")) *
                (ROW(INDIRECT("'" &amp; INDEX('Hulp (CAO''s)'!$C$3:$C$6,
                    MATCH(TRUE,'Hulp (CAO''s)'!$D$3:$D$6,0)) &amp; "'!B1:B1000")) &gt; MATCH(
                    T5,
                    INDIRECT("'" &amp; INDEX('Hulp (CAO''s)'!$C$3:$C$6,
                        MATCH(TRUE,'Hulp (CAO''s)'!$D$3:$D$6,0)) &amp; "'!A:A"),
                    0
                )) *
                IF(
                    U5="",
                    1,
                    (ROW(INDIRECT("'" &amp; INDEX('Hulp (CAO''s)'!$C$3:$C$6,
                        MATCH(TRUE,'Hulp (CAO''s)'!$D$3:$D$6,0)) &amp; "'!B1:B1000")) &lt; MATCH(
                        U5,
                        INDIRECT("'" &amp; INDEX('Hulp (CAO''s)'!$C$3:$C$6,
                            MATCH(TRUE,'Hulp (CAO''s)'!$D$3:$D$6,0)) &amp; "'!A:A"),
                        0
                    ))
                ),
                ROW(INDIRECT("'" &amp; INDEX('Hulp (CAO''s)'!$C$3:$C$6,
                    MATCH(TRUE,'Hulp (CAO''s)'!$D$3:$D$6,0)) &amp; "'!B1:B1000"))
            )
        ),0)
    )
))</f>
        <v/>
      </c>
      <c r="U8" s="145" t="str">
        <f t="array" aca="1" ref="U8" ca="1">IF($D6="Gebruik % van maximum trede",
IF(
    OR(U5="",U6=""),
    "",
    MAX(
    INDIRECT("'" &amp; INDEX('Hulp (CAO''s)'!$C$3:$C$6,
        MATCH(TRUE,'Hulp (CAO''s)'!$D$3:$D$6,0)) &amp; "'!" &amp;
        INDEX('Hulp (CAO''s)'!$H$3:$H$6,
            MATCH(TRUE,'Hulp (CAO''s)'!$D$3:$D$6,0))
        &amp;
        MATCH(U5, INDIRECT("'" &amp; INDEX('Hulp (CAO''s)'!$C$3:$C$6,
            MATCH(TRUE,'Hulp (CAO''s)'!$D$3:$D$6,0)) &amp; "'!A:A"),0)
        &amp; ":H" &amp;
        IF(V5&lt;&gt;"",
            MATCH(V5, INDIRECT("'" &amp; INDEX('Hulp (CAO''s)'!$C$3:$C$6,
                MATCH(TRUE,'Hulp (CAO''s)'!$D$3:$D$6,0)) &amp; "'!A:A"),0)-1,
            1000
        )
    )
) * U6
),
IF(
    IFERROR(MIN(
        IF(
            (TRIM(INDIRECT("'" &amp; INDEX('Hulp (CAO''s)'!$C$3:$C$6,
                MATCH(TRUE,'Hulp (CAO''s)'!$D$3:$D$6,0)) &amp; "'!B1:B1000")) = TEXT(U7,"0")) *
            (ROW(INDIRECT("'" &amp; INDEX('Hulp (CAO''s)'!$C$3:$C$6,
                MATCH(TRUE,'Hulp (CAO''s)'!$D$3:$D$6,0)) &amp; "'!B1:B1000")) &gt; MATCH(
                U5,
                INDIRECT("'" &amp; INDEX('Hulp (CAO''s)'!$C$3:$C$6,
                    MATCH(TRUE,'Hulp (CAO''s)'!$D$3:$D$6,0)) &amp; "'!A:A"),
                0
            )) *
            IF(
                V5="",
                1,
                (ROW(INDIRECT("'" &amp; INDEX('Hulp (CAO''s)'!$C$3:$C$6,
                    MATCH(TRUE,'Hulp (CAO''s)'!$D$3:$D$6,0)) &amp; "'!B1:B1000")) &lt; MATCH(
                    V5,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TEXT(U7,"0")) *
                (ROW(INDIRECT("'" &amp; INDEX('Hulp (CAO''s)'!$C$3:$C$6,
                    MATCH(TRUE,'Hulp (CAO''s)'!$D$3:$D$6,0)) &amp; "'!B1:B1000")) &gt; MATCH(
                    U5,
                    INDIRECT("'" &amp; INDEX('Hulp (CAO''s)'!$C$3:$C$6,
                        MATCH(TRUE,'Hulp (CAO''s)'!$D$3:$D$6,0)) &amp; "'!A:A"),
                    0
                )) *
                IF(
                    V5="",
                    1,
                    (ROW(INDIRECT("'" &amp; INDEX('Hulp (CAO''s)'!$C$3:$C$6,
                        MATCH(TRUE,'Hulp (CAO''s)'!$D$3:$D$6,0)) &amp; "'!B1:B1000")) &lt; MATCH(
                        V5,
                        INDIRECT("'" &amp; INDEX('Hulp (CAO''s)'!$C$3:$C$6,
                            MATCH(TRUE,'Hulp (CAO''s)'!$D$3:$D$6,0)) &amp; "'!A:A"),
                        0
                    ))
                ),
                ROW(INDIRECT("'" &amp; INDEX('Hulp (CAO''s)'!$C$3:$C$6,
                    MATCH(TRUE,'Hulp (CAO''s)'!$D$3:$D$6,0)) &amp; "'!B1:B1000"))
            )
        ),0)
    )
))</f>
        <v/>
      </c>
      <c r="V8" s="165" t="str">
        <f t="array" aca="1" ref="V8" ca="1">IF(SUM(F9:U9)=0,"",
IF(
   SUM(F8:U8)=0,
   "",
   (
      SUMPRODUCT(
         IF(F8:U8="",0,F8:U8),
         IF(F9:U9="",0,F9:U9) * SUM(F9:U9)
      )
   ) *
   IF(
      'Hulp (CAO''s)'!#REF!,
      IF(
         OR(
            INDEX(#REF!, ROW(#REF!) + INT((ROW()-ROW($V$8))/6)*8)="",
            ISNA(INDEX(#REF!, ROW(#REF!) + INT((ROW()-ROW($V$8))/6)*8))
         ),
         1878/12,
         INDEX(#REF!, ROW(#REF!) + INT((ROW()-ROW($V$8))/6)*8)/12
      ),
      1
   )
))</f>
        <v/>
      </c>
      <c r="W8" s="171" t="str">
        <f ca="1">IF(B5="","",
    IF(W7="","",
        IF(INDIRECT("'Hulp (control forms)'!C" &amp; (13 + INT((ROW()-ROW($B$5))/7))),
            W7,
            V8
        )
    )
)</f>
        <v/>
      </c>
      <c r="X8" s="170" t="str">
        <f ca="1">IF(AND($B5&lt;&gt;"", $W8=""),"!","")</f>
        <v/>
      </c>
    </row>
    <row r="9" spans="1:29" ht="16.05" customHeight="1" thickBot="1" x14ac:dyDescent="0.55000000000000004">
      <c r="C9" s="151"/>
      <c r="D9" s="141" t="s">
        <v>60</v>
      </c>
      <c r="E9" s="24" t="s">
        <v>59</v>
      </c>
      <c r="F9" s="146">
        <v>0.05</v>
      </c>
      <c r="G9" s="146">
        <v>0.1</v>
      </c>
      <c r="H9" s="146">
        <v>0.1</v>
      </c>
      <c r="I9" s="146">
        <v>0.15</v>
      </c>
      <c r="J9" s="146">
        <v>0.2</v>
      </c>
      <c r="K9" s="146">
        <v>0.15</v>
      </c>
      <c r="L9" s="146">
        <v>0.1</v>
      </c>
      <c r="M9" s="146">
        <v>0.05</v>
      </c>
      <c r="N9" s="146">
        <v>0.05</v>
      </c>
      <c r="O9" s="146">
        <v>0.05</v>
      </c>
      <c r="P9" s="146">
        <v>0</v>
      </c>
      <c r="Q9" s="146"/>
      <c r="R9" s="146"/>
      <c r="S9" s="146"/>
      <c r="T9" s="146"/>
      <c r="U9" s="147"/>
      <c r="V9" s="142" t="str">
        <f ca="1">IF($B5="","",IF($D9="Aandeel in %",
   "Totaal: "&amp;SUM(F9:U9)*100&amp;"%",
   "Totaal: "&amp;SUM(F9:U9)&amp;" uur"
))</f>
        <v/>
      </c>
      <c r="W9" s="168"/>
      <c r="X9" s="153"/>
    </row>
    <row r="10" spans="1:29" ht="16.05" customHeight="1" thickBot="1" x14ac:dyDescent="0.55000000000000004">
      <c r="C10" s="154"/>
      <c r="D10" s="140"/>
      <c r="E10" s="140"/>
      <c r="F10" s="140"/>
      <c r="G10" s="140"/>
      <c r="H10" s="140"/>
      <c r="I10" s="140"/>
      <c r="J10" s="140"/>
      <c r="K10" s="140"/>
      <c r="L10" s="140"/>
      <c r="M10" s="140"/>
      <c r="N10" s="140"/>
      <c r="O10" s="140"/>
      <c r="P10" s="140"/>
      <c r="Q10" s="140"/>
      <c r="R10" s="140"/>
      <c r="S10" s="140"/>
      <c r="T10" s="155"/>
      <c r="U10" s="155"/>
      <c r="V10" s="169"/>
      <c r="W10" s="169"/>
      <c r="X10" s="156"/>
    </row>
    <row r="11" spans="1:29" ht="16.05" customHeight="1" thickBot="1" x14ac:dyDescent="0.55000000000000004">
      <c r="B11" s="159" t="str">
        <f ca="1">IF(B12="","",
IF(
   OR(
      INDIRECT("'1a. Input organisatieniveau'!AC" &amp; (7 + INT((ROW()-4)/7)))="",
      INDIRECT("'1a. Input organisatieniveau'!AC" &amp; (7 + INT((ROW()-4)/7)))=0
   ),
   "",
   INDIRECT("'1a. Input organisatieniveau'!AC" &amp; (7 + INT((ROW()-4)/7)))
))</f>
        <v/>
      </c>
      <c r="C11" s="148"/>
      <c r="D11" s="139"/>
      <c r="E11" s="139"/>
      <c r="F11" s="149" t="str">
        <f t="shared" ref="F11:U11" ca="1" si="1">IF($D13="Gebruik % van maximum trede", IF(AND(AND(F12&lt;&gt;"",F13&lt;&gt;""),F15=""),"!",""), IF(AND(AND(F12&lt;&gt;"",F14&lt;&gt;""),F15=""),"!",""))</f>
        <v/>
      </c>
      <c r="G11" s="149" t="str">
        <f t="shared" ca="1" si="1"/>
        <v/>
      </c>
      <c r="H11" s="149" t="str">
        <f t="shared" ca="1" si="1"/>
        <v/>
      </c>
      <c r="I11" s="149" t="str">
        <f t="shared" ca="1" si="1"/>
        <v/>
      </c>
      <c r="J11" s="149" t="str">
        <f t="shared" ca="1" si="1"/>
        <v/>
      </c>
      <c r="K11" s="149" t="str">
        <f t="shared" ca="1" si="1"/>
        <v/>
      </c>
      <c r="L11" s="149" t="str">
        <f t="shared" ca="1" si="1"/>
        <v/>
      </c>
      <c r="M11" s="149" t="str">
        <f t="shared" ca="1" si="1"/>
        <v/>
      </c>
      <c r="N11" s="149" t="str">
        <f t="shared" ca="1" si="1"/>
        <v/>
      </c>
      <c r="O11" s="149" t="str">
        <f t="shared" ca="1" si="1"/>
        <v/>
      </c>
      <c r="P11" s="149" t="str">
        <f t="shared" ca="1" si="1"/>
        <v/>
      </c>
      <c r="Q11" s="149" t="str">
        <f t="shared" ca="1" si="1"/>
        <v/>
      </c>
      <c r="R11" s="149" t="str">
        <f t="shared" ca="1" si="1"/>
        <v/>
      </c>
      <c r="S11" s="149" t="str">
        <f t="shared" ca="1" si="1"/>
        <v/>
      </c>
      <c r="T11" s="149" t="str">
        <f t="shared" ca="1" si="1"/>
        <v/>
      </c>
      <c r="U11" s="149" t="str">
        <f t="shared" ca="1" si="1"/>
        <v/>
      </c>
      <c r="V11" s="167"/>
      <c r="W11" s="167"/>
      <c r="X11" s="150"/>
    </row>
    <row r="12" spans="1:29" ht="16.05" customHeight="1" thickBot="1" x14ac:dyDescent="0.55000000000000004">
      <c r="B12" s="158" t="str">
        <f ca="1">IF(
   OR(
      INDIRECT("'1a. Input organisatieniveau'!AA" &amp; (7 + INT((ROW()-4)/7)))="",
      INDIRECT("'1a. Input organisatieniveau'!AA" &amp; (7 + INT((ROW()-4)/7)))=0
   ),
   "",
   INDIRECT("'1a. Input organisatieniveau'!AA" &amp; (7 + INT((ROW()-4)/7)))
)</f>
        <v/>
      </c>
      <c r="C12" s="151"/>
      <c r="D12" s="152"/>
      <c r="E12" s="22" t="s">
        <v>28</v>
      </c>
      <c r="F12" s="143" t="str">
        <f t="array" aca="1" ref="F12" ca="1">IF($B12="", "", INDEX('Hulp (CAO''s)'!J$3:J$6, MATCH(TRUE, 'Hulp (CAO''s)'!$D$3:$D$6, 0)))</f>
        <v/>
      </c>
      <c r="G12" s="143" t="str">
        <f t="array" aca="1" ref="G12" ca="1">IF($B12="", "", INDEX('Hulp (CAO''s)'!K$3:K$6, MATCH(TRUE, 'Hulp (CAO''s)'!$D$3:$D$6, 0)))</f>
        <v/>
      </c>
      <c r="H12" s="143" t="str">
        <f t="array" aca="1" ref="H12" ca="1">IF($B12="", "", INDEX('Hulp (CAO''s)'!L$3:L$6, MATCH(TRUE, 'Hulp (CAO''s)'!$D$3:$D$6, 0)))</f>
        <v/>
      </c>
      <c r="I12" s="143" t="str">
        <f t="array" aca="1" ref="I12" ca="1">IF($B12="", "", INDEX('Hulp (CAO''s)'!M$3:M$6, MATCH(TRUE, 'Hulp (CAO''s)'!$D$3:$D$6, 0)))</f>
        <v/>
      </c>
      <c r="J12" s="143" t="str">
        <f t="array" aca="1" ref="J12" ca="1">IF($B12="", "", INDEX('Hulp (CAO''s)'!N$3:N$6, MATCH(TRUE, 'Hulp (CAO''s)'!$D$3:$D$6, 0)))</f>
        <v/>
      </c>
      <c r="K12" s="143" t="str">
        <f t="array" aca="1" ref="K12" ca="1">IF($B12="", "", INDEX('Hulp (CAO''s)'!O$3:O$6, MATCH(TRUE, 'Hulp (CAO''s)'!$D$3:$D$6, 0)))</f>
        <v/>
      </c>
      <c r="L12" s="143" t="str">
        <f t="array" aca="1" ref="L12" ca="1">IF($B12="", "", INDEX('Hulp (CAO''s)'!P$3:P$6, MATCH(TRUE, 'Hulp (CAO''s)'!$D$3:$D$6, 0)))</f>
        <v/>
      </c>
      <c r="M12" s="143" t="str">
        <f t="array" aca="1" ref="M12" ca="1">IF($B12="", "", INDEX('Hulp (CAO''s)'!Q$3:Q$6, MATCH(TRUE, 'Hulp (CAO''s)'!$D$3:$D$6, 0)))</f>
        <v/>
      </c>
      <c r="N12" s="143" t="str">
        <f t="array" aca="1" ref="N12" ca="1">IF($B12="", "", INDEX('Hulp (CAO''s)'!R$3:R$6, MATCH(TRUE, 'Hulp (CAO''s)'!$D$3:$D$6, 0)))</f>
        <v/>
      </c>
      <c r="O12" s="143" t="str">
        <f t="array" aca="1" ref="O12" ca="1">IF($B12="", "", INDEX('Hulp (CAO''s)'!S$3:S$6, MATCH(TRUE, 'Hulp (CAO''s)'!$D$3:$D$6, 0)))</f>
        <v/>
      </c>
      <c r="P12" s="143" t="str">
        <f t="array" aca="1" ref="P12" ca="1">IF($B12="", "", INDEX('Hulp (CAO''s)'!T$3:T$6, MATCH(TRUE, 'Hulp (CAO''s)'!$D$3:$D$6, 0)))</f>
        <v/>
      </c>
      <c r="Q12" s="143" t="str">
        <f t="array" aca="1" ref="Q12" ca="1">IF($B12="", "", INDEX('Hulp (CAO''s)'!U$3:U$6, MATCH(TRUE, 'Hulp (CAO''s)'!$D$3:$D$6, 0)))</f>
        <v/>
      </c>
      <c r="R12" s="143" t="str">
        <f t="array" aca="1" ref="R12" ca="1">IF($B12="", "", INDEX('Hulp (CAO''s)'!V$3:V$6, MATCH(TRUE, 'Hulp (CAO''s)'!$D$3:$D$6, 0)))</f>
        <v/>
      </c>
      <c r="S12" s="143" t="str">
        <f t="array" aca="1" ref="S12" ca="1">IF($B12="", "", INDEX('Hulp (CAO''s)'!W$3:W$6, MATCH(TRUE, 'Hulp (CAO''s)'!$D$3:$D$6, 0)))</f>
        <v/>
      </c>
      <c r="T12" s="143" t="str">
        <f t="array" aca="1" ref="T12" ca="1">IF($B12="", "", INDEX('Hulp (CAO''s)'!X$3:X$6, MATCH(TRUE, 'Hulp (CAO''s)'!$D$3:$D$6, 0)))</f>
        <v/>
      </c>
      <c r="U12" s="144" t="str">
        <f t="array" aca="1" ref="U12" ca="1">IF($B12="", "", INDEX('Hulp (CAO''s)'!Y$3:Y$6, MATCH(TRUE, 'Hulp (CAO''s)'!$D$3:$D$6, 0)))</f>
        <v/>
      </c>
      <c r="W12" s="788" t="s">
        <v>747</v>
      </c>
      <c r="X12" s="153"/>
      <c r="Z12" t="s">
        <v>779</v>
      </c>
    </row>
    <row r="13" spans="1:29" ht="16.05" customHeight="1" thickBot="1" x14ac:dyDescent="0.55000000000000004">
      <c r="C13" s="151"/>
      <c r="D13" s="786" t="s">
        <v>771</v>
      </c>
      <c r="E13" s="162" t="s">
        <v>770</v>
      </c>
      <c r="F13" s="163">
        <v>0.96</v>
      </c>
      <c r="G13" s="163">
        <v>0.9</v>
      </c>
      <c r="H13" s="163">
        <v>0.9</v>
      </c>
      <c r="I13" s="163">
        <v>0.7</v>
      </c>
      <c r="J13" s="163">
        <v>0.8</v>
      </c>
      <c r="K13" s="163">
        <v>0.9</v>
      </c>
      <c r="L13" s="163">
        <v>0.9</v>
      </c>
      <c r="M13" s="163">
        <v>0.9</v>
      </c>
      <c r="N13" s="163">
        <v>0.9</v>
      </c>
      <c r="O13" s="163">
        <v>0.8</v>
      </c>
      <c r="P13" s="163">
        <v>0.95</v>
      </c>
      <c r="Q13" s="163">
        <v>0.93</v>
      </c>
      <c r="R13" s="163">
        <v>0.93</v>
      </c>
      <c r="S13" s="163">
        <v>0.99</v>
      </c>
      <c r="T13" s="163">
        <v>0.99</v>
      </c>
      <c r="U13" s="164">
        <v>0.95</v>
      </c>
      <c r="W13" s="789"/>
      <c r="X13" s="153"/>
      <c r="AB13" s="172"/>
    </row>
    <row r="14" spans="1:29" ht="16.05" customHeight="1" thickBot="1" x14ac:dyDescent="0.55000000000000004">
      <c r="C14" s="151"/>
      <c r="D14" s="787"/>
      <c r="E14" s="31" t="s">
        <v>29</v>
      </c>
      <c r="F14" s="160">
        <v>8</v>
      </c>
      <c r="G14" s="160">
        <v>10</v>
      </c>
      <c r="H14" s="160">
        <v>10</v>
      </c>
      <c r="I14" s="160">
        <v>9</v>
      </c>
      <c r="J14" s="160">
        <v>10</v>
      </c>
      <c r="K14" s="160">
        <v>11</v>
      </c>
      <c r="L14" s="160">
        <v>10</v>
      </c>
      <c r="M14" s="160">
        <v>10</v>
      </c>
      <c r="N14" s="160">
        <v>9</v>
      </c>
      <c r="O14" s="160">
        <v>10</v>
      </c>
      <c r="P14" s="160">
        <v>11</v>
      </c>
      <c r="Q14" s="160">
        <v>12</v>
      </c>
      <c r="R14" s="160">
        <v>13</v>
      </c>
      <c r="S14" s="160">
        <v>12</v>
      </c>
      <c r="T14" s="160">
        <v>10</v>
      </c>
      <c r="U14" s="161">
        <v>5</v>
      </c>
      <c r="W14" s="166">
        <v>4200</v>
      </c>
      <c r="X14" s="153"/>
    </row>
    <row r="15" spans="1:29" ht="16.05" customHeight="1" thickBot="1" x14ac:dyDescent="0.55000000000000004">
      <c r="C15" s="151"/>
      <c r="E15" s="40" t="str">
        <f>IFERROR(
   INDEX('Hulp (CAO''s)'!$I$3:$I$6, MATCH(TRUE, 'Hulp (CAO''s)'!$D$3:$D$6, 0)),
"")</f>
        <v>Bruto maandsalaris</v>
      </c>
      <c r="F15" s="145" t="str">
        <f t="array" aca="1" ref="F15" ca="1">IF($D13="Gebruik % van maximum trede",
IF(
    OR(F12="",F13=""),
    "",
    MAX(
    INDIRECT("'" &amp; INDEX('Hulp (CAO''s)'!$C$3:$C$6,
        MATCH(TRUE,'Hulp (CAO''s)'!$D$3:$D$6,0)) &amp; "'!" &amp;
        INDEX('Hulp (CAO''s)'!$H$3:$H$6,
            MATCH(TRUE,'Hulp (CAO''s)'!$D$3:$D$6,0))
        &amp;
        MATCH(F12, INDIRECT("'" &amp; INDEX('Hulp (CAO''s)'!$C$3:$C$6,
            MATCH(TRUE,'Hulp (CAO''s)'!$D$3:$D$6,0)) &amp; "'!A:A"),0)
        &amp; ":H" &amp;
        IF(G12&lt;&gt;"",
            MATCH(G12, INDIRECT("'" &amp; INDEX('Hulp (CAO''s)'!$C$3:$C$6,
                MATCH(TRUE,'Hulp (CAO''s)'!$D$3:$D$6,0)) &amp; "'!A:A"),0)-1,
            1000
        )
    )
) * F13
),
IF(
    IFERROR(MIN(
        IF(
            (TRIM(INDIRECT("'" &amp; INDEX('Hulp (CAO''s)'!$C$3:$C$6,
                MATCH(TRUE,'Hulp (CAO''s)'!$D$3:$D$6,0)) &amp; "'!B1:B1000")) = TEXT(F14,"0")) *
            (ROW(INDIRECT("'" &amp; INDEX('Hulp (CAO''s)'!$C$3:$C$6,
                MATCH(TRUE,'Hulp (CAO''s)'!$D$3:$D$6,0)) &amp; "'!B1:B1000")) &gt; MATCH(
                F12,
                INDIRECT("'" &amp; INDEX('Hulp (CAO''s)'!$C$3:$C$6,
                    MATCH(TRUE,'Hulp (CAO''s)'!$D$3:$D$6,0)) &amp; "'!A:A"),
                0
            )) *
            IF(
                G12="",
                1,
                (ROW(INDIRECT("'" &amp; INDEX('Hulp (CAO''s)'!$C$3:$C$6,
                    MATCH(TRUE,'Hulp (CAO''s)'!$D$3:$D$6,0)) &amp; "'!B1:B1000")) &lt; MATCH(
                    G12,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TEXT(F14,"0")) *
                (ROW(INDIRECT("'" &amp; INDEX('Hulp (CAO''s)'!$C$3:$C$6,
                    MATCH(TRUE,'Hulp (CAO''s)'!$D$3:$D$6,0)) &amp; "'!B1:B1000")) &gt; MATCH(
                    F12,
                    INDIRECT("'" &amp; INDEX('Hulp (CAO''s)'!$C$3:$C$6,
                        MATCH(TRUE,'Hulp (CAO''s)'!$D$3:$D$6,0)) &amp; "'!A:A"),
                    0
                )) *
                IF(
                    G12="",
                    1,
                    (ROW(INDIRECT("'" &amp; INDEX('Hulp (CAO''s)'!$C$3:$C$6,
                        MATCH(TRUE,'Hulp (CAO''s)'!$D$3:$D$6,0)) &amp; "'!B1:B1000")) &lt; MATCH(
                        G12,
                        INDIRECT("'" &amp; INDEX('Hulp (CAO''s)'!$C$3:$C$6,
                            MATCH(TRUE,'Hulp (CAO''s)'!$D$3:$D$6,0)) &amp; "'!A:A"),
                        0
                    ))
                ),
                ROW(INDIRECT("'" &amp; INDEX('Hulp (CAO''s)'!$C$3:$C$6,
                    MATCH(TRUE,'Hulp (CAO''s)'!$D$3:$D$6,0)) &amp; "'!B1:B1000"))
            )
        ),0)
    )
))</f>
        <v/>
      </c>
      <c r="G15" s="145" t="str">
        <f t="array" aca="1" ref="G15" ca="1">IF($D13="Gebruik % van maximum trede",
IF(
    OR(G12="",G13=""),
    "",
    MAX(
    INDIRECT("'" &amp; INDEX('Hulp (CAO''s)'!$C$3:$C$6,
        MATCH(TRUE,'Hulp (CAO''s)'!$D$3:$D$6,0)) &amp; "'!" &amp;
        INDEX('Hulp (CAO''s)'!$H$3:$H$6,
            MATCH(TRUE,'Hulp (CAO''s)'!$D$3:$D$6,0))
        &amp;
        MATCH(G12, INDIRECT("'" &amp; INDEX('Hulp (CAO''s)'!$C$3:$C$6,
            MATCH(TRUE,'Hulp (CAO''s)'!$D$3:$D$6,0)) &amp; "'!A:A"),0)
        &amp; ":H" &amp;
        IF(H12&lt;&gt;"",
            MATCH(H12, INDIRECT("'" &amp; INDEX('Hulp (CAO''s)'!$C$3:$C$6,
                MATCH(TRUE,'Hulp (CAO''s)'!$D$3:$D$6,0)) &amp; "'!A:A"),0)-1,
            1000
        )
    )
) * G13
),
IF(
    IFERROR(MIN(
        IF(
            (TRIM(INDIRECT("'" &amp; INDEX('Hulp (CAO''s)'!$C$3:$C$6,
                MATCH(TRUE,'Hulp (CAO''s)'!$D$3:$D$6,0)) &amp; "'!B1:B1000")) = TEXT(G14,"0")) *
            (ROW(INDIRECT("'" &amp; INDEX('Hulp (CAO''s)'!$C$3:$C$6,
                MATCH(TRUE,'Hulp (CAO''s)'!$D$3:$D$6,0)) &amp; "'!B1:B1000")) &gt; MATCH(
                G12,
                INDIRECT("'" &amp; INDEX('Hulp (CAO''s)'!$C$3:$C$6,
                    MATCH(TRUE,'Hulp (CAO''s)'!$D$3:$D$6,0)) &amp; "'!A:A"),
                0
            )) *
            IF(
                H12="",
                1,
                (ROW(INDIRECT("'" &amp; INDEX('Hulp (CAO''s)'!$C$3:$C$6,
                    MATCH(TRUE,'Hulp (CAO''s)'!$D$3:$D$6,0)) &amp; "'!B1:B1000")) &lt; MATCH(
                    H12,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TEXT(G14,"0")) *
                (ROW(INDIRECT("'" &amp; INDEX('Hulp (CAO''s)'!$C$3:$C$6,
                    MATCH(TRUE,'Hulp (CAO''s)'!$D$3:$D$6,0)) &amp; "'!B1:B1000")) &gt; MATCH(
                    G12,
                    INDIRECT("'" &amp; INDEX('Hulp (CAO''s)'!$C$3:$C$6,
                        MATCH(TRUE,'Hulp (CAO''s)'!$D$3:$D$6,0)) &amp; "'!A:A"),
                    0
                )) *
                IF(
                    H12="",
                    1,
                    (ROW(INDIRECT("'" &amp; INDEX('Hulp (CAO''s)'!$C$3:$C$6,
                        MATCH(TRUE,'Hulp (CAO''s)'!$D$3:$D$6,0)) &amp; "'!B1:B1000")) &lt; MATCH(
                        H12,
                        INDIRECT("'" &amp; INDEX('Hulp (CAO''s)'!$C$3:$C$6,
                            MATCH(TRUE,'Hulp (CAO''s)'!$D$3:$D$6,0)) &amp; "'!A:A"),
                        0
                    ))
                ),
                ROW(INDIRECT("'" &amp; INDEX('Hulp (CAO''s)'!$C$3:$C$6,
                    MATCH(TRUE,'Hulp (CAO''s)'!$D$3:$D$6,0)) &amp; "'!B1:B1000"))
            )
        ),0)
    )
))</f>
        <v/>
      </c>
      <c r="H15" s="145" t="str">
        <f t="array" aca="1" ref="H15" ca="1">IF($D13="Gebruik % van maximum trede",
IF(
    OR(H12="",H13=""),
    "",
    MAX(
    INDIRECT("'" &amp; INDEX('Hulp (CAO''s)'!$C$3:$C$6,
        MATCH(TRUE,'Hulp (CAO''s)'!$D$3:$D$6,0)) &amp; "'!" &amp;
        INDEX('Hulp (CAO''s)'!$H$3:$H$6,
            MATCH(TRUE,'Hulp (CAO''s)'!$D$3:$D$6,0))
        &amp;
        MATCH(H12, INDIRECT("'" &amp; INDEX('Hulp (CAO''s)'!$C$3:$C$6,
            MATCH(TRUE,'Hulp (CAO''s)'!$D$3:$D$6,0)) &amp; "'!A:A"),0)
        &amp; ":H" &amp;
        IF(I12&lt;&gt;"",
            MATCH(I12, INDIRECT("'" &amp; INDEX('Hulp (CAO''s)'!$C$3:$C$6,
                MATCH(TRUE,'Hulp (CAO''s)'!$D$3:$D$6,0)) &amp; "'!A:A"),0)-1,
            1000
        )
    )
) * H13
),
IF(
    IFERROR(MIN(
        IF(
            (TRIM(INDIRECT("'" &amp; INDEX('Hulp (CAO''s)'!$C$3:$C$6,
                MATCH(TRUE,'Hulp (CAO''s)'!$D$3:$D$6,0)) &amp; "'!B1:B1000")) = TEXT(H14,"0")) *
            (ROW(INDIRECT("'" &amp; INDEX('Hulp (CAO''s)'!$C$3:$C$6,
                MATCH(TRUE,'Hulp (CAO''s)'!$D$3:$D$6,0)) &amp; "'!B1:B1000")) &gt; MATCH(
                H12,
                INDIRECT("'" &amp; INDEX('Hulp (CAO''s)'!$C$3:$C$6,
                    MATCH(TRUE,'Hulp (CAO''s)'!$D$3:$D$6,0)) &amp; "'!A:A"),
                0
            )) *
            IF(
                I12="",
                1,
                (ROW(INDIRECT("'" &amp; INDEX('Hulp (CAO''s)'!$C$3:$C$6,
                    MATCH(TRUE,'Hulp (CAO''s)'!$D$3:$D$6,0)) &amp; "'!B1:B1000")) &lt; MATCH(
                    I12,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TEXT(H14,"0")) *
                (ROW(INDIRECT("'" &amp; INDEX('Hulp (CAO''s)'!$C$3:$C$6,
                    MATCH(TRUE,'Hulp (CAO''s)'!$D$3:$D$6,0)) &amp; "'!B1:B1000")) &gt; MATCH(
                    H12,
                    INDIRECT("'" &amp; INDEX('Hulp (CAO''s)'!$C$3:$C$6,
                        MATCH(TRUE,'Hulp (CAO''s)'!$D$3:$D$6,0)) &amp; "'!A:A"),
                    0
                )) *
                IF(
                    I12="",
                    1,
                    (ROW(INDIRECT("'" &amp; INDEX('Hulp (CAO''s)'!$C$3:$C$6,
                        MATCH(TRUE,'Hulp (CAO''s)'!$D$3:$D$6,0)) &amp; "'!B1:B1000")) &lt; MATCH(
                        I12,
                        INDIRECT("'" &amp; INDEX('Hulp (CAO''s)'!$C$3:$C$6,
                            MATCH(TRUE,'Hulp (CAO''s)'!$D$3:$D$6,0)) &amp; "'!A:A"),
                        0
                    ))
                ),
                ROW(INDIRECT("'" &amp; INDEX('Hulp (CAO''s)'!$C$3:$C$6,
                    MATCH(TRUE,'Hulp (CAO''s)'!$D$3:$D$6,0)) &amp; "'!B1:B1000"))
            )
        ),0)
    )
))</f>
        <v/>
      </c>
      <c r="I15" s="145" t="str">
        <f t="array" aca="1" ref="I15" ca="1">IF($D13="Gebruik % van maximum trede",
IF(
    OR(I12="",I13=""),
    "",
    MAX(
    INDIRECT("'" &amp; INDEX('Hulp (CAO''s)'!$C$3:$C$6,
        MATCH(TRUE,'Hulp (CAO''s)'!$D$3:$D$6,0)) &amp; "'!" &amp;
        INDEX('Hulp (CAO''s)'!$H$3:$H$6,
            MATCH(TRUE,'Hulp (CAO''s)'!$D$3:$D$6,0))
        &amp;
        MATCH(I12, INDIRECT("'" &amp; INDEX('Hulp (CAO''s)'!$C$3:$C$6,
            MATCH(TRUE,'Hulp (CAO''s)'!$D$3:$D$6,0)) &amp; "'!A:A"),0)
        &amp; ":H" &amp;
        IF(J12&lt;&gt;"",
            MATCH(J12, INDIRECT("'" &amp; INDEX('Hulp (CAO''s)'!$C$3:$C$6,
                MATCH(TRUE,'Hulp (CAO''s)'!$D$3:$D$6,0)) &amp; "'!A:A"),0)-1,
            1000
        )
    )
) * I13
),
IF(
    IFERROR(MIN(
        IF(
            (TRIM(INDIRECT("'" &amp; INDEX('Hulp (CAO''s)'!$C$3:$C$6,
                MATCH(TRUE,'Hulp (CAO''s)'!$D$3:$D$6,0)) &amp; "'!B1:B1000")) = TEXT(I14,"0")) *
            (ROW(INDIRECT("'" &amp; INDEX('Hulp (CAO''s)'!$C$3:$C$6,
                MATCH(TRUE,'Hulp (CAO''s)'!$D$3:$D$6,0)) &amp; "'!B1:B1000")) &gt; MATCH(
                I12,
                INDIRECT("'" &amp; INDEX('Hulp (CAO''s)'!$C$3:$C$6,
                    MATCH(TRUE,'Hulp (CAO''s)'!$D$3:$D$6,0)) &amp; "'!A:A"),
                0
            )) *
            IF(
                J12="",
                1,
                (ROW(INDIRECT("'" &amp; INDEX('Hulp (CAO''s)'!$C$3:$C$6,
                    MATCH(TRUE,'Hulp (CAO''s)'!$D$3:$D$6,0)) &amp; "'!B1:B1000")) &lt; MATCH(
                    J12,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TEXT(I14,"0")) *
                (ROW(INDIRECT("'" &amp; INDEX('Hulp (CAO''s)'!$C$3:$C$6,
                    MATCH(TRUE,'Hulp (CAO''s)'!$D$3:$D$6,0)) &amp; "'!B1:B1000")) &gt; MATCH(
                    I12,
                    INDIRECT("'" &amp; INDEX('Hulp (CAO''s)'!$C$3:$C$6,
                        MATCH(TRUE,'Hulp (CAO''s)'!$D$3:$D$6,0)) &amp; "'!A:A"),
                    0
                )) *
                IF(
                    J12="",
                    1,
                    (ROW(INDIRECT("'" &amp; INDEX('Hulp (CAO''s)'!$C$3:$C$6,
                        MATCH(TRUE,'Hulp (CAO''s)'!$D$3:$D$6,0)) &amp; "'!B1:B1000")) &lt; MATCH(
                        J12,
                        INDIRECT("'" &amp; INDEX('Hulp (CAO''s)'!$C$3:$C$6,
                            MATCH(TRUE,'Hulp (CAO''s)'!$D$3:$D$6,0)) &amp; "'!A:A"),
                        0
                    ))
                ),
                ROW(INDIRECT("'" &amp; INDEX('Hulp (CAO''s)'!$C$3:$C$6,
                    MATCH(TRUE,'Hulp (CAO''s)'!$D$3:$D$6,0)) &amp; "'!B1:B1000"))
            )
        ),0)
    )
))</f>
        <v/>
      </c>
      <c r="J15" s="145" t="str">
        <f t="array" aca="1" ref="J15" ca="1">IF($D13="Gebruik % van maximum trede",
IF(
    OR(J12="",J13=""),
    "",
    MAX(
    INDIRECT("'" &amp; INDEX('Hulp (CAO''s)'!$C$3:$C$6,
        MATCH(TRUE,'Hulp (CAO''s)'!$D$3:$D$6,0)) &amp; "'!" &amp;
        INDEX('Hulp (CAO''s)'!$H$3:$H$6,
            MATCH(TRUE,'Hulp (CAO''s)'!$D$3:$D$6,0))
        &amp;
        MATCH(J12, INDIRECT("'" &amp; INDEX('Hulp (CAO''s)'!$C$3:$C$6,
            MATCH(TRUE,'Hulp (CAO''s)'!$D$3:$D$6,0)) &amp; "'!A:A"),0)
        &amp; ":H" &amp;
        IF(K12&lt;&gt;"",
            MATCH(K12, INDIRECT("'" &amp; INDEX('Hulp (CAO''s)'!$C$3:$C$6,
                MATCH(TRUE,'Hulp (CAO''s)'!$D$3:$D$6,0)) &amp; "'!A:A"),0)-1,
            1000
        )
    )
) * J13
),
IF(
    IFERROR(MIN(
        IF(
            (TRIM(INDIRECT("'" &amp; INDEX('Hulp (CAO''s)'!$C$3:$C$6,
                MATCH(TRUE,'Hulp (CAO''s)'!$D$3:$D$6,0)) &amp; "'!B1:B1000")) = TEXT(J14,"0")) *
            (ROW(INDIRECT("'" &amp; INDEX('Hulp (CAO''s)'!$C$3:$C$6,
                MATCH(TRUE,'Hulp (CAO''s)'!$D$3:$D$6,0)) &amp; "'!B1:B1000")) &gt; MATCH(
                J12,
                INDIRECT("'" &amp; INDEX('Hulp (CAO''s)'!$C$3:$C$6,
                    MATCH(TRUE,'Hulp (CAO''s)'!$D$3:$D$6,0)) &amp; "'!A:A"),
                0
            )) *
            IF(
                K12="",
                1,
                (ROW(INDIRECT("'" &amp; INDEX('Hulp (CAO''s)'!$C$3:$C$6,
                    MATCH(TRUE,'Hulp (CAO''s)'!$D$3:$D$6,0)) &amp; "'!B1:B1000")) &lt; MATCH(
                    K12,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TEXT(J14,"0")) *
                (ROW(INDIRECT("'" &amp; INDEX('Hulp (CAO''s)'!$C$3:$C$6,
                    MATCH(TRUE,'Hulp (CAO''s)'!$D$3:$D$6,0)) &amp; "'!B1:B1000")) &gt; MATCH(
                    J12,
                    INDIRECT("'" &amp; INDEX('Hulp (CAO''s)'!$C$3:$C$6,
                        MATCH(TRUE,'Hulp (CAO''s)'!$D$3:$D$6,0)) &amp; "'!A:A"),
                    0
                )) *
                IF(
                    K12="",
                    1,
                    (ROW(INDIRECT("'" &amp; INDEX('Hulp (CAO''s)'!$C$3:$C$6,
                        MATCH(TRUE,'Hulp (CAO''s)'!$D$3:$D$6,0)) &amp; "'!B1:B1000")) &lt; MATCH(
                        K12,
                        INDIRECT("'" &amp; INDEX('Hulp (CAO''s)'!$C$3:$C$6,
                            MATCH(TRUE,'Hulp (CAO''s)'!$D$3:$D$6,0)) &amp; "'!A:A"),
                        0
                    ))
                ),
                ROW(INDIRECT("'" &amp; INDEX('Hulp (CAO''s)'!$C$3:$C$6,
                    MATCH(TRUE,'Hulp (CAO''s)'!$D$3:$D$6,0)) &amp; "'!B1:B1000"))
            )
        ),0)
    )
))</f>
        <v/>
      </c>
      <c r="K15" s="145" t="str">
        <f t="array" aca="1" ref="K15" ca="1">IF($D13="Gebruik % van maximum trede",
IF(
    OR(K12="",K13=""),
    "",
    MAX(
    INDIRECT("'" &amp; INDEX('Hulp (CAO''s)'!$C$3:$C$6,
        MATCH(TRUE,'Hulp (CAO''s)'!$D$3:$D$6,0)) &amp; "'!" &amp;
        INDEX('Hulp (CAO''s)'!$H$3:$H$6,
            MATCH(TRUE,'Hulp (CAO''s)'!$D$3:$D$6,0))
        &amp;
        MATCH(K12, INDIRECT("'" &amp; INDEX('Hulp (CAO''s)'!$C$3:$C$6,
            MATCH(TRUE,'Hulp (CAO''s)'!$D$3:$D$6,0)) &amp; "'!A:A"),0)
        &amp; ":H" &amp;
        IF(L12&lt;&gt;"",
            MATCH(L12, INDIRECT("'" &amp; INDEX('Hulp (CAO''s)'!$C$3:$C$6,
                MATCH(TRUE,'Hulp (CAO''s)'!$D$3:$D$6,0)) &amp; "'!A:A"),0)-1,
            1000
        )
    )
) * K13
),
IF(
    IFERROR(MIN(
        IF(
            (TRIM(INDIRECT("'" &amp; INDEX('Hulp (CAO''s)'!$C$3:$C$6,
                MATCH(TRUE,'Hulp (CAO''s)'!$D$3:$D$6,0)) &amp; "'!B1:B1000")) = TEXT(K14,"0")) *
            (ROW(INDIRECT("'" &amp; INDEX('Hulp (CAO''s)'!$C$3:$C$6,
                MATCH(TRUE,'Hulp (CAO''s)'!$D$3:$D$6,0)) &amp; "'!B1:B1000")) &gt; MATCH(
                K12,
                INDIRECT("'" &amp; INDEX('Hulp (CAO''s)'!$C$3:$C$6,
                    MATCH(TRUE,'Hulp (CAO''s)'!$D$3:$D$6,0)) &amp; "'!A:A"),
                0
            )) *
            IF(
                L12="",
                1,
                (ROW(INDIRECT("'" &amp; INDEX('Hulp (CAO''s)'!$C$3:$C$6,
                    MATCH(TRUE,'Hulp (CAO''s)'!$D$3:$D$6,0)) &amp; "'!B1:B1000")) &lt; MATCH(
                    L12,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TEXT(K14,"0")) *
                (ROW(INDIRECT("'" &amp; INDEX('Hulp (CAO''s)'!$C$3:$C$6,
                    MATCH(TRUE,'Hulp (CAO''s)'!$D$3:$D$6,0)) &amp; "'!B1:B1000")) &gt; MATCH(
                    K12,
                    INDIRECT("'" &amp; INDEX('Hulp (CAO''s)'!$C$3:$C$6,
                        MATCH(TRUE,'Hulp (CAO''s)'!$D$3:$D$6,0)) &amp; "'!A:A"),
                    0
                )) *
                IF(
                    L12="",
                    1,
                    (ROW(INDIRECT("'" &amp; INDEX('Hulp (CAO''s)'!$C$3:$C$6,
                        MATCH(TRUE,'Hulp (CAO''s)'!$D$3:$D$6,0)) &amp; "'!B1:B1000")) &lt; MATCH(
                        L12,
                        INDIRECT("'" &amp; INDEX('Hulp (CAO''s)'!$C$3:$C$6,
                            MATCH(TRUE,'Hulp (CAO''s)'!$D$3:$D$6,0)) &amp; "'!A:A"),
                        0
                    ))
                ),
                ROW(INDIRECT("'" &amp; INDEX('Hulp (CAO''s)'!$C$3:$C$6,
                    MATCH(TRUE,'Hulp (CAO''s)'!$D$3:$D$6,0)) &amp; "'!B1:B1000"))
            )
        ),0)
    )
))</f>
        <v/>
      </c>
      <c r="L15" s="145" t="str">
        <f t="array" aca="1" ref="L15" ca="1">IF($D13="Gebruik % van maximum trede",
IF(
    OR(L12="",L13=""),
    "",
    MAX(
    INDIRECT("'" &amp; INDEX('Hulp (CAO''s)'!$C$3:$C$6,
        MATCH(TRUE,'Hulp (CAO''s)'!$D$3:$D$6,0)) &amp; "'!" &amp;
        INDEX('Hulp (CAO''s)'!$H$3:$H$6,
            MATCH(TRUE,'Hulp (CAO''s)'!$D$3:$D$6,0))
        &amp;
        MATCH(L12, INDIRECT("'" &amp; INDEX('Hulp (CAO''s)'!$C$3:$C$6,
            MATCH(TRUE,'Hulp (CAO''s)'!$D$3:$D$6,0)) &amp; "'!A:A"),0)
        &amp; ":H" &amp;
        IF(M12&lt;&gt;"",
            MATCH(M12, INDIRECT("'" &amp; INDEX('Hulp (CAO''s)'!$C$3:$C$6,
                MATCH(TRUE,'Hulp (CAO''s)'!$D$3:$D$6,0)) &amp; "'!A:A"),0)-1,
            1000
        )
    )
) * L13
),
IF(
    IFERROR(MIN(
        IF(
            (TRIM(INDIRECT("'" &amp; INDEX('Hulp (CAO''s)'!$C$3:$C$6,
                MATCH(TRUE,'Hulp (CAO''s)'!$D$3:$D$6,0)) &amp; "'!B1:B1000")) = TEXT(L14,"0")) *
            (ROW(INDIRECT("'" &amp; INDEX('Hulp (CAO''s)'!$C$3:$C$6,
                MATCH(TRUE,'Hulp (CAO''s)'!$D$3:$D$6,0)) &amp; "'!B1:B1000")) &gt; MATCH(
                L12,
                INDIRECT("'" &amp; INDEX('Hulp (CAO''s)'!$C$3:$C$6,
                    MATCH(TRUE,'Hulp (CAO''s)'!$D$3:$D$6,0)) &amp; "'!A:A"),
                0
            )) *
            IF(
                M12="",
                1,
                (ROW(INDIRECT("'" &amp; INDEX('Hulp (CAO''s)'!$C$3:$C$6,
                    MATCH(TRUE,'Hulp (CAO''s)'!$D$3:$D$6,0)) &amp; "'!B1:B1000")) &lt; MATCH(
                    M12,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TEXT(L14,"0")) *
                (ROW(INDIRECT("'" &amp; INDEX('Hulp (CAO''s)'!$C$3:$C$6,
                    MATCH(TRUE,'Hulp (CAO''s)'!$D$3:$D$6,0)) &amp; "'!B1:B1000")) &gt; MATCH(
                    L12,
                    INDIRECT("'" &amp; INDEX('Hulp (CAO''s)'!$C$3:$C$6,
                        MATCH(TRUE,'Hulp (CAO''s)'!$D$3:$D$6,0)) &amp; "'!A:A"),
                    0
                )) *
                IF(
                    M12="",
                    1,
                    (ROW(INDIRECT("'" &amp; INDEX('Hulp (CAO''s)'!$C$3:$C$6,
                        MATCH(TRUE,'Hulp (CAO''s)'!$D$3:$D$6,0)) &amp; "'!B1:B1000")) &lt; MATCH(
                        M12,
                        INDIRECT("'" &amp; INDEX('Hulp (CAO''s)'!$C$3:$C$6,
                            MATCH(TRUE,'Hulp (CAO''s)'!$D$3:$D$6,0)) &amp; "'!A:A"),
                        0
                    ))
                ),
                ROW(INDIRECT("'" &amp; INDEX('Hulp (CAO''s)'!$C$3:$C$6,
                    MATCH(TRUE,'Hulp (CAO''s)'!$D$3:$D$6,0)) &amp; "'!B1:B1000"))
            )
        ),0)
    )
))</f>
        <v/>
      </c>
      <c r="M15" s="145" t="str">
        <f t="array" aca="1" ref="M15" ca="1">IF($D13="Gebruik % van maximum trede",
IF(
    OR(M12="",M13=""),
    "",
    MAX(
    INDIRECT("'" &amp; INDEX('Hulp (CAO''s)'!$C$3:$C$6,
        MATCH(TRUE,'Hulp (CAO''s)'!$D$3:$D$6,0)) &amp; "'!" &amp;
        INDEX('Hulp (CAO''s)'!$H$3:$H$6,
            MATCH(TRUE,'Hulp (CAO''s)'!$D$3:$D$6,0))
        &amp;
        MATCH(M12, INDIRECT("'" &amp; INDEX('Hulp (CAO''s)'!$C$3:$C$6,
            MATCH(TRUE,'Hulp (CAO''s)'!$D$3:$D$6,0)) &amp; "'!A:A"),0)
        &amp; ":H" &amp;
        IF(N12&lt;&gt;"",
            MATCH(N12, INDIRECT("'" &amp; INDEX('Hulp (CAO''s)'!$C$3:$C$6,
                MATCH(TRUE,'Hulp (CAO''s)'!$D$3:$D$6,0)) &amp; "'!A:A"),0)-1,
            1000
        )
    )
) * M13
),
IF(
    IFERROR(MIN(
        IF(
            (TRIM(INDIRECT("'" &amp; INDEX('Hulp (CAO''s)'!$C$3:$C$6,
                MATCH(TRUE,'Hulp (CAO''s)'!$D$3:$D$6,0)) &amp; "'!B1:B1000")) = TEXT(M14,"0")) *
            (ROW(INDIRECT("'" &amp; INDEX('Hulp (CAO''s)'!$C$3:$C$6,
                MATCH(TRUE,'Hulp (CAO''s)'!$D$3:$D$6,0)) &amp; "'!B1:B1000")) &gt; MATCH(
                M12,
                INDIRECT("'" &amp; INDEX('Hulp (CAO''s)'!$C$3:$C$6,
                    MATCH(TRUE,'Hulp (CAO''s)'!$D$3:$D$6,0)) &amp; "'!A:A"),
                0
            )) *
            IF(
                N12="",
                1,
                (ROW(INDIRECT("'" &amp; INDEX('Hulp (CAO''s)'!$C$3:$C$6,
                    MATCH(TRUE,'Hulp (CAO''s)'!$D$3:$D$6,0)) &amp; "'!B1:B1000")) &lt; MATCH(
                    N12,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TEXT(M14,"0")) *
                (ROW(INDIRECT("'" &amp; INDEX('Hulp (CAO''s)'!$C$3:$C$6,
                    MATCH(TRUE,'Hulp (CAO''s)'!$D$3:$D$6,0)) &amp; "'!B1:B1000")) &gt; MATCH(
                    M12,
                    INDIRECT("'" &amp; INDEX('Hulp (CAO''s)'!$C$3:$C$6,
                        MATCH(TRUE,'Hulp (CAO''s)'!$D$3:$D$6,0)) &amp; "'!A:A"),
                    0
                )) *
                IF(
                    N12="",
                    1,
                    (ROW(INDIRECT("'" &amp; INDEX('Hulp (CAO''s)'!$C$3:$C$6,
                        MATCH(TRUE,'Hulp (CAO''s)'!$D$3:$D$6,0)) &amp; "'!B1:B1000")) &lt; MATCH(
                        N12,
                        INDIRECT("'" &amp; INDEX('Hulp (CAO''s)'!$C$3:$C$6,
                            MATCH(TRUE,'Hulp (CAO''s)'!$D$3:$D$6,0)) &amp; "'!A:A"),
                        0
                    ))
                ),
                ROW(INDIRECT("'" &amp; INDEX('Hulp (CAO''s)'!$C$3:$C$6,
                    MATCH(TRUE,'Hulp (CAO''s)'!$D$3:$D$6,0)) &amp; "'!B1:B1000"))
            )
        ),0)
    )
))</f>
        <v/>
      </c>
      <c r="N15" s="145" t="str">
        <f t="array" aca="1" ref="N15" ca="1">IF($D13="Gebruik % van maximum trede",
IF(
    OR(N12="",N13=""),
    "",
    MAX(
    INDIRECT("'" &amp; INDEX('Hulp (CAO''s)'!$C$3:$C$6,
        MATCH(TRUE,'Hulp (CAO''s)'!$D$3:$D$6,0)) &amp; "'!" &amp;
        INDEX('Hulp (CAO''s)'!$H$3:$H$6,
            MATCH(TRUE,'Hulp (CAO''s)'!$D$3:$D$6,0))
        &amp;
        MATCH(N12, INDIRECT("'" &amp; INDEX('Hulp (CAO''s)'!$C$3:$C$6,
            MATCH(TRUE,'Hulp (CAO''s)'!$D$3:$D$6,0)) &amp; "'!A:A"),0)
        &amp; ":H" &amp;
        IF(O12&lt;&gt;"",
            MATCH(O12, INDIRECT("'" &amp; INDEX('Hulp (CAO''s)'!$C$3:$C$6,
                MATCH(TRUE,'Hulp (CAO''s)'!$D$3:$D$6,0)) &amp; "'!A:A"),0)-1,
            1000
        )
    )
) * N13
),
IF(
    IFERROR(MIN(
        IF(
            (TRIM(INDIRECT("'" &amp; INDEX('Hulp (CAO''s)'!$C$3:$C$6,
                MATCH(TRUE,'Hulp (CAO''s)'!$D$3:$D$6,0)) &amp; "'!B1:B1000")) = TEXT(N14,"0")) *
            (ROW(INDIRECT("'" &amp; INDEX('Hulp (CAO''s)'!$C$3:$C$6,
                MATCH(TRUE,'Hulp (CAO''s)'!$D$3:$D$6,0)) &amp; "'!B1:B1000")) &gt; MATCH(
                N12,
                INDIRECT("'" &amp; INDEX('Hulp (CAO''s)'!$C$3:$C$6,
                    MATCH(TRUE,'Hulp (CAO''s)'!$D$3:$D$6,0)) &amp; "'!A:A"),
                0
            )) *
            IF(
                O12="",
                1,
                (ROW(INDIRECT("'" &amp; INDEX('Hulp (CAO''s)'!$C$3:$C$6,
                    MATCH(TRUE,'Hulp (CAO''s)'!$D$3:$D$6,0)) &amp; "'!B1:B1000")) &lt; MATCH(
                    O12,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TEXT(N14,"0")) *
                (ROW(INDIRECT("'" &amp; INDEX('Hulp (CAO''s)'!$C$3:$C$6,
                    MATCH(TRUE,'Hulp (CAO''s)'!$D$3:$D$6,0)) &amp; "'!B1:B1000")) &gt; MATCH(
                    N12,
                    INDIRECT("'" &amp; INDEX('Hulp (CAO''s)'!$C$3:$C$6,
                        MATCH(TRUE,'Hulp (CAO''s)'!$D$3:$D$6,0)) &amp; "'!A:A"),
                    0
                )) *
                IF(
                    O12="",
                    1,
                    (ROW(INDIRECT("'" &amp; INDEX('Hulp (CAO''s)'!$C$3:$C$6,
                        MATCH(TRUE,'Hulp (CAO''s)'!$D$3:$D$6,0)) &amp; "'!B1:B1000")) &lt; MATCH(
                        O12,
                        INDIRECT("'" &amp; INDEX('Hulp (CAO''s)'!$C$3:$C$6,
                            MATCH(TRUE,'Hulp (CAO''s)'!$D$3:$D$6,0)) &amp; "'!A:A"),
                        0
                    ))
                ),
                ROW(INDIRECT("'" &amp; INDEX('Hulp (CAO''s)'!$C$3:$C$6,
                    MATCH(TRUE,'Hulp (CAO''s)'!$D$3:$D$6,0)) &amp; "'!B1:B1000"))
            )
        ),0)
    )
))</f>
        <v/>
      </c>
      <c r="O15" s="145" t="str">
        <f t="array" aca="1" ref="O15" ca="1">IF($D13="Gebruik % van maximum trede",
IF(
    OR(O12="",O13=""),
    "",
    MAX(
    INDIRECT("'" &amp; INDEX('Hulp (CAO''s)'!$C$3:$C$6,
        MATCH(TRUE,'Hulp (CAO''s)'!$D$3:$D$6,0)) &amp; "'!" &amp;
        INDEX('Hulp (CAO''s)'!$H$3:$H$6,
            MATCH(TRUE,'Hulp (CAO''s)'!$D$3:$D$6,0))
        &amp;
        MATCH(O12, INDIRECT("'" &amp; INDEX('Hulp (CAO''s)'!$C$3:$C$6,
            MATCH(TRUE,'Hulp (CAO''s)'!$D$3:$D$6,0)) &amp; "'!A:A"),0)
        &amp; ":H" &amp;
        IF(P12&lt;&gt;"",
            MATCH(P12, INDIRECT("'" &amp; INDEX('Hulp (CAO''s)'!$C$3:$C$6,
                MATCH(TRUE,'Hulp (CAO''s)'!$D$3:$D$6,0)) &amp; "'!A:A"),0)-1,
            1000
        )
    )
) * O13
),
IF(
    IFERROR(MIN(
        IF(
            (TRIM(INDIRECT("'" &amp; INDEX('Hulp (CAO''s)'!$C$3:$C$6,
                MATCH(TRUE,'Hulp (CAO''s)'!$D$3:$D$6,0)) &amp; "'!B1:B1000")) = TEXT(O14,"0")) *
            (ROW(INDIRECT("'" &amp; INDEX('Hulp (CAO''s)'!$C$3:$C$6,
                MATCH(TRUE,'Hulp (CAO''s)'!$D$3:$D$6,0)) &amp; "'!B1:B1000")) &gt; MATCH(
                O12,
                INDIRECT("'" &amp; INDEX('Hulp (CAO''s)'!$C$3:$C$6,
                    MATCH(TRUE,'Hulp (CAO''s)'!$D$3:$D$6,0)) &amp; "'!A:A"),
                0
            )) *
            IF(
                P12="",
                1,
                (ROW(INDIRECT("'" &amp; INDEX('Hulp (CAO''s)'!$C$3:$C$6,
                    MATCH(TRUE,'Hulp (CAO''s)'!$D$3:$D$6,0)) &amp; "'!B1:B1000")) &lt; MATCH(
                    P12,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TEXT(O14,"0")) *
                (ROW(INDIRECT("'" &amp; INDEX('Hulp (CAO''s)'!$C$3:$C$6,
                    MATCH(TRUE,'Hulp (CAO''s)'!$D$3:$D$6,0)) &amp; "'!B1:B1000")) &gt; MATCH(
                    O12,
                    INDIRECT("'" &amp; INDEX('Hulp (CAO''s)'!$C$3:$C$6,
                        MATCH(TRUE,'Hulp (CAO''s)'!$D$3:$D$6,0)) &amp; "'!A:A"),
                    0
                )) *
                IF(
                    P12="",
                    1,
                    (ROW(INDIRECT("'" &amp; INDEX('Hulp (CAO''s)'!$C$3:$C$6,
                        MATCH(TRUE,'Hulp (CAO''s)'!$D$3:$D$6,0)) &amp; "'!B1:B1000")) &lt; MATCH(
                        P12,
                        INDIRECT("'" &amp; INDEX('Hulp (CAO''s)'!$C$3:$C$6,
                            MATCH(TRUE,'Hulp (CAO''s)'!$D$3:$D$6,0)) &amp; "'!A:A"),
                        0
                    ))
                ),
                ROW(INDIRECT("'" &amp; INDEX('Hulp (CAO''s)'!$C$3:$C$6,
                    MATCH(TRUE,'Hulp (CAO''s)'!$D$3:$D$6,0)) &amp; "'!B1:B1000"))
            )
        ),0)
    )
))</f>
        <v/>
      </c>
      <c r="P15" s="145" t="str">
        <f t="array" aca="1" ref="P15" ca="1">IF($D13="Gebruik % van maximum trede",
IF(
    OR(P12="",P13=""),
    "",
    MAX(
    INDIRECT("'" &amp; INDEX('Hulp (CAO''s)'!$C$3:$C$6,
        MATCH(TRUE,'Hulp (CAO''s)'!$D$3:$D$6,0)) &amp; "'!" &amp;
        INDEX('Hulp (CAO''s)'!$H$3:$H$6,
            MATCH(TRUE,'Hulp (CAO''s)'!$D$3:$D$6,0))
        &amp;
        MATCH(P12, INDIRECT("'" &amp; INDEX('Hulp (CAO''s)'!$C$3:$C$6,
            MATCH(TRUE,'Hulp (CAO''s)'!$D$3:$D$6,0)) &amp; "'!A:A"),0)
        &amp; ":H" &amp;
        IF(Q12&lt;&gt;"",
            MATCH(Q12, INDIRECT("'" &amp; INDEX('Hulp (CAO''s)'!$C$3:$C$6,
                MATCH(TRUE,'Hulp (CAO''s)'!$D$3:$D$6,0)) &amp; "'!A:A"),0)-1,
            1000
        )
    )
) * P13
),
IF(
    IFERROR(MIN(
        IF(
            (TRIM(INDIRECT("'" &amp; INDEX('Hulp (CAO''s)'!$C$3:$C$6,
                MATCH(TRUE,'Hulp (CAO''s)'!$D$3:$D$6,0)) &amp; "'!B1:B1000")) = TEXT(P14,"0")) *
            (ROW(INDIRECT("'" &amp; INDEX('Hulp (CAO''s)'!$C$3:$C$6,
                MATCH(TRUE,'Hulp (CAO''s)'!$D$3:$D$6,0)) &amp; "'!B1:B1000")) &gt; MATCH(
                P12,
                INDIRECT("'" &amp; INDEX('Hulp (CAO''s)'!$C$3:$C$6,
                    MATCH(TRUE,'Hulp (CAO''s)'!$D$3:$D$6,0)) &amp; "'!A:A"),
                0
            )) *
            IF(
                Q12="",
                1,
                (ROW(INDIRECT("'" &amp; INDEX('Hulp (CAO''s)'!$C$3:$C$6,
                    MATCH(TRUE,'Hulp (CAO''s)'!$D$3:$D$6,0)) &amp; "'!B1:B1000")) &lt; MATCH(
                    Q12,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TEXT(P14,"0")) *
                (ROW(INDIRECT("'" &amp; INDEX('Hulp (CAO''s)'!$C$3:$C$6,
                    MATCH(TRUE,'Hulp (CAO''s)'!$D$3:$D$6,0)) &amp; "'!B1:B1000")) &gt; MATCH(
                    P12,
                    INDIRECT("'" &amp; INDEX('Hulp (CAO''s)'!$C$3:$C$6,
                        MATCH(TRUE,'Hulp (CAO''s)'!$D$3:$D$6,0)) &amp; "'!A:A"),
                    0
                )) *
                IF(
                    Q12="",
                    1,
                    (ROW(INDIRECT("'" &amp; INDEX('Hulp (CAO''s)'!$C$3:$C$6,
                        MATCH(TRUE,'Hulp (CAO''s)'!$D$3:$D$6,0)) &amp; "'!B1:B1000")) &lt; MATCH(
                        Q12,
                        INDIRECT("'" &amp; INDEX('Hulp (CAO''s)'!$C$3:$C$6,
                            MATCH(TRUE,'Hulp (CAO''s)'!$D$3:$D$6,0)) &amp; "'!A:A"),
                        0
                    ))
                ),
                ROW(INDIRECT("'" &amp; INDEX('Hulp (CAO''s)'!$C$3:$C$6,
                    MATCH(TRUE,'Hulp (CAO''s)'!$D$3:$D$6,0)) &amp; "'!B1:B1000"))
            )
        ),0)
    )
))</f>
        <v/>
      </c>
      <c r="Q15" s="145" t="str">
        <f t="array" aca="1" ref="Q15" ca="1">IF($D13="Gebruik % van maximum trede",
IF(
    OR(Q12="",Q13=""),
    "",
    MAX(
    INDIRECT("'" &amp; INDEX('Hulp (CAO''s)'!$C$3:$C$6,
        MATCH(TRUE,'Hulp (CAO''s)'!$D$3:$D$6,0)) &amp; "'!" &amp;
        INDEX('Hulp (CAO''s)'!$H$3:$H$6,
            MATCH(TRUE,'Hulp (CAO''s)'!$D$3:$D$6,0))
        &amp;
        MATCH(Q12, INDIRECT("'" &amp; INDEX('Hulp (CAO''s)'!$C$3:$C$6,
            MATCH(TRUE,'Hulp (CAO''s)'!$D$3:$D$6,0)) &amp; "'!A:A"),0)
        &amp; ":H" &amp;
        IF(R12&lt;&gt;"",
            MATCH(R12, INDIRECT("'" &amp; INDEX('Hulp (CAO''s)'!$C$3:$C$6,
                MATCH(TRUE,'Hulp (CAO''s)'!$D$3:$D$6,0)) &amp; "'!A:A"),0)-1,
            1000
        )
    )
) * Q13
),
IF(
    IFERROR(MIN(
        IF(
            (TRIM(INDIRECT("'" &amp; INDEX('Hulp (CAO''s)'!$C$3:$C$6,
                MATCH(TRUE,'Hulp (CAO''s)'!$D$3:$D$6,0)) &amp; "'!B1:B1000")) = TEXT(Q14,"0")) *
            (ROW(INDIRECT("'" &amp; INDEX('Hulp (CAO''s)'!$C$3:$C$6,
                MATCH(TRUE,'Hulp (CAO''s)'!$D$3:$D$6,0)) &amp; "'!B1:B1000")) &gt; MATCH(
                Q12,
                INDIRECT("'" &amp; INDEX('Hulp (CAO''s)'!$C$3:$C$6,
                    MATCH(TRUE,'Hulp (CAO''s)'!$D$3:$D$6,0)) &amp; "'!A:A"),
                0
            )) *
            IF(
                R12="",
                1,
                (ROW(INDIRECT("'" &amp; INDEX('Hulp (CAO''s)'!$C$3:$C$6,
                    MATCH(TRUE,'Hulp (CAO''s)'!$D$3:$D$6,0)) &amp; "'!B1:B1000")) &lt; MATCH(
                    R12,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TEXT(Q14,"0")) *
                (ROW(INDIRECT("'" &amp; INDEX('Hulp (CAO''s)'!$C$3:$C$6,
                    MATCH(TRUE,'Hulp (CAO''s)'!$D$3:$D$6,0)) &amp; "'!B1:B1000")) &gt; MATCH(
                    Q12,
                    INDIRECT("'" &amp; INDEX('Hulp (CAO''s)'!$C$3:$C$6,
                        MATCH(TRUE,'Hulp (CAO''s)'!$D$3:$D$6,0)) &amp; "'!A:A"),
                    0
                )) *
                IF(
                    R12="",
                    1,
                    (ROW(INDIRECT("'" &amp; INDEX('Hulp (CAO''s)'!$C$3:$C$6,
                        MATCH(TRUE,'Hulp (CAO''s)'!$D$3:$D$6,0)) &amp; "'!B1:B1000")) &lt; MATCH(
                        R12,
                        INDIRECT("'" &amp; INDEX('Hulp (CAO''s)'!$C$3:$C$6,
                            MATCH(TRUE,'Hulp (CAO''s)'!$D$3:$D$6,0)) &amp; "'!A:A"),
                        0
                    ))
                ),
                ROW(INDIRECT("'" &amp; INDEX('Hulp (CAO''s)'!$C$3:$C$6,
                    MATCH(TRUE,'Hulp (CAO''s)'!$D$3:$D$6,0)) &amp; "'!B1:B1000"))
            )
        ),0)
    )
))</f>
        <v/>
      </c>
      <c r="R15" s="145" t="str">
        <f t="array" aca="1" ref="R15" ca="1">IF($D13="Gebruik % van maximum trede",
IF(
    OR(R12="",R13=""),
    "",
    MAX(
    INDIRECT("'" &amp; INDEX('Hulp (CAO''s)'!$C$3:$C$6,
        MATCH(TRUE,'Hulp (CAO''s)'!$D$3:$D$6,0)) &amp; "'!" &amp;
        INDEX('Hulp (CAO''s)'!$H$3:$H$6,
            MATCH(TRUE,'Hulp (CAO''s)'!$D$3:$D$6,0))
        &amp;
        MATCH(R12, INDIRECT("'" &amp; INDEX('Hulp (CAO''s)'!$C$3:$C$6,
            MATCH(TRUE,'Hulp (CAO''s)'!$D$3:$D$6,0)) &amp; "'!A:A"),0)
        &amp; ":H" &amp;
        IF(S12&lt;&gt;"",
            MATCH(S12, INDIRECT("'" &amp; INDEX('Hulp (CAO''s)'!$C$3:$C$6,
                MATCH(TRUE,'Hulp (CAO''s)'!$D$3:$D$6,0)) &amp; "'!A:A"),0)-1,
            1000
        )
    )
) * R13
),
IF(
    IFERROR(MIN(
        IF(
            (TRIM(INDIRECT("'" &amp; INDEX('Hulp (CAO''s)'!$C$3:$C$6,
                MATCH(TRUE,'Hulp (CAO''s)'!$D$3:$D$6,0)) &amp; "'!B1:B1000")) = TEXT(R14,"0")) *
            (ROW(INDIRECT("'" &amp; INDEX('Hulp (CAO''s)'!$C$3:$C$6,
                MATCH(TRUE,'Hulp (CAO''s)'!$D$3:$D$6,0)) &amp; "'!B1:B1000")) &gt; MATCH(
                R12,
                INDIRECT("'" &amp; INDEX('Hulp (CAO''s)'!$C$3:$C$6,
                    MATCH(TRUE,'Hulp (CAO''s)'!$D$3:$D$6,0)) &amp; "'!A:A"),
                0
            )) *
            IF(
                S12="",
                1,
                (ROW(INDIRECT("'" &amp; INDEX('Hulp (CAO''s)'!$C$3:$C$6,
                    MATCH(TRUE,'Hulp (CAO''s)'!$D$3:$D$6,0)) &amp; "'!B1:B1000")) &lt; MATCH(
                    S12,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TEXT(R14,"0")) *
                (ROW(INDIRECT("'" &amp; INDEX('Hulp (CAO''s)'!$C$3:$C$6,
                    MATCH(TRUE,'Hulp (CAO''s)'!$D$3:$D$6,0)) &amp; "'!B1:B1000")) &gt; MATCH(
                    R12,
                    INDIRECT("'" &amp; INDEX('Hulp (CAO''s)'!$C$3:$C$6,
                        MATCH(TRUE,'Hulp (CAO''s)'!$D$3:$D$6,0)) &amp; "'!A:A"),
                    0
                )) *
                IF(
                    S12="",
                    1,
                    (ROW(INDIRECT("'" &amp; INDEX('Hulp (CAO''s)'!$C$3:$C$6,
                        MATCH(TRUE,'Hulp (CAO''s)'!$D$3:$D$6,0)) &amp; "'!B1:B1000")) &lt; MATCH(
                        S12,
                        INDIRECT("'" &amp; INDEX('Hulp (CAO''s)'!$C$3:$C$6,
                            MATCH(TRUE,'Hulp (CAO''s)'!$D$3:$D$6,0)) &amp; "'!A:A"),
                        0
                    ))
                ),
                ROW(INDIRECT("'" &amp; INDEX('Hulp (CAO''s)'!$C$3:$C$6,
                    MATCH(TRUE,'Hulp (CAO''s)'!$D$3:$D$6,0)) &amp; "'!B1:B1000"))
            )
        ),0)
    )
))</f>
        <v/>
      </c>
      <c r="S15" s="145" t="str">
        <f t="array" aca="1" ref="S15" ca="1">IF($D13="Gebruik % van maximum trede",
IF(
    OR(S12="",S13=""),
    "",
    MAX(
    INDIRECT("'" &amp; INDEX('Hulp (CAO''s)'!$C$3:$C$6,
        MATCH(TRUE,'Hulp (CAO''s)'!$D$3:$D$6,0)) &amp; "'!" &amp;
        INDEX('Hulp (CAO''s)'!$H$3:$H$6,
            MATCH(TRUE,'Hulp (CAO''s)'!$D$3:$D$6,0))
        &amp;
        MATCH(S12, INDIRECT("'" &amp; INDEX('Hulp (CAO''s)'!$C$3:$C$6,
            MATCH(TRUE,'Hulp (CAO''s)'!$D$3:$D$6,0)) &amp; "'!A:A"),0)
        &amp; ":H" &amp;
        IF(T12&lt;&gt;"",
            MATCH(T12, INDIRECT("'" &amp; INDEX('Hulp (CAO''s)'!$C$3:$C$6,
                MATCH(TRUE,'Hulp (CAO''s)'!$D$3:$D$6,0)) &amp; "'!A:A"),0)-1,
            1000
        )
    )
) * S13
),
IF(
    IFERROR(MIN(
        IF(
            (TRIM(INDIRECT("'" &amp; INDEX('Hulp (CAO''s)'!$C$3:$C$6,
                MATCH(TRUE,'Hulp (CAO''s)'!$D$3:$D$6,0)) &amp; "'!B1:B1000")) = TEXT(S14,"0")) *
            (ROW(INDIRECT("'" &amp; INDEX('Hulp (CAO''s)'!$C$3:$C$6,
                MATCH(TRUE,'Hulp (CAO''s)'!$D$3:$D$6,0)) &amp; "'!B1:B1000")) &gt; MATCH(
                S12,
                INDIRECT("'" &amp; INDEX('Hulp (CAO''s)'!$C$3:$C$6,
                    MATCH(TRUE,'Hulp (CAO''s)'!$D$3:$D$6,0)) &amp; "'!A:A"),
                0
            )) *
            IF(
                T12="",
                1,
                (ROW(INDIRECT("'" &amp; INDEX('Hulp (CAO''s)'!$C$3:$C$6,
                    MATCH(TRUE,'Hulp (CAO''s)'!$D$3:$D$6,0)) &amp; "'!B1:B1000")) &lt; MATCH(
                    T12,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TEXT(S14,"0")) *
                (ROW(INDIRECT("'" &amp; INDEX('Hulp (CAO''s)'!$C$3:$C$6,
                    MATCH(TRUE,'Hulp (CAO''s)'!$D$3:$D$6,0)) &amp; "'!B1:B1000")) &gt; MATCH(
                    S12,
                    INDIRECT("'" &amp; INDEX('Hulp (CAO''s)'!$C$3:$C$6,
                        MATCH(TRUE,'Hulp (CAO''s)'!$D$3:$D$6,0)) &amp; "'!A:A"),
                    0
                )) *
                IF(
                    T12="",
                    1,
                    (ROW(INDIRECT("'" &amp; INDEX('Hulp (CAO''s)'!$C$3:$C$6,
                        MATCH(TRUE,'Hulp (CAO''s)'!$D$3:$D$6,0)) &amp; "'!B1:B1000")) &lt; MATCH(
                        T12,
                        INDIRECT("'" &amp; INDEX('Hulp (CAO''s)'!$C$3:$C$6,
                            MATCH(TRUE,'Hulp (CAO''s)'!$D$3:$D$6,0)) &amp; "'!A:A"),
                        0
                    ))
                ),
                ROW(INDIRECT("'" &amp; INDEX('Hulp (CAO''s)'!$C$3:$C$6,
                    MATCH(TRUE,'Hulp (CAO''s)'!$D$3:$D$6,0)) &amp; "'!B1:B1000"))
            )
        ),0)
    )
))</f>
        <v/>
      </c>
      <c r="T15" s="145" t="str">
        <f t="array" aca="1" ref="T15" ca="1">IF($D13="Gebruik % van maximum trede",
IF(
    OR(T12="",T13=""),
    "",
    MAX(
    INDIRECT("'" &amp; INDEX('Hulp (CAO''s)'!$C$3:$C$6,
        MATCH(TRUE,'Hulp (CAO''s)'!$D$3:$D$6,0)) &amp; "'!" &amp;
        INDEX('Hulp (CAO''s)'!$H$3:$H$6,
            MATCH(TRUE,'Hulp (CAO''s)'!$D$3:$D$6,0))
        &amp;
        MATCH(T12, INDIRECT("'" &amp; INDEX('Hulp (CAO''s)'!$C$3:$C$6,
            MATCH(TRUE,'Hulp (CAO''s)'!$D$3:$D$6,0)) &amp; "'!A:A"),0)
        &amp; ":H" &amp;
        IF(U12&lt;&gt;"",
            MATCH(U12, INDIRECT("'" &amp; INDEX('Hulp (CAO''s)'!$C$3:$C$6,
                MATCH(TRUE,'Hulp (CAO''s)'!$D$3:$D$6,0)) &amp; "'!A:A"),0)-1,
            1000
        )
    )
) * T13
),
IF(
    IFERROR(MIN(
        IF(
            (TRIM(INDIRECT("'" &amp; INDEX('Hulp (CAO''s)'!$C$3:$C$6,
                MATCH(TRUE,'Hulp (CAO''s)'!$D$3:$D$6,0)) &amp; "'!B1:B1000")) = TEXT(T14,"0")) *
            (ROW(INDIRECT("'" &amp; INDEX('Hulp (CAO''s)'!$C$3:$C$6,
                MATCH(TRUE,'Hulp (CAO''s)'!$D$3:$D$6,0)) &amp; "'!B1:B1000")) &gt; MATCH(
                T12,
                INDIRECT("'" &amp; INDEX('Hulp (CAO''s)'!$C$3:$C$6,
                    MATCH(TRUE,'Hulp (CAO''s)'!$D$3:$D$6,0)) &amp; "'!A:A"),
                0
            )) *
            IF(
                U12="",
                1,
                (ROW(INDIRECT("'" &amp; INDEX('Hulp (CAO''s)'!$C$3:$C$6,
                    MATCH(TRUE,'Hulp (CAO''s)'!$D$3:$D$6,0)) &amp; "'!B1:B1000")) &lt; MATCH(
                    U12,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TEXT(T14,"0")) *
                (ROW(INDIRECT("'" &amp; INDEX('Hulp (CAO''s)'!$C$3:$C$6,
                    MATCH(TRUE,'Hulp (CAO''s)'!$D$3:$D$6,0)) &amp; "'!B1:B1000")) &gt; MATCH(
                    T12,
                    INDIRECT("'" &amp; INDEX('Hulp (CAO''s)'!$C$3:$C$6,
                        MATCH(TRUE,'Hulp (CAO''s)'!$D$3:$D$6,0)) &amp; "'!A:A"),
                    0
                )) *
                IF(
                    U12="",
                    1,
                    (ROW(INDIRECT("'" &amp; INDEX('Hulp (CAO''s)'!$C$3:$C$6,
                        MATCH(TRUE,'Hulp (CAO''s)'!$D$3:$D$6,0)) &amp; "'!B1:B1000")) &lt; MATCH(
                        U12,
                        INDIRECT("'" &amp; INDEX('Hulp (CAO''s)'!$C$3:$C$6,
                            MATCH(TRUE,'Hulp (CAO''s)'!$D$3:$D$6,0)) &amp; "'!A:A"),
                        0
                    ))
                ),
                ROW(INDIRECT("'" &amp; INDEX('Hulp (CAO''s)'!$C$3:$C$6,
                    MATCH(TRUE,'Hulp (CAO''s)'!$D$3:$D$6,0)) &amp; "'!B1:B1000"))
            )
        ),0)
    )
))</f>
        <v/>
      </c>
      <c r="U15" s="145" t="str">
        <f t="array" aca="1" ref="U15" ca="1">IF($D13="Gebruik % van maximum trede",
IF(
    OR(U12="",U13=""),
    "",
    MAX(
    INDIRECT("'" &amp; INDEX('Hulp (CAO''s)'!$C$3:$C$6,
        MATCH(TRUE,'Hulp (CAO''s)'!$D$3:$D$6,0)) &amp; "'!" &amp;
        INDEX('Hulp (CAO''s)'!$H$3:$H$6,
            MATCH(TRUE,'Hulp (CAO''s)'!$D$3:$D$6,0))
        &amp;
        MATCH(U12, INDIRECT("'" &amp; INDEX('Hulp (CAO''s)'!$C$3:$C$6,
            MATCH(TRUE,'Hulp (CAO''s)'!$D$3:$D$6,0)) &amp; "'!A:A"),0)
        &amp; ":H" &amp;
        IF(V12&lt;&gt;"",
            MATCH(V12, INDIRECT("'" &amp; INDEX('Hulp (CAO''s)'!$C$3:$C$6,
                MATCH(TRUE,'Hulp (CAO''s)'!$D$3:$D$6,0)) &amp; "'!A:A"),0)-1,
            1000
        )
    )
) * U13
),
IF(
    IFERROR(MIN(
        IF(
            (TRIM(INDIRECT("'" &amp; INDEX('Hulp (CAO''s)'!$C$3:$C$6,
                MATCH(TRUE,'Hulp (CAO''s)'!$D$3:$D$6,0)) &amp; "'!B1:B1000")) = TEXT(U14,"0")) *
            (ROW(INDIRECT("'" &amp; INDEX('Hulp (CAO''s)'!$C$3:$C$6,
                MATCH(TRUE,'Hulp (CAO''s)'!$D$3:$D$6,0)) &amp; "'!B1:B1000")) &gt; MATCH(
                U12,
                INDIRECT("'" &amp; INDEX('Hulp (CAO''s)'!$C$3:$C$6,
                    MATCH(TRUE,'Hulp (CAO''s)'!$D$3:$D$6,0)) &amp; "'!A:A"),
                0
            )) *
            IF(
                V12="",
                1,
                (ROW(INDIRECT("'" &amp; INDEX('Hulp (CAO''s)'!$C$3:$C$6,
                    MATCH(TRUE,'Hulp (CAO''s)'!$D$3:$D$6,0)) &amp; "'!B1:B1000")) &lt; MATCH(
                    V12,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TEXT(U14,"0")) *
                (ROW(INDIRECT("'" &amp; INDEX('Hulp (CAO''s)'!$C$3:$C$6,
                    MATCH(TRUE,'Hulp (CAO''s)'!$D$3:$D$6,0)) &amp; "'!B1:B1000")) &gt; MATCH(
                    U12,
                    INDIRECT("'" &amp; INDEX('Hulp (CAO''s)'!$C$3:$C$6,
                        MATCH(TRUE,'Hulp (CAO''s)'!$D$3:$D$6,0)) &amp; "'!A:A"),
                    0
                )) *
                IF(
                    V12="",
                    1,
                    (ROW(INDIRECT("'" &amp; INDEX('Hulp (CAO''s)'!$C$3:$C$6,
                        MATCH(TRUE,'Hulp (CAO''s)'!$D$3:$D$6,0)) &amp; "'!B1:B1000")) &lt; MATCH(
                        V12,
                        INDIRECT("'" &amp; INDEX('Hulp (CAO''s)'!$C$3:$C$6,
                            MATCH(TRUE,'Hulp (CAO''s)'!$D$3:$D$6,0)) &amp; "'!A:A"),
                        0
                    ))
                ),
                ROW(INDIRECT("'" &amp; INDEX('Hulp (CAO''s)'!$C$3:$C$6,
                    MATCH(TRUE,'Hulp (CAO''s)'!$D$3:$D$6,0)) &amp; "'!B1:B1000"))
            )
        ),0)
    )
))</f>
        <v/>
      </c>
      <c r="V15" s="165" t="str">
        <f t="array" aca="1" ref="V15" ca="1">IF(SUM(F16:U16)=0,"",
IF(
   SUM(F15:U15)=0,
   "",
   (
      SUMPRODUCT(
         IF(F15:U15="",0,F15:U15),
         IF(F16:U16="",0,F16:U16) * SUM(F16:U16)
      )
   ) *
   IF(
      'Hulp (CAO''s)'!#REF!,
      IF(
         OR(
            INDEX(#REF!, ROW(#REF!) + INT((ROW()-ROW($V$8))/6)*8)="",
            ISNA(INDEX(#REF!, ROW(#REF!) + INT((ROW()-ROW($V$8))/6)*8))
         ),
         1878/12,
         INDEX(#REF!, ROW(#REF!) + INT((ROW()-ROW($V$8))/6)*8)/12
      ),
      1
   )
))</f>
        <v/>
      </c>
      <c r="W15" s="171" t="str">
        <f ca="1">IF(B12="","",
    IF(W14="","",
        IF(INDIRECT("'Hulp (control forms)'!C" &amp; (13 + INT((ROW()-ROW($B$5))/7))),
            W14,
            V15
        )
    )
)</f>
        <v/>
      </c>
      <c r="X15" s="170" t="str">
        <f ca="1">IF(AND($B12&lt;&gt;"", $W15=""),"!","")</f>
        <v/>
      </c>
    </row>
    <row r="16" spans="1:29" ht="16.05" customHeight="1" thickBot="1" x14ac:dyDescent="0.55000000000000004">
      <c r="C16" s="151"/>
      <c r="D16" s="141" t="s">
        <v>60</v>
      </c>
      <c r="E16" s="24" t="s">
        <v>59</v>
      </c>
      <c r="F16" s="146">
        <v>0.05</v>
      </c>
      <c r="G16" s="146">
        <v>0.1</v>
      </c>
      <c r="H16" s="146">
        <v>0.1</v>
      </c>
      <c r="I16" s="146">
        <v>0.15</v>
      </c>
      <c r="J16" s="146">
        <v>0.2</v>
      </c>
      <c r="K16" s="146">
        <v>0.15</v>
      </c>
      <c r="L16" s="146">
        <v>0.1</v>
      </c>
      <c r="M16" s="146">
        <v>0.05</v>
      </c>
      <c r="N16" s="146">
        <v>0.05</v>
      </c>
      <c r="O16" s="146">
        <v>0.05</v>
      </c>
      <c r="P16" s="146">
        <v>0</v>
      </c>
      <c r="Q16" s="146"/>
      <c r="R16" s="146"/>
      <c r="S16" s="146"/>
      <c r="T16" s="146"/>
      <c r="U16" s="147"/>
      <c r="V16" s="142" t="str">
        <f ca="1">IF($B12="","",IF($D16="Aandeel in %",
   "Totaal: "&amp;SUM(F16:U16)*100&amp;"%",
   "Totaal: "&amp;SUM(F16:U16)&amp;" uur"
))</f>
        <v/>
      </c>
      <c r="W16" s="168"/>
      <c r="X16" s="153"/>
    </row>
    <row r="17" spans="2:24" ht="16.05" customHeight="1" thickBot="1" x14ac:dyDescent="0.55000000000000004">
      <c r="C17" s="154"/>
      <c r="D17" s="140"/>
      <c r="E17" s="140"/>
      <c r="F17" s="140"/>
      <c r="G17" s="140"/>
      <c r="H17" s="140"/>
      <c r="I17" s="140"/>
      <c r="J17" s="140"/>
      <c r="K17" s="140"/>
      <c r="L17" s="140"/>
      <c r="M17" s="140"/>
      <c r="N17" s="140"/>
      <c r="O17" s="140"/>
      <c r="P17" s="140"/>
      <c r="Q17" s="140"/>
      <c r="R17" s="140"/>
      <c r="S17" s="140"/>
      <c r="T17" s="155"/>
      <c r="U17" s="155"/>
      <c r="V17" s="169"/>
      <c r="W17" s="169"/>
      <c r="X17" s="156"/>
    </row>
    <row r="18" spans="2:24" ht="16.05" customHeight="1" thickBot="1" x14ac:dyDescent="0.55000000000000004">
      <c r="B18" s="159" t="str">
        <f ca="1">IF(B19="","",
IF(
   OR(
      INDIRECT("'1a. Input organisatieniveau'!AC" &amp; (7 + INT((ROW()-4)/7)))="",
      INDIRECT("'1a. Input organisatieniveau'!AC" &amp; (7 + INT((ROW()-4)/7)))=0
   ),
   "",
   INDIRECT("'1a. Input organisatieniveau'!AC" &amp; (7 + INT((ROW()-4)/7)))
))</f>
        <v/>
      </c>
      <c r="C18" s="148"/>
      <c r="D18" s="139"/>
      <c r="E18" s="139"/>
      <c r="F18" s="149" t="str">
        <f t="shared" ref="F18:U18" ca="1" si="2">IF($D20="Gebruik % van maximum trede", IF(AND(AND(F19&lt;&gt;"",F20&lt;&gt;""),F22=""),"!",""), IF(AND(AND(F19&lt;&gt;"",F21&lt;&gt;""),F22=""),"!",""))</f>
        <v/>
      </c>
      <c r="G18" s="149" t="str">
        <f t="shared" ca="1" si="2"/>
        <v/>
      </c>
      <c r="H18" s="149" t="str">
        <f t="shared" ca="1" si="2"/>
        <v/>
      </c>
      <c r="I18" s="149" t="str">
        <f t="shared" ca="1" si="2"/>
        <v/>
      </c>
      <c r="J18" s="149" t="str">
        <f t="shared" ca="1" si="2"/>
        <v/>
      </c>
      <c r="K18" s="149" t="str">
        <f t="shared" ca="1" si="2"/>
        <v/>
      </c>
      <c r="L18" s="149" t="str">
        <f t="shared" ca="1" si="2"/>
        <v/>
      </c>
      <c r="M18" s="149" t="str">
        <f t="shared" ca="1" si="2"/>
        <v/>
      </c>
      <c r="N18" s="149" t="str">
        <f t="shared" ca="1" si="2"/>
        <v/>
      </c>
      <c r="O18" s="149" t="str">
        <f t="shared" ca="1" si="2"/>
        <v/>
      </c>
      <c r="P18" s="149" t="str">
        <f t="shared" ca="1" si="2"/>
        <v/>
      </c>
      <c r="Q18" s="149" t="str">
        <f t="shared" ca="1" si="2"/>
        <v/>
      </c>
      <c r="R18" s="149" t="str">
        <f t="shared" ca="1" si="2"/>
        <v/>
      </c>
      <c r="S18" s="149" t="str">
        <f t="shared" ca="1" si="2"/>
        <v/>
      </c>
      <c r="T18" s="149" t="str">
        <f t="shared" ca="1" si="2"/>
        <v/>
      </c>
      <c r="U18" s="149" t="str">
        <f t="shared" ca="1" si="2"/>
        <v/>
      </c>
      <c r="V18" s="167"/>
      <c r="W18" s="167"/>
      <c r="X18" s="150"/>
    </row>
    <row r="19" spans="2:24" ht="16.05" customHeight="1" thickBot="1" x14ac:dyDescent="0.55000000000000004">
      <c r="B19" s="158" t="str">
        <f ca="1">IF(
   OR(
      INDIRECT("'1a. Input organisatieniveau'!AA" &amp; (7 + INT((ROW()-4)/7)))="",
      INDIRECT("'1a. Input organisatieniveau'!AA" &amp; (7 + INT((ROW()-4)/7)))=0
   ),
   "",
   INDIRECT("'1a. Input organisatieniveau'!AA" &amp; (7 + INT((ROW()-4)/7)))
)</f>
        <v/>
      </c>
      <c r="C19" s="151"/>
      <c r="D19" s="152"/>
      <c r="E19" s="22" t="s">
        <v>28</v>
      </c>
      <c r="F19" s="143" t="str">
        <f t="array" aca="1" ref="F19" ca="1">IF($B19="", "", INDEX('Hulp (CAO''s)'!J$3:J$6, MATCH(TRUE, 'Hulp (CAO''s)'!$D$3:$D$6, 0)))</f>
        <v/>
      </c>
      <c r="G19" s="143" t="str">
        <f t="array" aca="1" ref="G19" ca="1">IF($B19="", "", INDEX('Hulp (CAO''s)'!K$3:K$6, MATCH(TRUE, 'Hulp (CAO''s)'!$D$3:$D$6, 0)))</f>
        <v/>
      </c>
      <c r="H19" s="143" t="str">
        <f t="array" aca="1" ref="H19" ca="1">IF($B19="", "", INDEX('Hulp (CAO''s)'!L$3:L$6, MATCH(TRUE, 'Hulp (CAO''s)'!$D$3:$D$6, 0)))</f>
        <v/>
      </c>
      <c r="I19" s="143" t="str">
        <f t="array" aca="1" ref="I19" ca="1">IF($B19="", "", INDEX('Hulp (CAO''s)'!M$3:M$6, MATCH(TRUE, 'Hulp (CAO''s)'!$D$3:$D$6, 0)))</f>
        <v/>
      </c>
      <c r="J19" s="143" t="str">
        <f t="array" aca="1" ref="J19" ca="1">IF($B19="", "", INDEX('Hulp (CAO''s)'!N$3:N$6, MATCH(TRUE, 'Hulp (CAO''s)'!$D$3:$D$6, 0)))</f>
        <v/>
      </c>
      <c r="K19" s="143" t="str">
        <f t="array" aca="1" ref="K19" ca="1">IF($B19="", "", INDEX('Hulp (CAO''s)'!O$3:O$6, MATCH(TRUE, 'Hulp (CAO''s)'!$D$3:$D$6, 0)))</f>
        <v/>
      </c>
      <c r="L19" s="143" t="str">
        <f t="array" aca="1" ref="L19" ca="1">IF($B19="", "", INDEX('Hulp (CAO''s)'!P$3:P$6, MATCH(TRUE, 'Hulp (CAO''s)'!$D$3:$D$6, 0)))</f>
        <v/>
      </c>
      <c r="M19" s="143" t="str">
        <f t="array" aca="1" ref="M19" ca="1">IF($B19="", "", INDEX('Hulp (CAO''s)'!Q$3:Q$6, MATCH(TRUE, 'Hulp (CAO''s)'!$D$3:$D$6, 0)))</f>
        <v/>
      </c>
      <c r="N19" s="143" t="str">
        <f t="array" aca="1" ref="N19" ca="1">IF($B19="", "", INDEX('Hulp (CAO''s)'!R$3:R$6, MATCH(TRUE, 'Hulp (CAO''s)'!$D$3:$D$6, 0)))</f>
        <v/>
      </c>
      <c r="O19" s="143" t="str">
        <f t="array" aca="1" ref="O19" ca="1">IF($B19="", "", INDEX('Hulp (CAO''s)'!S$3:S$6, MATCH(TRUE, 'Hulp (CAO''s)'!$D$3:$D$6, 0)))</f>
        <v/>
      </c>
      <c r="P19" s="143" t="str">
        <f t="array" aca="1" ref="P19" ca="1">IF($B19="", "", INDEX('Hulp (CAO''s)'!T$3:T$6, MATCH(TRUE, 'Hulp (CAO''s)'!$D$3:$D$6, 0)))</f>
        <v/>
      </c>
      <c r="Q19" s="143" t="str">
        <f t="array" aca="1" ref="Q19" ca="1">IF($B19="", "", INDEX('Hulp (CAO''s)'!U$3:U$6, MATCH(TRUE, 'Hulp (CAO''s)'!$D$3:$D$6, 0)))</f>
        <v/>
      </c>
      <c r="R19" s="143" t="str">
        <f t="array" aca="1" ref="R19" ca="1">IF($B19="", "", INDEX('Hulp (CAO''s)'!V$3:V$6, MATCH(TRUE, 'Hulp (CAO''s)'!$D$3:$D$6, 0)))</f>
        <v/>
      </c>
      <c r="S19" s="143" t="str">
        <f t="array" aca="1" ref="S19" ca="1">IF($B19="", "", INDEX('Hulp (CAO''s)'!W$3:W$6, MATCH(TRUE, 'Hulp (CAO''s)'!$D$3:$D$6, 0)))</f>
        <v/>
      </c>
      <c r="T19" s="143" t="str">
        <f t="array" aca="1" ref="T19" ca="1">IF($B19="", "", INDEX('Hulp (CAO''s)'!X$3:X$6, MATCH(TRUE, 'Hulp (CAO''s)'!$D$3:$D$6, 0)))</f>
        <v/>
      </c>
      <c r="U19" s="144" t="str">
        <f t="array" aca="1" ref="U19" ca="1">IF($B19="", "", INDEX('Hulp (CAO''s)'!Y$3:Y$6, MATCH(TRUE, 'Hulp (CAO''s)'!$D$3:$D$6, 0)))</f>
        <v/>
      </c>
      <c r="W19" s="788" t="s">
        <v>747</v>
      </c>
      <c r="X19" s="153"/>
    </row>
    <row r="20" spans="2:24" ht="16.05" customHeight="1" thickBot="1" x14ac:dyDescent="0.55000000000000004">
      <c r="C20" s="151"/>
      <c r="D20" s="786" t="s">
        <v>771</v>
      </c>
      <c r="E20" s="162" t="s">
        <v>770</v>
      </c>
      <c r="F20" s="163">
        <v>0.96</v>
      </c>
      <c r="G20" s="163">
        <v>0.9</v>
      </c>
      <c r="H20" s="163">
        <v>0.9</v>
      </c>
      <c r="I20" s="163">
        <v>0.7</v>
      </c>
      <c r="J20" s="163">
        <v>0.8</v>
      </c>
      <c r="K20" s="163">
        <v>0.9</v>
      </c>
      <c r="L20" s="163">
        <v>0.9</v>
      </c>
      <c r="M20" s="163">
        <v>0.9</v>
      </c>
      <c r="N20" s="163">
        <v>0.9</v>
      </c>
      <c r="O20" s="163">
        <v>0.8</v>
      </c>
      <c r="P20" s="163">
        <v>0.95</v>
      </c>
      <c r="Q20" s="163">
        <v>0.93</v>
      </c>
      <c r="R20" s="163">
        <v>0.93</v>
      </c>
      <c r="S20" s="163">
        <v>0.99</v>
      </c>
      <c r="T20" s="163">
        <v>0.99</v>
      </c>
      <c r="U20" s="164">
        <v>0.95</v>
      </c>
      <c r="W20" s="789"/>
      <c r="X20" s="153"/>
    </row>
    <row r="21" spans="2:24" ht="16.05" customHeight="1" thickBot="1" x14ac:dyDescent="0.55000000000000004">
      <c r="C21" s="151"/>
      <c r="D21" s="787"/>
      <c r="E21" s="31" t="s">
        <v>29</v>
      </c>
      <c r="F21" s="160">
        <v>8</v>
      </c>
      <c r="G21" s="160">
        <v>10</v>
      </c>
      <c r="H21" s="160">
        <v>10</v>
      </c>
      <c r="I21" s="160">
        <v>9</v>
      </c>
      <c r="J21" s="160">
        <v>10</v>
      </c>
      <c r="K21" s="160">
        <v>11</v>
      </c>
      <c r="L21" s="160">
        <v>10</v>
      </c>
      <c r="M21" s="160">
        <v>10</v>
      </c>
      <c r="N21" s="160">
        <v>9</v>
      </c>
      <c r="O21" s="160">
        <v>10</v>
      </c>
      <c r="P21" s="160">
        <v>11</v>
      </c>
      <c r="Q21" s="160">
        <v>12</v>
      </c>
      <c r="R21" s="160">
        <v>13</v>
      </c>
      <c r="S21" s="160">
        <v>12</v>
      </c>
      <c r="T21" s="160">
        <v>10</v>
      </c>
      <c r="U21" s="161">
        <v>5</v>
      </c>
      <c r="W21" s="166">
        <v>4200</v>
      </c>
      <c r="X21" s="153"/>
    </row>
    <row r="22" spans="2:24" ht="16.05" customHeight="1" thickBot="1" x14ac:dyDescent="0.55000000000000004">
      <c r="C22" s="151"/>
      <c r="E22" s="40" t="str">
        <f>IFERROR(
   INDEX('Hulp (CAO''s)'!$I$3:$I$6, MATCH(TRUE, 'Hulp (CAO''s)'!$D$3:$D$6, 0)),
"")</f>
        <v>Bruto maandsalaris</v>
      </c>
      <c r="F22" s="145" t="str">
        <f t="array" aca="1" ref="F22" ca="1">IF($D20="Gebruik % van maximum trede",
IF(
    OR(F19="",F20=""),
    "",
    MAX(
    INDIRECT("'" &amp; INDEX('Hulp (CAO''s)'!$C$3:$C$6,
        MATCH(TRUE,'Hulp (CAO''s)'!$D$3:$D$6,0)) &amp; "'!" &amp;
        INDEX('Hulp (CAO''s)'!$H$3:$H$6,
            MATCH(TRUE,'Hulp (CAO''s)'!$D$3:$D$6,0))
        &amp;
        MATCH(F19, INDIRECT("'" &amp; INDEX('Hulp (CAO''s)'!$C$3:$C$6,
            MATCH(TRUE,'Hulp (CAO''s)'!$D$3:$D$6,0)) &amp; "'!A:A"),0)
        &amp; ":H" &amp;
        IF(G19&lt;&gt;"",
            MATCH(G19, INDIRECT("'" &amp; INDEX('Hulp (CAO''s)'!$C$3:$C$6,
                MATCH(TRUE,'Hulp (CAO''s)'!$D$3:$D$6,0)) &amp; "'!A:A"),0)-1,
            1000
        )
    )
) * F20
),
IF(
    IFERROR(MIN(
        IF(
            (TRIM(INDIRECT("'" &amp; INDEX('Hulp (CAO''s)'!$C$3:$C$6,
                MATCH(TRUE,'Hulp (CAO''s)'!$D$3:$D$6,0)) &amp; "'!B1:B1000")) = TEXT(F21,"0")) *
            (ROW(INDIRECT("'" &amp; INDEX('Hulp (CAO''s)'!$C$3:$C$6,
                MATCH(TRUE,'Hulp (CAO''s)'!$D$3:$D$6,0)) &amp; "'!B1:B1000")) &gt; MATCH(
                F19,
                INDIRECT("'" &amp; INDEX('Hulp (CAO''s)'!$C$3:$C$6,
                    MATCH(TRUE,'Hulp (CAO''s)'!$D$3:$D$6,0)) &amp; "'!A:A"),
                0
            )) *
            IF(
                G19="",
                1,
                (ROW(INDIRECT("'" &amp; INDEX('Hulp (CAO''s)'!$C$3:$C$6,
                    MATCH(TRUE,'Hulp (CAO''s)'!$D$3:$D$6,0)) &amp; "'!B1:B1000")) &lt; MATCH(
                    G19,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TEXT(F21,"0")) *
                (ROW(INDIRECT("'" &amp; INDEX('Hulp (CAO''s)'!$C$3:$C$6,
                    MATCH(TRUE,'Hulp (CAO''s)'!$D$3:$D$6,0)) &amp; "'!B1:B1000")) &gt; MATCH(
                    F19,
                    INDIRECT("'" &amp; INDEX('Hulp (CAO''s)'!$C$3:$C$6,
                        MATCH(TRUE,'Hulp (CAO''s)'!$D$3:$D$6,0)) &amp; "'!A:A"),
                    0
                )) *
                IF(
                    G19="",
                    1,
                    (ROW(INDIRECT("'" &amp; INDEX('Hulp (CAO''s)'!$C$3:$C$6,
                        MATCH(TRUE,'Hulp (CAO''s)'!$D$3:$D$6,0)) &amp; "'!B1:B1000")) &lt; MATCH(
                        G19,
                        INDIRECT("'" &amp; INDEX('Hulp (CAO''s)'!$C$3:$C$6,
                            MATCH(TRUE,'Hulp (CAO''s)'!$D$3:$D$6,0)) &amp; "'!A:A"),
                        0
                    ))
                ),
                ROW(INDIRECT("'" &amp; INDEX('Hulp (CAO''s)'!$C$3:$C$6,
                    MATCH(TRUE,'Hulp (CAO''s)'!$D$3:$D$6,0)) &amp; "'!B1:B1000"))
            )
        ),0)
    )
))</f>
        <v/>
      </c>
      <c r="G22" s="145" t="str">
        <f t="array" aca="1" ref="G22" ca="1">IF($D20="Gebruik % van maximum trede",
IF(
    OR(G19="",G20=""),
    "",
    MAX(
    INDIRECT("'" &amp; INDEX('Hulp (CAO''s)'!$C$3:$C$6,
        MATCH(TRUE,'Hulp (CAO''s)'!$D$3:$D$6,0)) &amp; "'!" &amp;
        INDEX('Hulp (CAO''s)'!$H$3:$H$6,
            MATCH(TRUE,'Hulp (CAO''s)'!$D$3:$D$6,0))
        &amp;
        MATCH(G19, INDIRECT("'" &amp; INDEX('Hulp (CAO''s)'!$C$3:$C$6,
            MATCH(TRUE,'Hulp (CAO''s)'!$D$3:$D$6,0)) &amp; "'!A:A"),0)
        &amp; ":H" &amp;
        IF(H19&lt;&gt;"",
            MATCH(H19, INDIRECT("'" &amp; INDEX('Hulp (CAO''s)'!$C$3:$C$6,
                MATCH(TRUE,'Hulp (CAO''s)'!$D$3:$D$6,0)) &amp; "'!A:A"),0)-1,
            1000
        )
    )
) * G20
),
IF(
    IFERROR(MIN(
        IF(
            (TRIM(INDIRECT("'" &amp; INDEX('Hulp (CAO''s)'!$C$3:$C$6,
                MATCH(TRUE,'Hulp (CAO''s)'!$D$3:$D$6,0)) &amp; "'!B1:B1000")) = TEXT(G21,"0")) *
            (ROW(INDIRECT("'" &amp; INDEX('Hulp (CAO''s)'!$C$3:$C$6,
                MATCH(TRUE,'Hulp (CAO''s)'!$D$3:$D$6,0)) &amp; "'!B1:B1000")) &gt; MATCH(
                G19,
                INDIRECT("'" &amp; INDEX('Hulp (CAO''s)'!$C$3:$C$6,
                    MATCH(TRUE,'Hulp (CAO''s)'!$D$3:$D$6,0)) &amp; "'!A:A"),
                0
            )) *
            IF(
                H19="",
                1,
                (ROW(INDIRECT("'" &amp; INDEX('Hulp (CAO''s)'!$C$3:$C$6,
                    MATCH(TRUE,'Hulp (CAO''s)'!$D$3:$D$6,0)) &amp; "'!B1:B1000")) &lt; MATCH(
                    H19,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TEXT(G21,"0")) *
                (ROW(INDIRECT("'" &amp; INDEX('Hulp (CAO''s)'!$C$3:$C$6,
                    MATCH(TRUE,'Hulp (CAO''s)'!$D$3:$D$6,0)) &amp; "'!B1:B1000")) &gt; MATCH(
                    G19,
                    INDIRECT("'" &amp; INDEX('Hulp (CAO''s)'!$C$3:$C$6,
                        MATCH(TRUE,'Hulp (CAO''s)'!$D$3:$D$6,0)) &amp; "'!A:A"),
                    0
                )) *
                IF(
                    H19="",
                    1,
                    (ROW(INDIRECT("'" &amp; INDEX('Hulp (CAO''s)'!$C$3:$C$6,
                        MATCH(TRUE,'Hulp (CAO''s)'!$D$3:$D$6,0)) &amp; "'!B1:B1000")) &lt; MATCH(
                        H19,
                        INDIRECT("'" &amp; INDEX('Hulp (CAO''s)'!$C$3:$C$6,
                            MATCH(TRUE,'Hulp (CAO''s)'!$D$3:$D$6,0)) &amp; "'!A:A"),
                        0
                    ))
                ),
                ROW(INDIRECT("'" &amp; INDEX('Hulp (CAO''s)'!$C$3:$C$6,
                    MATCH(TRUE,'Hulp (CAO''s)'!$D$3:$D$6,0)) &amp; "'!B1:B1000"))
            )
        ),0)
    )
))</f>
        <v/>
      </c>
      <c r="H22" s="145" t="str">
        <f t="array" aca="1" ref="H22" ca="1">IF($D20="Gebruik % van maximum trede",
IF(
    OR(H19="",H20=""),
    "",
    MAX(
    INDIRECT("'" &amp; INDEX('Hulp (CAO''s)'!$C$3:$C$6,
        MATCH(TRUE,'Hulp (CAO''s)'!$D$3:$D$6,0)) &amp; "'!" &amp;
        INDEX('Hulp (CAO''s)'!$H$3:$H$6,
            MATCH(TRUE,'Hulp (CAO''s)'!$D$3:$D$6,0))
        &amp;
        MATCH(H19, INDIRECT("'" &amp; INDEX('Hulp (CAO''s)'!$C$3:$C$6,
            MATCH(TRUE,'Hulp (CAO''s)'!$D$3:$D$6,0)) &amp; "'!A:A"),0)
        &amp; ":H" &amp;
        IF(I19&lt;&gt;"",
            MATCH(I19, INDIRECT("'" &amp; INDEX('Hulp (CAO''s)'!$C$3:$C$6,
                MATCH(TRUE,'Hulp (CAO''s)'!$D$3:$D$6,0)) &amp; "'!A:A"),0)-1,
            1000
        )
    )
) * H20
),
IF(
    IFERROR(MIN(
        IF(
            (TRIM(INDIRECT("'" &amp; INDEX('Hulp (CAO''s)'!$C$3:$C$6,
                MATCH(TRUE,'Hulp (CAO''s)'!$D$3:$D$6,0)) &amp; "'!B1:B1000")) = TEXT(H21,"0")) *
            (ROW(INDIRECT("'" &amp; INDEX('Hulp (CAO''s)'!$C$3:$C$6,
                MATCH(TRUE,'Hulp (CAO''s)'!$D$3:$D$6,0)) &amp; "'!B1:B1000")) &gt; MATCH(
                H19,
                INDIRECT("'" &amp; INDEX('Hulp (CAO''s)'!$C$3:$C$6,
                    MATCH(TRUE,'Hulp (CAO''s)'!$D$3:$D$6,0)) &amp; "'!A:A"),
                0
            )) *
            IF(
                I19="",
                1,
                (ROW(INDIRECT("'" &amp; INDEX('Hulp (CAO''s)'!$C$3:$C$6,
                    MATCH(TRUE,'Hulp (CAO''s)'!$D$3:$D$6,0)) &amp; "'!B1:B1000")) &lt; MATCH(
                    I19,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TEXT(H21,"0")) *
                (ROW(INDIRECT("'" &amp; INDEX('Hulp (CAO''s)'!$C$3:$C$6,
                    MATCH(TRUE,'Hulp (CAO''s)'!$D$3:$D$6,0)) &amp; "'!B1:B1000")) &gt; MATCH(
                    H19,
                    INDIRECT("'" &amp; INDEX('Hulp (CAO''s)'!$C$3:$C$6,
                        MATCH(TRUE,'Hulp (CAO''s)'!$D$3:$D$6,0)) &amp; "'!A:A"),
                    0
                )) *
                IF(
                    I19="",
                    1,
                    (ROW(INDIRECT("'" &amp; INDEX('Hulp (CAO''s)'!$C$3:$C$6,
                        MATCH(TRUE,'Hulp (CAO''s)'!$D$3:$D$6,0)) &amp; "'!B1:B1000")) &lt; MATCH(
                        I19,
                        INDIRECT("'" &amp; INDEX('Hulp (CAO''s)'!$C$3:$C$6,
                            MATCH(TRUE,'Hulp (CAO''s)'!$D$3:$D$6,0)) &amp; "'!A:A"),
                        0
                    ))
                ),
                ROW(INDIRECT("'" &amp; INDEX('Hulp (CAO''s)'!$C$3:$C$6,
                    MATCH(TRUE,'Hulp (CAO''s)'!$D$3:$D$6,0)) &amp; "'!B1:B1000"))
            )
        ),0)
    )
))</f>
        <v/>
      </c>
      <c r="I22" s="145" t="str">
        <f t="array" aca="1" ref="I22" ca="1">IF($D20="Gebruik % van maximum trede",
IF(
    OR(I19="",I20=""),
    "",
    MAX(
    INDIRECT("'" &amp; INDEX('Hulp (CAO''s)'!$C$3:$C$6,
        MATCH(TRUE,'Hulp (CAO''s)'!$D$3:$D$6,0)) &amp; "'!" &amp;
        INDEX('Hulp (CAO''s)'!$H$3:$H$6,
            MATCH(TRUE,'Hulp (CAO''s)'!$D$3:$D$6,0))
        &amp;
        MATCH(I19, INDIRECT("'" &amp; INDEX('Hulp (CAO''s)'!$C$3:$C$6,
            MATCH(TRUE,'Hulp (CAO''s)'!$D$3:$D$6,0)) &amp; "'!A:A"),0)
        &amp; ":H" &amp;
        IF(J19&lt;&gt;"",
            MATCH(J19, INDIRECT("'" &amp; INDEX('Hulp (CAO''s)'!$C$3:$C$6,
                MATCH(TRUE,'Hulp (CAO''s)'!$D$3:$D$6,0)) &amp; "'!A:A"),0)-1,
            1000
        )
    )
) * I20
),
IF(
    IFERROR(MIN(
        IF(
            (TRIM(INDIRECT("'" &amp; INDEX('Hulp (CAO''s)'!$C$3:$C$6,
                MATCH(TRUE,'Hulp (CAO''s)'!$D$3:$D$6,0)) &amp; "'!B1:B1000")) = TEXT(I21,"0")) *
            (ROW(INDIRECT("'" &amp; INDEX('Hulp (CAO''s)'!$C$3:$C$6,
                MATCH(TRUE,'Hulp (CAO''s)'!$D$3:$D$6,0)) &amp; "'!B1:B1000")) &gt; MATCH(
                I19,
                INDIRECT("'" &amp; INDEX('Hulp (CAO''s)'!$C$3:$C$6,
                    MATCH(TRUE,'Hulp (CAO''s)'!$D$3:$D$6,0)) &amp; "'!A:A"),
                0
            )) *
            IF(
                J19="",
                1,
                (ROW(INDIRECT("'" &amp; INDEX('Hulp (CAO''s)'!$C$3:$C$6,
                    MATCH(TRUE,'Hulp (CAO''s)'!$D$3:$D$6,0)) &amp; "'!B1:B1000")) &lt; MATCH(
                    J19,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TEXT(I21,"0")) *
                (ROW(INDIRECT("'" &amp; INDEX('Hulp (CAO''s)'!$C$3:$C$6,
                    MATCH(TRUE,'Hulp (CAO''s)'!$D$3:$D$6,0)) &amp; "'!B1:B1000")) &gt; MATCH(
                    I19,
                    INDIRECT("'" &amp; INDEX('Hulp (CAO''s)'!$C$3:$C$6,
                        MATCH(TRUE,'Hulp (CAO''s)'!$D$3:$D$6,0)) &amp; "'!A:A"),
                    0
                )) *
                IF(
                    J19="",
                    1,
                    (ROW(INDIRECT("'" &amp; INDEX('Hulp (CAO''s)'!$C$3:$C$6,
                        MATCH(TRUE,'Hulp (CAO''s)'!$D$3:$D$6,0)) &amp; "'!B1:B1000")) &lt; MATCH(
                        J19,
                        INDIRECT("'" &amp; INDEX('Hulp (CAO''s)'!$C$3:$C$6,
                            MATCH(TRUE,'Hulp (CAO''s)'!$D$3:$D$6,0)) &amp; "'!A:A"),
                        0
                    ))
                ),
                ROW(INDIRECT("'" &amp; INDEX('Hulp (CAO''s)'!$C$3:$C$6,
                    MATCH(TRUE,'Hulp (CAO''s)'!$D$3:$D$6,0)) &amp; "'!B1:B1000"))
            )
        ),0)
    )
))</f>
        <v/>
      </c>
      <c r="J22" s="145" t="str">
        <f t="array" aca="1" ref="J22" ca="1">IF($D20="Gebruik % van maximum trede",
IF(
    OR(J19="",J20=""),
    "",
    MAX(
    INDIRECT("'" &amp; INDEX('Hulp (CAO''s)'!$C$3:$C$6,
        MATCH(TRUE,'Hulp (CAO''s)'!$D$3:$D$6,0)) &amp; "'!" &amp;
        INDEX('Hulp (CAO''s)'!$H$3:$H$6,
            MATCH(TRUE,'Hulp (CAO''s)'!$D$3:$D$6,0))
        &amp;
        MATCH(J19, INDIRECT("'" &amp; INDEX('Hulp (CAO''s)'!$C$3:$C$6,
            MATCH(TRUE,'Hulp (CAO''s)'!$D$3:$D$6,0)) &amp; "'!A:A"),0)
        &amp; ":H" &amp;
        IF(K19&lt;&gt;"",
            MATCH(K19, INDIRECT("'" &amp; INDEX('Hulp (CAO''s)'!$C$3:$C$6,
                MATCH(TRUE,'Hulp (CAO''s)'!$D$3:$D$6,0)) &amp; "'!A:A"),0)-1,
            1000
        )
    )
) * J20
),
IF(
    IFERROR(MIN(
        IF(
            (TRIM(INDIRECT("'" &amp; INDEX('Hulp (CAO''s)'!$C$3:$C$6,
                MATCH(TRUE,'Hulp (CAO''s)'!$D$3:$D$6,0)) &amp; "'!B1:B1000")) = TEXT(J21,"0")) *
            (ROW(INDIRECT("'" &amp; INDEX('Hulp (CAO''s)'!$C$3:$C$6,
                MATCH(TRUE,'Hulp (CAO''s)'!$D$3:$D$6,0)) &amp; "'!B1:B1000")) &gt; MATCH(
                J19,
                INDIRECT("'" &amp; INDEX('Hulp (CAO''s)'!$C$3:$C$6,
                    MATCH(TRUE,'Hulp (CAO''s)'!$D$3:$D$6,0)) &amp; "'!A:A"),
                0
            )) *
            IF(
                K19="",
                1,
                (ROW(INDIRECT("'" &amp; INDEX('Hulp (CAO''s)'!$C$3:$C$6,
                    MATCH(TRUE,'Hulp (CAO''s)'!$D$3:$D$6,0)) &amp; "'!B1:B1000")) &lt; MATCH(
                    K19,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TEXT(J21,"0")) *
                (ROW(INDIRECT("'" &amp; INDEX('Hulp (CAO''s)'!$C$3:$C$6,
                    MATCH(TRUE,'Hulp (CAO''s)'!$D$3:$D$6,0)) &amp; "'!B1:B1000")) &gt; MATCH(
                    J19,
                    INDIRECT("'" &amp; INDEX('Hulp (CAO''s)'!$C$3:$C$6,
                        MATCH(TRUE,'Hulp (CAO''s)'!$D$3:$D$6,0)) &amp; "'!A:A"),
                    0
                )) *
                IF(
                    K19="",
                    1,
                    (ROW(INDIRECT("'" &amp; INDEX('Hulp (CAO''s)'!$C$3:$C$6,
                        MATCH(TRUE,'Hulp (CAO''s)'!$D$3:$D$6,0)) &amp; "'!B1:B1000")) &lt; MATCH(
                        K19,
                        INDIRECT("'" &amp; INDEX('Hulp (CAO''s)'!$C$3:$C$6,
                            MATCH(TRUE,'Hulp (CAO''s)'!$D$3:$D$6,0)) &amp; "'!A:A"),
                        0
                    ))
                ),
                ROW(INDIRECT("'" &amp; INDEX('Hulp (CAO''s)'!$C$3:$C$6,
                    MATCH(TRUE,'Hulp (CAO''s)'!$D$3:$D$6,0)) &amp; "'!B1:B1000"))
            )
        ),0)
    )
))</f>
        <v/>
      </c>
      <c r="K22" s="145" t="str">
        <f t="array" aca="1" ref="K22" ca="1">IF($D20="Gebruik % van maximum trede",
IF(
    OR(K19="",K20=""),
    "",
    MAX(
    INDIRECT("'" &amp; INDEX('Hulp (CAO''s)'!$C$3:$C$6,
        MATCH(TRUE,'Hulp (CAO''s)'!$D$3:$D$6,0)) &amp; "'!" &amp;
        INDEX('Hulp (CAO''s)'!$H$3:$H$6,
            MATCH(TRUE,'Hulp (CAO''s)'!$D$3:$D$6,0))
        &amp;
        MATCH(K19, INDIRECT("'" &amp; INDEX('Hulp (CAO''s)'!$C$3:$C$6,
            MATCH(TRUE,'Hulp (CAO''s)'!$D$3:$D$6,0)) &amp; "'!A:A"),0)
        &amp; ":H" &amp;
        IF(L19&lt;&gt;"",
            MATCH(L19, INDIRECT("'" &amp; INDEX('Hulp (CAO''s)'!$C$3:$C$6,
                MATCH(TRUE,'Hulp (CAO''s)'!$D$3:$D$6,0)) &amp; "'!A:A"),0)-1,
            1000
        )
    )
) * K20
),
IF(
    IFERROR(MIN(
        IF(
            (TRIM(INDIRECT("'" &amp; INDEX('Hulp (CAO''s)'!$C$3:$C$6,
                MATCH(TRUE,'Hulp (CAO''s)'!$D$3:$D$6,0)) &amp; "'!B1:B1000")) = TEXT(K21,"0")) *
            (ROW(INDIRECT("'" &amp; INDEX('Hulp (CAO''s)'!$C$3:$C$6,
                MATCH(TRUE,'Hulp (CAO''s)'!$D$3:$D$6,0)) &amp; "'!B1:B1000")) &gt; MATCH(
                K19,
                INDIRECT("'" &amp; INDEX('Hulp (CAO''s)'!$C$3:$C$6,
                    MATCH(TRUE,'Hulp (CAO''s)'!$D$3:$D$6,0)) &amp; "'!A:A"),
                0
            )) *
            IF(
                L19="",
                1,
                (ROW(INDIRECT("'" &amp; INDEX('Hulp (CAO''s)'!$C$3:$C$6,
                    MATCH(TRUE,'Hulp (CAO''s)'!$D$3:$D$6,0)) &amp; "'!B1:B1000")) &lt; MATCH(
                    L19,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TEXT(K21,"0")) *
                (ROW(INDIRECT("'" &amp; INDEX('Hulp (CAO''s)'!$C$3:$C$6,
                    MATCH(TRUE,'Hulp (CAO''s)'!$D$3:$D$6,0)) &amp; "'!B1:B1000")) &gt; MATCH(
                    K19,
                    INDIRECT("'" &amp; INDEX('Hulp (CAO''s)'!$C$3:$C$6,
                        MATCH(TRUE,'Hulp (CAO''s)'!$D$3:$D$6,0)) &amp; "'!A:A"),
                    0
                )) *
                IF(
                    L19="",
                    1,
                    (ROW(INDIRECT("'" &amp; INDEX('Hulp (CAO''s)'!$C$3:$C$6,
                        MATCH(TRUE,'Hulp (CAO''s)'!$D$3:$D$6,0)) &amp; "'!B1:B1000")) &lt; MATCH(
                        L19,
                        INDIRECT("'" &amp; INDEX('Hulp (CAO''s)'!$C$3:$C$6,
                            MATCH(TRUE,'Hulp (CAO''s)'!$D$3:$D$6,0)) &amp; "'!A:A"),
                        0
                    ))
                ),
                ROW(INDIRECT("'" &amp; INDEX('Hulp (CAO''s)'!$C$3:$C$6,
                    MATCH(TRUE,'Hulp (CAO''s)'!$D$3:$D$6,0)) &amp; "'!B1:B1000"))
            )
        ),0)
    )
))</f>
        <v/>
      </c>
      <c r="L22" s="145" t="str">
        <f t="array" aca="1" ref="L22" ca="1">IF($D20="Gebruik % van maximum trede",
IF(
    OR(L19="",L20=""),
    "",
    MAX(
    INDIRECT("'" &amp; INDEX('Hulp (CAO''s)'!$C$3:$C$6,
        MATCH(TRUE,'Hulp (CAO''s)'!$D$3:$D$6,0)) &amp; "'!" &amp;
        INDEX('Hulp (CAO''s)'!$H$3:$H$6,
            MATCH(TRUE,'Hulp (CAO''s)'!$D$3:$D$6,0))
        &amp;
        MATCH(L19, INDIRECT("'" &amp; INDEX('Hulp (CAO''s)'!$C$3:$C$6,
            MATCH(TRUE,'Hulp (CAO''s)'!$D$3:$D$6,0)) &amp; "'!A:A"),0)
        &amp; ":H" &amp;
        IF(M19&lt;&gt;"",
            MATCH(M19, INDIRECT("'" &amp; INDEX('Hulp (CAO''s)'!$C$3:$C$6,
                MATCH(TRUE,'Hulp (CAO''s)'!$D$3:$D$6,0)) &amp; "'!A:A"),0)-1,
            1000
        )
    )
) * L20
),
IF(
    IFERROR(MIN(
        IF(
            (TRIM(INDIRECT("'" &amp; INDEX('Hulp (CAO''s)'!$C$3:$C$6,
                MATCH(TRUE,'Hulp (CAO''s)'!$D$3:$D$6,0)) &amp; "'!B1:B1000")) = TEXT(L21,"0")) *
            (ROW(INDIRECT("'" &amp; INDEX('Hulp (CAO''s)'!$C$3:$C$6,
                MATCH(TRUE,'Hulp (CAO''s)'!$D$3:$D$6,0)) &amp; "'!B1:B1000")) &gt; MATCH(
                L19,
                INDIRECT("'" &amp; INDEX('Hulp (CAO''s)'!$C$3:$C$6,
                    MATCH(TRUE,'Hulp (CAO''s)'!$D$3:$D$6,0)) &amp; "'!A:A"),
                0
            )) *
            IF(
                M19="",
                1,
                (ROW(INDIRECT("'" &amp; INDEX('Hulp (CAO''s)'!$C$3:$C$6,
                    MATCH(TRUE,'Hulp (CAO''s)'!$D$3:$D$6,0)) &amp; "'!B1:B1000")) &lt; MATCH(
                    M19,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TEXT(L21,"0")) *
                (ROW(INDIRECT("'" &amp; INDEX('Hulp (CAO''s)'!$C$3:$C$6,
                    MATCH(TRUE,'Hulp (CAO''s)'!$D$3:$D$6,0)) &amp; "'!B1:B1000")) &gt; MATCH(
                    L19,
                    INDIRECT("'" &amp; INDEX('Hulp (CAO''s)'!$C$3:$C$6,
                        MATCH(TRUE,'Hulp (CAO''s)'!$D$3:$D$6,0)) &amp; "'!A:A"),
                    0
                )) *
                IF(
                    M19="",
                    1,
                    (ROW(INDIRECT("'" &amp; INDEX('Hulp (CAO''s)'!$C$3:$C$6,
                        MATCH(TRUE,'Hulp (CAO''s)'!$D$3:$D$6,0)) &amp; "'!B1:B1000")) &lt; MATCH(
                        M19,
                        INDIRECT("'" &amp; INDEX('Hulp (CAO''s)'!$C$3:$C$6,
                            MATCH(TRUE,'Hulp (CAO''s)'!$D$3:$D$6,0)) &amp; "'!A:A"),
                        0
                    ))
                ),
                ROW(INDIRECT("'" &amp; INDEX('Hulp (CAO''s)'!$C$3:$C$6,
                    MATCH(TRUE,'Hulp (CAO''s)'!$D$3:$D$6,0)) &amp; "'!B1:B1000"))
            )
        ),0)
    )
))</f>
        <v/>
      </c>
      <c r="M22" s="145" t="str">
        <f t="array" aca="1" ref="M22" ca="1">IF($D20="Gebruik % van maximum trede",
IF(
    OR(M19="",M20=""),
    "",
    MAX(
    INDIRECT("'" &amp; INDEX('Hulp (CAO''s)'!$C$3:$C$6,
        MATCH(TRUE,'Hulp (CAO''s)'!$D$3:$D$6,0)) &amp; "'!" &amp;
        INDEX('Hulp (CAO''s)'!$H$3:$H$6,
            MATCH(TRUE,'Hulp (CAO''s)'!$D$3:$D$6,0))
        &amp;
        MATCH(M19, INDIRECT("'" &amp; INDEX('Hulp (CAO''s)'!$C$3:$C$6,
            MATCH(TRUE,'Hulp (CAO''s)'!$D$3:$D$6,0)) &amp; "'!A:A"),0)
        &amp; ":H" &amp;
        IF(N19&lt;&gt;"",
            MATCH(N19, INDIRECT("'" &amp; INDEX('Hulp (CAO''s)'!$C$3:$C$6,
                MATCH(TRUE,'Hulp (CAO''s)'!$D$3:$D$6,0)) &amp; "'!A:A"),0)-1,
            1000
        )
    )
) * M20
),
IF(
    IFERROR(MIN(
        IF(
            (TRIM(INDIRECT("'" &amp; INDEX('Hulp (CAO''s)'!$C$3:$C$6,
                MATCH(TRUE,'Hulp (CAO''s)'!$D$3:$D$6,0)) &amp; "'!B1:B1000")) = TEXT(M21,"0")) *
            (ROW(INDIRECT("'" &amp; INDEX('Hulp (CAO''s)'!$C$3:$C$6,
                MATCH(TRUE,'Hulp (CAO''s)'!$D$3:$D$6,0)) &amp; "'!B1:B1000")) &gt; MATCH(
                M19,
                INDIRECT("'" &amp; INDEX('Hulp (CAO''s)'!$C$3:$C$6,
                    MATCH(TRUE,'Hulp (CAO''s)'!$D$3:$D$6,0)) &amp; "'!A:A"),
                0
            )) *
            IF(
                N19="",
                1,
                (ROW(INDIRECT("'" &amp; INDEX('Hulp (CAO''s)'!$C$3:$C$6,
                    MATCH(TRUE,'Hulp (CAO''s)'!$D$3:$D$6,0)) &amp; "'!B1:B1000")) &lt; MATCH(
                    N19,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TEXT(M21,"0")) *
                (ROW(INDIRECT("'" &amp; INDEX('Hulp (CAO''s)'!$C$3:$C$6,
                    MATCH(TRUE,'Hulp (CAO''s)'!$D$3:$D$6,0)) &amp; "'!B1:B1000")) &gt; MATCH(
                    M19,
                    INDIRECT("'" &amp; INDEX('Hulp (CAO''s)'!$C$3:$C$6,
                        MATCH(TRUE,'Hulp (CAO''s)'!$D$3:$D$6,0)) &amp; "'!A:A"),
                    0
                )) *
                IF(
                    N19="",
                    1,
                    (ROW(INDIRECT("'" &amp; INDEX('Hulp (CAO''s)'!$C$3:$C$6,
                        MATCH(TRUE,'Hulp (CAO''s)'!$D$3:$D$6,0)) &amp; "'!B1:B1000")) &lt; MATCH(
                        N19,
                        INDIRECT("'" &amp; INDEX('Hulp (CAO''s)'!$C$3:$C$6,
                            MATCH(TRUE,'Hulp (CAO''s)'!$D$3:$D$6,0)) &amp; "'!A:A"),
                        0
                    ))
                ),
                ROW(INDIRECT("'" &amp; INDEX('Hulp (CAO''s)'!$C$3:$C$6,
                    MATCH(TRUE,'Hulp (CAO''s)'!$D$3:$D$6,0)) &amp; "'!B1:B1000"))
            )
        ),0)
    )
))</f>
        <v/>
      </c>
      <c r="N22" s="145" t="str">
        <f t="array" aca="1" ref="N22" ca="1">IF($D20="Gebruik % van maximum trede",
IF(
    OR(N19="",N20=""),
    "",
    MAX(
    INDIRECT("'" &amp; INDEX('Hulp (CAO''s)'!$C$3:$C$6,
        MATCH(TRUE,'Hulp (CAO''s)'!$D$3:$D$6,0)) &amp; "'!" &amp;
        INDEX('Hulp (CAO''s)'!$H$3:$H$6,
            MATCH(TRUE,'Hulp (CAO''s)'!$D$3:$D$6,0))
        &amp;
        MATCH(N19, INDIRECT("'" &amp; INDEX('Hulp (CAO''s)'!$C$3:$C$6,
            MATCH(TRUE,'Hulp (CAO''s)'!$D$3:$D$6,0)) &amp; "'!A:A"),0)
        &amp; ":H" &amp;
        IF(O19&lt;&gt;"",
            MATCH(O19, INDIRECT("'" &amp; INDEX('Hulp (CAO''s)'!$C$3:$C$6,
                MATCH(TRUE,'Hulp (CAO''s)'!$D$3:$D$6,0)) &amp; "'!A:A"),0)-1,
            1000
        )
    )
) * N20
),
IF(
    IFERROR(MIN(
        IF(
            (TRIM(INDIRECT("'" &amp; INDEX('Hulp (CAO''s)'!$C$3:$C$6,
                MATCH(TRUE,'Hulp (CAO''s)'!$D$3:$D$6,0)) &amp; "'!B1:B1000")) = TEXT(N21,"0")) *
            (ROW(INDIRECT("'" &amp; INDEX('Hulp (CAO''s)'!$C$3:$C$6,
                MATCH(TRUE,'Hulp (CAO''s)'!$D$3:$D$6,0)) &amp; "'!B1:B1000")) &gt; MATCH(
                N19,
                INDIRECT("'" &amp; INDEX('Hulp (CAO''s)'!$C$3:$C$6,
                    MATCH(TRUE,'Hulp (CAO''s)'!$D$3:$D$6,0)) &amp; "'!A:A"),
                0
            )) *
            IF(
                O19="",
                1,
                (ROW(INDIRECT("'" &amp; INDEX('Hulp (CAO''s)'!$C$3:$C$6,
                    MATCH(TRUE,'Hulp (CAO''s)'!$D$3:$D$6,0)) &amp; "'!B1:B1000")) &lt; MATCH(
                    O19,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TEXT(N21,"0")) *
                (ROW(INDIRECT("'" &amp; INDEX('Hulp (CAO''s)'!$C$3:$C$6,
                    MATCH(TRUE,'Hulp (CAO''s)'!$D$3:$D$6,0)) &amp; "'!B1:B1000")) &gt; MATCH(
                    N19,
                    INDIRECT("'" &amp; INDEX('Hulp (CAO''s)'!$C$3:$C$6,
                        MATCH(TRUE,'Hulp (CAO''s)'!$D$3:$D$6,0)) &amp; "'!A:A"),
                    0
                )) *
                IF(
                    O19="",
                    1,
                    (ROW(INDIRECT("'" &amp; INDEX('Hulp (CAO''s)'!$C$3:$C$6,
                        MATCH(TRUE,'Hulp (CAO''s)'!$D$3:$D$6,0)) &amp; "'!B1:B1000")) &lt; MATCH(
                        O19,
                        INDIRECT("'" &amp; INDEX('Hulp (CAO''s)'!$C$3:$C$6,
                            MATCH(TRUE,'Hulp (CAO''s)'!$D$3:$D$6,0)) &amp; "'!A:A"),
                        0
                    ))
                ),
                ROW(INDIRECT("'" &amp; INDEX('Hulp (CAO''s)'!$C$3:$C$6,
                    MATCH(TRUE,'Hulp (CAO''s)'!$D$3:$D$6,0)) &amp; "'!B1:B1000"))
            )
        ),0)
    )
))</f>
        <v/>
      </c>
      <c r="O22" s="145" t="str">
        <f t="array" aca="1" ref="O22" ca="1">IF($D20="Gebruik % van maximum trede",
IF(
    OR(O19="",O20=""),
    "",
    MAX(
    INDIRECT("'" &amp; INDEX('Hulp (CAO''s)'!$C$3:$C$6,
        MATCH(TRUE,'Hulp (CAO''s)'!$D$3:$D$6,0)) &amp; "'!" &amp;
        INDEX('Hulp (CAO''s)'!$H$3:$H$6,
            MATCH(TRUE,'Hulp (CAO''s)'!$D$3:$D$6,0))
        &amp;
        MATCH(O19, INDIRECT("'" &amp; INDEX('Hulp (CAO''s)'!$C$3:$C$6,
            MATCH(TRUE,'Hulp (CAO''s)'!$D$3:$D$6,0)) &amp; "'!A:A"),0)
        &amp; ":H" &amp;
        IF(P19&lt;&gt;"",
            MATCH(P19, INDIRECT("'" &amp; INDEX('Hulp (CAO''s)'!$C$3:$C$6,
                MATCH(TRUE,'Hulp (CAO''s)'!$D$3:$D$6,0)) &amp; "'!A:A"),0)-1,
            1000
        )
    )
) * O20
),
IF(
    IFERROR(MIN(
        IF(
            (TRIM(INDIRECT("'" &amp; INDEX('Hulp (CAO''s)'!$C$3:$C$6,
                MATCH(TRUE,'Hulp (CAO''s)'!$D$3:$D$6,0)) &amp; "'!B1:B1000")) = TEXT(O21,"0")) *
            (ROW(INDIRECT("'" &amp; INDEX('Hulp (CAO''s)'!$C$3:$C$6,
                MATCH(TRUE,'Hulp (CAO''s)'!$D$3:$D$6,0)) &amp; "'!B1:B1000")) &gt; MATCH(
                O19,
                INDIRECT("'" &amp; INDEX('Hulp (CAO''s)'!$C$3:$C$6,
                    MATCH(TRUE,'Hulp (CAO''s)'!$D$3:$D$6,0)) &amp; "'!A:A"),
                0
            )) *
            IF(
                P19="",
                1,
                (ROW(INDIRECT("'" &amp; INDEX('Hulp (CAO''s)'!$C$3:$C$6,
                    MATCH(TRUE,'Hulp (CAO''s)'!$D$3:$D$6,0)) &amp; "'!B1:B1000")) &lt; MATCH(
                    P19,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TEXT(O21,"0")) *
                (ROW(INDIRECT("'" &amp; INDEX('Hulp (CAO''s)'!$C$3:$C$6,
                    MATCH(TRUE,'Hulp (CAO''s)'!$D$3:$D$6,0)) &amp; "'!B1:B1000")) &gt; MATCH(
                    O19,
                    INDIRECT("'" &amp; INDEX('Hulp (CAO''s)'!$C$3:$C$6,
                        MATCH(TRUE,'Hulp (CAO''s)'!$D$3:$D$6,0)) &amp; "'!A:A"),
                    0
                )) *
                IF(
                    P19="",
                    1,
                    (ROW(INDIRECT("'" &amp; INDEX('Hulp (CAO''s)'!$C$3:$C$6,
                        MATCH(TRUE,'Hulp (CAO''s)'!$D$3:$D$6,0)) &amp; "'!B1:B1000")) &lt; MATCH(
                        P19,
                        INDIRECT("'" &amp; INDEX('Hulp (CAO''s)'!$C$3:$C$6,
                            MATCH(TRUE,'Hulp (CAO''s)'!$D$3:$D$6,0)) &amp; "'!A:A"),
                        0
                    ))
                ),
                ROW(INDIRECT("'" &amp; INDEX('Hulp (CAO''s)'!$C$3:$C$6,
                    MATCH(TRUE,'Hulp (CAO''s)'!$D$3:$D$6,0)) &amp; "'!B1:B1000"))
            )
        ),0)
    )
))</f>
        <v/>
      </c>
      <c r="P22" s="145" t="str">
        <f t="array" aca="1" ref="P22" ca="1">IF($D20="Gebruik % van maximum trede",
IF(
    OR(P19="",P20=""),
    "",
    MAX(
    INDIRECT("'" &amp; INDEX('Hulp (CAO''s)'!$C$3:$C$6,
        MATCH(TRUE,'Hulp (CAO''s)'!$D$3:$D$6,0)) &amp; "'!" &amp;
        INDEX('Hulp (CAO''s)'!$H$3:$H$6,
            MATCH(TRUE,'Hulp (CAO''s)'!$D$3:$D$6,0))
        &amp;
        MATCH(P19, INDIRECT("'" &amp; INDEX('Hulp (CAO''s)'!$C$3:$C$6,
            MATCH(TRUE,'Hulp (CAO''s)'!$D$3:$D$6,0)) &amp; "'!A:A"),0)
        &amp; ":H" &amp;
        IF(Q19&lt;&gt;"",
            MATCH(Q19, INDIRECT("'" &amp; INDEX('Hulp (CAO''s)'!$C$3:$C$6,
                MATCH(TRUE,'Hulp (CAO''s)'!$D$3:$D$6,0)) &amp; "'!A:A"),0)-1,
            1000
        )
    )
) * P20
),
IF(
    IFERROR(MIN(
        IF(
            (TRIM(INDIRECT("'" &amp; INDEX('Hulp (CAO''s)'!$C$3:$C$6,
                MATCH(TRUE,'Hulp (CAO''s)'!$D$3:$D$6,0)) &amp; "'!B1:B1000")) = TEXT(P21,"0")) *
            (ROW(INDIRECT("'" &amp; INDEX('Hulp (CAO''s)'!$C$3:$C$6,
                MATCH(TRUE,'Hulp (CAO''s)'!$D$3:$D$6,0)) &amp; "'!B1:B1000")) &gt; MATCH(
                P19,
                INDIRECT("'" &amp; INDEX('Hulp (CAO''s)'!$C$3:$C$6,
                    MATCH(TRUE,'Hulp (CAO''s)'!$D$3:$D$6,0)) &amp; "'!A:A"),
                0
            )) *
            IF(
                Q19="",
                1,
                (ROW(INDIRECT("'" &amp; INDEX('Hulp (CAO''s)'!$C$3:$C$6,
                    MATCH(TRUE,'Hulp (CAO''s)'!$D$3:$D$6,0)) &amp; "'!B1:B1000")) &lt; MATCH(
                    Q19,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TEXT(P21,"0")) *
                (ROW(INDIRECT("'" &amp; INDEX('Hulp (CAO''s)'!$C$3:$C$6,
                    MATCH(TRUE,'Hulp (CAO''s)'!$D$3:$D$6,0)) &amp; "'!B1:B1000")) &gt; MATCH(
                    P19,
                    INDIRECT("'" &amp; INDEX('Hulp (CAO''s)'!$C$3:$C$6,
                        MATCH(TRUE,'Hulp (CAO''s)'!$D$3:$D$6,0)) &amp; "'!A:A"),
                    0
                )) *
                IF(
                    Q19="",
                    1,
                    (ROW(INDIRECT("'" &amp; INDEX('Hulp (CAO''s)'!$C$3:$C$6,
                        MATCH(TRUE,'Hulp (CAO''s)'!$D$3:$D$6,0)) &amp; "'!B1:B1000")) &lt; MATCH(
                        Q19,
                        INDIRECT("'" &amp; INDEX('Hulp (CAO''s)'!$C$3:$C$6,
                            MATCH(TRUE,'Hulp (CAO''s)'!$D$3:$D$6,0)) &amp; "'!A:A"),
                        0
                    ))
                ),
                ROW(INDIRECT("'" &amp; INDEX('Hulp (CAO''s)'!$C$3:$C$6,
                    MATCH(TRUE,'Hulp (CAO''s)'!$D$3:$D$6,0)) &amp; "'!B1:B1000"))
            )
        ),0)
    )
))</f>
        <v/>
      </c>
      <c r="Q22" s="145" t="str">
        <f t="array" aca="1" ref="Q22" ca="1">IF($D20="Gebruik % van maximum trede",
IF(
    OR(Q19="",Q20=""),
    "",
    MAX(
    INDIRECT("'" &amp; INDEX('Hulp (CAO''s)'!$C$3:$C$6,
        MATCH(TRUE,'Hulp (CAO''s)'!$D$3:$D$6,0)) &amp; "'!" &amp;
        INDEX('Hulp (CAO''s)'!$H$3:$H$6,
            MATCH(TRUE,'Hulp (CAO''s)'!$D$3:$D$6,0))
        &amp;
        MATCH(Q19, INDIRECT("'" &amp; INDEX('Hulp (CAO''s)'!$C$3:$C$6,
            MATCH(TRUE,'Hulp (CAO''s)'!$D$3:$D$6,0)) &amp; "'!A:A"),0)
        &amp; ":H" &amp;
        IF(R19&lt;&gt;"",
            MATCH(R19, INDIRECT("'" &amp; INDEX('Hulp (CAO''s)'!$C$3:$C$6,
                MATCH(TRUE,'Hulp (CAO''s)'!$D$3:$D$6,0)) &amp; "'!A:A"),0)-1,
            1000
        )
    )
) * Q20
),
IF(
    IFERROR(MIN(
        IF(
            (TRIM(INDIRECT("'" &amp; INDEX('Hulp (CAO''s)'!$C$3:$C$6,
                MATCH(TRUE,'Hulp (CAO''s)'!$D$3:$D$6,0)) &amp; "'!B1:B1000")) = TEXT(Q21,"0")) *
            (ROW(INDIRECT("'" &amp; INDEX('Hulp (CAO''s)'!$C$3:$C$6,
                MATCH(TRUE,'Hulp (CAO''s)'!$D$3:$D$6,0)) &amp; "'!B1:B1000")) &gt; MATCH(
                Q19,
                INDIRECT("'" &amp; INDEX('Hulp (CAO''s)'!$C$3:$C$6,
                    MATCH(TRUE,'Hulp (CAO''s)'!$D$3:$D$6,0)) &amp; "'!A:A"),
                0
            )) *
            IF(
                R19="",
                1,
                (ROW(INDIRECT("'" &amp; INDEX('Hulp (CAO''s)'!$C$3:$C$6,
                    MATCH(TRUE,'Hulp (CAO''s)'!$D$3:$D$6,0)) &amp; "'!B1:B1000")) &lt; MATCH(
                    R19,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TEXT(Q21,"0")) *
                (ROW(INDIRECT("'" &amp; INDEX('Hulp (CAO''s)'!$C$3:$C$6,
                    MATCH(TRUE,'Hulp (CAO''s)'!$D$3:$D$6,0)) &amp; "'!B1:B1000")) &gt; MATCH(
                    Q19,
                    INDIRECT("'" &amp; INDEX('Hulp (CAO''s)'!$C$3:$C$6,
                        MATCH(TRUE,'Hulp (CAO''s)'!$D$3:$D$6,0)) &amp; "'!A:A"),
                    0
                )) *
                IF(
                    R19="",
                    1,
                    (ROW(INDIRECT("'" &amp; INDEX('Hulp (CAO''s)'!$C$3:$C$6,
                        MATCH(TRUE,'Hulp (CAO''s)'!$D$3:$D$6,0)) &amp; "'!B1:B1000")) &lt; MATCH(
                        R19,
                        INDIRECT("'" &amp; INDEX('Hulp (CAO''s)'!$C$3:$C$6,
                            MATCH(TRUE,'Hulp (CAO''s)'!$D$3:$D$6,0)) &amp; "'!A:A"),
                        0
                    ))
                ),
                ROW(INDIRECT("'" &amp; INDEX('Hulp (CAO''s)'!$C$3:$C$6,
                    MATCH(TRUE,'Hulp (CAO''s)'!$D$3:$D$6,0)) &amp; "'!B1:B1000"))
            )
        ),0)
    )
))</f>
        <v/>
      </c>
      <c r="R22" s="145" t="str">
        <f t="array" aca="1" ref="R22" ca="1">IF($D20="Gebruik % van maximum trede",
IF(
    OR(R19="",R20=""),
    "",
    MAX(
    INDIRECT("'" &amp; INDEX('Hulp (CAO''s)'!$C$3:$C$6,
        MATCH(TRUE,'Hulp (CAO''s)'!$D$3:$D$6,0)) &amp; "'!" &amp;
        INDEX('Hulp (CAO''s)'!$H$3:$H$6,
            MATCH(TRUE,'Hulp (CAO''s)'!$D$3:$D$6,0))
        &amp;
        MATCH(R19, INDIRECT("'" &amp; INDEX('Hulp (CAO''s)'!$C$3:$C$6,
            MATCH(TRUE,'Hulp (CAO''s)'!$D$3:$D$6,0)) &amp; "'!A:A"),0)
        &amp; ":H" &amp;
        IF(S19&lt;&gt;"",
            MATCH(S19, INDIRECT("'" &amp; INDEX('Hulp (CAO''s)'!$C$3:$C$6,
                MATCH(TRUE,'Hulp (CAO''s)'!$D$3:$D$6,0)) &amp; "'!A:A"),0)-1,
            1000
        )
    )
) * R20
),
IF(
    IFERROR(MIN(
        IF(
            (TRIM(INDIRECT("'" &amp; INDEX('Hulp (CAO''s)'!$C$3:$C$6,
                MATCH(TRUE,'Hulp (CAO''s)'!$D$3:$D$6,0)) &amp; "'!B1:B1000")) = TEXT(R21,"0")) *
            (ROW(INDIRECT("'" &amp; INDEX('Hulp (CAO''s)'!$C$3:$C$6,
                MATCH(TRUE,'Hulp (CAO''s)'!$D$3:$D$6,0)) &amp; "'!B1:B1000")) &gt; MATCH(
                R19,
                INDIRECT("'" &amp; INDEX('Hulp (CAO''s)'!$C$3:$C$6,
                    MATCH(TRUE,'Hulp (CAO''s)'!$D$3:$D$6,0)) &amp; "'!A:A"),
                0
            )) *
            IF(
                S19="",
                1,
                (ROW(INDIRECT("'" &amp; INDEX('Hulp (CAO''s)'!$C$3:$C$6,
                    MATCH(TRUE,'Hulp (CAO''s)'!$D$3:$D$6,0)) &amp; "'!B1:B1000")) &lt; MATCH(
                    S19,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TEXT(R21,"0")) *
                (ROW(INDIRECT("'" &amp; INDEX('Hulp (CAO''s)'!$C$3:$C$6,
                    MATCH(TRUE,'Hulp (CAO''s)'!$D$3:$D$6,0)) &amp; "'!B1:B1000")) &gt; MATCH(
                    R19,
                    INDIRECT("'" &amp; INDEX('Hulp (CAO''s)'!$C$3:$C$6,
                        MATCH(TRUE,'Hulp (CAO''s)'!$D$3:$D$6,0)) &amp; "'!A:A"),
                    0
                )) *
                IF(
                    S19="",
                    1,
                    (ROW(INDIRECT("'" &amp; INDEX('Hulp (CAO''s)'!$C$3:$C$6,
                        MATCH(TRUE,'Hulp (CAO''s)'!$D$3:$D$6,0)) &amp; "'!B1:B1000")) &lt; MATCH(
                        S19,
                        INDIRECT("'" &amp; INDEX('Hulp (CAO''s)'!$C$3:$C$6,
                            MATCH(TRUE,'Hulp (CAO''s)'!$D$3:$D$6,0)) &amp; "'!A:A"),
                        0
                    ))
                ),
                ROW(INDIRECT("'" &amp; INDEX('Hulp (CAO''s)'!$C$3:$C$6,
                    MATCH(TRUE,'Hulp (CAO''s)'!$D$3:$D$6,0)) &amp; "'!B1:B1000"))
            )
        ),0)
    )
))</f>
        <v/>
      </c>
      <c r="S22" s="145" t="str">
        <f t="array" aca="1" ref="S22" ca="1">IF($D20="Gebruik % van maximum trede",
IF(
    OR(S19="",S20=""),
    "",
    MAX(
    INDIRECT("'" &amp; INDEX('Hulp (CAO''s)'!$C$3:$C$6,
        MATCH(TRUE,'Hulp (CAO''s)'!$D$3:$D$6,0)) &amp; "'!" &amp;
        INDEX('Hulp (CAO''s)'!$H$3:$H$6,
            MATCH(TRUE,'Hulp (CAO''s)'!$D$3:$D$6,0))
        &amp;
        MATCH(S19, INDIRECT("'" &amp; INDEX('Hulp (CAO''s)'!$C$3:$C$6,
            MATCH(TRUE,'Hulp (CAO''s)'!$D$3:$D$6,0)) &amp; "'!A:A"),0)
        &amp; ":H" &amp;
        IF(T19&lt;&gt;"",
            MATCH(T19, INDIRECT("'" &amp; INDEX('Hulp (CAO''s)'!$C$3:$C$6,
                MATCH(TRUE,'Hulp (CAO''s)'!$D$3:$D$6,0)) &amp; "'!A:A"),0)-1,
            1000
        )
    )
) * S20
),
IF(
    IFERROR(MIN(
        IF(
            (TRIM(INDIRECT("'" &amp; INDEX('Hulp (CAO''s)'!$C$3:$C$6,
                MATCH(TRUE,'Hulp (CAO''s)'!$D$3:$D$6,0)) &amp; "'!B1:B1000")) = TEXT(S21,"0")) *
            (ROW(INDIRECT("'" &amp; INDEX('Hulp (CAO''s)'!$C$3:$C$6,
                MATCH(TRUE,'Hulp (CAO''s)'!$D$3:$D$6,0)) &amp; "'!B1:B1000")) &gt; MATCH(
                S19,
                INDIRECT("'" &amp; INDEX('Hulp (CAO''s)'!$C$3:$C$6,
                    MATCH(TRUE,'Hulp (CAO''s)'!$D$3:$D$6,0)) &amp; "'!A:A"),
                0
            )) *
            IF(
                T19="",
                1,
                (ROW(INDIRECT("'" &amp; INDEX('Hulp (CAO''s)'!$C$3:$C$6,
                    MATCH(TRUE,'Hulp (CAO''s)'!$D$3:$D$6,0)) &amp; "'!B1:B1000")) &lt; MATCH(
                    T19,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TEXT(S21,"0")) *
                (ROW(INDIRECT("'" &amp; INDEX('Hulp (CAO''s)'!$C$3:$C$6,
                    MATCH(TRUE,'Hulp (CAO''s)'!$D$3:$D$6,0)) &amp; "'!B1:B1000")) &gt; MATCH(
                    S19,
                    INDIRECT("'" &amp; INDEX('Hulp (CAO''s)'!$C$3:$C$6,
                        MATCH(TRUE,'Hulp (CAO''s)'!$D$3:$D$6,0)) &amp; "'!A:A"),
                    0
                )) *
                IF(
                    T19="",
                    1,
                    (ROW(INDIRECT("'" &amp; INDEX('Hulp (CAO''s)'!$C$3:$C$6,
                        MATCH(TRUE,'Hulp (CAO''s)'!$D$3:$D$6,0)) &amp; "'!B1:B1000")) &lt; MATCH(
                        T19,
                        INDIRECT("'" &amp; INDEX('Hulp (CAO''s)'!$C$3:$C$6,
                            MATCH(TRUE,'Hulp (CAO''s)'!$D$3:$D$6,0)) &amp; "'!A:A"),
                        0
                    ))
                ),
                ROW(INDIRECT("'" &amp; INDEX('Hulp (CAO''s)'!$C$3:$C$6,
                    MATCH(TRUE,'Hulp (CAO''s)'!$D$3:$D$6,0)) &amp; "'!B1:B1000"))
            )
        ),0)
    )
))</f>
        <v/>
      </c>
      <c r="T22" s="145" t="str">
        <f t="array" aca="1" ref="T22" ca="1">IF($D20="Gebruik % van maximum trede",
IF(
    OR(T19="",T20=""),
    "",
    MAX(
    INDIRECT("'" &amp; INDEX('Hulp (CAO''s)'!$C$3:$C$6,
        MATCH(TRUE,'Hulp (CAO''s)'!$D$3:$D$6,0)) &amp; "'!" &amp;
        INDEX('Hulp (CAO''s)'!$H$3:$H$6,
            MATCH(TRUE,'Hulp (CAO''s)'!$D$3:$D$6,0))
        &amp;
        MATCH(T19, INDIRECT("'" &amp; INDEX('Hulp (CAO''s)'!$C$3:$C$6,
            MATCH(TRUE,'Hulp (CAO''s)'!$D$3:$D$6,0)) &amp; "'!A:A"),0)
        &amp; ":H" &amp;
        IF(U19&lt;&gt;"",
            MATCH(U19, INDIRECT("'" &amp; INDEX('Hulp (CAO''s)'!$C$3:$C$6,
                MATCH(TRUE,'Hulp (CAO''s)'!$D$3:$D$6,0)) &amp; "'!A:A"),0)-1,
            1000
        )
    )
) * T20
),
IF(
    IFERROR(MIN(
        IF(
            (TRIM(INDIRECT("'" &amp; INDEX('Hulp (CAO''s)'!$C$3:$C$6,
                MATCH(TRUE,'Hulp (CAO''s)'!$D$3:$D$6,0)) &amp; "'!B1:B1000")) = TEXT(T21,"0")) *
            (ROW(INDIRECT("'" &amp; INDEX('Hulp (CAO''s)'!$C$3:$C$6,
                MATCH(TRUE,'Hulp (CAO''s)'!$D$3:$D$6,0)) &amp; "'!B1:B1000")) &gt; MATCH(
                T19,
                INDIRECT("'" &amp; INDEX('Hulp (CAO''s)'!$C$3:$C$6,
                    MATCH(TRUE,'Hulp (CAO''s)'!$D$3:$D$6,0)) &amp; "'!A:A"),
                0
            )) *
            IF(
                U19="",
                1,
                (ROW(INDIRECT("'" &amp; INDEX('Hulp (CAO''s)'!$C$3:$C$6,
                    MATCH(TRUE,'Hulp (CAO''s)'!$D$3:$D$6,0)) &amp; "'!B1:B1000")) &lt; MATCH(
                    U19,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TEXT(T21,"0")) *
                (ROW(INDIRECT("'" &amp; INDEX('Hulp (CAO''s)'!$C$3:$C$6,
                    MATCH(TRUE,'Hulp (CAO''s)'!$D$3:$D$6,0)) &amp; "'!B1:B1000")) &gt; MATCH(
                    T19,
                    INDIRECT("'" &amp; INDEX('Hulp (CAO''s)'!$C$3:$C$6,
                        MATCH(TRUE,'Hulp (CAO''s)'!$D$3:$D$6,0)) &amp; "'!A:A"),
                    0
                )) *
                IF(
                    U19="",
                    1,
                    (ROW(INDIRECT("'" &amp; INDEX('Hulp (CAO''s)'!$C$3:$C$6,
                        MATCH(TRUE,'Hulp (CAO''s)'!$D$3:$D$6,0)) &amp; "'!B1:B1000")) &lt; MATCH(
                        U19,
                        INDIRECT("'" &amp; INDEX('Hulp (CAO''s)'!$C$3:$C$6,
                            MATCH(TRUE,'Hulp (CAO''s)'!$D$3:$D$6,0)) &amp; "'!A:A"),
                        0
                    ))
                ),
                ROW(INDIRECT("'" &amp; INDEX('Hulp (CAO''s)'!$C$3:$C$6,
                    MATCH(TRUE,'Hulp (CAO''s)'!$D$3:$D$6,0)) &amp; "'!B1:B1000"))
            )
        ),0)
    )
))</f>
        <v/>
      </c>
      <c r="U22" s="145" t="str">
        <f t="array" aca="1" ref="U22" ca="1">IF($D20="Gebruik % van maximum trede",
IF(
    OR(U19="",U20=""),
    "",
    MAX(
    INDIRECT("'" &amp; INDEX('Hulp (CAO''s)'!$C$3:$C$6,
        MATCH(TRUE,'Hulp (CAO''s)'!$D$3:$D$6,0)) &amp; "'!" &amp;
        INDEX('Hulp (CAO''s)'!$H$3:$H$6,
            MATCH(TRUE,'Hulp (CAO''s)'!$D$3:$D$6,0))
        &amp;
        MATCH(U19, INDIRECT("'" &amp; INDEX('Hulp (CAO''s)'!$C$3:$C$6,
            MATCH(TRUE,'Hulp (CAO''s)'!$D$3:$D$6,0)) &amp; "'!A:A"),0)
        &amp; ":H" &amp;
        IF(V19&lt;&gt;"",
            MATCH(V19, INDIRECT("'" &amp; INDEX('Hulp (CAO''s)'!$C$3:$C$6,
                MATCH(TRUE,'Hulp (CAO''s)'!$D$3:$D$6,0)) &amp; "'!A:A"),0)-1,
            1000
        )
    )
) * U20
),
IF(
    IFERROR(MIN(
        IF(
            (TRIM(INDIRECT("'" &amp; INDEX('Hulp (CAO''s)'!$C$3:$C$6,
                MATCH(TRUE,'Hulp (CAO''s)'!$D$3:$D$6,0)) &amp; "'!B1:B1000")) = TEXT(U21,"0")) *
            (ROW(INDIRECT("'" &amp; INDEX('Hulp (CAO''s)'!$C$3:$C$6,
                MATCH(TRUE,'Hulp (CAO''s)'!$D$3:$D$6,0)) &amp; "'!B1:B1000")) &gt; MATCH(
                U19,
                INDIRECT("'" &amp; INDEX('Hulp (CAO''s)'!$C$3:$C$6,
                    MATCH(TRUE,'Hulp (CAO''s)'!$D$3:$D$6,0)) &amp; "'!A:A"),
                0
            )) *
            IF(
                V19="",
                1,
                (ROW(INDIRECT("'" &amp; INDEX('Hulp (CAO''s)'!$C$3:$C$6,
                    MATCH(TRUE,'Hulp (CAO''s)'!$D$3:$D$6,0)) &amp; "'!B1:B1000")) &lt; MATCH(
                    V19,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TEXT(U21,"0")) *
                (ROW(INDIRECT("'" &amp; INDEX('Hulp (CAO''s)'!$C$3:$C$6,
                    MATCH(TRUE,'Hulp (CAO''s)'!$D$3:$D$6,0)) &amp; "'!B1:B1000")) &gt; MATCH(
                    U19,
                    INDIRECT("'" &amp; INDEX('Hulp (CAO''s)'!$C$3:$C$6,
                        MATCH(TRUE,'Hulp (CAO''s)'!$D$3:$D$6,0)) &amp; "'!A:A"),
                    0
                )) *
                IF(
                    V19="",
                    1,
                    (ROW(INDIRECT("'" &amp; INDEX('Hulp (CAO''s)'!$C$3:$C$6,
                        MATCH(TRUE,'Hulp (CAO''s)'!$D$3:$D$6,0)) &amp; "'!B1:B1000")) &lt; MATCH(
                        V19,
                        INDIRECT("'" &amp; INDEX('Hulp (CAO''s)'!$C$3:$C$6,
                            MATCH(TRUE,'Hulp (CAO''s)'!$D$3:$D$6,0)) &amp; "'!A:A"),
                        0
                    ))
                ),
                ROW(INDIRECT("'" &amp; INDEX('Hulp (CAO''s)'!$C$3:$C$6,
                    MATCH(TRUE,'Hulp (CAO''s)'!$D$3:$D$6,0)) &amp; "'!B1:B1000"))
            )
        ),0)
    )
))</f>
        <v/>
      </c>
      <c r="V22" s="165" t="str">
        <f t="array" aca="1" ref="V22" ca="1">IF(SUM(F23:U23)=0,"",
IF(
   SUM(F22:U22)=0,
   "",
   (
      SUMPRODUCT(
         IF(F22:U22="",0,F22:U22),
         IF(F23:U23="",0,F23:U23) * SUM(F23:U23)
      )
   ) *
   IF(
      'Hulp (CAO''s)'!#REF!,
      IF(
         OR(
            INDEX(#REF!, ROW(#REF!) + INT((ROW()-ROW($V$8))/6)*8)="",
            ISNA(INDEX(#REF!, ROW(#REF!) + INT((ROW()-ROW($V$8))/6)*8))
         ),
         1878/12,
         INDEX(#REF!, ROW(#REF!) + INT((ROW()-ROW($V$8))/6)*8)/12
      ),
      1
   )
))</f>
        <v/>
      </c>
      <c r="W22" s="171" t="str">
        <f ca="1">IF(B19="","",
    IF(W21="","",
        IF(INDIRECT("'Hulp (control forms)'!C" &amp; (13 + INT((ROW()-ROW($B$5))/7))),
            W21,
            V22
        )
    )
)</f>
        <v/>
      </c>
      <c r="X22" s="170" t="str">
        <f ca="1">IF(AND($B19&lt;&gt;"", $W22=""),"!","")</f>
        <v/>
      </c>
    </row>
    <row r="23" spans="2:24" ht="16.05" customHeight="1" thickBot="1" x14ac:dyDescent="0.55000000000000004">
      <c r="C23" s="151"/>
      <c r="D23" s="141" t="s">
        <v>60</v>
      </c>
      <c r="E23" s="24" t="s">
        <v>59</v>
      </c>
      <c r="F23" s="146">
        <v>0.05</v>
      </c>
      <c r="G23" s="146">
        <v>0.1</v>
      </c>
      <c r="H23" s="146">
        <v>0.1</v>
      </c>
      <c r="I23" s="146">
        <v>0.15</v>
      </c>
      <c r="J23" s="146">
        <v>0.2</v>
      </c>
      <c r="K23" s="146">
        <v>0.15</v>
      </c>
      <c r="L23" s="146">
        <v>0.1</v>
      </c>
      <c r="M23" s="146">
        <v>0.05</v>
      </c>
      <c r="N23" s="146">
        <v>0.05</v>
      </c>
      <c r="O23" s="146">
        <v>0.05</v>
      </c>
      <c r="P23" s="146">
        <v>0</v>
      </c>
      <c r="Q23" s="146"/>
      <c r="R23" s="146"/>
      <c r="S23" s="146"/>
      <c r="T23" s="146"/>
      <c r="U23" s="147"/>
      <c r="V23" s="142" t="str">
        <f ca="1">IF($B19="","",IF($D23="Aandeel in %",
   "Totaal: "&amp;SUM(F23:U23)*100&amp;"%",
   "Totaal: "&amp;SUM(F23:U23)&amp;" uur"
))</f>
        <v/>
      </c>
      <c r="W23" s="168"/>
      <c r="X23" s="153"/>
    </row>
    <row r="24" spans="2:24" ht="16.05" customHeight="1" thickBot="1" x14ac:dyDescent="0.55000000000000004">
      <c r="C24" s="154"/>
      <c r="D24" s="140"/>
      <c r="E24" s="140"/>
      <c r="F24" s="140"/>
      <c r="G24" s="140"/>
      <c r="H24" s="140"/>
      <c r="I24" s="140"/>
      <c r="J24" s="140"/>
      <c r="K24" s="140"/>
      <c r="L24" s="140"/>
      <c r="M24" s="140"/>
      <c r="N24" s="140"/>
      <c r="O24" s="140"/>
      <c r="P24" s="140"/>
      <c r="Q24" s="140"/>
      <c r="R24" s="140"/>
      <c r="S24" s="140"/>
      <c r="T24" s="155"/>
      <c r="U24" s="155"/>
      <c r="V24" s="169"/>
      <c r="W24" s="169"/>
      <c r="X24" s="156"/>
    </row>
    <row r="25" spans="2:24" ht="16.05" customHeight="1" thickBot="1" x14ac:dyDescent="0.55000000000000004">
      <c r="B25" s="159" t="str">
        <f ca="1">IF(B26="","",
IF(
   OR(
      INDIRECT("'1a. Input organisatieniveau'!AC" &amp; (7 + INT((ROW()-4)/7)))="",
      INDIRECT("'1a. Input organisatieniveau'!AC" &amp; (7 + INT((ROW()-4)/7)))=0
   ),
   "",
   INDIRECT("'1a. Input organisatieniveau'!AC" &amp; (7 + INT((ROW()-4)/7)))
))</f>
        <v/>
      </c>
      <c r="C25" s="148"/>
      <c r="D25" s="139"/>
      <c r="E25" s="139"/>
      <c r="F25" s="149" t="str">
        <f t="shared" ref="F25:U25" ca="1" si="3">IF($D27="Gebruik % van maximum trede", IF(AND(AND(F26&lt;&gt;"",F27&lt;&gt;""),F29=""),"!",""), IF(AND(AND(F26&lt;&gt;"",F28&lt;&gt;""),F29=""),"!",""))</f>
        <v/>
      </c>
      <c r="G25" s="149" t="str">
        <f t="shared" ca="1" si="3"/>
        <v/>
      </c>
      <c r="H25" s="149" t="str">
        <f t="shared" ca="1" si="3"/>
        <v/>
      </c>
      <c r="I25" s="149" t="str">
        <f t="shared" ca="1" si="3"/>
        <v/>
      </c>
      <c r="J25" s="149" t="str">
        <f t="shared" ca="1" si="3"/>
        <v/>
      </c>
      <c r="K25" s="149" t="str">
        <f t="shared" ca="1" si="3"/>
        <v/>
      </c>
      <c r="L25" s="149" t="str">
        <f t="shared" ca="1" si="3"/>
        <v/>
      </c>
      <c r="M25" s="149" t="str">
        <f t="shared" ca="1" si="3"/>
        <v/>
      </c>
      <c r="N25" s="149" t="str">
        <f t="shared" ca="1" si="3"/>
        <v/>
      </c>
      <c r="O25" s="149" t="str">
        <f t="shared" ca="1" si="3"/>
        <v/>
      </c>
      <c r="P25" s="149" t="str">
        <f t="shared" ca="1" si="3"/>
        <v/>
      </c>
      <c r="Q25" s="149" t="str">
        <f t="shared" ca="1" si="3"/>
        <v/>
      </c>
      <c r="R25" s="149" t="str">
        <f t="shared" ca="1" si="3"/>
        <v/>
      </c>
      <c r="S25" s="149" t="str">
        <f t="shared" ca="1" si="3"/>
        <v/>
      </c>
      <c r="T25" s="149" t="str">
        <f t="shared" ca="1" si="3"/>
        <v/>
      </c>
      <c r="U25" s="149" t="str">
        <f t="shared" ca="1" si="3"/>
        <v/>
      </c>
      <c r="V25" s="167"/>
      <c r="W25" s="167"/>
      <c r="X25" s="150"/>
    </row>
    <row r="26" spans="2:24" ht="16.05" customHeight="1" thickBot="1" x14ac:dyDescent="0.55000000000000004">
      <c r="B26" s="158" t="str">
        <f ca="1">IF(
   OR(
      INDIRECT("'1a. Input organisatieniveau'!AA" &amp; (7 + INT((ROW()-4)/7)))="",
      INDIRECT("'1a. Input organisatieniveau'!AA" &amp; (7 + INT((ROW()-4)/7)))=0
   ),
   "",
   INDIRECT("'1a. Input organisatieniveau'!AA" &amp; (7 + INT((ROW()-4)/7)))
)</f>
        <v/>
      </c>
      <c r="C26" s="151"/>
      <c r="D26" s="152"/>
      <c r="E26" s="22" t="s">
        <v>28</v>
      </c>
      <c r="F26" s="143" t="str">
        <f t="array" aca="1" ref="F26" ca="1">IF($B26="", "", INDEX('Hulp (CAO''s)'!J$3:J$6, MATCH(TRUE, 'Hulp (CAO''s)'!$D$3:$D$6, 0)))</f>
        <v/>
      </c>
      <c r="G26" s="143" t="str">
        <f t="array" aca="1" ref="G26" ca="1">IF($B26="", "", INDEX('Hulp (CAO''s)'!K$3:K$6, MATCH(TRUE, 'Hulp (CAO''s)'!$D$3:$D$6, 0)))</f>
        <v/>
      </c>
      <c r="H26" s="143" t="str">
        <f t="array" aca="1" ref="H26" ca="1">IF($B26="", "", INDEX('Hulp (CAO''s)'!L$3:L$6, MATCH(TRUE, 'Hulp (CAO''s)'!$D$3:$D$6, 0)))</f>
        <v/>
      </c>
      <c r="I26" s="143" t="str">
        <f t="array" aca="1" ref="I26" ca="1">IF($B26="", "", INDEX('Hulp (CAO''s)'!M$3:M$6, MATCH(TRUE, 'Hulp (CAO''s)'!$D$3:$D$6, 0)))</f>
        <v/>
      </c>
      <c r="J26" s="143" t="str">
        <f t="array" aca="1" ref="J26" ca="1">IF($B26="", "", INDEX('Hulp (CAO''s)'!N$3:N$6, MATCH(TRUE, 'Hulp (CAO''s)'!$D$3:$D$6, 0)))</f>
        <v/>
      </c>
      <c r="K26" s="143" t="str">
        <f t="array" aca="1" ref="K26" ca="1">IF($B26="", "", INDEX('Hulp (CAO''s)'!O$3:O$6, MATCH(TRUE, 'Hulp (CAO''s)'!$D$3:$D$6, 0)))</f>
        <v/>
      </c>
      <c r="L26" s="143" t="str">
        <f t="array" aca="1" ref="L26" ca="1">IF($B26="", "", INDEX('Hulp (CAO''s)'!P$3:P$6, MATCH(TRUE, 'Hulp (CAO''s)'!$D$3:$D$6, 0)))</f>
        <v/>
      </c>
      <c r="M26" s="143" t="str">
        <f t="array" aca="1" ref="M26" ca="1">IF($B26="", "", INDEX('Hulp (CAO''s)'!Q$3:Q$6, MATCH(TRUE, 'Hulp (CAO''s)'!$D$3:$D$6, 0)))</f>
        <v/>
      </c>
      <c r="N26" s="143" t="str">
        <f t="array" aca="1" ref="N26" ca="1">IF($B26="", "", INDEX('Hulp (CAO''s)'!R$3:R$6, MATCH(TRUE, 'Hulp (CAO''s)'!$D$3:$D$6, 0)))</f>
        <v/>
      </c>
      <c r="O26" s="143" t="str">
        <f t="array" aca="1" ref="O26" ca="1">IF($B26="", "", INDEX('Hulp (CAO''s)'!S$3:S$6, MATCH(TRUE, 'Hulp (CAO''s)'!$D$3:$D$6, 0)))</f>
        <v/>
      </c>
      <c r="P26" s="143" t="str">
        <f t="array" aca="1" ref="P26" ca="1">IF($B26="", "", INDEX('Hulp (CAO''s)'!T$3:T$6, MATCH(TRUE, 'Hulp (CAO''s)'!$D$3:$D$6, 0)))</f>
        <v/>
      </c>
      <c r="Q26" s="143" t="str">
        <f t="array" aca="1" ref="Q26" ca="1">IF($B26="", "", INDEX('Hulp (CAO''s)'!U$3:U$6, MATCH(TRUE, 'Hulp (CAO''s)'!$D$3:$D$6, 0)))</f>
        <v/>
      </c>
      <c r="R26" s="143" t="str">
        <f t="array" aca="1" ref="R26" ca="1">IF($B26="", "", INDEX('Hulp (CAO''s)'!V$3:V$6, MATCH(TRUE, 'Hulp (CAO''s)'!$D$3:$D$6, 0)))</f>
        <v/>
      </c>
      <c r="S26" s="143" t="str">
        <f t="array" aca="1" ref="S26" ca="1">IF($B26="", "", INDEX('Hulp (CAO''s)'!W$3:W$6, MATCH(TRUE, 'Hulp (CAO''s)'!$D$3:$D$6, 0)))</f>
        <v/>
      </c>
      <c r="T26" s="143" t="str">
        <f t="array" aca="1" ref="T26" ca="1">IF($B26="", "", INDEX('Hulp (CAO''s)'!X$3:X$6, MATCH(TRUE, 'Hulp (CAO''s)'!$D$3:$D$6, 0)))</f>
        <v/>
      </c>
      <c r="U26" s="144" t="str">
        <f t="array" aca="1" ref="U26" ca="1">IF($B26="", "", INDEX('Hulp (CAO''s)'!Y$3:Y$6, MATCH(TRUE, 'Hulp (CAO''s)'!$D$3:$D$6, 0)))</f>
        <v/>
      </c>
      <c r="W26" s="788" t="s">
        <v>747</v>
      </c>
      <c r="X26" s="153"/>
    </row>
    <row r="27" spans="2:24" ht="16.05" customHeight="1" thickBot="1" x14ac:dyDescent="0.55000000000000004">
      <c r="C27" s="151"/>
      <c r="D27" s="786" t="s">
        <v>771</v>
      </c>
      <c r="E27" s="162" t="s">
        <v>770</v>
      </c>
      <c r="F27" s="163">
        <v>0.96</v>
      </c>
      <c r="G27" s="163">
        <v>0.9</v>
      </c>
      <c r="H27" s="163">
        <v>0.9</v>
      </c>
      <c r="I27" s="163">
        <v>0.7</v>
      </c>
      <c r="J27" s="163">
        <v>0.8</v>
      </c>
      <c r="K27" s="163">
        <v>0.9</v>
      </c>
      <c r="L27" s="163">
        <v>0.9</v>
      </c>
      <c r="M27" s="163">
        <v>0.9</v>
      </c>
      <c r="N27" s="163">
        <v>0.9</v>
      </c>
      <c r="O27" s="163">
        <v>0.8</v>
      </c>
      <c r="P27" s="163">
        <v>0.95</v>
      </c>
      <c r="Q27" s="163">
        <v>0.93</v>
      </c>
      <c r="R27" s="163">
        <v>0.93</v>
      </c>
      <c r="S27" s="163">
        <v>0.99</v>
      </c>
      <c r="T27" s="163">
        <v>0.99</v>
      </c>
      <c r="U27" s="164">
        <v>0.95</v>
      </c>
      <c r="W27" s="789"/>
      <c r="X27" s="153"/>
    </row>
    <row r="28" spans="2:24" ht="16.05" customHeight="1" thickBot="1" x14ac:dyDescent="0.55000000000000004">
      <c r="C28" s="151"/>
      <c r="D28" s="787"/>
      <c r="E28" s="31" t="s">
        <v>29</v>
      </c>
      <c r="F28" s="160">
        <v>8</v>
      </c>
      <c r="G28" s="160">
        <v>10</v>
      </c>
      <c r="H28" s="160">
        <v>10</v>
      </c>
      <c r="I28" s="160">
        <v>9</v>
      </c>
      <c r="J28" s="160">
        <v>10</v>
      </c>
      <c r="K28" s="160">
        <v>11</v>
      </c>
      <c r="L28" s="160">
        <v>10</v>
      </c>
      <c r="M28" s="160">
        <v>10</v>
      </c>
      <c r="N28" s="160">
        <v>9</v>
      </c>
      <c r="O28" s="160">
        <v>10</v>
      </c>
      <c r="P28" s="160">
        <v>11</v>
      </c>
      <c r="Q28" s="160">
        <v>12</v>
      </c>
      <c r="R28" s="160">
        <v>13</v>
      </c>
      <c r="S28" s="160">
        <v>12</v>
      </c>
      <c r="T28" s="160">
        <v>10</v>
      </c>
      <c r="U28" s="161">
        <v>5</v>
      </c>
      <c r="W28" s="166">
        <v>4200</v>
      </c>
      <c r="X28" s="153"/>
    </row>
    <row r="29" spans="2:24" ht="16.05" customHeight="1" thickBot="1" x14ac:dyDescent="0.55000000000000004">
      <c r="C29" s="151"/>
      <c r="E29" s="40" t="str">
        <f>IFERROR(
   INDEX('Hulp (CAO''s)'!$I$3:$I$6, MATCH(TRUE, 'Hulp (CAO''s)'!$D$3:$D$6, 0)),
"")</f>
        <v>Bruto maandsalaris</v>
      </c>
      <c r="F29" s="145" t="str">
        <f t="array" aca="1" ref="F29" ca="1">IF($D27="Gebruik % van maximum trede",
IF(
    OR(F26="",F27=""),
    "",
    MAX(
    INDIRECT("'" &amp; INDEX('Hulp (CAO''s)'!$C$3:$C$6,
        MATCH(TRUE,'Hulp (CAO''s)'!$D$3:$D$6,0)) &amp; "'!" &amp;
        INDEX('Hulp (CAO''s)'!$H$3:$H$6,
            MATCH(TRUE,'Hulp (CAO''s)'!$D$3:$D$6,0))
        &amp;
        MATCH(F26, INDIRECT("'" &amp; INDEX('Hulp (CAO''s)'!$C$3:$C$6,
            MATCH(TRUE,'Hulp (CAO''s)'!$D$3:$D$6,0)) &amp; "'!A:A"),0)
        &amp; ":H" &amp;
        IF(G26&lt;&gt;"",
            MATCH(G26, INDIRECT("'" &amp; INDEX('Hulp (CAO''s)'!$C$3:$C$6,
                MATCH(TRUE,'Hulp (CAO''s)'!$D$3:$D$6,0)) &amp; "'!A:A"),0)-1,
            1000
        )
    )
) * F27
),
IF(
    IFERROR(MIN(
        IF(
            (TRIM(INDIRECT("'" &amp; INDEX('Hulp (CAO''s)'!$C$3:$C$6,
                MATCH(TRUE,'Hulp (CAO''s)'!$D$3:$D$6,0)) &amp; "'!B1:B1000")) = TEXT(F28,"0")) *
            (ROW(INDIRECT("'" &amp; INDEX('Hulp (CAO''s)'!$C$3:$C$6,
                MATCH(TRUE,'Hulp (CAO''s)'!$D$3:$D$6,0)) &amp; "'!B1:B1000")) &gt; MATCH(
                F26,
                INDIRECT("'" &amp; INDEX('Hulp (CAO''s)'!$C$3:$C$6,
                    MATCH(TRUE,'Hulp (CAO''s)'!$D$3:$D$6,0)) &amp; "'!A:A"),
                0
            )) *
            IF(
                G26="",
                1,
                (ROW(INDIRECT("'" &amp; INDEX('Hulp (CAO''s)'!$C$3:$C$6,
                    MATCH(TRUE,'Hulp (CAO''s)'!$D$3:$D$6,0)) &amp; "'!B1:B1000")) &lt; MATCH(
                    G26,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TEXT(F28,"0")) *
                (ROW(INDIRECT("'" &amp; INDEX('Hulp (CAO''s)'!$C$3:$C$6,
                    MATCH(TRUE,'Hulp (CAO''s)'!$D$3:$D$6,0)) &amp; "'!B1:B1000")) &gt; MATCH(
                    F26,
                    INDIRECT("'" &amp; INDEX('Hulp (CAO''s)'!$C$3:$C$6,
                        MATCH(TRUE,'Hulp (CAO''s)'!$D$3:$D$6,0)) &amp; "'!A:A"),
                    0
                )) *
                IF(
                    G26="",
                    1,
                    (ROW(INDIRECT("'" &amp; INDEX('Hulp (CAO''s)'!$C$3:$C$6,
                        MATCH(TRUE,'Hulp (CAO''s)'!$D$3:$D$6,0)) &amp; "'!B1:B1000")) &lt; MATCH(
                        G26,
                        INDIRECT("'" &amp; INDEX('Hulp (CAO''s)'!$C$3:$C$6,
                            MATCH(TRUE,'Hulp (CAO''s)'!$D$3:$D$6,0)) &amp; "'!A:A"),
                        0
                    ))
                ),
                ROW(INDIRECT("'" &amp; INDEX('Hulp (CAO''s)'!$C$3:$C$6,
                    MATCH(TRUE,'Hulp (CAO''s)'!$D$3:$D$6,0)) &amp; "'!B1:B1000"))
            )
        ),0)
    )
))</f>
        <v/>
      </c>
      <c r="G29" s="145" t="str">
        <f t="array" aca="1" ref="G29" ca="1">IF($D27="Gebruik % van maximum trede",
IF(
    OR(G26="",G27=""),
    "",
    MAX(
    INDIRECT("'" &amp; INDEX('Hulp (CAO''s)'!$C$3:$C$6,
        MATCH(TRUE,'Hulp (CAO''s)'!$D$3:$D$6,0)) &amp; "'!" &amp;
        INDEX('Hulp (CAO''s)'!$H$3:$H$6,
            MATCH(TRUE,'Hulp (CAO''s)'!$D$3:$D$6,0))
        &amp;
        MATCH(G26, INDIRECT("'" &amp; INDEX('Hulp (CAO''s)'!$C$3:$C$6,
            MATCH(TRUE,'Hulp (CAO''s)'!$D$3:$D$6,0)) &amp; "'!A:A"),0)
        &amp; ":H" &amp;
        IF(H26&lt;&gt;"",
            MATCH(H26, INDIRECT("'" &amp; INDEX('Hulp (CAO''s)'!$C$3:$C$6,
                MATCH(TRUE,'Hulp (CAO''s)'!$D$3:$D$6,0)) &amp; "'!A:A"),0)-1,
            1000
        )
    )
) * G27
),
IF(
    IFERROR(MIN(
        IF(
            (TRIM(INDIRECT("'" &amp; INDEX('Hulp (CAO''s)'!$C$3:$C$6,
                MATCH(TRUE,'Hulp (CAO''s)'!$D$3:$D$6,0)) &amp; "'!B1:B1000")) = TEXT(G28,"0")) *
            (ROW(INDIRECT("'" &amp; INDEX('Hulp (CAO''s)'!$C$3:$C$6,
                MATCH(TRUE,'Hulp (CAO''s)'!$D$3:$D$6,0)) &amp; "'!B1:B1000")) &gt; MATCH(
                G26,
                INDIRECT("'" &amp; INDEX('Hulp (CAO''s)'!$C$3:$C$6,
                    MATCH(TRUE,'Hulp (CAO''s)'!$D$3:$D$6,0)) &amp; "'!A:A"),
                0
            )) *
            IF(
                H26="",
                1,
                (ROW(INDIRECT("'" &amp; INDEX('Hulp (CAO''s)'!$C$3:$C$6,
                    MATCH(TRUE,'Hulp (CAO''s)'!$D$3:$D$6,0)) &amp; "'!B1:B1000")) &lt; MATCH(
                    H26,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TEXT(G28,"0")) *
                (ROW(INDIRECT("'" &amp; INDEX('Hulp (CAO''s)'!$C$3:$C$6,
                    MATCH(TRUE,'Hulp (CAO''s)'!$D$3:$D$6,0)) &amp; "'!B1:B1000")) &gt; MATCH(
                    G26,
                    INDIRECT("'" &amp; INDEX('Hulp (CAO''s)'!$C$3:$C$6,
                        MATCH(TRUE,'Hulp (CAO''s)'!$D$3:$D$6,0)) &amp; "'!A:A"),
                    0
                )) *
                IF(
                    H26="",
                    1,
                    (ROW(INDIRECT("'" &amp; INDEX('Hulp (CAO''s)'!$C$3:$C$6,
                        MATCH(TRUE,'Hulp (CAO''s)'!$D$3:$D$6,0)) &amp; "'!B1:B1000")) &lt; MATCH(
                        H26,
                        INDIRECT("'" &amp; INDEX('Hulp (CAO''s)'!$C$3:$C$6,
                            MATCH(TRUE,'Hulp (CAO''s)'!$D$3:$D$6,0)) &amp; "'!A:A"),
                        0
                    ))
                ),
                ROW(INDIRECT("'" &amp; INDEX('Hulp (CAO''s)'!$C$3:$C$6,
                    MATCH(TRUE,'Hulp (CAO''s)'!$D$3:$D$6,0)) &amp; "'!B1:B1000"))
            )
        ),0)
    )
))</f>
        <v/>
      </c>
      <c r="H29" s="145" t="str">
        <f t="array" aca="1" ref="H29" ca="1">IF($D27="Gebruik % van maximum trede",
IF(
    OR(H26="",H27=""),
    "",
    MAX(
    INDIRECT("'" &amp; INDEX('Hulp (CAO''s)'!$C$3:$C$6,
        MATCH(TRUE,'Hulp (CAO''s)'!$D$3:$D$6,0)) &amp; "'!" &amp;
        INDEX('Hulp (CAO''s)'!$H$3:$H$6,
            MATCH(TRUE,'Hulp (CAO''s)'!$D$3:$D$6,0))
        &amp;
        MATCH(H26, INDIRECT("'" &amp; INDEX('Hulp (CAO''s)'!$C$3:$C$6,
            MATCH(TRUE,'Hulp (CAO''s)'!$D$3:$D$6,0)) &amp; "'!A:A"),0)
        &amp; ":H" &amp;
        IF(I26&lt;&gt;"",
            MATCH(I26, INDIRECT("'" &amp; INDEX('Hulp (CAO''s)'!$C$3:$C$6,
                MATCH(TRUE,'Hulp (CAO''s)'!$D$3:$D$6,0)) &amp; "'!A:A"),0)-1,
            1000
        )
    )
) * H27
),
IF(
    IFERROR(MIN(
        IF(
            (TRIM(INDIRECT("'" &amp; INDEX('Hulp (CAO''s)'!$C$3:$C$6,
                MATCH(TRUE,'Hulp (CAO''s)'!$D$3:$D$6,0)) &amp; "'!B1:B1000")) = TEXT(H28,"0")) *
            (ROW(INDIRECT("'" &amp; INDEX('Hulp (CAO''s)'!$C$3:$C$6,
                MATCH(TRUE,'Hulp (CAO''s)'!$D$3:$D$6,0)) &amp; "'!B1:B1000")) &gt; MATCH(
                H26,
                INDIRECT("'" &amp; INDEX('Hulp (CAO''s)'!$C$3:$C$6,
                    MATCH(TRUE,'Hulp (CAO''s)'!$D$3:$D$6,0)) &amp; "'!A:A"),
                0
            )) *
            IF(
                I26="",
                1,
                (ROW(INDIRECT("'" &amp; INDEX('Hulp (CAO''s)'!$C$3:$C$6,
                    MATCH(TRUE,'Hulp (CAO''s)'!$D$3:$D$6,0)) &amp; "'!B1:B1000")) &lt; MATCH(
                    I26,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TEXT(H28,"0")) *
                (ROW(INDIRECT("'" &amp; INDEX('Hulp (CAO''s)'!$C$3:$C$6,
                    MATCH(TRUE,'Hulp (CAO''s)'!$D$3:$D$6,0)) &amp; "'!B1:B1000")) &gt; MATCH(
                    H26,
                    INDIRECT("'" &amp; INDEX('Hulp (CAO''s)'!$C$3:$C$6,
                        MATCH(TRUE,'Hulp (CAO''s)'!$D$3:$D$6,0)) &amp; "'!A:A"),
                    0
                )) *
                IF(
                    I26="",
                    1,
                    (ROW(INDIRECT("'" &amp; INDEX('Hulp (CAO''s)'!$C$3:$C$6,
                        MATCH(TRUE,'Hulp (CAO''s)'!$D$3:$D$6,0)) &amp; "'!B1:B1000")) &lt; MATCH(
                        I26,
                        INDIRECT("'" &amp; INDEX('Hulp (CAO''s)'!$C$3:$C$6,
                            MATCH(TRUE,'Hulp (CAO''s)'!$D$3:$D$6,0)) &amp; "'!A:A"),
                        0
                    ))
                ),
                ROW(INDIRECT("'" &amp; INDEX('Hulp (CAO''s)'!$C$3:$C$6,
                    MATCH(TRUE,'Hulp (CAO''s)'!$D$3:$D$6,0)) &amp; "'!B1:B1000"))
            )
        ),0)
    )
))</f>
        <v/>
      </c>
      <c r="I29" s="145" t="str">
        <f t="array" aca="1" ref="I29" ca="1">IF($D27="Gebruik % van maximum trede",
IF(
    OR(I26="",I27=""),
    "",
    MAX(
    INDIRECT("'" &amp; INDEX('Hulp (CAO''s)'!$C$3:$C$6,
        MATCH(TRUE,'Hulp (CAO''s)'!$D$3:$D$6,0)) &amp; "'!" &amp;
        INDEX('Hulp (CAO''s)'!$H$3:$H$6,
            MATCH(TRUE,'Hulp (CAO''s)'!$D$3:$D$6,0))
        &amp;
        MATCH(I26, INDIRECT("'" &amp; INDEX('Hulp (CAO''s)'!$C$3:$C$6,
            MATCH(TRUE,'Hulp (CAO''s)'!$D$3:$D$6,0)) &amp; "'!A:A"),0)
        &amp; ":H" &amp;
        IF(J26&lt;&gt;"",
            MATCH(J26, INDIRECT("'" &amp; INDEX('Hulp (CAO''s)'!$C$3:$C$6,
                MATCH(TRUE,'Hulp (CAO''s)'!$D$3:$D$6,0)) &amp; "'!A:A"),0)-1,
            1000
        )
    )
) * I27
),
IF(
    IFERROR(MIN(
        IF(
            (TRIM(INDIRECT("'" &amp; INDEX('Hulp (CAO''s)'!$C$3:$C$6,
                MATCH(TRUE,'Hulp (CAO''s)'!$D$3:$D$6,0)) &amp; "'!B1:B1000")) = TEXT(I28,"0")) *
            (ROW(INDIRECT("'" &amp; INDEX('Hulp (CAO''s)'!$C$3:$C$6,
                MATCH(TRUE,'Hulp (CAO''s)'!$D$3:$D$6,0)) &amp; "'!B1:B1000")) &gt; MATCH(
                I26,
                INDIRECT("'" &amp; INDEX('Hulp (CAO''s)'!$C$3:$C$6,
                    MATCH(TRUE,'Hulp (CAO''s)'!$D$3:$D$6,0)) &amp; "'!A:A"),
                0
            )) *
            IF(
                J26="",
                1,
                (ROW(INDIRECT("'" &amp; INDEX('Hulp (CAO''s)'!$C$3:$C$6,
                    MATCH(TRUE,'Hulp (CAO''s)'!$D$3:$D$6,0)) &amp; "'!B1:B1000")) &lt; MATCH(
                    J26,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TEXT(I28,"0")) *
                (ROW(INDIRECT("'" &amp; INDEX('Hulp (CAO''s)'!$C$3:$C$6,
                    MATCH(TRUE,'Hulp (CAO''s)'!$D$3:$D$6,0)) &amp; "'!B1:B1000")) &gt; MATCH(
                    I26,
                    INDIRECT("'" &amp; INDEX('Hulp (CAO''s)'!$C$3:$C$6,
                        MATCH(TRUE,'Hulp (CAO''s)'!$D$3:$D$6,0)) &amp; "'!A:A"),
                    0
                )) *
                IF(
                    J26="",
                    1,
                    (ROW(INDIRECT("'" &amp; INDEX('Hulp (CAO''s)'!$C$3:$C$6,
                        MATCH(TRUE,'Hulp (CAO''s)'!$D$3:$D$6,0)) &amp; "'!B1:B1000")) &lt; MATCH(
                        J26,
                        INDIRECT("'" &amp; INDEX('Hulp (CAO''s)'!$C$3:$C$6,
                            MATCH(TRUE,'Hulp (CAO''s)'!$D$3:$D$6,0)) &amp; "'!A:A"),
                        0
                    ))
                ),
                ROW(INDIRECT("'" &amp; INDEX('Hulp (CAO''s)'!$C$3:$C$6,
                    MATCH(TRUE,'Hulp (CAO''s)'!$D$3:$D$6,0)) &amp; "'!B1:B1000"))
            )
        ),0)
    )
))</f>
        <v/>
      </c>
      <c r="J29" s="145" t="str">
        <f t="array" aca="1" ref="J29" ca="1">IF($D27="Gebruik % van maximum trede",
IF(
    OR(J26="",J27=""),
    "",
    MAX(
    INDIRECT("'" &amp; INDEX('Hulp (CAO''s)'!$C$3:$C$6,
        MATCH(TRUE,'Hulp (CAO''s)'!$D$3:$D$6,0)) &amp; "'!" &amp;
        INDEX('Hulp (CAO''s)'!$H$3:$H$6,
            MATCH(TRUE,'Hulp (CAO''s)'!$D$3:$D$6,0))
        &amp;
        MATCH(J26, INDIRECT("'" &amp; INDEX('Hulp (CAO''s)'!$C$3:$C$6,
            MATCH(TRUE,'Hulp (CAO''s)'!$D$3:$D$6,0)) &amp; "'!A:A"),0)
        &amp; ":H" &amp;
        IF(K26&lt;&gt;"",
            MATCH(K26, INDIRECT("'" &amp; INDEX('Hulp (CAO''s)'!$C$3:$C$6,
                MATCH(TRUE,'Hulp (CAO''s)'!$D$3:$D$6,0)) &amp; "'!A:A"),0)-1,
            1000
        )
    )
) * J27
),
IF(
    IFERROR(MIN(
        IF(
            (TRIM(INDIRECT("'" &amp; INDEX('Hulp (CAO''s)'!$C$3:$C$6,
                MATCH(TRUE,'Hulp (CAO''s)'!$D$3:$D$6,0)) &amp; "'!B1:B1000")) = TEXT(J28,"0")) *
            (ROW(INDIRECT("'" &amp; INDEX('Hulp (CAO''s)'!$C$3:$C$6,
                MATCH(TRUE,'Hulp (CAO''s)'!$D$3:$D$6,0)) &amp; "'!B1:B1000")) &gt; MATCH(
                J26,
                INDIRECT("'" &amp; INDEX('Hulp (CAO''s)'!$C$3:$C$6,
                    MATCH(TRUE,'Hulp (CAO''s)'!$D$3:$D$6,0)) &amp; "'!A:A"),
                0
            )) *
            IF(
                K26="",
                1,
                (ROW(INDIRECT("'" &amp; INDEX('Hulp (CAO''s)'!$C$3:$C$6,
                    MATCH(TRUE,'Hulp (CAO''s)'!$D$3:$D$6,0)) &amp; "'!B1:B1000")) &lt; MATCH(
                    K26,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TEXT(J28,"0")) *
                (ROW(INDIRECT("'" &amp; INDEX('Hulp (CAO''s)'!$C$3:$C$6,
                    MATCH(TRUE,'Hulp (CAO''s)'!$D$3:$D$6,0)) &amp; "'!B1:B1000")) &gt; MATCH(
                    J26,
                    INDIRECT("'" &amp; INDEX('Hulp (CAO''s)'!$C$3:$C$6,
                        MATCH(TRUE,'Hulp (CAO''s)'!$D$3:$D$6,0)) &amp; "'!A:A"),
                    0
                )) *
                IF(
                    K26="",
                    1,
                    (ROW(INDIRECT("'" &amp; INDEX('Hulp (CAO''s)'!$C$3:$C$6,
                        MATCH(TRUE,'Hulp (CAO''s)'!$D$3:$D$6,0)) &amp; "'!B1:B1000")) &lt; MATCH(
                        K26,
                        INDIRECT("'" &amp; INDEX('Hulp (CAO''s)'!$C$3:$C$6,
                            MATCH(TRUE,'Hulp (CAO''s)'!$D$3:$D$6,0)) &amp; "'!A:A"),
                        0
                    ))
                ),
                ROW(INDIRECT("'" &amp; INDEX('Hulp (CAO''s)'!$C$3:$C$6,
                    MATCH(TRUE,'Hulp (CAO''s)'!$D$3:$D$6,0)) &amp; "'!B1:B1000"))
            )
        ),0)
    )
))</f>
        <v/>
      </c>
      <c r="K29" s="145" t="str">
        <f t="array" aca="1" ref="K29" ca="1">IF($D27="Gebruik % van maximum trede",
IF(
    OR(K26="",K27=""),
    "",
    MAX(
    INDIRECT("'" &amp; INDEX('Hulp (CAO''s)'!$C$3:$C$6,
        MATCH(TRUE,'Hulp (CAO''s)'!$D$3:$D$6,0)) &amp; "'!" &amp;
        INDEX('Hulp (CAO''s)'!$H$3:$H$6,
            MATCH(TRUE,'Hulp (CAO''s)'!$D$3:$D$6,0))
        &amp;
        MATCH(K26, INDIRECT("'" &amp; INDEX('Hulp (CAO''s)'!$C$3:$C$6,
            MATCH(TRUE,'Hulp (CAO''s)'!$D$3:$D$6,0)) &amp; "'!A:A"),0)
        &amp; ":H" &amp;
        IF(L26&lt;&gt;"",
            MATCH(L26, INDIRECT("'" &amp; INDEX('Hulp (CAO''s)'!$C$3:$C$6,
                MATCH(TRUE,'Hulp (CAO''s)'!$D$3:$D$6,0)) &amp; "'!A:A"),0)-1,
            1000
        )
    )
) * K27
),
IF(
    IFERROR(MIN(
        IF(
            (TRIM(INDIRECT("'" &amp; INDEX('Hulp (CAO''s)'!$C$3:$C$6,
                MATCH(TRUE,'Hulp (CAO''s)'!$D$3:$D$6,0)) &amp; "'!B1:B1000")) = TEXT(K28,"0")) *
            (ROW(INDIRECT("'" &amp; INDEX('Hulp (CAO''s)'!$C$3:$C$6,
                MATCH(TRUE,'Hulp (CAO''s)'!$D$3:$D$6,0)) &amp; "'!B1:B1000")) &gt; MATCH(
                K26,
                INDIRECT("'" &amp; INDEX('Hulp (CAO''s)'!$C$3:$C$6,
                    MATCH(TRUE,'Hulp (CAO''s)'!$D$3:$D$6,0)) &amp; "'!A:A"),
                0
            )) *
            IF(
                L26="",
                1,
                (ROW(INDIRECT("'" &amp; INDEX('Hulp (CAO''s)'!$C$3:$C$6,
                    MATCH(TRUE,'Hulp (CAO''s)'!$D$3:$D$6,0)) &amp; "'!B1:B1000")) &lt; MATCH(
                    L26,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TEXT(K28,"0")) *
                (ROW(INDIRECT("'" &amp; INDEX('Hulp (CAO''s)'!$C$3:$C$6,
                    MATCH(TRUE,'Hulp (CAO''s)'!$D$3:$D$6,0)) &amp; "'!B1:B1000")) &gt; MATCH(
                    K26,
                    INDIRECT("'" &amp; INDEX('Hulp (CAO''s)'!$C$3:$C$6,
                        MATCH(TRUE,'Hulp (CAO''s)'!$D$3:$D$6,0)) &amp; "'!A:A"),
                    0
                )) *
                IF(
                    L26="",
                    1,
                    (ROW(INDIRECT("'" &amp; INDEX('Hulp (CAO''s)'!$C$3:$C$6,
                        MATCH(TRUE,'Hulp (CAO''s)'!$D$3:$D$6,0)) &amp; "'!B1:B1000")) &lt; MATCH(
                        L26,
                        INDIRECT("'" &amp; INDEX('Hulp (CAO''s)'!$C$3:$C$6,
                            MATCH(TRUE,'Hulp (CAO''s)'!$D$3:$D$6,0)) &amp; "'!A:A"),
                        0
                    ))
                ),
                ROW(INDIRECT("'" &amp; INDEX('Hulp (CAO''s)'!$C$3:$C$6,
                    MATCH(TRUE,'Hulp (CAO''s)'!$D$3:$D$6,0)) &amp; "'!B1:B1000"))
            )
        ),0)
    )
))</f>
        <v/>
      </c>
      <c r="L29" s="145" t="str">
        <f t="array" aca="1" ref="L29" ca="1">IF($D27="Gebruik % van maximum trede",
IF(
    OR(L26="",L27=""),
    "",
    MAX(
    INDIRECT("'" &amp; INDEX('Hulp (CAO''s)'!$C$3:$C$6,
        MATCH(TRUE,'Hulp (CAO''s)'!$D$3:$D$6,0)) &amp; "'!" &amp;
        INDEX('Hulp (CAO''s)'!$H$3:$H$6,
            MATCH(TRUE,'Hulp (CAO''s)'!$D$3:$D$6,0))
        &amp;
        MATCH(L26, INDIRECT("'" &amp; INDEX('Hulp (CAO''s)'!$C$3:$C$6,
            MATCH(TRUE,'Hulp (CAO''s)'!$D$3:$D$6,0)) &amp; "'!A:A"),0)
        &amp; ":H" &amp;
        IF(M26&lt;&gt;"",
            MATCH(M26, INDIRECT("'" &amp; INDEX('Hulp (CAO''s)'!$C$3:$C$6,
                MATCH(TRUE,'Hulp (CAO''s)'!$D$3:$D$6,0)) &amp; "'!A:A"),0)-1,
            1000
        )
    )
) * L27
),
IF(
    IFERROR(MIN(
        IF(
            (TRIM(INDIRECT("'" &amp; INDEX('Hulp (CAO''s)'!$C$3:$C$6,
                MATCH(TRUE,'Hulp (CAO''s)'!$D$3:$D$6,0)) &amp; "'!B1:B1000")) = TEXT(L28,"0")) *
            (ROW(INDIRECT("'" &amp; INDEX('Hulp (CAO''s)'!$C$3:$C$6,
                MATCH(TRUE,'Hulp (CAO''s)'!$D$3:$D$6,0)) &amp; "'!B1:B1000")) &gt; MATCH(
                L26,
                INDIRECT("'" &amp; INDEX('Hulp (CAO''s)'!$C$3:$C$6,
                    MATCH(TRUE,'Hulp (CAO''s)'!$D$3:$D$6,0)) &amp; "'!A:A"),
                0
            )) *
            IF(
                M26="",
                1,
                (ROW(INDIRECT("'" &amp; INDEX('Hulp (CAO''s)'!$C$3:$C$6,
                    MATCH(TRUE,'Hulp (CAO''s)'!$D$3:$D$6,0)) &amp; "'!B1:B1000")) &lt; MATCH(
                    M26,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TEXT(L28,"0")) *
                (ROW(INDIRECT("'" &amp; INDEX('Hulp (CAO''s)'!$C$3:$C$6,
                    MATCH(TRUE,'Hulp (CAO''s)'!$D$3:$D$6,0)) &amp; "'!B1:B1000")) &gt; MATCH(
                    L26,
                    INDIRECT("'" &amp; INDEX('Hulp (CAO''s)'!$C$3:$C$6,
                        MATCH(TRUE,'Hulp (CAO''s)'!$D$3:$D$6,0)) &amp; "'!A:A"),
                    0
                )) *
                IF(
                    M26="",
                    1,
                    (ROW(INDIRECT("'" &amp; INDEX('Hulp (CAO''s)'!$C$3:$C$6,
                        MATCH(TRUE,'Hulp (CAO''s)'!$D$3:$D$6,0)) &amp; "'!B1:B1000")) &lt; MATCH(
                        M26,
                        INDIRECT("'" &amp; INDEX('Hulp (CAO''s)'!$C$3:$C$6,
                            MATCH(TRUE,'Hulp (CAO''s)'!$D$3:$D$6,0)) &amp; "'!A:A"),
                        0
                    ))
                ),
                ROW(INDIRECT("'" &amp; INDEX('Hulp (CAO''s)'!$C$3:$C$6,
                    MATCH(TRUE,'Hulp (CAO''s)'!$D$3:$D$6,0)) &amp; "'!B1:B1000"))
            )
        ),0)
    )
))</f>
        <v/>
      </c>
      <c r="M29" s="145" t="str">
        <f t="array" aca="1" ref="M29" ca="1">IF($D27="Gebruik % van maximum trede",
IF(
    OR(M26="",M27=""),
    "",
    MAX(
    INDIRECT("'" &amp; INDEX('Hulp (CAO''s)'!$C$3:$C$6,
        MATCH(TRUE,'Hulp (CAO''s)'!$D$3:$D$6,0)) &amp; "'!" &amp;
        INDEX('Hulp (CAO''s)'!$H$3:$H$6,
            MATCH(TRUE,'Hulp (CAO''s)'!$D$3:$D$6,0))
        &amp;
        MATCH(M26, INDIRECT("'" &amp; INDEX('Hulp (CAO''s)'!$C$3:$C$6,
            MATCH(TRUE,'Hulp (CAO''s)'!$D$3:$D$6,0)) &amp; "'!A:A"),0)
        &amp; ":H" &amp;
        IF(N26&lt;&gt;"",
            MATCH(N26, INDIRECT("'" &amp; INDEX('Hulp (CAO''s)'!$C$3:$C$6,
                MATCH(TRUE,'Hulp (CAO''s)'!$D$3:$D$6,0)) &amp; "'!A:A"),0)-1,
            1000
        )
    )
) * M27
),
IF(
    IFERROR(MIN(
        IF(
            (TRIM(INDIRECT("'" &amp; INDEX('Hulp (CAO''s)'!$C$3:$C$6,
                MATCH(TRUE,'Hulp (CAO''s)'!$D$3:$D$6,0)) &amp; "'!B1:B1000")) = TEXT(M28,"0")) *
            (ROW(INDIRECT("'" &amp; INDEX('Hulp (CAO''s)'!$C$3:$C$6,
                MATCH(TRUE,'Hulp (CAO''s)'!$D$3:$D$6,0)) &amp; "'!B1:B1000")) &gt; MATCH(
                M26,
                INDIRECT("'" &amp; INDEX('Hulp (CAO''s)'!$C$3:$C$6,
                    MATCH(TRUE,'Hulp (CAO''s)'!$D$3:$D$6,0)) &amp; "'!A:A"),
                0
            )) *
            IF(
                N26="",
                1,
                (ROW(INDIRECT("'" &amp; INDEX('Hulp (CAO''s)'!$C$3:$C$6,
                    MATCH(TRUE,'Hulp (CAO''s)'!$D$3:$D$6,0)) &amp; "'!B1:B1000")) &lt; MATCH(
                    N26,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TEXT(M28,"0")) *
                (ROW(INDIRECT("'" &amp; INDEX('Hulp (CAO''s)'!$C$3:$C$6,
                    MATCH(TRUE,'Hulp (CAO''s)'!$D$3:$D$6,0)) &amp; "'!B1:B1000")) &gt; MATCH(
                    M26,
                    INDIRECT("'" &amp; INDEX('Hulp (CAO''s)'!$C$3:$C$6,
                        MATCH(TRUE,'Hulp (CAO''s)'!$D$3:$D$6,0)) &amp; "'!A:A"),
                    0
                )) *
                IF(
                    N26="",
                    1,
                    (ROW(INDIRECT("'" &amp; INDEX('Hulp (CAO''s)'!$C$3:$C$6,
                        MATCH(TRUE,'Hulp (CAO''s)'!$D$3:$D$6,0)) &amp; "'!B1:B1000")) &lt; MATCH(
                        N26,
                        INDIRECT("'" &amp; INDEX('Hulp (CAO''s)'!$C$3:$C$6,
                            MATCH(TRUE,'Hulp (CAO''s)'!$D$3:$D$6,0)) &amp; "'!A:A"),
                        0
                    ))
                ),
                ROW(INDIRECT("'" &amp; INDEX('Hulp (CAO''s)'!$C$3:$C$6,
                    MATCH(TRUE,'Hulp (CAO''s)'!$D$3:$D$6,0)) &amp; "'!B1:B1000"))
            )
        ),0)
    )
))</f>
        <v/>
      </c>
      <c r="N29" s="145" t="str">
        <f t="array" aca="1" ref="N29" ca="1">IF($D27="Gebruik % van maximum trede",
IF(
    OR(N26="",N27=""),
    "",
    MAX(
    INDIRECT("'" &amp; INDEX('Hulp (CAO''s)'!$C$3:$C$6,
        MATCH(TRUE,'Hulp (CAO''s)'!$D$3:$D$6,0)) &amp; "'!" &amp;
        INDEX('Hulp (CAO''s)'!$H$3:$H$6,
            MATCH(TRUE,'Hulp (CAO''s)'!$D$3:$D$6,0))
        &amp;
        MATCH(N26, INDIRECT("'" &amp; INDEX('Hulp (CAO''s)'!$C$3:$C$6,
            MATCH(TRUE,'Hulp (CAO''s)'!$D$3:$D$6,0)) &amp; "'!A:A"),0)
        &amp; ":H" &amp;
        IF(O26&lt;&gt;"",
            MATCH(O26, INDIRECT("'" &amp; INDEX('Hulp (CAO''s)'!$C$3:$C$6,
                MATCH(TRUE,'Hulp (CAO''s)'!$D$3:$D$6,0)) &amp; "'!A:A"),0)-1,
            1000
        )
    )
) * N27
),
IF(
    IFERROR(MIN(
        IF(
            (TRIM(INDIRECT("'" &amp; INDEX('Hulp (CAO''s)'!$C$3:$C$6,
                MATCH(TRUE,'Hulp (CAO''s)'!$D$3:$D$6,0)) &amp; "'!B1:B1000")) = TEXT(N28,"0")) *
            (ROW(INDIRECT("'" &amp; INDEX('Hulp (CAO''s)'!$C$3:$C$6,
                MATCH(TRUE,'Hulp (CAO''s)'!$D$3:$D$6,0)) &amp; "'!B1:B1000")) &gt; MATCH(
                N26,
                INDIRECT("'" &amp; INDEX('Hulp (CAO''s)'!$C$3:$C$6,
                    MATCH(TRUE,'Hulp (CAO''s)'!$D$3:$D$6,0)) &amp; "'!A:A"),
                0
            )) *
            IF(
                O26="",
                1,
                (ROW(INDIRECT("'" &amp; INDEX('Hulp (CAO''s)'!$C$3:$C$6,
                    MATCH(TRUE,'Hulp (CAO''s)'!$D$3:$D$6,0)) &amp; "'!B1:B1000")) &lt; MATCH(
                    O26,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TEXT(N28,"0")) *
                (ROW(INDIRECT("'" &amp; INDEX('Hulp (CAO''s)'!$C$3:$C$6,
                    MATCH(TRUE,'Hulp (CAO''s)'!$D$3:$D$6,0)) &amp; "'!B1:B1000")) &gt; MATCH(
                    N26,
                    INDIRECT("'" &amp; INDEX('Hulp (CAO''s)'!$C$3:$C$6,
                        MATCH(TRUE,'Hulp (CAO''s)'!$D$3:$D$6,0)) &amp; "'!A:A"),
                    0
                )) *
                IF(
                    O26="",
                    1,
                    (ROW(INDIRECT("'" &amp; INDEX('Hulp (CAO''s)'!$C$3:$C$6,
                        MATCH(TRUE,'Hulp (CAO''s)'!$D$3:$D$6,0)) &amp; "'!B1:B1000")) &lt; MATCH(
                        O26,
                        INDIRECT("'" &amp; INDEX('Hulp (CAO''s)'!$C$3:$C$6,
                            MATCH(TRUE,'Hulp (CAO''s)'!$D$3:$D$6,0)) &amp; "'!A:A"),
                        0
                    ))
                ),
                ROW(INDIRECT("'" &amp; INDEX('Hulp (CAO''s)'!$C$3:$C$6,
                    MATCH(TRUE,'Hulp (CAO''s)'!$D$3:$D$6,0)) &amp; "'!B1:B1000"))
            )
        ),0)
    )
))</f>
        <v/>
      </c>
      <c r="O29" s="145" t="str">
        <f t="array" aca="1" ref="O29" ca="1">IF($D27="Gebruik % van maximum trede",
IF(
    OR(O26="",O27=""),
    "",
    MAX(
    INDIRECT("'" &amp; INDEX('Hulp (CAO''s)'!$C$3:$C$6,
        MATCH(TRUE,'Hulp (CAO''s)'!$D$3:$D$6,0)) &amp; "'!" &amp;
        INDEX('Hulp (CAO''s)'!$H$3:$H$6,
            MATCH(TRUE,'Hulp (CAO''s)'!$D$3:$D$6,0))
        &amp;
        MATCH(O26, INDIRECT("'" &amp; INDEX('Hulp (CAO''s)'!$C$3:$C$6,
            MATCH(TRUE,'Hulp (CAO''s)'!$D$3:$D$6,0)) &amp; "'!A:A"),0)
        &amp; ":H" &amp;
        IF(P26&lt;&gt;"",
            MATCH(P26, INDIRECT("'" &amp; INDEX('Hulp (CAO''s)'!$C$3:$C$6,
                MATCH(TRUE,'Hulp (CAO''s)'!$D$3:$D$6,0)) &amp; "'!A:A"),0)-1,
            1000
        )
    )
) * O27
),
IF(
    IFERROR(MIN(
        IF(
            (TRIM(INDIRECT("'" &amp; INDEX('Hulp (CAO''s)'!$C$3:$C$6,
                MATCH(TRUE,'Hulp (CAO''s)'!$D$3:$D$6,0)) &amp; "'!B1:B1000")) = TEXT(O28,"0")) *
            (ROW(INDIRECT("'" &amp; INDEX('Hulp (CAO''s)'!$C$3:$C$6,
                MATCH(TRUE,'Hulp (CAO''s)'!$D$3:$D$6,0)) &amp; "'!B1:B1000")) &gt; MATCH(
                O26,
                INDIRECT("'" &amp; INDEX('Hulp (CAO''s)'!$C$3:$C$6,
                    MATCH(TRUE,'Hulp (CAO''s)'!$D$3:$D$6,0)) &amp; "'!A:A"),
                0
            )) *
            IF(
                P26="",
                1,
                (ROW(INDIRECT("'" &amp; INDEX('Hulp (CAO''s)'!$C$3:$C$6,
                    MATCH(TRUE,'Hulp (CAO''s)'!$D$3:$D$6,0)) &amp; "'!B1:B1000")) &lt; MATCH(
                    P26,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TEXT(O28,"0")) *
                (ROW(INDIRECT("'" &amp; INDEX('Hulp (CAO''s)'!$C$3:$C$6,
                    MATCH(TRUE,'Hulp (CAO''s)'!$D$3:$D$6,0)) &amp; "'!B1:B1000")) &gt; MATCH(
                    O26,
                    INDIRECT("'" &amp; INDEX('Hulp (CAO''s)'!$C$3:$C$6,
                        MATCH(TRUE,'Hulp (CAO''s)'!$D$3:$D$6,0)) &amp; "'!A:A"),
                    0
                )) *
                IF(
                    P26="",
                    1,
                    (ROW(INDIRECT("'" &amp; INDEX('Hulp (CAO''s)'!$C$3:$C$6,
                        MATCH(TRUE,'Hulp (CAO''s)'!$D$3:$D$6,0)) &amp; "'!B1:B1000")) &lt; MATCH(
                        P26,
                        INDIRECT("'" &amp; INDEX('Hulp (CAO''s)'!$C$3:$C$6,
                            MATCH(TRUE,'Hulp (CAO''s)'!$D$3:$D$6,0)) &amp; "'!A:A"),
                        0
                    ))
                ),
                ROW(INDIRECT("'" &amp; INDEX('Hulp (CAO''s)'!$C$3:$C$6,
                    MATCH(TRUE,'Hulp (CAO''s)'!$D$3:$D$6,0)) &amp; "'!B1:B1000"))
            )
        ),0)
    )
))</f>
        <v/>
      </c>
      <c r="P29" s="145" t="str">
        <f t="array" aca="1" ref="P29" ca="1">IF($D27="Gebruik % van maximum trede",
IF(
    OR(P26="",P27=""),
    "",
    MAX(
    INDIRECT("'" &amp; INDEX('Hulp (CAO''s)'!$C$3:$C$6,
        MATCH(TRUE,'Hulp (CAO''s)'!$D$3:$D$6,0)) &amp; "'!" &amp;
        INDEX('Hulp (CAO''s)'!$H$3:$H$6,
            MATCH(TRUE,'Hulp (CAO''s)'!$D$3:$D$6,0))
        &amp;
        MATCH(P26, INDIRECT("'" &amp; INDEX('Hulp (CAO''s)'!$C$3:$C$6,
            MATCH(TRUE,'Hulp (CAO''s)'!$D$3:$D$6,0)) &amp; "'!A:A"),0)
        &amp; ":H" &amp;
        IF(Q26&lt;&gt;"",
            MATCH(Q26, INDIRECT("'" &amp; INDEX('Hulp (CAO''s)'!$C$3:$C$6,
                MATCH(TRUE,'Hulp (CAO''s)'!$D$3:$D$6,0)) &amp; "'!A:A"),0)-1,
            1000
        )
    )
) * P27
),
IF(
    IFERROR(MIN(
        IF(
            (TRIM(INDIRECT("'" &amp; INDEX('Hulp (CAO''s)'!$C$3:$C$6,
                MATCH(TRUE,'Hulp (CAO''s)'!$D$3:$D$6,0)) &amp; "'!B1:B1000")) = TEXT(P28,"0")) *
            (ROW(INDIRECT("'" &amp; INDEX('Hulp (CAO''s)'!$C$3:$C$6,
                MATCH(TRUE,'Hulp (CAO''s)'!$D$3:$D$6,0)) &amp; "'!B1:B1000")) &gt; MATCH(
                P26,
                INDIRECT("'" &amp; INDEX('Hulp (CAO''s)'!$C$3:$C$6,
                    MATCH(TRUE,'Hulp (CAO''s)'!$D$3:$D$6,0)) &amp; "'!A:A"),
                0
            )) *
            IF(
                Q26="",
                1,
                (ROW(INDIRECT("'" &amp; INDEX('Hulp (CAO''s)'!$C$3:$C$6,
                    MATCH(TRUE,'Hulp (CAO''s)'!$D$3:$D$6,0)) &amp; "'!B1:B1000")) &lt; MATCH(
                    Q26,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TEXT(P28,"0")) *
                (ROW(INDIRECT("'" &amp; INDEX('Hulp (CAO''s)'!$C$3:$C$6,
                    MATCH(TRUE,'Hulp (CAO''s)'!$D$3:$D$6,0)) &amp; "'!B1:B1000")) &gt; MATCH(
                    P26,
                    INDIRECT("'" &amp; INDEX('Hulp (CAO''s)'!$C$3:$C$6,
                        MATCH(TRUE,'Hulp (CAO''s)'!$D$3:$D$6,0)) &amp; "'!A:A"),
                    0
                )) *
                IF(
                    Q26="",
                    1,
                    (ROW(INDIRECT("'" &amp; INDEX('Hulp (CAO''s)'!$C$3:$C$6,
                        MATCH(TRUE,'Hulp (CAO''s)'!$D$3:$D$6,0)) &amp; "'!B1:B1000")) &lt; MATCH(
                        Q26,
                        INDIRECT("'" &amp; INDEX('Hulp (CAO''s)'!$C$3:$C$6,
                            MATCH(TRUE,'Hulp (CAO''s)'!$D$3:$D$6,0)) &amp; "'!A:A"),
                        0
                    ))
                ),
                ROW(INDIRECT("'" &amp; INDEX('Hulp (CAO''s)'!$C$3:$C$6,
                    MATCH(TRUE,'Hulp (CAO''s)'!$D$3:$D$6,0)) &amp; "'!B1:B1000"))
            )
        ),0)
    )
))</f>
        <v/>
      </c>
      <c r="Q29" s="145" t="str">
        <f t="array" aca="1" ref="Q29" ca="1">IF($D27="Gebruik % van maximum trede",
IF(
    OR(Q26="",Q27=""),
    "",
    MAX(
    INDIRECT("'" &amp; INDEX('Hulp (CAO''s)'!$C$3:$C$6,
        MATCH(TRUE,'Hulp (CAO''s)'!$D$3:$D$6,0)) &amp; "'!" &amp;
        INDEX('Hulp (CAO''s)'!$H$3:$H$6,
            MATCH(TRUE,'Hulp (CAO''s)'!$D$3:$D$6,0))
        &amp;
        MATCH(Q26, INDIRECT("'" &amp; INDEX('Hulp (CAO''s)'!$C$3:$C$6,
            MATCH(TRUE,'Hulp (CAO''s)'!$D$3:$D$6,0)) &amp; "'!A:A"),0)
        &amp; ":H" &amp;
        IF(R26&lt;&gt;"",
            MATCH(R26, INDIRECT("'" &amp; INDEX('Hulp (CAO''s)'!$C$3:$C$6,
                MATCH(TRUE,'Hulp (CAO''s)'!$D$3:$D$6,0)) &amp; "'!A:A"),0)-1,
            1000
        )
    )
) * Q27
),
IF(
    IFERROR(MIN(
        IF(
            (TRIM(INDIRECT("'" &amp; INDEX('Hulp (CAO''s)'!$C$3:$C$6,
                MATCH(TRUE,'Hulp (CAO''s)'!$D$3:$D$6,0)) &amp; "'!B1:B1000")) = TEXT(Q28,"0")) *
            (ROW(INDIRECT("'" &amp; INDEX('Hulp (CAO''s)'!$C$3:$C$6,
                MATCH(TRUE,'Hulp (CAO''s)'!$D$3:$D$6,0)) &amp; "'!B1:B1000")) &gt; MATCH(
                Q26,
                INDIRECT("'" &amp; INDEX('Hulp (CAO''s)'!$C$3:$C$6,
                    MATCH(TRUE,'Hulp (CAO''s)'!$D$3:$D$6,0)) &amp; "'!A:A"),
                0
            )) *
            IF(
                R26="",
                1,
                (ROW(INDIRECT("'" &amp; INDEX('Hulp (CAO''s)'!$C$3:$C$6,
                    MATCH(TRUE,'Hulp (CAO''s)'!$D$3:$D$6,0)) &amp; "'!B1:B1000")) &lt; MATCH(
                    R26,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TEXT(Q28,"0")) *
                (ROW(INDIRECT("'" &amp; INDEX('Hulp (CAO''s)'!$C$3:$C$6,
                    MATCH(TRUE,'Hulp (CAO''s)'!$D$3:$D$6,0)) &amp; "'!B1:B1000")) &gt; MATCH(
                    Q26,
                    INDIRECT("'" &amp; INDEX('Hulp (CAO''s)'!$C$3:$C$6,
                        MATCH(TRUE,'Hulp (CAO''s)'!$D$3:$D$6,0)) &amp; "'!A:A"),
                    0
                )) *
                IF(
                    R26="",
                    1,
                    (ROW(INDIRECT("'" &amp; INDEX('Hulp (CAO''s)'!$C$3:$C$6,
                        MATCH(TRUE,'Hulp (CAO''s)'!$D$3:$D$6,0)) &amp; "'!B1:B1000")) &lt; MATCH(
                        R26,
                        INDIRECT("'" &amp; INDEX('Hulp (CAO''s)'!$C$3:$C$6,
                            MATCH(TRUE,'Hulp (CAO''s)'!$D$3:$D$6,0)) &amp; "'!A:A"),
                        0
                    ))
                ),
                ROW(INDIRECT("'" &amp; INDEX('Hulp (CAO''s)'!$C$3:$C$6,
                    MATCH(TRUE,'Hulp (CAO''s)'!$D$3:$D$6,0)) &amp; "'!B1:B1000"))
            )
        ),0)
    )
))</f>
        <v/>
      </c>
      <c r="R29" s="145" t="str">
        <f t="array" aca="1" ref="R29" ca="1">IF($D27="Gebruik % van maximum trede",
IF(
    OR(R26="",R27=""),
    "",
    MAX(
    INDIRECT("'" &amp; INDEX('Hulp (CAO''s)'!$C$3:$C$6,
        MATCH(TRUE,'Hulp (CAO''s)'!$D$3:$D$6,0)) &amp; "'!" &amp;
        INDEX('Hulp (CAO''s)'!$H$3:$H$6,
            MATCH(TRUE,'Hulp (CAO''s)'!$D$3:$D$6,0))
        &amp;
        MATCH(R26, INDIRECT("'" &amp; INDEX('Hulp (CAO''s)'!$C$3:$C$6,
            MATCH(TRUE,'Hulp (CAO''s)'!$D$3:$D$6,0)) &amp; "'!A:A"),0)
        &amp; ":H" &amp;
        IF(S26&lt;&gt;"",
            MATCH(S26, INDIRECT("'" &amp; INDEX('Hulp (CAO''s)'!$C$3:$C$6,
                MATCH(TRUE,'Hulp (CAO''s)'!$D$3:$D$6,0)) &amp; "'!A:A"),0)-1,
            1000
        )
    )
) * R27
),
IF(
    IFERROR(MIN(
        IF(
            (TRIM(INDIRECT("'" &amp; INDEX('Hulp (CAO''s)'!$C$3:$C$6,
                MATCH(TRUE,'Hulp (CAO''s)'!$D$3:$D$6,0)) &amp; "'!B1:B1000")) = TEXT(R28,"0")) *
            (ROW(INDIRECT("'" &amp; INDEX('Hulp (CAO''s)'!$C$3:$C$6,
                MATCH(TRUE,'Hulp (CAO''s)'!$D$3:$D$6,0)) &amp; "'!B1:B1000")) &gt; MATCH(
                R26,
                INDIRECT("'" &amp; INDEX('Hulp (CAO''s)'!$C$3:$C$6,
                    MATCH(TRUE,'Hulp (CAO''s)'!$D$3:$D$6,0)) &amp; "'!A:A"),
                0
            )) *
            IF(
                S26="",
                1,
                (ROW(INDIRECT("'" &amp; INDEX('Hulp (CAO''s)'!$C$3:$C$6,
                    MATCH(TRUE,'Hulp (CAO''s)'!$D$3:$D$6,0)) &amp; "'!B1:B1000")) &lt; MATCH(
                    S26,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TEXT(R28,"0")) *
                (ROW(INDIRECT("'" &amp; INDEX('Hulp (CAO''s)'!$C$3:$C$6,
                    MATCH(TRUE,'Hulp (CAO''s)'!$D$3:$D$6,0)) &amp; "'!B1:B1000")) &gt; MATCH(
                    R26,
                    INDIRECT("'" &amp; INDEX('Hulp (CAO''s)'!$C$3:$C$6,
                        MATCH(TRUE,'Hulp (CAO''s)'!$D$3:$D$6,0)) &amp; "'!A:A"),
                    0
                )) *
                IF(
                    S26="",
                    1,
                    (ROW(INDIRECT("'" &amp; INDEX('Hulp (CAO''s)'!$C$3:$C$6,
                        MATCH(TRUE,'Hulp (CAO''s)'!$D$3:$D$6,0)) &amp; "'!B1:B1000")) &lt; MATCH(
                        S26,
                        INDIRECT("'" &amp; INDEX('Hulp (CAO''s)'!$C$3:$C$6,
                            MATCH(TRUE,'Hulp (CAO''s)'!$D$3:$D$6,0)) &amp; "'!A:A"),
                        0
                    ))
                ),
                ROW(INDIRECT("'" &amp; INDEX('Hulp (CAO''s)'!$C$3:$C$6,
                    MATCH(TRUE,'Hulp (CAO''s)'!$D$3:$D$6,0)) &amp; "'!B1:B1000"))
            )
        ),0)
    )
))</f>
        <v/>
      </c>
      <c r="S29" s="145" t="str">
        <f t="array" aca="1" ref="S29" ca="1">IF($D27="Gebruik % van maximum trede",
IF(
    OR(S26="",S27=""),
    "",
    MAX(
    INDIRECT("'" &amp; INDEX('Hulp (CAO''s)'!$C$3:$C$6,
        MATCH(TRUE,'Hulp (CAO''s)'!$D$3:$D$6,0)) &amp; "'!" &amp;
        INDEX('Hulp (CAO''s)'!$H$3:$H$6,
            MATCH(TRUE,'Hulp (CAO''s)'!$D$3:$D$6,0))
        &amp;
        MATCH(S26, INDIRECT("'" &amp; INDEX('Hulp (CAO''s)'!$C$3:$C$6,
            MATCH(TRUE,'Hulp (CAO''s)'!$D$3:$D$6,0)) &amp; "'!A:A"),0)
        &amp; ":H" &amp;
        IF(T26&lt;&gt;"",
            MATCH(T26, INDIRECT("'" &amp; INDEX('Hulp (CAO''s)'!$C$3:$C$6,
                MATCH(TRUE,'Hulp (CAO''s)'!$D$3:$D$6,0)) &amp; "'!A:A"),0)-1,
            1000
        )
    )
) * S27
),
IF(
    IFERROR(MIN(
        IF(
            (TRIM(INDIRECT("'" &amp; INDEX('Hulp (CAO''s)'!$C$3:$C$6,
                MATCH(TRUE,'Hulp (CAO''s)'!$D$3:$D$6,0)) &amp; "'!B1:B1000")) = TEXT(S28,"0")) *
            (ROW(INDIRECT("'" &amp; INDEX('Hulp (CAO''s)'!$C$3:$C$6,
                MATCH(TRUE,'Hulp (CAO''s)'!$D$3:$D$6,0)) &amp; "'!B1:B1000")) &gt; MATCH(
                S26,
                INDIRECT("'" &amp; INDEX('Hulp (CAO''s)'!$C$3:$C$6,
                    MATCH(TRUE,'Hulp (CAO''s)'!$D$3:$D$6,0)) &amp; "'!A:A"),
                0
            )) *
            IF(
                T26="",
                1,
                (ROW(INDIRECT("'" &amp; INDEX('Hulp (CAO''s)'!$C$3:$C$6,
                    MATCH(TRUE,'Hulp (CAO''s)'!$D$3:$D$6,0)) &amp; "'!B1:B1000")) &lt; MATCH(
                    T26,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TEXT(S28,"0")) *
                (ROW(INDIRECT("'" &amp; INDEX('Hulp (CAO''s)'!$C$3:$C$6,
                    MATCH(TRUE,'Hulp (CAO''s)'!$D$3:$D$6,0)) &amp; "'!B1:B1000")) &gt; MATCH(
                    S26,
                    INDIRECT("'" &amp; INDEX('Hulp (CAO''s)'!$C$3:$C$6,
                        MATCH(TRUE,'Hulp (CAO''s)'!$D$3:$D$6,0)) &amp; "'!A:A"),
                    0
                )) *
                IF(
                    T26="",
                    1,
                    (ROW(INDIRECT("'" &amp; INDEX('Hulp (CAO''s)'!$C$3:$C$6,
                        MATCH(TRUE,'Hulp (CAO''s)'!$D$3:$D$6,0)) &amp; "'!B1:B1000")) &lt; MATCH(
                        T26,
                        INDIRECT("'" &amp; INDEX('Hulp (CAO''s)'!$C$3:$C$6,
                            MATCH(TRUE,'Hulp (CAO''s)'!$D$3:$D$6,0)) &amp; "'!A:A"),
                        0
                    ))
                ),
                ROW(INDIRECT("'" &amp; INDEX('Hulp (CAO''s)'!$C$3:$C$6,
                    MATCH(TRUE,'Hulp (CAO''s)'!$D$3:$D$6,0)) &amp; "'!B1:B1000"))
            )
        ),0)
    )
))</f>
        <v/>
      </c>
      <c r="T29" s="145" t="str">
        <f t="array" aca="1" ref="T29" ca="1">IF($D27="Gebruik % van maximum trede",
IF(
    OR(T26="",T27=""),
    "",
    MAX(
    INDIRECT("'" &amp; INDEX('Hulp (CAO''s)'!$C$3:$C$6,
        MATCH(TRUE,'Hulp (CAO''s)'!$D$3:$D$6,0)) &amp; "'!" &amp;
        INDEX('Hulp (CAO''s)'!$H$3:$H$6,
            MATCH(TRUE,'Hulp (CAO''s)'!$D$3:$D$6,0))
        &amp;
        MATCH(T26, INDIRECT("'" &amp; INDEX('Hulp (CAO''s)'!$C$3:$C$6,
            MATCH(TRUE,'Hulp (CAO''s)'!$D$3:$D$6,0)) &amp; "'!A:A"),0)
        &amp; ":H" &amp;
        IF(U26&lt;&gt;"",
            MATCH(U26, INDIRECT("'" &amp; INDEX('Hulp (CAO''s)'!$C$3:$C$6,
                MATCH(TRUE,'Hulp (CAO''s)'!$D$3:$D$6,0)) &amp; "'!A:A"),0)-1,
            1000
        )
    )
) * T27
),
IF(
    IFERROR(MIN(
        IF(
            (TRIM(INDIRECT("'" &amp; INDEX('Hulp (CAO''s)'!$C$3:$C$6,
                MATCH(TRUE,'Hulp (CAO''s)'!$D$3:$D$6,0)) &amp; "'!B1:B1000")) = TEXT(T28,"0")) *
            (ROW(INDIRECT("'" &amp; INDEX('Hulp (CAO''s)'!$C$3:$C$6,
                MATCH(TRUE,'Hulp (CAO''s)'!$D$3:$D$6,0)) &amp; "'!B1:B1000")) &gt; MATCH(
                T26,
                INDIRECT("'" &amp; INDEX('Hulp (CAO''s)'!$C$3:$C$6,
                    MATCH(TRUE,'Hulp (CAO''s)'!$D$3:$D$6,0)) &amp; "'!A:A"),
                0
            )) *
            IF(
                U26="",
                1,
                (ROW(INDIRECT("'" &amp; INDEX('Hulp (CAO''s)'!$C$3:$C$6,
                    MATCH(TRUE,'Hulp (CAO''s)'!$D$3:$D$6,0)) &amp; "'!B1:B1000")) &lt; MATCH(
                    U26,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TEXT(T28,"0")) *
                (ROW(INDIRECT("'" &amp; INDEX('Hulp (CAO''s)'!$C$3:$C$6,
                    MATCH(TRUE,'Hulp (CAO''s)'!$D$3:$D$6,0)) &amp; "'!B1:B1000")) &gt; MATCH(
                    T26,
                    INDIRECT("'" &amp; INDEX('Hulp (CAO''s)'!$C$3:$C$6,
                        MATCH(TRUE,'Hulp (CAO''s)'!$D$3:$D$6,0)) &amp; "'!A:A"),
                    0
                )) *
                IF(
                    U26="",
                    1,
                    (ROW(INDIRECT("'" &amp; INDEX('Hulp (CAO''s)'!$C$3:$C$6,
                        MATCH(TRUE,'Hulp (CAO''s)'!$D$3:$D$6,0)) &amp; "'!B1:B1000")) &lt; MATCH(
                        U26,
                        INDIRECT("'" &amp; INDEX('Hulp (CAO''s)'!$C$3:$C$6,
                            MATCH(TRUE,'Hulp (CAO''s)'!$D$3:$D$6,0)) &amp; "'!A:A"),
                        0
                    ))
                ),
                ROW(INDIRECT("'" &amp; INDEX('Hulp (CAO''s)'!$C$3:$C$6,
                    MATCH(TRUE,'Hulp (CAO''s)'!$D$3:$D$6,0)) &amp; "'!B1:B1000"))
            )
        ),0)
    )
))</f>
        <v/>
      </c>
      <c r="U29" s="145" t="str">
        <f t="array" aca="1" ref="U29" ca="1">IF($D27="Gebruik % van maximum trede",
IF(
    OR(U26="",U27=""),
    "",
    MAX(
    INDIRECT("'" &amp; INDEX('Hulp (CAO''s)'!$C$3:$C$6,
        MATCH(TRUE,'Hulp (CAO''s)'!$D$3:$D$6,0)) &amp; "'!" &amp;
        INDEX('Hulp (CAO''s)'!$H$3:$H$6,
            MATCH(TRUE,'Hulp (CAO''s)'!$D$3:$D$6,0))
        &amp;
        MATCH(U26, INDIRECT("'" &amp; INDEX('Hulp (CAO''s)'!$C$3:$C$6,
            MATCH(TRUE,'Hulp (CAO''s)'!$D$3:$D$6,0)) &amp; "'!A:A"),0)
        &amp; ":H" &amp;
        IF(V26&lt;&gt;"",
            MATCH(V26, INDIRECT("'" &amp; INDEX('Hulp (CAO''s)'!$C$3:$C$6,
                MATCH(TRUE,'Hulp (CAO''s)'!$D$3:$D$6,0)) &amp; "'!A:A"),0)-1,
            1000
        )
    )
) * U27
),
IF(
    IFERROR(MIN(
        IF(
            (TRIM(INDIRECT("'" &amp; INDEX('Hulp (CAO''s)'!$C$3:$C$6,
                MATCH(TRUE,'Hulp (CAO''s)'!$D$3:$D$6,0)) &amp; "'!B1:B1000")) = TEXT(U28,"0")) *
            (ROW(INDIRECT("'" &amp; INDEX('Hulp (CAO''s)'!$C$3:$C$6,
                MATCH(TRUE,'Hulp (CAO''s)'!$D$3:$D$6,0)) &amp; "'!B1:B1000")) &gt; MATCH(
                U26,
                INDIRECT("'" &amp; INDEX('Hulp (CAO''s)'!$C$3:$C$6,
                    MATCH(TRUE,'Hulp (CAO''s)'!$D$3:$D$6,0)) &amp; "'!A:A"),
                0
            )) *
            IF(
                V26="",
                1,
                (ROW(INDIRECT("'" &amp; INDEX('Hulp (CAO''s)'!$C$3:$C$6,
                    MATCH(TRUE,'Hulp (CAO''s)'!$D$3:$D$6,0)) &amp; "'!B1:B1000")) &lt; MATCH(
                    V26,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TEXT(U28,"0")) *
                (ROW(INDIRECT("'" &amp; INDEX('Hulp (CAO''s)'!$C$3:$C$6,
                    MATCH(TRUE,'Hulp (CAO''s)'!$D$3:$D$6,0)) &amp; "'!B1:B1000")) &gt; MATCH(
                    U26,
                    INDIRECT("'" &amp; INDEX('Hulp (CAO''s)'!$C$3:$C$6,
                        MATCH(TRUE,'Hulp (CAO''s)'!$D$3:$D$6,0)) &amp; "'!A:A"),
                    0
                )) *
                IF(
                    V26="",
                    1,
                    (ROW(INDIRECT("'" &amp; INDEX('Hulp (CAO''s)'!$C$3:$C$6,
                        MATCH(TRUE,'Hulp (CAO''s)'!$D$3:$D$6,0)) &amp; "'!B1:B1000")) &lt; MATCH(
                        V26,
                        INDIRECT("'" &amp; INDEX('Hulp (CAO''s)'!$C$3:$C$6,
                            MATCH(TRUE,'Hulp (CAO''s)'!$D$3:$D$6,0)) &amp; "'!A:A"),
                        0
                    ))
                ),
                ROW(INDIRECT("'" &amp; INDEX('Hulp (CAO''s)'!$C$3:$C$6,
                    MATCH(TRUE,'Hulp (CAO''s)'!$D$3:$D$6,0)) &amp; "'!B1:B1000"))
            )
        ),0)
    )
))</f>
        <v/>
      </c>
      <c r="V29" s="165" t="str">
        <f t="array" aca="1" ref="V29" ca="1">IF(SUM(F30:U30)=0,"",
IF(
   SUM(F29:U29)=0,
   "",
   (
      SUMPRODUCT(
         IF(F29:U29="",0,F29:U29),
         IF(F30:U30="",0,F30:U30) * SUM(F30:U30)
      )
   ) *
   IF(
      'Hulp (CAO''s)'!#REF!,
      IF(
         OR(
            INDEX(#REF!, ROW(#REF!) + INT((ROW()-ROW($V$8))/6)*8)="",
            ISNA(INDEX(#REF!, ROW(#REF!) + INT((ROW()-ROW($V$8))/6)*8))
         ),
         1878/12,
         INDEX(#REF!, ROW(#REF!) + INT((ROW()-ROW($V$8))/6)*8)/12
      ),
      1
   )
))</f>
        <v/>
      </c>
      <c r="W29" s="171" t="str">
        <f ca="1">IF(B26="","",
    IF(W28="","",
        IF(INDIRECT("'Hulp (control forms)'!C" &amp; (13 + INT((ROW()-ROW($B$5))/7))),
            W28,
            V29
        )
    )
)</f>
        <v/>
      </c>
      <c r="X29" s="170" t="str">
        <f ca="1">IF(AND($B26&lt;&gt;"", $W29=""),"!","")</f>
        <v/>
      </c>
    </row>
    <row r="30" spans="2:24" ht="16.05" customHeight="1" thickBot="1" x14ac:dyDescent="0.55000000000000004">
      <c r="C30" s="151"/>
      <c r="D30" s="141" t="s">
        <v>60</v>
      </c>
      <c r="E30" s="24" t="s">
        <v>59</v>
      </c>
      <c r="F30" s="146">
        <v>0.05</v>
      </c>
      <c r="G30" s="146">
        <v>0.1</v>
      </c>
      <c r="H30" s="146">
        <v>0.1</v>
      </c>
      <c r="I30" s="146">
        <v>0.15</v>
      </c>
      <c r="J30" s="146">
        <v>0.2</v>
      </c>
      <c r="K30" s="146">
        <v>0.15</v>
      </c>
      <c r="L30" s="146">
        <v>0.1</v>
      </c>
      <c r="M30" s="146">
        <v>0.05</v>
      </c>
      <c r="N30" s="146">
        <v>0.05</v>
      </c>
      <c r="O30" s="146">
        <v>0.05</v>
      </c>
      <c r="P30" s="146">
        <v>0</v>
      </c>
      <c r="Q30" s="146"/>
      <c r="R30" s="146"/>
      <c r="S30" s="146"/>
      <c r="T30" s="146"/>
      <c r="U30" s="147"/>
      <c r="V30" s="142" t="str">
        <f ca="1">IF($B26="","",IF($D30="Aandeel in %",
   "Totaal: "&amp;SUM(F30:U30)*100&amp;"%",
   "Totaal: "&amp;SUM(F30:U30)&amp;" uur"
))</f>
        <v/>
      </c>
      <c r="W30" s="168"/>
      <c r="X30" s="153"/>
    </row>
    <row r="31" spans="2:24" ht="16.05" customHeight="1" thickBot="1" x14ac:dyDescent="0.55000000000000004">
      <c r="C31" s="154"/>
      <c r="D31" s="140"/>
      <c r="E31" s="140"/>
      <c r="F31" s="140"/>
      <c r="G31" s="140"/>
      <c r="H31" s="140"/>
      <c r="I31" s="140"/>
      <c r="J31" s="140"/>
      <c r="K31" s="140"/>
      <c r="L31" s="140"/>
      <c r="M31" s="140"/>
      <c r="N31" s="140"/>
      <c r="O31" s="140"/>
      <c r="P31" s="140"/>
      <c r="Q31" s="140"/>
      <c r="R31" s="140"/>
      <c r="S31" s="140"/>
      <c r="T31" s="155"/>
      <c r="U31" s="155"/>
      <c r="V31" s="169"/>
      <c r="W31" s="169"/>
      <c r="X31" s="156"/>
    </row>
    <row r="32" spans="2:24" ht="16.05" customHeight="1" thickBot="1" x14ac:dyDescent="0.55000000000000004">
      <c r="B32" s="159" t="str">
        <f ca="1">IF(B33="","",
IF(
   OR(
      INDIRECT("'1a. Input organisatieniveau'!AC" &amp; (7 + INT((ROW()-4)/7)))="",
      INDIRECT("'1a. Input organisatieniveau'!AC" &amp; (7 + INT((ROW()-4)/7)))=0
   ),
   "",
   INDIRECT("'1a. Input organisatieniveau'!AC" &amp; (7 + INT((ROW()-4)/7)))
))</f>
        <v/>
      </c>
      <c r="C32" s="148"/>
      <c r="D32" s="139"/>
      <c r="E32" s="139"/>
      <c r="F32" s="149" t="str">
        <f t="shared" ref="F32:U32" ca="1" si="4">IF($D34="Gebruik % van maximum trede", IF(AND(AND(F33&lt;&gt;"",F34&lt;&gt;""),F36=""),"!",""), IF(AND(AND(F33&lt;&gt;"",F35&lt;&gt;""),F36=""),"!",""))</f>
        <v/>
      </c>
      <c r="G32" s="149" t="str">
        <f t="shared" ca="1" si="4"/>
        <v/>
      </c>
      <c r="H32" s="149" t="str">
        <f t="shared" ca="1" si="4"/>
        <v/>
      </c>
      <c r="I32" s="149" t="str">
        <f t="shared" ca="1" si="4"/>
        <v/>
      </c>
      <c r="J32" s="149" t="str">
        <f t="shared" ca="1" si="4"/>
        <v/>
      </c>
      <c r="K32" s="149" t="str">
        <f t="shared" ca="1" si="4"/>
        <v/>
      </c>
      <c r="L32" s="149" t="str">
        <f t="shared" ca="1" si="4"/>
        <v/>
      </c>
      <c r="M32" s="149" t="str">
        <f t="shared" ca="1" si="4"/>
        <v/>
      </c>
      <c r="N32" s="149" t="str">
        <f t="shared" ca="1" si="4"/>
        <v/>
      </c>
      <c r="O32" s="149" t="str">
        <f t="shared" ca="1" si="4"/>
        <v/>
      </c>
      <c r="P32" s="149" t="str">
        <f t="shared" ca="1" si="4"/>
        <v/>
      </c>
      <c r="Q32" s="149" t="str">
        <f t="shared" ca="1" si="4"/>
        <v/>
      </c>
      <c r="R32" s="149" t="str">
        <f t="shared" ca="1" si="4"/>
        <v/>
      </c>
      <c r="S32" s="149" t="str">
        <f t="shared" ca="1" si="4"/>
        <v/>
      </c>
      <c r="T32" s="149" t="str">
        <f t="shared" ca="1" si="4"/>
        <v/>
      </c>
      <c r="U32" s="149" t="str">
        <f t="shared" ca="1" si="4"/>
        <v/>
      </c>
      <c r="V32" s="167"/>
      <c r="W32" s="167"/>
      <c r="X32" s="150"/>
    </row>
    <row r="33" spans="2:24" ht="16.05" customHeight="1" thickBot="1" x14ac:dyDescent="0.55000000000000004">
      <c r="B33" s="158" t="str">
        <f ca="1">IF(
   OR(
      INDIRECT("'1a. Input organisatieniveau'!AA" &amp; (7 + INT((ROW()-4)/7)))="",
      INDIRECT("'1a. Input organisatieniveau'!AA" &amp; (7 + INT((ROW()-4)/7)))=0
   ),
   "",
   INDIRECT("'1a. Input organisatieniveau'!AA" &amp; (7 + INT((ROW()-4)/7)))
)</f>
        <v/>
      </c>
      <c r="C33" s="151"/>
      <c r="D33" s="152"/>
      <c r="E33" s="22" t="s">
        <v>28</v>
      </c>
      <c r="F33" s="143" t="str">
        <f t="array" aca="1" ref="F33" ca="1">IF($B33="", "", INDEX('Hulp (CAO''s)'!J$3:J$6, MATCH(TRUE, 'Hulp (CAO''s)'!$D$3:$D$6, 0)))</f>
        <v/>
      </c>
      <c r="G33" s="143" t="str">
        <f t="array" aca="1" ref="G33" ca="1">IF($B33="", "", INDEX('Hulp (CAO''s)'!K$3:K$6, MATCH(TRUE, 'Hulp (CAO''s)'!$D$3:$D$6, 0)))</f>
        <v/>
      </c>
      <c r="H33" s="143" t="str">
        <f t="array" aca="1" ref="H33" ca="1">IF($B33="", "", INDEX('Hulp (CAO''s)'!L$3:L$6, MATCH(TRUE, 'Hulp (CAO''s)'!$D$3:$D$6, 0)))</f>
        <v/>
      </c>
      <c r="I33" s="143" t="str">
        <f t="array" aca="1" ref="I33" ca="1">IF($B33="", "", INDEX('Hulp (CAO''s)'!M$3:M$6, MATCH(TRUE, 'Hulp (CAO''s)'!$D$3:$D$6, 0)))</f>
        <v/>
      </c>
      <c r="J33" s="143" t="str">
        <f t="array" aca="1" ref="J33" ca="1">IF($B33="", "", INDEX('Hulp (CAO''s)'!N$3:N$6, MATCH(TRUE, 'Hulp (CAO''s)'!$D$3:$D$6, 0)))</f>
        <v/>
      </c>
      <c r="K33" s="143" t="str">
        <f t="array" aca="1" ref="K33" ca="1">IF($B33="", "", INDEX('Hulp (CAO''s)'!O$3:O$6, MATCH(TRUE, 'Hulp (CAO''s)'!$D$3:$D$6, 0)))</f>
        <v/>
      </c>
      <c r="L33" s="143" t="str">
        <f t="array" aca="1" ref="L33" ca="1">IF($B33="", "", INDEX('Hulp (CAO''s)'!P$3:P$6, MATCH(TRUE, 'Hulp (CAO''s)'!$D$3:$D$6, 0)))</f>
        <v/>
      </c>
      <c r="M33" s="143" t="str">
        <f t="array" aca="1" ref="M33" ca="1">IF($B33="", "", INDEX('Hulp (CAO''s)'!Q$3:Q$6, MATCH(TRUE, 'Hulp (CAO''s)'!$D$3:$D$6, 0)))</f>
        <v/>
      </c>
      <c r="N33" s="143" t="str">
        <f t="array" aca="1" ref="N33" ca="1">IF($B33="", "", INDEX('Hulp (CAO''s)'!R$3:R$6, MATCH(TRUE, 'Hulp (CAO''s)'!$D$3:$D$6, 0)))</f>
        <v/>
      </c>
      <c r="O33" s="143" t="str">
        <f t="array" aca="1" ref="O33" ca="1">IF($B33="", "", INDEX('Hulp (CAO''s)'!S$3:S$6, MATCH(TRUE, 'Hulp (CAO''s)'!$D$3:$D$6, 0)))</f>
        <v/>
      </c>
      <c r="P33" s="143" t="str">
        <f t="array" aca="1" ref="P33" ca="1">IF($B33="", "", INDEX('Hulp (CAO''s)'!T$3:T$6, MATCH(TRUE, 'Hulp (CAO''s)'!$D$3:$D$6, 0)))</f>
        <v/>
      </c>
      <c r="Q33" s="143" t="str">
        <f t="array" aca="1" ref="Q33" ca="1">IF($B33="", "", INDEX('Hulp (CAO''s)'!U$3:U$6, MATCH(TRUE, 'Hulp (CAO''s)'!$D$3:$D$6, 0)))</f>
        <v/>
      </c>
      <c r="R33" s="143" t="str">
        <f t="array" aca="1" ref="R33" ca="1">IF($B33="", "", INDEX('Hulp (CAO''s)'!V$3:V$6, MATCH(TRUE, 'Hulp (CAO''s)'!$D$3:$D$6, 0)))</f>
        <v/>
      </c>
      <c r="S33" s="143" t="str">
        <f t="array" aca="1" ref="S33" ca="1">IF($B33="", "", INDEX('Hulp (CAO''s)'!W$3:W$6, MATCH(TRUE, 'Hulp (CAO''s)'!$D$3:$D$6, 0)))</f>
        <v/>
      </c>
      <c r="T33" s="143" t="str">
        <f t="array" aca="1" ref="T33" ca="1">IF($B33="", "", INDEX('Hulp (CAO''s)'!X$3:X$6, MATCH(TRUE, 'Hulp (CAO''s)'!$D$3:$D$6, 0)))</f>
        <v/>
      </c>
      <c r="U33" s="144" t="str">
        <f t="array" aca="1" ref="U33" ca="1">IF($B33="", "", INDEX('Hulp (CAO''s)'!Y$3:Y$6, MATCH(TRUE, 'Hulp (CAO''s)'!$D$3:$D$6, 0)))</f>
        <v/>
      </c>
      <c r="W33" s="788" t="s">
        <v>747</v>
      </c>
      <c r="X33" s="153"/>
    </row>
    <row r="34" spans="2:24" ht="16.05" customHeight="1" thickBot="1" x14ac:dyDescent="0.55000000000000004">
      <c r="C34" s="151"/>
      <c r="D34" s="786" t="s">
        <v>771</v>
      </c>
      <c r="E34" s="162" t="s">
        <v>770</v>
      </c>
      <c r="F34" s="163">
        <v>0.96</v>
      </c>
      <c r="G34" s="163">
        <v>0.9</v>
      </c>
      <c r="H34" s="163">
        <v>0.9</v>
      </c>
      <c r="I34" s="163">
        <v>0.7</v>
      </c>
      <c r="J34" s="163">
        <v>0.8</v>
      </c>
      <c r="K34" s="163">
        <v>0.9</v>
      </c>
      <c r="L34" s="163">
        <v>0.9</v>
      </c>
      <c r="M34" s="163">
        <v>0.9</v>
      </c>
      <c r="N34" s="163">
        <v>0.9</v>
      </c>
      <c r="O34" s="163">
        <v>0.8</v>
      </c>
      <c r="P34" s="163">
        <v>0.95</v>
      </c>
      <c r="Q34" s="163">
        <v>0.93</v>
      </c>
      <c r="R34" s="163">
        <v>0.93</v>
      </c>
      <c r="S34" s="163">
        <v>0.99</v>
      </c>
      <c r="T34" s="163">
        <v>0.99</v>
      </c>
      <c r="U34" s="164">
        <v>0.95</v>
      </c>
      <c r="W34" s="789"/>
      <c r="X34" s="153"/>
    </row>
    <row r="35" spans="2:24" ht="16.05" customHeight="1" thickBot="1" x14ac:dyDescent="0.55000000000000004">
      <c r="C35" s="151"/>
      <c r="D35" s="787"/>
      <c r="E35" s="31" t="s">
        <v>29</v>
      </c>
      <c r="F35" s="160">
        <v>8</v>
      </c>
      <c r="G35" s="160">
        <v>10</v>
      </c>
      <c r="H35" s="160">
        <v>10</v>
      </c>
      <c r="I35" s="160">
        <v>9</v>
      </c>
      <c r="J35" s="160">
        <v>10</v>
      </c>
      <c r="K35" s="160">
        <v>11</v>
      </c>
      <c r="L35" s="160">
        <v>10</v>
      </c>
      <c r="M35" s="160">
        <v>10</v>
      </c>
      <c r="N35" s="160">
        <v>9</v>
      </c>
      <c r="O35" s="160">
        <v>10</v>
      </c>
      <c r="P35" s="160">
        <v>11</v>
      </c>
      <c r="Q35" s="160">
        <v>12</v>
      </c>
      <c r="R35" s="160">
        <v>13</v>
      </c>
      <c r="S35" s="160">
        <v>12</v>
      </c>
      <c r="T35" s="160">
        <v>10</v>
      </c>
      <c r="U35" s="161">
        <v>5</v>
      </c>
      <c r="W35" s="166">
        <v>4200</v>
      </c>
      <c r="X35" s="153"/>
    </row>
    <row r="36" spans="2:24" ht="16.05" customHeight="1" thickBot="1" x14ac:dyDescent="0.55000000000000004">
      <c r="C36" s="151"/>
      <c r="E36" s="40" t="str">
        <f>IFERROR(
   INDEX('Hulp (CAO''s)'!$I$3:$I$6, MATCH(TRUE, 'Hulp (CAO''s)'!$D$3:$D$6, 0)),
"")</f>
        <v>Bruto maandsalaris</v>
      </c>
      <c r="F36" s="145" t="str">
        <f t="array" aca="1" ref="F36" ca="1">IF($D34="Gebruik % van maximum trede",
IF(
    OR(F33="",F34=""),
    "",
    MAX(
    INDIRECT("'" &amp; INDEX('Hulp (CAO''s)'!$C$3:$C$6,
        MATCH(TRUE,'Hulp (CAO''s)'!$D$3:$D$6,0)) &amp; "'!" &amp;
        INDEX('Hulp (CAO''s)'!$H$3:$H$6,
            MATCH(TRUE,'Hulp (CAO''s)'!$D$3:$D$6,0))
        &amp;
        MATCH(F33, INDIRECT("'" &amp; INDEX('Hulp (CAO''s)'!$C$3:$C$6,
            MATCH(TRUE,'Hulp (CAO''s)'!$D$3:$D$6,0)) &amp; "'!A:A"),0)
        &amp; ":H" &amp;
        IF(G33&lt;&gt;"",
            MATCH(G33, INDIRECT("'" &amp; INDEX('Hulp (CAO''s)'!$C$3:$C$6,
                MATCH(TRUE,'Hulp (CAO''s)'!$D$3:$D$6,0)) &amp; "'!A:A"),0)-1,
            1000
        )
    )
) * F34
),
IF(
    IFERROR(MIN(
        IF(
            (TRIM(INDIRECT("'" &amp; INDEX('Hulp (CAO''s)'!$C$3:$C$6,
                MATCH(TRUE,'Hulp (CAO''s)'!$D$3:$D$6,0)) &amp; "'!B1:B1000")) = TEXT(F35,"0")) *
            (ROW(INDIRECT("'" &amp; INDEX('Hulp (CAO''s)'!$C$3:$C$6,
                MATCH(TRUE,'Hulp (CAO''s)'!$D$3:$D$6,0)) &amp; "'!B1:B1000")) &gt; MATCH(
                F33,
                INDIRECT("'" &amp; INDEX('Hulp (CAO''s)'!$C$3:$C$6,
                    MATCH(TRUE,'Hulp (CAO''s)'!$D$3:$D$6,0)) &amp; "'!A:A"),
                0
            )) *
            IF(
                G33="",
                1,
                (ROW(INDIRECT("'" &amp; INDEX('Hulp (CAO''s)'!$C$3:$C$6,
                    MATCH(TRUE,'Hulp (CAO''s)'!$D$3:$D$6,0)) &amp; "'!B1:B1000")) &lt; MATCH(
                    G33,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TEXT(F35,"0")) *
                (ROW(INDIRECT("'" &amp; INDEX('Hulp (CAO''s)'!$C$3:$C$6,
                    MATCH(TRUE,'Hulp (CAO''s)'!$D$3:$D$6,0)) &amp; "'!B1:B1000")) &gt; MATCH(
                    F33,
                    INDIRECT("'" &amp; INDEX('Hulp (CAO''s)'!$C$3:$C$6,
                        MATCH(TRUE,'Hulp (CAO''s)'!$D$3:$D$6,0)) &amp; "'!A:A"),
                    0
                )) *
                IF(
                    G33="",
                    1,
                    (ROW(INDIRECT("'" &amp; INDEX('Hulp (CAO''s)'!$C$3:$C$6,
                        MATCH(TRUE,'Hulp (CAO''s)'!$D$3:$D$6,0)) &amp; "'!B1:B1000")) &lt; MATCH(
                        G33,
                        INDIRECT("'" &amp; INDEX('Hulp (CAO''s)'!$C$3:$C$6,
                            MATCH(TRUE,'Hulp (CAO''s)'!$D$3:$D$6,0)) &amp; "'!A:A"),
                        0
                    ))
                ),
                ROW(INDIRECT("'" &amp; INDEX('Hulp (CAO''s)'!$C$3:$C$6,
                    MATCH(TRUE,'Hulp (CAO''s)'!$D$3:$D$6,0)) &amp; "'!B1:B1000"))
            )
        ),0)
    )
))</f>
        <v/>
      </c>
      <c r="G36" s="145" t="str">
        <f t="array" aca="1" ref="G36" ca="1">IF($D34="Gebruik % van maximum trede",
IF(
    OR(G33="",G34=""),
    "",
    MAX(
    INDIRECT("'" &amp; INDEX('Hulp (CAO''s)'!$C$3:$C$6,
        MATCH(TRUE,'Hulp (CAO''s)'!$D$3:$D$6,0)) &amp; "'!" &amp;
        INDEX('Hulp (CAO''s)'!$H$3:$H$6,
            MATCH(TRUE,'Hulp (CAO''s)'!$D$3:$D$6,0))
        &amp;
        MATCH(G33, INDIRECT("'" &amp; INDEX('Hulp (CAO''s)'!$C$3:$C$6,
            MATCH(TRUE,'Hulp (CAO''s)'!$D$3:$D$6,0)) &amp; "'!A:A"),0)
        &amp; ":H" &amp;
        IF(H33&lt;&gt;"",
            MATCH(H33, INDIRECT("'" &amp; INDEX('Hulp (CAO''s)'!$C$3:$C$6,
                MATCH(TRUE,'Hulp (CAO''s)'!$D$3:$D$6,0)) &amp; "'!A:A"),0)-1,
            1000
        )
    )
) * G34
),
IF(
    IFERROR(MIN(
        IF(
            (TRIM(INDIRECT("'" &amp; INDEX('Hulp (CAO''s)'!$C$3:$C$6,
                MATCH(TRUE,'Hulp (CAO''s)'!$D$3:$D$6,0)) &amp; "'!B1:B1000")) = TEXT(G35,"0")) *
            (ROW(INDIRECT("'" &amp; INDEX('Hulp (CAO''s)'!$C$3:$C$6,
                MATCH(TRUE,'Hulp (CAO''s)'!$D$3:$D$6,0)) &amp; "'!B1:B1000")) &gt; MATCH(
                G33,
                INDIRECT("'" &amp; INDEX('Hulp (CAO''s)'!$C$3:$C$6,
                    MATCH(TRUE,'Hulp (CAO''s)'!$D$3:$D$6,0)) &amp; "'!A:A"),
                0
            )) *
            IF(
                H33="",
                1,
                (ROW(INDIRECT("'" &amp; INDEX('Hulp (CAO''s)'!$C$3:$C$6,
                    MATCH(TRUE,'Hulp (CAO''s)'!$D$3:$D$6,0)) &amp; "'!B1:B1000")) &lt; MATCH(
                    H33,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TEXT(G35,"0")) *
                (ROW(INDIRECT("'" &amp; INDEX('Hulp (CAO''s)'!$C$3:$C$6,
                    MATCH(TRUE,'Hulp (CAO''s)'!$D$3:$D$6,0)) &amp; "'!B1:B1000")) &gt; MATCH(
                    G33,
                    INDIRECT("'" &amp; INDEX('Hulp (CAO''s)'!$C$3:$C$6,
                        MATCH(TRUE,'Hulp (CAO''s)'!$D$3:$D$6,0)) &amp; "'!A:A"),
                    0
                )) *
                IF(
                    H33="",
                    1,
                    (ROW(INDIRECT("'" &amp; INDEX('Hulp (CAO''s)'!$C$3:$C$6,
                        MATCH(TRUE,'Hulp (CAO''s)'!$D$3:$D$6,0)) &amp; "'!B1:B1000")) &lt; MATCH(
                        H33,
                        INDIRECT("'" &amp; INDEX('Hulp (CAO''s)'!$C$3:$C$6,
                            MATCH(TRUE,'Hulp (CAO''s)'!$D$3:$D$6,0)) &amp; "'!A:A"),
                        0
                    ))
                ),
                ROW(INDIRECT("'" &amp; INDEX('Hulp (CAO''s)'!$C$3:$C$6,
                    MATCH(TRUE,'Hulp (CAO''s)'!$D$3:$D$6,0)) &amp; "'!B1:B1000"))
            )
        ),0)
    )
))</f>
        <v/>
      </c>
      <c r="H36" s="145" t="str">
        <f t="array" aca="1" ref="H36" ca="1">IF($D34="Gebruik % van maximum trede",
IF(
    OR(H33="",H34=""),
    "",
    MAX(
    INDIRECT("'" &amp; INDEX('Hulp (CAO''s)'!$C$3:$C$6,
        MATCH(TRUE,'Hulp (CAO''s)'!$D$3:$D$6,0)) &amp; "'!" &amp;
        INDEX('Hulp (CAO''s)'!$H$3:$H$6,
            MATCH(TRUE,'Hulp (CAO''s)'!$D$3:$D$6,0))
        &amp;
        MATCH(H33, INDIRECT("'" &amp; INDEX('Hulp (CAO''s)'!$C$3:$C$6,
            MATCH(TRUE,'Hulp (CAO''s)'!$D$3:$D$6,0)) &amp; "'!A:A"),0)
        &amp; ":H" &amp;
        IF(I33&lt;&gt;"",
            MATCH(I33, INDIRECT("'" &amp; INDEX('Hulp (CAO''s)'!$C$3:$C$6,
                MATCH(TRUE,'Hulp (CAO''s)'!$D$3:$D$6,0)) &amp; "'!A:A"),0)-1,
            1000
        )
    )
) * H34
),
IF(
    IFERROR(MIN(
        IF(
            (TRIM(INDIRECT("'" &amp; INDEX('Hulp (CAO''s)'!$C$3:$C$6,
                MATCH(TRUE,'Hulp (CAO''s)'!$D$3:$D$6,0)) &amp; "'!B1:B1000")) = TEXT(H35,"0")) *
            (ROW(INDIRECT("'" &amp; INDEX('Hulp (CAO''s)'!$C$3:$C$6,
                MATCH(TRUE,'Hulp (CAO''s)'!$D$3:$D$6,0)) &amp; "'!B1:B1000")) &gt; MATCH(
                H33,
                INDIRECT("'" &amp; INDEX('Hulp (CAO''s)'!$C$3:$C$6,
                    MATCH(TRUE,'Hulp (CAO''s)'!$D$3:$D$6,0)) &amp; "'!A:A"),
                0
            )) *
            IF(
                I33="",
                1,
                (ROW(INDIRECT("'" &amp; INDEX('Hulp (CAO''s)'!$C$3:$C$6,
                    MATCH(TRUE,'Hulp (CAO''s)'!$D$3:$D$6,0)) &amp; "'!B1:B1000")) &lt; MATCH(
                    I33,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TEXT(H35,"0")) *
                (ROW(INDIRECT("'" &amp; INDEX('Hulp (CAO''s)'!$C$3:$C$6,
                    MATCH(TRUE,'Hulp (CAO''s)'!$D$3:$D$6,0)) &amp; "'!B1:B1000")) &gt; MATCH(
                    H33,
                    INDIRECT("'" &amp; INDEX('Hulp (CAO''s)'!$C$3:$C$6,
                        MATCH(TRUE,'Hulp (CAO''s)'!$D$3:$D$6,0)) &amp; "'!A:A"),
                    0
                )) *
                IF(
                    I33="",
                    1,
                    (ROW(INDIRECT("'" &amp; INDEX('Hulp (CAO''s)'!$C$3:$C$6,
                        MATCH(TRUE,'Hulp (CAO''s)'!$D$3:$D$6,0)) &amp; "'!B1:B1000")) &lt; MATCH(
                        I33,
                        INDIRECT("'" &amp; INDEX('Hulp (CAO''s)'!$C$3:$C$6,
                            MATCH(TRUE,'Hulp (CAO''s)'!$D$3:$D$6,0)) &amp; "'!A:A"),
                        0
                    ))
                ),
                ROW(INDIRECT("'" &amp; INDEX('Hulp (CAO''s)'!$C$3:$C$6,
                    MATCH(TRUE,'Hulp (CAO''s)'!$D$3:$D$6,0)) &amp; "'!B1:B1000"))
            )
        ),0)
    )
))</f>
        <v/>
      </c>
      <c r="I36" s="145" t="str">
        <f t="array" aca="1" ref="I36" ca="1">IF($D34="Gebruik % van maximum trede",
IF(
    OR(I33="",I34=""),
    "",
    MAX(
    INDIRECT("'" &amp; INDEX('Hulp (CAO''s)'!$C$3:$C$6,
        MATCH(TRUE,'Hulp (CAO''s)'!$D$3:$D$6,0)) &amp; "'!" &amp;
        INDEX('Hulp (CAO''s)'!$H$3:$H$6,
            MATCH(TRUE,'Hulp (CAO''s)'!$D$3:$D$6,0))
        &amp;
        MATCH(I33, INDIRECT("'" &amp; INDEX('Hulp (CAO''s)'!$C$3:$C$6,
            MATCH(TRUE,'Hulp (CAO''s)'!$D$3:$D$6,0)) &amp; "'!A:A"),0)
        &amp; ":H" &amp;
        IF(J33&lt;&gt;"",
            MATCH(J33, INDIRECT("'" &amp; INDEX('Hulp (CAO''s)'!$C$3:$C$6,
                MATCH(TRUE,'Hulp (CAO''s)'!$D$3:$D$6,0)) &amp; "'!A:A"),0)-1,
            1000
        )
    )
) * I34
),
IF(
    IFERROR(MIN(
        IF(
            (TRIM(INDIRECT("'" &amp; INDEX('Hulp (CAO''s)'!$C$3:$C$6,
                MATCH(TRUE,'Hulp (CAO''s)'!$D$3:$D$6,0)) &amp; "'!B1:B1000")) = TEXT(I35,"0")) *
            (ROW(INDIRECT("'" &amp; INDEX('Hulp (CAO''s)'!$C$3:$C$6,
                MATCH(TRUE,'Hulp (CAO''s)'!$D$3:$D$6,0)) &amp; "'!B1:B1000")) &gt; MATCH(
                I33,
                INDIRECT("'" &amp; INDEX('Hulp (CAO''s)'!$C$3:$C$6,
                    MATCH(TRUE,'Hulp (CAO''s)'!$D$3:$D$6,0)) &amp; "'!A:A"),
                0
            )) *
            IF(
                J33="",
                1,
                (ROW(INDIRECT("'" &amp; INDEX('Hulp (CAO''s)'!$C$3:$C$6,
                    MATCH(TRUE,'Hulp (CAO''s)'!$D$3:$D$6,0)) &amp; "'!B1:B1000")) &lt; MATCH(
                    J33,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TEXT(I35,"0")) *
                (ROW(INDIRECT("'" &amp; INDEX('Hulp (CAO''s)'!$C$3:$C$6,
                    MATCH(TRUE,'Hulp (CAO''s)'!$D$3:$D$6,0)) &amp; "'!B1:B1000")) &gt; MATCH(
                    I33,
                    INDIRECT("'" &amp; INDEX('Hulp (CAO''s)'!$C$3:$C$6,
                        MATCH(TRUE,'Hulp (CAO''s)'!$D$3:$D$6,0)) &amp; "'!A:A"),
                    0
                )) *
                IF(
                    J33="",
                    1,
                    (ROW(INDIRECT("'" &amp; INDEX('Hulp (CAO''s)'!$C$3:$C$6,
                        MATCH(TRUE,'Hulp (CAO''s)'!$D$3:$D$6,0)) &amp; "'!B1:B1000")) &lt; MATCH(
                        J33,
                        INDIRECT("'" &amp; INDEX('Hulp (CAO''s)'!$C$3:$C$6,
                            MATCH(TRUE,'Hulp (CAO''s)'!$D$3:$D$6,0)) &amp; "'!A:A"),
                        0
                    ))
                ),
                ROW(INDIRECT("'" &amp; INDEX('Hulp (CAO''s)'!$C$3:$C$6,
                    MATCH(TRUE,'Hulp (CAO''s)'!$D$3:$D$6,0)) &amp; "'!B1:B1000"))
            )
        ),0)
    )
))</f>
        <v/>
      </c>
      <c r="J36" s="145" t="str">
        <f t="array" aca="1" ref="J36" ca="1">IF($D34="Gebruik % van maximum trede",
IF(
    OR(J33="",J34=""),
    "",
    MAX(
    INDIRECT("'" &amp; INDEX('Hulp (CAO''s)'!$C$3:$C$6,
        MATCH(TRUE,'Hulp (CAO''s)'!$D$3:$D$6,0)) &amp; "'!" &amp;
        INDEX('Hulp (CAO''s)'!$H$3:$H$6,
            MATCH(TRUE,'Hulp (CAO''s)'!$D$3:$D$6,0))
        &amp;
        MATCH(J33, INDIRECT("'" &amp; INDEX('Hulp (CAO''s)'!$C$3:$C$6,
            MATCH(TRUE,'Hulp (CAO''s)'!$D$3:$D$6,0)) &amp; "'!A:A"),0)
        &amp; ":H" &amp;
        IF(K33&lt;&gt;"",
            MATCH(K33, INDIRECT("'" &amp; INDEX('Hulp (CAO''s)'!$C$3:$C$6,
                MATCH(TRUE,'Hulp (CAO''s)'!$D$3:$D$6,0)) &amp; "'!A:A"),0)-1,
            1000
        )
    )
) * J34
),
IF(
    IFERROR(MIN(
        IF(
            (TRIM(INDIRECT("'" &amp; INDEX('Hulp (CAO''s)'!$C$3:$C$6,
                MATCH(TRUE,'Hulp (CAO''s)'!$D$3:$D$6,0)) &amp; "'!B1:B1000")) = TEXT(J35,"0")) *
            (ROW(INDIRECT("'" &amp; INDEX('Hulp (CAO''s)'!$C$3:$C$6,
                MATCH(TRUE,'Hulp (CAO''s)'!$D$3:$D$6,0)) &amp; "'!B1:B1000")) &gt; MATCH(
                J33,
                INDIRECT("'" &amp; INDEX('Hulp (CAO''s)'!$C$3:$C$6,
                    MATCH(TRUE,'Hulp (CAO''s)'!$D$3:$D$6,0)) &amp; "'!A:A"),
                0
            )) *
            IF(
                K33="",
                1,
                (ROW(INDIRECT("'" &amp; INDEX('Hulp (CAO''s)'!$C$3:$C$6,
                    MATCH(TRUE,'Hulp (CAO''s)'!$D$3:$D$6,0)) &amp; "'!B1:B1000")) &lt; MATCH(
                    K33,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TEXT(J35,"0")) *
                (ROW(INDIRECT("'" &amp; INDEX('Hulp (CAO''s)'!$C$3:$C$6,
                    MATCH(TRUE,'Hulp (CAO''s)'!$D$3:$D$6,0)) &amp; "'!B1:B1000")) &gt; MATCH(
                    J33,
                    INDIRECT("'" &amp; INDEX('Hulp (CAO''s)'!$C$3:$C$6,
                        MATCH(TRUE,'Hulp (CAO''s)'!$D$3:$D$6,0)) &amp; "'!A:A"),
                    0
                )) *
                IF(
                    K33="",
                    1,
                    (ROW(INDIRECT("'" &amp; INDEX('Hulp (CAO''s)'!$C$3:$C$6,
                        MATCH(TRUE,'Hulp (CAO''s)'!$D$3:$D$6,0)) &amp; "'!B1:B1000")) &lt; MATCH(
                        K33,
                        INDIRECT("'" &amp; INDEX('Hulp (CAO''s)'!$C$3:$C$6,
                            MATCH(TRUE,'Hulp (CAO''s)'!$D$3:$D$6,0)) &amp; "'!A:A"),
                        0
                    ))
                ),
                ROW(INDIRECT("'" &amp; INDEX('Hulp (CAO''s)'!$C$3:$C$6,
                    MATCH(TRUE,'Hulp (CAO''s)'!$D$3:$D$6,0)) &amp; "'!B1:B1000"))
            )
        ),0)
    )
))</f>
        <v/>
      </c>
      <c r="K36" s="145" t="str">
        <f t="array" aca="1" ref="K36" ca="1">IF($D34="Gebruik % van maximum trede",
IF(
    OR(K33="",K34=""),
    "",
    MAX(
    INDIRECT("'" &amp; INDEX('Hulp (CAO''s)'!$C$3:$C$6,
        MATCH(TRUE,'Hulp (CAO''s)'!$D$3:$D$6,0)) &amp; "'!" &amp;
        INDEX('Hulp (CAO''s)'!$H$3:$H$6,
            MATCH(TRUE,'Hulp (CAO''s)'!$D$3:$D$6,0))
        &amp;
        MATCH(K33, INDIRECT("'" &amp; INDEX('Hulp (CAO''s)'!$C$3:$C$6,
            MATCH(TRUE,'Hulp (CAO''s)'!$D$3:$D$6,0)) &amp; "'!A:A"),0)
        &amp; ":H" &amp;
        IF(L33&lt;&gt;"",
            MATCH(L33, INDIRECT("'" &amp; INDEX('Hulp (CAO''s)'!$C$3:$C$6,
                MATCH(TRUE,'Hulp (CAO''s)'!$D$3:$D$6,0)) &amp; "'!A:A"),0)-1,
            1000
        )
    )
) * K34
),
IF(
    IFERROR(MIN(
        IF(
            (TRIM(INDIRECT("'" &amp; INDEX('Hulp (CAO''s)'!$C$3:$C$6,
                MATCH(TRUE,'Hulp (CAO''s)'!$D$3:$D$6,0)) &amp; "'!B1:B1000")) = TEXT(K35,"0")) *
            (ROW(INDIRECT("'" &amp; INDEX('Hulp (CAO''s)'!$C$3:$C$6,
                MATCH(TRUE,'Hulp (CAO''s)'!$D$3:$D$6,0)) &amp; "'!B1:B1000")) &gt; MATCH(
                K33,
                INDIRECT("'" &amp; INDEX('Hulp (CAO''s)'!$C$3:$C$6,
                    MATCH(TRUE,'Hulp (CAO''s)'!$D$3:$D$6,0)) &amp; "'!A:A"),
                0
            )) *
            IF(
                L33="",
                1,
                (ROW(INDIRECT("'" &amp; INDEX('Hulp (CAO''s)'!$C$3:$C$6,
                    MATCH(TRUE,'Hulp (CAO''s)'!$D$3:$D$6,0)) &amp; "'!B1:B1000")) &lt; MATCH(
                    L33,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TEXT(K35,"0")) *
                (ROW(INDIRECT("'" &amp; INDEX('Hulp (CAO''s)'!$C$3:$C$6,
                    MATCH(TRUE,'Hulp (CAO''s)'!$D$3:$D$6,0)) &amp; "'!B1:B1000")) &gt; MATCH(
                    K33,
                    INDIRECT("'" &amp; INDEX('Hulp (CAO''s)'!$C$3:$C$6,
                        MATCH(TRUE,'Hulp (CAO''s)'!$D$3:$D$6,0)) &amp; "'!A:A"),
                    0
                )) *
                IF(
                    L33="",
                    1,
                    (ROW(INDIRECT("'" &amp; INDEX('Hulp (CAO''s)'!$C$3:$C$6,
                        MATCH(TRUE,'Hulp (CAO''s)'!$D$3:$D$6,0)) &amp; "'!B1:B1000")) &lt; MATCH(
                        L33,
                        INDIRECT("'" &amp; INDEX('Hulp (CAO''s)'!$C$3:$C$6,
                            MATCH(TRUE,'Hulp (CAO''s)'!$D$3:$D$6,0)) &amp; "'!A:A"),
                        0
                    ))
                ),
                ROW(INDIRECT("'" &amp; INDEX('Hulp (CAO''s)'!$C$3:$C$6,
                    MATCH(TRUE,'Hulp (CAO''s)'!$D$3:$D$6,0)) &amp; "'!B1:B1000"))
            )
        ),0)
    )
))</f>
        <v/>
      </c>
      <c r="L36" s="145" t="str">
        <f t="array" aca="1" ref="L36" ca="1">IF($D34="Gebruik % van maximum trede",
IF(
    OR(L33="",L34=""),
    "",
    MAX(
    INDIRECT("'" &amp; INDEX('Hulp (CAO''s)'!$C$3:$C$6,
        MATCH(TRUE,'Hulp (CAO''s)'!$D$3:$D$6,0)) &amp; "'!" &amp;
        INDEX('Hulp (CAO''s)'!$H$3:$H$6,
            MATCH(TRUE,'Hulp (CAO''s)'!$D$3:$D$6,0))
        &amp;
        MATCH(L33, INDIRECT("'" &amp; INDEX('Hulp (CAO''s)'!$C$3:$C$6,
            MATCH(TRUE,'Hulp (CAO''s)'!$D$3:$D$6,0)) &amp; "'!A:A"),0)
        &amp; ":H" &amp;
        IF(M33&lt;&gt;"",
            MATCH(M33, INDIRECT("'" &amp; INDEX('Hulp (CAO''s)'!$C$3:$C$6,
                MATCH(TRUE,'Hulp (CAO''s)'!$D$3:$D$6,0)) &amp; "'!A:A"),0)-1,
            1000
        )
    )
) * L34
),
IF(
    IFERROR(MIN(
        IF(
            (TRIM(INDIRECT("'" &amp; INDEX('Hulp (CAO''s)'!$C$3:$C$6,
                MATCH(TRUE,'Hulp (CAO''s)'!$D$3:$D$6,0)) &amp; "'!B1:B1000")) = TEXT(L35,"0")) *
            (ROW(INDIRECT("'" &amp; INDEX('Hulp (CAO''s)'!$C$3:$C$6,
                MATCH(TRUE,'Hulp (CAO''s)'!$D$3:$D$6,0)) &amp; "'!B1:B1000")) &gt; MATCH(
                L33,
                INDIRECT("'" &amp; INDEX('Hulp (CAO''s)'!$C$3:$C$6,
                    MATCH(TRUE,'Hulp (CAO''s)'!$D$3:$D$6,0)) &amp; "'!A:A"),
                0
            )) *
            IF(
                M33="",
                1,
                (ROW(INDIRECT("'" &amp; INDEX('Hulp (CAO''s)'!$C$3:$C$6,
                    MATCH(TRUE,'Hulp (CAO''s)'!$D$3:$D$6,0)) &amp; "'!B1:B1000")) &lt; MATCH(
                    M33,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TEXT(L35,"0")) *
                (ROW(INDIRECT("'" &amp; INDEX('Hulp (CAO''s)'!$C$3:$C$6,
                    MATCH(TRUE,'Hulp (CAO''s)'!$D$3:$D$6,0)) &amp; "'!B1:B1000")) &gt; MATCH(
                    L33,
                    INDIRECT("'" &amp; INDEX('Hulp (CAO''s)'!$C$3:$C$6,
                        MATCH(TRUE,'Hulp (CAO''s)'!$D$3:$D$6,0)) &amp; "'!A:A"),
                    0
                )) *
                IF(
                    M33="",
                    1,
                    (ROW(INDIRECT("'" &amp; INDEX('Hulp (CAO''s)'!$C$3:$C$6,
                        MATCH(TRUE,'Hulp (CAO''s)'!$D$3:$D$6,0)) &amp; "'!B1:B1000")) &lt; MATCH(
                        M33,
                        INDIRECT("'" &amp; INDEX('Hulp (CAO''s)'!$C$3:$C$6,
                            MATCH(TRUE,'Hulp (CAO''s)'!$D$3:$D$6,0)) &amp; "'!A:A"),
                        0
                    ))
                ),
                ROW(INDIRECT("'" &amp; INDEX('Hulp (CAO''s)'!$C$3:$C$6,
                    MATCH(TRUE,'Hulp (CAO''s)'!$D$3:$D$6,0)) &amp; "'!B1:B1000"))
            )
        ),0)
    )
))</f>
        <v/>
      </c>
      <c r="M36" s="145" t="str">
        <f t="array" aca="1" ref="M36" ca="1">IF($D34="Gebruik % van maximum trede",
IF(
    OR(M33="",M34=""),
    "",
    MAX(
    INDIRECT("'" &amp; INDEX('Hulp (CAO''s)'!$C$3:$C$6,
        MATCH(TRUE,'Hulp (CAO''s)'!$D$3:$D$6,0)) &amp; "'!" &amp;
        INDEX('Hulp (CAO''s)'!$H$3:$H$6,
            MATCH(TRUE,'Hulp (CAO''s)'!$D$3:$D$6,0))
        &amp;
        MATCH(M33, INDIRECT("'" &amp; INDEX('Hulp (CAO''s)'!$C$3:$C$6,
            MATCH(TRUE,'Hulp (CAO''s)'!$D$3:$D$6,0)) &amp; "'!A:A"),0)
        &amp; ":H" &amp;
        IF(N33&lt;&gt;"",
            MATCH(N33, INDIRECT("'" &amp; INDEX('Hulp (CAO''s)'!$C$3:$C$6,
                MATCH(TRUE,'Hulp (CAO''s)'!$D$3:$D$6,0)) &amp; "'!A:A"),0)-1,
            1000
        )
    )
) * M34
),
IF(
    IFERROR(MIN(
        IF(
            (TRIM(INDIRECT("'" &amp; INDEX('Hulp (CAO''s)'!$C$3:$C$6,
                MATCH(TRUE,'Hulp (CAO''s)'!$D$3:$D$6,0)) &amp; "'!B1:B1000")) = TEXT(M35,"0")) *
            (ROW(INDIRECT("'" &amp; INDEX('Hulp (CAO''s)'!$C$3:$C$6,
                MATCH(TRUE,'Hulp (CAO''s)'!$D$3:$D$6,0)) &amp; "'!B1:B1000")) &gt; MATCH(
                M33,
                INDIRECT("'" &amp; INDEX('Hulp (CAO''s)'!$C$3:$C$6,
                    MATCH(TRUE,'Hulp (CAO''s)'!$D$3:$D$6,0)) &amp; "'!A:A"),
                0
            )) *
            IF(
                N33="",
                1,
                (ROW(INDIRECT("'" &amp; INDEX('Hulp (CAO''s)'!$C$3:$C$6,
                    MATCH(TRUE,'Hulp (CAO''s)'!$D$3:$D$6,0)) &amp; "'!B1:B1000")) &lt; MATCH(
                    N33,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TEXT(M35,"0")) *
                (ROW(INDIRECT("'" &amp; INDEX('Hulp (CAO''s)'!$C$3:$C$6,
                    MATCH(TRUE,'Hulp (CAO''s)'!$D$3:$D$6,0)) &amp; "'!B1:B1000")) &gt; MATCH(
                    M33,
                    INDIRECT("'" &amp; INDEX('Hulp (CAO''s)'!$C$3:$C$6,
                        MATCH(TRUE,'Hulp (CAO''s)'!$D$3:$D$6,0)) &amp; "'!A:A"),
                    0
                )) *
                IF(
                    N33="",
                    1,
                    (ROW(INDIRECT("'" &amp; INDEX('Hulp (CAO''s)'!$C$3:$C$6,
                        MATCH(TRUE,'Hulp (CAO''s)'!$D$3:$D$6,0)) &amp; "'!B1:B1000")) &lt; MATCH(
                        N33,
                        INDIRECT("'" &amp; INDEX('Hulp (CAO''s)'!$C$3:$C$6,
                            MATCH(TRUE,'Hulp (CAO''s)'!$D$3:$D$6,0)) &amp; "'!A:A"),
                        0
                    ))
                ),
                ROW(INDIRECT("'" &amp; INDEX('Hulp (CAO''s)'!$C$3:$C$6,
                    MATCH(TRUE,'Hulp (CAO''s)'!$D$3:$D$6,0)) &amp; "'!B1:B1000"))
            )
        ),0)
    )
))</f>
        <v/>
      </c>
      <c r="N36" s="145" t="str">
        <f t="array" aca="1" ref="N36" ca="1">IF($D34="Gebruik % van maximum trede",
IF(
    OR(N33="",N34=""),
    "",
    MAX(
    INDIRECT("'" &amp; INDEX('Hulp (CAO''s)'!$C$3:$C$6,
        MATCH(TRUE,'Hulp (CAO''s)'!$D$3:$D$6,0)) &amp; "'!" &amp;
        INDEX('Hulp (CAO''s)'!$H$3:$H$6,
            MATCH(TRUE,'Hulp (CAO''s)'!$D$3:$D$6,0))
        &amp;
        MATCH(N33, INDIRECT("'" &amp; INDEX('Hulp (CAO''s)'!$C$3:$C$6,
            MATCH(TRUE,'Hulp (CAO''s)'!$D$3:$D$6,0)) &amp; "'!A:A"),0)
        &amp; ":H" &amp;
        IF(O33&lt;&gt;"",
            MATCH(O33, INDIRECT("'" &amp; INDEX('Hulp (CAO''s)'!$C$3:$C$6,
                MATCH(TRUE,'Hulp (CAO''s)'!$D$3:$D$6,0)) &amp; "'!A:A"),0)-1,
            1000
        )
    )
) * N34
),
IF(
    IFERROR(MIN(
        IF(
            (TRIM(INDIRECT("'" &amp; INDEX('Hulp (CAO''s)'!$C$3:$C$6,
                MATCH(TRUE,'Hulp (CAO''s)'!$D$3:$D$6,0)) &amp; "'!B1:B1000")) = TEXT(N35,"0")) *
            (ROW(INDIRECT("'" &amp; INDEX('Hulp (CAO''s)'!$C$3:$C$6,
                MATCH(TRUE,'Hulp (CAO''s)'!$D$3:$D$6,0)) &amp; "'!B1:B1000")) &gt; MATCH(
                N33,
                INDIRECT("'" &amp; INDEX('Hulp (CAO''s)'!$C$3:$C$6,
                    MATCH(TRUE,'Hulp (CAO''s)'!$D$3:$D$6,0)) &amp; "'!A:A"),
                0
            )) *
            IF(
                O33="",
                1,
                (ROW(INDIRECT("'" &amp; INDEX('Hulp (CAO''s)'!$C$3:$C$6,
                    MATCH(TRUE,'Hulp (CAO''s)'!$D$3:$D$6,0)) &amp; "'!B1:B1000")) &lt; MATCH(
                    O33,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TEXT(N35,"0")) *
                (ROW(INDIRECT("'" &amp; INDEX('Hulp (CAO''s)'!$C$3:$C$6,
                    MATCH(TRUE,'Hulp (CAO''s)'!$D$3:$D$6,0)) &amp; "'!B1:B1000")) &gt; MATCH(
                    N33,
                    INDIRECT("'" &amp; INDEX('Hulp (CAO''s)'!$C$3:$C$6,
                        MATCH(TRUE,'Hulp (CAO''s)'!$D$3:$D$6,0)) &amp; "'!A:A"),
                    0
                )) *
                IF(
                    O33="",
                    1,
                    (ROW(INDIRECT("'" &amp; INDEX('Hulp (CAO''s)'!$C$3:$C$6,
                        MATCH(TRUE,'Hulp (CAO''s)'!$D$3:$D$6,0)) &amp; "'!B1:B1000")) &lt; MATCH(
                        O33,
                        INDIRECT("'" &amp; INDEX('Hulp (CAO''s)'!$C$3:$C$6,
                            MATCH(TRUE,'Hulp (CAO''s)'!$D$3:$D$6,0)) &amp; "'!A:A"),
                        0
                    ))
                ),
                ROW(INDIRECT("'" &amp; INDEX('Hulp (CAO''s)'!$C$3:$C$6,
                    MATCH(TRUE,'Hulp (CAO''s)'!$D$3:$D$6,0)) &amp; "'!B1:B1000"))
            )
        ),0)
    )
))</f>
        <v/>
      </c>
      <c r="O36" s="145" t="str">
        <f t="array" aca="1" ref="O36" ca="1">IF($D34="Gebruik % van maximum trede",
IF(
    OR(O33="",O34=""),
    "",
    MAX(
    INDIRECT("'" &amp; INDEX('Hulp (CAO''s)'!$C$3:$C$6,
        MATCH(TRUE,'Hulp (CAO''s)'!$D$3:$D$6,0)) &amp; "'!" &amp;
        INDEX('Hulp (CAO''s)'!$H$3:$H$6,
            MATCH(TRUE,'Hulp (CAO''s)'!$D$3:$D$6,0))
        &amp;
        MATCH(O33, INDIRECT("'" &amp; INDEX('Hulp (CAO''s)'!$C$3:$C$6,
            MATCH(TRUE,'Hulp (CAO''s)'!$D$3:$D$6,0)) &amp; "'!A:A"),0)
        &amp; ":H" &amp;
        IF(P33&lt;&gt;"",
            MATCH(P33, INDIRECT("'" &amp; INDEX('Hulp (CAO''s)'!$C$3:$C$6,
                MATCH(TRUE,'Hulp (CAO''s)'!$D$3:$D$6,0)) &amp; "'!A:A"),0)-1,
            1000
        )
    )
) * O34
),
IF(
    IFERROR(MIN(
        IF(
            (TRIM(INDIRECT("'" &amp; INDEX('Hulp (CAO''s)'!$C$3:$C$6,
                MATCH(TRUE,'Hulp (CAO''s)'!$D$3:$D$6,0)) &amp; "'!B1:B1000")) = TEXT(O35,"0")) *
            (ROW(INDIRECT("'" &amp; INDEX('Hulp (CAO''s)'!$C$3:$C$6,
                MATCH(TRUE,'Hulp (CAO''s)'!$D$3:$D$6,0)) &amp; "'!B1:B1000")) &gt; MATCH(
                O33,
                INDIRECT("'" &amp; INDEX('Hulp (CAO''s)'!$C$3:$C$6,
                    MATCH(TRUE,'Hulp (CAO''s)'!$D$3:$D$6,0)) &amp; "'!A:A"),
                0
            )) *
            IF(
                P33="",
                1,
                (ROW(INDIRECT("'" &amp; INDEX('Hulp (CAO''s)'!$C$3:$C$6,
                    MATCH(TRUE,'Hulp (CAO''s)'!$D$3:$D$6,0)) &amp; "'!B1:B1000")) &lt; MATCH(
                    P33,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TEXT(O35,"0")) *
                (ROW(INDIRECT("'" &amp; INDEX('Hulp (CAO''s)'!$C$3:$C$6,
                    MATCH(TRUE,'Hulp (CAO''s)'!$D$3:$D$6,0)) &amp; "'!B1:B1000")) &gt; MATCH(
                    O33,
                    INDIRECT("'" &amp; INDEX('Hulp (CAO''s)'!$C$3:$C$6,
                        MATCH(TRUE,'Hulp (CAO''s)'!$D$3:$D$6,0)) &amp; "'!A:A"),
                    0
                )) *
                IF(
                    P33="",
                    1,
                    (ROW(INDIRECT("'" &amp; INDEX('Hulp (CAO''s)'!$C$3:$C$6,
                        MATCH(TRUE,'Hulp (CAO''s)'!$D$3:$D$6,0)) &amp; "'!B1:B1000")) &lt; MATCH(
                        P33,
                        INDIRECT("'" &amp; INDEX('Hulp (CAO''s)'!$C$3:$C$6,
                            MATCH(TRUE,'Hulp (CAO''s)'!$D$3:$D$6,0)) &amp; "'!A:A"),
                        0
                    ))
                ),
                ROW(INDIRECT("'" &amp; INDEX('Hulp (CAO''s)'!$C$3:$C$6,
                    MATCH(TRUE,'Hulp (CAO''s)'!$D$3:$D$6,0)) &amp; "'!B1:B1000"))
            )
        ),0)
    )
))</f>
        <v/>
      </c>
      <c r="P36" s="145" t="str">
        <f t="array" aca="1" ref="P36" ca="1">IF($D34="Gebruik % van maximum trede",
IF(
    OR(P33="",P34=""),
    "",
    MAX(
    INDIRECT("'" &amp; INDEX('Hulp (CAO''s)'!$C$3:$C$6,
        MATCH(TRUE,'Hulp (CAO''s)'!$D$3:$D$6,0)) &amp; "'!" &amp;
        INDEX('Hulp (CAO''s)'!$H$3:$H$6,
            MATCH(TRUE,'Hulp (CAO''s)'!$D$3:$D$6,0))
        &amp;
        MATCH(P33, INDIRECT("'" &amp; INDEX('Hulp (CAO''s)'!$C$3:$C$6,
            MATCH(TRUE,'Hulp (CAO''s)'!$D$3:$D$6,0)) &amp; "'!A:A"),0)
        &amp; ":H" &amp;
        IF(Q33&lt;&gt;"",
            MATCH(Q33, INDIRECT("'" &amp; INDEX('Hulp (CAO''s)'!$C$3:$C$6,
                MATCH(TRUE,'Hulp (CAO''s)'!$D$3:$D$6,0)) &amp; "'!A:A"),0)-1,
            1000
        )
    )
) * P34
),
IF(
    IFERROR(MIN(
        IF(
            (TRIM(INDIRECT("'" &amp; INDEX('Hulp (CAO''s)'!$C$3:$C$6,
                MATCH(TRUE,'Hulp (CAO''s)'!$D$3:$D$6,0)) &amp; "'!B1:B1000")) = TEXT(P35,"0")) *
            (ROW(INDIRECT("'" &amp; INDEX('Hulp (CAO''s)'!$C$3:$C$6,
                MATCH(TRUE,'Hulp (CAO''s)'!$D$3:$D$6,0)) &amp; "'!B1:B1000")) &gt; MATCH(
                P33,
                INDIRECT("'" &amp; INDEX('Hulp (CAO''s)'!$C$3:$C$6,
                    MATCH(TRUE,'Hulp (CAO''s)'!$D$3:$D$6,0)) &amp; "'!A:A"),
                0
            )) *
            IF(
                Q33="",
                1,
                (ROW(INDIRECT("'" &amp; INDEX('Hulp (CAO''s)'!$C$3:$C$6,
                    MATCH(TRUE,'Hulp (CAO''s)'!$D$3:$D$6,0)) &amp; "'!B1:B1000")) &lt; MATCH(
                    Q33,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TEXT(P35,"0")) *
                (ROW(INDIRECT("'" &amp; INDEX('Hulp (CAO''s)'!$C$3:$C$6,
                    MATCH(TRUE,'Hulp (CAO''s)'!$D$3:$D$6,0)) &amp; "'!B1:B1000")) &gt; MATCH(
                    P33,
                    INDIRECT("'" &amp; INDEX('Hulp (CAO''s)'!$C$3:$C$6,
                        MATCH(TRUE,'Hulp (CAO''s)'!$D$3:$D$6,0)) &amp; "'!A:A"),
                    0
                )) *
                IF(
                    Q33="",
                    1,
                    (ROW(INDIRECT("'" &amp; INDEX('Hulp (CAO''s)'!$C$3:$C$6,
                        MATCH(TRUE,'Hulp (CAO''s)'!$D$3:$D$6,0)) &amp; "'!B1:B1000")) &lt; MATCH(
                        Q33,
                        INDIRECT("'" &amp; INDEX('Hulp (CAO''s)'!$C$3:$C$6,
                            MATCH(TRUE,'Hulp (CAO''s)'!$D$3:$D$6,0)) &amp; "'!A:A"),
                        0
                    ))
                ),
                ROW(INDIRECT("'" &amp; INDEX('Hulp (CAO''s)'!$C$3:$C$6,
                    MATCH(TRUE,'Hulp (CAO''s)'!$D$3:$D$6,0)) &amp; "'!B1:B1000"))
            )
        ),0)
    )
))</f>
        <v/>
      </c>
      <c r="Q36" s="145" t="str">
        <f t="array" aca="1" ref="Q36" ca="1">IF($D34="Gebruik % van maximum trede",
IF(
    OR(Q33="",Q34=""),
    "",
    MAX(
    INDIRECT("'" &amp; INDEX('Hulp (CAO''s)'!$C$3:$C$6,
        MATCH(TRUE,'Hulp (CAO''s)'!$D$3:$D$6,0)) &amp; "'!" &amp;
        INDEX('Hulp (CAO''s)'!$H$3:$H$6,
            MATCH(TRUE,'Hulp (CAO''s)'!$D$3:$D$6,0))
        &amp;
        MATCH(Q33, INDIRECT("'" &amp; INDEX('Hulp (CAO''s)'!$C$3:$C$6,
            MATCH(TRUE,'Hulp (CAO''s)'!$D$3:$D$6,0)) &amp; "'!A:A"),0)
        &amp; ":H" &amp;
        IF(R33&lt;&gt;"",
            MATCH(R33, INDIRECT("'" &amp; INDEX('Hulp (CAO''s)'!$C$3:$C$6,
                MATCH(TRUE,'Hulp (CAO''s)'!$D$3:$D$6,0)) &amp; "'!A:A"),0)-1,
            1000
        )
    )
) * Q34
),
IF(
    IFERROR(MIN(
        IF(
            (TRIM(INDIRECT("'" &amp; INDEX('Hulp (CAO''s)'!$C$3:$C$6,
                MATCH(TRUE,'Hulp (CAO''s)'!$D$3:$D$6,0)) &amp; "'!B1:B1000")) = TEXT(Q35,"0")) *
            (ROW(INDIRECT("'" &amp; INDEX('Hulp (CAO''s)'!$C$3:$C$6,
                MATCH(TRUE,'Hulp (CAO''s)'!$D$3:$D$6,0)) &amp; "'!B1:B1000")) &gt; MATCH(
                Q33,
                INDIRECT("'" &amp; INDEX('Hulp (CAO''s)'!$C$3:$C$6,
                    MATCH(TRUE,'Hulp (CAO''s)'!$D$3:$D$6,0)) &amp; "'!A:A"),
                0
            )) *
            IF(
                R33="",
                1,
                (ROW(INDIRECT("'" &amp; INDEX('Hulp (CAO''s)'!$C$3:$C$6,
                    MATCH(TRUE,'Hulp (CAO''s)'!$D$3:$D$6,0)) &amp; "'!B1:B1000")) &lt; MATCH(
                    R33,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TEXT(Q35,"0")) *
                (ROW(INDIRECT("'" &amp; INDEX('Hulp (CAO''s)'!$C$3:$C$6,
                    MATCH(TRUE,'Hulp (CAO''s)'!$D$3:$D$6,0)) &amp; "'!B1:B1000")) &gt; MATCH(
                    Q33,
                    INDIRECT("'" &amp; INDEX('Hulp (CAO''s)'!$C$3:$C$6,
                        MATCH(TRUE,'Hulp (CAO''s)'!$D$3:$D$6,0)) &amp; "'!A:A"),
                    0
                )) *
                IF(
                    R33="",
                    1,
                    (ROW(INDIRECT("'" &amp; INDEX('Hulp (CAO''s)'!$C$3:$C$6,
                        MATCH(TRUE,'Hulp (CAO''s)'!$D$3:$D$6,0)) &amp; "'!B1:B1000")) &lt; MATCH(
                        R33,
                        INDIRECT("'" &amp; INDEX('Hulp (CAO''s)'!$C$3:$C$6,
                            MATCH(TRUE,'Hulp (CAO''s)'!$D$3:$D$6,0)) &amp; "'!A:A"),
                        0
                    ))
                ),
                ROW(INDIRECT("'" &amp; INDEX('Hulp (CAO''s)'!$C$3:$C$6,
                    MATCH(TRUE,'Hulp (CAO''s)'!$D$3:$D$6,0)) &amp; "'!B1:B1000"))
            )
        ),0)
    )
))</f>
        <v/>
      </c>
      <c r="R36" s="145" t="str">
        <f t="array" aca="1" ref="R36" ca="1">IF($D34="Gebruik % van maximum trede",
IF(
    OR(R33="",R34=""),
    "",
    MAX(
    INDIRECT("'" &amp; INDEX('Hulp (CAO''s)'!$C$3:$C$6,
        MATCH(TRUE,'Hulp (CAO''s)'!$D$3:$D$6,0)) &amp; "'!" &amp;
        INDEX('Hulp (CAO''s)'!$H$3:$H$6,
            MATCH(TRUE,'Hulp (CAO''s)'!$D$3:$D$6,0))
        &amp;
        MATCH(R33, INDIRECT("'" &amp; INDEX('Hulp (CAO''s)'!$C$3:$C$6,
            MATCH(TRUE,'Hulp (CAO''s)'!$D$3:$D$6,0)) &amp; "'!A:A"),0)
        &amp; ":H" &amp;
        IF(S33&lt;&gt;"",
            MATCH(S33, INDIRECT("'" &amp; INDEX('Hulp (CAO''s)'!$C$3:$C$6,
                MATCH(TRUE,'Hulp (CAO''s)'!$D$3:$D$6,0)) &amp; "'!A:A"),0)-1,
            1000
        )
    )
) * R34
),
IF(
    IFERROR(MIN(
        IF(
            (TRIM(INDIRECT("'" &amp; INDEX('Hulp (CAO''s)'!$C$3:$C$6,
                MATCH(TRUE,'Hulp (CAO''s)'!$D$3:$D$6,0)) &amp; "'!B1:B1000")) = TEXT(R35,"0")) *
            (ROW(INDIRECT("'" &amp; INDEX('Hulp (CAO''s)'!$C$3:$C$6,
                MATCH(TRUE,'Hulp (CAO''s)'!$D$3:$D$6,0)) &amp; "'!B1:B1000")) &gt; MATCH(
                R33,
                INDIRECT("'" &amp; INDEX('Hulp (CAO''s)'!$C$3:$C$6,
                    MATCH(TRUE,'Hulp (CAO''s)'!$D$3:$D$6,0)) &amp; "'!A:A"),
                0
            )) *
            IF(
                S33="",
                1,
                (ROW(INDIRECT("'" &amp; INDEX('Hulp (CAO''s)'!$C$3:$C$6,
                    MATCH(TRUE,'Hulp (CAO''s)'!$D$3:$D$6,0)) &amp; "'!B1:B1000")) &lt; MATCH(
                    S33,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TEXT(R35,"0")) *
                (ROW(INDIRECT("'" &amp; INDEX('Hulp (CAO''s)'!$C$3:$C$6,
                    MATCH(TRUE,'Hulp (CAO''s)'!$D$3:$D$6,0)) &amp; "'!B1:B1000")) &gt; MATCH(
                    R33,
                    INDIRECT("'" &amp; INDEX('Hulp (CAO''s)'!$C$3:$C$6,
                        MATCH(TRUE,'Hulp (CAO''s)'!$D$3:$D$6,0)) &amp; "'!A:A"),
                    0
                )) *
                IF(
                    S33="",
                    1,
                    (ROW(INDIRECT("'" &amp; INDEX('Hulp (CAO''s)'!$C$3:$C$6,
                        MATCH(TRUE,'Hulp (CAO''s)'!$D$3:$D$6,0)) &amp; "'!B1:B1000")) &lt; MATCH(
                        S33,
                        INDIRECT("'" &amp; INDEX('Hulp (CAO''s)'!$C$3:$C$6,
                            MATCH(TRUE,'Hulp (CAO''s)'!$D$3:$D$6,0)) &amp; "'!A:A"),
                        0
                    ))
                ),
                ROW(INDIRECT("'" &amp; INDEX('Hulp (CAO''s)'!$C$3:$C$6,
                    MATCH(TRUE,'Hulp (CAO''s)'!$D$3:$D$6,0)) &amp; "'!B1:B1000"))
            )
        ),0)
    )
))</f>
        <v/>
      </c>
      <c r="S36" s="145" t="str">
        <f t="array" aca="1" ref="S36" ca="1">IF($D34="Gebruik % van maximum trede",
IF(
    OR(S33="",S34=""),
    "",
    MAX(
    INDIRECT("'" &amp; INDEX('Hulp (CAO''s)'!$C$3:$C$6,
        MATCH(TRUE,'Hulp (CAO''s)'!$D$3:$D$6,0)) &amp; "'!" &amp;
        INDEX('Hulp (CAO''s)'!$H$3:$H$6,
            MATCH(TRUE,'Hulp (CAO''s)'!$D$3:$D$6,0))
        &amp;
        MATCH(S33, INDIRECT("'" &amp; INDEX('Hulp (CAO''s)'!$C$3:$C$6,
            MATCH(TRUE,'Hulp (CAO''s)'!$D$3:$D$6,0)) &amp; "'!A:A"),0)
        &amp; ":H" &amp;
        IF(T33&lt;&gt;"",
            MATCH(T33, INDIRECT("'" &amp; INDEX('Hulp (CAO''s)'!$C$3:$C$6,
                MATCH(TRUE,'Hulp (CAO''s)'!$D$3:$D$6,0)) &amp; "'!A:A"),0)-1,
            1000
        )
    )
) * S34
),
IF(
    IFERROR(MIN(
        IF(
            (TRIM(INDIRECT("'" &amp; INDEX('Hulp (CAO''s)'!$C$3:$C$6,
                MATCH(TRUE,'Hulp (CAO''s)'!$D$3:$D$6,0)) &amp; "'!B1:B1000")) = TEXT(S35,"0")) *
            (ROW(INDIRECT("'" &amp; INDEX('Hulp (CAO''s)'!$C$3:$C$6,
                MATCH(TRUE,'Hulp (CAO''s)'!$D$3:$D$6,0)) &amp; "'!B1:B1000")) &gt; MATCH(
                S33,
                INDIRECT("'" &amp; INDEX('Hulp (CAO''s)'!$C$3:$C$6,
                    MATCH(TRUE,'Hulp (CAO''s)'!$D$3:$D$6,0)) &amp; "'!A:A"),
                0
            )) *
            IF(
                T33="",
                1,
                (ROW(INDIRECT("'" &amp; INDEX('Hulp (CAO''s)'!$C$3:$C$6,
                    MATCH(TRUE,'Hulp (CAO''s)'!$D$3:$D$6,0)) &amp; "'!B1:B1000")) &lt; MATCH(
                    T33,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TEXT(S35,"0")) *
                (ROW(INDIRECT("'" &amp; INDEX('Hulp (CAO''s)'!$C$3:$C$6,
                    MATCH(TRUE,'Hulp (CAO''s)'!$D$3:$D$6,0)) &amp; "'!B1:B1000")) &gt; MATCH(
                    S33,
                    INDIRECT("'" &amp; INDEX('Hulp (CAO''s)'!$C$3:$C$6,
                        MATCH(TRUE,'Hulp (CAO''s)'!$D$3:$D$6,0)) &amp; "'!A:A"),
                    0
                )) *
                IF(
                    T33="",
                    1,
                    (ROW(INDIRECT("'" &amp; INDEX('Hulp (CAO''s)'!$C$3:$C$6,
                        MATCH(TRUE,'Hulp (CAO''s)'!$D$3:$D$6,0)) &amp; "'!B1:B1000")) &lt; MATCH(
                        T33,
                        INDIRECT("'" &amp; INDEX('Hulp (CAO''s)'!$C$3:$C$6,
                            MATCH(TRUE,'Hulp (CAO''s)'!$D$3:$D$6,0)) &amp; "'!A:A"),
                        0
                    ))
                ),
                ROW(INDIRECT("'" &amp; INDEX('Hulp (CAO''s)'!$C$3:$C$6,
                    MATCH(TRUE,'Hulp (CAO''s)'!$D$3:$D$6,0)) &amp; "'!B1:B1000"))
            )
        ),0)
    )
))</f>
        <v/>
      </c>
      <c r="T36" s="145" t="str">
        <f t="array" aca="1" ref="T36" ca="1">IF($D34="Gebruik % van maximum trede",
IF(
    OR(T33="",T34=""),
    "",
    MAX(
    INDIRECT("'" &amp; INDEX('Hulp (CAO''s)'!$C$3:$C$6,
        MATCH(TRUE,'Hulp (CAO''s)'!$D$3:$D$6,0)) &amp; "'!" &amp;
        INDEX('Hulp (CAO''s)'!$H$3:$H$6,
            MATCH(TRUE,'Hulp (CAO''s)'!$D$3:$D$6,0))
        &amp;
        MATCH(T33, INDIRECT("'" &amp; INDEX('Hulp (CAO''s)'!$C$3:$C$6,
            MATCH(TRUE,'Hulp (CAO''s)'!$D$3:$D$6,0)) &amp; "'!A:A"),0)
        &amp; ":H" &amp;
        IF(U33&lt;&gt;"",
            MATCH(U33, INDIRECT("'" &amp; INDEX('Hulp (CAO''s)'!$C$3:$C$6,
                MATCH(TRUE,'Hulp (CAO''s)'!$D$3:$D$6,0)) &amp; "'!A:A"),0)-1,
            1000
        )
    )
) * T34
),
IF(
    IFERROR(MIN(
        IF(
            (TRIM(INDIRECT("'" &amp; INDEX('Hulp (CAO''s)'!$C$3:$C$6,
                MATCH(TRUE,'Hulp (CAO''s)'!$D$3:$D$6,0)) &amp; "'!B1:B1000")) = TEXT(T35,"0")) *
            (ROW(INDIRECT("'" &amp; INDEX('Hulp (CAO''s)'!$C$3:$C$6,
                MATCH(TRUE,'Hulp (CAO''s)'!$D$3:$D$6,0)) &amp; "'!B1:B1000")) &gt; MATCH(
                T33,
                INDIRECT("'" &amp; INDEX('Hulp (CAO''s)'!$C$3:$C$6,
                    MATCH(TRUE,'Hulp (CAO''s)'!$D$3:$D$6,0)) &amp; "'!A:A"),
                0
            )) *
            IF(
                U33="",
                1,
                (ROW(INDIRECT("'" &amp; INDEX('Hulp (CAO''s)'!$C$3:$C$6,
                    MATCH(TRUE,'Hulp (CAO''s)'!$D$3:$D$6,0)) &amp; "'!B1:B1000")) &lt; MATCH(
                    U33,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TEXT(T35,"0")) *
                (ROW(INDIRECT("'" &amp; INDEX('Hulp (CAO''s)'!$C$3:$C$6,
                    MATCH(TRUE,'Hulp (CAO''s)'!$D$3:$D$6,0)) &amp; "'!B1:B1000")) &gt; MATCH(
                    T33,
                    INDIRECT("'" &amp; INDEX('Hulp (CAO''s)'!$C$3:$C$6,
                        MATCH(TRUE,'Hulp (CAO''s)'!$D$3:$D$6,0)) &amp; "'!A:A"),
                    0
                )) *
                IF(
                    U33="",
                    1,
                    (ROW(INDIRECT("'" &amp; INDEX('Hulp (CAO''s)'!$C$3:$C$6,
                        MATCH(TRUE,'Hulp (CAO''s)'!$D$3:$D$6,0)) &amp; "'!B1:B1000")) &lt; MATCH(
                        U33,
                        INDIRECT("'" &amp; INDEX('Hulp (CAO''s)'!$C$3:$C$6,
                            MATCH(TRUE,'Hulp (CAO''s)'!$D$3:$D$6,0)) &amp; "'!A:A"),
                        0
                    ))
                ),
                ROW(INDIRECT("'" &amp; INDEX('Hulp (CAO''s)'!$C$3:$C$6,
                    MATCH(TRUE,'Hulp (CAO''s)'!$D$3:$D$6,0)) &amp; "'!B1:B1000"))
            )
        ),0)
    )
))</f>
        <v/>
      </c>
      <c r="U36" s="145" t="str">
        <f t="array" aca="1" ref="U36" ca="1">IF($D34="Gebruik % van maximum trede",
IF(
    OR(U33="",U34=""),
    "",
    MAX(
    INDIRECT("'" &amp; INDEX('Hulp (CAO''s)'!$C$3:$C$6,
        MATCH(TRUE,'Hulp (CAO''s)'!$D$3:$D$6,0)) &amp; "'!" &amp;
        INDEX('Hulp (CAO''s)'!$H$3:$H$6,
            MATCH(TRUE,'Hulp (CAO''s)'!$D$3:$D$6,0))
        &amp;
        MATCH(U33, INDIRECT("'" &amp; INDEX('Hulp (CAO''s)'!$C$3:$C$6,
            MATCH(TRUE,'Hulp (CAO''s)'!$D$3:$D$6,0)) &amp; "'!A:A"),0)
        &amp; ":H" &amp;
        IF(V33&lt;&gt;"",
            MATCH(V33, INDIRECT("'" &amp; INDEX('Hulp (CAO''s)'!$C$3:$C$6,
                MATCH(TRUE,'Hulp (CAO''s)'!$D$3:$D$6,0)) &amp; "'!A:A"),0)-1,
            1000
        )
    )
) * U34
),
IF(
    IFERROR(MIN(
        IF(
            (TRIM(INDIRECT("'" &amp; INDEX('Hulp (CAO''s)'!$C$3:$C$6,
                MATCH(TRUE,'Hulp (CAO''s)'!$D$3:$D$6,0)) &amp; "'!B1:B1000")) = TEXT(U35,"0")) *
            (ROW(INDIRECT("'" &amp; INDEX('Hulp (CAO''s)'!$C$3:$C$6,
                MATCH(TRUE,'Hulp (CAO''s)'!$D$3:$D$6,0)) &amp; "'!B1:B1000")) &gt; MATCH(
                U33,
                INDIRECT("'" &amp; INDEX('Hulp (CAO''s)'!$C$3:$C$6,
                    MATCH(TRUE,'Hulp (CAO''s)'!$D$3:$D$6,0)) &amp; "'!A:A"),
                0
            )) *
            IF(
                V33="",
                1,
                (ROW(INDIRECT("'" &amp; INDEX('Hulp (CAO''s)'!$C$3:$C$6,
                    MATCH(TRUE,'Hulp (CAO''s)'!$D$3:$D$6,0)) &amp; "'!B1:B1000")) &lt; MATCH(
                    V33,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TEXT(U35,"0")) *
                (ROW(INDIRECT("'" &amp; INDEX('Hulp (CAO''s)'!$C$3:$C$6,
                    MATCH(TRUE,'Hulp (CAO''s)'!$D$3:$D$6,0)) &amp; "'!B1:B1000")) &gt; MATCH(
                    U33,
                    INDIRECT("'" &amp; INDEX('Hulp (CAO''s)'!$C$3:$C$6,
                        MATCH(TRUE,'Hulp (CAO''s)'!$D$3:$D$6,0)) &amp; "'!A:A"),
                    0
                )) *
                IF(
                    V33="",
                    1,
                    (ROW(INDIRECT("'" &amp; INDEX('Hulp (CAO''s)'!$C$3:$C$6,
                        MATCH(TRUE,'Hulp (CAO''s)'!$D$3:$D$6,0)) &amp; "'!B1:B1000")) &lt; MATCH(
                        V33,
                        INDIRECT("'" &amp; INDEX('Hulp (CAO''s)'!$C$3:$C$6,
                            MATCH(TRUE,'Hulp (CAO''s)'!$D$3:$D$6,0)) &amp; "'!A:A"),
                        0
                    ))
                ),
                ROW(INDIRECT("'" &amp; INDEX('Hulp (CAO''s)'!$C$3:$C$6,
                    MATCH(TRUE,'Hulp (CAO''s)'!$D$3:$D$6,0)) &amp; "'!B1:B1000"))
            )
        ),0)
    )
))</f>
        <v/>
      </c>
      <c r="V36" s="165" t="str">
        <f t="array" aca="1" ref="V36" ca="1">IF(SUM(F37:U37)=0,"",
IF(
   SUM(F36:U36)=0,
   "",
   (
      SUMPRODUCT(
         IF(F36:U36="",0,F36:U36),
         IF(F37:U37="",0,F37:U37) * SUM(F37:U37)
      )
   ) *
   IF(
      'Hulp (CAO''s)'!#REF!,
      IF(
         OR(
            INDEX(#REF!, ROW(#REF!) + INT((ROW()-ROW($V$8))/6)*8)="",
            ISNA(INDEX(#REF!, ROW(#REF!) + INT((ROW()-ROW($V$8))/6)*8))
         ),
         1878/12,
         INDEX(#REF!, ROW(#REF!) + INT((ROW()-ROW($V$8))/6)*8)/12
      ),
      1
   )
))</f>
        <v/>
      </c>
      <c r="W36" s="171" t="str">
        <f ca="1">IF(B33="","",
    IF(W35="","",
        IF(INDIRECT("'Hulp (control forms)'!C" &amp; (13 + INT((ROW()-ROW($B$5))/7))),
            W35,
            V36
        )
    )
)</f>
        <v/>
      </c>
      <c r="X36" s="170" t="str">
        <f ca="1">IF(AND($B33&lt;&gt;"", $W36=""),"!","")</f>
        <v/>
      </c>
    </row>
    <row r="37" spans="2:24" ht="16.05" customHeight="1" thickBot="1" x14ac:dyDescent="0.55000000000000004">
      <c r="C37" s="151"/>
      <c r="D37" s="141" t="s">
        <v>60</v>
      </c>
      <c r="E37" s="24" t="s">
        <v>59</v>
      </c>
      <c r="F37" s="146">
        <v>0.05</v>
      </c>
      <c r="G37" s="146">
        <v>0.1</v>
      </c>
      <c r="H37" s="146">
        <v>0.1</v>
      </c>
      <c r="I37" s="146">
        <v>0.15</v>
      </c>
      <c r="J37" s="146">
        <v>0.2</v>
      </c>
      <c r="K37" s="146">
        <v>0.15</v>
      </c>
      <c r="L37" s="146">
        <v>0.1</v>
      </c>
      <c r="M37" s="146">
        <v>0.05</v>
      </c>
      <c r="N37" s="146">
        <v>0.05</v>
      </c>
      <c r="O37" s="146">
        <v>0.05</v>
      </c>
      <c r="P37" s="146">
        <v>0</v>
      </c>
      <c r="Q37" s="146"/>
      <c r="R37" s="146"/>
      <c r="S37" s="146"/>
      <c r="T37" s="146"/>
      <c r="U37" s="147"/>
      <c r="V37" s="142" t="str">
        <f ca="1">IF($B33="","",IF($D37="Aandeel in %",
   "Totaal: "&amp;SUM(F37:U37)*100&amp;"%",
   "Totaal: "&amp;SUM(F37:U37)&amp;" uur"
))</f>
        <v/>
      </c>
      <c r="W37" s="168"/>
      <c r="X37" s="153"/>
    </row>
    <row r="38" spans="2:24" ht="16.05" customHeight="1" thickBot="1" x14ac:dyDescent="0.55000000000000004">
      <c r="C38" s="154"/>
      <c r="D38" s="140"/>
      <c r="E38" s="140"/>
      <c r="F38" s="140"/>
      <c r="G38" s="140"/>
      <c r="H38" s="140"/>
      <c r="I38" s="140"/>
      <c r="J38" s="140"/>
      <c r="K38" s="140"/>
      <c r="L38" s="140"/>
      <c r="M38" s="140"/>
      <c r="N38" s="140"/>
      <c r="O38" s="140"/>
      <c r="P38" s="140"/>
      <c r="Q38" s="140"/>
      <c r="R38" s="140"/>
      <c r="S38" s="140"/>
      <c r="T38" s="155"/>
      <c r="U38" s="155"/>
      <c r="V38" s="169"/>
      <c r="W38" s="169"/>
      <c r="X38" s="156"/>
    </row>
    <row r="39" spans="2:24" ht="16.05" customHeight="1" thickBot="1" x14ac:dyDescent="0.55000000000000004">
      <c r="B39" s="159" t="str">
        <f ca="1">IF(B40="","",
IF(
   OR(
      INDIRECT("'1a. Input organisatieniveau'!AC" &amp; (7 + INT((ROW()-4)/7)))="",
      INDIRECT("'1a. Input organisatieniveau'!AC" &amp; (7 + INT((ROW()-4)/7)))=0
   ),
   "",
   INDIRECT("'1a. Input organisatieniveau'!AC" &amp; (7 + INT((ROW()-4)/7)))
))</f>
        <v/>
      </c>
      <c r="C39" s="148"/>
      <c r="D39" s="139"/>
      <c r="E39" s="139"/>
      <c r="F39" s="149" t="str">
        <f t="shared" ref="F39:U39" ca="1" si="5">IF($D41="Gebruik % van maximum trede", IF(AND(AND(F40&lt;&gt;"",F41&lt;&gt;""),F43=""),"!",""), IF(AND(AND(F40&lt;&gt;"",F42&lt;&gt;""),F43=""),"!",""))</f>
        <v/>
      </c>
      <c r="G39" s="149" t="str">
        <f t="shared" ca="1" si="5"/>
        <v/>
      </c>
      <c r="H39" s="149" t="str">
        <f t="shared" ca="1" si="5"/>
        <v/>
      </c>
      <c r="I39" s="149" t="str">
        <f t="shared" ca="1" si="5"/>
        <v/>
      </c>
      <c r="J39" s="149" t="str">
        <f t="shared" ca="1" si="5"/>
        <v/>
      </c>
      <c r="K39" s="149" t="str">
        <f t="shared" ca="1" si="5"/>
        <v/>
      </c>
      <c r="L39" s="149" t="str">
        <f t="shared" ca="1" si="5"/>
        <v/>
      </c>
      <c r="M39" s="149" t="str">
        <f t="shared" ca="1" si="5"/>
        <v/>
      </c>
      <c r="N39" s="149" t="str">
        <f t="shared" ca="1" si="5"/>
        <v/>
      </c>
      <c r="O39" s="149" t="str">
        <f t="shared" ca="1" si="5"/>
        <v/>
      </c>
      <c r="P39" s="149" t="str">
        <f t="shared" ca="1" si="5"/>
        <v/>
      </c>
      <c r="Q39" s="149" t="str">
        <f t="shared" ca="1" si="5"/>
        <v/>
      </c>
      <c r="R39" s="149" t="str">
        <f t="shared" ca="1" si="5"/>
        <v/>
      </c>
      <c r="S39" s="149" t="str">
        <f t="shared" ca="1" si="5"/>
        <v/>
      </c>
      <c r="T39" s="149" t="str">
        <f t="shared" ca="1" si="5"/>
        <v/>
      </c>
      <c r="U39" s="149" t="str">
        <f t="shared" ca="1" si="5"/>
        <v/>
      </c>
      <c r="V39" s="167"/>
      <c r="W39" s="167"/>
      <c r="X39" s="150"/>
    </row>
    <row r="40" spans="2:24" ht="16.05" customHeight="1" thickBot="1" x14ac:dyDescent="0.55000000000000004">
      <c r="B40" s="158" t="str">
        <f ca="1">IF(
   OR(
      INDIRECT("'1a. Input organisatieniveau'!AA" &amp; (7 + INT((ROW()-4)/7)))="",
      INDIRECT("'1a. Input organisatieniveau'!AA" &amp; (7 + INT((ROW()-4)/7)))=0
   ),
   "",
   INDIRECT("'1a. Input organisatieniveau'!AA" &amp; (7 + INT((ROW()-4)/7)))
)</f>
        <v/>
      </c>
      <c r="C40" s="151"/>
      <c r="D40" s="152"/>
      <c r="E40" s="22" t="s">
        <v>28</v>
      </c>
      <c r="F40" s="143" t="str">
        <f t="array" aca="1" ref="F40" ca="1">IF($B40="", "", INDEX('Hulp (CAO''s)'!J$3:J$6, MATCH(TRUE, 'Hulp (CAO''s)'!$D$3:$D$6, 0)))</f>
        <v/>
      </c>
      <c r="G40" s="143" t="str">
        <f t="array" aca="1" ref="G40" ca="1">IF($B40="", "", INDEX('Hulp (CAO''s)'!K$3:K$6, MATCH(TRUE, 'Hulp (CAO''s)'!$D$3:$D$6, 0)))</f>
        <v/>
      </c>
      <c r="H40" s="143" t="str">
        <f t="array" aca="1" ref="H40" ca="1">IF($B40="", "", INDEX('Hulp (CAO''s)'!L$3:L$6, MATCH(TRUE, 'Hulp (CAO''s)'!$D$3:$D$6, 0)))</f>
        <v/>
      </c>
      <c r="I40" s="143" t="str">
        <f t="array" aca="1" ref="I40" ca="1">IF($B40="", "", INDEX('Hulp (CAO''s)'!M$3:M$6, MATCH(TRUE, 'Hulp (CAO''s)'!$D$3:$D$6, 0)))</f>
        <v/>
      </c>
      <c r="J40" s="143" t="str">
        <f t="array" aca="1" ref="J40" ca="1">IF($B40="", "", INDEX('Hulp (CAO''s)'!N$3:N$6, MATCH(TRUE, 'Hulp (CAO''s)'!$D$3:$D$6, 0)))</f>
        <v/>
      </c>
      <c r="K40" s="143" t="str">
        <f t="array" aca="1" ref="K40" ca="1">IF($B40="", "", INDEX('Hulp (CAO''s)'!O$3:O$6, MATCH(TRUE, 'Hulp (CAO''s)'!$D$3:$D$6, 0)))</f>
        <v/>
      </c>
      <c r="L40" s="143" t="str">
        <f t="array" aca="1" ref="L40" ca="1">IF($B40="", "", INDEX('Hulp (CAO''s)'!P$3:P$6, MATCH(TRUE, 'Hulp (CAO''s)'!$D$3:$D$6, 0)))</f>
        <v/>
      </c>
      <c r="M40" s="143" t="str">
        <f t="array" aca="1" ref="M40" ca="1">IF($B40="", "", INDEX('Hulp (CAO''s)'!Q$3:Q$6, MATCH(TRUE, 'Hulp (CAO''s)'!$D$3:$D$6, 0)))</f>
        <v/>
      </c>
      <c r="N40" s="143" t="str">
        <f t="array" aca="1" ref="N40" ca="1">IF($B40="", "", INDEX('Hulp (CAO''s)'!R$3:R$6, MATCH(TRUE, 'Hulp (CAO''s)'!$D$3:$D$6, 0)))</f>
        <v/>
      </c>
      <c r="O40" s="143" t="str">
        <f t="array" aca="1" ref="O40" ca="1">IF($B40="", "", INDEX('Hulp (CAO''s)'!S$3:S$6, MATCH(TRUE, 'Hulp (CAO''s)'!$D$3:$D$6, 0)))</f>
        <v/>
      </c>
      <c r="P40" s="143" t="str">
        <f t="array" aca="1" ref="P40" ca="1">IF($B40="", "", INDEX('Hulp (CAO''s)'!T$3:T$6, MATCH(TRUE, 'Hulp (CAO''s)'!$D$3:$D$6, 0)))</f>
        <v/>
      </c>
      <c r="Q40" s="143" t="str">
        <f t="array" aca="1" ref="Q40" ca="1">IF($B40="", "", INDEX('Hulp (CAO''s)'!U$3:U$6, MATCH(TRUE, 'Hulp (CAO''s)'!$D$3:$D$6, 0)))</f>
        <v/>
      </c>
      <c r="R40" s="143" t="str">
        <f t="array" aca="1" ref="R40" ca="1">IF($B40="", "", INDEX('Hulp (CAO''s)'!V$3:V$6, MATCH(TRUE, 'Hulp (CAO''s)'!$D$3:$D$6, 0)))</f>
        <v/>
      </c>
      <c r="S40" s="143" t="str">
        <f t="array" aca="1" ref="S40" ca="1">IF($B40="", "", INDEX('Hulp (CAO''s)'!W$3:W$6, MATCH(TRUE, 'Hulp (CAO''s)'!$D$3:$D$6, 0)))</f>
        <v/>
      </c>
      <c r="T40" s="143" t="str">
        <f t="array" aca="1" ref="T40" ca="1">IF($B40="", "", INDEX('Hulp (CAO''s)'!X$3:X$6, MATCH(TRUE, 'Hulp (CAO''s)'!$D$3:$D$6, 0)))</f>
        <v/>
      </c>
      <c r="U40" s="144" t="str">
        <f t="array" aca="1" ref="U40" ca="1">IF($B40="", "", INDEX('Hulp (CAO''s)'!Y$3:Y$6, MATCH(TRUE, 'Hulp (CAO''s)'!$D$3:$D$6, 0)))</f>
        <v/>
      </c>
      <c r="W40" s="788" t="s">
        <v>747</v>
      </c>
      <c r="X40" s="153"/>
    </row>
    <row r="41" spans="2:24" ht="16.05" customHeight="1" thickBot="1" x14ac:dyDescent="0.55000000000000004">
      <c r="C41" s="151"/>
      <c r="D41" s="786" t="s">
        <v>771</v>
      </c>
      <c r="E41" s="162" t="s">
        <v>770</v>
      </c>
      <c r="F41" s="163">
        <v>0.96</v>
      </c>
      <c r="G41" s="163">
        <v>0.9</v>
      </c>
      <c r="H41" s="163">
        <v>0.9</v>
      </c>
      <c r="I41" s="163">
        <v>0.7</v>
      </c>
      <c r="J41" s="163">
        <v>0.8</v>
      </c>
      <c r="K41" s="163">
        <v>0.9</v>
      </c>
      <c r="L41" s="163">
        <v>0.9</v>
      </c>
      <c r="M41" s="163">
        <v>0.9</v>
      </c>
      <c r="N41" s="163">
        <v>0.9</v>
      </c>
      <c r="O41" s="163">
        <v>0.8</v>
      </c>
      <c r="P41" s="163">
        <v>0.95</v>
      </c>
      <c r="Q41" s="163">
        <v>0.93</v>
      </c>
      <c r="R41" s="163">
        <v>0.93</v>
      </c>
      <c r="S41" s="163">
        <v>0.99</v>
      </c>
      <c r="T41" s="163">
        <v>0.99</v>
      </c>
      <c r="U41" s="164">
        <v>0.95</v>
      </c>
      <c r="W41" s="789"/>
      <c r="X41" s="153"/>
    </row>
    <row r="42" spans="2:24" ht="16.05" customHeight="1" thickBot="1" x14ac:dyDescent="0.55000000000000004">
      <c r="C42" s="151"/>
      <c r="D42" s="787"/>
      <c r="E42" s="31" t="s">
        <v>29</v>
      </c>
      <c r="F42" s="160">
        <v>8</v>
      </c>
      <c r="G42" s="160">
        <v>10</v>
      </c>
      <c r="H42" s="160">
        <v>10</v>
      </c>
      <c r="I42" s="160">
        <v>9</v>
      </c>
      <c r="J42" s="160">
        <v>10</v>
      </c>
      <c r="K42" s="160">
        <v>11</v>
      </c>
      <c r="L42" s="160">
        <v>10</v>
      </c>
      <c r="M42" s="160">
        <v>10</v>
      </c>
      <c r="N42" s="160">
        <v>9</v>
      </c>
      <c r="O42" s="160">
        <v>10</v>
      </c>
      <c r="P42" s="160">
        <v>11</v>
      </c>
      <c r="Q42" s="160">
        <v>12</v>
      </c>
      <c r="R42" s="160">
        <v>13</v>
      </c>
      <c r="S42" s="160">
        <v>12</v>
      </c>
      <c r="T42" s="160">
        <v>10</v>
      </c>
      <c r="U42" s="161">
        <v>5</v>
      </c>
      <c r="W42" s="166">
        <v>4200</v>
      </c>
      <c r="X42" s="153"/>
    </row>
    <row r="43" spans="2:24" ht="16.05" customHeight="1" thickBot="1" x14ac:dyDescent="0.55000000000000004">
      <c r="C43" s="151"/>
      <c r="E43" s="40" t="str">
        <f>IFERROR(
   INDEX('Hulp (CAO''s)'!$I$3:$I$6, MATCH(TRUE, 'Hulp (CAO''s)'!$D$3:$D$6, 0)),
"")</f>
        <v>Bruto maandsalaris</v>
      </c>
      <c r="F43" s="145" t="str">
        <f t="array" aca="1" ref="F43" ca="1">IF($D41="Gebruik % van maximum trede",
IF(
    OR(F40="",F41=""),
    "",
    MAX(
    INDIRECT("'" &amp; INDEX('Hulp (CAO''s)'!$C$3:$C$6,
        MATCH(TRUE,'Hulp (CAO''s)'!$D$3:$D$6,0)) &amp; "'!" &amp;
        INDEX('Hulp (CAO''s)'!$H$3:$H$6,
            MATCH(TRUE,'Hulp (CAO''s)'!$D$3:$D$6,0))
        &amp;
        MATCH(F40, INDIRECT("'" &amp; INDEX('Hulp (CAO''s)'!$C$3:$C$6,
            MATCH(TRUE,'Hulp (CAO''s)'!$D$3:$D$6,0)) &amp; "'!A:A"),0)
        &amp; ":H" &amp;
        IF(G40&lt;&gt;"",
            MATCH(G40, INDIRECT("'" &amp; INDEX('Hulp (CAO''s)'!$C$3:$C$6,
                MATCH(TRUE,'Hulp (CAO''s)'!$D$3:$D$6,0)) &amp; "'!A:A"),0)-1,
            1000
        )
    )
) * F41
),
IF(
    IFERROR(MIN(
        IF(
            (TRIM(INDIRECT("'" &amp; INDEX('Hulp (CAO''s)'!$C$3:$C$6,
                MATCH(TRUE,'Hulp (CAO''s)'!$D$3:$D$6,0)) &amp; "'!B1:B1000")) = TEXT(F42,"0")) *
            (ROW(INDIRECT("'" &amp; INDEX('Hulp (CAO''s)'!$C$3:$C$6,
                MATCH(TRUE,'Hulp (CAO''s)'!$D$3:$D$6,0)) &amp; "'!B1:B1000")) &gt; MATCH(
                F40,
                INDIRECT("'" &amp; INDEX('Hulp (CAO''s)'!$C$3:$C$6,
                    MATCH(TRUE,'Hulp (CAO''s)'!$D$3:$D$6,0)) &amp; "'!A:A"),
                0
            )) *
            IF(
                G40="",
                1,
                (ROW(INDIRECT("'" &amp; INDEX('Hulp (CAO''s)'!$C$3:$C$6,
                    MATCH(TRUE,'Hulp (CAO''s)'!$D$3:$D$6,0)) &amp; "'!B1:B1000")) &lt; MATCH(
                    G40,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TEXT(F42,"0")) *
                (ROW(INDIRECT("'" &amp; INDEX('Hulp (CAO''s)'!$C$3:$C$6,
                    MATCH(TRUE,'Hulp (CAO''s)'!$D$3:$D$6,0)) &amp; "'!B1:B1000")) &gt; MATCH(
                    F40,
                    INDIRECT("'" &amp; INDEX('Hulp (CAO''s)'!$C$3:$C$6,
                        MATCH(TRUE,'Hulp (CAO''s)'!$D$3:$D$6,0)) &amp; "'!A:A"),
                    0
                )) *
                IF(
                    G40="",
                    1,
                    (ROW(INDIRECT("'" &amp; INDEX('Hulp (CAO''s)'!$C$3:$C$6,
                        MATCH(TRUE,'Hulp (CAO''s)'!$D$3:$D$6,0)) &amp; "'!B1:B1000")) &lt; MATCH(
                        G40,
                        INDIRECT("'" &amp; INDEX('Hulp (CAO''s)'!$C$3:$C$6,
                            MATCH(TRUE,'Hulp (CAO''s)'!$D$3:$D$6,0)) &amp; "'!A:A"),
                        0
                    ))
                ),
                ROW(INDIRECT("'" &amp; INDEX('Hulp (CAO''s)'!$C$3:$C$6,
                    MATCH(TRUE,'Hulp (CAO''s)'!$D$3:$D$6,0)) &amp; "'!B1:B1000"))
            )
        ),0)
    )
))</f>
        <v/>
      </c>
      <c r="G43" s="145" t="str">
        <f t="array" aca="1" ref="G43" ca="1">IF($D41="Gebruik % van maximum trede",
IF(
    OR(G40="",G41=""),
    "",
    MAX(
    INDIRECT("'" &amp; INDEX('Hulp (CAO''s)'!$C$3:$C$6,
        MATCH(TRUE,'Hulp (CAO''s)'!$D$3:$D$6,0)) &amp; "'!" &amp;
        INDEX('Hulp (CAO''s)'!$H$3:$H$6,
            MATCH(TRUE,'Hulp (CAO''s)'!$D$3:$D$6,0))
        &amp;
        MATCH(G40, INDIRECT("'" &amp; INDEX('Hulp (CAO''s)'!$C$3:$C$6,
            MATCH(TRUE,'Hulp (CAO''s)'!$D$3:$D$6,0)) &amp; "'!A:A"),0)
        &amp; ":H" &amp;
        IF(H40&lt;&gt;"",
            MATCH(H40, INDIRECT("'" &amp; INDEX('Hulp (CAO''s)'!$C$3:$C$6,
                MATCH(TRUE,'Hulp (CAO''s)'!$D$3:$D$6,0)) &amp; "'!A:A"),0)-1,
            1000
        )
    )
) * G41
),
IF(
    IFERROR(MIN(
        IF(
            (TRIM(INDIRECT("'" &amp; INDEX('Hulp (CAO''s)'!$C$3:$C$6,
                MATCH(TRUE,'Hulp (CAO''s)'!$D$3:$D$6,0)) &amp; "'!B1:B1000")) = TEXT(G42,"0")) *
            (ROW(INDIRECT("'" &amp; INDEX('Hulp (CAO''s)'!$C$3:$C$6,
                MATCH(TRUE,'Hulp (CAO''s)'!$D$3:$D$6,0)) &amp; "'!B1:B1000")) &gt; MATCH(
                G40,
                INDIRECT("'" &amp; INDEX('Hulp (CAO''s)'!$C$3:$C$6,
                    MATCH(TRUE,'Hulp (CAO''s)'!$D$3:$D$6,0)) &amp; "'!A:A"),
                0
            )) *
            IF(
                H40="",
                1,
                (ROW(INDIRECT("'" &amp; INDEX('Hulp (CAO''s)'!$C$3:$C$6,
                    MATCH(TRUE,'Hulp (CAO''s)'!$D$3:$D$6,0)) &amp; "'!B1:B1000")) &lt; MATCH(
                    H40,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TEXT(G42,"0")) *
                (ROW(INDIRECT("'" &amp; INDEX('Hulp (CAO''s)'!$C$3:$C$6,
                    MATCH(TRUE,'Hulp (CAO''s)'!$D$3:$D$6,0)) &amp; "'!B1:B1000")) &gt; MATCH(
                    G40,
                    INDIRECT("'" &amp; INDEX('Hulp (CAO''s)'!$C$3:$C$6,
                        MATCH(TRUE,'Hulp (CAO''s)'!$D$3:$D$6,0)) &amp; "'!A:A"),
                    0
                )) *
                IF(
                    H40="",
                    1,
                    (ROW(INDIRECT("'" &amp; INDEX('Hulp (CAO''s)'!$C$3:$C$6,
                        MATCH(TRUE,'Hulp (CAO''s)'!$D$3:$D$6,0)) &amp; "'!B1:B1000")) &lt; MATCH(
                        H40,
                        INDIRECT("'" &amp; INDEX('Hulp (CAO''s)'!$C$3:$C$6,
                            MATCH(TRUE,'Hulp (CAO''s)'!$D$3:$D$6,0)) &amp; "'!A:A"),
                        0
                    ))
                ),
                ROW(INDIRECT("'" &amp; INDEX('Hulp (CAO''s)'!$C$3:$C$6,
                    MATCH(TRUE,'Hulp (CAO''s)'!$D$3:$D$6,0)) &amp; "'!B1:B1000"))
            )
        ),0)
    )
))</f>
        <v/>
      </c>
      <c r="H43" s="145" t="str">
        <f t="array" aca="1" ref="H43" ca="1">IF($D41="Gebruik % van maximum trede",
IF(
    OR(H40="",H41=""),
    "",
    MAX(
    INDIRECT("'" &amp; INDEX('Hulp (CAO''s)'!$C$3:$C$6,
        MATCH(TRUE,'Hulp (CAO''s)'!$D$3:$D$6,0)) &amp; "'!" &amp;
        INDEX('Hulp (CAO''s)'!$H$3:$H$6,
            MATCH(TRUE,'Hulp (CAO''s)'!$D$3:$D$6,0))
        &amp;
        MATCH(H40, INDIRECT("'" &amp; INDEX('Hulp (CAO''s)'!$C$3:$C$6,
            MATCH(TRUE,'Hulp (CAO''s)'!$D$3:$D$6,0)) &amp; "'!A:A"),0)
        &amp; ":H" &amp;
        IF(I40&lt;&gt;"",
            MATCH(I40, INDIRECT("'" &amp; INDEX('Hulp (CAO''s)'!$C$3:$C$6,
                MATCH(TRUE,'Hulp (CAO''s)'!$D$3:$D$6,0)) &amp; "'!A:A"),0)-1,
            1000
        )
    )
) * H41
),
IF(
    IFERROR(MIN(
        IF(
            (TRIM(INDIRECT("'" &amp; INDEX('Hulp (CAO''s)'!$C$3:$C$6,
                MATCH(TRUE,'Hulp (CAO''s)'!$D$3:$D$6,0)) &amp; "'!B1:B1000")) = TEXT(H42,"0")) *
            (ROW(INDIRECT("'" &amp; INDEX('Hulp (CAO''s)'!$C$3:$C$6,
                MATCH(TRUE,'Hulp (CAO''s)'!$D$3:$D$6,0)) &amp; "'!B1:B1000")) &gt; MATCH(
                H40,
                INDIRECT("'" &amp; INDEX('Hulp (CAO''s)'!$C$3:$C$6,
                    MATCH(TRUE,'Hulp (CAO''s)'!$D$3:$D$6,0)) &amp; "'!A:A"),
                0
            )) *
            IF(
                I40="",
                1,
                (ROW(INDIRECT("'" &amp; INDEX('Hulp (CAO''s)'!$C$3:$C$6,
                    MATCH(TRUE,'Hulp (CAO''s)'!$D$3:$D$6,0)) &amp; "'!B1:B1000")) &lt; MATCH(
                    I40,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TEXT(H42,"0")) *
                (ROW(INDIRECT("'" &amp; INDEX('Hulp (CAO''s)'!$C$3:$C$6,
                    MATCH(TRUE,'Hulp (CAO''s)'!$D$3:$D$6,0)) &amp; "'!B1:B1000")) &gt; MATCH(
                    H40,
                    INDIRECT("'" &amp; INDEX('Hulp (CAO''s)'!$C$3:$C$6,
                        MATCH(TRUE,'Hulp (CAO''s)'!$D$3:$D$6,0)) &amp; "'!A:A"),
                    0
                )) *
                IF(
                    I40="",
                    1,
                    (ROW(INDIRECT("'" &amp; INDEX('Hulp (CAO''s)'!$C$3:$C$6,
                        MATCH(TRUE,'Hulp (CAO''s)'!$D$3:$D$6,0)) &amp; "'!B1:B1000")) &lt; MATCH(
                        I40,
                        INDIRECT("'" &amp; INDEX('Hulp (CAO''s)'!$C$3:$C$6,
                            MATCH(TRUE,'Hulp (CAO''s)'!$D$3:$D$6,0)) &amp; "'!A:A"),
                        0
                    ))
                ),
                ROW(INDIRECT("'" &amp; INDEX('Hulp (CAO''s)'!$C$3:$C$6,
                    MATCH(TRUE,'Hulp (CAO''s)'!$D$3:$D$6,0)) &amp; "'!B1:B1000"))
            )
        ),0)
    )
))</f>
        <v/>
      </c>
      <c r="I43" s="145" t="str">
        <f t="array" aca="1" ref="I43" ca="1">IF($D41="Gebruik % van maximum trede",
IF(
    OR(I40="",I41=""),
    "",
    MAX(
    INDIRECT("'" &amp; INDEX('Hulp (CAO''s)'!$C$3:$C$6,
        MATCH(TRUE,'Hulp (CAO''s)'!$D$3:$D$6,0)) &amp; "'!" &amp;
        INDEX('Hulp (CAO''s)'!$H$3:$H$6,
            MATCH(TRUE,'Hulp (CAO''s)'!$D$3:$D$6,0))
        &amp;
        MATCH(I40, INDIRECT("'" &amp; INDEX('Hulp (CAO''s)'!$C$3:$C$6,
            MATCH(TRUE,'Hulp (CAO''s)'!$D$3:$D$6,0)) &amp; "'!A:A"),0)
        &amp; ":H" &amp;
        IF(J40&lt;&gt;"",
            MATCH(J40, INDIRECT("'" &amp; INDEX('Hulp (CAO''s)'!$C$3:$C$6,
                MATCH(TRUE,'Hulp (CAO''s)'!$D$3:$D$6,0)) &amp; "'!A:A"),0)-1,
            1000
        )
    )
) * I41
),
IF(
    IFERROR(MIN(
        IF(
            (TRIM(INDIRECT("'" &amp; INDEX('Hulp (CAO''s)'!$C$3:$C$6,
                MATCH(TRUE,'Hulp (CAO''s)'!$D$3:$D$6,0)) &amp; "'!B1:B1000")) = TEXT(I42,"0")) *
            (ROW(INDIRECT("'" &amp; INDEX('Hulp (CAO''s)'!$C$3:$C$6,
                MATCH(TRUE,'Hulp (CAO''s)'!$D$3:$D$6,0)) &amp; "'!B1:B1000")) &gt; MATCH(
                I40,
                INDIRECT("'" &amp; INDEX('Hulp (CAO''s)'!$C$3:$C$6,
                    MATCH(TRUE,'Hulp (CAO''s)'!$D$3:$D$6,0)) &amp; "'!A:A"),
                0
            )) *
            IF(
                J40="",
                1,
                (ROW(INDIRECT("'" &amp; INDEX('Hulp (CAO''s)'!$C$3:$C$6,
                    MATCH(TRUE,'Hulp (CAO''s)'!$D$3:$D$6,0)) &amp; "'!B1:B1000")) &lt; MATCH(
                    J40,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TEXT(I42,"0")) *
                (ROW(INDIRECT("'" &amp; INDEX('Hulp (CAO''s)'!$C$3:$C$6,
                    MATCH(TRUE,'Hulp (CAO''s)'!$D$3:$D$6,0)) &amp; "'!B1:B1000")) &gt; MATCH(
                    I40,
                    INDIRECT("'" &amp; INDEX('Hulp (CAO''s)'!$C$3:$C$6,
                        MATCH(TRUE,'Hulp (CAO''s)'!$D$3:$D$6,0)) &amp; "'!A:A"),
                    0
                )) *
                IF(
                    J40="",
                    1,
                    (ROW(INDIRECT("'" &amp; INDEX('Hulp (CAO''s)'!$C$3:$C$6,
                        MATCH(TRUE,'Hulp (CAO''s)'!$D$3:$D$6,0)) &amp; "'!B1:B1000")) &lt; MATCH(
                        J40,
                        INDIRECT("'" &amp; INDEX('Hulp (CAO''s)'!$C$3:$C$6,
                            MATCH(TRUE,'Hulp (CAO''s)'!$D$3:$D$6,0)) &amp; "'!A:A"),
                        0
                    ))
                ),
                ROW(INDIRECT("'" &amp; INDEX('Hulp (CAO''s)'!$C$3:$C$6,
                    MATCH(TRUE,'Hulp (CAO''s)'!$D$3:$D$6,0)) &amp; "'!B1:B1000"))
            )
        ),0)
    )
))</f>
        <v/>
      </c>
      <c r="J43" s="145" t="str">
        <f t="array" aca="1" ref="J43" ca="1">IF($D41="Gebruik % van maximum trede",
IF(
    OR(J40="",J41=""),
    "",
    MAX(
    INDIRECT("'" &amp; INDEX('Hulp (CAO''s)'!$C$3:$C$6,
        MATCH(TRUE,'Hulp (CAO''s)'!$D$3:$D$6,0)) &amp; "'!" &amp;
        INDEX('Hulp (CAO''s)'!$H$3:$H$6,
            MATCH(TRUE,'Hulp (CAO''s)'!$D$3:$D$6,0))
        &amp;
        MATCH(J40, INDIRECT("'" &amp; INDEX('Hulp (CAO''s)'!$C$3:$C$6,
            MATCH(TRUE,'Hulp (CAO''s)'!$D$3:$D$6,0)) &amp; "'!A:A"),0)
        &amp; ":H" &amp;
        IF(K40&lt;&gt;"",
            MATCH(K40, INDIRECT("'" &amp; INDEX('Hulp (CAO''s)'!$C$3:$C$6,
                MATCH(TRUE,'Hulp (CAO''s)'!$D$3:$D$6,0)) &amp; "'!A:A"),0)-1,
            1000
        )
    )
) * J41
),
IF(
    IFERROR(MIN(
        IF(
            (TRIM(INDIRECT("'" &amp; INDEX('Hulp (CAO''s)'!$C$3:$C$6,
                MATCH(TRUE,'Hulp (CAO''s)'!$D$3:$D$6,0)) &amp; "'!B1:B1000")) = TEXT(J42,"0")) *
            (ROW(INDIRECT("'" &amp; INDEX('Hulp (CAO''s)'!$C$3:$C$6,
                MATCH(TRUE,'Hulp (CAO''s)'!$D$3:$D$6,0)) &amp; "'!B1:B1000")) &gt; MATCH(
                J40,
                INDIRECT("'" &amp; INDEX('Hulp (CAO''s)'!$C$3:$C$6,
                    MATCH(TRUE,'Hulp (CAO''s)'!$D$3:$D$6,0)) &amp; "'!A:A"),
                0
            )) *
            IF(
                K40="",
                1,
                (ROW(INDIRECT("'" &amp; INDEX('Hulp (CAO''s)'!$C$3:$C$6,
                    MATCH(TRUE,'Hulp (CAO''s)'!$D$3:$D$6,0)) &amp; "'!B1:B1000")) &lt; MATCH(
                    K40,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TEXT(J42,"0")) *
                (ROW(INDIRECT("'" &amp; INDEX('Hulp (CAO''s)'!$C$3:$C$6,
                    MATCH(TRUE,'Hulp (CAO''s)'!$D$3:$D$6,0)) &amp; "'!B1:B1000")) &gt; MATCH(
                    J40,
                    INDIRECT("'" &amp; INDEX('Hulp (CAO''s)'!$C$3:$C$6,
                        MATCH(TRUE,'Hulp (CAO''s)'!$D$3:$D$6,0)) &amp; "'!A:A"),
                    0
                )) *
                IF(
                    K40="",
                    1,
                    (ROW(INDIRECT("'" &amp; INDEX('Hulp (CAO''s)'!$C$3:$C$6,
                        MATCH(TRUE,'Hulp (CAO''s)'!$D$3:$D$6,0)) &amp; "'!B1:B1000")) &lt; MATCH(
                        K40,
                        INDIRECT("'" &amp; INDEX('Hulp (CAO''s)'!$C$3:$C$6,
                            MATCH(TRUE,'Hulp (CAO''s)'!$D$3:$D$6,0)) &amp; "'!A:A"),
                        0
                    ))
                ),
                ROW(INDIRECT("'" &amp; INDEX('Hulp (CAO''s)'!$C$3:$C$6,
                    MATCH(TRUE,'Hulp (CAO''s)'!$D$3:$D$6,0)) &amp; "'!B1:B1000"))
            )
        ),0)
    )
))</f>
        <v/>
      </c>
      <c r="K43" s="145" t="str">
        <f t="array" aca="1" ref="K43" ca="1">IF($D41="Gebruik % van maximum trede",
IF(
    OR(K40="",K41=""),
    "",
    MAX(
    INDIRECT("'" &amp; INDEX('Hulp (CAO''s)'!$C$3:$C$6,
        MATCH(TRUE,'Hulp (CAO''s)'!$D$3:$D$6,0)) &amp; "'!" &amp;
        INDEX('Hulp (CAO''s)'!$H$3:$H$6,
            MATCH(TRUE,'Hulp (CAO''s)'!$D$3:$D$6,0))
        &amp;
        MATCH(K40, INDIRECT("'" &amp; INDEX('Hulp (CAO''s)'!$C$3:$C$6,
            MATCH(TRUE,'Hulp (CAO''s)'!$D$3:$D$6,0)) &amp; "'!A:A"),0)
        &amp; ":H" &amp;
        IF(L40&lt;&gt;"",
            MATCH(L40, INDIRECT("'" &amp; INDEX('Hulp (CAO''s)'!$C$3:$C$6,
                MATCH(TRUE,'Hulp (CAO''s)'!$D$3:$D$6,0)) &amp; "'!A:A"),0)-1,
            1000
        )
    )
) * K41
),
IF(
    IFERROR(MIN(
        IF(
            (TRIM(INDIRECT("'" &amp; INDEX('Hulp (CAO''s)'!$C$3:$C$6,
                MATCH(TRUE,'Hulp (CAO''s)'!$D$3:$D$6,0)) &amp; "'!B1:B1000")) = TEXT(K42,"0")) *
            (ROW(INDIRECT("'" &amp; INDEX('Hulp (CAO''s)'!$C$3:$C$6,
                MATCH(TRUE,'Hulp (CAO''s)'!$D$3:$D$6,0)) &amp; "'!B1:B1000")) &gt; MATCH(
                K40,
                INDIRECT("'" &amp; INDEX('Hulp (CAO''s)'!$C$3:$C$6,
                    MATCH(TRUE,'Hulp (CAO''s)'!$D$3:$D$6,0)) &amp; "'!A:A"),
                0
            )) *
            IF(
                L40="",
                1,
                (ROW(INDIRECT("'" &amp; INDEX('Hulp (CAO''s)'!$C$3:$C$6,
                    MATCH(TRUE,'Hulp (CAO''s)'!$D$3:$D$6,0)) &amp; "'!B1:B1000")) &lt; MATCH(
                    L40,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TEXT(K42,"0")) *
                (ROW(INDIRECT("'" &amp; INDEX('Hulp (CAO''s)'!$C$3:$C$6,
                    MATCH(TRUE,'Hulp (CAO''s)'!$D$3:$D$6,0)) &amp; "'!B1:B1000")) &gt; MATCH(
                    K40,
                    INDIRECT("'" &amp; INDEX('Hulp (CAO''s)'!$C$3:$C$6,
                        MATCH(TRUE,'Hulp (CAO''s)'!$D$3:$D$6,0)) &amp; "'!A:A"),
                    0
                )) *
                IF(
                    L40="",
                    1,
                    (ROW(INDIRECT("'" &amp; INDEX('Hulp (CAO''s)'!$C$3:$C$6,
                        MATCH(TRUE,'Hulp (CAO''s)'!$D$3:$D$6,0)) &amp; "'!B1:B1000")) &lt; MATCH(
                        L40,
                        INDIRECT("'" &amp; INDEX('Hulp (CAO''s)'!$C$3:$C$6,
                            MATCH(TRUE,'Hulp (CAO''s)'!$D$3:$D$6,0)) &amp; "'!A:A"),
                        0
                    ))
                ),
                ROW(INDIRECT("'" &amp; INDEX('Hulp (CAO''s)'!$C$3:$C$6,
                    MATCH(TRUE,'Hulp (CAO''s)'!$D$3:$D$6,0)) &amp; "'!B1:B1000"))
            )
        ),0)
    )
))</f>
        <v/>
      </c>
      <c r="L43" s="145" t="str">
        <f t="array" aca="1" ref="L43" ca="1">IF($D41="Gebruik % van maximum trede",
IF(
    OR(L40="",L41=""),
    "",
    MAX(
    INDIRECT("'" &amp; INDEX('Hulp (CAO''s)'!$C$3:$C$6,
        MATCH(TRUE,'Hulp (CAO''s)'!$D$3:$D$6,0)) &amp; "'!" &amp;
        INDEX('Hulp (CAO''s)'!$H$3:$H$6,
            MATCH(TRUE,'Hulp (CAO''s)'!$D$3:$D$6,0))
        &amp;
        MATCH(L40, INDIRECT("'" &amp; INDEX('Hulp (CAO''s)'!$C$3:$C$6,
            MATCH(TRUE,'Hulp (CAO''s)'!$D$3:$D$6,0)) &amp; "'!A:A"),0)
        &amp; ":H" &amp;
        IF(M40&lt;&gt;"",
            MATCH(M40, INDIRECT("'" &amp; INDEX('Hulp (CAO''s)'!$C$3:$C$6,
                MATCH(TRUE,'Hulp (CAO''s)'!$D$3:$D$6,0)) &amp; "'!A:A"),0)-1,
            1000
        )
    )
) * L41
),
IF(
    IFERROR(MIN(
        IF(
            (TRIM(INDIRECT("'" &amp; INDEX('Hulp (CAO''s)'!$C$3:$C$6,
                MATCH(TRUE,'Hulp (CAO''s)'!$D$3:$D$6,0)) &amp; "'!B1:B1000")) = TEXT(L42,"0")) *
            (ROW(INDIRECT("'" &amp; INDEX('Hulp (CAO''s)'!$C$3:$C$6,
                MATCH(TRUE,'Hulp (CAO''s)'!$D$3:$D$6,0)) &amp; "'!B1:B1000")) &gt; MATCH(
                L40,
                INDIRECT("'" &amp; INDEX('Hulp (CAO''s)'!$C$3:$C$6,
                    MATCH(TRUE,'Hulp (CAO''s)'!$D$3:$D$6,0)) &amp; "'!A:A"),
                0
            )) *
            IF(
                M40="",
                1,
                (ROW(INDIRECT("'" &amp; INDEX('Hulp (CAO''s)'!$C$3:$C$6,
                    MATCH(TRUE,'Hulp (CAO''s)'!$D$3:$D$6,0)) &amp; "'!B1:B1000")) &lt; MATCH(
                    M40,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TEXT(L42,"0")) *
                (ROW(INDIRECT("'" &amp; INDEX('Hulp (CAO''s)'!$C$3:$C$6,
                    MATCH(TRUE,'Hulp (CAO''s)'!$D$3:$D$6,0)) &amp; "'!B1:B1000")) &gt; MATCH(
                    L40,
                    INDIRECT("'" &amp; INDEX('Hulp (CAO''s)'!$C$3:$C$6,
                        MATCH(TRUE,'Hulp (CAO''s)'!$D$3:$D$6,0)) &amp; "'!A:A"),
                    0
                )) *
                IF(
                    M40="",
                    1,
                    (ROW(INDIRECT("'" &amp; INDEX('Hulp (CAO''s)'!$C$3:$C$6,
                        MATCH(TRUE,'Hulp (CAO''s)'!$D$3:$D$6,0)) &amp; "'!B1:B1000")) &lt; MATCH(
                        M40,
                        INDIRECT("'" &amp; INDEX('Hulp (CAO''s)'!$C$3:$C$6,
                            MATCH(TRUE,'Hulp (CAO''s)'!$D$3:$D$6,0)) &amp; "'!A:A"),
                        0
                    ))
                ),
                ROW(INDIRECT("'" &amp; INDEX('Hulp (CAO''s)'!$C$3:$C$6,
                    MATCH(TRUE,'Hulp (CAO''s)'!$D$3:$D$6,0)) &amp; "'!B1:B1000"))
            )
        ),0)
    )
))</f>
        <v/>
      </c>
      <c r="M43" s="145" t="str">
        <f t="array" aca="1" ref="M43" ca="1">IF($D41="Gebruik % van maximum trede",
IF(
    OR(M40="",M41=""),
    "",
    MAX(
    INDIRECT("'" &amp; INDEX('Hulp (CAO''s)'!$C$3:$C$6,
        MATCH(TRUE,'Hulp (CAO''s)'!$D$3:$D$6,0)) &amp; "'!" &amp;
        INDEX('Hulp (CAO''s)'!$H$3:$H$6,
            MATCH(TRUE,'Hulp (CAO''s)'!$D$3:$D$6,0))
        &amp;
        MATCH(M40, INDIRECT("'" &amp; INDEX('Hulp (CAO''s)'!$C$3:$C$6,
            MATCH(TRUE,'Hulp (CAO''s)'!$D$3:$D$6,0)) &amp; "'!A:A"),0)
        &amp; ":H" &amp;
        IF(N40&lt;&gt;"",
            MATCH(N40, INDIRECT("'" &amp; INDEX('Hulp (CAO''s)'!$C$3:$C$6,
                MATCH(TRUE,'Hulp (CAO''s)'!$D$3:$D$6,0)) &amp; "'!A:A"),0)-1,
            1000
        )
    )
) * M41
),
IF(
    IFERROR(MIN(
        IF(
            (TRIM(INDIRECT("'" &amp; INDEX('Hulp (CAO''s)'!$C$3:$C$6,
                MATCH(TRUE,'Hulp (CAO''s)'!$D$3:$D$6,0)) &amp; "'!B1:B1000")) = TEXT(M42,"0")) *
            (ROW(INDIRECT("'" &amp; INDEX('Hulp (CAO''s)'!$C$3:$C$6,
                MATCH(TRUE,'Hulp (CAO''s)'!$D$3:$D$6,0)) &amp; "'!B1:B1000")) &gt; MATCH(
                M40,
                INDIRECT("'" &amp; INDEX('Hulp (CAO''s)'!$C$3:$C$6,
                    MATCH(TRUE,'Hulp (CAO''s)'!$D$3:$D$6,0)) &amp; "'!A:A"),
                0
            )) *
            IF(
                N40="",
                1,
                (ROW(INDIRECT("'" &amp; INDEX('Hulp (CAO''s)'!$C$3:$C$6,
                    MATCH(TRUE,'Hulp (CAO''s)'!$D$3:$D$6,0)) &amp; "'!B1:B1000")) &lt; MATCH(
                    N40,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TEXT(M42,"0")) *
                (ROW(INDIRECT("'" &amp; INDEX('Hulp (CAO''s)'!$C$3:$C$6,
                    MATCH(TRUE,'Hulp (CAO''s)'!$D$3:$D$6,0)) &amp; "'!B1:B1000")) &gt; MATCH(
                    M40,
                    INDIRECT("'" &amp; INDEX('Hulp (CAO''s)'!$C$3:$C$6,
                        MATCH(TRUE,'Hulp (CAO''s)'!$D$3:$D$6,0)) &amp; "'!A:A"),
                    0
                )) *
                IF(
                    N40="",
                    1,
                    (ROW(INDIRECT("'" &amp; INDEX('Hulp (CAO''s)'!$C$3:$C$6,
                        MATCH(TRUE,'Hulp (CAO''s)'!$D$3:$D$6,0)) &amp; "'!B1:B1000")) &lt; MATCH(
                        N40,
                        INDIRECT("'" &amp; INDEX('Hulp (CAO''s)'!$C$3:$C$6,
                            MATCH(TRUE,'Hulp (CAO''s)'!$D$3:$D$6,0)) &amp; "'!A:A"),
                        0
                    ))
                ),
                ROW(INDIRECT("'" &amp; INDEX('Hulp (CAO''s)'!$C$3:$C$6,
                    MATCH(TRUE,'Hulp (CAO''s)'!$D$3:$D$6,0)) &amp; "'!B1:B1000"))
            )
        ),0)
    )
))</f>
        <v/>
      </c>
      <c r="N43" s="145" t="str">
        <f t="array" aca="1" ref="N43" ca="1">IF($D41="Gebruik % van maximum trede",
IF(
    OR(N40="",N41=""),
    "",
    MAX(
    INDIRECT("'" &amp; INDEX('Hulp (CAO''s)'!$C$3:$C$6,
        MATCH(TRUE,'Hulp (CAO''s)'!$D$3:$D$6,0)) &amp; "'!" &amp;
        INDEX('Hulp (CAO''s)'!$H$3:$H$6,
            MATCH(TRUE,'Hulp (CAO''s)'!$D$3:$D$6,0))
        &amp;
        MATCH(N40, INDIRECT("'" &amp; INDEX('Hulp (CAO''s)'!$C$3:$C$6,
            MATCH(TRUE,'Hulp (CAO''s)'!$D$3:$D$6,0)) &amp; "'!A:A"),0)
        &amp; ":H" &amp;
        IF(O40&lt;&gt;"",
            MATCH(O40, INDIRECT("'" &amp; INDEX('Hulp (CAO''s)'!$C$3:$C$6,
                MATCH(TRUE,'Hulp (CAO''s)'!$D$3:$D$6,0)) &amp; "'!A:A"),0)-1,
            1000
        )
    )
) * N41
),
IF(
    IFERROR(MIN(
        IF(
            (TRIM(INDIRECT("'" &amp; INDEX('Hulp (CAO''s)'!$C$3:$C$6,
                MATCH(TRUE,'Hulp (CAO''s)'!$D$3:$D$6,0)) &amp; "'!B1:B1000")) = TEXT(N42,"0")) *
            (ROW(INDIRECT("'" &amp; INDEX('Hulp (CAO''s)'!$C$3:$C$6,
                MATCH(TRUE,'Hulp (CAO''s)'!$D$3:$D$6,0)) &amp; "'!B1:B1000")) &gt; MATCH(
                N40,
                INDIRECT("'" &amp; INDEX('Hulp (CAO''s)'!$C$3:$C$6,
                    MATCH(TRUE,'Hulp (CAO''s)'!$D$3:$D$6,0)) &amp; "'!A:A"),
                0
            )) *
            IF(
                O40="",
                1,
                (ROW(INDIRECT("'" &amp; INDEX('Hulp (CAO''s)'!$C$3:$C$6,
                    MATCH(TRUE,'Hulp (CAO''s)'!$D$3:$D$6,0)) &amp; "'!B1:B1000")) &lt; MATCH(
                    O40,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TEXT(N42,"0")) *
                (ROW(INDIRECT("'" &amp; INDEX('Hulp (CAO''s)'!$C$3:$C$6,
                    MATCH(TRUE,'Hulp (CAO''s)'!$D$3:$D$6,0)) &amp; "'!B1:B1000")) &gt; MATCH(
                    N40,
                    INDIRECT("'" &amp; INDEX('Hulp (CAO''s)'!$C$3:$C$6,
                        MATCH(TRUE,'Hulp (CAO''s)'!$D$3:$D$6,0)) &amp; "'!A:A"),
                    0
                )) *
                IF(
                    O40="",
                    1,
                    (ROW(INDIRECT("'" &amp; INDEX('Hulp (CAO''s)'!$C$3:$C$6,
                        MATCH(TRUE,'Hulp (CAO''s)'!$D$3:$D$6,0)) &amp; "'!B1:B1000")) &lt; MATCH(
                        O40,
                        INDIRECT("'" &amp; INDEX('Hulp (CAO''s)'!$C$3:$C$6,
                            MATCH(TRUE,'Hulp (CAO''s)'!$D$3:$D$6,0)) &amp; "'!A:A"),
                        0
                    ))
                ),
                ROW(INDIRECT("'" &amp; INDEX('Hulp (CAO''s)'!$C$3:$C$6,
                    MATCH(TRUE,'Hulp (CAO''s)'!$D$3:$D$6,0)) &amp; "'!B1:B1000"))
            )
        ),0)
    )
))</f>
        <v/>
      </c>
      <c r="O43" s="145" t="str">
        <f t="array" aca="1" ref="O43" ca="1">IF($D41="Gebruik % van maximum trede",
IF(
    OR(O40="",O41=""),
    "",
    MAX(
    INDIRECT("'" &amp; INDEX('Hulp (CAO''s)'!$C$3:$C$6,
        MATCH(TRUE,'Hulp (CAO''s)'!$D$3:$D$6,0)) &amp; "'!" &amp;
        INDEX('Hulp (CAO''s)'!$H$3:$H$6,
            MATCH(TRUE,'Hulp (CAO''s)'!$D$3:$D$6,0))
        &amp;
        MATCH(O40, INDIRECT("'" &amp; INDEX('Hulp (CAO''s)'!$C$3:$C$6,
            MATCH(TRUE,'Hulp (CAO''s)'!$D$3:$D$6,0)) &amp; "'!A:A"),0)
        &amp; ":H" &amp;
        IF(P40&lt;&gt;"",
            MATCH(P40, INDIRECT("'" &amp; INDEX('Hulp (CAO''s)'!$C$3:$C$6,
                MATCH(TRUE,'Hulp (CAO''s)'!$D$3:$D$6,0)) &amp; "'!A:A"),0)-1,
            1000
        )
    )
) * O41
),
IF(
    IFERROR(MIN(
        IF(
            (TRIM(INDIRECT("'" &amp; INDEX('Hulp (CAO''s)'!$C$3:$C$6,
                MATCH(TRUE,'Hulp (CAO''s)'!$D$3:$D$6,0)) &amp; "'!B1:B1000")) = TEXT(O42,"0")) *
            (ROW(INDIRECT("'" &amp; INDEX('Hulp (CAO''s)'!$C$3:$C$6,
                MATCH(TRUE,'Hulp (CAO''s)'!$D$3:$D$6,0)) &amp; "'!B1:B1000")) &gt; MATCH(
                O40,
                INDIRECT("'" &amp; INDEX('Hulp (CAO''s)'!$C$3:$C$6,
                    MATCH(TRUE,'Hulp (CAO''s)'!$D$3:$D$6,0)) &amp; "'!A:A"),
                0
            )) *
            IF(
                P40="",
                1,
                (ROW(INDIRECT("'" &amp; INDEX('Hulp (CAO''s)'!$C$3:$C$6,
                    MATCH(TRUE,'Hulp (CAO''s)'!$D$3:$D$6,0)) &amp; "'!B1:B1000")) &lt; MATCH(
                    P40,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TEXT(O42,"0")) *
                (ROW(INDIRECT("'" &amp; INDEX('Hulp (CAO''s)'!$C$3:$C$6,
                    MATCH(TRUE,'Hulp (CAO''s)'!$D$3:$D$6,0)) &amp; "'!B1:B1000")) &gt; MATCH(
                    O40,
                    INDIRECT("'" &amp; INDEX('Hulp (CAO''s)'!$C$3:$C$6,
                        MATCH(TRUE,'Hulp (CAO''s)'!$D$3:$D$6,0)) &amp; "'!A:A"),
                    0
                )) *
                IF(
                    P40="",
                    1,
                    (ROW(INDIRECT("'" &amp; INDEX('Hulp (CAO''s)'!$C$3:$C$6,
                        MATCH(TRUE,'Hulp (CAO''s)'!$D$3:$D$6,0)) &amp; "'!B1:B1000")) &lt; MATCH(
                        P40,
                        INDIRECT("'" &amp; INDEX('Hulp (CAO''s)'!$C$3:$C$6,
                            MATCH(TRUE,'Hulp (CAO''s)'!$D$3:$D$6,0)) &amp; "'!A:A"),
                        0
                    ))
                ),
                ROW(INDIRECT("'" &amp; INDEX('Hulp (CAO''s)'!$C$3:$C$6,
                    MATCH(TRUE,'Hulp (CAO''s)'!$D$3:$D$6,0)) &amp; "'!B1:B1000"))
            )
        ),0)
    )
))</f>
        <v/>
      </c>
      <c r="P43" s="145" t="str">
        <f t="array" aca="1" ref="P43" ca="1">IF($D41="Gebruik % van maximum trede",
IF(
    OR(P40="",P41=""),
    "",
    MAX(
    INDIRECT("'" &amp; INDEX('Hulp (CAO''s)'!$C$3:$C$6,
        MATCH(TRUE,'Hulp (CAO''s)'!$D$3:$D$6,0)) &amp; "'!" &amp;
        INDEX('Hulp (CAO''s)'!$H$3:$H$6,
            MATCH(TRUE,'Hulp (CAO''s)'!$D$3:$D$6,0))
        &amp;
        MATCH(P40, INDIRECT("'" &amp; INDEX('Hulp (CAO''s)'!$C$3:$C$6,
            MATCH(TRUE,'Hulp (CAO''s)'!$D$3:$D$6,0)) &amp; "'!A:A"),0)
        &amp; ":H" &amp;
        IF(Q40&lt;&gt;"",
            MATCH(Q40, INDIRECT("'" &amp; INDEX('Hulp (CAO''s)'!$C$3:$C$6,
                MATCH(TRUE,'Hulp (CAO''s)'!$D$3:$D$6,0)) &amp; "'!A:A"),0)-1,
            1000
        )
    )
) * P41
),
IF(
    IFERROR(MIN(
        IF(
            (TRIM(INDIRECT("'" &amp; INDEX('Hulp (CAO''s)'!$C$3:$C$6,
                MATCH(TRUE,'Hulp (CAO''s)'!$D$3:$D$6,0)) &amp; "'!B1:B1000")) = TEXT(P42,"0")) *
            (ROW(INDIRECT("'" &amp; INDEX('Hulp (CAO''s)'!$C$3:$C$6,
                MATCH(TRUE,'Hulp (CAO''s)'!$D$3:$D$6,0)) &amp; "'!B1:B1000")) &gt; MATCH(
                P40,
                INDIRECT("'" &amp; INDEX('Hulp (CAO''s)'!$C$3:$C$6,
                    MATCH(TRUE,'Hulp (CAO''s)'!$D$3:$D$6,0)) &amp; "'!A:A"),
                0
            )) *
            IF(
                Q40="",
                1,
                (ROW(INDIRECT("'" &amp; INDEX('Hulp (CAO''s)'!$C$3:$C$6,
                    MATCH(TRUE,'Hulp (CAO''s)'!$D$3:$D$6,0)) &amp; "'!B1:B1000")) &lt; MATCH(
                    Q40,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TEXT(P42,"0")) *
                (ROW(INDIRECT("'" &amp; INDEX('Hulp (CAO''s)'!$C$3:$C$6,
                    MATCH(TRUE,'Hulp (CAO''s)'!$D$3:$D$6,0)) &amp; "'!B1:B1000")) &gt; MATCH(
                    P40,
                    INDIRECT("'" &amp; INDEX('Hulp (CAO''s)'!$C$3:$C$6,
                        MATCH(TRUE,'Hulp (CAO''s)'!$D$3:$D$6,0)) &amp; "'!A:A"),
                    0
                )) *
                IF(
                    Q40="",
                    1,
                    (ROW(INDIRECT("'" &amp; INDEX('Hulp (CAO''s)'!$C$3:$C$6,
                        MATCH(TRUE,'Hulp (CAO''s)'!$D$3:$D$6,0)) &amp; "'!B1:B1000")) &lt; MATCH(
                        Q40,
                        INDIRECT("'" &amp; INDEX('Hulp (CAO''s)'!$C$3:$C$6,
                            MATCH(TRUE,'Hulp (CAO''s)'!$D$3:$D$6,0)) &amp; "'!A:A"),
                        0
                    ))
                ),
                ROW(INDIRECT("'" &amp; INDEX('Hulp (CAO''s)'!$C$3:$C$6,
                    MATCH(TRUE,'Hulp (CAO''s)'!$D$3:$D$6,0)) &amp; "'!B1:B1000"))
            )
        ),0)
    )
))</f>
        <v/>
      </c>
      <c r="Q43" s="145" t="str">
        <f t="array" aca="1" ref="Q43" ca="1">IF($D41="Gebruik % van maximum trede",
IF(
    OR(Q40="",Q41=""),
    "",
    MAX(
    INDIRECT("'" &amp; INDEX('Hulp (CAO''s)'!$C$3:$C$6,
        MATCH(TRUE,'Hulp (CAO''s)'!$D$3:$D$6,0)) &amp; "'!" &amp;
        INDEX('Hulp (CAO''s)'!$H$3:$H$6,
            MATCH(TRUE,'Hulp (CAO''s)'!$D$3:$D$6,0))
        &amp;
        MATCH(Q40, INDIRECT("'" &amp; INDEX('Hulp (CAO''s)'!$C$3:$C$6,
            MATCH(TRUE,'Hulp (CAO''s)'!$D$3:$D$6,0)) &amp; "'!A:A"),0)
        &amp; ":H" &amp;
        IF(R40&lt;&gt;"",
            MATCH(R40, INDIRECT("'" &amp; INDEX('Hulp (CAO''s)'!$C$3:$C$6,
                MATCH(TRUE,'Hulp (CAO''s)'!$D$3:$D$6,0)) &amp; "'!A:A"),0)-1,
            1000
        )
    )
) * Q41
),
IF(
    IFERROR(MIN(
        IF(
            (TRIM(INDIRECT("'" &amp; INDEX('Hulp (CAO''s)'!$C$3:$C$6,
                MATCH(TRUE,'Hulp (CAO''s)'!$D$3:$D$6,0)) &amp; "'!B1:B1000")) = TEXT(Q42,"0")) *
            (ROW(INDIRECT("'" &amp; INDEX('Hulp (CAO''s)'!$C$3:$C$6,
                MATCH(TRUE,'Hulp (CAO''s)'!$D$3:$D$6,0)) &amp; "'!B1:B1000")) &gt; MATCH(
                Q40,
                INDIRECT("'" &amp; INDEX('Hulp (CAO''s)'!$C$3:$C$6,
                    MATCH(TRUE,'Hulp (CAO''s)'!$D$3:$D$6,0)) &amp; "'!A:A"),
                0
            )) *
            IF(
                R40="",
                1,
                (ROW(INDIRECT("'" &amp; INDEX('Hulp (CAO''s)'!$C$3:$C$6,
                    MATCH(TRUE,'Hulp (CAO''s)'!$D$3:$D$6,0)) &amp; "'!B1:B1000")) &lt; MATCH(
                    R40,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TEXT(Q42,"0")) *
                (ROW(INDIRECT("'" &amp; INDEX('Hulp (CAO''s)'!$C$3:$C$6,
                    MATCH(TRUE,'Hulp (CAO''s)'!$D$3:$D$6,0)) &amp; "'!B1:B1000")) &gt; MATCH(
                    Q40,
                    INDIRECT("'" &amp; INDEX('Hulp (CAO''s)'!$C$3:$C$6,
                        MATCH(TRUE,'Hulp (CAO''s)'!$D$3:$D$6,0)) &amp; "'!A:A"),
                    0
                )) *
                IF(
                    R40="",
                    1,
                    (ROW(INDIRECT("'" &amp; INDEX('Hulp (CAO''s)'!$C$3:$C$6,
                        MATCH(TRUE,'Hulp (CAO''s)'!$D$3:$D$6,0)) &amp; "'!B1:B1000")) &lt; MATCH(
                        R40,
                        INDIRECT("'" &amp; INDEX('Hulp (CAO''s)'!$C$3:$C$6,
                            MATCH(TRUE,'Hulp (CAO''s)'!$D$3:$D$6,0)) &amp; "'!A:A"),
                        0
                    ))
                ),
                ROW(INDIRECT("'" &amp; INDEX('Hulp (CAO''s)'!$C$3:$C$6,
                    MATCH(TRUE,'Hulp (CAO''s)'!$D$3:$D$6,0)) &amp; "'!B1:B1000"))
            )
        ),0)
    )
))</f>
        <v/>
      </c>
      <c r="R43" s="145" t="str">
        <f t="array" aca="1" ref="R43" ca="1">IF($D41="Gebruik % van maximum trede",
IF(
    OR(R40="",R41=""),
    "",
    MAX(
    INDIRECT("'" &amp; INDEX('Hulp (CAO''s)'!$C$3:$C$6,
        MATCH(TRUE,'Hulp (CAO''s)'!$D$3:$D$6,0)) &amp; "'!" &amp;
        INDEX('Hulp (CAO''s)'!$H$3:$H$6,
            MATCH(TRUE,'Hulp (CAO''s)'!$D$3:$D$6,0))
        &amp;
        MATCH(R40, INDIRECT("'" &amp; INDEX('Hulp (CAO''s)'!$C$3:$C$6,
            MATCH(TRUE,'Hulp (CAO''s)'!$D$3:$D$6,0)) &amp; "'!A:A"),0)
        &amp; ":H" &amp;
        IF(S40&lt;&gt;"",
            MATCH(S40, INDIRECT("'" &amp; INDEX('Hulp (CAO''s)'!$C$3:$C$6,
                MATCH(TRUE,'Hulp (CAO''s)'!$D$3:$D$6,0)) &amp; "'!A:A"),0)-1,
            1000
        )
    )
) * R41
),
IF(
    IFERROR(MIN(
        IF(
            (TRIM(INDIRECT("'" &amp; INDEX('Hulp (CAO''s)'!$C$3:$C$6,
                MATCH(TRUE,'Hulp (CAO''s)'!$D$3:$D$6,0)) &amp; "'!B1:B1000")) = TEXT(R42,"0")) *
            (ROW(INDIRECT("'" &amp; INDEX('Hulp (CAO''s)'!$C$3:$C$6,
                MATCH(TRUE,'Hulp (CAO''s)'!$D$3:$D$6,0)) &amp; "'!B1:B1000")) &gt; MATCH(
                R40,
                INDIRECT("'" &amp; INDEX('Hulp (CAO''s)'!$C$3:$C$6,
                    MATCH(TRUE,'Hulp (CAO''s)'!$D$3:$D$6,0)) &amp; "'!A:A"),
                0
            )) *
            IF(
                S40="",
                1,
                (ROW(INDIRECT("'" &amp; INDEX('Hulp (CAO''s)'!$C$3:$C$6,
                    MATCH(TRUE,'Hulp (CAO''s)'!$D$3:$D$6,0)) &amp; "'!B1:B1000")) &lt; MATCH(
                    S40,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TEXT(R42,"0")) *
                (ROW(INDIRECT("'" &amp; INDEX('Hulp (CAO''s)'!$C$3:$C$6,
                    MATCH(TRUE,'Hulp (CAO''s)'!$D$3:$D$6,0)) &amp; "'!B1:B1000")) &gt; MATCH(
                    R40,
                    INDIRECT("'" &amp; INDEX('Hulp (CAO''s)'!$C$3:$C$6,
                        MATCH(TRUE,'Hulp (CAO''s)'!$D$3:$D$6,0)) &amp; "'!A:A"),
                    0
                )) *
                IF(
                    S40="",
                    1,
                    (ROW(INDIRECT("'" &amp; INDEX('Hulp (CAO''s)'!$C$3:$C$6,
                        MATCH(TRUE,'Hulp (CAO''s)'!$D$3:$D$6,0)) &amp; "'!B1:B1000")) &lt; MATCH(
                        S40,
                        INDIRECT("'" &amp; INDEX('Hulp (CAO''s)'!$C$3:$C$6,
                            MATCH(TRUE,'Hulp (CAO''s)'!$D$3:$D$6,0)) &amp; "'!A:A"),
                        0
                    ))
                ),
                ROW(INDIRECT("'" &amp; INDEX('Hulp (CAO''s)'!$C$3:$C$6,
                    MATCH(TRUE,'Hulp (CAO''s)'!$D$3:$D$6,0)) &amp; "'!B1:B1000"))
            )
        ),0)
    )
))</f>
        <v/>
      </c>
      <c r="S43" s="145" t="str">
        <f t="array" aca="1" ref="S43" ca="1">IF($D41="Gebruik % van maximum trede",
IF(
    OR(S40="",S41=""),
    "",
    MAX(
    INDIRECT("'" &amp; INDEX('Hulp (CAO''s)'!$C$3:$C$6,
        MATCH(TRUE,'Hulp (CAO''s)'!$D$3:$D$6,0)) &amp; "'!" &amp;
        INDEX('Hulp (CAO''s)'!$H$3:$H$6,
            MATCH(TRUE,'Hulp (CAO''s)'!$D$3:$D$6,0))
        &amp;
        MATCH(S40, INDIRECT("'" &amp; INDEX('Hulp (CAO''s)'!$C$3:$C$6,
            MATCH(TRUE,'Hulp (CAO''s)'!$D$3:$D$6,0)) &amp; "'!A:A"),0)
        &amp; ":H" &amp;
        IF(T40&lt;&gt;"",
            MATCH(T40, INDIRECT("'" &amp; INDEX('Hulp (CAO''s)'!$C$3:$C$6,
                MATCH(TRUE,'Hulp (CAO''s)'!$D$3:$D$6,0)) &amp; "'!A:A"),0)-1,
            1000
        )
    )
) * S41
),
IF(
    IFERROR(MIN(
        IF(
            (TRIM(INDIRECT("'" &amp; INDEX('Hulp (CAO''s)'!$C$3:$C$6,
                MATCH(TRUE,'Hulp (CAO''s)'!$D$3:$D$6,0)) &amp; "'!B1:B1000")) = TEXT(S42,"0")) *
            (ROW(INDIRECT("'" &amp; INDEX('Hulp (CAO''s)'!$C$3:$C$6,
                MATCH(TRUE,'Hulp (CAO''s)'!$D$3:$D$6,0)) &amp; "'!B1:B1000")) &gt; MATCH(
                S40,
                INDIRECT("'" &amp; INDEX('Hulp (CAO''s)'!$C$3:$C$6,
                    MATCH(TRUE,'Hulp (CAO''s)'!$D$3:$D$6,0)) &amp; "'!A:A"),
                0
            )) *
            IF(
                T40="",
                1,
                (ROW(INDIRECT("'" &amp; INDEX('Hulp (CAO''s)'!$C$3:$C$6,
                    MATCH(TRUE,'Hulp (CAO''s)'!$D$3:$D$6,0)) &amp; "'!B1:B1000")) &lt; MATCH(
                    T40,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TEXT(S42,"0")) *
                (ROW(INDIRECT("'" &amp; INDEX('Hulp (CAO''s)'!$C$3:$C$6,
                    MATCH(TRUE,'Hulp (CAO''s)'!$D$3:$D$6,0)) &amp; "'!B1:B1000")) &gt; MATCH(
                    S40,
                    INDIRECT("'" &amp; INDEX('Hulp (CAO''s)'!$C$3:$C$6,
                        MATCH(TRUE,'Hulp (CAO''s)'!$D$3:$D$6,0)) &amp; "'!A:A"),
                    0
                )) *
                IF(
                    T40="",
                    1,
                    (ROW(INDIRECT("'" &amp; INDEX('Hulp (CAO''s)'!$C$3:$C$6,
                        MATCH(TRUE,'Hulp (CAO''s)'!$D$3:$D$6,0)) &amp; "'!B1:B1000")) &lt; MATCH(
                        T40,
                        INDIRECT("'" &amp; INDEX('Hulp (CAO''s)'!$C$3:$C$6,
                            MATCH(TRUE,'Hulp (CAO''s)'!$D$3:$D$6,0)) &amp; "'!A:A"),
                        0
                    ))
                ),
                ROW(INDIRECT("'" &amp; INDEX('Hulp (CAO''s)'!$C$3:$C$6,
                    MATCH(TRUE,'Hulp (CAO''s)'!$D$3:$D$6,0)) &amp; "'!B1:B1000"))
            )
        ),0)
    )
))</f>
        <v/>
      </c>
      <c r="T43" s="145" t="str">
        <f t="array" aca="1" ref="T43" ca="1">IF($D41="Gebruik % van maximum trede",
IF(
    OR(T40="",T41=""),
    "",
    MAX(
    INDIRECT("'" &amp; INDEX('Hulp (CAO''s)'!$C$3:$C$6,
        MATCH(TRUE,'Hulp (CAO''s)'!$D$3:$D$6,0)) &amp; "'!" &amp;
        INDEX('Hulp (CAO''s)'!$H$3:$H$6,
            MATCH(TRUE,'Hulp (CAO''s)'!$D$3:$D$6,0))
        &amp;
        MATCH(T40, INDIRECT("'" &amp; INDEX('Hulp (CAO''s)'!$C$3:$C$6,
            MATCH(TRUE,'Hulp (CAO''s)'!$D$3:$D$6,0)) &amp; "'!A:A"),0)
        &amp; ":H" &amp;
        IF(U40&lt;&gt;"",
            MATCH(U40, INDIRECT("'" &amp; INDEX('Hulp (CAO''s)'!$C$3:$C$6,
                MATCH(TRUE,'Hulp (CAO''s)'!$D$3:$D$6,0)) &amp; "'!A:A"),0)-1,
            1000
        )
    )
) * T41
),
IF(
    IFERROR(MIN(
        IF(
            (TRIM(INDIRECT("'" &amp; INDEX('Hulp (CAO''s)'!$C$3:$C$6,
                MATCH(TRUE,'Hulp (CAO''s)'!$D$3:$D$6,0)) &amp; "'!B1:B1000")) = TEXT(T42,"0")) *
            (ROW(INDIRECT("'" &amp; INDEX('Hulp (CAO''s)'!$C$3:$C$6,
                MATCH(TRUE,'Hulp (CAO''s)'!$D$3:$D$6,0)) &amp; "'!B1:B1000")) &gt; MATCH(
                T40,
                INDIRECT("'" &amp; INDEX('Hulp (CAO''s)'!$C$3:$C$6,
                    MATCH(TRUE,'Hulp (CAO''s)'!$D$3:$D$6,0)) &amp; "'!A:A"),
                0
            )) *
            IF(
                U40="",
                1,
                (ROW(INDIRECT("'" &amp; INDEX('Hulp (CAO''s)'!$C$3:$C$6,
                    MATCH(TRUE,'Hulp (CAO''s)'!$D$3:$D$6,0)) &amp; "'!B1:B1000")) &lt; MATCH(
                    U40,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TEXT(T42,"0")) *
                (ROW(INDIRECT("'" &amp; INDEX('Hulp (CAO''s)'!$C$3:$C$6,
                    MATCH(TRUE,'Hulp (CAO''s)'!$D$3:$D$6,0)) &amp; "'!B1:B1000")) &gt; MATCH(
                    T40,
                    INDIRECT("'" &amp; INDEX('Hulp (CAO''s)'!$C$3:$C$6,
                        MATCH(TRUE,'Hulp (CAO''s)'!$D$3:$D$6,0)) &amp; "'!A:A"),
                    0
                )) *
                IF(
                    U40="",
                    1,
                    (ROW(INDIRECT("'" &amp; INDEX('Hulp (CAO''s)'!$C$3:$C$6,
                        MATCH(TRUE,'Hulp (CAO''s)'!$D$3:$D$6,0)) &amp; "'!B1:B1000")) &lt; MATCH(
                        U40,
                        INDIRECT("'" &amp; INDEX('Hulp (CAO''s)'!$C$3:$C$6,
                            MATCH(TRUE,'Hulp (CAO''s)'!$D$3:$D$6,0)) &amp; "'!A:A"),
                        0
                    ))
                ),
                ROW(INDIRECT("'" &amp; INDEX('Hulp (CAO''s)'!$C$3:$C$6,
                    MATCH(TRUE,'Hulp (CAO''s)'!$D$3:$D$6,0)) &amp; "'!B1:B1000"))
            )
        ),0)
    )
))</f>
        <v/>
      </c>
      <c r="U43" s="145" t="str">
        <f t="array" aca="1" ref="U43" ca="1">IF($D41="Gebruik % van maximum trede",
IF(
    OR(U40="",U41=""),
    "",
    MAX(
    INDIRECT("'" &amp; INDEX('Hulp (CAO''s)'!$C$3:$C$6,
        MATCH(TRUE,'Hulp (CAO''s)'!$D$3:$D$6,0)) &amp; "'!" &amp;
        INDEX('Hulp (CAO''s)'!$H$3:$H$6,
            MATCH(TRUE,'Hulp (CAO''s)'!$D$3:$D$6,0))
        &amp;
        MATCH(U40, INDIRECT("'" &amp; INDEX('Hulp (CAO''s)'!$C$3:$C$6,
            MATCH(TRUE,'Hulp (CAO''s)'!$D$3:$D$6,0)) &amp; "'!A:A"),0)
        &amp; ":H" &amp;
        IF(V40&lt;&gt;"",
            MATCH(V40, INDIRECT("'" &amp; INDEX('Hulp (CAO''s)'!$C$3:$C$6,
                MATCH(TRUE,'Hulp (CAO''s)'!$D$3:$D$6,0)) &amp; "'!A:A"),0)-1,
            1000
        )
    )
) * U41
),
IF(
    IFERROR(MIN(
        IF(
            (TRIM(INDIRECT("'" &amp; INDEX('Hulp (CAO''s)'!$C$3:$C$6,
                MATCH(TRUE,'Hulp (CAO''s)'!$D$3:$D$6,0)) &amp; "'!B1:B1000")) = TEXT(U42,"0")) *
            (ROW(INDIRECT("'" &amp; INDEX('Hulp (CAO''s)'!$C$3:$C$6,
                MATCH(TRUE,'Hulp (CAO''s)'!$D$3:$D$6,0)) &amp; "'!B1:B1000")) &gt; MATCH(
                U40,
                INDIRECT("'" &amp; INDEX('Hulp (CAO''s)'!$C$3:$C$6,
                    MATCH(TRUE,'Hulp (CAO''s)'!$D$3:$D$6,0)) &amp; "'!A:A"),
                0
            )) *
            IF(
                V40="",
                1,
                (ROW(INDIRECT("'" &amp; INDEX('Hulp (CAO''s)'!$C$3:$C$6,
                    MATCH(TRUE,'Hulp (CAO''s)'!$D$3:$D$6,0)) &amp; "'!B1:B1000")) &lt; MATCH(
                    V40,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TEXT(U42,"0")) *
                (ROW(INDIRECT("'" &amp; INDEX('Hulp (CAO''s)'!$C$3:$C$6,
                    MATCH(TRUE,'Hulp (CAO''s)'!$D$3:$D$6,0)) &amp; "'!B1:B1000")) &gt; MATCH(
                    U40,
                    INDIRECT("'" &amp; INDEX('Hulp (CAO''s)'!$C$3:$C$6,
                        MATCH(TRUE,'Hulp (CAO''s)'!$D$3:$D$6,0)) &amp; "'!A:A"),
                    0
                )) *
                IF(
                    V40="",
                    1,
                    (ROW(INDIRECT("'" &amp; INDEX('Hulp (CAO''s)'!$C$3:$C$6,
                        MATCH(TRUE,'Hulp (CAO''s)'!$D$3:$D$6,0)) &amp; "'!B1:B1000")) &lt; MATCH(
                        V40,
                        INDIRECT("'" &amp; INDEX('Hulp (CAO''s)'!$C$3:$C$6,
                            MATCH(TRUE,'Hulp (CAO''s)'!$D$3:$D$6,0)) &amp; "'!A:A"),
                        0
                    ))
                ),
                ROW(INDIRECT("'" &amp; INDEX('Hulp (CAO''s)'!$C$3:$C$6,
                    MATCH(TRUE,'Hulp (CAO''s)'!$D$3:$D$6,0)) &amp; "'!B1:B1000"))
            )
        ),0)
    )
))</f>
        <v/>
      </c>
      <c r="V43" s="165" t="str">
        <f t="array" aca="1" ref="V43" ca="1">IF(SUM(F44:U44)=0,"",
IF(
   SUM(F43:U43)=0,
   "",
   (
      SUMPRODUCT(
         IF(F43:U43="",0,F43:U43),
         IF(F44:U44="",0,F44:U44) * SUM(F44:U44)
      )
   ) *
   IF(
      'Hulp (CAO''s)'!#REF!,
      IF(
         OR(
            INDEX(#REF!, ROW(#REF!) + INT((ROW()-ROW($V$8))/6)*8)="",
            ISNA(INDEX(#REF!, ROW(#REF!) + INT((ROW()-ROW($V$8))/6)*8))
         ),
         1878/12,
         INDEX(#REF!, ROW(#REF!) + INT((ROW()-ROW($V$8))/6)*8)/12
      ),
      1
   )
))</f>
        <v/>
      </c>
      <c r="W43" s="171" t="str">
        <f ca="1">IF(B40="","",
    IF(W42="","",
        IF(INDIRECT("'Hulp (control forms)'!C" &amp; (13 + INT((ROW()-ROW($B$5))/7))),
            W42,
            V43
        )
    )
)</f>
        <v/>
      </c>
      <c r="X43" s="170" t="str">
        <f ca="1">IF(AND($B40&lt;&gt;"", $W43=""),"!","")</f>
        <v/>
      </c>
    </row>
    <row r="44" spans="2:24" ht="16.05" customHeight="1" thickBot="1" x14ac:dyDescent="0.55000000000000004">
      <c r="C44" s="151"/>
      <c r="D44" s="141" t="s">
        <v>60</v>
      </c>
      <c r="E44" s="24" t="s">
        <v>59</v>
      </c>
      <c r="F44" s="146">
        <v>0.05</v>
      </c>
      <c r="G44" s="146">
        <v>0.1</v>
      </c>
      <c r="H44" s="146">
        <v>0.1</v>
      </c>
      <c r="I44" s="146">
        <v>0.15</v>
      </c>
      <c r="J44" s="146">
        <v>0.2</v>
      </c>
      <c r="K44" s="146">
        <v>0.15</v>
      </c>
      <c r="L44" s="146">
        <v>0.1</v>
      </c>
      <c r="M44" s="146">
        <v>0.05</v>
      </c>
      <c r="N44" s="146">
        <v>0.05</v>
      </c>
      <c r="O44" s="146">
        <v>0.05</v>
      </c>
      <c r="P44" s="146">
        <v>0</v>
      </c>
      <c r="Q44" s="146"/>
      <c r="R44" s="146"/>
      <c r="S44" s="146"/>
      <c r="T44" s="146"/>
      <c r="U44" s="147"/>
      <c r="V44" s="142" t="str">
        <f ca="1">IF($B40="","",IF($D44="Aandeel in %",
   "Totaal: "&amp;SUM(F44:U44)*100&amp;"%",
   "Totaal: "&amp;SUM(F44:U44)&amp;" uur"
))</f>
        <v/>
      </c>
      <c r="W44" s="168"/>
      <c r="X44" s="153"/>
    </row>
    <row r="45" spans="2:24" ht="16.05" customHeight="1" thickBot="1" x14ac:dyDescent="0.55000000000000004">
      <c r="C45" s="154"/>
      <c r="D45" s="140"/>
      <c r="E45" s="140"/>
      <c r="F45" s="140"/>
      <c r="G45" s="140"/>
      <c r="H45" s="140"/>
      <c r="I45" s="140"/>
      <c r="J45" s="140"/>
      <c r="K45" s="140"/>
      <c r="L45" s="140"/>
      <c r="M45" s="140"/>
      <c r="N45" s="140"/>
      <c r="O45" s="140"/>
      <c r="P45" s="140"/>
      <c r="Q45" s="140"/>
      <c r="R45" s="140"/>
      <c r="S45" s="140"/>
      <c r="T45" s="155"/>
      <c r="U45" s="155"/>
      <c r="V45" s="169"/>
      <c r="W45" s="169"/>
      <c r="X45" s="156"/>
    </row>
    <row r="46" spans="2:24" ht="16.05" customHeight="1" thickBot="1" x14ac:dyDescent="0.55000000000000004">
      <c r="B46" s="159" t="str">
        <f ca="1">IF(B47="","",
IF(
   OR(
      INDIRECT("'1a. Input organisatieniveau'!AC" &amp; (7 + INT((ROW()-4)/7)))="",
      INDIRECT("'1a. Input organisatieniveau'!AC" &amp; (7 + INT((ROW()-4)/7)))=0
   ),
   "",
   INDIRECT("'1a. Input organisatieniveau'!AC" &amp; (7 + INT((ROW()-4)/7)))
))</f>
        <v/>
      </c>
      <c r="C46" s="148"/>
      <c r="D46" s="139"/>
      <c r="E46" s="139"/>
      <c r="F46" s="149" t="str">
        <f t="shared" ref="F46:U46" ca="1" si="6">IF($D48="Gebruik % van maximum trede", IF(AND(AND(F47&lt;&gt;"",F48&lt;&gt;""),F50=""),"!",""), IF(AND(AND(F47&lt;&gt;"",F49&lt;&gt;""),F50=""),"!",""))</f>
        <v/>
      </c>
      <c r="G46" s="149" t="str">
        <f t="shared" ca="1" si="6"/>
        <v/>
      </c>
      <c r="H46" s="149" t="str">
        <f t="shared" ca="1" si="6"/>
        <v/>
      </c>
      <c r="I46" s="149" t="str">
        <f t="shared" ca="1" si="6"/>
        <v/>
      </c>
      <c r="J46" s="149" t="str">
        <f t="shared" ca="1" si="6"/>
        <v/>
      </c>
      <c r="K46" s="149" t="str">
        <f t="shared" ca="1" si="6"/>
        <v/>
      </c>
      <c r="L46" s="149" t="str">
        <f t="shared" ca="1" si="6"/>
        <v/>
      </c>
      <c r="M46" s="149" t="str">
        <f t="shared" ca="1" si="6"/>
        <v/>
      </c>
      <c r="N46" s="149" t="str">
        <f t="shared" ca="1" si="6"/>
        <v/>
      </c>
      <c r="O46" s="149" t="str">
        <f t="shared" ca="1" si="6"/>
        <v/>
      </c>
      <c r="P46" s="149" t="str">
        <f t="shared" ca="1" si="6"/>
        <v/>
      </c>
      <c r="Q46" s="149" t="str">
        <f t="shared" ca="1" si="6"/>
        <v/>
      </c>
      <c r="R46" s="149" t="str">
        <f t="shared" ca="1" si="6"/>
        <v/>
      </c>
      <c r="S46" s="149" t="str">
        <f t="shared" ca="1" si="6"/>
        <v/>
      </c>
      <c r="T46" s="149" t="str">
        <f t="shared" ca="1" si="6"/>
        <v/>
      </c>
      <c r="U46" s="149" t="str">
        <f t="shared" ca="1" si="6"/>
        <v/>
      </c>
      <c r="V46" s="167"/>
      <c r="W46" s="167"/>
      <c r="X46" s="150"/>
    </row>
    <row r="47" spans="2:24" ht="16.05" customHeight="1" thickBot="1" x14ac:dyDescent="0.55000000000000004">
      <c r="B47" s="158" t="str">
        <f ca="1">IF(
   OR(
      INDIRECT("'1a. Input organisatieniveau'!AA" &amp; (7 + INT((ROW()-4)/7)))="",
      INDIRECT("'1a. Input organisatieniveau'!AA" &amp; (7 + INT((ROW()-4)/7)))=0
   ),
   "",
   INDIRECT("'1a. Input organisatieniveau'!AA" &amp; (7 + INT((ROW()-4)/7)))
)</f>
        <v/>
      </c>
      <c r="C47" s="151"/>
      <c r="D47" s="152"/>
      <c r="E47" s="22" t="s">
        <v>28</v>
      </c>
      <c r="F47" s="143" t="str">
        <f t="array" aca="1" ref="F47" ca="1">IF($B47="", "", INDEX('Hulp (CAO''s)'!J$3:J$6, MATCH(TRUE, 'Hulp (CAO''s)'!$D$3:$D$6, 0)))</f>
        <v/>
      </c>
      <c r="G47" s="143" t="str">
        <f t="array" aca="1" ref="G47" ca="1">IF($B47="", "", INDEX('Hulp (CAO''s)'!K$3:K$6, MATCH(TRUE, 'Hulp (CAO''s)'!$D$3:$D$6, 0)))</f>
        <v/>
      </c>
      <c r="H47" s="143" t="str">
        <f t="array" aca="1" ref="H47" ca="1">IF($B47="", "", INDEX('Hulp (CAO''s)'!L$3:L$6, MATCH(TRUE, 'Hulp (CAO''s)'!$D$3:$D$6, 0)))</f>
        <v/>
      </c>
      <c r="I47" s="143" t="str">
        <f t="array" aca="1" ref="I47" ca="1">IF($B47="", "", INDEX('Hulp (CAO''s)'!M$3:M$6, MATCH(TRUE, 'Hulp (CAO''s)'!$D$3:$D$6, 0)))</f>
        <v/>
      </c>
      <c r="J47" s="143" t="str">
        <f t="array" aca="1" ref="J47" ca="1">IF($B47="", "", INDEX('Hulp (CAO''s)'!N$3:N$6, MATCH(TRUE, 'Hulp (CAO''s)'!$D$3:$D$6, 0)))</f>
        <v/>
      </c>
      <c r="K47" s="143" t="str">
        <f t="array" aca="1" ref="K47" ca="1">IF($B47="", "", INDEX('Hulp (CAO''s)'!O$3:O$6, MATCH(TRUE, 'Hulp (CAO''s)'!$D$3:$D$6, 0)))</f>
        <v/>
      </c>
      <c r="L47" s="143" t="str">
        <f t="array" aca="1" ref="L47" ca="1">IF($B47="", "", INDEX('Hulp (CAO''s)'!P$3:P$6, MATCH(TRUE, 'Hulp (CAO''s)'!$D$3:$D$6, 0)))</f>
        <v/>
      </c>
      <c r="M47" s="143" t="str">
        <f t="array" aca="1" ref="M47" ca="1">IF($B47="", "", INDEX('Hulp (CAO''s)'!Q$3:Q$6, MATCH(TRUE, 'Hulp (CAO''s)'!$D$3:$D$6, 0)))</f>
        <v/>
      </c>
      <c r="N47" s="143" t="str">
        <f t="array" aca="1" ref="N47" ca="1">IF($B47="", "", INDEX('Hulp (CAO''s)'!R$3:R$6, MATCH(TRUE, 'Hulp (CAO''s)'!$D$3:$D$6, 0)))</f>
        <v/>
      </c>
      <c r="O47" s="143" t="str">
        <f t="array" aca="1" ref="O47" ca="1">IF($B47="", "", INDEX('Hulp (CAO''s)'!S$3:S$6, MATCH(TRUE, 'Hulp (CAO''s)'!$D$3:$D$6, 0)))</f>
        <v/>
      </c>
      <c r="P47" s="143" t="str">
        <f t="array" aca="1" ref="P47" ca="1">IF($B47="", "", INDEX('Hulp (CAO''s)'!T$3:T$6, MATCH(TRUE, 'Hulp (CAO''s)'!$D$3:$D$6, 0)))</f>
        <v/>
      </c>
      <c r="Q47" s="143" t="str">
        <f t="array" aca="1" ref="Q47" ca="1">IF($B47="", "", INDEX('Hulp (CAO''s)'!U$3:U$6, MATCH(TRUE, 'Hulp (CAO''s)'!$D$3:$D$6, 0)))</f>
        <v/>
      </c>
      <c r="R47" s="143" t="str">
        <f t="array" aca="1" ref="R47" ca="1">IF($B47="", "", INDEX('Hulp (CAO''s)'!V$3:V$6, MATCH(TRUE, 'Hulp (CAO''s)'!$D$3:$D$6, 0)))</f>
        <v/>
      </c>
      <c r="S47" s="143" t="str">
        <f t="array" aca="1" ref="S47" ca="1">IF($B47="", "", INDEX('Hulp (CAO''s)'!W$3:W$6, MATCH(TRUE, 'Hulp (CAO''s)'!$D$3:$D$6, 0)))</f>
        <v/>
      </c>
      <c r="T47" s="143" t="str">
        <f t="array" aca="1" ref="T47" ca="1">IF($B47="", "", INDEX('Hulp (CAO''s)'!X$3:X$6, MATCH(TRUE, 'Hulp (CAO''s)'!$D$3:$D$6, 0)))</f>
        <v/>
      </c>
      <c r="U47" s="144" t="str">
        <f t="array" aca="1" ref="U47" ca="1">IF($B47="", "", INDEX('Hulp (CAO''s)'!Y$3:Y$6, MATCH(TRUE, 'Hulp (CAO''s)'!$D$3:$D$6, 0)))</f>
        <v/>
      </c>
      <c r="W47" s="788" t="s">
        <v>747</v>
      </c>
      <c r="X47" s="153"/>
    </row>
    <row r="48" spans="2:24" ht="16.05" customHeight="1" thickBot="1" x14ac:dyDescent="0.55000000000000004">
      <c r="C48" s="151"/>
      <c r="D48" s="786" t="s">
        <v>771</v>
      </c>
      <c r="E48" s="162" t="s">
        <v>770</v>
      </c>
      <c r="F48" s="163">
        <v>0.96</v>
      </c>
      <c r="G48" s="163">
        <v>0.9</v>
      </c>
      <c r="H48" s="163">
        <v>0.9</v>
      </c>
      <c r="I48" s="163">
        <v>0.7</v>
      </c>
      <c r="J48" s="163">
        <v>0.8</v>
      </c>
      <c r="K48" s="163">
        <v>0.9</v>
      </c>
      <c r="L48" s="163">
        <v>0.9</v>
      </c>
      <c r="M48" s="163">
        <v>0.9</v>
      </c>
      <c r="N48" s="163">
        <v>0.9</v>
      </c>
      <c r="O48" s="163">
        <v>0.8</v>
      </c>
      <c r="P48" s="163">
        <v>0.95</v>
      </c>
      <c r="Q48" s="163">
        <v>0.93</v>
      </c>
      <c r="R48" s="163">
        <v>0.93</v>
      </c>
      <c r="S48" s="163">
        <v>0.99</v>
      </c>
      <c r="T48" s="163">
        <v>0.99</v>
      </c>
      <c r="U48" s="164">
        <v>0.95</v>
      </c>
      <c r="W48" s="789"/>
      <c r="X48" s="153"/>
    </row>
    <row r="49" spans="2:24" ht="16.05" customHeight="1" thickBot="1" x14ac:dyDescent="0.55000000000000004">
      <c r="C49" s="151"/>
      <c r="D49" s="787"/>
      <c r="E49" s="31" t="s">
        <v>29</v>
      </c>
      <c r="F49" s="160">
        <v>8</v>
      </c>
      <c r="G49" s="160">
        <v>10</v>
      </c>
      <c r="H49" s="160">
        <v>10</v>
      </c>
      <c r="I49" s="160">
        <v>9</v>
      </c>
      <c r="J49" s="160">
        <v>10</v>
      </c>
      <c r="K49" s="160">
        <v>11</v>
      </c>
      <c r="L49" s="160">
        <v>10</v>
      </c>
      <c r="M49" s="160">
        <v>10</v>
      </c>
      <c r="N49" s="160">
        <v>9</v>
      </c>
      <c r="O49" s="160">
        <v>10</v>
      </c>
      <c r="P49" s="160">
        <v>11</v>
      </c>
      <c r="Q49" s="160">
        <v>12</v>
      </c>
      <c r="R49" s="160">
        <v>13</v>
      </c>
      <c r="S49" s="160">
        <v>12</v>
      </c>
      <c r="T49" s="160">
        <v>10</v>
      </c>
      <c r="U49" s="161">
        <v>5</v>
      </c>
      <c r="W49" s="166">
        <v>4200</v>
      </c>
      <c r="X49" s="153"/>
    </row>
    <row r="50" spans="2:24" ht="16.05" customHeight="1" thickBot="1" x14ac:dyDescent="0.55000000000000004">
      <c r="C50" s="151"/>
      <c r="E50" s="40" t="str">
        <f>IFERROR(
   INDEX('Hulp (CAO''s)'!$I$3:$I$6, MATCH(TRUE, 'Hulp (CAO''s)'!$D$3:$D$6, 0)),
"")</f>
        <v>Bruto maandsalaris</v>
      </c>
      <c r="F50" s="145" t="str">
        <f t="array" aca="1" ref="F50" ca="1">IF($D48="Gebruik % van maximum trede",
IF(
    OR(F47="",F48=""),
    "",
    MAX(
    INDIRECT("'" &amp; INDEX('Hulp (CAO''s)'!$C$3:$C$6,
        MATCH(TRUE,'Hulp (CAO''s)'!$D$3:$D$6,0)) &amp; "'!" &amp;
        INDEX('Hulp (CAO''s)'!$H$3:$H$6,
            MATCH(TRUE,'Hulp (CAO''s)'!$D$3:$D$6,0))
        &amp;
        MATCH(F47, INDIRECT("'" &amp; INDEX('Hulp (CAO''s)'!$C$3:$C$6,
            MATCH(TRUE,'Hulp (CAO''s)'!$D$3:$D$6,0)) &amp; "'!A:A"),0)
        &amp; ":H" &amp;
        IF(G47&lt;&gt;"",
            MATCH(G47, INDIRECT("'" &amp; INDEX('Hulp (CAO''s)'!$C$3:$C$6,
                MATCH(TRUE,'Hulp (CAO''s)'!$D$3:$D$6,0)) &amp; "'!A:A"),0)-1,
            1000
        )
    )
) * F48
),
IF(
    IFERROR(MIN(
        IF(
            (TRIM(INDIRECT("'" &amp; INDEX('Hulp (CAO''s)'!$C$3:$C$6,
                MATCH(TRUE,'Hulp (CAO''s)'!$D$3:$D$6,0)) &amp; "'!B1:B1000")) = TEXT(F49,"0")) *
            (ROW(INDIRECT("'" &amp; INDEX('Hulp (CAO''s)'!$C$3:$C$6,
                MATCH(TRUE,'Hulp (CAO''s)'!$D$3:$D$6,0)) &amp; "'!B1:B1000")) &gt; MATCH(
                F47,
                INDIRECT("'" &amp; INDEX('Hulp (CAO''s)'!$C$3:$C$6,
                    MATCH(TRUE,'Hulp (CAO''s)'!$D$3:$D$6,0)) &amp; "'!A:A"),
                0
            )) *
            IF(
                G47="",
                1,
                (ROW(INDIRECT("'" &amp; INDEX('Hulp (CAO''s)'!$C$3:$C$6,
                    MATCH(TRUE,'Hulp (CAO''s)'!$D$3:$D$6,0)) &amp; "'!B1:B1000")) &lt; MATCH(
                    G47,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TEXT(F49,"0")) *
                (ROW(INDIRECT("'" &amp; INDEX('Hulp (CAO''s)'!$C$3:$C$6,
                    MATCH(TRUE,'Hulp (CAO''s)'!$D$3:$D$6,0)) &amp; "'!B1:B1000")) &gt; MATCH(
                    F47,
                    INDIRECT("'" &amp; INDEX('Hulp (CAO''s)'!$C$3:$C$6,
                        MATCH(TRUE,'Hulp (CAO''s)'!$D$3:$D$6,0)) &amp; "'!A:A"),
                    0
                )) *
                IF(
                    G47="",
                    1,
                    (ROW(INDIRECT("'" &amp; INDEX('Hulp (CAO''s)'!$C$3:$C$6,
                        MATCH(TRUE,'Hulp (CAO''s)'!$D$3:$D$6,0)) &amp; "'!B1:B1000")) &lt; MATCH(
                        G47,
                        INDIRECT("'" &amp; INDEX('Hulp (CAO''s)'!$C$3:$C$6,
                            MATCH(TRUE,'Hulp (CAO''s)'!$D$3:$D$6,0)) &amp; "'!A:A"),
                        0
                    ))
                ),
                ROW(INDIRECT("'" &amp; INDEX('Hulp (CAO''s)'!$C$3:$C$6,
                    MATCH(TRUE,'Hulp (CAO''s)'!$D$3:$D$6,0)) &amp; "'!B1:B1000"))
            )
        ),0)
    )
))</f>
        <v/>
      </c>
      <c r="G50" s="145" t="str">
        <f t="array" aca="1" ref="G50" ca="1">IF($D48="Gebruik % van maximum trede",
IF(
    OR(G47="",G48=""),
    "",
    MAX(
    INDIRECT("'" &amp; INDEX('Hulp (CAO''s)'!$C$3:$C$6,
        MATCH(TRUE,'Hulp (CAO''s)'!$D$3:$D$6,0)) &amp; "'!" &amp;
        INDEX('Hulp (CAO''s)'!$H$3:$H$6,
            MATCH(TRUE,'Hulp (CAO''s)'!$D$3:$D$6,0))
        &amp;
        MATCH(G47, INDIRECT("'" &amp; INDEX('Hulp (CAO''s)'!$C$3:$C$6,
            MATCH(TRUE,'Hulp (CAO''s)'!$D$3:$D$6,0)) &amp; "'!A:A"),0)
        &amp; ":H" &amp;
        IF(H47&lt;&gt;"",
            MATCH(H47, INDIRECT("'" &amp; INDEX('Hulp (CAO''s)'!$C$3:$C$6,
                MATCH(TRUE,'Hulp (CAO''s)'!$D$3:$D$6,0)) &amp; "'!A:A"),0)-1,
            1000
        )
    )
) * G48
),
IF(
    IFERROR(MIN(
        IF(
            (TRIM(INDIRECT("'" &amp; INDEX('Hulp (CAO''s)'!$C$3:$C$6,
                MATCH(TRUE,'Hulp (CAO''s)'!$D$3:$D$6,0)) &amp; "'!B1:B1000")) = TEXT(G49,"0")) *
            (ROW(INDIRECT("'" &amp; INDEX('Hulp (CAO''s)'!$C$3:$C$6,
                MATCH(TRUE,'Hulp (CAO''s)'!$D$3:$D$6,0)) &amp; "'!B1:B1000")) &gt; MATCH(
                G47,
                INDIRECT("'" &amp; INDEX('Hulp (CAO''s)'!$C$3:$C$6,
                    MATCH(TRUE,'Hulp (CAO''s)'!$D$3:$D$6,0)) &amp; "'!A:A"),
                0
            )) *
            IF(
                H47="",
                1,
                (ROW(INDIRECT("'" &amp; INDEX('Hulp (CAO''s)'!$C$3:$C$6,
                    MATCH(TRUE,'Hulp (CAO''s)'!$D$3:$D$6,0)) &amp; "'!B1:B1000")) &lt; MATCH(
                    H47,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TEXT(G49,"0")) *
                (ROW(INDIRECT("'" &amp; INDEX('Hulp (CAO''s)'!$C$3:$C$6,
                    MATCH(TRUE,'Hulp (CAO''s)'!$D$3:$D$6,0)) &amp; "'!B1:B1000")) &gt; MATCH(
                    G47,
                    INDIRECT("'" &amp; INDEX('Hulp (CAO''s)'!$C$3:$C$6,
                        MATCH(TRUE,'Hulp (CAO''s)'!$D$3:$D$6,0)) &amp; "'!A:A"),
                    0
                )) *
                IF(
                    H47="",
                    1,
                    (ROW(INDIRECT("'" &amp; INDEX('Hulp (CAO''s)'!$C$3:$C$6,
                        MATCH(TRUE,'Hulp (CAO''s)'!$D$3:$D$6,0)) &amp; "'!B1:B1000")) &lt; MATCH(
                        H47,
                        INDIRECT("'" &amp; INDEX('Hulp (CAO''s)'!$C$3:$C$6,
                            MATCH(TRUE,'Hulp (CAO''s)'!$D$3:$D$6,0)) &amp; "'!A:A"),
                        0
                    ))
                ),
                ROW(INDIRECT("'" &amp; INDEX('Hulp (CAO''s)'!$C$3:$C$6,
                    MATCH(TRUE,'Hulp (CAO''s)'!$D$3:$D$6,0)) &amp; "'!B1:B1000"))
            )
        ),0)
    )
))</f>
        <v/>
      </c>
      <c r="H50" s="145" t="str">
        <f t="array" aca="1" ref="H50" ca="1">IF($D48="Gebruik % van maximum trede",
IF(
    OR(H47="",H48=""),
    "",
    MAX(
    INDIRECT("'" &amp; INDEX('Hulp (CAO''s)'!$C$3:$C$6,
        MATCH(TRUE,'Hulp (CAO''s)'!$D$3:$D$6,0)) &amp; "'!" &amp;
        INDEX('Hulp (CAO''s)'!$H$3:$H$6,
            MATCH(TRUE,'Hulp (CAO''s)'!$D$3:$D$6,0))
        &amp;
        MATCH(H47, INDIRECT("'" &amp; INDEX('Hulp (CAO''s)'!$C$3:$C$6,
            MATCH(TRUE,'Hulp (CAO''s)'!$D$3:$D$6,0)) &amp; "'!A:A"),0)
        &amp; ":H" &amp;
        IF(I47&lt;&gt;"",
            MATCH(I47, INDIRECT("'" &amp; INDEX('Hulp (CAO''s)'!$C$3:$C$6,
                MATCH(TRUE,'Hulp (CAO''s)'!$D$3:$D$6,0)) &amp; "'!A:A"),0)-1,
            1000
        )
    )
) * H48
),
IF(
    IFERROR(MIN(
        IF(
            (TRIM(INDIRECT("'" &amp; INDEX('Hulp (CAO''s)'!$C$3:$C$6,
                MATCH(TRUE,'Hulp (CAO''s)'!$D$3:$D$6,0)) &amp; "'!B1:B1000")) = TEXT(H49,"0")) *
            (ROW(INDIRECT("'" &amp; INDEX('Hulp (CAO''s)'!$C$3:$C$6,
                MATCH(TRUE,'Hulp (CAO''s)'!$D$3:$D$6,0)) &amp; "'!B1:B1000")) &gt; MATCH(
                H47,
                INDIRECT("'" &amp; INDEX('Hulp (CAO''s)'!$C$3:$C$6,
                    MATCH(TRUE,'Hulp (CAO''s)'!$D$3:$D$6,0)) &amp; "'!A:A"),
                0
            )) *
            IF(
                I47="",
                1,
                (ROW(INDIRECT("'" &amp; INDEX('Hulp (CAO''s)'!$C$3:$C$6,
                    MATCH(TRUE,'Hulp (CAO''s)'!$D$3:$D$6,0)) &amp; "'!B1:B1000")) &lt; MATCH(
                    I47,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TEXT(H49,"0")) *
                (ROW(INDIRECT("'" &amp; INDEX('Hulp (CAO''s)'!$C$3:$C$6,
                    MATCH(TRUE,'Hulp (CAO''s)'!$D$3:$D$6,0)) &amp; "'!B1:B1000")) &gt; MATCH(
                    H47,
                    INDIRECT("'" &amp; INDEX('Hulp (CAO''s)'!$C$3:$C$6,
                        MATCH(TRUE,'Hulp (CAO''s)'!$D$3:$D$6,0)) &amp; "'!A:A"),
                    0
                )) *
                IF(
                    I47="",
                    1,
                    (ROW(INDIRECT("'" &amp; INDEX('Hulp (CAO''s)'!$C$3:$C$6,
                        MATCH(TRUE,'Hulp (CAO''s)'!$D$3:$D$6,0)) &amp; "'!B1:B1000")) &lt; MATCH(
                        I47,
                        INDIRECT("'" &amp; INDEX('Hulp (CAO''s)'!$C$3:$C$6,
                            MATCH(TRUE,'Hulp (CAO''s)'!$D$3:$D$6,0)) &amp; "'!A:A"),
                        0
                    ))
                ),
                ROW(INDIRECT("'" &amp; INDEX('Hulp (CAO''s)'!$C$3:$C$6,
                    MATCH(TRUE,'Hulp (CAO''s)'!$D$3:$D$6,0)) &amp; "'!B1:B1000"))
            )
        ),0)
    )
))</f>
        <v/>
      </c>
      <c r="I50" s="145" t="str">
        <f t="array" aca="1" ref="I50" ca="1">IF($D48="Gebruik % van maximum trede",
IF(
    OR(I47="",I48=""),
    "",
    MAX(
    INDIRECT("'" &amp; INDEX('Hulp (CAO''s)'!$C$3:$C$6,
        MATCH(TRUE,'Hulp (CAO''s)'!$D$3:$D$6,0)) &amp; "'!" &amp;
        INDEX('Hulp (CAO''s)'!$H$3:$H$6,
            MATCH(TRUE,'Hulp (CAO''s)'!$D$3:$D$6,0))
        &amp;
        MATCH(I47, INDIRECT("'" &amp; INDEX('Hulp (CAO''s)'!$C$3:$C$6,
            MATCH(TRUE,'Hulp (CAO''s)'!$D$3:$D$6,0)) &amp; "'!A:A"),0)
        &amp; ":H" &amp;
        IF(J47&lt;&gt;"",
            MATCH(J47, INDIRECT("'" &amp; INDEX('Hulp (CAO''s)'!$C$3:$C$6,
                MATCH(TRUE,'Hulp (CAO''s)'!$D$3:$D$6,0)) &amp; "'!A:A"),0)-1,
            1000
        )
    )
) * I48
),
IF(
    IFERROR(MIN(
        IF(
            (TRIM(INDIRECT("'" &amp; INDEX('Hulp (CAO''s)'!$C$3:$C$6,
                MATCH(TRUE,'Hulp (CAO''s)'!$D$3:$D$6,0)) &amp; "'!B1:B1000")) = TEXT(I49,"0")) *
            (ROW(INDIRECT("'" &amp; INDEX('Hulp (CAO''s)'!$C$3:$C$6,
                MATCH(TRUE,'Hulp (CAO''s)'!$D$3:$D$6,0)) &amp; "'!B1:B1000")) &gt; MATCH(
                I47,
                INDIRECT("'" &amp; INDEX('Hulp (CAO''s)'!$C$3:$C$6,
                    MATCH(TRUE,'Hulp (CAO''s)'!$D$3:$D$6,0)) &amp; "'!A:A"),
                0
            )) *
            IF(
                J47="",
                1,
                (ROW(INDIRECT("'" &amp; INDEX('Hulp (CAO''s)'!$C$3:$C$6,
                    MATCH(TRUE,'Hulp (CAO''s)'!$D$3:$D$6,0)) &amp; "'!B1:B1000")) &lt; MATCH(
                    J47,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TEXT(I49,"0")) *
                (ROW(INDIRECT("'" &amp; INDEX('Hulp (CAO''s)'!$C$3:$C$6,
                    MATCH(TRUE,'Hulp (CAO''s)'!$D$3:$D$6,0)) &amp; "'!B1:B1000")) &gt; MATCH(
                    I47,
                    INDIRECT("'" &amp; INDEX('Hulp (CAO''s)'!$C$3:$C$6,
                        MATCH(TRUE,'Hulp (CAO''s)'!$D$3:$D$6,0)) &amp; "'!A:A"),
                    0
                )) *
                IF(
                    J47="",
                    1,
                    (ROW(INDIRECT("'" &amp; INDEX('Hulp (CAO''s)'!$C$3:$C$6,
                        MATCH(TRUE,'Hulp (CAO''s)'!$D$3:$D$6,0)) &amp; "'!B1:B1000")) &lt; MATCH(
                        J47,
                        INDIRECT("'" &amp; INDEX('Hulp (CAO''s)'!$C$3:$C$6,
                            MATCH(TRUE,'Hulp (CAO''s)'!$D$3:$D$6,0)) &amp; "'!A:A"),
                        0
                    ))
                ),
                ROW(INDIRECT("'" &amp; INDEX('Hulp (CAO''s)'!$C$3:$C$6,
                    MATCH(TRUE,'Hulp (CAO''s)'!$D$3:$D$6,0)) &amp; "'!B1:B1000"))
            )
        ),0)
    )
))</f>
        <v/>
      </c>
      <c r="J50" s="145" t="str">
        <f t="array" aca="1" ref="J50" ca="1">IF($D48="Gebruik % van maximum trede",
IF(
    OR(J47="",J48=""),
    "",
    MAX(
    INDIRECT("'" &amp; INDEX('Hulp (CAO''s)'!$C$3:$C$6,
        MATCH(TRUE,'Hulp (CAO''s)'!$D$3:$D$6,0)) &amp; "'!" &amp;
        INDEX('Hulp (CAO''s)'!$H$3:$H$6,
            MATCH(TRUE,'Hulp (CAO''s)'!$D$3:$D$6,0))
        &amp;
        MATCH(J47, INDIRECT("'" &amp; INDEX('Hulp (CAO''s)'!$C$3:$C$6,
            MATCH(TRUE,'Hulp (CAO''s)'!$D$3:$D$6,0)) &amp; "'!A:A"),0)
        &amp; ":H" &amp;
        IF(K47&lt;&gt;"",
            MATCH(K47, INDIRECT("'" &amp; INDEX('Hulp (CAO''s)'!$C$3:$C$6,
                MATCH(TRUE,'Hulp (CAO''s)'!$D$3:$D$6,0)) &amp; "'!A:A"),0)-1,
            1000
        )
    )
) * J48
),
IF(
    IFERROR(MIN(
        IF(
            (TRIM(INDIRECT("'" &amp; INDEX('Hulp (CAO''s)'!$C$3:$C$6,
                MATCH(TRUE,'Hulp (CAO''s)'!$D$3:$D$6,0)) &amp; "'!B1:B1000")) = TEXT(J49,"0")) *
            (ROW(INDIRECT("'" &amp; INDEX('Hulp (CAO''s)'!$C$3:$C$6,
                MATCH(TRUE,'Hulp (CAO''s)'!$D$3:$D$6,0)) &amp; "'!B1:B1000")) &gt; MATCH(
                J47,
                INDIRECT("'" &amp; INDEX('Hulp (CAO''s)'!$C$3:$C$6,
                    MATCH(TRUE,'Hulp (CAO''s)'!$D$3:$D$6,0)) &amp; "'!A:A"),
                0
            )) *
            IF(
                K47="",
                1,
                (ROW(INDIRECT("'" &amp; INDEX('Hulp (CAO''s)'!$C$3:$C$6,
                    MATCH(TRUE,'Hulp (CAO''s)'!$D$3:$D$6,0)) &amp; "'!B1:B1000")) &lt; MATCH(
                    K47,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TEXT(J49,"0")) *
                (ROW(INDIRECT("'" &amp; INDEX('Hulp (CAO''s)'!$C$3:$C$6,
                    MATCH(TRUE,'Hulp (CAO''s)'!$D$3:$D$6,0)) &amp; "'!B1:B1000")) &gt; MATCH(
                    J47,
                    INDIRECT("'" &amp; INDEX('Hulp (CAO''s)'!$C$3:$C$6,
                        MATCH(TRUE,'Hulp (CAO''s)'!$D$3:$D$6,0)) &amp; "'!A:A"),
                    0
                )) *
                IF(
                    K47="",
                    1,
                    (ROW(INDIRECT("'" &amp; INDEX('Hulp (CAO''s)'!$C$3:$C$6,
                        MATCH(TRUE,'Hulp (CAO''s)'!$D$3:$D$6,0)) &amp; "'!B1:B1000")) &lt; MATCH(
                        K47,
                        INDIRECT("'" &amp; INDEX('Hulp (CAO''s)'!$C$3:$C$6,
                            MATCH(TRUE,'Hulp (CAO''s)'!$D$3:$D$6,0)) &amp; "'!A:A"),
                        0
                    ))
                ),
                ROW(INDIRECT("'" &amp; INDEX('Hulp (CAO''s)'!$C$3:$C$6,
                    MATCH(TRUE,'Hulp (CAO''s)'!$D$3:$D$6,0)) &amp; "'!B1:B1000"))
            )
        ),0)
    )
))</f>
        <v/>
      </c>
      <c r="K50" s="145" t="str">
        <f t="array" aca="1" ref="K50" ca="1">IF($D48="Gebruik % van maximum trede",
IF(
    OR(K47="",K48=""),
    "",
    MAX(
    INDIRECT("'" &amp; INDEX('Hulp (CAO''s)'!$C$3:$C$6,
        MATCH(TRUE,'Hulp (CAO''s)'!$D$3:$D$6,0)) &amp; "'!" &amp;
        INDEX('Hulp (CAO''s)'!$H$3:$H$6,
            MATCH(TRUE,'Hulp (CAO''s)'!$D$3:$D$6,0))
        &amp;
        MATCH(K47, INDIRECT("'" &amp; INDEX('Hulp (CAO''s)'!$C$3:$C$6,
            MATCH(TRUE,'Hulp (CAO''s)'!$D$3:$D$6,0)) &amp; "'!A:A"),0)
        &amp; ":H" &amp;
        IF(L47&lt;&gt;"",
            MATCH(L47, INDIRECT("'" &amp; INDEX('Hulp (CAO''s)'!$C$3:$C$6,
                MATCH(TRUE,'Hulp (CAO''s)'!$D$3:$D$6,0)) &amp; "'!A:A"),0)-1,
            1000
        )
    )
) * K48
),
IF(
    IFERROR(MIN(
        IF(
            (TRIM(INDIRECT("'" &amp; INDEX('Hulp (CAO''s)'!$C$3:$C$6,
                MATCH(TRUE,'Hulp (CAO''s)'!$D$3:$D$6,0)) &amp; "'!B1:B1000")) = TEXT(K49,"0")) *
            (ROW(INDIRECT("'" &amp; INDEX('Hulp (CAO''s)'!$C$3:$C$6,
                MATCH(TRUE,'Hulp (CAO''s)'!$D$3:$D$6,0)) &amp; "'!B1:B1000")) &gt; MATCH(
                K47,
                INDIRECT("'" &amp; INDEX('Hulp (CAO''s)'!$C$3:$C$6,
                    MATCH(TRUE,'Hulp (CAO''s)'!$D$3:$D$6,0)) &amp; "'!A:A"),
                0
            )) *
            IF(
                L47="",
                1,
                (ROW(INDIRECT("'" &amp; INDEX('Hulp (CAO''s)'!$C$3:$C$6,
                    MATCH(TRUE,'Hulp (CAO''s)'!$D$3:$D$6,0)) &amp; "'!B1:B1000")) &lt; MATCH(
                    L47,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TEXT(K49,"0")) *
                (ROW(INDIRECT("'" &amp; INDEX('Hulp (CAO''s)'!$C$3:$C$6,
                    MATCH(TRUE,'Hulp (CAO''s)'!$D$3:$D$6,0)) &amp; "'!B1:B1000")) &gt; MATCH(
                    K47,
                    INDIRECT("'" &amp; INDEX('Hulp (CAO''s)'!$C$3:$C$6,
                        MATCH(TRUE,'Hulp (CAO''s)'!$D$3:$D$6,0)) &amp; "'!A:A"),
                    0
                )) *
                IF(
                    L47="",
                    1,
                    (ROW(INDIRECT("'" &amp; INDEX('Hulp (CAO''s)'!$C$3:$C$6,
                        MATCH(TRUE,'Hulp (CAO''s)'!$D$3:$D$6,0)) &amp; "'!B1:B1000")) &lt; MATCH(
                        L47,
                        INDIRECT("'" &amp; INDEX('Hulp (CAO''s)'!$C$3:$C$6,
                            MATCH(TRUE,'Hulp (CAO''s)'!$D$3:$D$6,0)) &amp; "'!A:A"),
                        0
                    ))
                ),
                ROW(INDIRECT("'" &amp; INDEX('Hulp (CAO''s)'!$C$3:$C$6,
                    MATCH(TRUE,'Hulp (CAO''s)'!$D$3:$D$6,0)) &amp; "'!B1:B1000"))
            )
        ),0)
    )
))</f>
        <v/>
      </c>
      <c r="L50" s="145" t="str">
        <f t="array" aca="1" ref="L50" ca="1">IF($D48="Gebruik % van maximum trede",
IF(
    OR(L47="",L48=""),
    "",
    MAX(
    INDIRECT("'" &amp; INDEX('Hulp (CAO''s)'!$C$3:$C$6,
        MATCH(TRUE,'Hulp (CAO''s)'!$D$3:$D$6,0)) &amp; "'!" &amp;
        INDEX('Hulp (CAO''s)'!$H$3:$H$6,
            MATCH(TRUE,'Hulp (CAO''s)'!$D$3:$D$6,0))
        &amp;
        MATCH(L47, INDIRECT("'" &amp; INDEX('Hulp (CAO''s)'!$C$3:$C$6,
            MATCH(TRUE,'Hulp (CAO''s)'!$D$3:$D$6,0)) &amp; "'!A:A"),0)
        &amp; ":H" &amp;
        IF(M47&lt;&gt;"",
            MATCH(M47, INDIRECT("'" &amp; INDEX('Hulp (CAO''s)'!$C$3:$C$6,
                MATCH(TRUE,'Hulp (CAO''s)'!$D$3:$D$6,0)) &amp; "'!A:A"),0)-1,
            1000
        )
    )
) * L48
),
IF(
    IFERROR(MIN(
        IF(
            (TRIM(INDIRECT("'" &amp; INDEX('Hulp (CAO''s)'!$C$3:$C$6,
                MATCH(TRUE,'Hulp (CAO''s)'!$D$3:$D$6,0)) &amp; "'!B1:B1000")) = TEXT(L49,"0")) *
            (ROW(INDIRECT("'" &amp; INDEX('Hulp (CAO''s)'!$C$3:$C$6,
                MATCH(TRUE,'Hulp (CAO''s)'!$D$3:$D$6,0)) &amp; "'!B1:B1000")) &gt; MATCH(
                L47,
                INDIRECT("'" &amp; INDEX('Hulp (CAO''s)'!$C$3:$C$6,
                    MATCH(TRUE,'Hulp (CAO''s)'!$D$3:$D$6,0)) &amp; "'!A:A"),
                0
            )) *
            IF(
                M47="",
                1,
                (ROW(INDIRECT("'" &amp; INDEX('Hulp (CAO''s)'!$C$3:$C$6,
                    MATCH(TRUE,'Hulp (CAO''s)'!$D$3:$D$6,0)) &amp; "'!B1:B1000")) &lt; MATCH(
                    M47,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TEXT(L49,"0")) *
                (ROW(INDIRECT("'" &amp; INDEX('Hulp (CAO''s)'!$C$3:$C$6,
                    MATCH(TRUE,'Hulp (CAO''s)'!$D$3:$D$6,0)) &amp; "'!B1:B1000")) &gt; MATCH(
                    L47,
                    INDIRECT("'" &amp; INDEX('Hulp (CAO''s)'!$C$3:$C$6,
                        MATCH(TRUE,'Hulp (CAO''s)'!$D$3:$D$6,0)) &amp; "'!A:A"),
                    0
                )) *
                IF(
                    M47="",
                    1,
                    (ROW(INDIRECT("'" &amp; INDEX('Hulp (CAO''s)'!$C$3:$C$6,
                        MATCH(TRUE,'Hulp (CAO''s)'!$D$3:$D$6,0)) &amp; "'!B1:B1000")) &lt; MATCH(
                        M47,
                        INDIRECT("'" &amp; INDEX('Hulp (CAO''s)'!$C$3:$C$6,
                            MATCH(TRUE,'Hulp (CAO''s)'!$D$3:$D$6,0)) &amp; "'!A:A"),
                        0
                    ))
                ),
                ROW(INDIRECT("'" &amp; INDEX('Hulp (CAO''s)'!$C$3:$C$6,
                    MATCH(TRUE,'Hulp (CAO''s)'!$D$3:$D$6,0)) &amp; "'!B1:B1000"))
            )
        ),0)
    )
))</f>
        <v/>
      </c>
      <c r="M50" s="145" t="str">
        <f t="array" aca="1" ref="M50" ca="1">IF($D48="Gebruik % van maximum trede",
IF(
    OR(M47="",M48=""),
    "",
    MAX(
    INDIRECT("'" &amp; INDEX('Hulp (CAO''s)'!$C$3:$C$6,
        MATCH(TRUE,'Hulp (CAO''s)'!$D$3:$D$6,0)) &amp; "'!" &amp;
        INDEX('Hulp (CAO''s)'!$H$3:$H$6,
            MATCH(TRUE,'Hulp (CAO''s)'!$D$3:$D$6,0))
        &amp;
        MATCH(M47, INDIRECT("'" &amp; INDEX('Hulp (CAO''s)'!$C$3:$C$6,
            MATCH(TRUE,'Hulp (CAO''s)'!$D$3:$D$6,0)) &amp; "'!A:A"),0)
        &amp; ":H" &amp;
        IF(N47&lt;&gt;"",
            MATCH(N47, INDIRECT("'" &amp; INDEX('Hulp (CAO''s)'!$C$3:$C$6,
                MATCH(TRUE,'Hulp (CAO''s)'!$D$3:$D$6,0)) &amp; "'!A:A"),0)-1,
            1000
        )
    )
) * M48
),
IF(
    IFERROR(MIN(
        IF(
            (TRIM(INDIRECT("'" &amp; INDEX('Hulp (CAO''s)'!$C$3:$C$6,
                MATCH(TRUE,'Hulp (CAO''s)'!$D$3:$D$6,0)) &amp; "'!B1:B1000")) = TEXT(M49,"0")) *
            (ROW(INDIRECT("'" &amp; INDEX('Hulp (CAO''s)'!$C$3:$C$6,
                MATCH(TRUE,'Hulp (CAO''s)'!$D$3:$D$6,0)) &amp; "'!B1:B1000")) &gt; MATCH(
                M47,
                INDIRECT("'" &amp; INDEX('Hulp (CAO''s)'!$C$3:$C$6,
                    MATCH(TRUE,'Hulp (CAO''s)'!$D$3:$D$6,0)) &amp; "'!A:A"),
                0
            )) *
            IF(
                N47="",
                1,
                (ROW(INDIRECT("'" &amp; INDEX('Hulp (CAO''s)'!$C$3:$C$6,
                    MATCH(TRUE,'Hulp (CAO''s)'!$D$3:$D$6,0)) &amp; "'!B1:B1000")) &lt; MATCH(
                    N47,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TEXT(M49,"0")) *
                (ROW(INDIRECT("'" &amp; INDEX('Hulp (CAO''s)'!$C$3:$C$6,
                    MATCH(TRUE,'Hulp (CAO''s)'!$D$3:$D$6,0)) &amp; "'!B1:B1000")) &gt; MATCH(
                    M47,
                    INDIRECT("'" &amp; INDEX('Hulp (CAO''s)'!$C$3:$C$6,
                        MATCH(TRUE,'Hulp (CAO''s)'!$D$3:$D$6,0)) &amp; "'!A:A"),
                    0
                )) *
                IF(
                    N47="",
                    1,
                    (ROW(INDIRECT("'" &amp; INDEX('Hulp (CAO''s)'!$C$3:$C$6,
                        MATCH(TRUE,'Hulp (CAO''s)'!$D$3:$D$6,0)) &amp; "'!B1:B1000")) &lt; MATCH(
                        N47,
                        INDIRECT("'" &amp; INDEX('Hulp (CAO''s)'!$C$3:$C$6,
                            MATCH(TRUE,'Hulp (CAO''s)'!$D$3:$D$6,0)) &amp; "'!A:A"),
                        0
                    ))
                ),
                ROW(INDIRECT("'" &amp; INDEX('Hulp (CAO''s)'!$C$3:$C$6,
                    MATCH(TRUE,'Hulp (CAO''s)'!$D$3:$D$6,0)) &amp; "'!B1:B1000"))
            )
        ),0)
    )
))</f>
        <v/>
      </c>
      <c r="N50" s="145" t="str">
        <f t="array" aca="1" ref="N50" ca="1">IF($D48="Gebruik % van maximum trede",
IF(
    OR(N47="",N48=""),
    "",
    MAX(
    INDIRECT("'" &amp; INDEX('Hulp (CAO''s)'!$C$3:$C$6,
        MATCH(TRUE,'Hulp (CAO''s)'!$D$3:$D$6,0)) &amp; "'!" &amp;
        INDEX('Hulp (CAO''s)'!$H$3:$H$6,
            MATCH(TRUE,'Hulp (CAO''s)'!$D$3:$D$6,0))
        &amp;
        MATCH(N47, INDIRECT("'" &amp; INDEX('Hulp (CAO''s)'!$C$3:$C$6,
            MATCH(TRUE,'Hulp (CAO''s)'!$D$3:$D$6,0)) &amp; "'!A:A"),0)
        &amp; ":H" &amp;
        IF(O47&lt;&gt;"",
            MATCH(O47, INDIRECT("'" &amp; INDEX('Hulp (CAO''s)'!$C$3:$C$6,
                MATCH(TRUE,'Hulp (CAO''s)'!$D$3:$D$6,0)) &amp; "'!A:A"),0)-1,
            1000
        )
    )
) * N48
),
IF(
    IFERROR(MIN(
        IF(
            (TRIM(INDIRECT("'" &amp; INDEX('Hulp (CAO''s)'!$C$3:$C$6,
                MATCH(TRUE,'Hulp (CAO''s)'!$D$3:$D$6,0)) &amp; "'!B1:B1000")) = TEXT(N49,"0")) *
            (ROW(INDIRECT("'" &amp; INDEX('Hulp (CAO''s)'!$C$3:$C$6,
                MATCH(TRUE,'Hulp (CAO''s)'!$D$3:$D$6,0)) &amp; "'!B1:B1000")) &gt; MATCH(
                N47,
                INDIRECT("'" &amp; INDEX('Hulp (CAO''s)'!$C$3:$C$6,
                    MATCH(TRUE,'Hulp (CAO''s)'!$D$3:$D$6,0)) &amp; "'!A:A"),
                0
            )) *
            IF(
                O47="",
                1,
                (ROW(INDIRECT("'" &amp; INDEX('Hulp (CAO''s)'!$C$3:$C$6,
                    MATCH(TRUE,'Hulp (CAO''s)'!$D$3:$D$6,0)) &amp; "'!B1:B1000")) &lt; MATCH(
                    O47,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TEXT(N49,"0")) *
                (ROW(INDIRECT("'" &amp; INDEX('Hulp (CAO''s)'!$C$3:$C$6,
                    MATCH(TRUE,'Hulp (CAO''s)'!$D$3:$D$6,0)) &amp; "'!B1:B1000")) &gt; MATCH(
                    N47,
                    INDIRECT("'" &amp; INDEX('Hulp (CAO''s)'!$C$3:$C$6,
                        MATCH(TRUE,'Hulp (CAO''s)'!$D$3:$D$6,0)) &amp; "'!A:A"),
                    0
                )) *
                IF(
                    O47="",
                    1,
                    (ROW(INDIRECT("'" &amp; INDEX('Hulp (CAO''s)'!$C$3:$C$6,
                        MATCH(TRUE,'Hulp (CAO''s)'!$D$3:$D$6,0)) &amp; "'!B1:B1000")) &lt; MATCH(
                        O47,
                        INDIRECT("'" &amp; INDEX('Hulp (CAO''s)'!$C$3:$C$6,
                            MATCH(TRUE,'Hulp (CAO''s)'!$D$3:$D$6,0)) &amp; "'!A:A"),
                        0
                    ))
                ),
                ROW(INDIRECT("'" &amp; INDEX('Hulp (CAO''s)'!$C$3:$C$6,
                    MATCH(TRUE,'Hulp (CAO''s)'!$D$3:$D$6,0)) &amp; "'!B1:B1000"))
            )
        ),0)
    )
))</f>
        <v/>
      </c>
      <c r="O50" s="145" t="str">
        <f t="array" aca="1" ref="O50" ca="1">IF($D48="Gebruik % van maximum trede",
IF(
    OR(O47="",O48=""),
    "",
    MAX(
    INDIRECT("'" &amp; INDEX('Hulp (CAO''s)'!$C$3:$C$6,
        MATCH(TRUE,'Hulp (CAO''s)'!$D$3:$D$6,0)) &amp; "'!" &amp;
        INDEX('Hulp (CAO''s)'!$H$3:$H$6,
            MATCH(TRUE,'Hulp (CAO''s)'!$D$3:$D$6,0))
        &amp;
        MATCH(O47, INDIRECT("'" &amp; INDEX('Hulp (CAO''s)'!$C$3:$C$6,
            MATCH(TRUE,'Hulp (CAO''s)'!$D$3:$D$6,0)) &amp; "'!A:A"),0)
        &amp; ":H" &amp;
        IF(P47&lt;&gt;"",
            MATCH(P47, INDIRECT("'" &amp; INDEX('Hulp (CAO''s)'!$C$3:$C$6,
                MATCH(TRUE,'Hulp (CAO''s)'!$D$3:$D$6,0)) &amp; "'!A:A"),0)-1,
            1000
        )
    )
) * O48
),
IF(
    IFERROR(MIN(
        IF(
            (TRIM(INDIRECT("'" &amp; INDEX('Hulp (CAO''s)'!$C$3:$C$6,
                MATCH(TRUE,'Hulp (CAO''s)'!$D$3:$D$6,0)) &amp; "'!B1:B1000")) = TEXT(O49,"0")) *
            (ROW(INDIRECT("'" &amp; INDEX('Hulp (CAO''s)'!$C$3:$C$6,
                MATCH(TRUE,'Hulp (CAO''s)'!$D$3:$D$6,0)) &amp; "'!B1:B1000")) &gt; MATCH(
                O47,
                INDIRECT("'" &amp; INDEX('Hulp (CAO''s)'!$C$3:$C$6,
                    MATCH(TRUE,'Hulp (CAO''s)'!$D$3:$D$6,0)) &amp; "'!A:A"),
                0
            )) *
            IF(
                P47="",
                1,
                (ROW(INDIRECT("'" &amp; INDEX('Hulp (CAO''s)'!$C$3:$C$6,
                    MATCH(TRUE,'Hulp (CAO''s)'!$D$3:$D$6,0)) &amp; "'!B1:B1000")) &lt; MATCH(
                    P47,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TEXT(O49,"0")) *
                (ROW(INDIRECT("'" &amp; INDEX('Hulp (CAO''s)'!$C$3:$C$6,
                    MATCH(TRUE,'Hulp (CAO''s)'!$D$3:$D$6,0)) &amp; "'!B1:B1000")) &gt; MATCH(
                    O47,
                    INDIRECT("'" &amp; INDEX('Hulp (CAO''s)'!$C$3:$C$6,
                        MATCH(TRUE,'Hulp (CAO''s)'!$D$3:$D$6,0)) &amp; "'!A:A"),
                    0
                )) *
                IF(
                    P47="",
                    1,
                    (ROW(INDIRECT("'" &amp; INDEX('Hulp (CAO''s)'!$C$3:$C$6,
                        MATCH(TRUE,'Hulp (CAO''s)'!$D$3:$D$6,0)) &amp; "'!B1:B1000")) &lt; MATCH(
                        P47,
                        INDIRECT("'" &amp; INDEX('Hulp (CAO''s)'!$C$3:$C$6,
                            MATCH(TRUE,'Hulp (CAO''s)'!$D$3:$D$6,0)) &amp; "'!A:A"),
                        0
                    ))
                ),
                ROW(INDIRECT("'" &amp; INDEX('Hulp (CAO''s)'!$C$3:$C$6,
                    MATCH(TRUE,'Hulp (CAO''s)'!$D$3:$D$6,0)) &amp; "'!B1:B1000"))
            )
        ),0)
    )
))</f>
        <v/>
      </c>
      <c r="P50" s="145" t="str">
        <f t="array" aca="1" ref="P50" ca="1">IF($D48="Gebruik % van maximum trede",
IF(
    OR(P47="",P48=""),
    "",
    MAX(
    INDIRECT("'" &amp; INDEX('Hulp (CAO''s)'!$C$3:$C$6,
        MATCH(TRUE,'Hulp (CAO''s)'!$D$3:$D$6,0)) &amp; "'!" &amp;
        INDEX('Hulp (CAO''s)'!$H$3:$H$6,
            MATCH(TRUE,'Hulp (CAO''s)'!$D$3:$D$6,0))
        &amp;
        MATCH(P47, INDIRECT("'" &amp; INDEX('Hulp (CAO''s)'!$C$3:$C$6,
            MATCH(TRUE,'Hulp (CAO''s)'!$D$3:$D$6,0)) &amp; "'!A:A"),0)
        &amp; ":H" &amp;
        IF(Q47&lt;&gt;"",
            MATCH(Q47, INDIRECT("'" &amp; INDEX('Hulp (CAO''s)'!$C$3:$C$6,
                MATCH(TRUE,'Hulp (CAO''s)'!$D$3:$D$6,0)) &amp; "'!A:A"),0)-1,
            1000
        )
    )
) * P48
),
IF(
    IFERROR(MIN(
        IF(
            (TRIM(INDIRECT("'" &amp; INDEX('Hulp (CAO''s)'!$C$3:$C$6,
                MATCH(TRUE,'Hulp (CAO''s)'!$D$3:$D$6,0)) &amp; "'!B1:B1000")) = TEXT(P49,"0")) *
            (ROW(INDIRECT("'" &amp; INDEX('Hulp (CAO''s)'!$C$3:$C$6,
                MATCH(TRUE,'Hulp (CAO''s)'!$D$3:$D$6,0)) &amp; "'!B1:B1000")) &gt; MATCH(
                P47,
                INDIRECT("'" &amp; INDEX('Hulp (CAO''s)'!$C$3:$C$6,
                    MATCH(TRUE,'Hulp (CAO''s)'!$D$3:$D$6,0)) &amp; "'!A:A"),
                0
            )) *
            IF(
                Q47="",
                1,
                (ROW(INDIRECT("'" &amp; INDEX('Hulp (CAO''s)'!$C$3:$C$6,
                    MATCH(TRUE,'Hulp (CAO''s)'!$D$3:$D$6,0)) &amp; "'!B1:B1000")) &lt; MATCH(
                    Q47,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TEXT(P49,"0")) *
                (ROW(INDIRECT("'" &amp; INDEX('Hulp (CAO''s)'!$C$3:$C$6,
                    MATCH(TRUE,'Hulp (CAO''s)'!$D$3:$D$6,0)) &amp; "'!B1:B1000")) &gt; MATCH(
                    P47,
                    INDIRECT("'" &amp; INDEX('Hulp (CAO''s)'!$C$3:$C$6,
                        MATCH(TRUE,'Hulp (CAO''s)'!$D$3:$D$6,0)) &amp; "'!A:A"),
                    0
                )) *
                IF(
                    Q47="",
                    1,
                    (ROW(INDIRECT("'" &amp; INDEX('Hulp (CAO''s)'!$C$3:$C$6,
                        MATCH(TRUE,'Hulp (CAO''s)'!$D$3:$D$6,0)) &amp; "'!B1:B1000")) &lt; MATCH(
                        Q47,
                        INDIRECT("'" &amp; INDEX('Hulp (CAO''s)'!$C$3:$C$6,
                            MATCH(TRUE,'Hulp (CAO''s)'!$D$3:$D$6,0)) &amp; "'!A:A"),
                        0
                    ))
                ),
                ROW(INDIRECT("'" &amp; INDEX('Hulp (CAO''s)'!$C$3:$C$6,
                    MATCH(TRUE,'Hulp (CAO''s)'!$D$3:$D$6,0)) &amp; "'!B1:B1000"))
            )
        ),0)
    )
))</f>
        <v/>
      </c>
      <c r="Q50" s="145" t="str">
        <f t="array" aca="1" ref="Q50" ca="1">IF($D48="Gebruik % van maximum trede",
IF(
    OR(Q47="",Q48=""),
    "",
    MAX(
    INDIRECT("'" &amp; INDEX('Hulp (CAO''s)'!$C$3:$C$6,
        MATCH(TRUE,'Hulp (CAO''s)'!$D$3:$D$6,0)) &amp; "'!" &amp;
        INDEX('Hulp (CAO''s)'!$H$3:$H$6,
            MATCH(TRUE,'Hulp (CAO''s)'!$D$3:$D$6,0))
        &amp;
        MATCH(Q47, INDIRECT("'" &amp; INDEX('Hulp (CAO''s)'!$C$3:$C$6,
            MATCH(TRUE,'Hulp (CAO''s)'!$D$3:$D$6,0)) &amp; "'!A:A"),0)
        &amp; ":H" &amp;
        IF(R47&lt;&gt;"",
            MATCH(R47, INDIRECT("'" &amp; INDEX('Hulp (CAO''s)'!$C$3:$C$6,
                MATCH(TRUE,'Hulp (CAO''s)'!$D$3:$D$6,0)) &amp; "'!A:A"),0)-1,
            1000
        )
    )
) * Q48
),
IF(
    IFERROR(MIN(
        IF(
            (TRIM(INDIRECT("'" &amp; INDEX('Hulp (CAO''s)'!$C$3:$C$6,
                MATCH(TRUE,'Hulp (CAO''s)'!$D$3:$D$6,0)) &amp; "'!B1:B1000")) = TEXT(Q49,"0")) *
            (ROW(INDIRECT("'" &amp; INDEX('Hulp (CAO''s)'!$C$3:$C$6,
                MATCH(TRUE,'Hulp (CAO''s)'!$D$3:$D$6,0)) &amp; "'!B1:B1000")) &gt; MATCH(
                Q47,
                INDIRECT("'" &amp; INDEX('Hulp (CAO''s)'!$C$3:$C$6,
                    MATCH(TRUE,'Hulp (CAO''s)'!$D$3:$D$6,0)) &amp; "'!A:A"),
                0
            )) *
            IF(
                R47="",
                1,
                (ROW(INDIRECT("'" &amp; INDEX('Hulp (CAO''s)'!$C$3:$C$6,
                    MATCH(TRUE,'Hulp (CAO''s)'!$D$3:$D$6,0)) &amp; "'!B1:B1000")) &lt; MATCH(
                    R47,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TEXT(Q49,"0")) *
                (ROW(INDIRECT("'" &amp; INDEX('Hulp (CAO''s)'!$C$3:$C$6,
                    MATCH(TRUE,'Hulp (CAO''s)'!$D$3:$D$6,0)) &amp; "'!B1:B1000")) &gt; MATCH(
                    Q47,
                    INDIRECT("'" &amp; INDEX('Hulp (CAO''s)'!$C$3:$C$6,
                        MATCH(TRUE,'Hulp (CAO''s)'!$D$3:$D$6,0)) &amp; "'!A:A"),
                    0
                )) *
                IF(
                    R47="",
                    1,
                    (ROW(INDIRECT("'" &amp; INDEX('Hulp (CAO''s)'!$C$3:$C$6,
                        MATCH(TRUE,'Hulp (CAO''s)'!$D$3:$D$6,0)) &amp; "'!B1:B1000")) &lt; MATCH(
                        R47,
                        INDIRECT("'" &amp; INDEX('Hulp (CAO''s)'!$C$3:$C$6,
                            MATCH(TRUE,'Hulp (CAO''s)'!$D$3:$D$6,0)) &amp; "'!A:A"),
                        0
                    ))
                ),
                ROW(INDIRECT("'" &amp; INDEX('Hulp (CAO''s)'!$C$3:$C$6,
                    MATCH(TRUE,'Hulp (CAO''s)'!$D$3:$D$6,0)) &amp; "'!B1:B1000"))
            )
        ),0)
    )
))</f>
        <v/>
      </c>
      <c r="R50" s="145" t="str">
        <f t="array" aca="1" ref="R50" ca="1">IF($D48="Gebruik % van maximum trede",
IF(
    OR(R47="",R48=""),
    "",
    MAX(
    INDIRECT("'" &amp; INDEX('Hulp (CAO''s)'!$C$3:$C$6,
        MATCH(TRUE,'Hulp (CAO''s)'!$D$3:$D$6,0)) &amp; "'!" &amp;
        INDEX('Hulp (CAO''s)'!$H$3:$H$6,
            MATCH(TRUE,'Hulp (CAO''s)'!$D$3:$D$6,0))
        &amp;
        MATCH(R47, INDIRECT("'" &amp; INDEX('Hulp (CAO''s)'!$C$3:$C$6,
            MATCH(TRUE,'Hulp (CAO''s)'!$D$3:$D$6,0)) &amp; "'!A:A"),0)
        &amp; ":H" &amp;
        IF(S47&lt;&gt;"",
            MATCH(S47, INDIRECT("'" &amp; INDEX('Hulp (CAO''s)'!$C$3:$C$6,
                MATCH(TRUE,'Hulp (CAO''s)'!$D$3:$D$6,0)) &amp; "'!A:A"),0)-1,
            1000
        )
    )
) * R48
),
IF(
    IFERROR(MIN(
        IF(
            (TRIM(INDIRECT("'" &amp; INDEX('Hulp (CAO''s)'!$C$3:$C$6,
                MATCH(TRUE,'Hulp (CAO''s)'!$D$3:$D$6,0)) &amp; "'!B1:B1000")) = TEXT(R49,"0")) *
            (ROW(INDIRECT("'" &amp; INDEX('Hulp (CAO''s)'!$C$3:$C$6,
                MATCH(TRUE,'Hulp (CAO''s)'!$D$3:$D$6,0)) &amp; "'!B1:B1000")) &gt; MATCH(
                R47,
                INDIRECT("'" &amp; INDEX('Hulp (CAO''s)'!$C$3:$C$6,
                    MATCH(TRUE,'Hulp (CAO''s)'!$D$3:$D$6,0)) &amp; "'!A:A"),
                0
            )) *
            IF(
                S47="",
                1,
                (ROW(INDIRECT("'" &amp; INDEX('Hulp (CAO''s)'!$C$3:$C$6,
                    MATCH(TRUE,'Hulp (CAO''s)'!$D$3:$D$6,0)) &amp; "'!B1:B1000")) &lt; MATCH(
                    S47,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TEXT(R49,"0")) *
                (ROW(INDIRECT("'" &amp; INDEX('Hulp (CAO''s)'!$C$3:$C$6,
                    MATCH(TRUE,'Hulp (CAO''s)'!$D$3:$D$6,0)) &amp; "'!B1:B1000")) &gt; MATCH(
                    R47,
                    INDIRECT("'" &amp; INDEX('Hulp (CAO''s)'!$C$3:$C$6,
                        MATCH(TRUE,'Hulp (CAO''s)'!$D$3:$D$6,0)) &amp; "'!A:A"),
                    0
                )) *
                IF(
                    S47="",
                    1,
                    (ROW(INDIRECT("'" &amp; INDEX('Hulp (CAO''s)'!$C$3:$C$6,
                        MATCH(TRUE,'Hulp (CAO''s)'!$D$3:$D$6,0)) &amp; "'!B1:B1000")) &lt; MATCH(
                        S47,
                        INDIRECT("'" &amp; INDEX('Hulp (CAO''s)'!$C$3:$C$6,
                            MATCH(TRUE,'Hulp (CAO''s)'!$D$3:$D$6,0)) &amp; "'!A:A"),
                        0
                    ))
                ),
                ROW(INDIRECT("'" &amp; INDEX('Hulp (CAO''s)'!$C$3:$C$6,
                    MATCH(TRUE,'Hulp (CAO''s)'!$D$3:$D$6,0)) &amp; "'!B1:B1000"))
            )
        ),0)
    )
))</f>
        <v/>
      </c>
      <c r="S50" s="145" t="str">
        <f t="array" aca="1" ref="S50" ca="1">IF($D48="Gebruik % van maximum trede",
IF(
    OR(S47="",S48=""),
    "",
    MAX(
    INDIRECT("'" &amp; INDEX('Hulp (CAO''s)'!$C$3:$C$6,
        MATCH(TRUE,'Hulp (CAO''s)'!$D$3:$D$6,0)) &amp; "'!" &amp;
        INDEX('Hulp (CAO''s)'!$H$3:$H$6,
            MATCH(TRUE,'Hulp (CAO''s)'!$D$3:$D$6,0))
        &amp;
        MATCH(S47, INDIRECT("'" &amp; INDEX('Hulp (CAO''s)'!$C$3:$C$6,
            MATCH(TRUE,'Hulp (CAO''s)'!$D$3:$D$6,0)) &amp; "'!A:A"),0)
        &amp; ":H" &amp;
        IF(T47&lt;&gt;"",
            MATCH(T47, INDIRECT("'" &amp; INDEX('Hulp (CAO''s)'!$C$3:$C$6,
                MATCH(TRUE,'Hulp (CAO''s)'!$D$3:$D$6,0)) &amp; "'!A:A"),0)-1,
            1000
        )
    )
) * S48
),
IF(
    IFERROR(MIN(
        IF(
            (TRIM(INDIRECT("'" &amp; INDEX('Hulp (CAO''s)'!$C$3:$C$6,
                MATCH(TRUE,'Hulp (CAO''s)'!$D$3:$D$6,0)) &amp; "'!B1:B1000")) = TEXT(S49,"0")) *
            (ROW(INDIRECT("'" &amp; INDEX('Hulp (CAO''s)'!$C$3:$C$6,
                MATCH(TRUE,'Hulp (CAO''s)'!$D$3:$D$6,0)) &amp; "'!B1:B1000")) &gt; MATCH(
                S47,
                INDIRECT("'" &amp; INDEX('Hulp (CAO''s)'!$C$3:$C$6,
                    MATCH(TRUE,'Hulp (CAO''s)'!$D$3:$D$6,0)) &amp; "'!A:A"),
                0
            )) *
            IF(
                T47="",
                1,
                (ROW(INDIRECT("'" &amp; INDEX('Hulp (CAO''s)'!$C$3:$C$6,
                    MATCH(TRUE,'Hulp (CAO''s)'!$D$3:$D$6,0)) &amp; "'!B1:B1000")) &lt; MATCH(
                    T47,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TEXT(S49,"0")) *
                (ROW(INDIRECT("'" &amp; INDEX('Hulp (CAO''s)'!$C$3:$C$6,
                    MATCH(TRUE,'Hulp (CAO''s)'!$D$3:$D$6,0)) &amp; "'!B1:B1000")) &gt; MATCH(
                    S47,
                    INDIRECT("'" &amp; INDEX('Hulp (CAO''s)'!$C$3:$C$6,
                        MATCH(TRUE,'Hulp (CAO''s)'!$D$3:$D$6,0)) &amp; "'!A:A"),
                    0
                )) *
                IF(
                    T47="",
                    1,
                    (ROW(INDIRECT("'" &amp; INDEX('Hulp (CAO''s)'!$C$3:$C$6,
                        MATCH(TRUE,'Hulp (CAO''s)'!$D$3:$D$6,0)) &amp; "'!B1:B1000")) &lt; MATCH(
                        T47,
                        INDIRECT("'" &amp; INDEX('Hulp (CAO''s)'!$C$3:$C$6,
                            MATCH(TRUE,'Hulp (CAO''s)'!$D$3:$D$6,0)) &amp; "'!A:A"),
                        0
                    ))
                ),
                ROW(INDIRECT("'" &amp; INDEX('Hulp (CAO''s)'!$C$3:$C$6,
                    MATCH(TRUE,'Hulp (CAO''s)'!$D$3:$D$6,0)) &amp; "'!B1:B1000"))
            )
        ),0)
    )
))</f>
        <v/>
      </c>
      <c r="T50" s="145" t="str">
        <f t="array" aca="1" ref="T50" ca="1">IF($D48="Gebruik % van maximum trede",
IF(
    OR(T47="",T48=""),
    "",
    MAX(
    INDIRECT("'" &amp; INDEX('Hulp (CAO''s)'!$C$3:$C$6,
        MATCH(TRUE,'Hulp (CAO''s)'!$D$3:$D$6,0)) &amp; "'!" &amp;
        INDEX('Hulp (CAO''s)'!$H$3:$H$6,
            MATCH(TRUE,'Hulp (CAO''s)'!$D$3:$D$6,0))
        &amp;
        MATCH(T47, INDIRECT("'" &amp; INDEX('Hulp (CAO''s)'!$C$3:$C$6,
            MATCH(TRUE,'Hulp (CAO''s)'!$D$3:$D$6,0)) &amp; "'!A:A"),0)
        &amp; ":H" &amp;
        IF(U47&lt;&gt;"",
            MATCH(U47, INDIRECT("'" &amp; INDEX('Hulp (CAO''s)'!$C$3:$C$6,
                MATCH(TRUE,'Hulp (CAO''s)'!$D$3:$D$6,0)) &amp; "'!A:A"),0)-1,
            1000
        )
    )
) * T48
),
IF(
    IFERROR(MIN(
        IF(
            (TRIM(INDIRECT("'" &amp; INDEX('Hulp (CAO''s)'!$C$3:$C$6,
                MATCH(TRUE,'Hulp (CAO''s)'!$D$3:$D$6,0)) &amp; "'!B1:B1000")) = TEXT(T49,"0")) *
            (ROW(INDIRECT("'" &amp; INDEX('Hulp (CAO''s)'!$C$3:$C$6,
                MATCH(TRUE,'Hulp (CAO''s)'!$D$3:$D$6,0)) &amp; "'!B1:B1000")) &gt; MATCH(
                T47,
                INDIRECT("'" &amp; INDEX('Hulp (CAO''s)'!$C$3:$C$6,
                    MATCH(TRUE,'Hulp (CAO''s)'!$D$3:$D$6,0)) &amp; "'!A:A"),
                0
            )) *
            IF(
                U47="",
                1,
                (ROW(INDIRECT("'" &amp; INDEX('Hulp (CAO''s)'!$C$3:$C$6,
                    MATCH(TRUE,'Hulp (CAO''s)'!$D$3:$D$6,0)) &amp; "'!B1:B1000")) &lt; MATCH(
                    U47,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TEXT(T49,"0")) *
                (ROW(INDIRECT("'" &amp; INDEX('Hulp (CAO''s)'!$C$3:$C$6,
                    MATCH(TRUE,'Hulp (CAO''s)'!$D$3:$D$6,0)) &amp; "'!B1:B1000")) &gt; MATCH(
                    T47,
                    INDIRECT("'" &amp; INDEX('Hulp (CAO''s)'!$C$3:$C$6,
                        MATCH(TRUE,'Hulp (CAO''s)'!$D$3:$D$6,0)) &amp; "'!A:A"),
                    0
                )) *
                IF(
                    U47="",
                    1,
                    (ROW(INDIRECT("'" &amp; INDEX('Hulp (CAO''s)'!$C$3:$C$6,
                        MATCH(TRUE,'Hulp (CAO''s)'!$D$3:$D$6,0)) &amp; "'!B1:B1000")) &lt; MATCH(
                        U47,
                        INDIRECT("'" &amp; INDEX('Hulp (CAO''s)'!$C$3:$C$6,
                            MATCH(TRUE,'Hulp (CAO''s)'!$D$3:$D$6,0)) &amp; "'!A:A"),
                        0
                    ))
                ),
                ROW(INDIRECT("'" &amp; INDEX('Hulp (CAO''s)'!$C$3:$C$6,
                    MATCH(TRUE,'Hulp (CAO''s)'!$D$3:$D$6,0)) &amp; "'!B1:B1000"))
            )
        ),0)
    )
))</f>
        <v/>
      </c>
      <c r="U50" s="145" t="str">
        <f t="array" aca="1" ref="U50" ca="1">IF($D48="Gebruik % van maximum trede",
IF(
    OR(U47="",U48=""),
    "",
    MAX(
    INDIRECT("'" &amp; INDEX('Hulp (CAO''s)'!$C$3:$C$6,
        MATCH(TRUE,'Hulp (CAO''s)'!$D$3:$D$6,0)) &amp; "'!" &amp;
        INDEX('Hulp (CAO''s)'!$H$3:$H$6,
            MATCH(TRUE,'Hulp (CAO''s)'!$D$3:$D$6,0))
        &amp;
        MATCH(U47, INDIRECT("'" &amp; INDEX('Hulp (CAO''s)'!$C$3:$C$6,
            MATCH(TRUE,'Hulp (CAO''s)'!$D$3:$D$6,0)) &amp; "'!A:A"),0)
        &amp; ":H" &amp;
        IF(V47&lt;&gt;"",
            MATCH(V47, INDIRECT("'" &amp; INDEX('Hulp (CAO''s)'!$C$3:$C$6,
                MATCH(TRUE,'Hulp (CAO''s)'!$D$3:$D$6,0)) &amp; "'!A:A"),0)-1,
            1000
        )
    )
) * U48
),
IF(
    IFERROR(MIN(
        IF(
            (TRIM(INDIRECT("'" &amp; INDEX('Hulp (CAO''s)'!$C$3:$C$6,
                MATCH(TRUE,'Hulp (CAO''s)'!$D$3:$D$6,0)) &amp; "'!B1:B1000")) = TEXT(U49,"0")) *
            (ROW(INDIRECT("'" &amp; INDEX('Hulp (CAO''s)'!$C$3:$C$6,
                MATCH(TRUE,'Hulp (CAO''s)'!$D$3:$D$6,0)) &amp; "'!B1:B1000")) &gt; MATCH(
                U47,
                INDIRECT("'" &amp; INDEX('Hulp (CAO''s)'!$C$3:$C$6,
                    MATCH(TRUE,'Hulp (CAO''s)'!$D$3:$D$6,0)) &amp; "'!A:A"),
                0
            )) *
            IF(
                V47="",
                1,
                (ROW(INDIRECT("'" &amp; INDEX('Hulp (CAO''s)'!$C$3:$C$6,
                    MATCH(TRUE,'Hulp (CAO''s)'!$D$3:$D$6,0)) &amp; "'!B1:B1000")) &lt; MATCH(
                    V47,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TEXT(U49,"0")) *
                (ROW(INDIRECT("'" &amp; INDEX('Hulp (CAO''s)'!$C$3:$C$6,
                    MATCH(TRUE,'Hulp (CAO''s)'!$D$3:$D$6,0)) &amp; "'!B1:B1000")) &gt; MATCH(
                    U47,
                    INDIRECT("'" &amp; INDEX('Hulp (CAO''s)'!$C$3:$C$6,
                        MATCH(TRUE,'Hulp (CAO''s)'!$D$3:$D$6,0)) &amp; "'!A:A"),
                    0
                )) *
                IF(
                    V47="",
                    1,
                    (ROW(INDIRECT("'" &amp; INDEX('Hulp (CAO''s)'!$C$3:$C$6,
                        MATCH(TRUE,'Hulp (CAO''s)'!$D$3:$D$6,0)) &amp; "'!B1:B1000")) &lt; MATCH(
                        V47,
                        INDIRECT("'" &amp; INDEX('Hulp (CAO''s)'!$C$3:$C$6,
                            MATCH(TRUE,'Hulp (CAO''s)'!$D$3:$D$6,0)) &amp; "'!A:A"),
                        0
                    ))
                ),
                ROW(INDIRECT("'" &amp; INDEX('Hulp (CAO''s)'!$C$3:$C$6,
                    MATCH(TRUE,'Hulp (CAO''s)'!$D$3:$D$6,0)) &amp; "'!B1:B1000"))
            )
        ),0)
    )
))</f>
        <v/>
      </c>
      <c r="V50" s="165" t="str">
        <f t="array" aca="1" ref="V50" ca="1">IF(SUM(F51:U51)=0,"",
IF(
   SUM(F50:U50)=0,
   "",
   (
      SUMPRODUCT(
         IF(F50:U50="",0,F50:U50),
         IF(F51:U51="",0,F51:U51) * SUM(F51:U51)
      )
   ) *
   IF(
      'Hulp (CAO''s)'!#REF!,
      IF(
         OR(
            INDEX(#REF!, ROW(#REF!) + INT((ROW()-ROW($V$8))/6)*8)="",
            ISNA(INDEX(#REF!, ROW(#REF!) + INT((ROW()-ROW($V$8))/6)*8))
         ),
         1878/12,
         INDEX(#REF!, ROW(#REF!) + INT((ROW()-ROW($V$8))/6)*8)/12
      ),
      1
   )
))</f>
        <v/>
      </c>
      <c r="W50" s="171" t="str">
        <f ca="1">IF(B47="","",
    IF(W49="","",
        IF(INDIRECT("'Hulp (control forms)'!C" &amp; (13 + INT((ROW()-ROW($B$5))/7))),
            W49,
            V50
        )
    )
)</f>
        <v/>
      </c>
      <c r="X50" s="170" t="str">
        <f ca="1">IF(AND($B47&lt;&gt;"", $W50=""),"!","")</f>
        <v/>
      </c>
    </row>
    <row r="51" spans="2:24" ht="16.05" customHeight="1" thickBot="1" x14ac:dyDescent="0.55000000000000004">
      <c r="C51" s="151"/>
      <c r="D51" s="141" t="s">
        <v>60</v>
      </c>
      <c r="E51" s="24" t="s">
        <v>59</v>
      </c>
      <c r="F51" s="146">
        <v>0.05</v>
      </c>
      <c r="G51" s="146">
        <v>0.1</v>
      </c>
      <c r="H51" s="146">
        <v>0.1</v>
      </c>
      <c r="I51" s="146">
        <v>0.15</v>
      </c>
      <c r="J51" s="146">
        <v>0.2</v>
      </c>
      <c r="K51" s="146">
        <v>0.15</v>
      </c>
      <c r="L51" s="146">
        <v>0.1</v>
      </c>
      <c r="M51" s="146">
        <v>0.05</v>
      </c>
      <c r="N51" s="146">
        <v>0.05</v>
      </c>
      <c r="O51" s="146">
        <v>0.05</v>
      </c>
      <c r="P51" s="146">
        <v>0</v>
      </c>
      <c r="Q51" s="146"/>
      <c r="R51" s="146"/>
      <c r="S51" s="146"/>
      <c r="T51" s="146"/>
      <c r="U51" s="147"/>
      <c r="V51" s="142" t="str">
        <f ca="1">IF($B47="","",IF($D51="Aandeel in %",
   "Totaal: "&amp;SUM(F51:U51)*100&amp;"%",
   "Totaal: "&amp;SUM(F51:U51)&amp;" uur"
))</f>
        <v/>
      </c>
      <c r="W51" s="168"/>
      <c r="X51" s="153"/>
    </row>
    <row r="52" spans="2:24" ht="16.05" customHeight="1" thickBot="1" x14ac:dyDescent="0.55000000000000004">
      <c r="C52" s="154"/>
      <c r="D52" s="140"/>
      <c r="E52" s="140"/>
      <c r="F52" s="140"/>
      <c r="G52" s="140"/>
      <c r="H52" s="140"/>
      <c r="I52" s="140"/>
      <c r="J52" s="140"/>
      <c r="K52" s="140"/>
      <c r="L52" s="140"/>
      <c r="M52" s="140"/>
      <c r="N52" s="140"/>
      <c r="O52" s="140"/>
      <c r="P52" s="140"/>
      <c r="Q52" s="140"/>
      <c r="R52" s="140"/>
      <c r="S52" s="140"/>
      <c r="T52" s="155"/>
      <c r="U52" s="155"/>
      <c r="V52" s="169"/>
      <c r="W52" s="169"/>
      <c r="X52" s="156"/>
    </row>
    <row r="53" spans="2:24" ht="16.05" customHeight="1" thickBot="1" x14ac:dyDescent="0.55000000000000004">
      <c r="B53" s="159" t="str">
        <f ca="1">IF(B54="","",
IF(
   OR(
      INDIRECT("'1a. Input organisatieniveau'!AC" &amp; (7 + INT((ROW()-4)/7)))="",
      INDIRECT("'1a. Input organisatieniveau'!AC" &amp; (7 + INT((ROW()-4)/7)))=0
   ),
   "",
   INDIRECT("'1a. Input organisatieniveau'!AC" &amp; (7 + INT((ROW()-4)/7)))
))</f>
        <v/>
      </c>
      <c r="C53" s="148"/>
      <c r="D53" s="139"/>
      <c r="E53" s="139"/>
      <c r="F53" s="149" t="str">
        <f t="shared" ref="F53:U53" ca="1" si="7">IF($D55="Gebruik % van maximum trede", IF(AND(AND(F54&lt;&gt;"",F55&lt;&gt;""),F57=""),"!",""), IF(AND(AND(F54&lt;&gt;"",F56&lt;&gt;""),F57=""),"!",""))</f>
        <v/>
      </c>
      <c r="G53" s="149" t="str">
        <f t="shared" ca="1" si="7"/>
        <v/>
      </c>
      <c r="H53" s="149" t="str">
        <f t="shared" ca="1" si="7"/>
        <v/>
      </c>
      <c r="I53" s="149" t="str">
        <f t="shared" ca="1" si="7"/>
        <v/>
      </c>
      <c r="J53" s="149" t="str">
        <f t="shared" ca="1" si="7"/>
        <v/>
      </c>
      <c r="K53" s="149" t="str">
        <f t="shared" ca="1" si="7"/>
        <v/>
      </c>
      <c r="L53" s="149" t="str">
        <f t="shared" ca="1" si="7"/>
        <v/>
      </c>
      <c r="M53" s="149" t="str">
        <f t="shared" ca="1" si="7"/>
        <v/>
      </c>
      <c r="N53" s="149" t="str">
        <f t="shared" ca="1" si="7"/>
        <v/>
      </c>
      <c r="O53" s="149" t="str">
        <f t="shared" ca="1" si="7"/>
        <v/>
      </c>
      <c r="P53" s="149" t="str">
        <f t="shared" ca="1" si="7"/>
        <v/>
      </c>
      <c r="Q53" s="149" t="str">
        <f t="shared" ca="1" si="7"/>
        <v/>
      </c>
      <c r="R53" s="149" t="str">
        <f t="shared" ca="1" si="7"/>
        <v/>
      </c>
      <c r="S53" s="149" t="str">
        <f t="shared" ca="1" si="7"/>
        <v/>
      </c>
      <c r="T53" s="149" t="str">
        <f t="shared" ca="1" si="7"/>
        <v/>
      </c>
      <c r="U53" s="149" t="str">
        <f t="shared" ca="1" si="7"/>
        <v/>
      </c>
      <c r="V53" s="167"/>
      <c r="W53" s="167"/>
      <c r="X53" s="150"/>
    </row>
    <row r="54" spans="2:24" ht="16.05" customHeight="1" thickBot="1" x14ac:dyDescent="0.55000000000000004">
      <c r="B54" s="158" t="str">
        <f ca="1">IF(
   OR(
      INDIRECT("'1a. Input organisatieniveau'!AA" &amp; (7 + INT((ROW()-4)/7)))="",
      INDIRECT("'1a. Input organisatieniveau'!AA" &amp; (7 + INT((ROW()-4)/7)))=0
   ),
   "",
   INDIRECT("'1a. Input organisatieniveau'!AA" &amp; (7 + INT((ROW()-4)/7)))
)</f>
        <v/>
      </c>
      <c r="C54" s="151"/>
      <c r="D54" s="152"/>
      <c r="E54" s="22" t="s">
        <v>28</v>
      </c>
      <c r="F54" s="143" t="str">
        <f t="array" aca="1" ref="F54" ca="1">IF($B54="", "", INDEX('Hulp (CAO''s)'!J$3:J$6, MATCH(TRUE, 'Hulp (CAO''s)'!$D$3:$D$6, 0)))</f>
        <v/>
      </c>
      <c r="G54" s="143" t="str">
        <f t="array" aca="1" ref="G54" ca="1">IF($B54="", "", INDEX('Hulp (CAO''s)'!K$3:K$6, MATCH(TRUE, 'Hulp (CAO''s)'!$D$3:$D$6, 0)))</f>
        <v/>
      </c>
      <c r="H54" s="143" t="str">
        <f t="array" aca="1" ref="H54" ca="1">IF($B54="", "", INDEX('Hulp (CAO''s)'!L$3:L$6, MATCH(TRUE, 'Hulp (CAO''s)'!$D$3:$D$6, 0)))</f>
        <v/>
      </c>
      <c r="I54" s="143" t="str">
        <f t="array" aca="1" ref="I54" ca="1">IF($B54="", "", INDEX('Hulp (CAO''s)'!M$3:M$6, MATCH(TRUE, 'Hulp (CAO''s)'!$D$3:$D$6, 0)))</f>
        <v/>
      </c>
      <c r="J54" s="143" t="str">
        <f t="array" aca="1" ref="J54" ca="1">IF($B54="", "", INDEX('Hulp (CAO''s)'!N$3:N$6, MATCH(TRUE, 'Hulp (CAO''s)'!$D$3:$D$6, 0)))</f>
        <v/>
      </c>
      <c r="K54" s="143" t="str">
        <f t="array" aca="1" ref="K54" ca="1">IF($B54="", "", INDEX('Hulp (CAO''s)'!O$3:O$6, MATCH(TRUE, 'Hulp (CAO''s)'!$D$3:$D$6, 0)))</f>
        <v/>
      </c>
      <c r="L54" s="143" t="str">
        <f t="array" aca="1" ref="L54" ca="1">IF($B54="", "", INDEX('Hulp (CAO''s)'!P$3:P$6, MATCH(TRUE, 'Hulp (CAO''s)'!$D$3:$D$6, 0)))</f>
        <v/>
      </c>
      <c r="M54" s="143" t="str">
        <f t="array" aca="1" ref="M54" ca="1">IF($B54="", "", INDEX('Hulp (CAO''s)'!Q$3:Q$6, MATCH(TRUE, 'Hulp (CAO''s)'!$D$3:$D$6, 0)))</f>
        <v/>
      </c>
      <c r="N54" s="143" t="str">
        <f t="array" aca="1" ref="N54" ca="1">IF($B54="", "", INDEX('Hulp (CAO''s)'!R$3:R$6, MATCH(TRUE, 'Hulp (CAO''s)'!$D$3:$D$6, 0)))</f>
        <v/>
      </c>
      <c r="O54" s="143" t="str">
        <f t="array" aca="1" ref="O54" ca="1">IF($B54="", "", INDEX('Hulp (CAO''s)'!S$3:S$6, MATCH(TRUE, 'Hulp (CAO''s)'!$D$3:$D$6, 0)))</f>
        <v/>
      </c>
      <c r="P54" s="143" t="str">
        <f t="array" aca="1" ref="P54" ca="1">IF($B54="", "", INDEX('Hulp (CAO''s)'!T$3:T$6, MATCH(TRUE, 'Hulp (CAO''s)'!$D$3:$D$6, 0)))</f>
        <v/>
      </c>
      <c r="Q54" s="143" t="str">
        <f t="array" aca="1" ref="Q54" ca="1">IF($B54="", "", INDEX('Hulp (CAO''s)'!U$3:U$6, MATCH(TRUE, 'Hulp (CAO''s)'!$D$3:$D$6, 0)))</f>
        <v/>
      </c>
      <c r="R54" s="143" t="str">
        <f t="array" aca="1" ref="R54" ca="1">IF($B54="", "", INDEX('Hulp (CAO''s)'!V$3:V$6, MATCH(TRUE, 'Hulp (CAO''s)'!$D$3:$D$6, 0)))</f>
        <v/>
      </c>
      <c r="S54" s="143" t="str">
        <f t="array" aca="1" ref="S54" ca="1">IF($B54="", "", INDEX('Hulp (CAO''s)'!W$3:W$6, MATCH(TRUE, 'Hulp (CAO''s)'!$D$3:$D$6, 0)))</f>
        <v/>
      </c>
      <c r="T54" s="143" t="str">
        <f t="array" aca="1" ref="T54" ca="1">IF($B54="", "", INDEX('Hulp (CAO''s)'!X$3:X$6, MATCH(TRUE, 'Hulp (CAO''s)'!$D$3:$D$6, 0)))</f>
        <v/>
      </c>
      <c r="U54" s="144" t="str">
        <f t="array" aca="1" ref="U54" ca="1">IF($B54="", "", INDEX('Hulp (CAO''s)'!Y$3:Y$6, MATCH(TRUE, 'Hulp (CAO''s)'!$D$3:$D$6, 0)))</f>
        <v/>
      </c>
      <c r="W54" s="788" t="s">
        <v>747</v>
      </c>
      <c r="X54" s="153"/>
    </row>
    <row r="55" spans="2:24" ht="16.05" customHeight="1" thickBot="1" x14ac:dyDescent="0.55000000000000004">
      <c r="C55" s="151"/>
      <c r="D55" s="786" t="s">
        <v>771</v>
      </c>
      <c r="E55" s="162" t="s">
        <v>770</v>
      </c>
      <c r="F55" s="163">
        <v>0.96</v>
      </c>
      <c r="G55" s="163">
        <v>0.9</v>
      </c>
      <c r="H55" s="163">
        <v>0.9</v>
      </c>
      <c r="I55" s="163">
        <v>0.7</v>
      </c>
      <c r="J55" s="163">
        <v>0.8</v>
      </c>
      <c r="K55" s="163">
        <v>0.9</v>
      </c>
      <c r="L55" s="163">
        <v>0.9</v>
      </c>
      <c r="M55" s="163">
        <v>0.9</v>
      </c>
      <c r="N55" s="163">
        <v>0.9</v>
      </c>
      <c r="O55" s="163">
        <v>0.8</v>
      </c>
      <c r="P55" s="163">
        <v>0.95</v>
      </c>
      <c r="Q55" s="163">
        <v>0.93</v>
      </c>
      <c r="R55" s="163">
        <v>0.93</v>
      </c>
      <c r="S55" s="163">
        <v>0.99</v>
      </c>
      <c r="T55" s="163">
        <v>0.99</v>
      </c>
      <c r="U55" s="164">
        <v>0.95</v>
      </c>
      <c r="W55" s="789"/>
      <c r="X55" s="153"/>
    </row>
    <row r="56" spans="2:24" ht="16.05" customHeight="1" thickBot="1" x14ac:dyDescent="0.55000000000000004">
      <c r="C56" s="151"/>
      <c r="D56" s="787"/>
      <c r="E56" s="31" t="s">
        <v>29</v>
      </c>
      <c r="F56" s="160">
        <v>8</v>
      </c>
      <c r="G56" s="160">
        <v>10</v>
      </c>
      <c r="H56" s="160">
        <v>10</v>
      </c>
      <c r="I56" s="160">
        <v>9</v>
      </c>
      <c r="J56" s="160">
        <v>10</v>
      </c>
      <c r="K56" s="160">
        <v>11</v>
      </c>
      <c r="L56" s="160">
        <v>10</v>
      </c>
      <c r="M56" s="160">
        <v>10</v>
      </c>
      <c r="N56" s="160">
        <v>9</v>
      </c>
      <c r="O56" s="160">
        <v>10</v>
      </c>
      <c r="P56" s="160">
        <v>11</v>
      </c>
      <c r="Q56" s="160">
        <v>12</v>
      </c>
      <c r="R56" s="160">
        <v>13</v>
      </c>
      <c r="S56" s="160">
        <v>12</v>
      </c>
      <c r="T56" s="160">
        <v>10</v>
      </c>
      <c r="U56" s="161">
        <v>5</v>
      </c>
      <c r="W56" s="166">
        <v>4200</v>
      </c>
      <c r="X56" s="153"/>
    </row>
    <row r="57" spans="2:24" ht="16.05" customHeight="1" thickBot="1" x14ac:dyDescent="0.55000000000000004">
      <c r="C57" s="151"/>
      <c r="E57" s="40" t="str">
        <f>IFERROR(
   INDEX('Hulp (CAO''s)'!$I$3:$I$6, MATCH(TRUE, 'Hulp (CAO''s)'!$D$3:$D$6, 0)),
"")</f>
        <v>Bruto maandsalaris</v>
      </c>
      <c r="F57" s="145" t="str">
        <f t="array" aca="1" ref="F57" ca="1">IF($D55="Gebruik % van maximum trede",
IF(
    OR(F54="",F55=""),
    "",
    MAX(
    INDIRECT("'" &amp; INDEX('Hulp (CAO''s)'!$C$3:$C$6,
        MATCH(TRUE,'Hulp (CAO''s)'!$D$3:$D$6,0)) &amp; "'!" &amp;
        INDEX('Hulp (CAO''s)'!$H$3:$H$6,
            MATCH(TRUE,'Hulp (CAO''s)'!$D$3:$D$6,0))
        &amp;
        MATCH(F54, INDIRECT("'" &amp; INDEX('Hulp (CAO''s)'!$C$3:$C$6,
            MATCH(TRUE,'Hulp (CAO''s)'!$D$3:$D$6,0)) &amp; "'!A:A"),0)
        &amp; ":H" &amp;
        IF(G54&lt;&gt;"",
            MATCH(G54, INDIRECT("'" &amp; INDEX('Hulp (CAO''s)'!$C$3:$C$6,
                MATCH(TRUE,'Hulp (CAO''s)'!$D$3:$D$6,0)) &amp; "'!A:A"),0)-1,
            1000
        )
    )
) * F55
),
IF(
    IFERROR(MIN(
        IF(
            (TRIM(INDIRECT("'" &amp; INDEX('Hulp (CAO''s)'!$C$3:$C$6,
                MATCH(TRUE,'Hulp (CAO''s)'!$D$3:$D$6,0)) &amp; "'!B1:B1000")) = TEXT(F56,"0")) *
            (ROW(INDIRECT("'" &amp; INDEX('Hulp (CAO''s)'!$C$3:$C$6,
                MATCH(TRUE,'Hulp (CAO''s)'!$D$3:$D$6,0)) &amp; "'!B1:B1000")) &gt; MATCH(
                F54,
                INDIRECT("'" &amp; INDEX('Hulp (CAO''s)'!$C$3:$C$6,
                    MATCH(TRUE,'Hulp (CAO''s)'!$D$3:$D$6,0)) &amp; "'!A:A"),
                0
            )) *
            IF(
                G54="",
                1,
                (ROW(INDIRECT("'" &amp; INDEX('Hulp (CAO''s)'!$C$3:$C$6,
                    MATCH(TRUE,'Hulp (CAO''s)'!$D$3:$D$6,0)) &amp; "'!B1:B1000")) &lt; MATCH(
                    G54,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TEXT(F56,"0")) *
                (ROW(INDIRECT("'" &amp; INDEX('Hulp (CAO''s)'!$C$3:$C$6,
                    MATCH(TRUE,'Hulp (CAO''s)'!$D$3:$D$6,0)) &amp; "'!B1:B1000")) &gt; MATCH(
                    F54,
                    INDIRECT("'" &amp; INDEX('Hulp (CAO''s)'!$C$3:$C$6,
                        MATCH(TRUE,'Hulp (CAO''s)'!$D$3:$D$6,0)) &amp; "'!A:A"),
                    0
                )) *
                IF(
                    G54="",
                    1,
                    (ROW(INDIRECT("'" &amp; INDEX('Hulp (CAO''s)'!$C$3:$C$6,
                        MATCH(TRUE,'Hulp (CAO''s)'!$D$3:$D$6,0)) &amp; "'!B1:B1000")) &lt; MATCH(
                        G54,
                        INDIRECT("'" &amp; INDEX('Hulp (CAO''s)'!$C$3:$C$6,
                            MATCH(TRUE,'Hulp (CAO''s)'!$D$3:$D$6,0)) &amp; "'!A:A"),
                        0
                    ))
                ),
                ROW(INDIRECT("'" &amp; INDEX('Hulp (CAO''s)'!$C$3:$C$6,
                    MATCH(TRUE,'Hulp (CAO''s)'!$D$3:$D$6,0)) &amp; "'!B1:B1000"))
            )
        ),0)
    )
))</f>
        <v/>
      </c>
      <c r="G57" s="145" t="str">
        <f t="array" aca="1" ref="G57" ca="1">IF($D55="Gebruik % van maximum trede",
IF(
    OR(G54="",G55=""),
    "",
    MAX(
    INDIRECT("'" &amp; INDEX('Hulp (CAO''s)'!$C$3:$C$6,
        MATCH(TRUE,'Hulp (CAO''s)'!$D$3:$D$6,0)) &amp; "'!" &amp;
        INDEX('Hulp (CAO''s)'!$H$3:$H$6,
            MATCH(TRUE,'Hulp (CAO''s)'!$D$3:$D$6,0))
        &amp;
        MATCH(G54, INDIRECT("'" &amp; INDEX('Hulp (CAO''s)'!$C$3:$C$6,
            MATCH(TRUE,'Hulp (CAO''s)'!$D$3:$D$6,0)) &amp; "'!A:A"),0)
        &amp; ":H" &amp;
        IF(H54&lt;&gt;"",
            MATCH(H54, INDIRECT("'" &amp; INDEX('Hulp (CAO''s)'!$C$3:$C$6,
                MATCH(TRUE,'Hulp (CAO''s)'!$D$3:$D$6,0)) &amp; "'!A:A"),0)-1,
            1000
        )
    )
) * G55
),
IF(
    IFERROR(MIN(
        IF(
            (TRIM(INDIRECT("'" &amp; INDEX('Hulp (CAO''s)'!$C$3:$C$6,
                MATCH(TRUE,'Hulp (CAO''s)'!$D$3:$D$6,0)) &amp; "'!B1:B1000")) = TEXT(G56,"0")) *
            (ROW(INDIRECT("'" &amp; INDEX('Hulp (CAO''s)'!$C$3:$C$6,
                MATCH(TRUE,'Hulp (CAO''s)'!$D$3:$D$6,0)) &amp; "'!B1:B1000")) &gt; MATCH(
                G54,
                INDIRECT("'" &amp; INDEX('Hulp (CAO''s)'!$C$3:$C$6,
                    MATCH(TRUE,'Hulp (CAO''s)'!$D$3:$D$6,0)) &amp; "'!A:A"),
                0
            )) *
            IF(
                H54="",
                1,
                (ROW(INDIRECT("'" &amp; INDEX('Hulp (CAO''s)'!$C$3:$C$6,
                    MATCH(TRUE,'Hulp (CAO''s)'!$D$3:$D$6,0)) &amp; "'!B1:B1000")) &lt; MATCH(
                    H54,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TEXT(G56,"0")) *
                (ROW(INDIRECT("'" &amp; INDEX('Hulp (CAO''s)'!$C$3:$C$6,
                    MATCH(TRUE,'Hulp (CAO''s)'!$D$3:$D$6,0)) &amp; "'!B1:B1000")) &gt; MATCH(
                    G54,
                    INDIRECT("'" &amp; INDEX('Hulp (CAO''s)'!$C$3:$C$6,
                        MATCH(TRUE,'Hulp (CAO''s)'!$D$3:$D$6,0)) &amp; "'!A:A"),
                    0
                )) *
                IF(
                    H54="",
                    1,
                    (ROW(INDIRECT("'" &amp; INDEX('Hulp (CAO''s)'!$C$3:$C$6,
                        MATCH(TRUE,'Hulp (CAO''s)'!$D$3:$D$6,0)) &amp; "'!B1:B1000")) &lt; MATCH(
                        H54,
                        INDIRECT("'" &amp; INDEX('Hulp (CAO''s)'!$C$3:$C$6,
                            MATCH(TRUE,'Hulp (CAO''s)'!$D$3:$D$6,0)) &amp; "'!A:A"),
                        0
                    ))
                ),
                ROW(INDIRECT("'" &amp; INDEX('Hulp (CAO''s)'!$C$3:$C$6,
                    MATCH(TRUE,'Hulp (CAO''s)'!$D$3:$D$6,0)) &amp; "'!B1:B1000"))
            )
        ),0)
    )
))</f>
        <v/>
      </c>
      <c r="H57" s="145" t="str">
        <f t="array" aca="1" ref="H57" ca="1">IF($D55="Gebruik % van maximum trede",
IF(
    OR(H54="",H55=""),
    "",
    MAX(
    INDIRECT("'" &amp; INDEX('Hulp (CAO''s)'!$C$3:$C$6,
        MATCH(TRUE,'Hulp (CAO''s)'!$D$3:$D$6,0)) &amp; "'!" &amp;
        INDEX('Hulp (CAO''s)'!$H$3:$H$6,
            MATCH(TRUE,'Hulp (CAO''s)'!$D$3:$D$6,0))
        &amp;
        MATCH(H54, INDIRECT("'" &amp; INDEX('Hulp (CAO''s)'!$C$3:$C$6,
            MATCH(TRUE,'Hulp (CAO''s)'!$D$3:$D$6,0)) &amp; "'!A:A"),0)
        &amp; ":H" &amp;
        IF(I54&lt;&gt;"",
            MATCH(I54, INDIRECT("'" &amp; INDEX('Hulp (CAO''s)'!$C$3:$C$6,
                MATCH(TRUE,'Hulp (CAO''s)'!$D$3:$D$6,0)) &amp; "'!A:A"),0)-1,
            1000
        )
    )
) * H55
),
IF(
    IFERROR(MIN(
        IF(
            (TRIM(INDIRECT("'" &amp; INDEX('Hulp (CAO''s)'!$C$3:$C$6,
                MATCH(TRUE,'Hulp (CAO''s)'!$D$3:$D$6,0)) &amp; "'!B1:B1000")) = TEXT(H56,"0")) *
            (ROW(INDIRECT("'" &amp; INDEX('Hulp (CAO''s)'!$C$3:$C$6,
                MATCH(TRUE,'Hulp (CAO''s)'!$D$3:$D$6,0)) &amp; "'!B1:B1000")) &gt; MATCH(
                H54,
                INDIRECT("'" &amp; INDEX('Hulp (CAO''s)'!$C$3:$C$6,
                    MATCH(TRUE,'Hulp (CAO''s)'!$D$3:$D$6,0)) &amp; "'!A:A"),
                0
            )) *
            IF(
                I54="",
                1,
                (ROW(INDIRECT("'" &amp; INDEX('Hulp (CAO''s)'!$C$3:$C$6,
                    MATCH(TRUE,'Hulp (CAO''s)'!$D$3:$D$6,0)) &amp; "'!B1:B1000")) &lt; MATCH(
                    I54,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TEXT(H56,"0")) *
                (ROW(INDIRECT("'" &amp; INDEX('Hulp (CAO''s)'!$C$3:$C$6,
                    MATCH(TRUE,'Hulp (CAO''s)'!$D$3:$D$6,0)) &amp; "'!B1:B1000")) &gt; MATCH(
                    H54,
                    INDIRECT("'" &amp; INDEX('Hulp (CAO''s)'!$C$3:$C$6,
                        MATCH(TRUE,'Hulp (CAO''s)'!$D$3:$D$6,0)) &amp; "'!A:A"),
                    0
                )) *
                IF(
                    I54="",
                    1,
                    (ROW(INDIRECT("'" &amp; INDEX('Hulp (CAO''s)'!$C$3:$C$6,
                        MATCH(TRUE,'Hulp (CAO''s)'!$D$3:$D$6,0)) &amp; "'!B1:B1000")) &lt; MATCH(
                        I54,
                        INDIRECT("'" &amp; INDEX('Hulp (CAO''s)'!$C$3:$C$6,
                            MATCH(TRUE,'Hulp (CAO''s)'!$D$3:$D$6,0)) &amp; "'!A:A"),
                        0
                    ))
                ),
                ROW(INDIRECT("'" &amp; INDEX('Hulp (CAO''s)'!$C$3:$C$6,
                    MATCH(TRUE,'Hulp (CAO''s)'!$D$3:$D$6,0)) &amp; "'!B1:B1000"))
            )
        ),0)
    )
))</f>
        <v/>
      </c>
      <c r="I57" s="145" t="str">
        <f t="array" aca="1" ref="I57" ca="1">IF($D55="Gebruik % van maximum trede",
IF(
    OR(I54="",I55=""),
    "",
    MAX(
    INDIRECT("'" &amp; INDEX('Hulp (CAO''s)'!$C$3:$C$6,
        MATCH(TRUE,'Hulp (CAO''s)'!$D$3:$D$6,0)) &amp; "'!" &amp;
        INDEX('Hulp (CAO''s)'!$H$3:$H$6,
            MATCH(TRUE,'Hulp (CAO''s)'!$D$3:$D$6,0))
        &amp;
        MATCH(I54, INDIRECT("'" &amp; INDEX('Hulp (CAO''s)'!$C$3:$C$6,
            MATCH(TRUE,'Hulp (CAO''s)'!$D$3:$D$6,0)) &amp; "'!A:A"),0)
        &amp; ":H" &amp;
        IF(J54&lt;&gt;"",
            MATCH(J54, INDIRECT("'" &amp; INDEX('Hulp (CAO''s)'!$C$3:$C$6,
                MATCH(TRUE,'Hulp (CAO''s)'!$D$3:$D$6,0)) &amp; "'!A:A"),0)-1,
            1000
        )
    )
) * I55
),
IF(
    IFERROR(MIN(
        IF(
            (TRIM(INDIRECT("'" &amp; INDEX('Hulp (CAO''s)'!$C$3:$C$6,
                MATCH(TRUE,'Hulp (CAO''s)'!$D$3:$D$6,0)) &amp; "'!B1:B1000")) = TEXT(I56,"0")) *
            (ROW(INDIRECT("'" &amp; INDEX('Hulp (CAO''s)'!$C$3:$C$6,
                MATCH(TRUE,'Hulp (CAO''s)'!$D$3:$D$6,0)) &amp; "'!B1:B1000")) &gt; MATCH(
                I54,
                INDIRECT("'" &amp; INDEX('Hulp (CAO''s)'!$C$3:$C$6,
                    MATCH(TRUE,'Hulp (CAO''s)'!$D$3:$D$6,0)) &amp; "'!A:A"),
                0
            )) *
            IF(
                J54="",
                1,
                (ROW(INDIRECT("'" &amp; INDEX('Hulp (CAO''s)'!$C$3:$C$6,
                    MATCH(TRUE,'Hulp (CAO''s)'!$D$3:$D$6,0)) &amp; "'!B1:B1000")) &lt; MATCH(
                    J54,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TEXT(I56,"0")) *
                (ROW(INDIRECT("'" &amp; INDEX('Hulp (CAO''s)'!$C$3:$C$6,
                    MATCH(TRUE,'Hulp (CAO''s)'!$D$3:$D$6,0)) &amp; "'!B1:B1000")) &gt; MATCH(
                    I54,
                    INDIRECT("'" &amp; INDEX('Hulp (CAO''s)'!$C$3:$C$6,
                        MATCH(TRUE,'Hulp (CAO''s)'!$D$3:$D$6,0)) &amp; "'!A:A"),
                    0
                )) *
                IF(
                    J54="",
                    1,
                    (ROW(INDIRECT("'" &amp; INDEX('Hulp (CAO''s)'!$C$3:$C$6,
                        MATCH(TRUE,'Hulp (CAO''s)'!$D$3:$D$6,0)) &amp; "'!B1:B1000")) &lt; MATCH(
                        J54,
                        INDIRECT("'" &amp; INDEX('Hulp (CAO''s)'!$C$3:$C$6,
                            MATCH(TRUE,'Hulp (CAO''s)'!$D$3:$D$6,0)) &amp; "'!A:A"),
                        0
                    ))
                ),
                ROW(INDIRECT("'" &amp; INDEX('Hulp (CAO''s)'!$C$3:$C$6,
                    MATCH(TRUE,'Hulp (CAO''s)'!$D$3:$D$6,0)) &amp; "'!B1:B1000"))
            )
        ),0)
    )
))</f>
        <v/>
      </c>
      <c r="J57" s="145" t="str">
        <f t="array" aca="1" ref="J57" ca="1">IF($D55="Gebruik % van maximum trede",
IF(
    OR(J54="",J55=""),
    "",
    MAX(
    INDIRECT("'" &amp; INDEX('Hulp (CAO''s)'!$C$3:$C$6,
        MATCH(TRUE,'Hulp (CAO''s)'!$D$3:$D$6,0)) &amp; "'!" &amp;
        INDEX('Hulp (CAO''s)'!$H$3:$H$6,
            MATCH(TRUE,'Hulp (CAO''s)'!$D$3:$D$6,0))
        &amp;
        MATCH(J54, INDIRECT("'" &amp; INDEX('Hulp (CAO''s)'!$C$3:$C$6,
            MATCH(TRUE,'Hulp (CAO''s)'!$D$3:$D$6,0)) &amp; "'!A:A"),0)
        &amp; ":H" &amp;
        IF(K54&lt;&gt;"",
            MATCH(K54, INDIRECT("'" &amp; INDEX('Hulp (CAO''s)'!$C$3:$C$6,
                MATCH(TRUE,'Hulp (CAO''s)'!$D$3:$D$6,0)) &amp; "'!A:A"),0)-1,
            1000
        )
    )
) * J55
),
IF(
    IFERROR(MIN(
        IF(
            (TRIM(INDIRECT("'" &amp; INDEX('Hulp (CAO''s)'!$C$3:$C$6,
                MATCH(TRUE,'Hulp (CAO''s)'!$D$3:$D$6,0)) &amp; "'!B1:B1000")) = TEXT(J56,"0")) *
            (ROW(INDIRECT("'" &amp; INDEX('Hulp (CAO''s)'!$C$3:$C$6,
                MATCH(TRUE,'Hulp (CAO''s)'!$D$3:$D$6,0)) &amp; "'!B1:B1000")) &gt; MATCH(
                J54,
                INDIRECT("'" &amp; INDEX('Hulp (CAO''s)'!$C$3:$C$6,
                    MATCH(TRUE,'Hulp (CAO''s)'!$D$3:$D$6,0)) &amp; "'!A:A"),
                0
            )) *
            IF(
                K54="",
                1,
                (ROW(INDIRECT("'" &amp; INDEX('Hulp (CAO''s)'!$C$3:$C$6,
                    MATCH(TRUE,'Hulp (CAO''s)'!$D$3:$D$6,0)) &amp; "'!B1:B1000")) &lt; MATCH(
                    K54,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TEXT(J56,"0")) *
                (ROW(INDIRECT("'" &amp; INDEX('Hulp (CAO''s)'!$C$3:$C$6,
                    MATCH(TRUE,'Hulp (CAO''s)'!$D$3:$D$6,0)) &amp; "'!B1:B1000")) &gt; MATCH(
                    J54,
                    INDIRECT("'" &amp; INDEX('Hulp (CAO''s)'!$C$3:$C$6,
                        MATCH(TRUE,'Hulp (CAO''s)'!$D$3:$D$6,0)) &amp; "'!A:A"),
                    0
                )) *
                IF(
                    K54="",
                    1,
                    (ROW(INDIRECT("'" &amp; INDEX('Hulp (CAO''s)'!$C$3:$C$6,
                        MATCH(TRUE,'Hulp (CAO''s)'!$D$3:$D$6,0)) &amp; "'!B1:B1000")) &lt; MATCH(
                        K54,
                        INDIRECT("'" &amp; INDEX('Hulp (CAO''s)'!$C$3:$C$6,
                            MATCH(TRUE,'Hulp (CAO''s)'!$D$3:$D$6,0)) &amp; "'!A:A"),
                        0
                    ))
                ),
                ROW(INDIRECT("'" &amp; INDEX('Hulp (CAO''s)'!$C$3:$C$6,
                    MATCH(TRUE,'Hulp (CAO''s)'!$D$3:$D$6,0)) &amp; "'!B1:B1000"))
            )
        ),0)
    )
))</f>
        <v/>
      </c>
      <c r="K57" s="145" t="str">
        <f t="array" aca="1" ref="K57" ca="1">IF($D55="Gebruik % van maximum trede",
IF(
    OR(K54="",K55=""),
    "",
    MAX(
    INDIRECT("'" &amp; INDEX('Hulp (CAO''s)'!$C$3:$C$6,
        MATCH(TRUE,'Hulp (CAO''s)'!$D$3:$D$6,0)) &amp; "'!" &amp;
        INDEX('Hulp (CAO''s)'!$H$3:$H$6,
            MATCH(TRUE,'Hulp (CAO''s)'!$D$3:$D$6,0))
        &amp;
        MATCH(K54, INDIRECT("'" &amp; INDEX('Hulp (CAO''s)'!$C$3:$C$6,
            MATCH(TRUE,'Hulp (CAO''s)'!$D$3:$D$6,0)) &amp; "'!A:A"),0)
        &amp; ":H" &amp;
        IF(L54&lt;&gt;"",
            MATCH(L54, INDIRECT("'" &amp; INDEX('Hulp (CAO''s)'!$C$3:$C$6,
                MATCH(TRUE,'Hulp (CAO''s)'!$D$3:$D$6,0)) &amp; "'!A:A"),0)-1,
            1000
        )
    )
) * K55
),
IF(
    IFERROR(MIN(
        IF(
            (TRIM(INDIRECT("'" &amp; INDEX('Hulp (CAO''s)'!$C$3:$C$6,
                MATCH(TRUE,'Hulp (CAO''s)'!$D$3:$D$6,0)) &amp; "'!B1:B1000")) = TEXT(K56,"0")) *
            (ROW(INDIRECT("'" &amp; INDEX('Hulp (CAO''s)'!$C$3:$C$6,
                MATCH(TRUE,'Hulp (CAO''s)'!$D$3:$D$6,0)) &amp; "'!B1:B1000")) &gt; MATCH(
                K54,
                INDIRECT("'" &amp; INDEX('Hulp (CAO''s)'!$C$3:$C$6,
                    MATCH(TRUE,'Hulp (CAO''s)'!$D$3:$D$6,0)) &amp; "'!A:A"),
                0
            )) *
            IF(
                L54="",
                1,
                (ROW(INDIRECT("'" &amp; INDEX('Hulp (CAO''s)'!$C$3:$C$6,
                    MATCH(TRUE,'Hulp (CAO''s)'!$D$3:$D$6,0)) &amp; "'!B1:B1000")) &lt; MATCH(
                    L54,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TEXT(K56,"0")) *
                (ROW(INDIRECT("'" &amp; INDEX('Hulp (CAO''s)'!$C$3:$C$6,
                    MATCH(TRUE,'Hulp (CAO''s)'!$D$3:$D$6,0)) &amp; "'!B1:B1000")) &gt; MATCH(
                    K54,
                    INDIRECT("'" &amp; INDEX('Hulp (CAO''s)'!$C$3:$C$6,
                        MATCH(TRUE,'Hulp (CAO''s)'!$D$3:$D$6,0)) &amp; "'!A:A"),
                    0
                )) *
                IF(
                    L54="",
                    1,
                    (ROW(INDIRECT("'" &amp; INDEX('Hulp (CAO''s)'!$C$3:$C$6,
                        MATCH(TRUE,'Hulp (CAO''s)'!$D$3:$D$6,0)) &amp; "'!B1:B1000")) &lt; MATCH(
                        L54,
                        INDIRECT("'" &amp; INDEX('Hulp (CAO''s)'!$C$3:$C$6,
                            MATCH(TRUE,'Hulp (CAO''s)'!$D$3:$D$6,0)) &amp; "'!A:A"),
                        0
                    ))
                ),
                ROW(INDIRECT("'" &amp; INDEX('Hulp (CAO''s)'!$C$3:$C$6,
                    MATCH(TRUE,'Hulp (CAO''s)'!$D$3:$D$6,0)) &amp; "'!B1:B1000"))
            )
        ),0)
    )
))</f>
        <v/>
      </c>
      <c r="L57" s="145" t="str">
        <f t="array" aca="1" ref="L57" ca="1">IF($D55="Gebruik % van maximum trede",
IF(
    OR(L54="",L55=""),
    "",
    MAX(
    INDIRECT("'" &amp; INDEX('Hulp (CAO''s)'!$C$3:$C$6,
        MATCH(TRUE,'Hulp (CAO''s)'!$D$3:$D$6,0)) &amp; "'!" &amp;
        INDEX('Hulp (CAO''s)'!$H$3:$H$6,
            MATCH(TRUE,'Hulp (CAO''s)'!$D$3:$D$6,0))
        &amp;
        MATCH(L54, INDIRECT("'" &amp; INDEX('Hulp (CAO''s)'!$C$3:$C$6,
            MATCH(TRUE,'Hulp (CAO''s)'!$D$3:$D$6,0)) &amp; "'!A:A"),0)
        &amp; ":H" &amp;
        IF(M54&lt;&gt;"",
            MATCH(M54, INDIRECT("'" &amp; INDEX('Hulp (CAO''s)'!$C$3:$C$6,
                MATCH(TRUE,'Hulp (CAO''s)'!$D$3:$D$6,0)) &amp; "'!A:A"),0)-1,
            1000
        )
    )
) * L55
),
IF(
    IFERROR(MIN(
        IF(
            (TRIM(INDIRECT("'" &amp; INDEX('Hulp (CAO''s)'!$C$3:$C$6,
                MATCH(TRUE,'Hulp (CAO''s)'!$D$3:$D$6,0)) &amp; "'!B1:B1000")) = TEXT(L56,"0")) *
            (ROW(INDIRECT("'" &amp; INDEX('Hulp (CAO''s)'!$C$3:$C$6,
                MATCH(TRUE,'Hulp (CAO''s)'!$D$3:$D$6,0)) &amp; "'!B1:B1000")) &gt; MATCH(
                L54,
                INDIRECT("'" &amp; INDEX('Hulp (CAO''s)'!$C$3:$C$6,
                    MATCH(TRUE,'Hulp (CAO''s)'!$D$3:$D$6,0)) &amp; "'!A:A"),
                0
            )) *
            IF(
                M54="",
                1,
                (ROW(INDIRECT("'" &amp; INDEX('Hulp (CAO''s)'!$C$3:$C$6,
                    MATCH(TRUE,'Hulp (CAO''s)'!$D$3:$D$6,0)) &amp; "'!B1:B1000")) &lt; MATCH(
                    M54,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TEXT(L56,"0")) *
                (ROW(INDIRECT("'" &amp; INDEX('Hulp (CAO''s)'!$C$3:$C$6,
                    MATCH(TRUE,'Hulp (CAO''s)'!$D$3:$D$6,0)) &amp; "'!B1:B1000")) &gt; MATCH(
                    L54,
                    INDIRECT("'" &amp; INDEX('Hulp (CAO''s)'!$C$3:$C$6,
                        MATCH(TRUE,'Hulp (CAO''s)'!$D$3:$D$6,0)) &amp; "'!A:A"),
                    0
                )) *
                IF(
                    M54="",
                    1,
                    (ROW(INDIRECT("'" &amp; INDEX('Hulp (CAO''s)'!$C$3:$C$6,
                        MATCH(TRUE,'Hulp (CAO''s)'!$D$3:$D$6,0)) &amp; "'!B1:B1000")) &lt; MATCH(
                        M54,
                        INDIRECT("'" &amp; INDEX('Hulp (CAO''s)'!$C$3:$C$6,
                            MATCH(TRUE,'Hulp (CAO''s)'!$D$3:$D$6,0)) &amp; "'!A:A"),
                        0
                    ))
                ),
                ROW(INDIRECT("'" &amp; INDEX('Hulp (CAO''s)'!$C$3:$C$6,
                    MATCH(TRUE,'Hulp (CAO''s)'!$D$3:$D$6,0)) &amp; "'!B1:B1000"))
            )
        ),0)
    )
))</f>
        <v/>
      </c>
      <c r="M57" s="145" t="str">
        <f t="array" aca="1" ref="M57" ca="1">IF($D55="Gebruik % van maximum trede",
IF(
    OR(M54="",M55=""),
    "",
    MAX(
    INDIRECT("'" &amp; INDEX('Hulp (CAO''s)'!$C$3:$C$6,
        MATCH(TRUE,'Hulp (CAO''s)'!$D$3:$D$6,0)) &amp; "'!" &amp;
        INDEX('Hulp (CAO''s)'!$H$3:$H$6,
            MATCH(TRUE,'Hulp (CAO''s)'!$D$3:$D$6,0))
        &amp;
        MATCH(M54, INDIRECT("'" &amp; INDEX('Hulp (CAO''s)'!$C$3:$C$6,
            MATCH(TRUE,'Hulp (CAO''s)'!$D$3:$D$6,0)) &amp; "'!A:A"),0)
        &amp; ":H" &amp;
        IF(N54&lt;&gt;"",
            MATCH(N54, INDIRECT("'" &amp; INDEX('Hulp (CAO''s)'!$C$3:$C$6,
                MATCH(TRUE,'Hulp (CAO''s)'!$D$3:$D$6,0)) &amp; "'!A:A"),0)-1,
            1000
        )
    )
) * M55
),
IF(
    IFERROR(MIN(
        IF(
            (TRIM(INDIRECT("'" &amp; INDEX('Hulp (CAO''s)'!$C$3:$C$6,
                MATCH(TRUE,'Hulp (CAO''s)'!$D$3:$D$6,0)) &amp; "'!B1:B1000")) = TEXT(M56,"0")) *
            (ROW(INDIRECT("'" &amp; INDEX('Hulp (CAO''s)'!$C$3:$C$6,
                MATCH(TRUE,'Hulp (CAO''s)'!$D$3:$D$6,0)) &amp; "'!B1:B1000")) &gt; MATCH(
                M54,
                INDIRECT("'" &amp; INDEX('Hulp (CAO''s)'!$C$3:$C$6,
                    MATCH(TRUE,'Hulp (CAO''s)'!$D$3:$D$6,0)) &amp; "'!A:A"),
                0
            )) *
            IF(
                N54="",
                1,
                (ROW(INDIRECT("'" &amp; INDEX('Hulp (CAO''s)'!$C$3:$C$6,
                    MATCH(TRUE,'Hulp (CAO''s)'!$D$3:$D$6,0)) &amp; "'!B1:B1000")) &lt; MATCH(
                    N54,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TEXT(M56,"0")) *
                (ROW(INDIRECT("'" &amp; INDEX('Hulp (CAO''s)'!$C$3:$C$6,
                    MATCH(TRUE,'Hulp (CAO''s)'!$D$3:$D$6,0)) &amp; "'!B1:B1000")) &gt; MATCH(
                    M54,
                    INDIRECT("'" &amp; INDEX('Hulp (CAO''s)'!$C$3:$C$6,
                        MATCH(TRUE,'Hulp (CAO''s)'!$D$3:$D$6,0)) &amp; "'!A:A"),
                    0
                )) *
                IF(
                    N54="",
                    1,
                    (ROW(INDIRECT("'" &amp; INDEX('Hulp (CAO''s)'!$C$3:$C$6,
                        MATCH(TRUE,'Hulp (CAO''s)'!$D$3:$D$6,0)) &amp; "'!B1:B1000")) &lt; MATCH(
                        N54,
                        INDIRECT("'" &amp; INDEX('Hulp (CAO''s)'!$C$3:$C$6,
                            MATCH(TRUE,'Hulp (CAO''s)'!$D$3:$D$6,0)) &amp; "'!A:A"),
                        0
                    ))
                ),
                ROW(INDIRECT("'" &amp; INDEX('Hulp (CAO''s)'!$C$3:$C$6,
                    MATCH(TRUE,'Hulp (CAO''s)'!$D$3:$D$6,0)) &amp; "'!B1:B1000"))
            )
        ),0)
    )
))</f>
        <v/>
      </c>
      <c r="N57" s="145" t="str">
        <f t="array" aca="1" ref="N57" ca="1">IF($D55="Gebruik % van maximum trede",
IF(
    OR(N54="",N55=""),
    "",
    MAX(
    INDIRECT("'" &amp; INDEX('Hulp (CAO''s)'!$C$3:$C$6,
        MATCH(TRUE,'Hulp (CAO''s)'!$D$3:$D$6,0)) &amp; "'!" &amp;
        INDEX('Hulp (CAO''s)'!$H$3:$H$6,
            MATCH(TRUE,'Hulp (CAO''s)'!$D$3:$D$6,0))
        &amp;
        MATCH(N54, INDIRECT("'" &amp; INDEX('Hulp (CAO''s)'!$C$3:$C$6,
            MATCH(TRUE,'Hulp (CAO''s)'!$D$3:$D$6,0)) &amp; "'!A:A"),0)
        &amp; ":H" &amp;
        IF(O54&lt;&gt;"",
            MATCH(O54, INDIRECT("'" &amp; INDEX('Hulp (CAO''s)'!$C$3:$C$6,
                MATCH(TRUE,'Hulp (CAO''s)'!$D$3:$D$6,0)) &amp; "'!A:A"),0)-1,
            1000
        )
    )
) * N55
),
IF(
    IFERROR(MIN(
        IF(
            (TRIM(INDIRECT("'" &amp; INDEX('Hulp (CAO''s)'!$C$3:$C$6,
                MATCH(TRUE,'Hulp (CAO''s)'!$D$3:$D$6,0)) &amp; "'!B1:B1000")) = TEXT(N56,"0")) *
            (ROW(INDIRECT("'" &amp; INDEX('Hulp (CAO''s)'!$C$3:$C$6,
                MATCH(TRUE,'Hulp (CAO''s)'!$D$3:$D$6,0)) &amp; "'!B1:B1000")) &gt; MATCH(
                N54,
                INDIRECT("'" &amp; INDEX('Hulp (CAO''s)'!$C$3:$C$6,
                    MATCH(TRUE,'Hulp (CAO''s)'!$D$3:$D$6,0)) &amp; "'!A:A"),
                0
            )) *
            IF(
                O54="",
                1,
                (ROW(INDIRECT("'" &amp; INDEX('Hulp (CAO''s)'!$C$3:$C$6,
                    MATCH(TRUE,'Hulp (CAO''s)'!$D$3:$D$6,0)) &amp; "'!B1:B1000")) &lt; MATCH(
                    O54,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TEXT(N56,"0")) *
                (ROW(INDIRECT("'" &amp; INDEX('Hulp (CAO''s)'!$C$3:$C$6,
                    MATCH(TRUE,'Hulp (CAO''s)'!$D$3:$D$6,0)) &amp; "'!B1:B1000")) &gt; MATCH(
                    N54,
                    INDIRECT("'" &amp; INDEX('Hulp (CAO''s)'!$C$3:$C$6,
                        MATCH(TRUE,'Hulp (CAO''s)'!$D$3:$D$6,0)) &amp; "'!A:A"),
                    0
                )) *
                IF(
                    O54="",
                    1,
                    (ROW(INDIRECT("'" &amp; INDEX('Hulp (CAO''s)'!$C$3:$C$6,
                        MATCH(TRUE,'Hulp (CAO''s)'!$D$3:$D$6,0)) &amp; "'!B1:B1000")) &lt; MATCH(
                        O54,
                        INDIRECT("'" &amp; INDEX('Hulp (CAO''s)'!$C$3:$C$6,
                            MATCH(TRUE,'Hulp (CAO''s)'!$D$3:$D$6,0)) &amp; "'!A:A"),
                        0
                    ))
                ),
                ROW(INDIRECT("'" &amp; INDEX('Hulp (CAO''s)'!$C$3:$C$6,
                    MATCH(TRUE,'Hulp (CAO''s)'!$D$3:$D$6,0)) &amp; "'!B1:B1000"))
            )
        ),0)
    )
))</f>
        <v/>
      </c>
      <c r="O57" s="145" t="str">
        <f t="array" aca="1" ref="O57" ca="1">IF($D55="Gebruik % van maximum trede",
IF(
    OR(O54="",O55=""),
    "",
    MAX(
    INDIRECT("'" &amp; INDEX('Hulp (CAO''s)'!$C$3:$C$6,
        MATCH(TRUE,'Hulp (CAO''s)'!$D$3:$D$6,0)) &amp; "'!" &amp;
        INDEX('Hulp (CAO''s)'!$H$3:$H$6,
            MATCH(TRUE,'Hulp (CAO''s)'!$D$3:$D$6,0))
        &amp;
        MATCH(O54, INDIRECT("'" &amp; INDEX('Hulp (CAO''s)'!$C$3:$C$6,
            MATCH(TRUE,'Hulp (CAO''s)'!$D$3:$D$6,0)) &amp; "'!A:A"),0)
        &amp; ":H" &amp;
        IF(P54&lt;&gt;"",
            MATCH(P54, INDIRECT("'" &amp; INDEX('Hulp (CAO''s)'!$C$3:$C$6,
                MATCH(TRUE,'Hulp (CAO''s)'!$D$3:$D$6,0)) &amp; "'!A:A"),0)-1,
            1000
        )
    )
) * O55
),
IF(
    IFERROR(MIN(
        IF(
            (TRIM(INDIRECT("'" &amp; INDEX('Hulp (CAO''s)'!$C$3:$C$6,
                MATCH(TRUE,'Hulp (CAO''s)'!$D$3:$D$6,0)) &amp; "'!B1:B1000")) = TEXT(O56,"0")) *
            (ROW(INDIRECT("'" &amp; INDEX('Hulp (CAO''s)'!$C$3:$C$6,
                MATCH(TRUE,'Hulp (CAO''s)'!$D$3:$D$6,0)) &amp; "'!B1:B1000")) &gt; MATCH(
                O54,
                INDIRECT("'" &amp; INDEX('Hulp (CAO''s)'!$C$3:$C$6,
                    MATCH(TRUE,'Hulp (CAO''s)'!$D$3:$D$6,0)) &amp; "'!A:A"),
                0
            )) *
            IF(
                P54="",
                1,
                (ROW(INDIRECT("'" &amp; INDEX('Hulp (CAO''s)'!$C$3:$C$6,
                    MATCH(TRUE,'Hulp (CAO''s)'!$D$3:$D$6,0)) &amp; "'!B1:B1000")) &lt; MATCH(
                    P54,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TEXT(O56,"0")) *
                (ROW(INDIRECT("'" &amp; INDEX('Hulp (CAO''s)'!$C$3:$C$6,
                    MATCH(TRUE,'Hulp (CAO''s)'!$D$3:$D$6,0)) &amp; "'!B1:B1000")) &gt; MATCH(
                    O54,
                    INDIRECT("'" &amp; INDEX('Hulp (CAO''s)'!$C$3:$C$6,
                        MATCH(TRUE,'Hulp (CAO''s)'!$D$3:$D$6,0)) &amp; "'!A:A"),
                    0
                )) *
                IF(
                    P54="",
                    1,
                    (ROW(INDIRECT("'" &amp; INDEX('Hulp (CAO''s)'!$C$3:$C$6,
                        MATCH(TRUE,'Hulp (CAO''s)'!$D$3:$D$6,0)) &amp; "'!B1:B1000")) &lt; MATCH(
                        P54,
                        INDIRECT("'" &amp; INDEX('Hulp (CAO''s)'!$C$3:$C$6,
                            MATCH(TRUE,'Hulp (CAO''s)'!$D$3:$D$6,0)) &amp; "'!A:A"),
                        0
                    ))
                ),
                ROW(INDIRECT("'" &amp; INDEX('Hulp (CAO''s)'!$C$3:$C$6,
                    MATCH(TRUE,'Hulp (CAO''s)'!$D$3:$D$6,0)) &amp; "'!B1:B1000"))
            )
        ),0)
    )
))</f>
        <v/>
      </c>
      <c r="P57" s="145" t="str">
        <f t="array" aca="1" ref="P57" ca="1">IF($D55="Gebruik % van maximum trede",
IF(
    OR(P54="",P55=""),
    "",
    MAX(
    INDIRECT("'" &amp; INDEX('Hulp (CAO''s)'!$C$3:$C$6,
        MATCH(TRUE,'Hulp (CAO''s)'!$D$3:$D$6,0)) &amp; "'!" &amp;
        INDEX('Hulp (CAO''s)'!$H$3:$H$6,
            MATCH(TRUE,'Hulp (CAO''s)'!$D$3:$D$6,0))
        &amp;
        MATCH(P54, INDIRECT("'" &amp; INDEX('Hulp (CAO''s)'!$C$3:$C$6,
            MATCH(TRUE,'Hulp (CAO''s)'!$D$3:$D$6,0)) &amp; "'!A:A"),0)
        &amp; ":H" &amp;
        IF(Q54&lt;&gt;"",
            MATCH(Q54, INDIRECT("'" &amp; INDEX('Hulp (CAO''s)'!$C$3:$C$6,
                MATCH(TRUE,'Hulp (CAO''s)'!$D$3:$D$6,0)) &amp; "'!A:A"),0)-1,
            1000
        )
    )
) * P55
),
IF(
    IFERROR(MIN(
        IF(
            (TRIM(INDIRECT("'" &amp; INDEX('Hulp (CAO''s)'!$C$3:$C$6,
                MATCH(TRUE,'Hulp (CAO''s)'!$D$3:$D$6,0)) &amp; "'!B1:B1000")) = TEXT(P56,"0")) *
            (ROW(INDIRECT("'" &amp; INDEX('Hulp (CAO''s)'!$C$3:$C$6,
                MATCH(TRUE,'Hulp (CAO''s)'!$D$3:$D$6,0)) &amp; "'!B1:B1000")) &gt; MATCH(
                P54,
                INDIRECT("'" &amp; INDEX('Hulp (CAO''s)'!$C$3:$C$6,
                    MATCH(TRUE,'Hulp (CAO''s)'!$D$3:$D$6,0)) &amp; "'!A:A"),
                0
            )) *
            IF(
                Q54="",
                1,
                (ROW(INDIRECT("'" &amp; INDEX('Hulp (CAO''s)'!$C$3:$C$6,
                    MATCH(TRUE,'Hulp (CAO''s)'!$D$3:$D$6,0)) &amp; "'!B1:B1000")) &lt; MATCH(
                    Q54,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TEXT(P56,"0")) *
                (ROW(INDIRECT("'" &amp; INDEX('Hulp (CAO''s)'!$C$3:$C$6,
                    MATCH(TRUE,'Hulp (CAO''s)'!$D$3:$D$6,0)) &amp; "'!B1:B1000")) &gt; MATCH(
                    P54,
                    INDIRECT("'" &amp; INDEX('Hulp (CAO''s)'!$C$3:$C$6,
                        MATCH(TRUE,'Hulp (CAO''s)'!$D$3:$D$6,0)) &amp; "'!A:A"),
                    0
                )) *
                IF(
                    Q54="",
                    1,
                    (ROW(INDIRECT("'" &amp; INDEX('Hulp (CAO''s)'!$C$3:$C$6,
                        MATCH(TRUE,'Hulp (CAO''s)'!$D$3:$D$6,0)) &amp; "'!B1:B1000")) &lt; MATCH(
                        Q54,
                        INDIRECT("'" &amp; INDEX('Hulp (CAO''s)'!$C$3:$C$6,
                            MATCH(TRUE,'Hulp (CAO''s)'!$D$3:$D$6,0)) &amp; "'!A:A"),
                        0
                    ))
                ),
                ROW(INDIRECT("'" &amp; INDEX('Hulp (CAO''s)'!$C$3:$C$6,
                    MATCH(TRUE,'Hulp (CAO''s)'!$D$3:$D$6,0)) &amp; "'!B1:B1000"))
            )
        ),0)
    )
))</f>
        <v/>
      </c>
      <c r="Q57" s="145" t="str">
        <f t="array" aca="1" ref="Q57" ca="1">IF($D55="Gebruik % van maximum trede",
IF(
    OR(Q54="",Q55=""),
    "",
    MAX(
    INDIRECT("'" &amp; INDEX('Hulp (CAO''s)'!$C$3:$C$6,
        MATCH(TRUE,'Hulp (CAO''s)'!$D$3:$D$6,0)) &amp; "'!" &amp;
        INDEX('Hulp (CAO''s)'!$H$3:$H$6,
            MATCH(TRUE,'Hulp (CAO''s)'!$D$3:$D$6,0))
        &amp;
        MATCH(Q54, INDIRECT("'" &amp; INDEX('Hulp (CAO''s)'!$C$3:$C$6,
            MATCH(TRUE,'Hulp (CAO''s)'!$D$3:$D$6,0)) &amp; "'!A:A"),0)
        &amp; ":H" &amp;
        IF(R54&lt;&gt;"",
            MATCH(R54, INDIRECT("'" &amp; INDEX('Hulp (CAO''s)'!$C$3:$C$6,
                MATCH(TRUE,'Hulp (CAO''s)'!$D$3:$D$6,0)) &amp; "'!A:A"),0)-1,
            1000
        )
    )
) * Q55
),
IF(
    IFERROR(MIN(
        IF(
            (TRIM(INDIRECT("'" &amp; INDEX('Hulp (CAO''s)'!$C$3:$C$6,
                MATCH(TRUE,'Hulp (CAO''s)'!$D$3:$D$6,0)) &amp; "'!B1:B1000")) = TEXT(Q56,"0")) *
            (ROW(INDIRECT("'" &amp; INDEX('Hulp (CAO''s)'!$C$3:$C$6,
                MATCH(TRUE,'Hulp (CAO''s)'!$D$3:$D$6,0)) &amp; "'!B1:B1000")) &gt; MATCH(
                Q54,
                INDIRECT("'" &amp; INDEX('Hulp (CAO''s)'!$C$3:$C$6,
                    MATCH(TRUE,'Hulp (CAO''s)'!$D$3:$D$6,0)) &amp; "'!A:A"),
                0
            )) *
            IF(
                R54="",
                1,
                (ROW(INDIRECT("'" &amp; INDEX('Hulp (CAO''s)'!$C$3:$C$6,
                    MATCH(TRUE,'Hulp (CAO''s)'!$D$3:$D$6,0)) &amp; "'!B1:B1000")) &lt; MATCH(
                    R54,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TEXT(Q56,"0")) *
                (ROW(INDIRECT("'" &amp; INDEX('Hulp (CAO''s)'!$C$3:$C$6,
                    MATCH(TRUE,'Hulp (CAO''s)'!$D$3:$D$6,0)) &amp; "'!B1:B1000")) &gt; MATCH(
                    Q54,
                    INDIRECT("'" &amp; INDEX('Hulp (CAO''s)'!$C$3:$C$6,
                        MATCH(TRUE,'Hulp (CAO''s)'!$D$3:$D$6,0)) &amp; "'!A:A"),
                    0
                )) *
                IF(
                    R54="",
                    1,
                    (ROW(INDIRECT("'" &amp; INDEX('Hulp (CAO''s)'!$C$3:$C$6,
                        MATCH(TRUE,'Hulp (CAO''s)'!$D$3:$D$6,0)) &amp; "'!B1:B1000")) &lt; MATCH(
                        R54,
                        INDIRECT("'" &amp; INDEX('Hulp (CAO''s)'!$C$3:$C$6,
                            MATCH(TRUE,'Hulp (CAO''s)'!$D$3:$D$6,0)) &amp; "'!A:A"),
                        0
                    ))
                ),
                ROW(INDIRECT("'" &amp; INDEX('Hulp (CAO''s)'!$C$3:$C$6,
                    MATCH(TRUE,'Hulp (CAO''s)'!$D$3:$D$6,0)) &amp; "'!B1:B1000"))
            )
        ),0)
    )
))</f>
        <v/>
      </c>
      <c r="R57" s="145" t="str">
        <f t="array" aca="1" ref="R57" ca="1">IF($D55="Gebruik % van maximum trede",
IF(
    OR(R54="",R55=""),
    "",
    MAX(
    INDIRECT("'" &amp; INDEX('Hulp (CAO''s)'!$C$3:$C$6,
        MATCH(TRUE,'Hulp (CAO''s)'!$D$3:$D$6,0)) &amp; "'!" &amp;
        INDEX('Hulp (CAO''s)'!$H$3:$H$6,
            MATCH(TRUE,'Hulp (CAO''s)'!$D$3:$D$6,0))
        &amp;
        MATCH(R54, INDIRECT("'" &amp; INDEX('Hulp (CAO''s)'!$C$3:$C$6,
            MATCH(TRUE,'Hulp (CAO''s)'!$D$3:$D$6,0)) &amp; "'!A:A"),0)
        &amp; ":H" &amp;
        IF(S54&lt;&gt;"",
            MATCH(S54, INDIRECT("'" &amp; INDEX('Hulp (CAO''s)'!$C$3:$C$6,
                MATCH(TRUE,'Hulp (CAO''s)'!$D$3:$D$6,0)) &amp; "'!A:A"),0)-1,
            1000
        )
    )
) * R55
),
IF(
    IFERROR(MIN(
        IF(
            (TRIM(INDIRECT("'" &amp; INDEX('Hulp (CAO''s)'!$C$3:$C$6,
                MATCH(TRUE,'Hulp (CAO''s)'!$D$3:$D$6,0)) &amp; "'!B1:B1000")) = TEXT(R56,"0")) *
            (ROW(INDIRECT("'" &amp; INDEX('Hulp (CAO''s)'!$C$3:$C$6,
                MATCH(TRUE,'Hulp (CAO''s)'!$D$3:$D$6,0)) &amp; "'!B1:B1000")) &gt; MATCH(
                R54,
                INDIRECT("'" &amp; INDEX('Hulp (CAO''s)'!$C$3:$C$6,
                    MATCH(TRUE,'Hulp (CAO''s)'!$D$3:$D$6,0)) &amp; "'!A:A"),
                0
            )) *
            IF(
                S54="",
                1,
                (ROW(INDIRECT("'" &amp; INDEX('Hulp (CAO''s)'!$C$3:$C$6,
                    MATCH(TRUE,'Hulp (CAO''s)'!$D$3:$D$6,0)) &amp; "'!B1:B1000")) &lt; MATCH(
                    S54,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TEXT(R56,"0")) *
                (ROW(INDIRECT("'" &amp; INDEX('Hulp (CAO''s)'!$C$3:$C$6,
                    MATCH(TRUE,'Hulp (CAO''s)'!$D$3:$D$6,0)) &amp; "'!B1:B1000")) &gt; MATCH(
                    R54,
                    INDIRECT("'" &amp; INDEX('Hulp (CAO''s)'!$C$3:$C$6,
                        MATCH(TRUE,'Hulp (CAO''s)'!$D$3:$D$6,0)) &amp; "'!A:A"),
                    0
                )) *
                IF(
                    S54="",
                    1,
                    (ROW(INDIRECT("'" &amp; INDEX('Hulp (CAO''s)'!$C$3:$C$6,
                        MATCH(TRUE,'Hulp (CAO''s)'!$D$3:$D$6,0)) &amp; "'!B1:B1000")) &lt; MATCH(
                        S54,
                        INDIRECT("'" &amp; INDEX('Hulp (CAO''s)'!$C$3:$C$6,
                            MATCH(TRUE,'Hulp (CAO''s)'!$D$3:$D$6,0)) &amp; "'!A:A"),
                        0
                    ))
                ),
                ROW(INDIRECT("'" &amp; INDEX('Hulp (CAO''s)'!$C$3:$C$6,
                    MATCH(TRUE,'Hulp (CAO''s)'!$D$3:$D$6,0)) &amp; "'!B1:B1000"))
            )
        ),0)
    )
))</f>
        <v/>
      </c>
      <c r="S57" s="145" t="str">
        <f t="array" aca="1" ref="S57" ca="1">IF($D55="Gebruik % van maximum trede",
IF(
    OR(S54="",S55=""),
    "",
    MAX(
    INDIRECT("'" &amp; INDEX('Hulp (CAO''s)'!$C$3:$C$6,
        MATCH(TRUE,'Hulp (CAO''s)'!$D$3:$D$6,0)) &amp; "'!" &amp;
        INDEX('Hulp (CAO''s)'!$H$3:$H$6,
            MATCH(TRUE,'Hulp (CAO''s)'!$D$3:$D$6,0))
        &amp;
        MATCH(S54, INDIRECT("'" &amp; INDEX('Hulp (CAO''s)'!$C$3:$C$6,
            MATCH(TRUE,'Hulp (CAO''s)'!$D$3:$D$6,0)) &amp; "'!A:A"),0)
        &amp; ":H" &amp;
        IF(T54&lt;&gt;"",
            MATCH(T54, INDIRECT("'" &amp; INDEX('Hulp (CAO''s)'!$C$3:$C$6,
                MATCH(TRUE,'Hulp (CAO''s)'!$D$3:$D$6,0)) &amp; "'!A:A"),0)-1,
            1000
        )
    )
) * S55
),
IF(
    IFERROR(MIN(
        IF(
            (TRIM(INDIRECT("'" &amp; INDEX('Hulp (CAO''s)'!$C$3:$C$6,
                MATCH(TRUE,'Hulp (CAO''s)'!$D$3:$D$6,0)) &amp; "'!B1:B1000")) = TEXT(S56,"0")) *
            (ROW(INDIRECT("'" &amp; INDEX('Hulp (CAO''s)'!$C$3:$C$6,
                MATCH(TRUE,'Hulp (CAO''s)'!$D$3:$D$6,0)) &amp; "'!B1:B1000")) &gt; MATCH(
                S54,
                INDIRECT("'" &amp; INDEX('Hulp (CAO''s)'!$C$3:$C$6,
                    MATCH(TRUE,'Hulp (CAO''s)'!$D$3:$D$6,0)) &amp; "'!A:A"),
                0
            )) *
            IF(
                T54="",
                1,
                (ROW(INDIRECT("'" &amp; INDEX('Hulp (CAO''s)'!$C$3:$C$6,
                    MATCH(TRUE,'Hulp (CAO''s)'!$D$3:$D$6,0)) &amp; "'!B1:B1000")) &lt; MATCH(
                    T54,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TEXT(S56,"0")) *
                (ROW(INDIRECT("'" &amp; INDEX('Hulp (CAO''s)'!$C$3:$C$6,
                    MATCH(TRUE,'Hulp (CAO''s)'!$D$3:$D$6,0)) &amp; "'!B1:B1000")) &gt; MATCH(
                    S54,
                    INDIRECT("'" &amp; INDEX('Hulp (CAO''s)'!$C$3:$C$6,
                        MATCH(TRUE,'Hulp (CAO''s)'!$D$3:$D$6,0)) &amp; "'!A:A"),
                    0
                )) *
                IF(
                    T54="",
                    1,
                    (ROW(INDIRECT("'" &amp; INDEX('Hulp (CAO''s)'!$C$3:$C$6,
                        MATCH(TRUE,'Hulp (CAO''s)'!$D$3:$D$6,0)) &amp; "'!B1:B1000")) &lt; MATCH(
                        T54,
                        INDIRECT("'" &amp; INDEX('Hulp (CAO''s)'!$C$3:$C$6,
                            MATCH(TRUE,'Hulp (CAO''s)'!$D$3:$D$6,0)) &amp; "'!A:A"),
                        0
                    ))
                ),
                ROW(INDIRECT("'" &amp; INDEX('Hulp (CAO''s)'!$C$3:$C$6,
                    MATCH(TRUE,'Hulp (CAO''s)'!$D$3:$D$6,0)) &amp; "'!B1:B1000"))
            )
        ),0)
    )
))</f>
        <v/>
      </c>
      <c r="T57" s="145" t="str">
        <f t="array" aca="1" ref="T57" ca="1">IF($D55="Gebruik % van maximum trede",
IF(
    OR(T54="",T55=""),
    "",
    MAX(
    INDIRECT("'" &amp; INDEX('Hulp (CAO''s)'!$C$3:$C$6,
        MATCH(TRUE,'Hulp (CAO''s)'!$D$3:$D$6,0)) &amp; "'!" &amp;
        INDEX('Hulp (CAO''s)'!$H$3:$H$6,
            MATCH(TRUE,'Hulp (CAO''s)'!$D$3:$D$6,0))
        &amp;
        MATCH(T54, INDIRECT("'" &amp; INDEX('Hulp (CAO''s)'!$C$3:$C$6,
            MATCH(TRUE,'Hulp (CAO''s)'!$D$3:$D$6,0)) &amp; "'!A:A"),0)
        &amp; ":H" &amp;
        IF(U54&lt;&gt;"",
            MATCH(U54, INDIRECT("'" &amp; INDEX('Hulp (CAO''s)'!$C$3:$C$6,
                MATCH(TRUE,'Hulp (CAO''s)'!$D$3:$D$6,0)) &amp; "'!A:A"),0)-1,
            1000
        )
    )
) * T55
),
IF(
    IFERROR(MIN(
        IF(
            (TRIM(INDIRECT("'" &amp; INDEX('Hulp (CAO''s)'!$C$3:$C$6,
                MATCH(TRUE,'Hulp (CAO''s)'!$D$3:$D$6,0)) &amp; "'!B1:B1000")) = TEXT(T56,"0")) *
            (ROW(INDIRECT("'" &amp; INDEX('Hulp (CAO''s)'!$C$3:$C$6,
                MATCH(TRUE,'Hulp (CAO''s)'!$D$3:$D$6,0)) &amp; "'!B1:B1000")) &gt; MATCH(
                T54,
                INDIRECT("'" &amp; INDEX('Hulp (CAO''s)'!$C$3:$C$6,
                    MATCH(TRUE,'Hulp (CAO''s)'!$D$3:$D$6,0)) &amp; "'!A:A"),
                0
            )) *
            IF(
                U54="",
                1,
                (ROW(INDIRECT("'" &amp; INDEX('Hulp (CAO''s)'!$C$3:$C$6,
                    MATCH(TRUE,'Hulp (CAO''s)'!$D$3:$D$6,0)) &amp; "'!B1:B1000")) &lt; MATCH(
                    U54,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TEXT(T56,"0")) *
                (ROW(INDIRECT("'" &amp; INDEX('Hulp (CAO''s)'!$C$3:$C$6,
                    MATCH(TRUE,'Hulp (CAO''s)'!$D$3:$D$6,0)) &amp; "'!B1:B1000")) &gt; MATCH(
                    T54,
                    INDIRECT("'" &amp; INDEX('Hulp (CAO''s)'!$C$3:$C$6,
                        MATCH(TRUE,'Hulp (CAO''s)'!$D$3:$D$6,0)) &amp; "'!A:A"),
                    0
                )) *
                IF(
                    U54="",
                    1,
                    (ROW(INDIRECT("'" &amp; INDEX('Hulp (CAO''s)'!$C$3:$C$6,
                        MATCH(TRUE,'Hulp (CAO''s)'!$D$3:$D$6,0)) &amp; "'!B1:B1000")) &lt; MATCH(
                        U54,
                        INDIRECT("'" &amp; INDEX('Hulp (CAO''s)'!$C$3:$C$6,
                            MATCH(TRUE,'Hulp (CAO''s)'!$D$3:$D$6,0)) &amp; "'!A:A"),
                        0
                    ))
                ),
                ROW(INDIRECT("'" &amp; INDEX('Hulp (CAO''s)'!$C$3:$C$6,
                    MATCH(TRUE,'Hulp (CAO''s)'!$D$3:$D$6,0)) &amp; "'!B1:B1000"))
            )
        ),0)
    )
))</f>
        <v/>
      </c>
      <c r="U57" s="145" t="str">
        <f t="array" aca="1" ref="U57" ca="1">IF($D55="Gebruik % van maximum trede",
IF(
    OR(U54="",U55=""),
    "",
    MAX(
    INDIRECT("'" &amp; INDEX('Hulp (CAO''s)'!$C$3:$C$6,
        MATCH(TRUE,'Hulp (CAO''s)'!$D$3:$D$6,0)) &amp; "'!" &amp;
        INDEX('Hulp (CAO''s)'!$H$3:$H$6,
            MATCH(TRUE,'Hulp (CAO''s)'!$D$3:$D$6,0))
        &amp;
        MATCH(U54, INDIRECT("'" &amp; INDEX('Hulp (CAO''s)'!$C$3:$C$6,
            MATCH(TRUE,'Hulp (CAO''s)'!$D$3:$D$6,0)) &amp; "'!A:A"),0)
        &amp; ":H" &amp;
        IF(V54&lt;&gt;"",
            MATCH(V54, INDIRECT("'" &amp; INDEX('Hulp (CAO''s)'!$C$3:$C$6,
                MATCH(TRUE,'Hulp (CAO''s)'!$D$3:$D$6,0)) &amp; "'!A:A"),0)-1,
            1000
        )
    )
) * U55
),
IF(
    IFERROR(MIN(
        IF(
            (TRIM(INDIRECT("'" &amp; INDEX('Hulp (CAO''s)'!$C$3:$C$6,
                MATCH(TRUE,'Hulp (CAO''s)'!$D$3:$D$6,0)) &amp; "'!B1:B1000")) = TEXT(U56,"0")) *
            (ROW(INDIRECT("'" &amp; INDEX('Hulp (CAO''s)'!$C$3:$C$6,
                MATCH(TRUE,'Hulp (CAO''s)'!$D$3:$D$6,0)) &amp; "'!B1:B1000")) &gt; MATCH(
                U54,
                INDIRECT("'" &amp; INDEX('Hulp (CAO''s)'!$C$3:$C$6,
                    MATCH(TRUE,'Hulp (CAO''s)'!$D$3:$D$6,0)) &amp; "'!A:A"),
                0
            )) *
            IF(
                V54="",
                1,
                (ROW(INDIRECT("'" &amp; INDEX('Hulp (CAO''s)'!$C$3:$C$6,
                    MATCH(TRUE,'Hulp (CAO''s)'!$D$3:$D$6,0)) &amp; "'!B1:B1000")) &lt; MATCH(
                    V54,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TEXT(U56,"0")) *
                (ROW(INDIRECT("'" &amp; INDEX('Hulp (CAO''s)'!$C$3:$C$6,
                    MATCH(TRUE,'Hulp (CAO''s)'!$D$3:$D$6,0)) &amp; "'!B1:B1000")) &gt; MATCH(
                    U54,
                    INDIRECT("'" &amp; INDEX('Hulp (CAO''s)'!$C$3:$C$6,
                        MATCH(TRUE,'Hulp (CAO''s)'!$D$3:$D$6,0)) &amp; "'!A:A"),
                    0
                )) *
                IF(
                    V54="",
                    1,
                    (ROW(INDIRECT("'" &amp; INDEX('Hulp (CAO''s)'!$C$3:$C$6,
                        MATCH(TRUE,'Hulp (CAO''s)'!$D$3:$D$6,0)) &amp; "'!B1:B1000")) &lt; MATCH(
                        V54,
                        INDIRECT("'" &amp; INDEX('Hulp (CAO''s)'!$C$3:$C$6,
                            MATCH(TRUE,'Hulp (CAO''s)'!$D$3:$D$6,0)) &amp; "'!A:A"),
                        0
                    ))
                ),
                ROW(INDIRECT("'" &amp; INDEX('Hulp (CAO''s)'!$C$3:$C$6,
                    MATCH(TRUE,'Hulp (CAO''s)'!$D$3:$D$6,0)) &amp; "'!B1:B1000"))
            )
        ),0)
    )
))</f>
        <v/>
      </c>
      <c r="V57" s="165" t="str">
        <f t="array" aca="1" ref="V57" ca="1">IF(SUM(F58:U58)=0,"",
IF(
   SUM(F57:U57)=0,
   "",
   (
      SUMPRODUCT(
         IF(F57:U57="",0,F57:U57),
         IF(F58:U58="",0,F58:U58) * SUM(F58:U58)
      )
   ) *
   IF(
      'Hulp (CAO''s)'!#REF!,
      IF(
         OR(
            INDEX(#REF!, ROW(#REF!) + INT((ROW()-ROW($V$8))/6)*8)="",
            ISNA(INDEX(#REF!, ROW(#REF!) + INT((ROW()-ROW($V$8))/6)*8))
         ),
         1878/12,
         INDEX(#REF!, ROW(#REF!) + INT((ROW()-ROW($V$8))/6)*8)/12
      ),
      1
   )
))</f>
        <v/>
      </c>
      <c r="W57" s="171" t="str">
        <f ca="1">IF(B54="","",
    IF(W56="","",
        IF(INDIRECT("'Hulp (control forms)'!C" &amp; (13 + INT((ROW()-ROW($B$5))/7))),
            W56,
            V57
        )
    )
)</f>
        <v/>
      </c>
      <c r="X57" s="170" t="str">
        <f ca="1">IF(AND($B54&lt;&gt;"", $W57=""),"!","")</f>
        <v/>
      </c>
    </row>
    <row r="58" spans="2:24" ht="16.05" customHeight="1" thickBot="1" x14ac:dyDescent="0.55000000000000004">
      <c r="C58" s="151"/>
      <c r="D58" s="141" t="s">
        <v>60</v>
      </c>
      <c r="E58" s="24" t="s">
        <v>59</v>
      </c>
      <c r="F58" s="146">
        <v>0.05</v>
      </c>
      <c r="G58" s="146">
        <v>0.1</v>
      </c>
      <c r="H58" s="146">
        <v>0.1</v>
      </c>
      <c r="I58" s="146">
        <v>0.15</v>
      </c>
      <c r="J58" s="146">
        <v>0.2</v>
      </c>
      <c r="K58" s="146">
        <v>0.15</v>
      </c>
      <c r="L58" s="146">
        <v>0.1</v>
      </c>
      <c r="M58" s="146">
        <v>0.05</v>
      </c>
      <c r="N58" s="146">
        <v>0.05</v>
      </c>
      <c r="O58" s="146">
        <v>0.05</v>
      </c>
      <c r="P58" s="146">
        <v>0</v>
      </c>
      <c r="Q58" s="146"/>
      <c r="R58" s="146"/>
      <c r="S58" s="146"/>
      <c r="T58" s="146"/>
      <c r="U58" s="147"/>
      <c r="V58" s="142" t="str">
        <f ca="1">IF($B54="","",IF($D58="Aandeel in %",
   "Totaal: "&amp;SUM(F58:U58)*100&amp;"%",
   "Totaal: "&amp;SUM(F58:U58)&amp;" uur"
))</f>
        <v/>
      </c>
      <c r="W58" s="168"/>
      <c r="X58" s="153"/>
    </row>
    <row r="59" spans="2:24" ht="16.05" customHeight="1" thickBot="1" x14ac:dyDescent="0.55000000000000004">
      <c r="C59" s="154"/>
      <c r="D59" s="140"/>
      <c r="E59" s="140"/>
      <c r="F59" s="140"/>
      <c r="G59" s="140"/>
      <c r="H59" s="140"/>
      <c r="I59" s="140"/>
      <c r="J59" s="140"/>
      <c r="K59" s="140"/>
      <c r="L59" s="140"/>
      <c r="M59" s="140"/>
      <c r="N59" s="140"/>
      <c r="O59" s="140"/>
      <c r="P59" s="140"/>
      <c r="Q59" s="140"/>
      <c r="R59" s="140"/>
      <c r="S59" s="140"/>
      <c r="T59" s="155"/>
      <c r="U59" s="155"/>
      <c r="V59" s="169"/>
      <c r="W59" s="169"/>
      <c r="X59" s="156"/>
    </row>
    <row r="60" spans="2:24" ht="16.05" customHeight="1" thickBot="1" x14ac:dyDescent="0.55000000000000004">
      <c r="B60" s="159" t="str">
        <f ca="1">IF(B61="","",
IF(
   OR(
      INDIRECT("'1a. Input organisatieniveau'!AC" &amp; (7 + INT((ROW()-4)/7)))="",
      INDIRECT("'1a. Input organisatieniveau'!AC" &amp; (7 + INT((ROW()-4)/7)))=0
   ),
   "",
   INDIRECT("'1a. Input organisatieniveau'!AC" &amp; (7 + INT((ROW()-4)/7)))
))</f>
        <v/>
      </c>
      <c r="C60" s="148"/>
      <c r="D60" s="139"/>
      <c r="E60" s="139"/>
      <c r="F60" s="149" t="str">
        <f t="shared" ref="F60:U60" ca="1" si="8">IF($D62="Gebruik % van maximum trede", IF(AND(AND(F61&lt;&gt;"",F62&lt;&gt;""),F64=""),"!",""), IF(AND(AND(F61&lt;&gt;"",F63&lt;&gt;""),F64=""),"!",""))</f>
        <v/>
      </c>
      <c r="G60" s="149" t="str">
        <f t="shared" ca="1" si="8"/>
        <v/>
      </c>
      <c r="H60" s="149" t="str">
        <f t="shared" ca="1" si="8"/>
        <v/>
      </c>
      <c r="I60" s="149" t="str">
        <f t="shared" ca="1" si="8"/>
        <v/>
      </c>
      <c r="J60" s="149" t="str">
        <f t="shared" ca="1" si="8"/>
        <v/>
      </c>
      <c r="K60" s="149" t="str">
        <f t="shared" ca="1" si="8"/>
        <v/>
      </c>
      <c r="L60" s="149" t="str">
        <f t="shared" ca="1" si="8"/>
        <v/>
      </c>
      <c r="M60" s="149" t="str">
        <f t="shared" ca="1" si="8"/>
        <v/>
      </c>
      <c r="N60" s="149" t="str">
        <f t="shared" ca="1" si="8"/>
        <v/>
      </c>
      <c r="O60" s="149" t="str">
        <f t="shared" ca="1" si="8"/>
        <v/>
      </c>
      <c r="P60" s="149" t="str">
        <f t="shared" ca="1" si="8"/>
        <v/>
      </c>
      <c r="Q60" s="149" t="str">
        <f t="shared" ca="1" si="8"/>
        <v/>
      </c>
      <c r="R60" s="149" t="str">
        <f t="shared" ca="1" si="8"/>
        <v/>
      </c>
      <c r="S60" s="149" t="str">
        <f t="shared" ca="1" si="8"/>
        <v/>
      </c>
      <c r="T60" s="149" t="str">
        <f t="shared" ca="1" si="8"/>
        <v/>
      </c>
      <c r="U60" s="149" t="str">
        <f t="shared" ca="1" si="8"/>
        <v/>
      </c>
      <c r="V60" s="167"/>
      <c r="W60" s="167"/>
      <c r="X60" s="150"/>
    </row>
    <row r="61" spans="2:24" ht="16.05" customHeight="1" thickBot="1" x14ac:dyDescent="0.55000000000000004">
      <c r="B61" s="158" t="str">
        <f ca="1">IF(
   OR(
      INDIRECT("'1a. Input organisatieniveau'!AA" &amp; (7 + INT((ROW()-4)/7)))="",
      INDIRECT("'1a. Input organisatieniveau'!AA" &amp; (7 + INT((ROW()-4)/7)))=0
   ),
   "",
   INDIRECT("'1a. Input organisatieniveau'!AA" &amp; (7 + INT((ROW()-4)/7)))
)</f>
        <v/>
      </c>
      <c r="C61" s="151"/>
      <c r="D61" s="152"/>
      <c r="E61" s="22" t="s">
        <v>28</v>
      </c>
      <c r="F61" s="143" t="str">
        <f t="array" aca="1" ref="F61" ca="1">IF($B61="", "", INDEX('Hulp (CAO''s)'!J$3:J$6, MATCH(TRUE, 'Hulp (CAO''s)'!$D$3:$D$6, 0)))</f>
        <v/>
      </c>
      <c r="G61" s="143" t="str">
        <f t="array" aca="1" ref="G61" ca="1">IF($B61="", "", INDEX('Hulp (CAO''s)'!K$3:K$6, MATCH(TRUE, 'Hulp (CAO''s)'!$D$3:$D$6, 0)))</f>
        <v/>
      </c>
      <c r="H61" s="143" t="str">
        <f t="array" aca="1" ref="H61" ca="1">IF($B61="", "", INDEX('Hulp (CAO''s)'!L$3:L$6, MATCH(TRUE, 'Hulp (CAO''s)'!$D$3:$D$6, 0)))</f>
        <v/>
      </c>
      <c r="I61" s="143" t="str">
        <f t="array" aca="1" ref="I61" ca="1">IF($B61="", "", INDEX('Hulp (CAO''s)'!M$3:M$6, MATCH(TRUE, 'Hulp (CAO''s)'!$D$3:$D$6, 0)))</f>
        <v/>
      </c>
      <c r="J61" s="143" t="str">
        <f t="array" aca="1" ref="J61" ca="1">IF($B61="", "", INDEX('Hulp (CAO''s)'!N$3:N$6, MATCH(TRUE, 'Hulp (CAO''s)'!$D$3:$D$6, 0)))</f>
        <v/>
      </c>
      <c r="K61" s="143" t="str">
        <f t="array" aca="1" ref="K61" ca="1">IF($B61="", "", INDEX('Hulp (CAO''s)'!O$3:O$6, MATCH(TRUE, 'Hulp (CAO''s)'!$D$3:$D$6, 0)))</f>
        <v/>
      </c>
      <c r="L61" s="143" t="str">
        <f t="array" aca="1" ref="L61" ca="1">IF($B61="", "", INDEX('Hulp (CAO''s)'!P$3:P$6, MATCH(TRUE, 'Hulp (CAO''s)'!$D$3:$D$6, 0)))</f>
        <v/>
      </c>
      <c r="M61" s="143" t="str">
        <f t="array" aca="1" ref="M61" ca="1">IF($B61="", "", INDEX('Hulp (CAO''s)'!Q$3:Q$6, MATCH(TRUE, 'Hulp (CAO''s)'!$D$3:$D$6, 0)))</f>
        <v/>
      </c>
      <c r="N61" s="143" t="str">
        <f t="array" aca="1" ref="N61" ca="1">IF($B61="", "", INDEX('Hulp (CAO''s)'!R$3:R$6, MATCH(TRUE, 'Hulp (CAO''s)'!$D$3:$D$6, 0)))</f>
        <v/>
      </c>
      <c r="O61" s="143" t="str">
        <f t="array" aca="1" ref="O61" ca="1">IF($B61="", "", INDEX('Hulp (CAO''s)'!S$3:S$6, MATCH(TRUE, 'Hulp (CAO''s)'!$D$3:$D$6, 0)))</f>
        <v/>
      </c>
      <c r="P61" s="143" t="str">
        <f t="array" aca="1" ref="P61" ca="1">IF($B61="", "", INDEX('Hulp (CAO''s)'!T$3:T$6, MATCH(TRUE, 'Hulp (CAO''s)'!$D$3:$D$6, 0)))</f>
        <v/>
      </c>
      <c r="Q61" s="143" t="str">
        <f t="array" aca="1" ref="Q61" ca="1">IF($B61="", "", INDEX('Hulp (CAO''s)'!U$3:U$6, MATCH(TRUE, 'Hulp (CAO''s)'!$D$3:$D$6, 0)))</f>
        <v/>
      </c>
      <c r="R61" s="143" t="str">
        <f t="array" aca="1" ref="R61" ca="1">IF($B61="", "", INDEX('Hulp (CAO''s)'!V$3:V$6, MATCH(TRUE, 'Hulp (CAO''s)'!$D$3:$D$6, 0)))</f>
        <v/>
      </c>
      <c r="S61" s="143" t="str">
        <f t="array" aca="1" ref="S61" ca="1">IF($B61="", "", INDEX('Hulp (CAO''s)'!W$3:W$6, MATCH(TRUE, 'Hulp (CAO''s)'!$D$3:$D$6, 0)))</f>
        <v/>
      </c>
      <c r="T61" s="143" t="str">
        <f t="array" aca="1" ref="T61" ca="1">IF($B61="", "", INDEX('Hulp (CAO''s)'!X$3:X$6, MATCH(TRUE, 'Hulp (CAO''s)'!$D$3:$D$6, 0)))</f>
        <v/>
      </c>
      <c r="U61" s="144" t="str">
        <f t="array" aca="1" ref="U61" ca="1">IF($B61="", "", INDEX('Hulp (CAO''s)'!Y$3:Y$6, MATCH(TRUE, 'Hulp (CAO''s)'!$D$3:$D$6, 0)))</f>
        <v/>
      </c>
      <c r="W61" s="788" t="s">
        <v>747</v>
      </c>
      <c r="X61" s="153"/>
    </row>
    <row r="62" spans="2:24" ht="16.05" customHeight="1" thickBot="1" x14ac:dyDescent="0.55000000000000004">
      <c r="C62" s="151"/>
      <c r="D62" s="786" t="s">
        <v>771</v>
      </c>
      <c r="E62" s="162" t="s">
        <v>770</v>
      </c>
      <c r="F62" s="163">
        <v>0.96</v>
      </c>
      <c r="G62" s="163">
        <v>0.9</v>
      </c>
      <c r="H62" s="163">
        <v>0.9</v>
      </c>
      <c r="I62" s="163">
        <v>0.7</v>
      </c>
      <c r="J62" s="163">
        <v>0.8</v>
      </c>
      <c r="K62" s="163">
        <v>0.9</v>
      </c>
      <c r="L62" s="163">
        <v>0.9</v>
      </c>
      <c r="M62" s="163">
        <v>0.9</v>
      </c>
      <c r="N62" s="163">
        <v>0.9</v>
      </c>
      <c r="O62" s="163">
        <v>0.8</v>
      </c>
      <c r="P62" s="163">
        <v>0.95</v>
      </c>
      <c r="Q62" s="163">
        <v>0.93</v>
      </c>
      <c r="R62" s="163">
        <v>0.93</v>
      </c>
      <c r="S62" s="163">
        <v>0.99</v>
      </c>
      <c r="T62" s="163">
        <v>0.99</v>
      </c>
      <c r="U62" s="164">
        <v>0.95</v>
      </c>
      <c r="W62" s="789"/>
      <c r="X62" s="153"/>
    </row>
    <row r="63" spans="2:24" ht="16.05" customHeight="1" thickBot="1" x14ac:dyDescent="0.55000000000000004">
      <c r="C63" s="151"/>
      <c r="D63" s="787"/>
      <c r="E63" s="31" t="s">
        <v>29</v>
      </c>
      <c r="F63" s="160">
        <v>8</v>
      </c>
      <c r="G63" s="160">
        <v>10</v>
      </c>
      <c r="H63" s="160">
        <v>10</v>
      </c>
      <c r="I63" s="160">
        <v>9</v>
      </c>
      <c r="J63" s="160">
        <v>10</v>
      </c>
      <c r="K63" s="160">
        <v>11</v>
      </c>
      <c r="L63" s="160">
        <v>10</v>
      </c>
      <c r="M63" s="160">
        <v>10</v>
      </c>
      <c r="N63" s="160">
        <v>9</v>
      </c>
      <c r="O63" s="160">
        <v>10</v>
      </c>
      <c r="P63" s="160">
        <v>11</v>
      </c>
      <c r="Q63" s="160">
        <v>12</v>
      </c>
      <c r="R63" s="160">
        <v>13</v>
      </c>
      <c r="S63" s="160">
        <v>12</v>
      </c>
      <c r="T63" s="160">
        <v>10</v>
      </c>
      <c r="U63" s="161">
        <v>5</v>
      </c>
      <c r="W63" s="166">
        <v>4200</v>
      </c>
      <c r="X63" s="153"/>
    </row>
    <row r="64" spans="2:24" ht="16.05" customHeight="1" thickBot="1" x14ac:dyDescent="0.55000000000000004">
      <c r="C64" s="151"/>
      <c r="E64" s="40" t="str">
        <f>IFERROR(
   INDEX('Hulp (CAO''s)'!$I$3:$I$6, MATCH(TRUE, 'Hulp (CAO''s)'!$D$3:$D$6, 0)),
"")</f>
        <v>Bruto maandsalaris</v>
      </c>
      <c r="F64" s="145" t="str">
        <f t="array" aca="1" ref="F64" ca="1">IF($D62="Gebruik % van maximum trede",
IF(
    OR(F61="",F62=""),
    "",
    MAX(
    INDIRECT("'" &amp; INDEX('Hulp (CAO''s)'!$C$3:$C$6,
        MATCH(TRUE,'Hulp (CAO''s)'!$D$3:$D$6,0)) &amp; "'!" &amp;
        INDEX('Hulp (CAO''s)'!$H$3:$H$6,
            MATCH(TRUE,'Hulp (CAO''s)'!$D$3:$D$6,0))
        &amp;
        MATCH(F61, INDIRECT("'" &amp; INDEX('Hulp (CAO''s)'!$C$3:$C$6,
            MATCH(TRUE,'Hulp (CAO''s)'!$D$3:$D$6,0)) &amp; "'!A:A"),0)
        &amp; ":H" &amp;
        IF(G61&lt;&gt;"",
            MATCH(G61, INDIRECT("'" &amp; INDEX('Hulp (CAO''s)'!$C$3:$C$6,
                MATCH(TRUE,'Hulp (CAO''s)'!$D$3:$D$6,0)) &amp; "'!A:A"),0)-1,
            1000
        )
    )
) * F62
),
IF(
    IFERROR(MIN(
        IF(
            (TRIM(INDIRECT("'" &amp; INDEX('Hulp (CAO''s)'!$C$3:$C$6,
                MATCH(TRUE,'Hulp (CAO''s)'!$D$3:$D$6,0)) &amp; "'!B1:B1000")) = TEXT(F63,"0")) *
            (ROW(INDIRECT("'" &amp; INDEX('Hulp (CAO''s)'!$C$3:$C$6,
                MATCH(TRUE,'Hulp (CAO''s)'!$D$3:$D$6,0)) &amp; "'!B1:B1000")) &gt; MATCH(
                F61,
                INDIRECT("'" &amp; INDEX('Hulp (CAO''s)'!$C$3:$C$6,
                    MATCH(TRUE,'Hulp (CAO''s)'!$D$3:$D$6,0)) &amp; "'!A:A"),
                0
            )) *
            IF(
                G61="",
                1,
                (ROW(INDIRECT("'" &amp; INDEX('Hulp (CAO''s)'!$C$3:$C$6,
                    MATCH(TRUE,'Hulp (CAO''s)'!$D$3:$D$6,0)) &amp; "'!B1:B1000")) &lt; MATCH(
                    G61,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TEXT(F63,"0")) *
                (ROW(INDIRECT("'" &amp; INDEX('Hulp (CAO''s)'!$C$3:$C$6,
                    MATCH(TRUE,'Hulp (CAO''s)'!$D$3:$D$6,0)) &amp; "'!B1:B1000")) &gt; MATCH(
                    F61,
                    INDIRECT("'" &amp; INDEX('Hulp (CAO''s)'!$C$3:$C$6,
                        MATCH(TRUE,'Hulp (CAO''s)'!$D$3:$D$6,0)) &amp; "'!A:A"),
                    0
                )) *
                IF(
                    G61="",
                    1,
                    (ROW(INDIRECT("'" &amp; INDEX('Hulp (CAO''s)'!$C$3:$C$6,
                        MATCH(TRUE,'Hulp (CAO''s)'!$D$3:$D$6,0)) &amp; "'!B1:B1000")) &lt; MATCH(
                        G61,
                        INDIRECT("'" &amp; INDEX('Hulp (CAO''s)'!$C$3:$C$6,
                            MATCH(TRUE,'Hulp (CAO''s)'!$D$3:$D$6,0)) &amp; "'!A:A"),
                        0
                    ))
                ),
                ROW(INDIRECT("'" &amp; INDEX('Hulp (CAO''s)'!$C$3:$C$6,
                    MATCH(TRUE,'Hulp (CAO''s)'!$D$3:$D$6,0)) &amp; "'!B1:B1000"))
            )
        ),0)
    )
))</f>
        <v/>
      </c>
      <c r="G64" s="145" t="str">
        <f t="array" aca="1" ref="G64" ca="1">IF($D62="Gebruik % van maximum trede",
IF(
    OR(G61="",G62=""),
    "",
    MAX(
    INDIRECT("'" &amp; INDEX('Hulp (CAO''s)'!$C$3:$C$6,
        MATCH(TRUE,'Hulp (CAO''s)'!$D$3:$D$6,0)) &amp; "'!" &amp;
        INDEX('Hulp (CAO''s)'!$H$3:$H$6,
            MATCH(TRUE,'Hulp (CAO''s)'!$D$3:$D$6,0))
        &amp;
        MATCH(G61, INDIRECT("'" &amp; INDEX('Hulp (CAO''s)'!$C$3:$C$6,
            MATCH(TRUE,'Hulp (CAO''s)'!$D$3:$D$6,0)) &amp; "'!A:A"),0)
        &amp; ":H" &amp;
        IF(H61&lt;&gt;"",
            MATCH(H61, INDIRECT("'" &amp; INDEX('Hulp (CAO''s)'!$C$3:$C$6,
                MATCH(TRUE,'Hulp (CAO''s)'!$D$3:$D$6,0)) &amp; "'!A:A"),0)-1,
            1000
        )
    )
) * G62
),
IF(
    IFERROR(MIN(
        IF(
            (TRIM(INDIRECT("'" &amp; INDEX('Hulp (CAO''s)'!$C$3:$C$6,
                MATCH(TRUE,'Hulp (CAO''s)'!$D$3:$D$6,0)) &amp; "'!B1:B1000")) = TEXT(G63,"0")) *
            (ROW(INDIRECT("'" &amp; INDEX('Hulp (CAO''s)'!$C$3:$C$6,
                MATCH(TRUE,'Hulp (CAO''s)'!$D$3:$D$6,0)) &amp; "'!B1:B1000")) &gt; MATCH(
                G61,
                INDIRECT("'" &amp; INDEX('Hulp (CAO''s)'!$C$3:$C$6,
                    MATCH(TRUE,'Hulp (CAO''s)'!$D$3:$D$6,0)) &amp; "'!A:A"),
                0
            )) *
            IF(
                H61="",
                1,
                (ROW(INDIRECT("'" &amp; INDEX('Hulp (CAO''s)'!$C$3:$C$6,
                    MATCH(TRUE,'Hulp (CAO''s)'!$D$3:$D$6,0)) &amp; "'!B1:B1000")) &lt; MATCH(
                    H61,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TEXT(G63,"0")) *
                (ROW(INDIRECT("'" &amp; INDEX('Hulp (CAO''s)'!$C$3:$C$6,
                    MATCH(TRUE,'Hulp (CAO''s)'!$D$3:$D$6,0)) &amp; "'!B1:B1000")) &gt; MATCH(
                    G61,
                    INDIRECT("'" &amp; INDEX('Hulp (CAO''s)'!$C$3:$C$6,
                        MATCH(TRUE,'Hulp (CAO''s)'!$D$3:$D$6,0)) &amp; "'!A:A"),
                    0
                )) *
                IF(
                    H61="",
                    1,
                    (ROW(INDIRECT("'" &amp; INDEX('Hulp (CAO''s)'!$C$3:$C$6,
                        MATCH(TRUE,'Hulp (CAO''s)'!$D$3:$D$6,0)) &amp; "'!B1:B1000")) &lt; MATCH(
                        H61,
                        INDIRECT("'" &amp; INDEX('Hulp (CAO''s)'!$C$3:$C$6,
                            MATCH(TRUE,'Hulp (CAO''s)'!$D$3:$D$6,0)) &amp; "'!A:A"),
                        0
                    ))
                ),
                ROW(INDIRECT("'" &amp; INDEX('Hulp (CAO''s)'!$C$3:$C$6,
                    MATCH(TRUE,'Hulp (CAO''s)'!$D$3:$D$6,0)) &amp; "'!B1:B1000"))
            )
        ),0)
    )
))</f>
        <v/>
      </c>
      <c r="H64" s="145" t="str">
        <f t="array" aca="1" ref="H64" ca="1">IF($D62="Gebruik % van maximum trede",
IF(
    OR(H61="",H62=""),
    "",
    MAX(
    INDIRECT("'" &amp; INDEX('Hulp (CAO''s)'!$C$3:$C$6,
        MATCH(TRUE,'Hulp (CAO''s)'!$D$3:$D$6,0)) &amp; "'!" &amp;
        INDEX('Hulp (CAO''s)'!$H$3:$H$6,
            MATCH(TRUE,'Hulp (CAO''s)'!$D$3:$D$6,0))
        &amp;
        MATCH(H61, INDIRECT("'" &amp; INDEX('Hulp (CAO''s)'!$C$3:$C$6,
            MATCH(TRUE,'Hulp (CAO''s)'!$D$3:$D$6,0)) &amp; "'!A:A"),0)
        &amp; ":H" &amp;
        IF(I61&lt;&gt;"",
            MATCH(I61, INDIRECT("'" &amp; INDEX('Hulp (CAO''s)'!$C$3:$C$6,
                MATCH(TRUE,'Hulp (CAO''s)'!$D$3:$D$6,0)) &amp; "'!A:A"),0)-1,
            1000
        )
    )
) * H62
),
IF(
    IFERROR(MIN(
        IF(
            (TRIM(INDIRECT("'" &amp; INDEX('Hulp (CAO''s)'!$C$3:$C$6,
                MATCH(TRUE,'Hulp (CAO''s)'!$D$3:$D$6,0)) &amp; "'!B1:B1000")) = TEXT(H63,"0")) *
            (ROW(INDIRECT("'" &amp; INDEX('Hulp (CAO''s)'!$C$3:$C$6,
                MATCH(TRUE,'Hulp (CAO''s)'!$D$3:$D$6,0)) &amp; "'!B1:B1000")) &gt; MATCH(
                H61,
                INDIRECT("'" &amp; INDEX('Hulp (CAO''s)'!$C$3:$C$6,
                    MATCH(TRUE,'Hulp (CAO''s)'!$D$3:$D$6,0)) &amp; "'!A:A"),
                0
            )) *
            IF(
                I61="",
                1,
                (ROW(INDIRECT("'" &amp; INDEX('Hulp (CAO''s)'!$C$3:$C$6,
                    MATCH(TRUE,'Hulp (CAO''s)'!$D$3:$D$6,0)) &amp; "'!B1:B1000")) &lt; MATCH(
                    I61,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TEXT(H63,"0")) *
                (ROW(INDIRECT("'" &amp; INDEX('Hulp (CAO''s)'!$C$3:$C$6,
                    MATCH(TRUE,'Hulp (CAO''s)'!$D$3:$D$6,0)) &amp; "'!B1:B1000")) &gt; MATCH(
                    H61,
                    INDIRECT("'" &amp; INDEX('Hulp (CAO''s)'!$C$3:$C$6,
                        MATCH(TRUE,'Hulp (CAO''s)'!$D$3:$D$6,0)) &amp; "'!A:A"),
                    0
                )) *
                IF(
                    I61="",
                    1,
                    (ROW(INDIRECT("'" &amp; INDEX('Hulp (CAO''s)'!$C$3:$C$6,
                        MATCH(TRUE,'Hulp (CAO''s)'!$D$3:$D$6,0)) &amp; "'!B1:B1000")) &lt; MATCH(
                        I61,
                        INDIRECT("'" &amp; INDEX('Hulp (CAO''s)'!$C$3:$C$6,
                            MATCH(TRUE,'Hulp (CAO''s)'!$D$3:$D$6,0)) &amp; "'!A:A"),
                        0
                    ))
                ),
                ROW(INDIRECT("'" &amp; INDEX('Hulp (CAO''s)'!$C$3:$C$6,
                    MATCH(TRUE,'Hulp (CAO''s)'!$D$3:$D$6,0)) &amp; "'!B1:B1000"))
            )
        ),0)
    )
))</f>
        <v/>
      </c>
      <c r="I64" s="145" t="str">
        <f t="array" aca="1" ref="I64" ca="1">IF($D62="Gebruik % van maximum trede",
IF(
    OR(I61="",I62=""),
    "",
    MAX(
    INDIRECT("'" &amp; INDEX('Hulp (CAO''s)'!$C$3:$C$6,
        MATCH(TRUE,'Hulp (CAO''s)'!$D$3:$D$6,0)) &amp; "'!" &amp;
        INDEX('Hulp (CAO''s)'!$H$3:$H$6,
            MATCH(TRUE,'Hulp (CAO''s)'!$D$3:$D$6,0))
        &amp;
        MATCH(I61, INDIRECT("'" &amp; INDEX('Hulp (CAO''s)'!$C$3:$C$6,
            MATCH(TRUE,'Hulp (CAO''s)'!$D$3:$D$6,0)) &amp; "'!A:A"),0)
        &amp; ":H" &amp;
        IF(J61&lt;&gt;"",
            MATCH(J61, INDIRECT("'" &amp; INDEX('Hulp (CAO''s)'!$C$3:$C$6,
                MATCH(TRUE,'Hulp (CAO''s)'!$D$3:$D$6,0)) &amp; "'!A:A"),0)-1,
            1000
        )
    )
) * I62
),
IF(
    IFERROR(MIN(
        IF(
            (TRIM(INDIRECT("'" &amp; INDEX('Hulp (CAO''s)'!$C$3:$C$6,
                MATCH(TRUE,'Hulp (CAO''s)'!$D$3:$D$6,0)) &amp; "'!B1:B1000")) = TEXT(I63,"0")) *
            (ROW(INDIRECT("'" &amp; INDEX('Hulp (CAO''s)'!$C$3:$C$6,
                MATCH(TRUE,'Hulp (CAO''s)'!$D$3:$D$6,0)) &amp; "'!B1:B1000")) &gt; MATCH(
                I61,
                INDIRECT("'" &amp; INDEX('Hulp (CAO''s)'!$C$3:$C$6,
                    MATCH(TRUE,'Hulp (CAO''s)'!$D$3:$D$6,0)) &amp; "'!A:A"),
                0
            )) *
            IF(
                J61="",
                1,
                (ROW(INDIRECT("'" &amp; INDEX('Hulp (CAO''s)'!$C$3:$C$6,
                    MATCH(TRUE,'Hulp (CAO''s)'!$D$3:$D$6,0)) &amp; "'!B1:B1000")) &lt; MATCH(
                    J61,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TEXT(I63,"0")) *
                (ROW(INDIRECT("'" &amp; INDEX('Hulp (CAO''s)'!$C$3:$C$6,
                    MATCH(TRUE,'Hulp (CAO''s)'!$D$3:$D$6,0)) &amp; "'!B1:B1000")) &gt; MATCH(
                    I61,
                    INDIRECT("'" &amp; INDEX('Hulp (CAO''s)'!$C$3:$C$6,
                        MATCH(TRUE,'Hulp (CAO''s)'!$D$3:$D$6,0)) &amp; "'!A:A"),
                    0
                )) *
                IF(
                    J61="",
                    1,
                    (ROW(INDIRECT("'" &amp; INDEX('Hulp (CAO''s)'!$C$3:$C$6,
                        MATCH(TRUE,'Hulp (CAO''s)'!$D$3:$D$6,0)) &amp; "'!B1:B1000")) &lt; MATCH(
                        J61,
                        INDIRECT("'" &amp; INDEX('Hulp (CAO''s)'!$C$3:$C$6,
                            MATCH(TRUE,'Hulp (CAO''s)'!$D$3:$D$6,0)) &amp; "'!A:A"),
                        0
                    ))
                ),
                ROW(INDIRECT("'" &amp; INDEX('Hulp (CAO''s)'!$C$3:$C$6,
                    MATCH(TRUE,'Hulp (CAO''s)'!$D$3:$D$6,0)) &amp; "'!B1:B1000"))
            )
        ),0)
    )
))</f>
        <v/>
      </c>
      <c r="J64" s="145" t="str">
        <f t="array" aca="1" ref="J64" ca="1">IF($D62="Gebruik % van maximum trede",
IF(
    OR(J61="",J62=""),
    "",
    MAX(
    INDIRECT("'" &amp; INDEX('Hulp (CAO''s)'!$C$3:$C$6,
        MATCH(TRUE,'Hulp (CAO''s)'!$D$3:$D$6,0)) &amp; "'!" &amp;
        INDEX('Hulp (CAO''s)'!$H$3:$H$6,
            MATCH(TRUE,'Hulp (CAO''s)'!$D$3:$D$6,0))
        &amp;
        MATCH(J61, INDIRECT("'" &amp; INDEX('Hulp (CAO''s)'!$C$3:$C$6,
            MATCH(TRUE,'Hulp (CAO''s)'!$D$3:$D$6,0)) &amp; "'!A:A"),0)
        &amp; ":H" &amp;
        IF(K61&lt;&gt;"",
            MATCH(K61, INDIRECT("'" &amp; INDEX('Hulp (CAO''s)'!$C$3:$C$6,
                MATCH(TRUE,'Hulp (CAO''s)'!$D$3:$D$6,0)) &amp; "'!A:A"),0)-1,
            1000
        )
    )
) * J62
),
IF(
    IFERROR(MIN(
        IF(
            (TRIM(INDIRECT("'" &amp; INDEX('Hulp (CAO''s)'!$C$3:$C$6,
                MATCH(TRUE,'Hulp (CAO''s)'!$D$3:$D$6,0)) &amp; "'!B1:B1000")) = TEXT(J63,"0")) *
            (ROW(INDIRECT("'" &amp; INDEX('Hulp (CAO''s)'!$C$3:$C$6,
                MATCH(TRUE,'Hulp (CAO''s)'!$D$3:$D$6,0)) &amp; "'!B1:B1000")) &gt; MATCH(
                J61,
                INDIRECT("'" &amp; INDEX('Hulp (CAO''s)'!$C$3:$C$6,
                    MATCH(TRUE,'Hulp (CAO''s)'!$D$3:$D$6,0)) &amp; "'!A:A"),
                0
            )) *
            IF(
                K61="",
                1,
                (ROW(INDIRECT("'" &amp; INDEX('Hulp (CAO''s)'!$C$3:$C$6,
                    MATCH(TRUE,'Hulp (CAO''s)'!$D$3:$D$6,0)) &amp; "'!B1:B1000")) &lt; MATCH(
                    K61,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TEXT(J63,"0")) *
                (ROW(INDIRECT("'" &amp; INDEX('Hulp (CAO''s)'!$C$3:$C$6,
                    MATCH(TRUE,'Hulp (CAO''s)'!$D$3:$D$6,0)) &amp; "'!B1:B1000")) &gt; MATCH(
                    J61,
                    INDIRECT("'" &amp; INDEX('Hulp (CAO''s)'!$C$3:$C$6,
                        MATCH(TRUE,'Hulp (CAO''s)'!$D$3:$D$6,0)) &amp; "'!A:A"),
                    0
                )) *
                IF(
                    K61="",
                    1,
                    (ROW(INDIRECT("'" &amp; INDEX('Hulp (CAO''s)'!$C$3:$C$6,
                        MATCH(TRUE,'Hulp (CAO''s)'!$D$3:$D$6,0)) &amp; "'!B1:B1000")) &lt; MATCH(
                        K61,
                        INDIRECT("'" &amp; INDEX('Hulp (CAO''s)'!$C$3:$C$6,
                            MATCH(TRUE,'Hulp (CAO''s)'!$D$3:$D$6,0)) &amp; "'!A:A"),
                        0
                    ))
                ),
                ROW(INDIRECT("'" &amp; INDEX('Hulp (CAO''s)'!$C$3:$C$6,
                    MATCH(TRUE,'Hulp (CAO''s)'!$D$3:$D$6,0)) &amp; "'!B1:B1000"))
            )
        ),0)
    )
))</f>
        <v/>
      </c>
      <c r="K64" s="145" t="str">
        <f t="array" aca="1" ref="K64" ca="1">IF($D62="Gebruik % van maximum trede",
IF(
    OR(K61="",K62=""),
    "",
    MAX(
    INDIRECT("'" &amp; INDEX('Hulp (CAO''s)'!$C$3:$C$6,
        MATCH(TRUE,'Hulp (CAO''s)'!$D$3:$D$6,0)) &amp; "'!" &amp;
        INDEX('Hulp (CAO''s)'!$H$3:$H$6,
            MATCH(TRUE,'Hulp (CAO''s)'!$D$3:$D$6,0))
        &amp;
        MATCH(K61, INDIRECT("'" &amp; INDEX('Hulp (CAO''s)'!$C$3:$C$6,
            MATCH(TRUE,'Hulp (CAO''s)'!$D$3:$D$6,0)) &amp; "'!A:A"),0)
        &amp; ":H" &amp;
        IF(L61&lt;&gt;"",
            MATCH(L61, INDIRECT("'" &amp; INDEX('Hulp (CAO''s)'!$C$3:$C$6,
                MATCH(TRUE,'Hulp (CAO''s)'!$D$3:$D$6,0)) &amp; "'!A:A"),0)-1,
            1000
        )
    )
) * K62
),
IF(
    IFERROR(MIN(
        IF(
            (TRIM(INDIRECT("'" &amp; INDEX('Hulp (CAO''s)'!$C$3:$C$6,
                MATCH(TRUE,'Hulp (CAO''s)'!$D$3:$D$6,0)) &amp; "'!B1:B1000")) = TEXT(K63,"0")) *
            (ROW(INDIRECT("'" &amp; INDEX('Hulp (CAO''s)'!$C$3:$C$6,
                MATCH(TRUE,'Hulp (CAO''s)'!$D$3:$D$6,0)) &amp; "'!B1:B1000")) &gt; MATCH(
                K61,
                INDIRECT("'" &amp; INDEX('Hulp (CAO''s)'!$C$3:$C$6,
                    MATCH(TRUE,'Hulp (CAO''s)'!$D$3:$D$6,0)) &amp; "'!A:A"),
                0
            )) *
            IF(
                L61="",
                1,
                (ROW(INDIRECT("'" &amp; INDEX('Hulp (CAO''s)'!$C$3:$C$6,
                    MATCH(TRUE,'Hulp (CAO''s)'!$D$3:$D$6,0)) &amp; "'!B1:B1000")) &lt; MATCH(
                    L61,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TEXT(K63,"0")) *
                (ROW(INDIRECT("'" &amp; INDEX('Hulp (CAO''s)'!$C$3:$C$6,
                    MATCH(TRUE,'Hulp (CAO''s)'!$D$3:$D$6,0)) &amp; "'!B1:B1000")) &gt; MATCH(
                    K61,
                    INDIRECT("'" &amp; INDEX('Hulp (CAO''s)'!$C$3:$C$6,
                        MATCH(TRUE,'Hulp (CAO''s)'!$D$3:$D$6,0)) &amp; "'!A:A"),
                    0
                )) *
                IF(
                    L61="",
                    1,
                    (ROW(INDIRECT("'" &amp; INDEX('Hulp (CAO''s)'!$C$3:$C$6,
                        MATCH(TRUE,'Hulp (CAO''s)'!$D$3:$D$6,0)) &amp; "'!B1:B1000")) &lt; MATCH(
                        L61,
                        INDIRECT("'" &amp; INDEX('Hulp (CAO''s)'!$C$3:$C$6,
                            MATCH(TRUE,'Hulp (CAO''s)'!$D$3:$D$6,0)) &amp; "'!A:A"),
                        0
                    ))
                ),
                ROW(INDIRECT("'" &amp; INDEX('Hulp (CAO''s)'!$C$3:$C$6,
                    MATCH(TRUE,'Hulp (CAO''s)'!$D$3:$D$6,0)) &amp; "'!B1:B1000"))
            )
        ),0)
    )
))</f>
        <v/>
      </c>
      <c r="L64" s="145" t="str">
        <f t="array" aca="1" ref="L64" ca="1">IF($D62="Gebruik % van maximum trede",
IF(
    OR(L61="",L62=""),
    "",
    MAX(
    INDIRECT("'" &amp; INDEX('Hulp (CAO''s)'!$C$3:$C$6,
        MATCH(TRUE,'Hulp (CAO''s)'!$D$3:$D$6,0)) &amp; "'!" &amp;
        INDEX('Hulp (CAO''s)'!$H$3:$H$6,
            MATCH(TRUE,'Hulp (CAO''s)'!$D$3:$D$6,0))
        &amp;
        MATCH(L61, INDIRECT("'" &amp; INDEX('Hulp (CAO''s)'!$C$3:$C$6,
            MATCH(TRUE,'Hulp (CAO''s)'!$D$3:$D$6,0)) &amp; "'!A:A"),0)
        &amp; ":H" &amp;
        IF(M61&lt;&gt;"",
            MATCH(M61, INDIRECT("'" &amp; INDEX('Hulp (CAO''s)'!$C$3:$C$6,
                MATCH(TRUE,'Hulp (CAO''s)'!$D$3:$D$6,0)) &amp; "'!A:A"),0)-1,
            1000
        )
    )
) * L62
),
IF(
    IFERROR(MIN(
        IF(
            (TRIM(INDIRECT("'" &amp; INDEX('Hulp (CAO''s)'!$C$3:$C$6,
                MATCH(TRUE,'Hulp (CAO''s)'!$D$3:$D$6,0)) &amp; "'!B1:B1000")) = TEXT(L63,"0")) *
            (ROW(INDIRECT("'" &amp; INDEX('Hulp (CAO''s)'!$C$3:$C$6,
                MATCH(TRUE,'Hulp (CAO''s)'!$D$3:$D$6,0)) &amp; "'!B1:B1000")) &gt; MATCH(
                L61,
                INDIRECT("'" &amp; INDEX('Hulp (CAO''s)'!$C$3:$C$6,
                    MATCH(TRUE,'Hulp (CAO''s)'!$D$3:$D$6,0)) &amp; "'!A:A"),
                0
            )) *
            IF(
                M61="",
                1,
                (ROW(INDIRECT("'" &amp; INDEX('Hulp (CAO''s)'!$C$3:$C$6,
                    MATCH(TRUE,'Hulp (CAO''s)'!$D$3:$D$6,0)) &amp; "'!B1:B1000")) &lt; MATCH(
                    M61,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TEXT(L63,"0")) *
                (ROW(INDIRECT("'" &amp; INDEX('Hulp (CAO''s)'!$C$3:$C$6,
                    MATCH(TRUE,'Hulp (CAO''s)'!$D$3:$D$6,0)) &amp; "'!B1:B1000")) &gt; MATCH(
                    L61,
                    INDIRECT("'" &amp; INDEX('Hulp (CAO''s)'!$C$3:$C$6,
                        MATCH(TRUE,'Hulp (CAO''s)'!$D$3:$D$6,0)) &amp; "'!A:A"),
                    0
                )) *
                IF(
                    M61="",
                    1,
                    (ROW(INDIRECT("'" &amp; INDEX('Hulp (CAO''s)'!$C$3:$C$6,
                        MATCH(TRUE,'Hulp (CAO''s)'!$D$3:$D$6,0)) &amp; "'!B1:B1000")) &lt; MATCH(
                        M61,
                        INDIRECT("'" &amp; INDEX('Hulp (CAO''s)'!$C$3:$C$6,
                            MATCH(TRUE,'Hulp (CAO''s)'!$D$3:$D$6,0)) &amp; "'!A:A"),
                        0
                    ))
                ),
                ROW(INDIRECT("'" &amp; INDEX('Hulp (CAO''s)'!$C$3:$C$6,
                    MATCH(TRUE,'Hulp (CAO''s)'!$D$3:$D$6,0)) &amp; "'!B1:B1000"))
            )
        ),0)
    )
))</f>
        <v/>
      </c>
      <c r="M64" s="145" t="str">
        <f t="array" aca="1" ref="M64" ca="1">IF($D62="Gebruik % van maximum trede",
IF(
    OR(M61="",M62=""),
    "",
    MAX(
    INDIRECT("'" &amp; INDEX('Hulp (CAO''s)'!$C$3:$C$6,
        MATCH(TRUE,'Hulp (CAO''s)'!$D$3:$D$6,0)) &amp; "'!" &amp;
        INDEX('Hulp (CAO''s)'!$H$3:$H$6,
            MATCH(TRUE,'Hulp (CAO''s)'!$D$3:$D$6,0))
        &amp;
        MATCH(M61, INDIRECT("'" &amp; INDEX('Hulp (CAO''s)'!$C$3:$C$6,
            MATCH(TRUE,'Hulp (CAO''s)'!$D$3:$D$6,0)) &amp; "'!A:A"),0)
        &amp; ":H" &amp;
        IF(N61&lt;&gt;"",
            MATCH(N61, INDIRECT("'" &amp; INDEX('Hulp (CAO''s)'!$C$3:$C$6,
                MATCH(TRUE,'Hulp (CAO''s)'!$D$3:$D$6,0)) &amp; "'!A:A"),0)-1,
            1000
        )
    )
) * M62
),
IF(
    IFERROR(MIN(
        IF(
            (TRIM(INDIRECT("'" &amp; INDEX('Hulp (CAO''s)'!$C$3:$C$6,
                MATCH(TRUE,'Hulp (CAO''s)'!$D$3:$D$6,0)) &amp; "'!B1:B1000")) = TEXT(M63,"0")) *
            (ROW(INDIRECT("'" &amp; INDEX('Hulp (CAO''s)'!$C$3:$C$6,
                MATCH(TRUE,'Hulp (CAO''s)'!$D$3:$D$6,0)) &amp; "'!B1:B1000")) &gt; MATCH(
                M61,
                INDIRECT("'" &amp; INDEX('Hulp (CAO''s)'!$C$3:$C$6,
                    MATCH(TRUE,'Hulp (CAO''s)'!$D$3:$D$6,0)) &amp; "'!A:A"),
                0
            )) *
            IF(
                N61="",
                1,
                (ROW(INDIRECT("'" &amp; INDEX('Hulp (CAO''s)'!$C$3:$C$6,
                    MATCH(TRUE,'Hulp (CAO''s)'!$D$3:$D$6,0)) &amp; "'!B1:B1000")) &lt; MATCH(
                    N61,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TEXT(M63,"0")) *
                (ROW(INDIRECT("'" &amp; INDEX('Hulp (CAO''s)'!$C$3:$C$6,
                    MATCH(TRUE,'Hulp (CAO''s)'!$D$3:$D$6,0)) &amp; "'!B1:B1000")) &gt; MATCH(
                    M61,
                    INDIRECT("'" &amp; INDEX('Hulp (CAO''s)'!$C$3:$C$6,
                        MATCH(TRUE,'Hulp (CAO''s)'!$D$3:$D$6,0)) &amp; "'!A:A"),
                    0
                )) *
                IF(
                    N61="",
                    1,
                    (ROW(INDIRECT("'" &amp; INDEX('Hulp (CAO''s)'!$C$3:$C$6,
                        MATCH(TRUE,'Hulp (CAO''s)'!$D$3:$D$6,0)) &amp; "'!B1:B1000")) &lt; MATCH(
                        N61,
                        INDIRECT("'" &amp; INDEX('Hulp (CAO''s)'!$C$3:$C$6,
                            MATCH(TRUE,'Hulp (CAO''s)'!$D$3:$D$6,0)) &amp; "'!A:A"),
                        0
                    ))
                ),
                ROW(INDIRECT("'" &amp; INDEX('Hulp (CAO''s)'!$C$3:$C$6,
                    MATCH(TRUE,'Hulp (CAO''s)'!$D$3:$D$6,0)) &amp; "'!B1:B1000"))
            )
        ),0)
    )
))</f>
        <v/>
      </c>
      <c r="N64" s="145" t="str">
        <f t="array" aca="1" ref="N64" ca="1">IF($D62="Gebruik % van maximum trede",
IF(
    OR(N61="",N62=""),
    "",
    MAX(
    INDIRECT("'" &amp; INDEX('Hulp (CAO''s)'!$C$3:$C$6,
        MATCH(TRUE,'Hulp (CAO''s)'!$D$3:$D$6,0)) &amp; "'!" &amp;
        INDEX('Hulp (CAO''s)'!$H$3:$H$6,
            MATCH(TRUE,'Hulp (CAO''s)'!$D$3:$D$6,0))
        &amp;
        MATCH(N61, INDIRECT("'" &amp; INDEX('Hulp (CAO''s)'!$C$3:$C$6,
            MATCH(TRUE,'Hulp (CAO''s)'!$D$3:$D$6,0)) &amp; "'!A:A"),0)
        &amp; ":H" &amp;
        IF(O61&lt;&gt;"",
            MATCH(O61, INDIRECT("'" &amp; INDEX('Hulp (CAO''s)'!$C$3:$C$6,
                MATCH(TRUE,'Hulp (CAO''s)'!$D$3:$D$6,0)) &amp; "'!A:A"),0)-1,
            1000
        )
    )
) * N62
),
IF(
    IFERROR(MIN(
        IF(
            (TRIM(INDIRECT("'" &amp; INDEX('Hulp (CAO''s)'!$C$3:$C$6,
                MATCH(TRUE,'Hulp (CAO''s)'!$D$3:$D$6,0)) &amp; "'!B1:B1000")) = TEXT(N63,"0")) *
            (ROW(INDIRECT("'" &amp; INDEX('Hulp (CAO''s)'!$C$3:$C$6,
                MATCH(TRUE,'Hulp (CAO''s)'!$D$3:$D$6,0)) &amp; "'!B1:B1000")) &gt; MATCH(
                N61,
                INDIRECT("'" &amp; INDEX('Hulp (CAO''s)'!$C$3:$C$6,
                    MATCH(TRUE,'Hulp (CAO''s)'!$D$3:$D$6,0)) &amp; "'!A:A"),
                0
            )) *
            IF(
                O61="",
                1,
                (ROW(INDIRECT("'" &amp; INDEX('Hulp (CAO''s)'!$C$3:$C$6,
                    MATCH(TRUE,'Hulp (CAO''s)'!$D$3:$D$6,0)) &amp; "'!B1:B1000")) &lt; MATCH(
                    O61,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TEXT(N63,"0")) *
                (ROW(INDIRECT("'" &amp; INDEX('Hulp (CAO''s)'!$C$3:$C$6,
                    MATCH(TRUE,'Hulp (CAO''s)'!$D$3:$D$6,0)) &amp; "'!B1:B1000")) &gt; MATCH(
                    N61,
                    INDIRECT("'" &amp; INDEX('Hulp (CAO''s)'!$C$3:$C$6,
                        MATCH(TRUE,'Hulp (CAO''s)'!$D$3:$D$6,0)) &amp; "'!A:A"),
                    0
                )) *
                IF(
                    O61="",
                    1,
                    (ROW(INDIRECT("'" &amp; INDEX('Hulp (CAO''s)'!$C$3:$C$6,
                        MATCH(TRUE,'Hulp (CAO''s)'!$D$3:$D$6,0)) &amp; "'!B1:B1000")) &lt; MATCH(
                        O61,
                        INDIRECT("'" &amp; INDEX('Hulp (CAO''s)'!$C$3:$C$6,
                            MATCH(TRUE,'Hulp (CAO''s)'!$D$3:$D$6,0)) &amp; "'!A:A"),
                        0
                    ))
                ),
                ROW(INDIRECT("'" &amp; INDEX('Hulp (CAO''s)'!$C$3:$C$6,
                    MATCH(TRUE,'Hulp (CAO''s)'!$D$3:$D$6,0)) &amp; "'!B1:B1000"))
            )
        ),0)
    )
))</f>
        <v/>
      </c>
      <c r="O64" s="145" t="str">
        <f t="array" aca="1" ref="O64" ca="1">IF($D62="Gebruik % van maximum trede",
IF(
    OR(O61="",O62=""),
    "",
    MAX(
    INDIRECT("'" &amp; INDEX('Hulp (CAO''s)'!$C$3:$C$6,
        MATCH(TRUE,'Hulp (CAO''s)'!$D$3:$D$6,0)) &amp; "'!" &amp;
        INDEX('Hulp (CAO''s)'!$H$3:$H$6,
            MATCH(TRUE,'Hulp (CAO''s)'!$D$3:$D$6,0))
        &amp;
        MATCH(O61, INDIRECT("'" &amp; INDEX('Hulp (CAO''s)'!$C$3:$C$6,
            MATCH(TRUE,'Hulp (CAO''s)'!$D$3:$D$6,0)) &amp; "'!A:A"),0)
        &amp; ":H" &amp;
        IF(P61&lt;&gt;"",
            MATCH(P61, INDIRECT("'" &amp; INDEX('Hulp (CAO''s)'!$C$3:$C$6,
                MATCH(TRUE,'Hulp (CAO''s)'!$D$3:$D$6,0)) &amp; "'!A:A"),0)-1,
            1000
        )
    )
) * O62
),
IF(
    IFERROR(MIN(
        IF(
            (TRIM(INDIRECT("'" &amp; INDEX('Hulp (CAO''s)'!$C$3:$C$6,
                MATCH(TRUE,'Hulp (CAO''s)'!$D$3:$D$6,0)) &amp; "'!B1:B1000")) = TEXT(O63,"0")) *
            (ROW(INDIRECT("'" &amp; INDEX('Hulp (CAO''s)'!$C$3:$C$6,
                MATCH(TRUE,'Hulp (CAO''s)'!$D$3:$D$6,0)) &amp; "'!B1:B1000")) &gt; MATCH(
                O61,
                INDIRECT("'" &amp; INDEX('Hulp (CAO''s)'!$C$3:$C$6,
                    MATCH(TRUE,'Hulp (CAO''s)'!$D$3:$D$6,0)) &amp; "'!A:A"),
                0
            )) *
            IF(
                P61="",
                1,
                (ROW(INDIRECT("'" &amp; INDEX('Hulp (CAO''s)'!$C$3:$C$6,
                    MATCH(TRUE,'Hulp (CAO''s)'!$D$3:$D$6,0)) &amp; "'!B1:B1000")) &lt; MATCH(
                    P61,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TEXT(O63,"0")) *
                (ROW(INDIRECT("'" &amp; INDEX('Hulp (CAO''s)'!$C$3:$C$6,
                    MATCH(TRUE,'Hulp (CAO''s)'!$D$3:$D$6,0)) &amp; "'!B1:B1000")) &gt; MATCH(
                    O61,
                    INDIRECT("'" &amp; INDEX('Hulp (CAO''s)'!$C$3:$C$6,
                        MATCH(TRUE,'Hulp (CAO''s)'!$D$3:$D$6,0)) &amp; "'!A:A"),
                    0
                )) *
                IF(
                    P61="",
                    1,
                    (ROW(INDIRECT("'" &amp; INDEX('Hulp (CAO''s)'!$C$3:$C$6,
                        MATCH(TRUE,'Hulp (CAO''s)'!$D$3:$D$6,0)) &amp; "'!B1:B1000")) &lt; MATCH(
                        P61,
                        INDIRECT("'" &amp; INDEX('Hulp (CAO''s)'!$C$3:$C$6,
                            MATCH(TRUE,'Hulp (CAO''s)'!$D$3:$D$6,0)) &amp; "'!A:A"),
                        0
                    ))
                ),
                ROW(INDIRECT("'" &amp; INDEX('Hulp (CAO''s)'!$C$3:$C$6,
                    MATCH(TRUE,'Hulp (CAO''s)'!$D$3:$D$6,0)) &amp; "'!B1:B1000"))
            )
        ),0)
    )
))</f>
        <v/>
      </c>
      <c r="P64" s="145" t="str">
        <f t="array" aca="1" ref="P64" ca="1">IF($D62="Gebruik % van maximum trede",
IF(
    OR(P61="",P62=""),
    "",
    MAX(
    INDIRECT("'" &amp; INDEX('Hulp (CAO''s)'!$C$3:$C$6,
        MATCH(TRUE,'Hulp (CAO''s)'!$D$3:$D$6,0)) &amp; "'!" &amp;
        INDEX('Hulp (CAO''s)'!$H$3:$H$6,
            MATCH(TRUE,'Hulp (CAO''s)'!$D$3:$D$6,0))
        &amp;
        MATCH(P61, INDIRECT("'" &amp; INDEX('Hulp (CAO''s)'!$C$3:$C$6,
            MATCH(TRUE,'Hulp (CAO''s)'!$D$3:$D$6,0)) &amp; "'!A:A"),0)
        &amp; ":H" &amp;
        IF(Q61&lt;&gt;"",
            MATCH(Q61, INDIRECT("'" &amp; INDEX('Hulp (CAO''s)'!$C$3:$C$6,
                MATCH(TRUE,'Hulp (CAO''s)'!$D$3:$D$6,0)) &amp; "'!A:A"),0)-1,
            1000
        )
    )
) * P62
),
IF(
    IFERROR(MIN(
        IF(
            (TRIM(INDIRECT("'" &amp; INDEX('Hulp (CAO''s)'!$C$3:$C$6,
                MATCH(TRUE,'Hulp (CAO''s)'!$D$3:$D$6,0)) &amp; "'!B1:B1000")) = TEXT(P63,"0")) *
            (ROW(INDIRECT("'" &amp; INDEX('Hulp (CAO''s)'!$C$3:$C$6,
                MATCH(TRUE,'Hulp (CAO''s)'!$D$3:$D$6,0)) &amp; "'!B1:B1000")) &gt; MATCH(
                P61,
                INDIRECT("'" &amp; INDEX('Hulp (CAO''s)'!$C$3:$C$6,
                    MATCH(TRUE,'Hulp (CAO''s)'!$D$3:$D$6,0)) &amp; "'!A:A"),
                0
            )) *
            IF(
                Q61="",
                1,
                (ROW(INDIRECT("'" &amp; INDEX('Hulp (CAO''s)'!$C$3:$C$6,
                    MATCH(TRUE,'Hulp (CAO''s)'!$D$3:$D$6,0)) &amp; "'!B1:B1000")) &lt; MATCH(
                    Q61,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TEXT(P63,"0")) *
                (ROW(INDIRECT("'" &amp; INDEX('Hulp (CAO''s)'!$C$3:$C$6,
                    MATCH(TRUE,'Hulp (CAO''s)'!$D$3:$D$6,0)) &amp; "'!B1:B1000")) &gt; MATCH(
                    P61,
                    INDIRECT("'" &amp; INDEX('Hulp (CAO''s)'!$C$3:$C$6,
                        MATCH(TRUE,'Hulp (CAO''s)'!$D$3:$D$6,0)) &amp; "'!A:A"),
                    0
                )) *
                IF(
                    Q61="",
                    1,
                    (ROW(INDIRECT("'" &amp; INDEX('Hulp (CAO''s)'!$C$3:$C$6,
                        MATCH(TRUE,'Hulp (CAO''s)'!$D$3:$D$6,0)) &amp; "'!B1:B1000")) &lt; MATCH(
                        Q61,
                        INDIRECT("'" &amp; INDEX('Hulp (CAO''s)'!$C$3:$C$6,
                            MATCH(TRUE,'Hulp (CAO''s)'!$D$3:$D$6,0)) &amp; "'!A:A"),
                        0
                    ))
                ),
                ROW(INDIRECT("'" &amp; INDEX('Hulp (CAO''s)'!$C$3:$C$6,
                    MATCH(TRUE,'Hulp (CAO''s)'!$D$3:$D$6,0)) &amp; "'!B1:B1000"))
            )
        ),0)
    )
))</f>
        <v/>
      </c>
      <c r="Q64" s="145" t="str">
        <f t="array" aca="1" ref="Q64" ca="1">IF($D62="Gebruik % van maximum trede",
IF(
    OR(Q61="",Q62=""),
    "",
    MAX(
    INDIRECT("'" &amp; INDEX('Hulp (CAO''s)'!$C$3:$C$6,
        MATCH(TRUE,'Hulp (CAO''s)'!$D$3:$D$6,0)) &amp; "'!" &amp;
        INDEX('Hulp (CAO''s)'!$H$3:$H$6,
            MATCH(TRUE,'Hulp (CAO''s)'!$D$3:$D$6,0))
        &amp;
        MATCH(Q61, INDIRECT("'" &amp; INDEX('Hulp (CAO''s)'!$C$3:$C$6,
            MATCH(TRUE,'Hulp (CAO''s)'!$D$3:$D$6,0)) &amp; "'!A:A"),0)
        &amp; ":H" &amp;
        IF(R61&lt;&gt;"",
            MATCH(R61, INDIRECT("'" &amp; INDEX('Hulp (CAO''s)'!$C$3:$C$6,
                MATCH(TRUE,'Hulp (CAO''s)'!$D$3:$D$6,0)) &amp; "'!A:A"),0)-1,
            1000
        )
    )
) * Q62
),
IF(
    IFERROR(MIN(
        IF(
            (TRIM(INDIRECT("'" &amp; INDEX('Hulp (CAO''s)'!$C$3:$C$6,
                MATCH(TRUE,'Hulp (CAO''s)'!$D$3:$D$6,0)) &amp; "'!B1:B1000")) = TEXT(Q63,"0")) *
            (ROW(INDIRECT("'" &amp; INDEX('Hulp (CAO''s)'!$C$3:$C$6,
                MATCH(TRUE,'Hulp (CAO''s)'!$D$3:$D$6,0)) &amp; "'!B1:B1000")) &gt; MATCH(
                Q61,
                INDIRECT("'" &amp; INDEX('Hulp (CAO''s)'!$C$3:$C$6,
                    MATCH(TRUE,'Hulp (CAO''s)'!$D$3:$D$6,0)) &amp; "'!A:A"),
                0
            )) *
            IF(
                R61="",
                1,
                (ROW(INDIRECT("'" &amp; INDEX('Hulp (CAO''s)'!$C$3:$C$6,
                    MATCH(TRUE,'Hulp (CAO''s)'!$D$3:$D$6,0)) &amp; "'!B1:B1000")) &lt; MATCH(
                    R61,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TEXT(Q63,"0")) *
                (ROW(INDIRECT("'" &amp; INDEX('Hulp (CAO''s)'!$C$3:$C$6,
                    MATCH(TRUE,'Hulp (CAO''s)'!$D$3:$D$6,0)) &amp; "'!B1:B1000")) &gt; MATCH(
                    Q61,
                    INDIRECT("'" &amp; INDEX('Hulp (CAO''s)'!$C$3:$C$6,
                        MATCH(TRUE,'Hulp (CAO''s)'!$D$3:$D$6,0)) &amp; "'!A:A"),
                    0
                )) *
                IF(
                    R61="",
                    1,
                    (ROW(INDIRECT("'" &amp; INDEX('Hulp (CAO''s)'!$C$3:$C$6,
                        MATCH(TRUE,'Hulp (CAO''s)'!$D$3:$D$6,0)) &amp; "'!B1:B1000")) &lt; MATCH(
                        R61,
                        INDIRECT("'" &amp; INDEX('Hulp (CAO''s)'!$C$3:$C$6,
                            MATCH(TRUE,'Hulp (CAO''s)'!$D$3:$D$6,0)) &amp; "'!A:A"),
                        0
                    ))
                ),
                ROW(INDIRECT("'" &amp; INDEX('Hulp (CAO''s)'!$C$3:$C$6,
                    MATCH(TRUE,'Hulp (CAO''s)'!$D$3:$D$6,0)) &amp; "'!B1:B1000"))
            )
        ),0)
    )
))</f>
        <v/>
      </c>
      <c r="R64" s="145" t="str">
        <f t="array" aca="1" ref="R64" ca="1">IF($D62="Gebruik % van maximum trede",
IF(
    OR(R61="",R62=""),
    "",
    MAX(
    INDIRECT("'" &amp; INDEX('Hulp (CAO''s)'!$C$3:$C$6,
        MATCH(TRUE,'Hulp (CAO''s)'!$D$3:$D$6,0)) &amp; "'!" &amp;
        INDEX('Hulp (CAO''s)'!$H$3:$H$6,
            MATCH(TRUE,'Hulp (CAO''s)'!$D$3:$D$6,0))
        &amp;
        MATCH(R61, INDIRECT("'" &amp; INDEX('Hulp (CAO''s)'!$C$3:$C$6,
            MATCH(TRUE,'Hulp (CAO''s)'!$D$3:$D$6,0)) &amp; "'!A:A"),0)
        &amp; ":H" &amp;
        IF(S61&lt;&gt;"",
            MATCH(S61, INDIRECT("'" &amp; INDEX('Hulp (CAO''s)'!$C$3:$C$6,
                MATCH(TRUE,'Hulp (CAO''s)'!$D$3:$D$6,0)) &amp; "'!A:A"),0)-1,
            1000
        )
    )
) * R62
),
IF(
    IFERROR(MIN(
        IF(
            (TRIM(INDIRECT("'" &amp; INDEX('Hulp (CAO''s)'!$C$3:$C$6,
                MATCH(TRUE,'Hulp (CAO''s)'!$D$3:$D$6,0)) &amp; "'!B1:B1000")) = TEXT(R63,"0")) *
            (ROW(INDIRECT("'" &amp; INDEX('Hulp (CAO''s)'!$C$3:$C$6,
                MATCH(TRUE,'Hulp (CAO''s)'!$D$3:$D$6,0)) &amp; "'!B1:B1000")) &gt; MATCH(
                R61,
                INDIRECT("'" &amp; INDEX('Hulp (CAO''s)'!$C$3:$C$6,
                    MATCH(TRUE,'Hulp (CAO''s)'!$D$3:$D$6,0)) &amp; "'!A:A"),
                0
            )) *
            IF(
                S61="",
                1,
                (ROW(INDIRECT("'" &amp; INDEX('Hulp (CAO''s)'!$C$3:$C$6,
                    MATCH(TRUE,'Hulp (CAO''s)'!$D$3:$D$6,0)) &amp; "'!B1:B1000")) &lt; MATCH(
                    S61,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TEXT(R63,"0")) *
                (ROW(INDIRECT("'" &amp; INDEX('Hulp (CAO''s)'!$C$3:$C$6,
                    MATCH(TRUE,'Hulp (CAO''s)'!$D$3:$D$6,0)) &amp; "'!B1:B1000")) &gt; MATCH(
                    R61,
                    INDIRECT("'" &amp; INDEX('Hulp (CAO''s)'!$C$3:$C$6,
                        MATCH(TRUE,'Hulp (CAO''s)'!$D$3:$D$6,0)) &amp; "'!A:A"),
                    0
                )) *
                IF(
                    S61="",
                    1,
                    (ROW(INDIRECT("'" &amp; INDEX('Hulp (CAO''s)'!$C$3:$C$6,
                        MATCH(TRUE,'Hulp (CAO''s)'!$D$3:$D$6,0)) &amp; "'!B1:B1000")) &lt; MATCH(
                        S61,
                        INDIRECT("'" &amp; INDEX('Hulp (CAO''s)'!$C$3:$C$6,
                            MATCH(TRUE,'Hulp (CAO''s)'!$D$3:$D$6,0)) &amp; "'!A:A"),
                        0
                    ))
                ),
                ROW(INDIRECT("'" &amp; INDEX('Hulp (CAO''s)'!$C$3:$C$6,
                    MATCH(TRUE,'Hulp (CAO''s)'!$D$3:$D$6,0)) &amp; "'!B1:B1000"))
            )
        ),0)
    )
))</f>
        <v/>
      </c>
      <c r="S64" s="145" t="str">
        <f t="array" aca="1" ref="S64" ca="1">IF($D62="Gebruik % van maximum trede",
IF(
    OR(S61="",S62=""),
    "",
    MAX(
    INDIRECT("'" &amp; INDEX('Hulp (CAO''s)'!$C$3:$C$6,
        MATCH(TRUE,'Hulp (CAO''s)'!$D$3:$D$6,0)) &amp; "'!" &amp;
        INDEX('Hulp (CAO''s)'!$H$3:$H$6,
            MATCH(TRUE,'Hulp (CAO''s)'!$D$3:$D$6,0))
        &amp;
        MATCH(S61, INDIRECT("'" &amp; INDEX('Hulp (CAO''s)'!$C$3:$C$6,
            MATCH(TRUE,'Hulp (CAO''s)'!$D$3:$D$6,0)) &amp; "'!A:A"),0)
        &amp; ":H" &amp;
        IF(T61&lt;&gt;"",
            MATCH(T61, INDIRECT("'" &amp; INDEX('Hulp (CAO''s)'!$C$3:$C$6,
                MATCH(TRUE,'Hulp (CAO''s)'!$D$3:$D$6,0)) &amp; "'!A:A"),0)-1,
            1000
        )
    )
) * S62
),
IF(
    IFERROR(MIN(
        IF(
            (TRIM(INDIRECT("'" &amp; INDEX('Hulp (CAO''s)'!$C$3:$C$6,
                MATCH(TRUE,'Hulp (CAO''s)'!$D$3:$D$6,0)) &amp; "'!B1:B1000")) = TEXT(S63,"0")) *
            (ROW(INDIRECT("'" &amp; INDEX('Hulp (CAO''s)'!$C$3:$C$6,
                MATCH(TRUE,'Hulp (CAO''s)'!$D$3:$D$6,0)) &amp; "'!B1:B1000")) &gt; MATCH(
                S61,
                INDIRECT("'" &amp; INDEX('Hulp (CAO''s)'!$C$3:$C$6,
                    MATCH(TRUE,'Hulp (CAO''s)'!$D$3:$D$6,0)) &amp; "'!A:A"),
                0
            )) *
            IF(
                T61="",
                1,
                (ROW(INDIRECT("'" &amp; INDEX('Hulp (CAO''s)'!$C$3:$C$6,
                    MATCH(TRUE,'Hulp (CAO''s)'!$D$3:$D$6,0)) &amp; "'!B1:B1000")) &lt; MATCH(
                    T61,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TEXT(S63,"0")) *
                (ROW(INDIRECT("'" &amp; INDEX('Hulp (CAO''s)'!$C$3:$C$6,
                    MATCH(TRUE,'Hulp (CAO''s)'!$D$3:$D$6,0)) &amp; "'!B1:B1000")) &gt; MATCH(
                    S61,
                    INDIRECT("'" &amp; INDEX('Hulp (CAO''s)'!$C$3:$C$6,
                        MATCH(TRUE,'Hulp (CAO''s)'!$D$3:$D$6,0)) &amp; "'!A:A"),
                    0
                )) *
                IF(
                    T61="",
                    1,
                    (ROW(INDIRECT("'" &amp; INDEX('Hulp (CAO''s)'!$C$3:$C$6,
                        MATCH(TRUE,'Hulp (CAO''s)'!$D$3:$D$6,0)) &amp; "'!B1:B1000")) &lt; MATCH(
                        T61,
                        INDIRECT("'" &amp; INDEX('Hulp (CAO''s)'!$C$3:$C$6,
                            MATCH(TRUE,'Hulp (CAO''s)'!$D$3:$D$6,0)) &amp; "'!A:A"),
                        0
                    ))
                ),
                ROW(INDIRECT("'" &amp; INDEX('Hulp (CAO''s)'!$C$3:$C$6,
                    MATCH(TRUE,'Hulp (CAO''s)'!$D$3:$D$6,0)) &amp; "'!B1:B1000"))
            )
        ),0)
    )
))</f>
        <v/>
      </c>
      <c r="T64" s="145" t="str">
        <f t="array" aca="1" ref="T64" ca="1">IF($D62="Gebruik % van maximum trede",
IF(
    OR(T61="",T62=""),
    "",
    MAX(
    INDIRECT("'" &amp; INDEX('Hulp (CAO''s)'!$C$3:$C$6,
        MATCH(TRUE,'Hulp (CAO''s)'!$D$3:$D$6,0)) &amp; "'!" &amp;
        INDEX('Hulp (CAO''s)'!$H$3:$H$6,
            MATCH(TRUE,'Hulp (CAO''s)'!$D$3:$D$6,0))
        &amp;
        MATCH(T61, INDIRECT("'" &amp; INDEX('Hulp (CAO''s)'!$C$3:$C$6,
            MATCH(TRUE,'Hulp (CAO''s)'!$D$3:$D$6,0)) &amp; "'!A:A"),0)
        &amp; ":H" &amp;
        IF(U61&lt;&gt;"",
            MATCH(U61, INDIRECT("'" &amp; INDEX('Hulp (CAO''s)'!$C$3:$C$6,
                MATCH(TRUE,'Hulp (CAO''s)'!$D$3:$D$6,0)) &amp; "'!A:A"),0)-1,
            1000
        )
    )
) * T62
),
IF(
    IFERROR(MIN(
        IF(
            (TRIM(INDIRECT("'" &amp; INDEX('Hulp (CAO''s)'!$C$3:$C$6,
                MATCH(TRUE,'Hulp (CAO''s)'!$D$3:$D$6,0)) &amp; "'!B1:B1000")) = TEXT(T63,"0")) *
            (ROW(INDIRECT("'" &amp; INDEX('Hulp (CAO''s)'!$C$3:$C$6,
                MATCH(TRUE,'Hulp (CAO''s)'!$D$3:$D$6,0)) &amp; "'!B1:B1000")) &gt; MATCH(
                T61,
                INDIRECT("'" &amp; INDEX('Hulp (CAO''s)'!$C$3:$C$6,
                    MATCH(TRUE,'Hulp (CAO''s)'!$D$3:$D$6,0)) &amp; "'!A:A"),
                0
            )) *
            IF(
                U61="",
                1,
                (ROW(INDIRECT("'" &amp; INDEX('Hulp (CAO''s)'!$C$3:$C$6,
                    MATCH(TRUE,'Hulp (CAO''s)'!$D$3:$D$6,0)) &amp; "'!B1:B1000")) &lt; MATCH(
                    U61,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TEXT(T63,"0")) *
                (ROW(INDIRECT("'" &amp; INDEX('Hulp (CAO''s)'!$C$3:$C$6,
                    MATCH(TRUE,'Hulp (CAO''s)'!$D$3:$D$6,0)) &amp; "'!B1:B1000")) &gt; MATCH(
                    T61,
                    INDIRECT("'" &amp; INDEX('Hulp (CAO''s)'!$C$3:$C$6,
                        MATCH(TRUE,'Hulp (CAO''s)'!$D$3:$D$6,0)) &amp; "'!A:A"),
                    0
                )) *
                IF(
                    U61="",
                    1,
                    (ROW(INDIRECT("'" &amp; INDEX('Hulp (CAO''s)'!$C$3:$C$6,
                        MATCH(TRUE,'Hulp (CAO''s)'!$D$3:$D$6,0)) &amp; "'!B1:B1000")) &lt; MATCH(
                        U61,
                        INDIRECT("'" &amp; INDEX('Hulp (CAO''s)'!$C$3:$C$6,
                            MATCH(TRUE,'Hulp (CAO''s)'!$D$3:$D$6,0)) &amp; "'!A:A"),
                        0
                    ))
                ),
                ROW(INDIRECT("'" &amp; INDEX('Hulp (CAO''s)'!$C$3:$C$6,
                    MATCH(TRUE,'Hulp (CAO''s)'!$D$3:$D$6,0)) &amp; "'!B1:B1000"))
            )
        ),0)
    )
))</f>
        <v/>
      </c>
      <c r="U64" s="145" t="str">
        <f t="array" aca="1" ref="U64" ca="1">IF($D62="Gebruik % van maximum trede",
IF(
    OR(U61="",U62=""),
    "",
    MAX(
    INDIRECT("'" &amp; INDEX('Hulp (CAO''s)'!$C$3:$C$6,
        MATCH(TRUE,'Hulp (CAO''s)'!$D$3:$D$6,0)) &amp; "'!" &amp;
        INDEX('Hulp (CAO''s)'!$H$3:$H$6,
            MATCH(TRUE,'Hulp (CAO''s)'!$D$3:$D$6,0))
        &amp;
        MATCH(U61, INDIRECT("'" &amp; INDEX('Hulp (CAO''s)'!$C$3:$C$6,
            MATCH(TRUE,'Hulp (CAO''s)'!$D$3:$D$6,0)) &amp; "'!A:A"),0)
        &amp; ":H" &amp;
        IF(V61&lt;&gt;"",
            MATCH(V61, INDIRECT("'" &amp; INDEX('Hulp (CAO''s)'!$C$3:$C$6,
                MATCH(TRUE,'Hulp (CAO''s)'!$D$3:$D$6,0)) &amp; "'!A:A"),0)-1,
            1000
        )
    )
) * U62
),
IF(
    IFERROR(MIN(
        IF(
            (TRIM(INDIRECT("'" &amp; INDEX('Hulp (CAO''s)'!$C$3:$C$6,
                MATCH(TRUE,'Hulp (CAO''s)'!$D$3:$D$6,0)) &amp; "'!B1:B1000")) = TEXT(U63,"0")) *
            (ROW(INDIRECT("'" &amp; INDEX('Hulp (CAO''s)'!$C$3:$C$6,
                MATCH(TRUE,'Hulp (CAO''s)'!$D$3:$D$6,0)) &amp; "'!B1:B1000")) &gt; MATCH(
                U61,
                INDIRECT("'" &amp; INDEX('Hulp (CAO''s)'!$C$3:$C$6,
                    MATCH(TRUE,'Hulp (CAO''s)'!$D$3:$D$6,0)) &amp; "'!A:A"),
                0
            )) *
            IF(
                V61="",
                1,
                (ROW(INDIRECT("'" &amp; INDEX('Hulp (CAO''s)'!$C$3:$C$6,
                    MATCH(TRUE,'Hulp (CAO''s)'!$D$3:$D$6,0)) &amp; "'!B1:B1000")) &lt; MATCH(
                    V61,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TEXT(U63,"0")) *
                (ROW(INDIRECT("'" &amp; INDEX('Hulp (CAO''s)'!$C$3:$C$6,
                    MATCH(TRUE,'Hulp (CAO''s)'!$D$3:$D$6,0)) &amp; "'!B1:B1000")) &gt; MATCH(
                    U61,
                    INDIRECT("'" &amp; INDEX('Hulp (CAO''s)'!$C$3:$C$6,
                        MATCH(TRUE,'Hulp (CAO''s)'!$D$3:$D$6,0)) &amp; "'!A:A"),
                    0
                )) *
                IF(
                    V61="",
                    1,
                    (ROW(INDIRECT("'" &amp; INDEX('Hulp (CAO''s)'!$C$3:$C$6,
                        MATCH(TRUE,'Hulp (CAO''s)'!$D$3:$D$6,0)) &amp; "'!B1:B1000")) &lt; MATCH(
                        V61,
                        INDIRECT("'" &amp; INDEX('Hulp (CAO''s)'!$C$3:$C$6,
                            MATCH(TRUE,'Hulp (CAO''s)'!$D$3:$D$6,0)) &amp; "'!A:A"),
                        0
                    ))
                ),
                ROW(INDIRECT("'" &amp; INDEX('Hulp (CAO''s)'!$C$3:$C$6,
                    MATCH(TRUE,'Hulp (CAO''s)'!$D$3:$D$6,0)) &amp; "'!B1:B1000"))
            )
        ),0)
    )
))</f>
        <v/>
      </c>
      <c r="V64" s="165" t="str">
        <f t="array" aca="1" ref="V64" ca="1">IF(SUM(F65:U65)=0,"",
IF(
   SUM(F64:U64)=0,
   "",
   (
      SUMPRODUCT(
         IF(F64:U64="",0,F64:U64),
         IF(F65:U65="",0,F65:U65) * SUM(F65:U65)
      )
   ) *
   IF(
      'Hulp (CAO''s)'!#REF!,
      IF(
         OR(
            INDEX(#REF!, ROW(#REF!) + INT((ROW()-ROW($V$8))/6)*8)="",
            ISNA(INDEX(#REF!, ROW(#REF!) + INT((ROW()-ROW($V$8))/6)*8))
         ),
         1878/12,
         INDEX(#REF!, ROW(#REF!) + INT((ROW()-ROW($V$8))/6)*8)/12
      ),
      1
   )
))</f>
        <v/>
      </c>
      <c r="W64" s="171" t="str">
        <f ca="1">IF(B61="","",
    IF(W63="","",
        IF(INDIRECT("'Hulp (control forms)'!C" &amp; (13 + INT((ROW()-ROW($B$5))/7))),
            W63,
            V64
        )
    )
)</f>
        <v/>
      </c>
      <c r="X64" s="170" t="str">
        <f ca="1">IF(AND($B61&lt;&gt;"", $W64=""),"!","")</f>
        <v/>
      </c>
    </row>
    <row r="65" spans="2:24" ht="16.05" customHeight="1" thickBot="1" x14ac:dyDescent="0.55000000000000004">
      <c r="C65" s="151"/>
      <c r="D65" s="141" t="s">
        <v>60</v>
      </c>
      <c r="E65" s="24" t="s">
        <v>59</v>
      </c>
      <c r="F65" s="146">
        <v>0.05</v>
      </c>
      <c r="G65" s="146">
        <v>0.1</v>
      </c>
      <c r="H65" s="146">
        <v>0.1</v>
      </c>
      <c r="I65" s="146">
        <v>0.15</v>
      </c>
      <c r="J65" s="146">
        <v>0.2</v>
      </c>
      <c r="K65" s="146">
        <v>0.15</v>
      </c>
      <c r="L65" s="146">
        <v>0.1</v>
      </c>
      <c r="M65" s="146">
        <v>0.05</v>
      </c>
      <c r="N65" s="146">
        <v>0.05</v>
      </c>
      <c r="O65" s="146">
        <v>0.05</v>
      </c>
      <c r="P65" s="146">
        <v>0</v>
      </c>
      <c r="Q65" s="146"/>
      <c r="R65" s="146"/>
      <c r="S65" s="146"/>
      <c r="T65" s="146"/>
      <c r="U65" s="147"/>
      <c r="V65" s="142" t="str">
        <f ca="1">IF($B61="","",IF($D65="Aandeel in %",
   "Totaal: "&amp;SUM(F65:U65)*100&amp;"%",
   "Totaal: "&amp;SUM(F65:U65)&amp;" uur"
))</f>
        <v/>
      </c>
      <c r="W65" s="168"/>
      <c r="X65" s="153"/>
    </row>
    <row r="66" spans="2:24" ht="16.05" customHeight="1" thickBot="1" x14ac:dyDescent="0.55000000000000004">
      <c r="C66" s="154"/>
      <c r="D66" s="140"/>
      <c r="E66" s="140"/>
      <c r="F66" s="140"/>
      <c r="G66" s="140"/>
      <c r="H66" s="140"/>
      <c r="I66" s="140"/>
      <c r="J66" s="140"/>
      <c r="K66" s="140"/>
      <c r="L66" s="140"/>
      <c r="M66" s="140"/>
      <c r="N66" s="140"/>
      <c r="O66" s="140"/>
      <c r="P66" s="140"/>
      <c r="Q66" s="140"/>
      <c r="R66" s="140"/>
      <c r="S66" s="140"/>
      <c r="T66" s="155"/>
      <c r="U66" s="155"/>
      <c r="V66" s="169"/>
      <c r="W66" s="169"/>
      <c r="X66" s="156"/>
    </row>
    <row r="67" spans="2:24" ht="16.05" customHeight="1" thickBot="1" x14ac:dyDescent="0.55000000000000004">
      <c r="B67" s="159" t="str">
        <f ca="1">IF(B68="","",
IF(
   OR(
      INDIRECT("'1a. Input organisatieniveau'!AC" &amp; (7 + INT((ROW()-4)/7)))="",
      INDIRECT("'1a. Input organisatieniveau'!AC" &amp; (7 + INT((ROW()-4)/7)))=0
   ),
   "",
   INDIRECT("'1a. Input organisatieniveau'!AC" &amp; (7 + INT((ROW()-4)/7)))
))</f>
        <v/>
      </c>
      <c r="C67" s="148"/>
      <c r="D67" s="139"/>
      <c r="E67" s="139"/>
      <c r="F67" s="149" t="str">
        <f t="shared" ref="F67:U67" ca="1" si="9">IF($D69="Gebruik % van maximum trede", IF(AND(AND(F68&lt;&gt;"",F69&lt;&gt;""),F71=""),"!",""), IF(AND(AND(F68&lt;&gt;"",F70&lt;&gt;""),F71=""),"!",""))</f>
        <v/>
      </c>
      <c r="G67" s="149" t="str">
        <f t="shared" ca="1" si="9"/>
        <v/>
      </c>
      <c r="H67" s="149" t="str">
        <f t="shared" ca="1" si="9"/>
        <v/>
      </c>
      <c r="I67" s="149" t="str">
        <f t="shared" ca="1" si="9"/>
        <v/>
      </c>
      <c r="J67" s="149" t="str">
        <f t="shared" ca="1" si="9"/>
        <v/>
      </c>
      <c r="K67" s="149" t="str">
        <f t="shared" ca="1" si="9"/>
        <v/>
      </c>
      <c r="L67" s="149" t="str">
        <f t="shared" ca="1" si="9"/>
        <v/>
      </c>
      <c r="M67" s="149" t="str">
        <f t="shared" ca="1" si="9"/>
        <v/>
      </c>
      <c r="N67" s="149" t="str">
        <f t="shared" ca="1" si="9"/>
        <v/>
      </c>
      <c r="O67" s="149" t="str">
        <f t="shared" ca="1" si="9"/>
        <v/>
      </c>
      <c r="P67" s="149" t="str">
        <f t="shared" ca="1" si="9"/>
        <v/>
      </c>
      <c r="Q67" s="149" t="str">
        <f t="shared" ca="1" si="9"/>
        <v/>
      </c>
      <c r="R67" s="149" t="str">
        <f t="shared" ca="1" si="9"/>
        <v/>
      </c>
      <c r="S67" s="149" t="str">
        <f t="shared" ca="1" si="9"/>
        <v/>
      </c>
      <c r="T67" s="149" t="str">
        <f t="shared" ca="1" si="9"/>
        <v/>
      </c>
      <c r="U67" s="149" t="str">
        <f t="shared" ca="1" si="9"/>
        <v/>
      </c>
      <c r="V67" s="167"/>
      <c r="W67" s="167"/>
      <c r="X67" s="150"/>
    </row>
    <row r="68" spans="2:24" ht="16.05" customHeight="1" thickBot="1" x14ac:dyDescent="0.55000000000000004">
      <c r="B68" s="158" t="str">
        <f ca="1">IF(
   OR(
      INDIRECT("'1a. Input organisatieniveau'!AA" &amp; (7 + INT((ROW()-4)/7)))="",
      INDIRECT("'1a. Input organisatieniveau'!AA" &amp; (7 + INT((ROW()-4)/7)))=0
   ),
   "",
   INDIRECT("'1a. Input organisatieniveau'!AA" &amp; (7 + INT((ROW()-4)/7)))
)</f>
        <v/>
      </c>
      <c r="C68" s="151"/>
      <c r="D68" s="152"/>
      <c r="E68" s="22" t="s">
        <v>28</v>
      </c>
      <c r="F68" s="143" t="str">
        <f t="array" aca="1" ref="F68" ca="1">IF($B68="", "", INDEX('Hulp (CAO''s)'!J$3:J$6, MATCH(TRUE, 'Hulp (CAO''s)'!$D$3:$D$6, 0)))</f>
        <v/>
      </c>
      <c r="G68" s="143" t="str">
        <f t="array" aca="1" ref="G68" ca="1">IF($B68="", "", INDEX('Hulp (CAO''s)'!K$3:K$6, MATCH(TRUE, 'Hulp (CAO''s)'!$D$3:$D$6, 0)))</f>
        <v/>
      </c>
      <c r="H68" s="143" t="str">
        <f t="array" aca="1" ref="H68" ca="1">IF($B68="", "", INDEX('Hulp (CAO''s)'!L$3:L$6, MATCH(TRUE, 'Hulp (CAO''s)'!$D$3:$D$6, 0)))</f>
        <v/>
      </c>
      <c r="I68" s="143" t="str">
        <f t="array" aca="1" ref="I68" ca="1">IF($B68="", "", INDEX('Hulp (CAO''s)'!M$3:M$6, MATCH(TRUE, 'Hulp (CAO''s)'!$D$3:$D$6, 0)))</f>
        <v/>
      </c>
      <c r="J68" s="143" t="str">
        <f t="array" aca="1" ref="J68" ca="1">IF($B68="", "", INDEX('Hulp (CAO''s)'!N$3:N$6, MATCH(TRUE, 'Hulp (CAO''s)'!$D$3:$D$6, 0)))</f>
        <v/>
      </c>
      <c r="K68" s="143" t="str">
        <f t="array" aca="1" ref="K68" ca="1">IF($B68="", "", INDEX('Hulp (CAO''s)'!O$3:O$6, MATCH(TRUE, 'Hulp (CAO''s)'!$D$3:$D$6, 0)))</f>
        <v/>
      </c>
      <c r="L68" s="143" t="str">
        <f t="array" aca="1" ref="L68" ca="1">IF($B68="", "", INDEX('Hulp (CAO''s)'!P$3:P$6, MATCH(TRUE, 'Hulp (CAO''s)'!$D$3:$D$6, 0)))</f>
        <v/>
      </c>
      <c r="M68" s="143" t="str">
        <f t="array" aca="1" ref="M68" ca="1">IF($B68="", "", INDEX('Hulp (CAO''s)'!Q$3:Q$6, MATCH(TRUE, 'Hulp (CAO''s)'!$D$3:$D$6, 0)))</f>
        <v/>
      </c>
      <c r="N68" s="143" t="str">
        <f t="array" aca="1" ref="N68" ca="1">IF($B68="", "", INDEX('Hulp (CAO''s)'!R$3:R$6, MATCH(TRUE, 'Hulp (CAO''s)'!$D$3:$D$6, 0)))</f>
        <v/>
      </c>
      <c r="O68" s="143" t="str">
        <f t="array" aca="1" ref="O68" ca="1">IF($B68="", "", INDEX('Hulp (CAO''s)'!S$3:S$6, MATCH(TRUE, 'Hulp (CAO''s)'!$D$3:$D$6, 0)))</f>
        <v/>
      </c>
      <c r="P68" s="143" t="str">
        <f t="array" aca="1" ref="P68" ca="1">IF($B68="", "", INDEX('Hulp (CAO''s)'!T$3:T$6, MATCH(TRUE, 'Hulp (CAO''s)'!$D$3:$D$6, 0)))</f>
        <v/>
      </c>
      <c r="Q68" s="143" t="str">
        <f t="array" aca="1" ref="Q68" ca="1">IF($B68="", "", INDEX('Hulp (CAO''s)'!U$3:U$6, MATCH(TRUE, 'Hulp (CAO''s)'!$D$3:$D$6, 0)))</f>
        <v/>
      </c>
      <c r="R68" s="143" t="str">
        <f t="array" aca="1" ref="R68" ca="1">IF($B68="", "", INDEX('Hulp (CAO''s)'!V$3:V$6, MATCH(TRUE, 'Hulp (CAO''s)'!$D$3:$D$6, 0)))</f>
        <v/>
      </c>
      <c r="S68" s="143" t="str">
        <f t="array" aca="1" ref="S68" ca="1">IF($B68="", "", INDEX('Hulp (CAO''s)'!W$3:W$6, MATCH(TRUE, 'Hulp (CAO''s)'!$D$3:$D$6, 0)))</f>
        <v/>
      </c>
      <c r="T68" s="143" t="str">
        <f t="array" aca="1" ref="T68" ca="1">IF($B68="", "", INDEX('Hulp (CAO''s)'!X$3:X$6, MATCH(TRUE, 'Hulp (CAO''s)'!$D$3:$D$6, 0)))</f>
        <v/>
      </c>
      <c r="U68" s="144" t="str">
        <f t="array" aca="1" ref="U68" ca="1">IF($B68="", "", INDEX('Hulp (CAO''s)'!Y$3:Y$6, MATCH(TRUE, 'Hulp (CAO''s)'!$D$3:$D$6, 0)))</f>
        <v/>
      </c>
      <c r="W68" s="788" t="s">
        <v>747</v>
      </c>
      <c r="X68" s="153"/>
    </row>
    <row r="69" spans="2:24" ht="16.05" customHeight="1" thickBot="1" x14ac:dyDescent="0.55000000000000004">
      <c r="C69" s="151"/>
      <c r="D69" s="786" t="s">
        <v>771</v>
      </c>
      <c r="E69" s="162" t="s">
        <v>770</v>
      </c>
      <c r="F69" s="163">
        <v>0.96</v>
      </c>
      <c r="G69" s="163">
        <v>0.9</v>
      </c>
      <c r="H69" s="163">
        <v>0.9</v>
      </c>
      <c r="I69" s="163">
        <v>0.7</v>
      </c>
      <c r="J69" s="163">
        <v>0.8</v>
      </c>
      <c r="K69" s="163">
        <v>0.9</v>
      </c>
      <c r="L69" s="163">
        <v>0.9</v>
      </c>
      <c r="M69" s="163">
        <v>0.9</v>
      </c>
      <c r="N69" s="163">
        <v>0.9</v>
      </c>
      <c r="O69" s="163">
        <v>0.8</v>
      </c>
      <c r="P69" s="163">
        <v>0.95</v>
      </c>
      <c r="Q69" s="163">
        <v>0.93</v>
      </c>
      <c r="R69" s="163">
        <v>0.93</v>
      </c>
      <c r="S69" s="163">
        <v>0.99</v>
      </c>
      <c r="T69" s="163">
        <v>0.99</v>
      </c>
      <c r="U69" s="164">
        <v>0.95</v>
      </c>
      <c r="W69" s="789"/>
      <c r="X69" s="153"/>
    </row>
    <row r="70" spans="2:24" ht="16.05" customHeight="1" thickBot="1" x14ac:dyDescent="0.55000000000000004">
      <c r="C70" s="151"/>
      <c r="D70" s="787"/>
      <c r="E70" s="31" t="s">
        <v>29</v>
      </c>
      <c r="F70" s="160">
        <v>8</v>
      </c>
      <c r="G70" s="160">
        <v>10</v>
      </c>
      <c r="H70" s="160">
        <v>10</v>
      </c>
      <c r="I70" s="160">
        <v>9</v>
      </c>
      <c r="J70" s="160">
        <v>10</v>
      </c>
      <c r="K70" s="160">
        <v>11</v>
      </c>
      <c r="L70" s="160">
        <v>10</v>
      </c>
      <c r="M70" s="160">
        <v>10</v>
      </c>
      <c r="N70" s="160">
        <v>9</v>
      </c>
      <c r="O70" s="160">
        <v>10</v>
      </c>
      <c r="P70" s="160">
        <v>11</v>
      </c>
      <c r="Q70" s="160">
        <v>12</v>
      </c>
      <c r="R70" s="160">
        <v>13</v>
      </c>
      <c r="S70" s="160">
        <v>12</v>
      </c>
      <c r="T70" s="160">
        <v>10</v>
      </c>
      <c r="U70" s="161">
        <v>5</v>
      </c>
      <c r="W70" s="166">
        <v>4200</v>
      </c>
      <c r="X70" s="153"/>
    </row>
    <row r="71" spans="2:24" ht="16.05" customHeight="1" thickBot="1" x14ac:dyDescent="0.55000000000000004">
      <c r="C71" s="151"/>
      <c r="E71" s="40" t="str">
        <f>IFERROR(
   INDEX('Hulp (CAO''s)'!$I$3:$I$6, MATCH(TRUE, 'Hulp (CAO''s)'!$D$3:$D$6, 0)),
"")</f>
        <v>Bruto maandsalaris</v>
      </c>
      <c r="F71" s="145" t="str">
        <f t="array" aca="1" ref="F71" ca="1">IF($D69="Gebruik % van maximum trede",
IF(
    OR(F68="",F69=""),
    "",
    MAX(
    INDIRECT("'" &amp; INDEX('Hulp (CAO''s)'!$C$3:$C$6,
        MATCH(TRUE,'Hulp (CAO''s)'!$D$3:$D$6,0)) &amp; "'!" &amp;
        INDEX('Hulp (CAO''s)'!$H$3:$H$6,
            MATCH(TRUE,'Hulp (CAO''s)'!$D$3:$D$6,0))
        &amp;
        MATCH(F68, INDIRECT("'" &amp; INDEX('Hulp (CAO''s)'!$C$3:$C$6,
            MATCH(TRUE,'Hulp (CAO''s)'!$D$3:$D$6,0)) &amp; "'!A:A"),0)
        &amp; ":H" &amp;
        IF(G68&lt;&gt;"",
            MATCH(G68, INDIRECT("'" &amp; INDEX('Hulp (CAO''s)'!$C$3:$C$6,
                MATCH(TRUE,'Hulp (CAO''s)'!$D$3:$D$6,0)) &amp; "'!A:A"),0)-1,
            1000
        )
    )
) * F69
),
IF(
    IFERROR(MIN(
        IF(
            (TRIM(INDIRECT("'" &amp; INDEX('Hulp (CAO''s)'!$C$3:$C$6,
                MATCH(TRUE,'Hulp (CAO''s)'!$D$3:$D$6,0)) &amp; "'!B1:B1000")) = TEXT(F70,"0")) *
            (ROW(INDIRECT("'" &amp; INDEX('Hulp (CAO''s)'!$C$3:$C$6,
                MATCH(TRUE,'Hulp (CAO''s)'!$D$3:$D$6,0)) &amp; "'!B1:B1000")) &gt; MATCH(
                F68,
                INDIRECT("'" &amp; INDEX('Hulp (CAO''s)'!$C$3:$C$6,
                    MATCH(TRUE,'Hulp (CAO''s)'!$D$3:$D$6,0)) &amp; "'!A:A"),
                0
            )) *
            IF(
                G68="",
                1,
                (ROW(INDIRECT("'" &amp; INDEX('Hulp (CAO''s)'!$C$3:$C$6,
                    MATCH(TRUE,'Hulp (CAO''s)'!$D$3:$D$6,0)) &amp; "'!B1:B1000")) &lt; MATCH(
                    G68,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TEXT(F70,"0")) *
                (ROW(INDIRECT("'" &amp; INDEX('Hulp (CAO''s)'!$C$3:$C$6,
                    MATCH(TRUE,'Hulp (CAO''s)'!$D$3:$D$6,0)) &amp; "'!B1:B1000")) &gt; MATCH(
                    F68,
                    INDIRECT("'" &amp; INDEX('Hulp (CAO''s)'!$C$3:$C$6,
                        MATCH(TRUE,'Hulp (CAO''s)'!$D$3:$D$6,0)) &amp; "'!A:A"),
                    0
                )) *
                IF(
                    G68="",
                    1,
                    (ROW(INDIRECT("'" &amp; INDEX('Hulp (CAO''s)'!$C$3:$C$6,
                        MATCH(TRUE,'Hulp (CAO''s)'!$D$3:$D$6,0)) &amp; "'!B1:B1000")) &lt; MATCH(
                        G68,
                        INDIRECT("'" &amp; INDEX('Hulp (CAO''s)'!$C$3:$C$6,
                            MATCH(TRUE,'Hulp (CAO''s)'!$D$3:$D$6,0)) &amp; "'!A:A"),
                        0
                    ))
                ),
                ROW(INDIRECT("'" &amp; INDEX('Hulp (CAO''s)'!$C$3:$C$6,
                    MATCH(TRUE,'Hulp (CAO''s)'!$D$3:$D$6,0)) &amp; "'!B1:B1000"))
            )
        ),0)
    )
))</f>
        <v/>
      </c>
      <c r="G71" s="145" t="str">
        <f t="array" aca="1" ref="G71" ca="1">IF($D69="Gebruik % van maximum trede",
IF(
    OR(G68="",G69=""),
    "",
    MAX(
    INDIRECT("'" &amp; INDEX('Hulp (CAO''s)'!$C$3:$C$6,
        MATCH(TRUE,'Hulp (CAO''s)'!$D$3:$D$6,0)) &amp; "'!" &amp;
        INDEX('Hulp (CAO''s)'!$H$3:$H$6,
            MATCH(TRUE,'Hulp (CAO''s)'!$D$3:$D$6,0))
        &amp;
        MATCH(G68, INDIRECT("'" &amp; INDEX('Hulp (CAO''s)'!$C$3:$C$6,
            MATCH(TRUE,'Hulp (CAO''s)'!$D$3:$D$6,0)) &amp; "'!A:A"),0)
        &amp; ":H" &amp;
        IF(H68&lt;&gt;"",
            MATCH(H68, INDIRECT("'" &amp; INDEX('Hulp (CAO''s)'!$C$3:$C$6,
                MATCH(TRUE,'Hulp (CAO''s)'!$D$3:$D$6,0)) &amp; "'!A:A"),0)-1,
            1000
        )
    )
) * G69
),
IF(
    IFERROR(MIN(
        IF(
            (TRIM(INDIRECT("'" &amp; INDEX('Hulp (CAO''s)'!$C$3:$C$6,
                MATCH(TRUE,'Hulp (CAO''s)'!$D$3:$D$6,0)) &amp; "'!B1:B1000")) = TEXT(G70,"0")) *
            (ROW(INDIRECT("'" &amp; INDEX('Hulp (CAO''s)'!$C$3:$C$6,
                MATCH(TRUE,'Hulp (CAO''s)'!$D$3:$D$6,0)) &amp; "'!B1:B1000")) &gt; MATCH(
                G68,
                INDIRECT("'" &amp; INDEX('Hulp (CAO''s)'!$C$3:$C$6,
                    MATCH(TRUE,'Hulp (CAO''s)'!$D$3:$D$6,0)) &amp; "'!A:A"),
                0
            )) *
            IF(
                H68="",
                1,
                (ROW(INDIRECT("'" &amp; INDEX('Hulp (CAO''s)'!$C$3:$C$6,
                    MATCH(TRUE,'Hulp (CAO''s)'!$D$3:$D$6,0)) &amp; "'!B1:B1000")) &lt; MATCH(
                    H68,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TEXT(G70,"0")) *
                (ROW(INDIRECT("'" &amp; INDEX('Hulp (CAO''s)'!$C$3:$C$6,
                    MATCH(TRUE,'Hulp (CAO''s)'!$D$3:$D$6,0)) &amp; "'!B1:B1000")) &gt; MATCH(
                    G68,
                    INDIRECT("'" &amp; INDEX('Hulp (CAO''s)'!$C$3:$C$6,
                        MATCH(TRUE,'Hulp (CAO''s)'!$D$3:$D$6,0)) &amp; "'!A:A"),
                    0
                )) *
                IF(
                    H68="",
                    1,
                    (ROW(INDIRECT("'" &amp; INDEX('Hulp (CAO''s)'!$C$3:$C$6,
                        MATCH(TRUE,'Hulp (CAO''s)'!$D$3:$D$6,0)) &amp; "'!B1:B1000")) &lt; MATCH(
                        H68,
                        INDIRECT("'" &amp; INDEX('Hulp (CAO''s)'!$C$3:$C$6,
                            MATCH(TRUE,'Hulp (CAO''s)'!$D$3:$D$6,0)) &amp; "'!A:A"),
                        0
                    ))
                ),
                ROW(INDIRECT("'" &amp; INDEX('Hulp (CAO''s)'!$C$3:$C$6,
                    MATCH(TRUE,'Hulp (CAO''s)'!$D$3:$D$6,0)) &amp; "'!B1:B1000"))
            )
        ),0)
    )
))</f>
        <v/>
      </c>
      <c r="H71" s="145" t="str">
        <f t="array" aca="1" ref="H71" ca="1">IF($D69="Gebruik % van maximum trede",
IF(
    OR(H68="",H69=""),
    "",
    MAX(
    INDIRECT("'" &amp; INDEX('Hulp (CAO''s)'!$C$3:$C$6,
        MATCH(TRUE,'Hulp (CAO''s)'!$D$3:$D$6,0)) &amp; "'!" &amp;
        INDEX('Hulp (CAO''s)'!$H$3:$H$6,
            MATCH(TRUE,'Hulp (CAO''s)'!$D$3:$D$6,0))
        &amp;
        MATCH(H68, INDIRECT("'" &amp; INDEX('Hulp (CAO''s)'!$C$3:$C$6,
            MATCH(TRUE,'Hulp (CAO''s)'!$D$3:$D$6,0)) &amp; "'!A:A"),0)
        &amp; ":H" &amp;
        IF(I68&lt;&gt;"",
            MATCH(I68, INDIRECT("'" &amp; INDEX('Hulp (CAO''s)'!$C$3:$C$6,
                MATCH(TRUE,'Hulp (CAO''s)'!$D$3:$D$6,0)) &amp; "'!A:A"),0)-1,
            1000
        )
    )
) * H69
),
IF(
    IFERROR(MIN(
        IF(
            (TRIM(INDIRECT("'" &amp; INDEX('Hulp (CAO''s)'!$C$3:$C$6,
                MATCH(TRUE,'Hulp (CAO''s)'!$D$3:$D$6,0)) &amp; "'!B1:B1000")) = TEXT(H70,"0")) *
            (ROW(INDIRECT("'" &amp; INDEX('Hulp (CAO''s)'!$C$3:$C$6,
                MATCH(TRUE,'Hulp (CAO''s)'!$D$3:$D$6,0)) &amp; "'!B1:B1000")) &gt; MATCH(
                H68,
                INDIRECT("'" &amp; INDEX('Hulp (CAO''s)'!$C$3:$C$6,
                    MATCH(TRUE,'Hulp (CAO''s)'!$D$3:$D$6,0)) &amp; "'!A:A"),
                0
            )) *
            IF(
                I68="",
                1,
                (ROW(INDIRECT("'" &amp; INDEX('Hulp (CAO''s)'!$C$3:$C$6,
                    MATCH(TRUE,'Hulp (CAO''s)'!$D$3:$D$6,0)) &amp; "'!B1:B1000")) &lt; MATCH(
                    I68,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TEXT(H70,"0")) *
                (ROW(INDIRECT("'" &amp; INDEX('Hulp (CAO''s)'!$C$3:$C$6,
                    MATCH(TRUE,'Hulp (CAO''s)'!$D$3:$D$6,0)) &amp; "'!B1:B1000")) &gt; MATCH(
                    H68,
                    INDIRECT("'" &amp; INDEX('Hulp (CAO''s)'!$C$3:$C$6,
                        MATCH(TRUE,'Hulp (CAO''s)'!$D$3:$D$6,0)) &amp; "'!A:A"),
                    0
                )) *
                IF(
                    I68="",
                    1,
                    (ROW(INDIRECT("'" &amp; INDEX('Hulp (CAO''s)'!$C$3:$C$6,
                        MATCH(TRUE,'Hulp (CAO''s)'!$D$3:$D$6,0)) &amp; "'!B1:B1000")) &lt; MATCH(
                        I68,
                        INDIRECT("'" &amp; INDEX('Hulp (CAO''s)'!$C$3:$C$6,
                            MATCH(TRUE,'Hulp (CAO''s)'!$D$3:$D$6,0)) &amp; "'!A:A"),
                        0
                    ))
                ),
                ROW(INDIRECT("'" &amp; INDEX('Hulp (CAO''s)'!$C$3:$C$6,
                    MATCH(TRUE,'Hulp (CAO''s)'!$D$3:$D$6,0)) &amp; "'!B1:B1000"))
            )
        ),0)
    )
))</f>
        <v/>
      </c>
      <c r="I71" s="145" t="str">
        <f t="array" aca="1" ref="I71" ca="1">IF($D69="Gebruik % van maximum trede",
IF(
    OR(I68="",I69=""),
    "",
    MAX(
    INDIRECT("'" &amp; INDEX('Hulp (CAO''s)'!$C$3:$C$6,
        MATCH(TRUE,'Hulp (CAO''s)'!$D$3:$D$6,0)) &amp; "'!" &amp;
        INDEX('Hulp (CAO''s)'!$H$3:$H$6,
            MATCH(TRUE,'Hulp (CAO''s)'!$D$3:$D$6,0))
        &amp;
        MATCH(I68, INDIRECT("'" &amp; INDEX('Hulp (CAO''s)'!$C$3:$C$6,
            MATCH(TRUE,'Hulp (CAO''s)'!$D$3:$D$6,0)) &amp; "'!A:A"),0)
        &amp; ":H" &amp;
        IF(J68&lt;&gt;"",
            MATCH(J68, INDIRECT("'" &amp; INDEX('Hulp (CAO''s)'!$C$3:$C$6,
                MATCH(TRUE,'Hulp (CAO''s)'!$D$3:$D$6,0)) &amp; "'!A:A"),0)-1,
            1000
        )
    )
) * I69
),
IF(
    IFERROR(MIN(
        IF(
            (TRIM(INDIRECT("'" &amp; INDEX('Hulp (CAO''s)'!$C$3:$C$6,
                MATCH(TRUE,'Hulp (CAO''s)'!$D$3:$D$6,0)) &amp; "'!B1:B1000")) = TEXT(I70,"0")) *
            (ROW(INDIRECT("'" &amp; INDEX('Hulp (CAO''s)'!$C$3:$C$6,
                MATCH(TRUE,'Hulp (CAO''s)'!$D$3:$D$6,0)) &amp; "'!B1:B1000")) &gt; MATCH(
                I68,
                INDIRECT("'" &amp; INDEX('Hulp (CAO''s)'!$C$3:$C$6,
                    MATCH(TRUE,'Hulp (CAO''s)'!$D$3:$D$6,0)) &amp; "'!A:A"),
                0
            )) *
            IF(
                J68="",
                1,
                (ROW(INDIRECT("'" &amp; INDEX('Hulp (CAO''s)'!$C$3:$C$6,
                    MATCH(TRUE,'Hulp (CAO''s)'!$D$3:$D$6,0)) &amp; "'!B1:B1000")) &lt; MATCH(
                    J68,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TEXT(I70,"0")) *
                (ROW(INDIRECT("'" &amp; INDEX('Hulp (CAO''s)'!$C$3:$C$6,
                    MATCH(TRUE,'Hulp (CAO''s)'!$D$3:$D$6,0)) &amp; "'!B1:B1000")) &gt; MATCH(
                    I68,
                    INDIRECT("'" &amp; INDEX('Hulp (CAO''s)'!$C$3:$C$6,
                        MATCH(TRUE,'Hulp (CAO''s)'!$D$3:$D$6,0)) &amp; "'!A:A"),
                    0
                )) *
                IF(
                    J68="",
                    1,
                    (ROW(INDIRECT("'" &amp; INDEX('Hulp (CAO''s)'!$C$3:$C$6,
                        MATCH(TRUE,'Hulp (CAO''s)'!$D$3:$D$6,0)) &amp; "'!B1:B1000")) &lt; MATCH(
                        J68,
                        INDIRECT("'" &amp; INDEX('Hulp (CAO''s)'!$C$3:$C$6,
                            MATCH(TRUE,'Hulp (CAO''s)'!$D$3:$D$6,0)) &amp; "'!A:A"),
                        0
                    ))
                ),
                ROW(INDIRECT("'" &amp; INDEX('Hulp (CAO''s)'!$C$3:$C$6,
                    MATCH(TRUE,'Hulp (CAO''s)'!$D$3:$D$6,0)) &amp; "'!B1:B1000"))
            )
        ),0)
    )
))</f>
        <v/>
      </c>
      <c r="J71" s="145" t="str">
        <f t="array" aca="1" ref="J71" ca="1">IF($D69="Gebruik % van maximum trede",
IF(
    OR(J68="",J69=""),
    "",
    MAX(
    INDIRECT("'" &amp; INDEX('Hulp (CAO''s)'!$C$3:$C$6,
        MATCH(TRUE,'Hulp (CAO''s)'!$D$3:$D$6,0)) &amp; "'!" &amp;
        INDEX('Hulp (CAO''s)'!$H$3:$H$6,
            MATCH(TRUE,'Hulp (CAO''s)'!$D$3:$D$6,0))
        &amp;
        MATCH(J68, INDIRECT("'" &amp; INDEX('Hulp (CAO''s)'!$C$3:$C$6,
            MATCH(TRUE,'Hulp (CAO''s)'!$D$3:$D$6,0)) &amp; "'!A:A"),0)
        &amp; ":H" &amp;
        IF(K68&lt;&gt;"",
            MATCH(K68, INDIRECT("'" &amp; INDEX('Hulp (CAO''s)'!$C$3:$C$6,
                MATCH(TRUE,'Hulp (CAO''s)'!$D$3:$D$6,0)) &amp; "'!A:A"),0)-1,
            1000
        )
    )
) * J69
),
IF(
    IFERROR(MIN(
        IF(
            (TRIM(INDIRECT("'" &amp; INDEX('Hulp (CAO''s)'!$C$3:$C$6,
                MATCH(TRUE,'Hulp (CAO''s)'!$D$3:$D$6,0)) &amp; "'!B1:B1000")) = TEXT(J70,"0")) *
            (ROW(INDIRECT("'" &amp; INDEX('Hulp (CAO''s)'!$C$3:$C$6,
                MATCH(TRUE,'Hulp (CAO''s)'!$D$3:$D$6,0)) &amp; "'!B1:B1000")) &gt; MATCH(
                J68,
                INDIRECT("'" &amp; INDEX('Hulp (CAO''s)'!$C$3:$C$6,
                    MATCH(TRUE,'Hulp (CAO''s)'!$D$3:$D$6,0)) &amp; "'!A:A"),
                0
            )) *
            IF(
                K68="",
                1,
                (ROW(INDIRECT("'" &amp; INDEX('Hulp (CAO''s)'!$C$3:$C$6,
                    MATCH(TRUE,'Hulp (CAO''s)'!$D$3:$D$6,0)) &amp; "'!B1:B1000")) &lt; MATCH(
                    K68,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TEXT(J70,"0")) *
                (ROW(INDIRECT("'" &amp; INDEX('Hulp (CAO''s)'!$C$3:$C$6,
                    MATCH(TRUE,'Hulp (CAO''s)'!$D$3:$D$6,0)) &amp; "'!B1:B1000")) &gt; MATCH(
                    J68,
                    INDIRECT("'" &amp; INDEX('Hulp (CAO''s)'!$C$3:$C$6,
                        MATCH(TRUE,'Hulp (CAO''s)'!$D$3:$D$6,0)) &amp; "'!A:A"),
                    0
                )) *
                IF(
                    K68="",
                    1,
                    (ROW(INDIRECT("'" &amp; INDEX('Hulp (CAO''s)'!$C$3:$C$6,
                        MATCH(TRUE,'Hulp (CAO''s)'!$D$3:$D$6,0)) &amp; "'!B1:B1000")) &lt; MATCH(
                        K68,
                        INDIRECT("'" &amp; INDEX('Hulp (CAO''s)'!$C$3:$C$6,
                            MATCH(TRUE,'Hulp (CAO''s)'!$D$3:$D$6,0)) &amp; "'!A:A"),
                        0
                    ))
                ),
                ROW(INDIRECT("'" &amp; INDEX('Hulp (CAO''s)'!$C$3:$C$6,
                    MATCH(TRUE,'Hulp (CAO''s)'!$D$3:$D$6,0)) &amp; "'!B1:B1000"))
            )
        ),0)
    )
))</f>
        <v/>
      </c>
      <c r="K71" s="145" t="str">
        <f t="array" aca="1" ref="K71" ca="1">IF($D69="Gebruik % van maximum trede",
IF(
    OR(K68="",K69=""),
    "",
    MAX(
    INDIRECT("'" &amp; INDEX('Hulp (CAO''s)'!$C$3:$C$6,
        MATCH(TRUE,'Hulp (CAO''s)'!$D$3:$D$6,0)) &amp; "'!" &amp;
        INDEX('Hulp (CAO''s)'!$H$3:$H$6,
            MATCH(TRUE,'Hulp (CAO''s)'!$D$3:$D$6,0))
        &amp;
        MATCH(K68, INDIRECT("'" &amp; INDEX('Hulp (CAO''s)'!$C$3:$C$6,
            MATCH(TRUE,'Hulp (CAO''s)'!$D$3:$D$6,0)) &amp; "'!A:A"),0)
        &amp; ":H" &amp;
        IF(L68&lt;&gt;"",
            MATCH(L68, INDIRECT("'" &amp; INDEX('Hulp (CAO''s)'!$C$3:$C$6,
                MATCH(TRUE,'Hulp (CAO''s)'!$D$3:$D$6,0)) &amp; "'!A:A"),0)-1,
            1000
        )
    )
) * K69
),
IF(
    IFERROR(MIN(
        IF(
            (TRIM(INDIRECT("'" &amp; INDEX('Hulp (CAO''s)'!$C$3:$C$6,
                MATCH(TRUE,'Hulp (CAO''s)'!$D$3:$D$6,0)) &amp; "'!B1:B1000")) = TEXT(K70,"0")) *
            (ROW(INDIRECT("'" &amp; INDEX('Hulp (CAO''s)'!$C$3:$C$6,
                MATCH(TRUE,'Hulp (CAO''s)'!$D$3:$D$6,0)) &amp; "'!B1:B1000")) &gt; MATCH(
                K68,
                INDIRECT("'" &amp; INDEX('Hulp (CAO''s)'!$C$3:$C$6,
                    MATCH(TRUE,'Hulp (CAO''s)'!$D$3:$D$6,0)) &amp; "'!A:A"),
                0
            )) *
            IF(
                L68="",
                1,
                (ROW(INDIRECT("'" &amp; INDEX('Hulp (CAO''s)'!$C$3:$C$6,
                    MATCH(TRUE,'Hulp (CAO''s)'!$D$3:$D$6,0)) &amp; "'!B1:B1000")) &lt; MATCH(
                    L68,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TEXT(K70,"0")) *
                (ROW(INDIRECT("'" &amp; INDEX('Hulp (CAO''s)'!$C$3:$C$6,
                    MATCH(TRUE,'Hulp (CAO''s)'!$D$3:$D$6,0)) &amp; "'!B1:B1000")) &gt; MATCH(
                    K68,
                    INDIRECT("'" &amp; INDEX('Hulp (CAO''s)'!$C$3:$C$6,
                        MATCH(TRUE,'Hulp (CAO''s)'!$D$3:$D$6,0)) &amp; "'!A:A"),
                    0
                )) *
                IF(
                    L68="",
                    1,
                    (ROW(INDIRECT("'" &amp; INDEX('Hulp (CAO''s)'!$C$3:$C$6,
                        MATCH(TRUE,'Hulp (CAO''s)'!$D$3:$D$6,0)) &amp; "'!B1:B1000")) &lt; MATCH(
                        L68,
                        INDIRECT("'" &amp; INDEX('Hulp (CAO''s)'!$C$3:$C$6,
                            MATCH(TRUE,'Hulp (CAO''s)'!$D$3:$D$6,0)) &amp; "'!A:A"),
                        0
                    ))
                ),
                ROW(INDIRECT("'" &amp; INDEX('Hulp (CAO''s)'!$C$3:$C$6,
                    MATCH(TRUE,'Hulp (CAO''s)'!$D$3:$D$6,0)) &amp; "'!B1:B1000"))
            )
        ),0)
    )
))</f>
        <v/>
      </c>
      <c r="L71" s="145" t="str">
        <f t="array" aca="1" ref="L71" ca="1">IF($D69="Gebruik % van maximum trede",
IF(
    OR(L68="",L69=""),
    "",
    MAX(
    INDIRECT("'" &amp; INDEX('Hulp (CAO''s)'!$C$3:$C$6,
        MATCH(TRUE,'Hulp (CAO''s)'!$D$3:$D$6,0)) &amp; "'!" &amp;
        INDEX('Hulp (CAO''s)'!$H$3:$H$6,
            MATCH(TRUE,'Hulp (CAO''s)'!$D$3:$D$6,0))
        &amp;
        MATCH(L68, INDIRECT("'" &amp; INDEX('Hulp (CAO''s)'!$C$3:$C$6,
            MATCH(TRUE,'Hulp (CAO''s)'!$D$3:$D$6,0)) &amp; "'!A:A"),0)
        &amp; ":H" &amp;
        IF(M68&lt;&gt;"",
            MATCH(M68, INDIRECT("'" &amp; INDEX('Hulp (CAO''s)'!$C$3:$C$6,
                MATCH(TRUE,'Hulp (CAO''s)'!$D$3:$D$6,0)) &amp; "'!A:A"),0)-1,
            1000
        )
    )
) * L69
),
IF(
    IFERROR(MIN(
        IF(
            (TRIM(INDIRECT("'" &amp; INDEX('Hulp (CAO''s)'!$C$3:$C$6,
                MATCH(TRUE,'Hulp (CAO''s)'!$D$3:$D$6,0)) &amp; "'!B1:B1000")) = TEXT(L70,"0")) *
            (ROW(INDIRECT("'" &amp; INDEX('Hulp (CAO''s)'!$C$3:$C$6,
                MATCH(TRUE,'Hulp (CAO''s)'!$D$3:$D$6,0)) &amp; "'!B1:B1000")) &gt; MATCH(
                L68,
                INDIRECT("'" &amp; INDEX('Hulp (CAO''s)'!$C$3:$C$6,
                    MATCH(TRUE,'Hulp (CAO''s)'!$D$3:$D$6,0)) &amp; "'!A:A"),
                0
            )) *
            IF(
                M68="",
                1,
                (ROW(INDIRECT("'" &amp; INDEX('Hulp (CAO''s)'!$C$3:$C$6,
                    MATCH(TRUE,'Hulp (CAO''s)'!$D$3:$D$6,0)) &amp; "'!B1:B1000")) &lt; MATCH(
                    M68,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TEXT(L70,"0")) *
                (ROW(INDIRECT("'" &amp; INDEX('Hulp (CAO''s)'!$C$3:$C$6,
                    MATCH(TRUE,'Hulp (CAO''s)'!$D$3:$D$6,0)) &amp; "'!B1:B1000")) &gt; MATCH(
                    L68,
                    INDIRECT("'" &amp; INDEX('Hulp (CAO''s)'!$C$3:$C$6,
                        MATCH(TRUE,'Hulp (CAO''s)'!$D$3:$D$6,0)) &amp; "'!A:A"),
                    0
                )) *
                IF(
                    M68="",
                    1,
                    (ROW(INDIRECT("'" &amp; INDEX('Hulp (CAO''s)'!$C$3:$C$6,
                        MATCH(TRUE,'Hulp (CAO''s)'!$D$3:$D$6,0)) &amp; "'!B1:B1000")) &lt; MATCH(
                        M68,
                        INDIRECT("'" &amp; INDEX('Hulp (CAO''s)'!$C$3:$C$6,
                            MATCH(TRUE,'Hulp (CAO''s)'!$D$3:$D$6,0)) &amp; "'!A:A"),
                        0
                    ))
                ),
                ROW(INDIRECT("'" &amp; INDEX('Hulp (CAO''s)'!$C$3:$C$6,
                    MATCH(TRUE,'Hulp (CAO''s)'!$D$3:$D$6,0)) &amp; "'!B1:B1000"))
            )
        ),0)
    )
))</f>
        <v/>
      </c>
      <c r="M71" s="145" t="str">
        <f t="array" aca="1" ref="M71" ca="1">IF($D69="Gebruik % van maximum trede",
IF(
    OR(M68="",M69=""),
    "",
    MAX(
    INDIRECT("'" &amp; INDEX('Hulp (CAO''s)'!$C$3:$C$6,
        MATCH(TRUE,'Hulp (CAO''s)'!$D$3:$D$6,0)) &amp; "'!" &amp;
        INDEX('Hulp (CAO''s)'!$H$3:$H$6,
            MATCH(TRUE,'Hulp (CAO''s)'!$D$3:$D$6,0))
        &amp;
        MATCH(M68, INDIRECT("'" &amp; INDEX('Hulp (CAO''s)'!$C$3:$C$6,
            MATCH(TRUE,'Hulp (CAO''s)'!$D$3:$D$6,0)) &amp; "'!A:A"),0)
        &amp; ":H" &amp;
        IF(N68&lt;&gt;"",
            MATCH(N68, INDIRECT("'" &amp; INDEX('Hulp (CAO''s)'!$C$3:$C$6,
                MATCH(TRUE,'Hulp (CAO''s)'!$D$3:$D$6,0)) &amp; "'!A:A"),0)-1,
            1000
        )
    )
) * M69
),
IF(
    IFERROR(MIN(
        IF(
            (TRIM(INDIRECT("'" &amp; INDEX('Hulp (CAO''s)'!$C$3:$C$6,
                MATCH(TRUE,'Hulp (CAO''s)'!$D$3:$D$6,0)) &amp; "'!B1:B1000")) = TEXT(M70,"0")) *
            (ROW(INDIRECT("'" &amp; INDEX('Hulp (CAO''s)'!$C$3:$C$6,
                MATCH(TRUE,'Hulp (CAO''s)'!$D$3:$D$6,0)) &amp; "'!B1:B1000")) &gt; MATCH(
                M68,
                INDIRECT("'" &amp; INDEX('Hulp (CAO''s)'!$C$3:$C$6,
                    MATCH(TRUE,'Hulp (CAO''s)'!$D$3:$D$6,0)) &amp; "'!A:A"),
                0
            )) *
            IF(
                N68="",
                1,
                (ROW(INDIRECT("'" &amp; INDEX('Hulp (CAO''s)'!$C$3:$C$6,
                    MATCH(TRUE,'Hulp (CAO''s)'!$D$3:$D$6,0)) &amp; "'!B1:B1000")) &lt; MATCH(
                    N68,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TEXT(M70,"0")) *
                (ROW(INDIRECT("'" &amp; INDEX('Hulp (CAO''s)'!$C$3:$C$6,
                    MATCH(TRUE,'Hulp (CAO''s)'!$D$3:$D$6,0)) &amp; "'!B1:B1000")) &gt; MATCH(
                    M68,
                    INDIRECT("'" &amp; INDEX('Hulp (CAO''s)'!$C$3:$C$6,
                        MATCH(TRUE,'Hulp (CAO''s)'!$D$3:$D$6,0)) &amp; "'!A:A"),
                    0
                )) *
                IF(
                    N68="",
                    1,
                    (ROW(INDIRECT("'" &amp; INDEX('Hulp (CAO''s)'!$C$3:$C$6,
                        MATCH(TRUE,'Hulp (CAO''s)'!$D$3:$D$6,0)) &amp; "'!B1:B1000")) &lt; MATCH(
                        N68,
                        INDIRECT("'" &amp; INDEX('Hulp (CAO''s)'!$C$3:$C$6,
                            MATCH(TRUE,'Hulp (CAO''s)'!$D$3:$D$6,0)) &amp; "'!A:A"),
                        0
                    ))
                ),
                ROW(INDIRECT("'" &amp; INDEX('Hulp (CAO''s)'!$C$3:$C$6,
                    MATCH(TRUE,'Hulp (CAO''s)'!$D$3:$D$6,0)) &amp; "'!B1:B1000"))
            )
        ),0)
    )
))</f>
        <v/>
      </c>
      <c r="N71" s="145" t="str">
        <f t="array" aca="1" ref="N71" ca="1">IF($D69="Gebruik % van maximum trede",
IF(
    OR(N68="",N69=""),
    "",
    MAX(
    INDIRECT("'" &amp; INDEX('Hulp (CAO''s)'!$C$3:$C$6,
        MATCH(TRUE,'Hulp (CAO''s)'!$D$3:$D$6,0)) &amp; "'!" &amp;
        INDEX('Hulp (CAO''s)'!$H$3:$H$6,
            MATCH(TRUE,'Hulp (CAO''s)'!$D$3:$D$6,0))
        &amp;
        MATCH(N68, INDIRECT("'" &amp; INDEX('Hulp (CAO''s)'!$C$3:$C$6,
            MATCH(TRUE,'Hulp (CAO''s)'!$D$3:$D$6,0)) &amp; "'!A:A"),0)
        &amp; ":H" &amp;
        IF(O68&lt;&gt;"",
            MATCH(O68, INDIRECT("'" &amp; INDEX('Hulp (CAO''s)'!$C$3:$C$6,
                MATCH(TRUE,'Hulp (CAO''s)'!$D$3:$D$6,0)) &amp; "'!A:A"),0)-1,
            1000
        )
    )
) * N69
),
IF(
    IFERROR(MIN(
        IF(
            (TRIM(INDIRECT("'" &amp; INDEX('Hulp (CAO''s)'!$C$3:$C$6,
                MATCH(TRUE,'Hulp (CAO''s)'!$D$3:$D$6,0)) &amp; "'!B1:B1000")) = TEXT(N70,"0")) *
            (ROW(INDIRECT("'" &amp; INDEX('Hulp (CAO''s)'!$C$3:$C$6,
                MATCH(TRUE,'Hulp (CAO''s)'!$D$3:$D$6,0)) &amp; "'!B1:B1000")) &gt; MATCH(
                N68,
                INDIRECT("'" &amp; INDEX('Hulp (CAO''s)'!$C$3:$C$6,
                    MATCH(TRUE,'Hulp (CAO''s)'!$D$3:$D$6,0)) &amp; "'!A:A"),
                0
            )) *
            IF(
                O68="",
                1,
                (ROW(INDIRECT("'" &amp; INDEX('Hulp (CAO''s)'!$C$3:$C$6,
                    MATCH(TRUE,'Hulp (CAO''s)'!$D$3:$D$6,0)) &amp; "'!B1:B1000")) &lt; MATCH(
                    O68,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TEXT(N70,"0")) *
                (ROW(INDIRECT("'" &amp; INDEX('Hulp (CAO''s)'!$C$3:$C$6,
                    MATCH(TRUE,'Hulp (CAO''s)'!$D$3:$D$6,0)) &amp; "'!B1:B1000")) &gt; MATCH(
                    N68,
                    INDIRECT("'" &amp; INDEX('Hulp (CAO''s)'!$C$3:$C$6,
                        MATCH(TRUE,'Hulp (CAO''s)'!$D$3:$D$6,0)) &amp; "'!A:A"),
                    0
                )) *
                IF(
                    O68="",
                    1,
                    (ROW(INDIRECT("'" &amp; INDEX('Hulp (CAO''s)'!$C$3:$C$6,
                        MATCH(TRUE,'Hulp (CAO''s)'!$D$3:$D$6,0)) &amp; "'!B1:B1000")) &lt; MATCH(
                        O68,
                        INDIRECT("'" &amp; INDEX('Hulp (CAO''s)'!$C$3:$C$6,
                            MATCH(TRUE,'Hulp (CAO''s)'!$D$3:$D$6,0)) &amp; "'!A:A"),
                        0
                    ))
                ),
                ROW(INDIRECT("'" &amp; INDEX('Hulp (CAO''s)'!$C$3:$C$6,
                    MATCH(TRUE,'Hulp (CAO''s)'!$D$3:$D$6,0)) &amp; "'!B1:B1000"))
            )
        ),0)
    )
))</f>
        <v/>
      </c>
      <c r="O71" s="145" t="str">
        <f t="array" aca="1" ref="O71" ca="1">IF($D69="Gebruik % van maximum trede",
IF(
    OR(O68="",O69=""),
    "",
    MAX(
    INDIRECT("'" &amp; INDEX('Hulp (CAO''s)'!$C$3:$C$6,
        MATCH(TRUE,'Hulp (CAO''s)'!$D$3:$D$6,0)) &amp; "'!" &amp;
        INDEX('Hulp (CAO''s)'!$H$3:$H$6,
            MATCH(TRUE,'Hulp (CAO''s)'!$D$3:$D$6,0))
        &amp;
        MATCH(O68, INDIRECT("'" &amp; INDEX('Hulp (CAO''s)'!$C$3:$C$6,
            MATCH(TRUE,'Hulp (CAO''s)'!$D$3:$D$6,0)) &amp; "'!A:A"),0)
        &amp; ":H" &amp;
        IF(P68&lt;&gt;"",
            MATCH(P68, INDIRECT("'" &amp; INDEX('Hulp (CAO''s)'!$C$3:$C$6,
                MATCH(TRUE,'Hulp (CAO''s)'!$D$3:$D$6,0)) &amp; "'!A:A"),0)-1,
            1000
        )
    )
) * O69
),
IF(
    IFERROR(MIN(
        IF(
            (TRIM(INDIRECT("'" &amp; INDEX('Hulp (CAO''s)'!$C$3:$C$6,
                MATCH(TRUE,'Hulp (CAO''s)'!$D$3:$D$6,0)) &amp; "'!B1:B1000")) = TEXT(O70,"0")) *
            (ROW(INDIRECT("'" &amp; INDEX('Hulp (CAO''s)'!$C$3:$C$6,
                MATCH(TRUE,'Hulp (CAO''s)'!$D$3:$D$6,0)) &amp; "'!B1:B1000")) &gt; MATCH(
                O68,
                INDIRECT("'" &amp; INDEX('Hulp (CAO''s)'!$C$3:$C$6,
                    MATCH(TRUE,'Hulp (CAO''s)'!$D$3:$D$6,0)) &amp; "'!A:A"),
                0
            )) *
            IF(
                P68="",
                1,
                (ROW(INDIRECT("'" &amp; INDEX('Hulp (CAO''s)'!$C$3:$C$6,
                    MATCH(TRUE,'Hulp (CAO''s)'!$D$3:$D$6,0)) &amp; "'!B1:B1000")) &lt; MATCH(
                    P68,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TEXT(O70,"0")) *
                (ROW(INDIRECT("'" &amp; INDEX('Hulp (CAO''s)'!$C$3:$C$6,
                    MATCH(TRUE,'Hulp (CAO''s)'!$D$3:$D$6,0)) &amp; "'!B1:B1000")) &gt; MATCH(
                    O68,
                    INDIRECT("'" &amp; INDEX('Hulp (CAO''s)'!$C$3:$C$6,
                        MATCH(TRUE,'Hulp (CAO''s)'!$D$3:$D$6,0)) &amp; "'!A:A"),
                    0
                )) *
                IF(
                    P68="",
                    1,
                    (ROW(INDIRECT("'" &amp; INDEX('Hulp (CAO''s)'!$C$3:$C$6,
                        MATCH(TRUE,'Hulp (CAO''s)'!$D$3:$D$6,0)) &amp; "'!B1:B1000")) &lt; MATCH(
                        P68,
                        INDIRECT("'" &amp; INDEX('Hulp (CAO''s)'!$C$3:$C$6,
                            MATCH(TRUE,'Hulp (CAO''s)'!$D$3:$D$6,0)) &amp; "'!A:A"),
                        0
                    ))
                ),
                ROW(INDIRECT("'" &amp; INDEX('Hulp (CAO''s)'!$C$3:$C$6,
                    MATCH(TRUE,'Hulp (CAO''s)'!$D$3:$D$6,0)) &amp; "'!B1:B1000"))
            )
        ),0)
    )
))</f>
        <v/>
      </c>
      <c r="P71" s="145" t="str">
        <f t="array" aca="1" ref="P71" ca="1">IF($D69="Gebruik % van maximum trede",
IF(
    OR(P68="",P69=""),
    "",
    MAX(
    INDIRECT("'" &amp; INDEX('Hulp (CAO''s)'!$C$3:$C$6,
        MATCH(TRUE,'Hulp (CAO''s)'!$D$3:$D$6,0)) &amp; "'!" &amp;
        INDEX('Hulp (CAO''s)'!$H$3:$H$6,
            MATCH(TRUE,'Hulp (CAO''s)'!$D$3:$D$6,0))
        &amp;
        MATCH(P68, INDIRECT("'" &amp; INDEX('Hulp (CAO''s)'!$C$3:$C$6,
            MATCH(TRUE,'Hulp (CAO''s)'!$D$3:$D$6,0)) &amp; "'!A:A"),0)
        &amp; ":H" &amp;
        IF(Q68&lt;&gt;"",
            MATCH(Q68, INDIRECT("'" &amp; INDEX('Hulp (CAO''s)'!$C$3:$C$6,
                MATCH(TRUE,'Hulp (CAO''s)'!$D$3:$D$6,0)) &amp; "'!A:A"),0)-1,
            1000
        )
    )
) * P69
),
IF(
    IFERROR(MIN(
        IF(
            (TRIM(INDIRECT("'" &amp; INDEX('Hulp (CAO''s)'!$C$3:$C$6,
                MATCH(TRUE,'Hulp (CAO''s)'!$D$3:$D$6,0)) &amp; "'!B1:B1000")) = TEXT(P70,"0")) *
            (ROW(INDIRECT("'" &amp; INDEX('Hulp (CAO''s)'!$C$3:$C$6,
                MATCH(TRUE,'Hulp (CAO''s)'!$D$3:$D$6,0)) &amp; "'!B1:B1000")) &gt; MATCH(
                P68,
                INDIRECT("'" &amp; INDEX('Hulp (CAO''s)'!$C$3:$C$6,
                    MATCH(TRUE,'Hulp (CAO''s)'!$D$3:$D$6,0)) &amp; "'!A:A"),
                0
            )) *
            IF(
                Q68="",
                1,
                (ROW(INDIRECT("'" &amp; INDEX('Hulp (CAO''s)'!$C$3:$C$6,
                    MATCH(TRUE,'Hulp (CAO''s)'!$D$3:$D$6,0)) &amp; "'!B1:B1000")) &lt; MATCH(
                    Q68,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TEXT(P70,"0")) *
                (ROW(INDIRECT("'" &amp; INDEX('Hulp (CAO''s)'!$C$3:$C$6,
                    MATCH(TRUE,'Hulp (CAO''s)'!$D$3:$D$6,0)) &amp; "'!B1:B1000")) &gt; MATCH(
                    P68,
                    INDIRECT("'" &amp; INDEX('Hulp (CAO''s)'!$C$3:$C$6,
                        MATCH(TRUE,'Hulp (CAO''s)'!$D$3:$D$6,0)) &amp; "'!A:A"),
                    0
                )) *
                IF(
                    Q68="",
                    1,
                    (ROW(INDIRECT("'" &amp; INDEX('Hulp (CAO''s)'!$C$3:$C$6,
                        MATCH(TRUE,'Hulp (CAO''s)'!$D$3:$D$6,0)) &amp; "'!B1:B1000")) &lt; MATCH(
                        Q68,
                        INDIRECT("'" &amp; INDEX('Hulp (CAO''s)'!$C$3:$C$6,
                            MATCH(TRUE,'Hulp (CAO''s)'!$D$3:$D$6,0)) &amp; "'!A:A"),
                        0
                    ))
                ),
                ROW(INDIRECT("'" &amp; INDEX('Hulp (CAO''s)'!$C$3:$C$6,
                    MATCH(TRUE,'Hulp (CAO''s)'!$D$3:$D$6,0)) &amp; "'!B1:B1000"))
            )
        ),0)
    )
))</f>
        <v/>
      </c>
      <c r="Q71" s="145" t="str">
        <f t="array" aca="1" ref="Q71" ca="1">IF($D69="Gebruik % van maximum trede",
IF(
    OR(Q68="",Q69=""),
    "",
    MAX(
    INDIRECT("'" &amp; INDEX('Hulp (CAO''s)'!$C$3:$C$6,
        MATCH(TRUE,'Hulp (CAO''s)'!$D$3:$D$6,0)) &amp; "'!" &amp;
        INDEX('Hulp (CAO''s)'!$H$3:$H$6,
            MATCH(TRUE,'Hulp (CAO''s)'!$D$3:$D$6,0))
        &amp;
        MATCH(Q68, INDIRECT("'" &amp; INDEX('Hulp (CAO''s)'!$C$3:$C$6,
            MATCH(TRUE,'Hulp (CAO''s)'!$D$3:$D$6,0)) &amp; "'!A:A"),0)
        &amp; ":H" &amp;
        IF(R68&lt;&gt;"",
            MATCH(R68, INDIRECT("'" &amp; INDEX('Hulp (CAO''s)'!$C$3:$C$6,
                MATCH(TRUE,'Hulp (CAO''s)'!$D$3:$D$6,0)) &amp; "'!A:A"),0)-1,
            1000
        )
    )
) * Q69
),
IF(
    IFERROR(MIN(
        IF(
            (TRIM(INDIRECT("'" &amp; INDEX('Hulp (CAO''s)'!$C$3:$C$6,
                MATCH(TRUE,'Hulp (CAO''s)'!$D$3:$D$6,0)) &amp; "'!B1:B1000")) = TEXT(Q70,"0")) *
            (ROW(INDIRECT("'" &amp; INDEX('Hulp (CAO''s)'!$C$3:$C$6,
                MATCH(TRUE,'Hulp (CAO''s)'!$D$3:$D$6,0)) &amp; "'!B1:B1000")) &gt; MATCH(
                Q68,
                INDIRECT("'" &amp; INDEX('Hulp (CAO''s)'!$C$3:$C$6,
                    MATCH(TRUE,'Hulp (CAO''s)'!$D$3:$D$6,0)) &amp; "'!A:A"),
                0
            )) *
            IF(
                R68="",
                1,
                (ROW(INDIRECT("'" &amp; INDEX('Hulp (CAO''s)'!$C$3:$C$6,
                    MATCH(TRUE,'Hulp (CAO''s)'!$D$3:$D$6,0)) &amp; "'!B1:B1000")) &lt; MATCH(
                    R68,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TEXT(Q70,"0")) *
                (ROW(INDIRECT("'" &amp; INDEX('Hulp (CAO''s)'!$C$3:$C$6,
                    MATCH(TRUE,'Hulp (CAO''s)'!$D$3:$D$6,0)) &amp; "'!B1:B1000")) &gt; MATCH(
                    Q68,
                    INDIRECT("'" &amp; INDEX('Hulp (CAO''s)'!$C$3:$C$6,
                        MATCH(TRUE,'Hulp (CAO''s)'!$D$3:$D$6,0)) &amp; "'!A:A"),
                    0
                )) *
                IF(
                    R68="",
                    1,
                    (ROW(INDIRECT("'" &amp; INDEX('Hulp (CAO''s)'!$C$3:$C$6,
                        MATCH(TRUE,'Hulp (CAO''s)'!$D$3:$D$6,0)) &amp; "'!B1:B1000")) &lt; MATCH(
                        R68,
                        INDIRECT("'" &amp; INDEX('Hulp (CAO''s)'!$C$3:$C$6,
                            MATCH(TRUE,'Hulp (CAO''s)'!$D$3:$D$6,0)) &amp; "'!A:A"),
                        0
                    ))
                ),
                ROW(INDIRECT("'" &amp; INDEX('Hulp (CAO''s)'!$C$3:$C$6,
                    MATCH(TRUE,'Hulp (CAO''s)'!$D$3:$D$6,0)) &amp; "'!B1:B1000"))
            )
        ),0)
    )
))</f>
        <v/>
      </c>
      <c r="R71" s="145" t="str">
        <f t="array" aca="1" ref="R71" ca="1">IF($D69="Gebruik % van maximum trede",
IF(
    OR(R68="",R69=""),
    "",
    MAX(
    INDIRECT("'" &amp; INDEX('Hulp (CAO''s)'!$C$3:$C$6,
        MATCH(TRUE,'Hulp (CAO''s)'!$D$3:$D$6,0)) &amp; "'!" &amp;
        INDEX('Hulp (CAO''s)'!$H$3:$H$6,
            MATCH(TRUE,'Hulp (CAO''s)'!$D$3:$D$6,0))
        &amp;
        MATCH(R68, INDIRECT("'" &amp; INDEX('Hulp (CAO''s)'!$C$3:$C$6,
            MATCH(TRUE,'Hulp (CAO''s)'!$D$3:$D$6,0)) &amp; "'!A:A"),0)
        &amp; ":H" &amp;
        IF(S68&lt;&gt;"",
            MATCH(S68, INDIRECT("'" &amp; INDEX('Hulp (CAO''s)'!$C$3:$C$6,
                MATCH(TRUE,'Hulp (CAO''s)'!$D$3:$D$6,0)) &amp; "'!A:A"),0)-1,
            1000
        )
    )
) * R69
),
IF(
    IFERROR(MIN(
        IF(
            (TRIM(INDIRECT("'" &amp; INDEX('Hulp (CAO''s)'!$C$3:$C$6,
                MATCH(TRUE,'Hulp (CAO''s)'!$D$3:$D$6,0)) &amp; "'!B1:B1000")) = TEXT(R70,"0")) *
            (ROW(INDIRECT("'" &amp; INDEX('Hulp (CAO''s)'!$C$3:$C$6,
                MATCH(TRUE,'Hulp (CAO''s)'!$D$3:$D$6,0)) &amp; "'!B1:B1000")) &gt; MATCH(
                R68,
                INDIRECT("'" &amp; INDEX('Hulp (CAO''s)'!$C$3:$C$6,
                    MATCH(TRUE,'Hulp (CAO''s)'!$D$3:$D$6,0)) &amp; "'!A:A"),
                0
            )) *
            IF(
                S68="",
                1,
                (ROW(INDIRECT("'" &amp; INDEX('Hulp (CAO''s)'!$C$3:$C$6,
                    MATCH(TRUE,'Hulp (CAO''s)'!$D$3:$D$6,0)) &amp; "'!B1:B1000")) &lt; MATCH(
                    S68,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TEXT(R70,"0")) *
                (ROW(INDIRECT("'" &amp; INDEX('Hulp (CAO''s)'!$C$3:$C$6,
                    MATCH(TRUE,'Hulp (CAO''s)'!$D$3:$D$6,0)) &amp; "'!B1:B1000")) &gt; MATCH(
                    R68,
                    INDIRECT("'" &amp; INDEX('Hulp (CAO''s)'!$C$3:$C$6,
                        MATCH(TRUE,'Hulp (CAO''s)'!$D$3:$D$6,0)) &amp; "'!A:A"),
                    0
                )) *
                IF(
                    S68="",
                    1,
                    (ROW(INDIRECT("'" &amp; INDEX('Hulp (CAO''s)'!$C$3:$C$6,
                        MATCH(TRUE,'Hulp (CAO''s)'!$D$3:$D$6,0)) &amp; "'!B1:B1000")) &lt; MATCH(
                        S68,
                        INDIRECT("'" &amp; INDEX('Hulp (CAO''s)'!$C$3:$C$6,
                            MATCH(TRUE,'Hulp (CAO''s)'!$D$3:$D$6,0)) &amp; "'!A:A"),
                        0
                    ))
                ),
                ROW(INDIRECT("'" &amp; INDEX('Hulp (CAO''s)'!$C$3:$C$6,
                    MATCH(TRUE,'Hulp (CAO''s)'!$D$3:$D$6,0)) &amp; "'!B1:B1000"))
            )
        ),0)
    )
))</f>
        <v/>
      </c>
      <c r="S71" s="145" t="str">
        <f t="array" aca="1" ref="S71" ca="1">IF($D69="Gebruik % van maximum trede",
IF(
    OR(S68="",S69=""),
    "",
    MAX(
    INDIRECT("'" &amp; INDEX('Hulp (CAO''s)'!$C$3:$C$6,
        MATCH(TRUE,'Hulp (CAO''s)'!$D$3:$D$6,0)) &amp; "'!" &amp;
        INDEX('Hulp (CAO''s)'!$H$3:$H$6,
            MATCH(TRUE,'Hulp (CAO''s)'!$D$3:$D$6,0))
        &amp;
        MATCH(S68, INDIRECT("'" &amp; INDEX('Hulp (CAO''s)'!$C$3:$C$6,
            MATCH(TRUE,'Hulp (CAO''s)'!$D$3:$D$6,0)) &amp; "'!A:A"),0)
        &amp; ":H" &amp;
        IF(T68&lt;&gt;"",
            MATCH(T68, INDIRECT("'" &amp; INDEX('Hulp (CAO''s)'!$C$3:$C$6,
                MATCH(TRUE,'Hulp (CAO''s)'!$D$3:$D$6,0)) &amp; "'!A:A"),0)-1,
            1000
        )
    )
) * S69
),
IF(
    IFERROR(MIN(
        IF(
            (TRIM(INDIRECT("'" &amp; INDEX('Hulp (CAO''s)'!$C$3:$C$6,
                MATCH(TRUE,'Hulp (CAO''s)'!$D$3:$D$6,0)) &amp; "'!B1:B1000")) = TEXT(S70,"0")) *
            (ROW(INDIRECT("'" &amp; INDEX('Hulp (CAO''s)'!$C$3:$C$6,
                MATCH(TRUE,'Hulp (CAO''s)'!$D$3:$D$6,0)) &amp; "'!B1:B1000")) &gt; MATCH(
                S68,
                INDIRECT("'" &amp; INDEX('Hulp (CAO''s)'!$C$3:$C$6,
                    MATCH(TRUE,'Hulp (CAO''s)'!$D$3:$D$6,0)) &amp; "'!A:A"),
                0
            )) *
            IF(
                T68="",
                1,
                (ROW(INDIRECT("'" &amp; INDEX('Hulp (CAO''s)'!$C$3:$C$6,
                    MATCH(TRUE,'Hulp (CAO''s)'!$D$3:$D$6,0)) &amp; "'!B1:B1000")) &lt; MATCH(
                    T68,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TEXT(S70,"0")) *
                (ROW(INDIRECT("'" &amp; INDEX('Hulp (CAO''s)'!$C$3:$C$6,
                    MATCH(TRUE,'Hulp (CAO''s)'!$D$3:$D$6,0)) &amp; "'!B1:B1000")) &gt; MATCH(
                    S68,
                    INDIRECT("'" &amp; INDEX('Hulp (CAO''s)'!$C$3:$C$6,
                        MATCH(TRUE,'Hulp (CAO''s)'!$D$3:$D$6,0)) &amp; "'!A:A"),
                    0
                )) *
                IF(
                    T68="",
                    1,
                    (ROW(INDIRECT("'" &amp; INDEX('Hulp (CAO''s)'!$C$3:$C$6,
                        MATCH(TRUE,'Hulp (CAO''s)'!$D$3:$D$6,0)) &amp; "'!B1:B1000")) &lt; MATCH(
                        T68,
                        INDIRECT("'" &amp; INDEX('Hulp (CAO''s)'!$C$3:$C$6,
                            MATCH(TRUE,'Hulp (CAO''s)'!$D$3:$D$6,0)) &amp; "'!A:A"),
                        0
                    ))
                ),
                ROW(INDIRECT("'" &amp; INDEX('Hulp (CAO''s)'!$C$3:$C$6,
                    MATCH(TRUE,'Hulp (CAO''s)'!$D$3:$D$6,0)) &amp; "'!B1:B1000"))
            )
        ),0)
    )
))</f>
        <v/>
      </c>
      <c r="T71" s="145" t="str">
        <f t="array" aca="1" ref="T71" ca="1">IF($D69="Gebruik % van maximum trede",
IF(
    OR(T68="",T69=""),
    "",
    MAX(
    INDIRECT("'" &amp; INDEX('Hulp (CAO''s)'!$C$3:$C$6,
        MATCH(TRUE,'Hulp (CAO''s)'!$D$3:$D$6,0)) &amp; "'!" &amp;
        INDEX('Hulp (CAO''s)'!$H$3:$H$6,
            MATCH(TRUE,'Hulp (CAO''s)'!$D$3:$D$6,0))
        &amp;
        MATCH(T68, INDIRECT("'" &amp; INDEX('Hulp (CAO''s)'!$C$3:$C$6,
            MATCH(TRUE,'Hulp (CAO''s)'!$D$3:$D$6,0)) &amp; "'!A:A"),0)
        &amp; ":H" &amp;
        IF(U68&lt;&gt;"",
            MATCH(U68, INDIRECT("'" &amp; INDEX('Hulp (CAO''s)'!$C$3:$C$6,
                MATCH(TRUE,'Hulp (CAO''s)'!$D$3:$D$6,0)) &amp; "'!A:A"),0)-1,
            1000
        )
    )
) * T69
),
IF(
    IFERROR(MIN(
        IF(
            (TRIM(INDIRECT("'" &amp; INDEX('Hulp (CAO''s)'!$C$3:$C$6,
                MATCH(TRUE,'Hulp (CAO''s)'!$D$3:$D$6,0)) &amp; "'!B1:B1000")) = TEXT(T70,"0")) *
            (ROW(INDIRECT("'" &amp; INDEX('Hulp (CAO''s)'!$C$3:$C$6,
                MATCH(TRUE,'Hulp (CAO''s)'!$D$3:$D$6,0)) &amp; "'!B1:B1000")) &gt; MATCH(
                T68,
                INDIRECT("'" &amp; INDEX('Hulp (CAO''s)'!$C$3:$C$6,
                    MATCH(TRUE,'Hulp (CAO''s)'!$D$3:$D$6,0)) &amp; "'!A:A"),
                0
            )) *
            IF(
                U68="",
                1,
                (ROW(INDIRECT("'" &amp; INDEX('Hulp (CAO''s)'!$C$3:$C$6,
                    MATCH(TRUE,'Hulp (CAO''s)'!$D$3:$D$6,0)) &amp; "'!B1:B1000")) &lt; MATCH(
                    U68,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TEXT(T70,"0")) *
                (ROW(INDIRECT("'" &amp; INDEX('Hulp (CAO''s)'!$C$3:$C$6,
                    MATCH(TRUE,'Hulp (CAO''s)'!$D$3:$D$6,0)) &amp; "'!B1:B1000")) &gt; MATCH(
                    T68,
                    INDIRECT("'" &amp; INDEX('Hulp (CAO''s)'!$C$3:$C$6,
                        MATCH(TRUE,'Hulp (CAO''s)'!$D$3:$D$6,0)) &amp; "'!A:A"),
                    0
                )) *
                IF(
                    U68="",
                    1,
                    (ROW(INDIRECT("'" &amp; INDEX('Hulp (CAO''s)'!$C$3:$C$6,
                        MATCH(TRUE,'Hulp (CAO''s)'!$D$3:$D$6,0)) &amp; "'!B1:B1000")) &lt; MATCH(
                        U68,
                        INDIRECT("'" &amp; INDEX('Hulp (CAO''s)'!$C$3:$C$6,
                            MATCH(TRUE,'Hulp (CAO''s)'!$D$3:$D$6,0)) &amp; "'!A:A"),
                        0
                    ))
                ),
                ROW(INDIRECT("'" &amp; INDEX('Hulp (CAO''s)'!$C$3:$C$6,
                    MATCH(TRUE,'Hulp (CAO''s)'!$D$3:$D$6,0)) &amp; "'!B1:B1000"))
            )
        ),0)
    )
))</f>
        <v/>
      </c>
      <c r="U71" s="145" t="str">
        <f t="array" aca="1" ref="U71" ca="1">IF($D69="Gebruik % van maximum trede",
IF(
    OR(U68="",U69=""),
    "",
    MAX(
    INDIRECT("'" &amp; INDEX('Hulp (CAO''s)'!$C$3:$C$6,
        MATCH(TRUE,'Hulp (CAO''s)'!$D$3:$D$6,0)) &amp; "'!" &amp;
        INDEX('Hulp (CAO''s)'!$H$3:$H$6,
            MATCH(TRUE,'Hulp (CAO''s)'!$D$3:$D$6,0))
        &amp;
        MATCH(U68, INDIRECT("'" &amp; INDEX('Hulp (CAO''s)'!$C$3:$C$6,
            MATCH(TRUE,'Hulp (CAO''s)'!$D$3:$D$6,0)) &amp; "'!A:A"),0)
        &amp; ":H" &amp;
        IF(V68&lt;&gt;"",
            MATCH(V68, INDIRECT("'" &amp; INDEX('Hulp (CAO''s)'!$C$3:$C$6,
                MATCH(TRUE,'Hulp (CAO''s)'!$D$3:$D$6,0)) &amp; "'!A:A"),0)-1,
            1000
        )
    )
) * U69
),
IF(
    IFERROR(MIN(
        IF(
            (TRIM(INDIRECT("'" &amp; INDEX('Hulp (CAO''s)'!$C$3:$C$6,
                MATCH(TRUE,'Hulp (CAO''s)'!$D$3:$D$6,0)) &amp; "'!B1:B1000")) = TEXT(U70,"0")) *
            (ROW(INDIRECT("'" &amp; INDEX('Hulp (CAO''s)'!$C$3:$C$6,
                MATCH(TRUE,'Hulp (CAO''s)'!$D$3:$D$6,0)) &amp; "'!B1:B1000")) &gt; MATCH(
                U68,
                INDIRECT("'" &amp; INDEX('Hulp (CAO''s)'!$C$3:$C$6,
                    MATCH(TRUE,'Hulp (CAO''s)'!$D$3:$D$6,0)) &amp; "'!A:A"),
                0
            )) *
            IF(
                V68="",
                1,
                (ROW(INDIRECT("'" &amp; INDEX('Hulp (CAO''s)'!$C$3:$C$6,
                    MATCH(TRUE,'Hulp (CAO''s)'!$D$3:$D$6,0)) &amp; "'!B1:B1000")) &lt; MATCH(
                    V68,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TEXT(U70,"0")) *
                (ROW(INDIRECT("'" &amp; INDEX('Hulp (CAO''s)'!$C$3:$C$6,
                    MATCH(TRUE,'Hulp (CAO''s)'!$D$3:$D$6,0)) &amp; "'!B1:B1000")) &gt; MATCH(
                    U68,
                    INDIRECT("'" &amp; INDEX('Hulp (CAO''s)'!$C$3:$C$6,
                        MATCH(TRUE,'Hulp (CAO''s)'!$D$3:$D$6,0)) &amp; "'!A:A"),
                    0
                )) *
                IF(
                    V68="",
                    1,
                    (ROW(INDIRECT("'" &amp; INDEX('Hulp (CAO''s)'!$C$3:$C$6,
                        MATCH(TRUE,'Hulp (CAO''s)'!$D$3:$D$6,0)) &amp; "'!B1:B1000")) &lt; MATCH(
                        V68,
                        INDIRECT("'" &amp; INDEX('Hulp (CAO''s)'!$C$3:$C$6,
                            MATCH(TRUE,'Hulp (CAO''s)'!$D$3:$D$6,0)) &amp; "'!A:A"),
                        0
                    ))
                ),
                ROW(INDIRECT("'" &amp; INDEX('Hulp (CAO''s)'!$C$3:$C$6,
                    MATCH(TRUE,'Hulp (CAO''s)'!$D$3:$D$6,0)) &amp; "'!B1:B1000"))
            )
        ),0)
    )
))</f>
        <v/>
      </c>
      <c r="V71" s="165" t="str">
        <f t="array" aca="1" ref="V71" ca="1">IF(SUM(F72:U72)=0,"",
IF(
   SUM(F71:U71)=0,
   "",
   (
      SUMPRODUCT(
         IF(F71:U71="",0,F71:U71),
         IF(F72:U72="",0,F72:U72) * SUM(F72:U72)
      )
   ) *
   IF(
      'Hulp (CAO''s)'!#REF!,
      IF(
         OR(
            INDEX(#REF!, ROW(#REF!) + INT((ROW()-ROW($V$8))/6)*8)="",
            ISNA(INDEX(#REF!, ROW(#REF!) + INT((ROW()-ROW($V$8))/6)*8))
         ),
         1878/12,
         INDEX(#REF!, ROW(#REF!) + INT((ROW()-ROW($V$8))/6)*8)/12
      ),
      1
   )
))</f>
        <v/>
      </c>
      <c r="W71" s="171" t="str">
        <f ca="1">IF(B68="","",
    IF(W70="","",
        IF(INDIRECT("'Hulp (control forms)'!C" &amp; (13 + INT((ROW()-ROW($B$5))/7))),
            W70,
            V71
        )
    )
)</f>
        <v/>
      </c>
      <c r="X71" s="170" t="str">
        <f ca="1">IF(AND($B68&lt;&gt;"", $W71=""),"!","")</f>
        <v/>
      </c>
    </row>
    <row r="72" spans="2:24" ht="16.05" customHeight="1" thickBot="1" x14ac:dyDescent="0.55000000000000004">
      <c r="C72" s="151"/>
      <c r="D72" s="141" t="s">
        <v>60</v>
      </c>
      <c r="E72" s="24" t="s">
        <v>59</v>
      </c>
      <c r="F72" s="146">
        <v>0.05</v>
      </c>
      <c r="G72" s="146">
        <v>0.1</v>
      </c>
      <c r="H72" s="146">
        <v>0.1</v>
      </c>
      <c r="I72" s="146">
        <v>0.15</v>
      </c>
      <c r="J72" s="146">
        <v>0.2</v>
      </c>
      <c r="K72" s="146">
        <v>0.15</v>
      </c>
      <c r="L72" s="146">
        <v>0.1</v>
      </c>
      <c r="M72" s="146">
        <v>0.05</v>
      </c>
      <c r="N72" s="146">
        <v>0.05</v>
      </c>
      <c r="O72" s="146">
        <v>0.05</v>
      </c>
      <c r="P72" s="146">
        <v>0</v>
      </c>
      <c r="Q72" s="146"/>
      <c r="R72" s="146"/>
      <c r="S72" s="146"/>
      <c r="T72" s="146"/>
      <c r="U72" s="147"/>
      <c r="V72" s="142" t="str">
        <f ca="1">IF($B68="","",IF($D72="Aandeel in %",
   "Totaal: "&amp;SUM(F72:U72)*100&amp;"%",
   "Totaal: "&amp;SUM(F72:U72)&amp;" uur"
))</f>
        <v/>
      </c>
      <c r="W72" s="168"/>
      <c r="X72" s="153"/>
    </row>
    <row r="73" spans="2:24" ht="16.05" customHeight="1" thickBot="1" x14ac:dyDescent="0.55000000000000004">
      <c r="C73" s="154"/>
      <c r="D73" s="140"/>
      <c r="E73" s="140"/>
      <c r="F73" s="140"/>
      <c r="G73" s="140"/>
      <c r="H73" s="140"/>
      <c r="I73" s="140"/>
      <c r="J73" s="140"/>
      <c r="K73" s="140"/>
      <c r="L73" s="140"/>
      <c r="M73" s="140"/>
      <c r="N73" s="140"/>
      <c r="O73" s="140"/>
      <c r="P73" s="140"/>
      <c r="Q73" s="140"/>
      <c r="R73" s="140"/>
      <c r="S73" s="140"/>
      <c r="T73" s="155"/>
      <c r="U73" s="155"/>
      <c r="V73" s="169"/>
      <c r="W73" s="169"/>
      <c r="X73" s="156"/>
    </row>
    <row r="74" spans="2:24" ht="16.05" customHeight="1" thickBot="1" x14ac:dyDescent="0.55000000000000004">
      <c r="B74" s="159" t="str">
        <f ca="1">IF(B75="","",
IF(
   OR(
      INDIRECT("'1a. Input organisatieniveau'!AC" &amp; (7 + INT((ROW()-4)/7)))="",
      INDIRECT("'1a. Input organisatieniveau'!AC" &amp; (7 + INT((ROW()-4)/7)))=0
   ),
   "",
   INDIRECT("'1a. Input organisatieniveau'!AC" &amp; (7 + INT((ROW()-4)/7)))
))</f>
        <v/>
      </c>
      <c r="C74" s="148"/>
      <c r="D74" s="139"/>
      <c r="E74" s="139"/>
      <c r="F74" s="149" t="str">
        <f t="shared" ref="F74:U74" ca="1" si="10">IF($D76="Gebruik % van maximum trede", IF(AND(AND(F75&lt;&gt;"",F76&lt;&gt;""),F78=""),"!",""), IF(AND(AND(F75&lt;&gt;"",F77&lt;&gt;""),F78=""),"!",""))</f>
        <v/>
      </c>
      <c r="G74" s="149" t="str">
        <f t="shared" ca="1" si="10"/>
        <v/>
      </c>
      <c r="H74" s="149" t="str">
        <f t="shared" ca="1" si="10"/>
        <v/>
      </c>
      <c r="I74" s="149" t="str">
        <f t="shared" ca="1" si="10"/>
        <v/>
      </c>
      <c r="J74" s="149" t="str">
        <f t="shared" ca="1" si="10"/>
        <v/>
      </c>
      <c r="K74" s="149" t="str">
        <f t="shared" ca="1" si="10"/>
        <v/>
      </c>
      <c r="L74" s="149" t="str">
        <f t="shared" ca="1" si="10"/>
        <v/>
      </c>
      <c r="M74" s="149" t="str">
        <f t="shared" ca="1" si="10"/>
        <v/>
      </c>
      <c r="N74" s="149" t="str">
        <f t="shared" ca="1" si="10"/>
        <v/>
      </c>
      <c r="O74" s="149" t="str">
        <f t="shared" ca="1" si="10"/>
        <v/>
      </c>
      <c r="P74" s="149" t="str">
        <f t="shared" ca="1" si="10"/>
        <v/>
      </c>
      <c r="Q74" s="149" t="str">
        <f t="shared" ca="1" si="10"/>
        <v/>
      </c>
      <c r="R74" s="149" t="str">
        <f t="shared" ca="1" si="10"/>
        <v/>
      </c>
      <c r="S74" s="149" t="str">
        <f t="shared" ca="1" si="10"/>
        <v/>
      </c>
      <c r="T74" s="149" t="str">
        <f t="shared" ca="1" si="10"/>
        <v/>
      </c>
      <c r="U74" s="149" t="str">
        <f t="shared" ca="1" si="10"/>
        <v/>
      </c>
      <c r="V74" s="167"/>
      <c r="W74" s="167"/>
      <c r="X74" s="150"/>
    </row>
    <row r="75" spans="2:24" ht="16.05" customHeight="1" thickBot="1" x14ac:dyDescent="0.55000000000000004">
      <c r="B75" s="158" t="str">
        <f ca="1">IF(
   OR(
      INDIRECT("'1a. Input organisatieniveau'!AA" &amp; (7 + INT((ROW()-4)/7)))="",
      INDIRECT("'1a. Input organisatieniveau'!AA" &amp; (7 + INT((ROW()-4)/7)))=0
   ),
   "",
   INDIRECT("'1a. Input organisatieniveau'!AA" &amp; (7 + INT((ROW()-4)/7)))
)</f>
        <v/>
      </c>
      <c r="C75" s="151"/>
      <c r="D75" s="152"/>
      <c r="E75" s="22" t="s">
        <v>28</v>
      </c>
      <c r="F75" s="143" t="str">
        <f t="array" aca="1" ref="F75" ca="1">IF($B75="", "", INDEX('Hulp (CAO''s)'!J$3:J$6, MATCH(TRUE, 'Hulp (CAO''s)'!$D$3:$D$6, 0)))</f>
        <v/>
      </c>
      <c r="G75" s="143" t="str">
        <f t="array" aca="1" ref="G75" ca="1">IF($B75="", "", INDEX('Hulp (CAO''s)'!K$3:K$6, MATCH(TRUE, 'Hulp (CAO''s)'!$D$3:$D$6, 0)))</f>
        <v/>
      </c>
      <c r="H75" s="143" t="str">
        <f t="array" aca="1" ref="H75" ca="1">IF($B75="", "", INDEX('Hulp (CAO''s)'!L$3:L$6, MATCH(TRUE, 'Hulp (CAO''s)'!$D$3:$D$6, 0)))</f>
        <v/>
      </c>
      <c r="I75" s="143" t="str">
        <f t="array" aca="1" ref="I75" ca="1">IF($B75="", "", INDEX('Hulp (CAO''s)'!M$3:M$6, MATCH(TRUE, 'Hulp (CAO''s)'!$D$3:$D$6, 0)))</f>
        <v/>
      </c>
      <c r="J75" s="143" t="str">
        <f t="array" aca="1" ref="J75" ca="1">IF($B75="", "", INDEX('Hulp (CAO''s)'!N$3:N$6, MATCH(TRUE, 'Hulp (CAO''s)'!$D$3:$D$6, 0)))</f>
        <v/>
      </c>
      <c r="K75" s="143" t="str">
        <f t="array" aca="1" ref="K75" ca="1">IF($B75="", "", INDEX('Hulp (CAO''s)'!O$3:O$6, MATCH(TRUE, 'Hulp (CAO''s)'!$D$3:$D$6, 0)))</f>
        <v/>
      </c>
      <c r="L75" s="143" t="str">
        <f t="array" aca="1" ref="L75" ca="1">IF($B75="", "", INDEX('Hulp (CAO''s)'!P$3:P$6, MATCH(TRUE, 'Hulp (CAO''s)'!$D$3:$D$6, 0)))</f>
        <v/>
      </c>
      <c r="M75" s="143" t="str">
        <f t="array" aca="1" ref="M75" ca="1">IF($B75="", "", INDEX('Hulp (CAO''s)'!Q$3:Q$6, MATCH(TRUE, 'Hulp (CAO''s)'!$D$3:$D$6, 0)))</f>
        <v/>
      </c>
      <c r="N75" s="143" t="str">
        <f t="array" aca="1" ref="N75" ca="1">IF($B75="", "", INDEX('Hulp (CAO''s)'!R$3:R$6, MATCH(TRUE, 'Hulp (CAO''s)'!$D$3:$D$6, 0)))</f>
        <v/>
      </c>
      <c r="O75" s="143" t="str">
        <f t="array" aca="1" ref="O75" ca="1">IF($B75="", "", INDEX('Hulp (CAO''s)'!S$3:S$6, MATCH(TRUE, 'Hulp (CAO''s)'!$D$3:$D$6, 0)))</f>
        <v/>
      </c>
      <c r="P75" s="143" t="str">
        <f t="array" aca="1" ref="P75" ca="1">IF($B75="", "", INDEX('Hulp (CAO''s)'!T$3:T$6, MATCH(TRUE, 'Hulp (CAO''s)'!$D$3:$D$6, 0)))</f>
        <v/>
      </c>
      <c r="Q75" s="143" t="str">
        <f t="array" aca="1" ref="Q75" ca="1">IF($B75="", "", INDEX('Hulp (CAO''s)'!U$3:U$6, MATCH(TRUE, 'Hulp (CAO''s)'!$D$3:$D$6, 0)))</f>
        <v/>
      </c>
      <c r="R75" s="143" t="str">
        <f t="array" aca="1" ref="R75" ca="1">IF($B75="", "", INDEX('Hulp (CAO''s)'!V$3:V$6, MATCH(TRUE, 'Hulp (CAO''s)'!$D$3:$D$6, 0)))</f>
        <v/>
      </c>
      <c r="S75" s="143" t="str">
        <f t="array" aca="1" ref="S75" ca="1">IF($B75="", "", INDEX('Hulp (CAO''s)'!W$3:W$6, MATCH(TRUE, 'Hulp (CAO''s)'!$D$3:$D$6, 0)))</f>
        <v/>
      </c>
      <c r="T75" s="143" t="str">
        <f t="array" aca="1" ref="T75" ca="1">IF($B75="", "", INDEX('Hulp (CAO''s)'!X$3:X$6, MATCH(TRUE, 'Hulp (CAO''s)'!$D$3:$D$6, 0)))</f>
        <v/>
      </c>
      <c r="U75" s="144" t="str">
        <f t="array" aca="1" ref="U75" ca="1">IF($B75="", "", INDEX('Hulp (CAO''s)'!Y$3:Y$6, MATCH(TRUE, 'Hulp (CAO''s)'!$D$3:$D$6, 0)))</f>
        <v/>
      </c>
      <c r="W75" s="788" t="s">
        <v>747</v>
      </c>
      <c r="X75" s="153"/>
    </row>
    <row r="76" spans="2:24" ht="16.05" customHeight="1" thickBot="1" x14ac:dyDescent="0.55000000000000004">
      <c r="C76" s="151"/>
      <c r="D76" s="786" t="s">
        <v>771</v>
      </c>
      <c r="E76" s="162" t="s">
        <v>770</v>
      </c>
      <c r="F76" s="163">
        <v>0.96</v>
      </c>
      <c r="G76" s="163">
        <v>0.9</v>
      </c>
      <c r="H76" s="163">
        <v>0.9</v>
      </c>
      <c r="I76" s="163">
        <v>0.7</v>
      </c>
      <c r="J76" s="163">
        <v>0.8</v>
      </c>
      <c r="K76" s="163">
        <v>0.9</v>
      </c>
      <c r="L76" s="163">
        <v>0.9</v>
      </c>
      <c r="M76" s="163">
        <v>0.9</v>
      </c>
      <c r="N76" s="163">
        <v>0.9</v>
      </c>
      <c r="O76" s="163">
        <v>0.8</v>
      </c>
      <c r="P76" s="163">
        <v>0.95</v>
      </c>
      <c r="Q76" s="163">
        <v>0.93</v>
      </c>
      <c r="R76" s="163">
        <v>0.93</v>
      </c>
      <c r="S76" s="163">
        <v>0.99</v>
      </c>
      <c r="T76" s="163">
        <v>0.99</v>
      </c>
      <c r="U76" s="164">
        <v>0.95</v>
      </c>
      <c r="W76" s="789"/>
      <c r="X76" s="153"/>
    </row>
    <row r="77" spans="2:24" ht="16.05" customHeight="1" thickBot="1" x14ac:dyDescent="0.55000000000000004">
      <c r="C77" s="151"/>
      <c r="D77" s="787"/>
      <c r="E77" s="31" t="s">
        <v>29</v>
      </c>
      <c r="F77" s="160">
        <v>8</v>
      </c>
      <c r="G77" s="160">
        <v>10</v>
      </c>
      <c r="H77" s="160">
        <v>10</v>
      </c>
      <c r="I77" s="160">
        <v>9</v>
      </c>
      <c r="J77" s="160">
        <v>10</v>
      </c>
      <c r="K77" s="160">
        <v>11</v>
      </c>
      <c r="L77" s="160">
        <v>10</v>
      </c>
      <c r="M77" s="160">
        <v>10</v>
      </c>
      <c r="N77" s="160">
        <v>9</v>
      </c>
      <c r="O77" s="160">
        <v>10</v>
      </c>
      <c r="P77" s="160">
        <v>11</v>
      </c>
      <c r="Q77" s="160">
        <v>12</v>
      </c>
      <c r="R77" s="160">
        <v>13</v>
      </c>
      <c r="S77" s="160">
        <v>12</v>
      </c>
      <c r="T77" s="160">
        <v>10</v>
      </c>
      <c r="U77" s="161">
        <v>5</v>
      </c>
      <c r="W77" s="166">
        <v>4200</v>
      </c>
      <c r="X77" s="153"/>
    </row>
    <row r="78" spans="2:24" ht="16.05" customHeight="1" thickBot="1" x14ac:dyDescent="0.55000000000000004">
      <c r="C78" s="151"/>
      <c r="E78" s="40" t="str">
        <f>IFERROR(
   INDEX('Hulp (CAO''s)'!$I$3:$I$6, MATCH(TRUE, 'Hulp (CAO''s)'!$D$3:$D$6, 0)),
"")</f>
        <v>Bruto maandsalaris</v>
      </c>
      <c r="F78" s="145" t="str">
        <f t="array" aca="1" ref="F78" ca="1">IF($D76="Gebruik % van maximum trede",
IF(
    OR(F75="",F76=""),
    "",
    MAX(
    INDIRECT("'" &amp; INDEX('Hulp (CAO''s)'!$C$3:$C$6,
        MATCH(TRUE,'Hulp (CAO''s)'!$D$3:$D$6,0)) &amp; "'!" &amp;
        INDEX('Hulp (CAO''s)'!$H$3:$H$6,
            MATCH(TRUE,'Hulp (CAO''s)'!$D$3:$D$6,0))
        &amp;
        MATCH(F75, INDIRECT("'" &amp; INDEX('Hulp (CAO''s)'!$C$3:$C$6,
            MATCH(TRUE,'Hulp (CAO''s)'!$D$3:$D$6,0)) &amp; "'!A:A"),0)
        &amp; ":H" &amp;
        IF(G75&lt;&gt;"",
            MATCH(G75, INDIRECT("'" &amp; INDEX('Hulp (CAO''s)'!$C$3:$C$6,
                MATCH(TRUE,'Hulp (CAO''s)'!$D$3:$D$6,0)) &amp; "'!A:A"),0)-1,
            1000
        )
    )
) * F76
),
IF(
    IFERROR(MIN(
        IF(
            (TRIM(INDIRECT("'" &amp; INDEX('Hulp (CAO''s)'!$C$3:$C$6,
                MATCH(TRUE,'Hulp (CAO''s)'!$D$3:$D$6,0)) &amp; "'!B1:B1000")) = TEXT(F77,"0")) *
            (ROW(INDIRECT("'" &amp; INDEX('Hulp (CAO''s)'!$C$3:$C$6,
                MATCH(TRUE,'Hulp (CAO''s)'!$D$3:$D$6,0)) &amp; "'!B1:B1000")) &gt; MATCH(
                F75,
                INDIRECT("'" &amp; INDEX('Hulp (CAO''s)'!$C$3:$C$6,
                    MATCH(TRUE,'Hulp (CAO''s)'!$D$3:$D$6,0)) &amp; "'!A:A"),
                0
            )) *
            IF(
                G75="",
                1,
                (ROW(INDIRECT("'" &amp; INDEX('Hulp (CAO''s)'!$C$3:$C$6,
                    MATCH(TRUE,'Hulp (CAO''s)'!$D$3:$D$6,0)) &amp; "'!B1:B1000")) &lt; MATCH(
                    G75,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TEXT(F77,"0")) *
                (ROW(INDIRECT("'" &amp; INDEX('Hulp (CAO''s)'!$C$3:$C$6,
                    MATCH(TRUE,'Hulp (CAO''s)'!$D$3:$D$6,0)) &amp; "'!B1:B1000")) &gt; MATCH(
                    F75,
                    INDIRECT("'" &amp; INDEX('Hulp (CAO''s)'!$C$3:$C$6,
                        MATCH(TRUE,'Hulp (CAO''s)'!$D$3:$D$6,0)) &amp; "'!A:A"),
                    0
                )) *
                IF(
                    G75="",
                    1,
                    (ROW(INDIRECT("'" &amp; INDEX('Hulp (CAO''s)'!$C$3:$C$6,
                        MATCH(TRUE,'Hulp (CAO''s)'!$D$3:$D$6,0)) &amp; "'!B1:B1000")) &lt; MATCH(
                        G75,
                        INDIRECT("'" &amp; INDEX('Hulp (CAO''s)'!$C$3:$C$6,
                            MATCH(TRUE,'Hulp (CAO''s)'!$D$3:$D$6,0)) &amp; "'!A:A"),
                        0
                    ))
                ),
                ROW(INDIRECT("'" &amp; INDEX('Hulp (CAO''s)'!$C$3:$C$6,
                    MATCH(TRUE,'Hulp (CAO''s)'!$D$3:$D$6,0)) &amp; "'!B1:B1000"))
            )
        ),0)
    )
))</f>
        <v/>
      </c>
      <c r="G78" s="145" t="str">
        <f t="array" aca="1" ref="G78" ca="1">IF($D76="Gebruik % van maximum trede",
IF(
    OR(G75="",G76=""),
    "",
    MAX(
    INDIRECT("'" &amp; INDEX('Hulp (CAO''s)'!$C$3:$C$6,
        MATCH(TRUE,'Hulp (CAO''s)'!$D$3:$D$6,0)) &amp; "'!" &amp;
        INDEX('Hulp (CAO''s)'!$H$3:$H$6,
            MATCH(TRUE,'Hulp (CAO''s)'!$D$3:$D$6,0))
        &amp;
        MATCH(G75, INDIRECT("'" &amp; INDEX('Hulp (CAO''s)'!$C$3:$C$6,
            MATCH(TRUE,'Hulp (CAO''s)'!$D$3:$D$6,0)) &amp; "'!A:A"),0)
        &amp; ":H" &amp;
        IF(H75&lt;&gt;"",
            MATCH(H75, INDIRECT("'" &amp; INDEX('Hulp (CAO''s)'!$C$3:$C$6,
                MATCH(TRUE,'Hulp (CAO''s)'!$D$3:$D$6,0)) &amp; "'!A:A"),0)-1,
            1000
        )
    )
) * G76
),
IF(
    IFERROR(MIN(
        IF(
            (TRIM(INDIRECT("'" &amp; INDEX('Hulp (CAO''s)'!$C$3:$C$6,
                MATCH(TRUE,'Hulp (CAO''s)'!$D$3:$D$6,0)) &amp; "'!B1:B1000")) = TEXT(G77,"0")) *
            (ROW(INDIRECT("'" &amp; INDEX('Hulp (CAO''s)'!$C$3:$C$6,
                MATCH(TRUE,'Hulp (CAO''s)'!$D$3:$D$6,0)) &amp; "'!B1:B1000")) &gt; MATCH(
                G75,
                INDIRECT("'" &amp; INDEX('Hulp (CAO''s)'!$C$3:$C$6,
                    MATCH(TRUE,'Hulp (CAO''s)'!$D$3:$D$6,0)) &amp; "'!A:A"),
                0
            )) *
            IF(
                H75="",
                1,
                (ROW(INDIRECT("'" &amp; INDEX('Hulp (CAO''s)'!$C$3:$C$6,
                    MATCH(TRUE,'Hulp (CAO''s)'!$D$3:$D$6,0)) &amp; "'!B1:B1000")) &lt; MATCH(
                    H75,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TEXT(G77,"0")) *
                (ROW(INDIRECT("'" &amp; INDEX('Hulp (CAO''s)'!$C$3:$C$6,
                    MATCH(TRUE,'Hulp (CAO''s)'!$D$3:$D$6,0)) &amp; "'!B1:B1000")) &gt; MATCH(
                    G75,
                    INDIRECT("'" &amp; INDEX('Hulp (CAO''s)'!$C$3:$C$6,
                        MATCH(TRUE,'Hulp (CAO''s)'!$D$3:$D$6,0)) &amp; "'!A:A"),
                    0
                )) *
                IF(
                    H75="",
                    1,
                    (ROW(INDIRECT("'" &amp; INDEX('Hulp (CAO''s)'!$C$3:$C$6,
                        MATCH(TRUE,'Hulp (CAO''s)'!$D$3:$D$6,0)) &amp; "'!B1:B1000")) &lt; MATCH(
                        H75,
                        INDIRECT("'" &amp; INDEX('Hulp (CAO''s)'!$C$3:$C$6,
                            MATCH(TRUE,'Hulp (CAO''s)'!$D$3:$D$6,0)) &amp; "'!A:A"),
                        0
                    ))
                ),
                ROW(INDIRECT("'" &amp; INDEX('Hulp (CAO''s)'!$C$3:$C$6,
                    MATCH(TRUE,'Hulp (CAO''s)'!$D$3:$D$6,0)) &amp; "'!B1:B1000"))
            )
        ),0)
    )
))</f>
        <v/>
      </c>
      <c r="H78" s="145" t="str">
        <f t="array" aca="1" ref="H78" ca="1">IF($D76="Gebruik % van maximum trede",
IF(
    OR(H75="",H76=""),
    "",
    MAX(
    INDIRECT("'" &amp; INDEX('Hulp (CAO''s)'!$C$3:$C$6,
        MATCH(TRUE,'Hulp (CAO''s)'!$D$3:$D$6,0)) &amp; "'!" &amp;
        INDEX('Hulp (CAO''s)'!$H$3:$H$6,
            MATCH(TRUE,'Hulp (CAO''s)'!$D$3:$D$6,0))
        &amp;
        MATCH(H75, INDIRECT("'" &amp; INDEX('Hulp (CAO''s)'!$C$3:$C$6,
            MATCH(TRUE,'Hulp (CAO''s)'!$D$3:$D$6,0)) &amp; "'!A:A"),0)
        &amp; ":H" &amp;
        IF(I75&lt;&gt;"",
            MATCH(I75, INDIRECT("'" &amp; INDEX('Hulp (CAO''s)'!$C$3:$C$6,
                MATCH(TRUE,'Hulp (CAO''s)'!$D$3:$D$6,0)) &amp; "'!A:A"),0)-1,
            1000
        )
    )
) * H76
),
IF(
    IFERROR(MIN(
        IF(
            (TRIM(INDIRECT("'" &amp; INDEX('Hulp (CAO''s)'!$C$3:$C$6,
                MATCH(TRUE,'Hulp (CAO''s)'!$D$3:$D$6,0)) &amp; "'!B1:B1000")) = TEXT(H77,"0")) *
            (ROW(INDIRECT("'" &amp; INDEX('Hulp (CAO''s)'!$C$3:$C$6,
                MATCH(TRUE,'Hulp (CAO''s)'!$D$3:$D$6,0)) &amp; "'!B1:B1000")) &gt; MATCH(
                H75,
                INDIRECT("'" &amp; INDEX('Hulp (CAO''s)'!$C$3:$C$6,
                    MATCH(TRUE,'Hulp (CAO''s)'!$D$3:$D$6,0)) &amp; "'!A:A"),
                0
            )) *
            IF(
                I75="",
                1,
                (ROW(INDIRECT("'" &amp; INDEX('Hulp (CAO''s)'!$C$3:$C$6,
                    MATCH(TRUE,'Hulp (CAO''s)'!$D$3:$D$6,0)) &amp; "'!B1:B1000")) &lt; MATCH(
                    I75,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TEXT(H77,"0")) *
                (ROW(INDIRECT("'" &amp; INDEX('Hulp (CAO''s)'!$C$3:$C$6,
                    MATCH(TRUE,'Hulp (CAO''s)'!$D$3:$D$6,0)) &amp; "'!B1:B1000")) &gt; MATCH(
                    H75,
                    INDIRECT("'" &amp; INDEX('Hulp (CAO''s)'!$C$3:$C$6,
                        MATCH(TRUE,'Hulp (CAO''s)'!$D$3:$D$6,0)) &amp; "'!A:A"),
                    0
                )) *
                IF(
                    I75="",
                    1,
                    (ROW(INDIRECT("'" &amp; INDEX('Hulp (CAO''s)'!$C$3:$C$6,
                        MATCH(TRUE,'Hulp (CAO''s)'!$D$3:$D$6,0)) &amp; "'!B1:B1000")) &lt; MATCH(
                        I75,
                        INDIRECT("'" &amp; INDEX('Hulp (CAO''s)'!$C$3:$C$6,
                            MATCH(TRUE,'Hulp (CAO''s)'!$D$3:$D$6,0)) &amp; "'!A:A"),
                        0
                    ))
                ),
                ROW(INDIRECT("'" &amp; INDEX('Hulp (CAO''s)'!$C$3:$C$6,
                    MATCH(TRUE,'Hulp (CAO''s)'!$D$3:$D$6,0)) &amp; "'!B1:B1000"))
            )
        ),0)
    )
))</f>
        <v/>
      </c>
      <c r="I78" s="145" t="str">
        <f t="array" aca="1" ref="I78" ca="1">IF($D76="Gebruik % van maximum trede",
IF(
    OR(I75="",I76=""),
    "",
    MAX(
    INDIRECT("'" &amp; INDEX('Hulp (CAO''s)'!$C$3:$C$6,
        MATCH(TRUE,'Hulp (CAO''s)'!$D$3:$D$6,0)) &amp; "'!" &amp;
        INDEX('Hulp (CAO''s)'!$H$3:$H$6,
            MATCH(TRUE,'Hulp (CAO''s)'!$D$3:$D$6,0))
        &amp;
        MATCH(I75, INDIRECT("'" &amp; INDEX('Hulp (CAO''s)'!$C$3:$C$6,
            MATCH(TRUE,'Hulp (CAO''s)'!$D$3:$D$6,0)) &amp; "'!A:A"),0)
        &amp; ":H" &amp;
        IF(J75&lt;&gt;"",
            MATCH(J75, INDIRECT("'" &amp; INDEX('Hulp (CAO''s)'!$C$3:$C$6,
                MATCH(TRUE,'Hulp (CAO''s)'!$D$3:$D$6,0)) &amp; "'!A:A"),0)-1,
            1000
        )
    )
) * I76
),
IF(
    IFERROR(MIN(
        IF(
            (TRIM(INDIRECT("'" &amp; INDEX('Hulp (CAO''s)'!$C$3:$C$6,
                MATCH(TRUE,'Hulp (CAO''s)'!$D$3:$D$6,0)) &amp; "'!B1:B1000")) = TEXT(I77,"0")) *
            (ROW(INDIRECT("'" &amp; INDEX('Hulp (CAO''s)'!$C$3:$C$6,
                MATCH(TRUE,'Hulp (CAO''s)'!$D$3:$D$6,0)) &amp; "'!B1:B1000")) &gt; MATCH(
                I75,
                INDIRECT("'" &amp; INDEX('Hulp (CAO''s)'!$C$3:$C$6,
                    MATCH(TRUE,'Hulp (CAO''s)'!$D$3:$D$6,0)) &amp; "'!A:A"),
                0
            )) *
            IF(
                J75="",
                1,
                (ROW(INDIRECT("'" &amp; INDEX('Hulp (CAO''s)'!$C$3:$C$6,
                    MATCH(TRUE,'Hulp (CAO''s)'!$D$3:$D$6,0)) &amp; "'!B1:B1000")) &lt; MATCH(
                    J75,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TEXT(I77,"0")) *
                (ROW(INDIRECT("'" &amp; INDEX('Hulp (CAO''s)'!$C$3:$C$6,
                    MATCH(TRUE,'Hulp (CAO''s)'!$D$3:$D$6,0)) &amp; "'!B1:B1000")) &gt; MATCH(
                    I75,
                    INDIRECT("'" &amp; INDEX('Hulp (CAO''s)'!$C$3:$C$6,
                        MATCH(TRUE,'Hulp (CAO''s)'!$D$3:$D$6,0)) &amp; "'!A:A"),
                    0
                )) *
                IF(
                    J75="",
                    1,
                    (ROW(INDIRECT("'" &amp; INDEX('Hulp (CAO''s)'!$C$3:$C$6,
                        MATCH(TRUE,'Hulp (CAO''s)'!$D$3:$D$6,0)) &amp; "'!B1:B1000")) &lt; MATCH(
                        J75,
                        INDIRECT("'" &amp; INDEX('Hulp (CAO''s)'!$C$3:$C$6,
                            MATCH(TRUE,'Hulp (CAO''s)'!$D$3:$D$6,0)) &amp; "'!A:A"),
                        0
                    ))
                ),
                ROW(INDIRECT("'" &amp; INDEX('Hulp (CAO''s)'!$C$3:$C$6,
                    MATCH(TRUE,'Hulp (CAO''s)'!$D$3:$D$6,0)) &amp; "'!B1:B1000"))
            )
        ),0)
    )
))</f>
        <v/>
      </c>
      <c r="J78" s="145" t="str">
        <f t="array" aca="1" ref="J78" ca="1">IF($D76="Gebruik % van maximum trede",
IF(
    OR(J75="",J76=""),
    "",
    MAX(
    INDIRECT("'" &amp; INDEX('Hulp (CAO''s)'!$C$3:$C$6,
        MATCH(TRUE,'Hulp (CAO''s)'!$D$3:$D$6,0)) &amp; "'!" &amp;
        INDEX('Hulp (CAO''s)'!$H$3:$H$6,
            MATCH(TRUE,'Hulp (CAO''s)'!$D$3:$D$6,0))
        &amp;
        MATCH(J75, INDIRECT("'" &amp; INDEX('Hulp (CAO''s)'!$C$3:$C$6,
            MATCH(TRUE,'Hulp (CAO''s)'!$D$3:$D$6,0)) &amp; "'!A:A"),0)
        &amp; ":H" &amp;
        IF(K75&lt;&gt;"",
            MATCH(K75, INDIRECT("'" &amp; INDEX('Hulp (CAO''s)'!$C$3:$C$6,
                MATCH(TRUE,'Hulp (CAO''s)'!$D$3:$D$6,0)) &amp; "'!A:A"),0)-1,
            1000
        )
    )
) * J76
),
IF(
    IFERROR(MIN(
        IF(
            (TRIM(INDIRECT("'" &amp; INDEX('Hulp (CAO''s)'!$C$3:$C$6,
                MATCH(TRUE,'Hulp (CAO''s)'!$D$3:$D$6,0)) &amp; "'!B1:B1000")) = TEXT(J77,"0")) *
            (ROW(INDIRECT("'" &amp; INDEX('Hulp (CAO''s)'!$C$3:$C$6,
                MATCH(TRUE,'Hulp (CAO''s)'!$D$3:$D$6,0)) &amp; "'!B1:B1000")) &gt; MATCH(
                J75,
                INDIRECT("'" &amp; INDEX('Hulp (CAO''s)'!$C$3:$C$6,
                    MATCH(TRUE,'Hulp (CAO''s)'!$D$3:$D$6,0)) &amp; "'!A:A"),
                0
            )) *
            IF(
                K75="",
                1,
                (ROW(INDIRECT("'" &amp; INDEX('Hulp (CAO''s)'!$C$3:$C$6,
                    MATCH(TRUE,'Hulp (CAO''s)'!$D$3:$D$6,0)) &amp; "'!B1:B1000")) &lt; MATCH(
                    K75,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TEXT(J77,"0")) *
                (ROW(INDIRECT("'" &amp; INDEX('Hulp (CAO''s)'!$C$3:$C$6,
                    MATCH(TRUE,'Hulp (CAO''s)'!$D$3:$D$6,0)) &amp; "'!B1:B1000")) &gt; MATCH(
                    J75,
                    INDIRECT("'" &amp; INDEX('Hulp (CAO''s)'!$C$3:$C$6,
                        MATCH(TRUE,'Hulp (CAO''s)'!$D$3:$D$6,0)) &amp; "'!A:A"),
                    0
                )) *
                IF(
                    K75="",
                    1,
                    (ROW(INDIRECT("'" &amp; INDEX('Hulp (CAO''s)'!$C$3:$C$6,
                        MATCH(TRUE,'Hulp (CAO''s)'!$D$3:$D$6,0)) &amp; "'!B1:B1000")) &lt; MATCH(
                        K75,
                        INDIRECT("'" &amp; INDEX('Hulp (CAO''s)'!$C$3:$C$6,
                            MATCH(TRUE,'Hulp (CAO''s)'!$D$3:$D$6,0)) &amp; "'!A:A"),
                        0
                    ))
                ),
                ROW(INDIRECT("'" &amp; INDEX('Hulp (CAO''s)'!$C$3:$C$6,
                    MATCH(TRUE,'Hulp (CAO''s)'!$D$3:$D$6,0)) &amp; "'!B1:B1000"))
            )
        ),0)
    )
))</f>
        <v/>
      </c>
      <c r="K78" s="145" t="str">
        <f t="array" aca="1" ref="K78" ca="1">IF($D76="Gebruik % van maximum trede",
IF(
    OR(K75="",K76=""),
    "",
    MAX(
    INDIRECT("'" &amp; INDEX('Hulp (CAO''s)'!$C$3:$C$6,
        MATCH(TRUE,'Hulp (CAO''s)'!$D$3:$D$6,0)) &amp; "'!" &amp;
        INDEX('Hulp (CAO''s)'!$H$3:$H$6,
            MATCH(TRUE,'Hulp (CAO''s)'!$D$3:$D$6,0))
        &amp;
        MATCH(K75, INDIRECT("'" &amp; INDEX('Hulp (CAO''s)'!$C$3:$C$6,
            MATCH(TRUE,'Hulp (CAO''s)'!$D$3:$D$6,0)) &amp; "'!A:A"),0)
        &amp; ":H" &amp;
        IF(L75&lt;&gt;"",
            MATCH(L75, INDIRECT("'" &amp; INDEX('Hulp (CAO''s)'!$C$3:$C$6,
                MATCH(TRUE,'Hulp (CAO''s)'!$D$3:$D$6,0)) &amp; "'!A:A"),0)-1,
            1000
        )
    )
) * K76
),
IF(
    IFERROR(MIN(
        IF(
            (TRIM(INDIRECT("'" &amp; INDEX('Hulp (CAO''s)'!$C$3:$C$6,
                MATCH(TRUE,'Hulp (CAO''s)'!$D$3:$D$6,0)) &amp; "'!B1:B1000")) = TEXT(K77,"0")) *
            (ROW(INDIRECT("'" &amp; INDEX('Hulp (CAO''s)'!$C$3:$C$6,
                MATCH(TRUE,'Hulp (CAO''s)'!$D$3:$D$6,0)) &amp; "'!B1:B1000")) &gt; MATCH(
                K75,
                INDIRECT("'" &amp; INDEX('Hulp (CAO''s)'!$C$3:$C$6,
                    MATCH(TRUE,'Hulp (CAO''s)'!$D$3:$D$6,0)) &amp; "'!A:A"),
                0
            )) *
            IF(
                L75="",
                1,
                (ROW(INDIRECT("'" &amp; INDEX('Hulp (CAO''s)'!$C$3:$C$6,
                    MATCH(TRUE,'Hulp (CAO''s)'!$D$3:$D$6,0)) &amp; "'!B1:B1000")) &lt; MATCH(
                    L75,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TEXT(K77,"0")) *
                (ROW(INDIRECT("'" &amp; INDEX('Hulp (CAO''s)'!$C$3:$C$6,
                    MATCH(TRUE,'Hulp (CAO''s)'!$D$3:$D$6,0)) &amp; "'!B1:B1000")) &gt; MATCH(
                    K75,
                    INDIRECT("'" &amp; INDEX('Hulp (CAO''s)'!$C$3:$C$6,
                        MATCH(TRUE,'Hulp (CAO''s)'!$D$3:$D$6,0)) &amp; "'!A:A"),
                    0
                )) *
                IF(
                    L75="",
                    1,
                    (ROW(INDIRECT("'" &amp; INDEX('Hulp (CAO''s)'!$C$3:$C$6,
                        MATCH(TRUE,'Hulp (CAO''s)'!$D$3:$D$6,0)) &amp; "'!B1:B1000")) &lt; MATCH(
                        L75,
                        INDIRECT("'" &amp; INDEX('Hulp (CAO''s)'!$C$3:$C$6,
                            MATCH(TRUE,'Hulp (CAO''s)'!$D$3:$D$6,0)) &amp; "'!A:A"),
                        0
                    ))
                ),
                ROW(INDIRECT("'" &amp; INDEX('Hulp (CAO''s)'!$C$3:$C$6,
                    MATCH(TRUE,'Hulp (CAO''s)'!$D$3:$D$6,0)) &amp; "'!B1:B1000"))
            )
        ),0)
    )
))</f>
        <v/>
      </c>
      <c r="L78" s="145" t="str">
        <f t="array" aca="1" ref="L78" ca="1">IF($D76="Gebruik % van maximum trede",
IF(
    OR(L75="",L76=""),
    "",
    MAX(
    INDIRECT("'" &amp; INDEX('Hulp (CAO''s)'!$C$3:$C$6,
        MATCH(TRUE,'Hulp (CAO''s)'!$D$3:$D$6,0)) &amp; "'!" &amp;
        INDEX('Hulp (CAO''s)'!$H$3:$H$6,
            MATCH(TRUE,'Hulp (CAO''s)'!$D$3:$D$6,0))
        &amp;
        MATCH(L75, INDIRECT("'" &amp; INDEX('Hulp (CAO''s)'!$C$3:$C$6,
            MATCH(TRUE,'Hulp (CAO''s)'!$D$3:$D$6,0)) &amp; "'!A:A"),0)
        &amp; ":H" &amp;
        IF(M75&lt;&gt;"",
            MATCH(M75, INDIRECT("'" &amp; INDEX('Hulp (CAO''s)'!$C$3:$C$6,
                MATCH(TRUE,'Hulp (CAO''s)'!$D$3:$D$6,0)) &amp; "'!A:A"),0)-1,
            1000
        )
    )
) * L76
),
IF(
    IFERROR(MIN(
        IF(
            (TRIM(INDIRECT("'" &amp; INDEX('Hulp (CAO''s)'!$C$3:$C$6,
                MATCH(TRUE,'Hulp (CAO''s)'!$D$3:$D$6,0)) &amp; "'!B1:B1000")) = TEXT(L77,"0")) *
            (ROW(INDIRECT("'" &amp; INDEX('Hulp (CAO''s)'!$C$3:$C$6,
                MATCH(TRUE,'Hulp (CAO''s)'!$D$3:$D$6,0)) &amp; "'!B1:B1000")) &gt; MATCH(
                L75,
                INDIRECT("'" &amp; INDEX('Hulp (CAO''s)'!$C$3:$C$6,
                    MATCH(TRUE,'Hulp (CAO''s)'!$D$3:$D$6,0)) &amp; "'!A:A"),
                0
            )) *
            IF(
                M75="",
                1,
                (ROW(INDIRECT("'" &amp; INDEX('Hulp (CAO''s)'!$C$3:$C$6,
                    MATCH(TRUE,'Hulp (CAO''s)'!$D$3:$D$6,0)) &amp; "'!B1:B1000")) &lt; MATCH(
                    M75,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TEXT(L77,"0")) *
                (ROW(INDIRECT("'" &amp; INDEX('Hulp (CAO''s)'!$C$3:$C$6,
                    MATCH(TRUE,'Hulp (CAO''s)'!$D$3:$D$6,0)) &amp; "'!B1:B1000")) &gt; MATCH(
                    L75,
                    INDIRECT("'" &amp; INDEX('Hulp (CAO''s)'!$C$3:$C$6,
                        MATCH(TRUE,'Hulp (CAO''s)'!$D$3:$D$6,0)) &amp; "'!A:A"),
                    0
                )) *
                IF(
                    M75="",
                    1,
                    (ROW(INDIRECT("'" &amp; INDEX('Hulp (CAO''s)'!$C$3:$C$6,
                        MATCH(TRUE,'Hulp (CAO''s)'!$D$3:$D$6,0)) &amp; "'!B1:B1000")) &lt; MATCH(
                        M75,
                        INDIRECT("'" &amp; INDEX('Hulp (CAO''s)'!$C$3:$C$6,
                            MATCH(TRUE,'Hulp (CAO''s)'!$D$3:$D$6,0)) &amp; "'!A:A"),
                        0
                    ))
                ),
                ROW(INDIRECT("'" &amp; INDEX('Hulp (CAO''s)'!$C$3:$C$6,
                    MATCH(TRUE,'Hulp (CAO''s)'!$D$3:$D$6,0)) &amp; "'!B1:B1000"))
            )
        ),0)
    )
))</f>
        <v/>
      </c>
      <c r="M78" s="145" t="str">
        <f t="array" aca="1" ref="M78" ca="1">IF($D76="Gebruik % van maximum trede",
IF(
    OR(M75="",M76=""),
    "",
    MAX(
    INDIRECT("'" &amp; INDEX('Hulp (CAO''s)'!$C$3:$C$6,
        MATCH(TRUE,'Hulp (CAO''s)'!$D$3:$D$6,0)) &amp; "'!" &amp;
        INDEX('Hulp (CAO''s)'!$H$3:$H$6,
            MATCH(TRUE,'Hulp (CAO''s)'!$D$3:$D$6,0))
        &amp;
        MATCH(M75, INDIRECT("'" &amp; INDEX('Hulp (CAO''s)'!$C$3:$C$6,
            MATCH(TRUE,'Hulp (CAO''s)'!$D$3:$D$6,0)) &amp; "'!A:A"),0)
        &amp; ":H" &amp;
        IF(N75&lt;&gt;"",
            MATCH(N75, INDIRECT("'" &amp; INDEX('Hulp (CAO''s)'!$C$3:$C$6,
                MATCH(TRUE,'Hulp (CAO''s)'!$D$3:$D$6,0)) &amp; "'!A:A"),0)-1,
            1000
        )
    )
) * M76
),
IF(
    IFERROR(MIN(
        IF(
            (TRIM(INDIRECT("'" &amp; INDEX('Hulp (CAO''s)'!$C$3:$C$6,
                MATCH(TRUE,'Hulp (CAO''s)'!$D$3:$D$6,0)) &amp; "'!B1:B1000")) = TEXT(M77,"0")) *
            (ROW(INDIRECT("'" &amp; INDEX('Hulp (CAO''s)'!$C$3:$C$6,
                MATCH(TRUE,'Hulp (CAO''s)'!$D$3:$D$6,0)) &amp; "'!B1:B1000")) &gt; MATCH(
                M75,
                INDIRECT("'" &amp; INDEX('Hulp (CAO''s)'!$C$3:$C$6,
                    MATCH(TRUE,'Hulp (CAO''s)'!$D$3:$D$6,0)) &amp; "'!A:A"),
                0
            )) *
            IF(
                N75="",
                1,
                (ROW(INDIRECT("'" &amp; INDEX('Hulp (CAO''s)'!$C$3:$C$6,
                    MATCH(TRUE,'Hulp (CAO''s)'!$D$3:$D$6,0)) &amp; "'!B1:B1000")) &lt; MATCH(
                    N75,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TEXT(M77,"0")) *
                (ROW(INDIRECT("'" &amp; INDEX('Hulp (CAO''s)'!$C$3:$C$6,
                    MATCH(TRUE,'Hulp (CAO''s)'!$D$3:$D$6,0)) &amp; "'!B1:B1000")) &gt; MATCH(
                    M75,
                    INDIRECT("'" &amp; INDEX('Hulp (CAO''s)'!$C$3:$C$6,
                        MATCH(TRUE,'Hulp (CAO''s)'!$D$3:$D$6,0)) &amp; "'!A:A"),
                    0
                )) *
                IF(
                    N75="",
                    1,
                    (ROW(INDIRECT("'" &amp; INDEX('Hulp (CAO''s)'!$C$3:$C$6,
                        MATCH(TRUE,'Hulp (CAO''s)'!$D$3:$D$6,0)) &amp; "'!B1:B1000")) &lt; MATCH(
                        N75,
                        INDIRECT("'" &amp; INDEX('Hulp (CAO''s)'!$C$3:$C$6,
                            MATCH(TRUE,'Hulp (CAO''s)'!$D$3:$D$6,0)) &amp; "'!A:A"),
                        0
                    ))
                ),
                ROW(INDIRECT("'" &amp; INDEX('Hulp (CAO''s)'!$C$3:$C$6,
                    MATCH(TRUE,'Hulp (CAO''s)'!$D$3:$D$6,0)) &amp; "'!B1:B1000"))
            )
        ),0)
    )
))</f>
        <v/>
      </c>
      <c r="N78" s="145" t="str">
        <f t="array" aca="1" ref="N78" ca="1">IF($D76="Gebruik % van maximum trede",
IF(
    OR(N75="",N76=""),
    "",
    MAX(
    INDIRECT("'" &amp; INDEX('Hulp (CAO''s)'!$C$3:$C$6,
        MATCH(TRUE,'Hulp (CAO''s)'!$D$3:$D$6,0)) &amp; "'!" &amp;
        INDEX('Hulp (CAO''s)'!$H$3:$H$6,
            MATCH(TRUE,'Hulp (CAO''s)'!$D$3:$D$6,0))
        &amp;
        MATCH(N75, INDIRECT("'" &amp; INDEX('Hulp (CAO''s)'!$C$3:$C$6,
            MATCH(TRUE,'Hulp (CAO''s)'!$D$3:$D$6,0)) &amp; "'!A:A"),0)
        &amp; ":H" &amp;
        IF(O75&lt;&gt;"",
            MATCH(O75, INDIRECT("'" &amp; INDEX('Hulp (CAO''s)'!$C$3:$C$6,
                MATCH(TRUE,'Hulp (CAO''s)'!$D$3:$D$6,0)) &amp; "'!A:A"),0)-1,
            1000
        )
    )
) * N76
),
IF(
    IFERROR(MIN(
        IF(
            (TRIM(INDIRECT("'" &amp; INDEX('Hulp (CAO''s)'!$C$3:$C$6,
                MATCH(TRUE,'Hulp (CAO''s)'!$D$3:$D$6,0)) &amp; "'!B1:B1000")) = TEXT(N77,"0")) *
            (ROW(INDIRECT("'" &amp; INDEX('Hulp (CAO''s)'!$C$3:$C$6,
                MATCH(TRUE,'Hulp (CAO''s)'!$D$3:$D$6,0)) &amp; "'!B1:B1000")) &gt; MATCH(
                N75,
                INDIRECT("'" &amp; INDEX('Hulp (CAO''s)'!$C$3:$C$6,
                    MATCH(TRUE,'Hulp (CAO''s)'!$D$3:$D$6,0)) &amp; "'!A:A"),
                0
            )) *
            IF(
                O75="",
                1,
                (ROW(INDIRECT("'" &amp; INDEX('Hulp (CAO''s)'!$C$3:$C$6,
                    MATCH(TRUE,'Hulp (CAO''s)'!$D$3:$D$6,0)) &amp; "'!B1:B1000")) &lt; MATCH(
                    O75,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TEXT(N77,"0")) *
                (ROW(INDIRECT("'" &amp; INDEX('Hulp (CAO''s)'!$C$3:$C$6,
                    MATCH(TRUE,'Hulp (CAO''s)'!$D$3:$D$6,0)) &amp; "'!B1:B1000")) &gt; MATCH(
                    N75,
                    INDIRECT("'" &amp; INDEX('Hulp (CAO''s)'!$C$3:$C$6,
                        MATCH(TRUE,'Hulp (CAO''s)'!$D$3:$D$6,0)) &amp; "'!A:A"),
                    0
                )) *
                IF(
                    O75="",
                    1,
                    (ROW(INDIRECT("'" &amp; INDEX('Hulp (CAO''s)'!$C$3:$C$6,
                        MATCH(TRUE,'Hulp (CAO''s)'!$D$3:$D$6,0)) &amp; "'!B1:B1000")) &lt; MATCH(
                        O75,
                        INDIRECT("'" &amp; INDEX('Hulp (CAO''s)'!$C$3:$C$6,
                            MATCH(TRUE,'Hulp (CAO''s)'!$D$3:$D$6,0)) &amp; "'!A:A"),
                        0
                    ))
                ),
                ROW(INDIRECT("'" &amp; INDEX('Hulp (CAO''s)'!$C$3:$C$6,
                    MATCH(TRUE,'Hulp (CAO''s)'!$D$3:$D$6,0)) &amp; "'!B1:B1000"))
            )
        ),0)
    )
))</f>
        <v/>
      </c>
      <c r="O78" s="145" t="str">
        <f t="array" aca="1" ref="O78" ca="1">IF($D76="Gebruik % van maximum trede",
IF(
    OR(O75="",O76=""),
    "",
    MAX(
    INDIRECT("'" &amp; INDEX('Hulp (CAO''s)'!$C$3:$C$6,
        MATCH(TRUE,'Hulp (CAO''s)'!$D$3:$D$6,0)) &amp; "'!" &amp;
        INDEX('Hulp (CAO''s)'!$H$3:$H$6,
            MATCH(TRUE,'Hulp (CAO''s)'!$D$3:$D$6,0))
        &amp;
        MATCH(O75, INDIRECT("'" &amp; INDEX('Hulp (CAO''s)'!$C$3:$C$6,
            MATCH(TRUE,'Hulp (CAO''s)'!$D$3:$D$6,0)) &amp; "'!A:A"),0)
        &amp; ":H" &amp;
        IF(P75&lt;&gt;"",
            MATCH(P75, INDIRECT("'" &amp; INDEX('Hulp (CAO''s)'!$C$3:$C$6,
                MATCH(TRUE,'Hulp (CAO''s)'!$D$3:$D$6,0)) &amp; "'!A:A"),0)-1,
            1000
        )
    )
) * O76
),
IF(
    IFERROR(MIN(
        IF(
            (TRIM(INDIRECT("'" &amp; INDEX('Hulp (CAO''s)'!$C$3:$C$6,
                MATCH(TRUE,'Hulp (CAO''s)'!$D$3:$D$6,0)) &amp; "'!B1:B1000")) = TEXT(O77,"0")) *
            (ROW(INDIRECT("'" &amp; INDEX('Hulp (CAO''s)'!$C$3:$C$6,
                MATCH(TRUE,'Hulp (CAO''s)'!$D$3:$D$6,0)) &amp; "'!B1:B1000")) &gt; MATCH(
                O75,
                INDIRECT("'" &amp; INDEX('Hulp (CAO''s)'!$C$3:$C$6,
                    MATCH(TRUE,'Hulp (CAO''s)'!$D$3:$D$6,0)) &amp; "'!A:A"),
                0
            )) *
            IF(
                P75="",
                1,
                (ROW(INDIRECT("'" &amp; INDEX('Hulp (CAO''s)'!$C$3:$C$6,
                    MATCH(TRUE,'Hulp (CAO''s)'!$D$3:$D$6,0)) &amp; "'!B1:B1000")) &lt; MATCH(
                    P75,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TEXT(O77,"0")) *
                (ROW(INDIRECT("'" &amp; INDEX('Hulp (CAO''s)'!$C$3:$C$6,
                    MATCH(TRUE,'Hulp (CAO''s)'!$D$3:$D$6,0)) &amp; "'!B1:B1000")) &gt; MATCH(
                    O75,
                    INDIRECT("'" &amp; INDEX('Hulp (CAO''s)'!$C$3:$C$6,
                        MATCH(TRUE,'Hulp (CAO''s)'!$D$3:$D$6,0)) &amp; "'!A:A"),
                    0
                )) *
                IF(
                    P75="",
                    1,
                    (ROW(INDIRECT("'" &amp; INDEX('Hulp (CAO''s)'!$C$3:$C$6,
                        MATCH(TRUE,'Hulp (CAO''s)'!$D$3:$D$6,0)) &amp; "'!B1:B1000")) &lt; MATCH(
                        P75,
                        INDIRECT("'" &amp; INDEX('Hulp (CAO''s)'!$C$3:$C$6,
                            MATCH(TRUE,'Hulp (CAO''s)'!$D$3:$D$6,0)) &amp; "'!A:A"),
                        0
                    ))
                ),
                ROW(INDIRECT("'" &amp; INDEX('Hulp (CAO''s)'!$C$3:$C$6,
                    MATCH(TRUE,'Hulp (CAO''s)'!$D$3:$D$6,0)) &amp; "'!B1:B1000"))
            )
        ),0)
    )
))</f>
        <v/>
      </c>
      <c r="P78" s="145" t="str">
        <f t="array" aca="1" ref="P78" ca="1">IF($D76="Gebruik % van maximum trede",
IF(
    OR(P75="",P76=""),
    "",
    MAX(
    INDIRECT("'" &amp; INDEX('Hulp (CAO''s)'!$C$3:$C$6,
        MATCH(TRUE,'Hulp (CAO''s)'!$D$3:$D$6,0)) &amp; "'!" &amp;
        INDEX('Hulp (CAO''s)'!$H$3:$H$6,
            MATCH(TRUE,'Hulp (CAO''s)'!$D$3:$D$6,0))
        &amp;
        MATCH(P75, INDIRECT("'" &amp; INDEX('Hulp (CAO''s)'!$C$3:$C$6,
            MATCH(TRUE,'Hulp (CAO''s)'!$D$3:$D$6,0)) &amp; "'!A:A"),0)
        &amp; ":H" &amp;
        IF(Q75&lt;&gt;"",
            MATCH(Q75, INDIRECT("'" &amp; INDEX('Hulp (CAO''s)'!$C$3:$C$6,
                MATCH(TRUE,'Hulp (CAO''s)'!$D$3:$D$6,0)) &amp; "'!A:A"),0)-1,
            1000
        )
    )
) * P76
),
IF(
    IFERROR(MIN(
        IF(
            (TRIM(INDIRECT("'" &amp; INDEX('Hulp (CAO''s)'!$C$3:$C$6,
                MATCH(TRUE,'Hulp (CAO''s)'!$D$3:$D$6,0)) &amp; "'!B1:B1000")) = TEXT(P77,"0")) *
            (ROW(INDIRECT("'" &amp; INDEX('Hulp (CAO''s)'!$C$3:$C$6,
                MATCH(TRUE,'Hulp (CAO''s)'!$D$3:$D$6,0)) &amp; "'!B1:B1000")) &gt; MATCH(
                P75,
                INDIRECT("'" &amp; INDEX('Hulp (CAO''s)'!$C$3:$C$6,
                    MATCH(TRUE,'Hulp (CAO''s)'!$D$3:$D$6,0)) &amp; "'!A:A"),
                0
            )) *
            IF(
                Q75="",
                1,
                (ROW(INDIRECT("'" &amp; INDEX('Hulp (CAO''s)'!$C$3:$C$6,
                    MATCH(TRUE,'Hulp (CAO''s)'!$D$3:$D$6,0)) &amp; "'!B1:B1000")) &lt; MATCH(
                    Q75,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TEXT(P77,"0")) *
                (ROW(INDIRECT("'" &amp; INDEX('Hulp (CAO''s)'!$C$3:$C$6,
                    MATCH(TRUE,'Hulp (CAO''s)'!$D$3:$D$6,0)) &amp; "'!B1:B1000")) &gt; MATCH(
                    P75,
                    INDIRECT("'" &amp; INDEX('Hulp (CAO''s)'!$C$3:$C$6,
                        MATCH(TRUE,'Hulp (CAO''s)'!$D$3:$D$6,0)) &amp; "'!A:A"),
                    0
                )) *
                IF(
                    Q75="",
                    1,
                    (ROW(INDIRECT("'" &amp; INDEX('Hulp (CAO''s)'!$C$3:$C$6,
                        MATCH(TRUE,'Hulp (CAO''s)'!$D$3:$D$6,0)) &amp; "'!B1:B1000")) &lt; MATCH(
                        Q75,
                        INDIRECT("'" &amp; INDEX('Hulp (CAO''s)'!$C$3:$C$6,
                            MATCH(TRUE,'Hulp (CAO''s)'!$D$3:$D$6,0)) &amp; "'!A:A"),
                        0
                    ))
                ),
                ROW(INDIRECT("'" &amp; INDEX('Hulp (CAO''s)'!$C$3:$C$6,
                    MATCH(TRUE,'Hulp (CAO''s)'!$D$3:$D$6,0)) &amp; "'!B1:B1000"))
            )
        ),0)
    )
))</f>
        <v/>
      </c>
      <c r="Q78" s="145" t="str">
        <f t="array" aca="1" ref="Q78" ca="1">IF($D76="Gebruik % van maximum trede",
IF(
    OR(Q75="",Q76=""),
    "",
    MAX(
    INDIRECT("'" &amp; INDEX('Hulp (CAO''s)'!$C$3:$C$6,
        MATCH(TRUE,'Hulp (CAO''s)'!$D$3:$D$6,0)) &amp; "'!" &amp;
        INDEX('Hulp (CAO''s)'!$H$3:$H$6,
            MATCH(TRUE,'Hulp (CAO''s)'!$D$3:$D$6,0))
        &amp;
        MATCH(Q75, INDIRECT("'" &amp; INDEX('Hulp (CAO''s)'!$C$3:$C$6,
            MATCH(TRUE,'Hulp (CAO''s)'!$D$3:$D$6,0)) &amp; "'!A:A"),0)
        &amp; ":H" &amp;
        IF(R75&lt;&gt;"",
            MATCH(R75, INDIRECT("'" &amp; INDEX('Hulp (CAO''s)'!$C$3:$C$6,
                MATCH(TRUE,'Hulp (CAO''s)'!$D$3:$D$6,0)) &amp; "'!A:A"),0)-1,
            1000
        )
    )
) * Q76
),
IF(
    IFERROR(MIN(
        IF(
            (TRIM(INDIRECT("'" &amp; INDEX('Hulp (CAO''s)'!$C$3:$C$6,
                MATCH(TRUE,'Hulp (CAO''s)'!$D$3:$D$6,0)) &amp; "'!B1:B1000")) = TEXT(Q77,"0")) *
            (ROW(INDIRECT("'" &amp; INDEX('Hulp (CAO''s)'!$C$3:$C$6,
                MATCH(TRUE,'Hulp (CAO''s)'!$D$3:$D$6,0)) &amp; "'!B1:B1000")) &gt; MATCH(
                Q75,
                INDIRECT("'" &amp; INDEX('Hulp (CAO''s)'!$C$3:$C$6,
                    MATCH(TRUE,'Hulp (CAO''s)'!$D$3:$D$6,0)) &amp; "'!A:A"),
                0
            )) *
            IF(
                R75="",
                1,
                (ROW(INDIRECT("'" &amp; INDEX('Hulp (CAO''s)'!$C$3:$C$6,
                    MATCH(TRUE,'Hulp (CAO''s)'!$D$3:$D$6,0)) &amp; "'!B1:B1000")) &lt; MATCH(
                    R75,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TEXT(Q77,"0")) *
                (ROW(INDIRECT("'" &amp; INDEX('Hulp (CAO''s)'!$C$3:$C$6,
                    MATCH(TRUE,'Hulp (CAO''s)'!$D$3:$D$6,0)) &amp; "'!B1:B1000")) &gt; MATCH(
                    Q75,
                    INDIRECT("'" &amp; INDEX('Hulp (CAO''s)'!$C$3:$C$6,
                        MATCH(TRUE,'Hulp (CAO''s)'!$D$3:$D$6,0)) &amp; "'!A:A"),
                    0
                )) *
                IF(
                    R75="",
                    1,
                    (ROW(INDIRECT("'" &amp; INDEX('Hulp (CAO''s)'!$C$3:$C$6,
                        MATCH(TRUE,'Hulp (CAO''s)'!$D$3:$D$6,0)) &amp; "'!B1:B1000")) &lt; MATCH(
                        R75,
                        INDIRECT("'" &amp; INDEX('Hulp (CAO''s)'!$C$3:$C$6,
                            MATCH(TRUE,'Hulp (CAO''s)'!$D$3:$D$6,0)) &amp; "'!A:A"),
                        0
                    ))
                ),
                ROW(INDIRECT("'" &amp; INDEX('Hulp (CAO''s)'!$C$3:$C$6,
                    MATCH(TRUE,'Hulp (CAO''s)'!$D$3:$D$6,0)) &amp; "'!B1:B1000"))
            )
        ),0)
    )
))</f>
        <v/>
      </c>
      <c r="R78" s="145" t="str">
        <f t="array" aca="1" ref="R78" ca="1">IF($D76="Gebruik % van maximum trede",
IF(
    OR(R75="",R76=""),
    "",
    MAX(
    INDIRECT("'" &amp; INDEX('Hulp (CAO''s)'!$C$3:$C$6,
        MATCH(TRUE,'Hulp (CAO''s)'!$D$3:$D$6,0)) &amp; "'!" &amp;
        INDEX('Hulp (CAO''s)'!$H$3:$H$6,
            MATCH(TRUE,'Hulp (CAO''s)'!$D$3:$D$6,0))
        &amp;
        MATCH(R75, INDIRECT("'" &amp; INDEX('Hulp (CAO''s)'!$C$3:$C$6,
            MATCH(TRUE,'Hulp (CAO''s)'!$D$3:$D$6,0)) &amp; "'!A:A"),0)
        &amp; ":H" &amp;
        IF(S75&lt;&gt;"",
            MATCH(S75, INDIRECT("'" &amp; INDEX('Hulp (CAO''s)'!$C$3:$C$6,
                MATCH(TRUE,'Hulp (CAO''s)'!$D$3:$D$6,0)) &amp; "'!A:A"),0)-1,
            1000
        )
    )
) * R76
),
IF(
    IFERROR(MIN(
        IF(
            (TRIM(INDIRECT("'" &amp; INDEX('Hulp (CAO''s)'!$C$3:$C$6,
                MATCH(TRUE,'Hulp (CAO''s)'!$D$3:$D$6,0)) &amp; "'!B1:B1000")) = TEXT(R77,"0")) *
            (ROW(INDIRECT("'" &amp; INDEX('Hulp (CAO''s)'!$C$3:$C$6,
                MATCH(TRUE,'Hulp (CAO''s)'!$D$3:$D$6,0)) &amp; "'!B1:B1000")) &gt; MATCH(
                R75,
                INDIRECT("'" &amp; INDEX('Hulp (CAO''s)'!$C$3:$C$6,
                    MATCH(TRUE,'Hulp (CAO''s)'!$D$3:$D$6,0)) &amp; "'!A:A"),
                0
            )) *
            IF(
                S75="",
                1,
                (ROW(INDIRECT("'" &amp; INDEX('Hulp (CAO''s)'!$C$3:$C$6,
                    MATCH(TRUE,'Hulp (CAO''s)'!$D$3:$D$6,0)) &amp; "'!B1:B1000")) &lt; MATCH(
                    S75,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TEXT(R77,"0")) *
                (ROW(INDIRECT("'" &amp; INDEX('Hulp (CAO''s)'!$C$3:$C$6,
                    MATCH(TRUE,'Hulp (CAO''s)'!$D$3:$D$6,0)) &amp; "'!B1:B1000")) &gt; MATCH(
                    R75,
                    INDIRECT("'" &amp; INDEX('Hulp (CAO''s)'!$C$3:$C$6,
                        MATCH(TRUE,'Hulp (CAO''s)'!$D$3:$D$6,0)) &amp; "'!A:A"),
                    0
                )) *
                IF(
                    S75="",
                    1,
                    (ROW(INDIRECT("'" &amp; INDEX('Hulp (CAO''s)'!$C$3:$C$6,
                        MATCH(TRUE,'Hulp (CAO''s)'!$D$3:$D$6,0)) &amp; "'!B1:B1000")) &lt; MATCH(
                        S75,
                        INDIRECT("'" &amp; INDEX('Hulp (CAO''s)'!$C$3:$C$6,
                            MATCH(TRUE,'Hulp (CAO''s)'!$D$3:$D$6,0)) &amp; "'!A:A"),
                        0
                    ))
                ),
                ROW(INDIRECT("'" &amp; INDEX('Hulp (CAO''s)'!$C$3:$C$6,
                    MATCH(TRUE,'Hulp (CAO''s)'!$D$3:$D$6,0)) &amp; "'!B1:B1000"))
            )
        ),0)
    )
))</f>
        <v/>
      </c>
      <c r="S78" s="145" t="str">
        <f t="array" aca="1" ref="S78" ca="1">IF($D76="Gebruik % van maximum trede",
IF(
    OR(S75="",S76=""),
    "",
    MAX(
    INDIRECT("'" &amp; INDEX('Hulp (CAO''s)'!$C$3:$C$6,
        MATCH(TRUE,'Hulp (CAO''s)'!$D$3:$D$6,0)) &amp; "'!" &amp;
        INDEX('Hulp (CAO''s)'!$H$3:$H$6,
            MATCH(TRUE,'Hulp (CAO''s)'!$D$3:$D$6,0))
        &amp;
        MATCH(S75, INDIRECT("'" &amp; INDEX('Hulp (CAO''s)'!$C$3:$C$6,
            MATCH(TRUE,'Hulp (CAO''s)'!$D$3:$D$6,0)) &amp; "'!A:A"),0)
        &amp; ":H" &amp;
        IF(T75&lt;&gt;"",
            MATCH(T75, INDIRECT("'" &amp; INDEX('Hulp (CAO''s)'!$C$3:$C$6,
                MATCH(TRUE,'Hulp (CAO''s)'!$D$3:$D$6,0)) &amp; "'!A:A"),0)-1,
            1000
        )
    )
) * S76
),
IF(
    IFERROR(MIN(
        IF(
            (TRIM(INDIRECT("'" &amp; INDEX('Hulp (CAO''s)'!$C$3:$C$6,
                MATCH(TRUE,'Hulp (CAO''s)'!$D$3:$D$6,0)) &amp; "'!B1:B1000")) = TEXT(S77,"0")) *
            (ROW(INDIRECT("'" &amp; INDEX('Hulp (CAO''s)'!$C$3:$C$6,
                MATCH(TRUE,'Hulp (CAO''s)'!$D$3:$D$6,0)) &amp; "'!B1:B1000")) &gt; MATCH(
                S75,
                INDIRECT("'" &amp; INDEX('Hulp (CAO''s)'!$C$3:$C$6,
                    MATCH(TRUE,'Hulp (CAO''s)'!$D$3:$D$6,0)) &amp; "'!A:A"),
                0
            )) *
            IF(
                T75="",
                1,
                (ROW(INDIRECT("'" &amp; INDEX('Hulp (CAO''s)'!$C$3:$C$6,
                    MATCH(TRUE,'Hulp (CAO''s)'!$D$3:$D$6,0)) &amp; "'!B1:B1000")) &lt; MATCH(
                    T75,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TEXT(S77,"0")) *
                (ROW(INDIRECT("'" &amp; INDEX('Hulp (CAO''s)'!$C$3:$C$6,
                    MATCH(TRUE,'Hulp (CAO''s)'!$D$3:$D$6,0)) &amp; "'!B1:B1000")) &gt; MATCH(
                    S75,
                    INDIRECT("'" &amp; INDEX('Hulp (CAO''s)'!$C$3:$C$6,
                        MATCH(TRUE,'Hulp (CAO''s)'!$D$3:$D$6,0)) &amp; "'!A:A"),
                    0
                )) *
                IF(
                    T75="",
                    1,
                    (ROW(INDIRECT("'" &amp; INDEX('Hulp (CAO''s)'!$C$3:$C$6,
                        MATCH(TRUE,'Hulp (CAO''s)'!$D$3:$D$6,0)) &amp; "'!B1:B1000")) &lt; MATCH(
                        T75,
                        INDIRECT("'" &amp; INDEX('Hulp (CAO''s)'!$C$3:$C$6,
                            MATCH(TRUE,'Hulp (CAO''s)'!$D$3:$D$6,0)) &amp; "'!A:A"),
                        0
                    ))
                ),
                ROW(INDIRECT("'" &amp; INDEX('Hulp (CAO''s)'!$C$3:$C$6,
                    MATCH(TRUE,'Hulp (CAO''s)'!$D$3:$D$6,0)) &amp; "'!B1:B1000"))
            )
        ),0)
    )
))</f>
        <v/>
      </c>
      <c r="T78" s="145" t="str">
        <f t="array" aca="1" ref="T78" ca="1">IF($D76="Gebruik % van maximum trede",
IF(
    OR(T75="",T76=""),
    "",
    MAX(
    INDIRECT("'" &amp; INDEX('Hulp (CAO''s)'!$C$3:$C$6,
        MATCH(TRUE,'Hulp (CAO''s)'!$D$3:$D$6,0)) &amp; "'!" &amp;
        INDEX('Hulp (CAO''s)'!$H$3:$H$6,
            MATCH(TRUE,'Hulp (CAO''s)'!$D$3:$D$6,0))
        &amp;
        MATCH(T75, INDIRECT("'" &amp; INDEX('Hulp (CAO''s)'!$C$3:$C$6,
            MATCH(TRUE,'Hulp (CAO''s)'!$D$3:$D$6,0)) &amp; "'!A:A"),0)
        &amp; ":H" &amp;
        IF(U75&lt;&gt;"",
            MATCH(U75, INDIRECT("'" &amp; INDEX('Hulp (CAO''s)'!$C$3:$C$6,
                MATCH(TRUE,'Hulp (CAO''s)'!$D$3:$D$6,0)) &amp; "'!A:A"),0)-1,
            1000
        )
    )
) * T76
),
IF(
    IFERROR(MIN(
        IF(
            (TRIM(INDIRECT("'" &amp; INDEX('Hulp (CAO''s)'!$C$3:$C$6,
                MATCH(TRUE,'Hulp (CAO''s)'!$D$3:$D$6,0)) &amp; "'!B1:B1000")) = TEXT(T77,"0")) *
            (ROW(INDIRECT("'" &amp; INDEX('Hulp (CAO''s)'!$C$3:$C$6,
                MATCH(TRUE,'Hulp (CAO''s)'!$D$3:$D$6,0)) &amp; "'!B1:B1000")) &gt; MATCH(
                T75,
                INDIRECT("'" &amp; INDEX('Hulp (CAO''s)'!$C$3:$C$6,
                    MATCH(TRUE,'Hulp (CAO''s)'!$D$3:$D$6,0)) &amp; "'!A:A"),
                0
            )) *
            IF(
                U75="",
                1,
                (ROW(INDIRECT("'" &amp; INDEX('Hulp (CAO''s)'!$C$3:$C$6,
                    MATCH(TRUE,'Hulp (CAO''s)'!$D$3:$D$6,0)) &amp; "'!B1:B1000")) &lt; MATCH(
                    U75,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TEXT(T77,"0")) *
                (ROW(INDIRECT("'" &amp; INDEX('Hulp (CAO''s)'!$C$3:$C$6,
                    MATCH(TRUE,'Hulp (CAO''s)'!$D$3:$D$6,0)) &amp; "'!B1:B1000")) &gt; MATCH(
                    T75,
                    INDIRECT("'" &amp; INDEX('Hulp (CAO''s)'!$C$3:$C$6,
                        MATCH(TRUE,'Hulp (CAO''s)'!$D$3:$D$6,0)) &amp; "'!A:A"),
                    0
                )) *
                IF(
                    U75="",
                    1,
                    (ROW(INDIRECT("'" &amp; INDEX('Hulp (CAO''s)'!$C$3:$C$6,
                        MATCH(TRUE,'Hulp (CAO''s)'!$D$3:$D$6,0)) &amp; "'!B1:B1000")) &lt; MATCH(
                        U75,
                        INDIRECT("'" &amp; INDEX('Hulp (CAO''s)'!$C$3:$C$6,
                            MATCH(TRUE,'Hulp (CAO''s)'!$D$3:$D$6,0)) &amp; "'!A:A"),
                        0
                    ))
                ),
                ROW(INDIRECT("'" &amp; INDEX('Hulp (CAO''s)'!$C$3:$C$6,
                    MATCH(TRUE,'Hulp (CAO''s)'!$D$3:$D$6,0)) &amp; "'!B1:B1000"))
            )
        ),0)
    )
))</f>
        <v/>
      </c>
      <c r="U78" s="145" t="str">
        <f t="array" aca="1" ref="U78" ca="1">IF($D76="Gebruik % van maximum trede",
IF(
    OR(U75="",U76=""),
    "",
    MAX(
    INDIRECT("'" &amp; INDEX('Hulp (CAO''s)'!$C$3:$C$6,
        MATCH(TRUE,'Hulp (CAO''s)'!$D$3:$D$6,0)) &amp; "'!" &amp;
        INDEX('Hulp (CAO''s)'!$H$3:$H$6,
            MATCH(TRUE,'Hulp (CAO''s)'!$D$3:$D$6,0))
        &amp;
        MATCH(U75, INDIRECT("'" &amp; INDEX('Hulp (CAO''s)'!$C$3:$C$6,
            MATCH(TRUE,'Hulp (CAO''s)'!$D$3:$D$6,0)) &amp; "'!A:A"),0)
        &amp; ":H" &amp;
        IF(V75&lt;&gt;"",
            MATCH(V75, INDIRECT("'" &amp; INDEX('Hulp (CAO''s)'!$C$3:$C$6,
                MATCH(TRUE,'Hulp (CAO''s)'!$D$3:$D$6,0)) &amp; "'!A:A"),0)-1,
            1000
        )
    )
) * U76
),
IF(
    IFERROR(MIN(
        IF(
            (TRIM(INDIRECT("'" &amp; INDEX('Hulp (CAO''s)'!$C$3:$C$6,
                MATCH(TRUE,'Hulp (CAO''s)'!$D$3:$D$6,0)) &amp; "'!B1:B1000")) = TEXT(U77,"0")) *
            (ROW(INDIRECT("'" &amp; INDEX('Hulp (CAO''s)'!$C$3:$C$6,
                MATCH(TRUE,'Hulp (CAO''s)'!$D$3:$D$6,0)) &amp; "'!B1:B1000")) &gt; MATCH(
                U75,
                INDIRECT("'" &amp; INDEX('Hulp (CAO''s)'!$C$3:$C$6,
                    MATCH(TRUE,'Hulp (CAO''s)'!$D$3:$D$6,0)) &amp; "'!A:A"),
                0
            )) *
            IF(
                V75="",
                1,
                (ROW(INDIRECT("'" &amp; INDEX('Hulp (CAO''s)'!$C$3:$C$6,
                    MATCH(TRUE,'Hulp (CAO''s)'!$D$3:$D$6,0)) &amp; "'!B1:B1000")) &lt; MATCH(
                    V75,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TEXT(U77,"0")) *
                (ROW(INDIRECT("'" &amp; INDEX('Hulp (CAO''s)'!$C$3:$C$6,
                    MATCH(TRUE,'Hulp (CAO''s)'!$D$3:$D$6,0)) &amp; "'!B1:B1000")) &gt; MATCH(
                    U75,
                    INDIRECT("'" &amp; INDEX('Hulp (CAO''s)'!$C$3:$C$6,
                        MATCH(TRUE,'Hulp (CAO''s)'!$D$3:$D$6,0)) &amp; "'!A:A"),
                    0
                )) *
                IF(
                    V75="",
                    1,
                    (ROW(INDIRECT("'" &amp; INDEX('Hulp (CAO''s)'!$C$3:$C$6,
                        MATCH(TRUE,'Hulp (CAO''s)'!$D$3:$D$6,0)) &amp; "'!B1:B1000")) &lt; MATCH(
                        V75,
                        INDIRECT("'" &amp; INDEX('Hulp (CAO''s)'!$C$3:$C$6,
                            MATCH(TRUE,'Hulp (CAO''s)'!$D$3:$D$6,0)) &amp; "'!A:A"),
                        0
                    ))
                ),
                ROW(INDIRECT("'" &amp; INDEX('Hulp (CAO''s)'!$C$3:$C$6,
                    MATCH(TRUE,'Hulp (CAO''s)'!$D$3:$D$6,0)) &amp; "'!B1:B1000"))
            )
        ),0)
    )
))</f>
        <v/>
      </c>
      <c r="V78" s="165" t="str">
        <f t="array" aca="1" ref="V78" ca="1">IF(SUM(F79:U79)=0,"",
IF(
   SUM(F78:U78)=0,
   "",
   (
      SUMPRODUCT(
         IF(F78:U78="",0,F78:U78),
         IF(F79:U79="",0,F79:U79) * SUM(F79:U79)
      )
   ) *
   IF(
      'Hulp (CAO''s)'!#REF!,
      IF(
         OR(
            INDEX(#REF!, ROW(#REF!) + INT((ROW()-ROW($V$8))/6)*8)="",
            ISNA(INDEX(#REF!, ROW(#REF!) + INT((ROW()-ROW($V$8))/6)*8))
         ),
         1878/12,
         INDEX(#REF!, ROW(#REF!) + INT((ROW()-ROW($V$8))/6)*8)/12
      ),
      1
   )
))</f>
        <v/>
      </c>
      <c r="W78" s="171" t="str">
        <f ca="1">IF(B75="","",
    IF(W77="","",
        IF(INDIRECT("'Hulp (control forms)'!C" &amp; (13 + INT((ROW()-ROW($B$5))/7))),
            W77,
            V78
        )
    )
)</f>
        <v/>
      </c>
      <c r="X78" s="170" t="str">
        <f ca="1">IF(AND($B75&lt;&gt;"", $W78=""),"!","")</f>
        <v/>
      </c>
    </row>
    <row r="79" spans="2:24" ht="16.05" customHeight="1" thickBot="1" x14ac:dyDescent="0.55000000000000004">
      <c r="C79" s="151"/>
      <c r="D79" s="141" t="s">
        <v>60</v>
      </c>
      <c r="E79" s="24" t="s">
        <v>59</v>
      </c>
      <c r="F79" s="146">
        <v>0.05</v>
      </c>
      <c r="G79" s="146">
        <v>0.1</v>
      </c>
      <c r="H79" s="146">
        <v>0.1</v>
      </c>
      <c r="I79" s="146">
        <v>0.15</v>
      </c>
      <c r="J79" s="146">
        <v>0.2</v>
      </c>
      <c r="K79" s="146">
        <v>0.15</v>
      </c>
      <c r="L79" s="146">
        <v>0.1</v>
      </c>
      <c r="M79" s="146">
        <v>0.05</v>
      </c>
      <c r="N79" s="146">
        <v>0.05</v>
      </c>
      <c r="O79" s="146">
        <v>0.05</v>
      </c>
      <c r="P79" s="146">
        <v>0</v>
      </c>
      <c r="Q79" s="146"/>
      <c r="R79" s="146"/>
      <c r="S79" s="146"/>
      <c r="T79" s="146"/>
      <c r="U79" s="147"/>
      <c r="V79" s="142" t="str">
        <f ca="1">IF($B75="","",IF($D79="Aandeel in %",
   "Totaal: "&amp;SUM(F79:U79)*100&amp;"%",
   "Totaal: "&amp;SUM(F79:U79)&amp;" uur"
))</f>
        <v/>
      </c>
      <c r="W79" s="168"/>
      <c r="X79" s="153"/>
    </row>
    <row r="80" spans="2:24" ht="16.05" customHeight="1" thickBot="1" x14ac:dyDescent="0.55000000000000004">
      <c r="C80" s="154"/>
      <c r="D80" s="140"/>
      <c r="E80" s="140"/>
      <c r="F80" s="140"/>
      <c r="G80" s="140"/>
      <c r="H80" s="140"/>
      <c r="I80" s="140"/>
      <c r="J80" s="140"/>
      <c r="K80" s="140"/>
      <c r="L80" s="140"/>
      <c r="M80" s="140"/>
      <c r="N80" s="140"/>
      <c r="O80" s="140"/>
      <c r="P80" s="140"/>
      <c r="Q80" s="140"/>
      <c r="R80" s="140"/>
      <c r="S80" s="140"/>
      <c r="T80" s="155"/>
      <c r="U80" s="155"/>
      <c r="V80" s="169"/>
      <c r="W80" s="169"/>
      <c r="X80" s="156"/>
    </row>
    <row r="81" spans="2:24" ht="16.05" customHeight="1" thickBot="1" x14ac:dyDescent="0.55000000000000004">
      <c r="B81" s="159" t="str">
        <f ca="1">IF(B82="","",
IF(
   OR(
      INDIRECT("'1a. Input organisatieniveau'!AC" &amp; (7 + INT((ROW()-4)/7)))="",
      INDIRECT("'1a. Input organisatieniveau'!AC" &amp; (7 + INT((ROW()-4)/7)))=0
   ),
   "",
   INDIRECT("'1a. Input organisatieniveau'!AC" &amp; (7 + INT((ROW()-4)/7)))
))</f>
        <v/>
      </c>
      <c r="C81" s="148"/>
      <c r="D81" s="139"/>
      <c r="E81" s="139"/>
      <c r="F81" s="149" t="str">
        <f t="shared" ref="F81:U81" ca="1" si="11">IF($D83="Gebruik % van maximum trede", IF(AND(AND(F82&lt;&gt;"",F83&lt;&gt;""),F85=""),"!",""), IF(AND(AND(F82&lt;&gt;"",F84&lt;&gt;""),F85=""),"!",""))</f>
        <v/>
      </c>
      <c r="G81" s="149" t="str">
        <f t="shared" ca="1" si="11"/>
        <v/>
      </c>
      <c r="H81" s="149" t="str">
        <f t="shared" ca="1" si="11"/>
        <v/>
      </c>
      <c r="I81" s="149" t="str">
        <f t="shared" ca="1" si="11"/>
        <v/>
      </c>
      <c r="J81" s="149" t="str">
        <f t="shared" ca="1" si="11"/>
        <v/>
      </c>
      <c r="K81" s="149" t="str">
        <f t="shared" ca="1" si="11"/>
        <v/>
      </c>
      <c r="L81" s="149" t="str">
        <f t="shared" ca="1" si="11"/>
        <v/>
      </c>
      <c r="M81" s="149" t="str">
        <f t="shared" ca="1" si="11"/>
        <v/>
      </c>
      <c r="N81" s="149" t="str">
        <f t="shared" ca="1" si="11"/>
        <v/>
      </c>
      <c r="O81" s="149" t="str">
        <f t="shared" ca="1" si="11"/>
        <v/>
      </c>
      <c r="P81" s="149" t="str">
        <f t="shared" ca="1" si="11"/>
        <v/>
      </c>
      <c r="Q81" s="149" t="str">
        <f t="shared" ca="1" si="11"/>
        <v/>
      </c>
      <c r="R81" s="149" t="str">
        <f t="shared" ca="1" si="11"/>
        <v/>
      </c>
      <c r="S81" s="149" t="str">
        <f t="shared" ca="1" si="11"/>
        <v/>
      </c>
      <c r="T81" s="149" t="str">
        <f t="shared" ca="1" si="11"/>
        <v/>
      </c>
      <c r="U81" s="149" t="str">
        <f t="shared" ca="1" si="11"/>
        <v/>
      </c>
      <c r="V81" s="167"/>
      <c r="W81" s="167"/>
      <c r="X81" s="150"/>
    </row>
    <row r="82" spans="2:24" ht="16.05" customHeight="1" thickBot="1" x14ac:dyDescent="0.55000000000000004">
      <c r="B82" s="158" t="str">
        <f ca="1">IF(
   OR(
      INDIRECT("'1a. Input organisatieniveau'!AA" &amp; (7 + INT((ROW()-4)/7)))="",
      INDIRECT("'1a. Input organisatieniveau'!AA" &amp; (7 + INT((ROW()-4)/7)))=0
   ),
   "",
   INDIRECT("'1a. Input organisatieniveau'!AA" &amp; (7 + INT((ROW()-4)/7)))
)</f>
        <v/>
      </c>
      <c r="C82" s="151"/>
      <c r="D82" s="152"/>
      <c r="E82" s="22" t="s">
        <v>28</v>
      </c>
      <c r="F82" s="143" t="str">
        <f t="array" aca="1" ref="F82" ca="1">IF($B82="", "", INDEX('Hulp (CAO''s)'!J$3:J$6, MATCH(TRUE, 'Hulp (CAO''s)'!$D$3:$D$6, 0)))</f>
        <v/>
      </c>
      <c r="G82" s="143" t="str">
        <f t="array" aca="1" ref="G82" ca="1">IF($B82="", "", INDEX('Hulp (CAO''s)'!K$3:K$6, MATCH(TRUE, 'Hulp (CAO''s)'!$D$3:$D$6, 0)))</f>
        <v/>
      </c>
      <c r="H82" s="143" t="str">
        <f t="array" aca="1" ref="H82" ca="1">IF($B82="", "", INDEX('Hulp (CAO''s)'!L$3:L$6, MATCH(TRUE, 'Hulp (CAO''s)'!$D$3:$D$6, 0)))</f>
        <v/>
      </c>
      <c r="I82" s="143" t="str">
        <f t="array" aca="1" ref="I82" ca="1">IF($B82="", "", INDEX('Hulp (CAO''s)'!M$3:M$6, MATCH(TRUE, 'Hulp (CAO''s)'!$D$3:$D$6, 0)))</f>
        <v/>
      </c>
      <c r="J82" s="143" t="str">
        <f t="array" aca="1" ref="J82" ca="1">IF($B82="", "", INDEX('Hulp (CAO''s)'!N$3:N$6, MATCH(TRUE, 'Hulp (CAO''s)'!$D$3:$D$6, 0)))</f>
        <v/>
      </c>
      <c r="K82" s="143" t="str">
        <f t="array" aca="1" ref="K82" ca="1">IF($B82="", "", INDEX('Hulp (CAO''s)'!O$3:O$6, MATCH(TRUE, 'Hulp (CAO''s)'!$D$3:$D$6, 0)))</f>
        <v/>
      </c>
      <c r="L82" s="143" t="str">
        <f t="array" aca="1" ref="L82" ca="1">IF($B82="", "", INDEX('Hulp (CAO''s)'!P$3:P$6, MATCH(TRUE, 'Hulp (CAO''s)'!$D$3:$D$6, 0)))</f>
        <v/>
      </c>
      <c r="M82" s="143" t="str">
        <f t="array" aca="1" ref="M82" ca="1">IF($B82="", "", INDEX('Hulp (CAO''s)'!Q$3:Q$6, MATCH(TRUE, 'Hulp (CAO''s)'!$D$3:$D$6, 0)))</f>
        <v/>
      </c>
      <c r="N82" s="143" t="str">
        <f t="array" aca="1" ref="N82" ca="1">IF($B82="", "", INDEX('Hulp (CAO''s)'!R$3:R$6, MATCH(TRUE, 'Hulp (CAO''s)'!$D$3:$D$6, 0)))</f>
        <v/>
      </c>
      <c r="O82" s="143" t="str">
        <f t="array" aca="1" ref="O82" ca="1">IF($B82="", "", INDEX('Hulp (CAO''s)'!S$3:S$6, MATCH(TRUE, 'Hulp (CAO''s)'!$D$3:$D$6, 0)))</f>
        <v/>
      </c>
      <c r="P82" s="143" t="str">
        <f t="array" aca="1" ref="P82" ca="1">IF($B82="", "", INDEX('Hulp (CAO''s)'!T$3:T$6, MATCH(TRUE, 'Hulp (CAO''s)'!$D$3:$D$6, 0)))</f>
        <v/>
      </c>
      <c r="Q82" s="143" t="str">
        <f t="array" aca="1" ref="Q82" ca="1">IF($B82="", "", INDEX('Hulp (CAO''s)'!U$3:U$6, MATCH(TRUE, 'Hulp (CAO''s)'!$D$3:$D$6, 0)))</f>
        <v/>
      </c>
      <c r="R82" s="143" t="str">
        <f t="array" aca="1" ref="R82" ca="1">IF($B82="", "", INDEX('Hulp (CAO''s)'!V$3:V$6, MATCH(TRUE, 'Hulp (CAO''s)'!$D$3:$D$6, 0)))</f>
        <v/>
      </c>
      <c r="S82" s="143" t="str">
        <f t="array" aca="1" ref="S82" ca="1">IF($B82="", "", INDEX('Hulp (CAO''s)'!W$3:W$6, MATCH(TRUE, 'Hulp (CAO''s)'!$D$3:$D$6, 0)))</f>
        <v/>
      </c>
      <c r="T82" s="143" t="str">
        <f t="array" aca="1" ref="T82" ca="1">IF($B82="", "", INDEX('Hulp (CAO''s)'!X$3:X$6, MATCH(TRUE, 'Hulp (CAO''s)'!$D$3:$D$6, 0)))</f>
        <v/>
      </c>
      <c r="U82" s="144" t="str">
        <f t="array" aca="1" ref="U82" ca="1">IF($B82="", "", INDEX('Hulp (CAO''s)'!Y$3:Y$6, MATCH(TRUE, 'Hulp (CAO''s)'!$D$3:$D$6, 0)))</f>
        <v/>
      </c>
      <c r="W82" s="788" t="s">
        <v>747</v>
      </c>
      <c r="X82" s="153"/>
    </row>
    <row r="83" spans="2:24" ht="16.05" customHeight="1" thickBot="1" x14ac:dyDescent="0.55000000000000004">
      <c r="C83" s="151"/>
      <c r="D83" s="786" t="s">
        <v>771</v>
      </c>
      <c r="E83" s="162" t="s">
        <v>770</v>
      </c>
      <c r="F83" s="163">
        <v>0.96</v>
      </c>
      <c r="G83" s="163">
        <v>0.9</v>
      </c>
      <c r="H83" s="163">
        <v>0.9</v>
      </c>
      <c r="I83" s="163">
        <v>0.7</v>
      </c>
      <c r="J83" s="163">
        <v>0.8</v>
      </c>
      <c r="K83" s="163">
        <v>0.9</v>
      </c>
      <c r="L83" s="163">
        <v>0.9</v>
      </c>
      <c r="M83" s="163">
        <v>0.9</v>
      </c>
      <c r="N83" s="163">
        <v>0.9</v>
      </c>
      <c r="O83" s="163">
        <v>0.8</v>
      </c>
      <c r="P83" s="163">
        <v>0.95</v>
      </c>
      <c r="Q83" s="163">
        <v>0.93</v>
      </c>
      <c r="R83" s="163">
        <v>0.93</v>
      </c>
      <c r="S83" s="163">
        <v>0.99</v>
      </c>
      <c r="T83" s="163">
        <v>0.99</v>
      </c>
      <c r="U83" s="164">
        <v>0.95</v>
      </c>
      <c r="W83" s="789"/>
      <c r="X83" s="153"/>
    </row>
    <row r="84" spans="2:24" ht="16.05" customHeight="1" thickBot="1" x14ac:dyDescent="0.55000000000000004">
      <c r="C84" s="151"/>
      <c r="D84" s="787"/>
      <c r="E84" s="31" t="s">
        <v>29</v>
      </c>
      <c r="F84" s="160">
        <v>8</v>
      </c>
      <c r="G84" s="160">
        <v>10</v>
      </c>
      <c r="H84" s="160">
        <v>10</v>
      </c>
      <c r="I84" s="160">
        <v>9</v>
      </c>
      <c r="J84" s="160">
        <v>10</v>
      </c>
      <c r="K84" s="160">
        <v>11</v>
      </c>
      <c r="L84" s="160">
        <v>10</v>
      </c>
      <c r="M84" s="160">
        <v>10</v>
      </c>
      <c r="N84" s="160">
        <v>9</v>
      </c>
      <c r="O84" s="160">
        <v>10</v>
      </c>
      <c r="P84" s="160">
        <v>11</v>
      </c>
      <c r="Q84" s="160">
        <v>12</v>
      </c>
      <c r="R84" s="160">
        <v>13</v>
      </c>
      <c r="S84" s="160">
        <v>12</v>
      </c>
      <c r="T84" s="160">
        <v>10</v>
      </c>
      <c r="U84" s="161">
        <v>5</v>
      </c>
      <c r="W84" s="166">
        <v>4200</v>
      </c>
      <c r="X84" s="153"/>
    </row>
    <row r="85" spans="2:24" ht="16.05" customHeight="1" thickBot="1" x14ac:dyDescent="0.55000000000000004">
      <c r="C85" s="151"/>
      <c r="E85" s="40" t="str">
        <f>IFERROR(
   INDEX('Hulp (CAO''s)'!$I$3:$I$6, MATCH(TRUE, 'Hulp (CAO''s)'!$D$3:$D$6, 0)),
"")</f>
        <v>Bruto maandsalaris</v>
      </c>
      <c r="F85" s="145" t="str">
        <f t="array" aca="1" ref="F85" ca="1">IF($D83="Gebruik % van maximum trede",
IF(
    OR(F82="",F83=""),
    "",
    MAX(
    INDIRECT("'" &amp; INDEX('Hulp (CAO''s)'!$C$3:$C$6,
        MATCH(TRUE,'Hulp (CAO''s)'!$D$3:$D$6,0)) &amp; "'!" &amp;
        INDEX('Hulp (CAO''s)'!$H$3:$H$6,
            MATCH(TRUE,'Hulp (CAO''s)'!$D$3:$D$6,0))
        &amp;
        MATCH(F82, INDIRECT("'" &amp; INDEX('Hulp (CAO''s)'!$C$3:$C$6,
            MATCH(TRUE,'Hulp (CAO''s)'!$D$3:$D$6,0)) &amp; "'!A:A"),0)
        &amp; ":H" &amp;
        IF(G82&lt;&gt;"",
            MATCH(G82, INDIRECT("'" &amp; INDEX('Hulp (CAO''s)'!$C$3:$C$6,
                MATCH(TRUE,'Hulp (CAO''s)'!$D$3:$D$6,0)) &amp; "'!A:A"),0)-1,
            1000
        )
    )
) * F83
),
IF(
    IFERROR(MIN(
        IF(
            (TRIM(INDIRECT("'" &amp; INDEX('Hulp (CAO''s)'!$C$3:$C$6,
                MATCH(TRUE,'Hulp (CAO''s)'!$D$3:$D$6,0)) &amp; "'!B1:B1000")) = TEXT(F84,"0")) *
            (ROW(INDIRECT("'" &amp; INDEX('Hulp (CAO''s)'!$C$3:$C$6,
                MATCH(TRUE,'Hulp (CAO''s)'!$D$3:$D$6,0)) &amp; "'!B1:B1000")) &gt; MATCH(
                F82,
                INDIRECT("'" &amp; INDEX('Hulp (CAO''s)'!$C$3:$C$6,
                    MATCH(TRUE,'Hulp (CAO''s)'!$D$3:$D$6,0)) &amp; "'!A:A"),
                0
            )) *
            IF(
                G82="",
                1,
                (ROW(INDIRECT("'" &amp; INDEX('Hulp (CAO''s)'!$C$3:$C$6,
                    MATCH(TRUE,'Hulp (CAO''s)'!$D$3:$D$6,0)) &amp; "'!B1:B1000")) &lt; MATCH(
                    G82,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TEXT(F84,"0")) *
                (ROW(INDIRECT("'" &amp; INDEX('Hulp (CAO''s)'!$C$3:$C$6,
                    MATCH(TRUE,'Hulp (CAO''s)'!$D$3:$D$6,0)) &amp; "'!B1:B1000")) &gt; MATCH(
                    F82,
                    INDIRECT("'" &amp; INDEX('Hulp (CAO''s)'!$C$3:$C$6,
                        MATCH(TRUE,'Hulp (CAO''s)'!$D$3:$D$6,0)) &amp; "'!A:A"),
                    0
                )) *
                IF(
                    G82="",
                    1,
                    (ROW(INDIRECT("'" &amp; INDEX('Hulp (CAO''s)'!$C$3:$C$6,
                        MATCH(TRUE,'Hulp (CAO''s)'!$D$3:$D$6,0)) &amp; "'!B1:B1000")) &lt; MATCH(
                        G82,
                        INDIRECT("'" &amp; INDEX('Hulp (CAO''s)'!$C$3:$C$6,
                            MATCH(TRUE,'Hulp (CAO''s)'!$D$3:$D$6,0)) &amp; "'!A:A"),
                        0
                    ))
                ),
                ROW(INDIRECT("'" &amp; INDEX('Hulp (CAO''s)'!$C$3:$C$6,
                    MATCH(TRUE,'Hulp (CAO''s)'!$D$3:$D$6,0)) &amp; "'!B1:B1000"))
            )
        ),0)
    )
))</f>
        <v/>
      </c>
      <c r="G85" s="145" t="str">
        <f t="array" aca="1" ref="G85" ca="1">IF($D83="Gebruik % van maximum trede",
IF(
    OR(G82="",G83=""),
    "",
    MAX(
    INDIRECT("'" &amp; INDEX('Hulp (CAO''s)'!$C$3:$C$6,
        MATCH(TRUE,'Hulp (CAO''s)'!$D$3:$D$6,0)) &amp; "'!" &amp;
        INDEX('Hulp (CAO''s)'!$H$3:$H$6,
            MATCH(TRUE,'Hulp (CAO''s)'!$D$3:$D$6,0))
        &amp;
        MATCH(G82, INDIRECT("'" &amp; INDEX('Hulp (CAO''s)'!$C$3:$C$6,
            MATCH(TRUE,'Hulp (CAO''s)'!$D$3:$D$6,0)) &amp; "'!A:A"),0)
        &amp; ":H" &amp;
        IF(H82&lt;&gt;"",
            MATCH(H82, INDIRECT("'" &amp; INDEX('Hulp (CAO''s)'!$C$3:$C$6,
                MATCH(TRUE,'Hulp (CAO''s)'!$D$3:$D$6,0)) &amp; "'!A:A"),0)-1,
            1000
        )
    )
) * G83
),
IF(
    IFERROR(MIN(
        IF(
            (TRIM(INDIRECT("'" &amp; INDEX('Hulp (CAO''s)'!$C$3:$C$6,
                MATCH(TRUE,'Hulp (CAO''s)'!$D$3:$D$6,0)) &amp; "'!B1:B1000")) = TEXT(G84,"0")) *
            (ROW(INDIRECT("'" &amp; INDEX('Hulp (CAO''s)'!$C$3:$C$6,
                MATCH(TRUE,'Hulp (CAO''s)'!$D$3:$D$6,0)) &amp; "'!B1:B1000")) &gt; MATCH(
                G82,
                INDIRECT("'" &amp; INDEX('Hulp (CAO''s)'!$C$3:$C$6,
                    MATCH(TRUE,'Hulp (CAO''s)'!$D$3:$D$6,0)) &amp; "'!A:A"),
                0
            )) *
            IF(
                H82="",
                1,
                (ROW(INDIRECT("'" &amp; INDEX('Hulp (CAO''s)'!$C$3:$C$6,
                    MATCH(TRUE,'Hulp (CAO''s)'!$D$3:$D$6,0)) &amp; "'!B1:B1000")) &lt; MATCH(
                    H82,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TEXT(G84,"0")) *
                (ROW(INDIRECT("'" &amp; INDEX('Hulp (CAO''s)'!$C$3:$C$6,
                    MATCH(TRUE,'Hulp (CAO''s)'!$D$3:$D$6,0)) &amp; "'!B1:B1000")) &gt; MATCH(
                    G82,
                    INDIRECT("'" &amp; INDEX('Hulp (CAO''s)'!$C$3:$C$6,
                        MATCH(TRUE,'Hulp (CAO''s)'!$D$3:$D$6,0)) &amp; "'!A:A"),
                    0
                )) *
                IF(
                    H82="",
                    1,
                    (ROW(INDIRECT("'" &amp; INDEX('Hulp (CAO''s)'!$C$3:$C$6,
                        MATCH(TRUE,'Hulp (CAO''s)'!$D$3:$D$6,0)) &amp; "'!B1:B1000")) &lt; MATCH(
                        H82,
                        INDIRECT("'" &amp; INDEX('Hulp (CAO''s)'!$C$3:$C$6,
                            MATCH(TRUE,'Hulp (CAO''s)'!$D$3:$D$6,0)) &amp; "'!A:A"),
                        0
                    ))
                ),
                ROW(INDIRECT("'" &amp; INDEX('Hulp (CAO''s)'!$C$3:$C$6,
                    MATCH(TRUE,'Hulp (CAO''s)'!$D$3:$D$6,0)) &amp; "'!B1:B1000"))
            )
        ),0)
    )
))</f>
        <v/>
      </c>
      <c r="H85" s="145" t="str">
        <f t="array" aca="1" ref="H85" ca="1">IF($D83="Gebruik % van maximum trede",
IF(
    OR(H82="",H83=""),
    "",
    MAX(
    INDIRECT("'" &amp; INDEX('Hulp (CAO''s)'!$C$3:$C$6,
        MATCH(TRUE,'Hulp (CAO''s)'!$D$3:$D$6,0)) &amp; "'!" &amp;
        INDEX('Hulp (CAO''s)'!$H$3:$H$6,
            MATCH(TRUE,'Hulp (CAO''s)'!$D$3:$D$6,0))
        &amp;
        MATCH(H82, INDIRECT("'" &amp; INDEX('Hulp (CAO''s)'!$C$3:$C$6,
            MATCH(TRUE,'Hulp (CAO''s)'!$D$3:$D$6,0)) &amp; "'!A:A"),0)
        &amp; ":H" &amp;
        IF(I82&lt;&gt;"",
            MATCH(I82, INDIRECT("'" &amp; INDEX('Hulp (CAO''s)'!$C$3:$C$6,
                MATCH(TRUE,'Hulp (CAO''s)'!$D$3:$D$6,0)) &amp; "'!A:A"),0)-1,
            1000
        )
    )
) * H83
),
IF(
    IFERROR(MIN(
        IF(
            (TRIM(INDIRECT("'" &amp; INDEX('Hulp (CAO''s)'!$C$3:$C$6,
                MATCH(TRUE,'Hulp (CAO''s)'!$D$3:$D$6,0)) &amp; "'!B1:B1000")) = TEXT(H84,"0")) *
            (ROW(INDIRECT("'" &amp; INDEX('Hulp (CAO''s)'!$C$3:$C$6,
                MATCH(TRUE,'Hulp (CAO''s)'!$D$3:$D$6,0)) &amp; "'!B1:B1000")) &gt; MATCH(
                H82,
                INDIRECT("'" &amp; INDEX('Hulp (CAO''s)'!$C$3:$C$6,
                    MATCH(TRUE,'Hulp (CAO''s)'!$D$3:$D$6,0)) &amp; "'!A:A"),
                0
            )) *
            IF(
                I82="",
                1,
                (ROW(INDIRECT("'" &amp; INDEX('Hulp (CAO''s)'!$C$3:$C$6,
                    MATCH(TRUE,'Hulp (CAO''s)'!$D$3:$D$6,0)) &amp; "'!B1:B1000")) &lt; MATCH(
                    I82,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TEXT(H84,"0")) *
                (ROW(INDIRECT("'" &amp; INDEX('Hulp (CAO''s)'!$C$3:$C$6,
                    MATCH(TRUE,'Hulp (CAO''s)'!$D$3:$D$6,0)) &amp; "'!B1:B1000")) &gt; MATCH(
                    H82,
                    INDIRECT("'" &amp; INDEX('Hulp (CAO''s)'!$C$3:$C$6,
                        MATCH(TRUE,'Hulp (CAO''s)'!$D$3:$D$6,0)) &amp; "'!A:A"),
                    0
                )) *
                IF(
                    I82="",
                    1,
                    (ROW(INDIRECT("'" &amp; INDEX('Hulp (CAO''s)'!$C$3:$C$6,
                        MATCH(TRUE,'Hulp (CAO''s)'!$D$3:$D$6,0)) &amp; "'!B1:B1000")) &lt; MATCH(
                        I82,
                        INDIRECT("'" &amp; INDEX('Hulp (CAO''s)'!$C$3:$C$6,
                            MATCH(TRUE,'Hulp (CAO''s)'!$D$3:$D$6,0)) &amp; "'!A:A"),
                        0
                    ))
                ),
                ROW(INDIRECT("'" &amp; INDEX('Hulp (CAO''s)'!$C$3:$C$6,
                    MATCH(TRUE,'Hulp (CAO''s)'!$D$3:$D$6,0)) &amp; "'!B1:B1000"))
            )
        ),0)
    )
))</f>
        <v/>
      </c>
      <c r="I85" s="145" t="str">
        <f t="array" aca="1" ref="I85" ca="1">IF($D83="Gebruik % van maximum trede",
IF(
    OR(I82="",I83=""),
    "",
    MAX(
    INDIRECT("'" &amp; INDEX('Hulp (CAO''s)'!$C$3:$C$6,
        MATCH(TRUE,'Hulp (CAO''s)'!$D$3:$D$6,0)) &amp; "'!" &amp;
        INDEX('Hulp (CAO''s)'!$H$3:$H$6,
            MATCH(TRUE,'Hulp (CAO''s)'!$D$3:$D$6,0))
        &amp;
        MATCH(I82, INDIRECT("'" &amp; INDEX('Hulp (CAO''s)'!$C$3:$C$6,
            MATCH(TRUE,'Hulp (CAO''s)'!$D$3:$D$6,0)) &amp; "'!A:A"),0)
        &amp; ":H" &amp;
        IF(J82&lt;&gt;"",
            MATCH(J82, INDIRECT("'" &amp; INDEX('Hulp (CAO''s)'!$C$3:$C$6,
                MATCH(TRUE,'Hulp (CAO''s)'!$D$3:$D$6,0)) &amp; "'!A:A"),0)-1,
            1000
        )
    )
) * I83
),
IF(
    IFERROR(MIN(
        IF(
            (TRIM(INDIRECT("'" &amp; INDEX('Hulp (CAO''s)'!$C$3:$C$6,
                MATCH(TRUE,'Hulp (CAO''s)'!$D$3:$D$6,0)) &amp; "'!B1:B1000")) = TEXT(I84,"0")) *
            (ROW(INDIRECT("'" &amp; INDEX('Hulp (CAO''s)'!$C$3:$C$6,
                MATCH(TRUE,'Hulp (CAO''s)'!$D$3:$D$6,0)) &amp; "'!B1:B1000")) &gt; MATCH(
                I82,
                INDIRECT("'" &amp; INDEX('Hulp (CAO''s)'!$C$3:$C$6,
                    MATCH(TRUE,'Hulp (CAO''s)'!$D$3:$D$6,0)) &amp; "'!A:A"),
                0
            )) *
            IF(
                J82="",
                1,
                (ROW(INDIRECT("'" &amp; INDEX('Hulp (CAO''s)'!$C$3:$C$6,
                    MATCH(TRUE,'Hulp (CAO''s)'!$D$3:$D$6,0)) &amp; "'!B1:B1000")) &lt; MATCH(
                    J82,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TEXT(I84,"0")) *
                (ROW(INDIRECT("'" &amp; INDEX('Hulp (CAO''s)'!$C$3:$C$6,
                    MATCH(TRUE,'Hulp (CAO''s)'!$D$3:$D$6,0)) &amp; "'!B1:B1000")) &gt; MATCH(
                    I82,
                    INDIRECT("'" &amp; INDEX('Hulp (CAO''s)'!$C$3:$C$6,
                        MATCH(TRUE,'Hulp (CAO''s)'!$D$3:$D$6,0)) &amp; "'!A:A"),
                    0
                )) *
                IF(
                    J82="",
                    1,
                    (ROW(INDIRECT("'" &amp; INDEX('Hulp (CAO''s)'!$C$3:$C$6,
                        MATCH(TRUE,'Hulp (CAO''s)'!$D$3:$D$6,0)) &amp; "'!B1:B1000")) &lt; MATCH(
                        J82,
                        INDIRECT("'" &amp; INDEX('Hulp (CAO''s)'!$C$3:$C$6,
                            MATCH(TRUE,'Hulp (CAO''s)'!$D$3:$D$6,0)) &amp; "'!A:A"),
                        0
                    ))
                ),
                ROW(INDIRECT("'" &amp; INDEX('Hulp (CAO''s)'!$C$3:$C$6,
                    MATCH(TRUE,'Hulp (CAO''s)'!$D$3:$D$6,0)) &amp; "'!B1:B1000"))
            )
        ),0)
    )
))</f>
        <v/>
      </c>
      <c r="J85" s="145" t="str">
        <f t="array" aca="1" ref="J85" ca="1">IF($D83="Gebruik % van maximum trede",
IF(
    OR(J82="",J83=""),
    "",
    MAX(
    INDIRECT("'" &amp; INDEX('Hulp (CAO''s)'!$C$3:$C$6,
        MATCH(TRUE,'Hulp (CAO''s)'!$D$3:$D$6,0)) &amp; "'!" &amp;
        INDEX('Hulp (CAO''s)'!$H$3:$H$6,
            MATCH(TRUE,'Hulp (CAO''s)'!$D$3:$D$6,0))
        &amp;
        MATCH(J82, INDIRECT("'" &amp; INDEX('Hulp (CAO''s)'!$C$3:$C$6,
            MATCH(TRUE,'Hulp (CAO''s)'!$D$3:$D$6,0)) &amp; "'!A:A"),0)
        &amp; ":H" &amp;
        IF(K82&lt;&gt;"",
            MATCH(K82, INDIRECT("'" &amp; INDEX('Hulp (CAO''s)'!$C$3:$C$6,
                MATCH(TRUE,'Hulp (CAO''s)'!$D$3:$D$6,0)) &amp; "'!A:A"),0)-1,
            1000
        )
    )
) * J83
),
IF(
    IFERROR(MIN(
        IF(
            (TRIM(INDIRECT("'" &amp; INDEX('Hulp (CAO''s)'!$C$3:$C$6,
                MATCH(TRUE,'Hulp (CAO''s)'!$D$3:$D$6,0)) &amp; "'!B1:B1000")) = TEXT(J84,"0")) *
            (ROW(INDIRECT("'" &amp; INDEX('Hulp (CAO''s)'!$C$3:$C$6,
                MATCH(TRUE,'Hulp (CAO''s)'!$D$3:$D$6,0)) &amp; "'!B1:B1000")) &gt; MATCH(
                J82,
                INDIRECT("'" &amp; INDEX('Hulp (CAO''s)'!$C$3:$C$6,
                    MATCH(TRUE,'Hulp (CAO''s)'!$D$3:$D$6,0)) &amp; "'!A:A"),
                0
            )) *
            IF(
                K82="",
                1,
                (ROW(INDIRECT("'" &amp; INDEX('Hulp (CAO''s)'!$C$3:$C$6,
                    MATCH(TRUE,'Hulp (CAO''s)'!$D$3:$D$6,0)) &amp; "'!B1:B1000")) &lt; MATCH(
                    K82,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TEXT(J84,"0")) *
                (ROW(INDIRECT("'" &amp; INDEX('Hulp (CAO''s)'!$C$3:$C$6,
                    MATCH(TRUE,'Hulp (CAO''s)'!$D$3:$D$6,0)) &amp; "'!B1:B1000")) &gt; MATCH(
                    J82,
                    INDIRECT("'" &amp; INDEX('Hulp (CAO''s)'!$C$3:$C$6,
                        MATCH(TRUE,'Hulp (CAO''s)'!$D$3:$D$6,0)) &amp; "'!A:A"),
                    0
                )) *
                IF(
                    K82="",
                    1,
                    (ROW(INDIRECT("'" &amp; INDEX('Hulp (CAO''s)'!$C$3:$C$6,
                        MATCH(TRUE,'Hulp (CAO''s)'!$D$3:$D$6,0)) &amp; "'!B1:B1000")) &lt; MATCH(
                        K82,
                        INDIRECT("'" &amp; INDEX('Hulp (CAO''s)'!$C$3:$C$6,
                            MATCH(TRUE,'Hulp (CAO''s)'!$D$3:$D$6,0)) &amp; "'!A:A"),
                        0
                    ))
                ),
                ROW(INDIRECT("'" &amp; INDEX('Hulp (CAO''s)'!$C$3:$C$6,
                    MATCH(TRUE,'Hulp (CAO''s)'!$D$3:$D$6,0)) &amp; "'!B1:B1000"))
            )
        ),0)
    )
))</f>
        <v/>
      </c>
      <c r="K85" s="145" t="str">
        <f t="array" aca="1" ref="K85" ca="1">IF($D83="Gebruik % van maximum trede",
IF(
    OR(K82="",K83=""),
    "",
    MAX(
    INDIRECT("'" &amp; INDEX('Hulp (CAO''s)'!$C$3:$C$6,
        MATCH(TRUE,'Hulp (CAO''s)'!$D$3:$D$6,0)) &amp; "'!" &amp;
        INDEX('Hulp (CAO''s)'!$H$3:$H$6,
            MATCH(TRUE,'Hulp (CAO''s)'!$D$3:$D$6,0))
        &amp;
        MATCH(K82, INDIRECT("'" &amp; INDEX('Hulp (CAO''s)'!$C$3:$C$6,
            MATCH(TRUE,'Hulp (CAO''s)'!$D$3:$D$6,0)) &amp; "'!A:A"),0)
        &amp; ":H" &amp;
        IF(L82&lt;&gt;"",
            MATCH(L82, INDIRECT("'" &amp; INDEX('Hulp (CAO''s)'!$C$3:$C$6,
                MATCH(TRUE,'Hulp (CAO''s)'!$D$3:$D$6,0)) &amp; "'!A:A"),0)-1,
            1000
        )
    )
) * K83
),
IF(
    IFERROR(MIN(
        IF(
            (TRIM(INDIRECT("'" &amp; INDEX('Hulp (CAO''s)'!$C$3:$C$6,
                MATCH(TRUE,'Hulp (CAO''s)'!$D$3:$D$6,0)) &amp; "'!B1:B1000")) = TEXT(K84,"0")) *
            (ROW(INDIRECT("'" &amp; INDEX('Hulp (CAO''s)'!$C$3:$C$6,
                MATCH(TRUE,'Hulp (CAO''s)'!$D$3:$D$6,0)) &amp; "'!B1:B1000")) &gt; MATCH(
                K82,
                INDIRECT("'" &amp; INDEX('Hulp (CAO''s)'!$C$3:$C$6,
                    MATCH(TRUE,'Hulp (CAO''s)'!$D$3:$D$6,0)) &amp; "'!A:A"),
                0
            )) *
            IF(
                L82="",
                1,
                (ROW(INDIRECT("'" &amp; INDEX('Hulp (CAO''s)'!$C$3:$C$6,
                    MATCH(TRUE,'Hulp (CAO''s)'!$D$3:$D$6,0)) &amp; "'!B1:B1000")) &lt; MATCH(
                    L82,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TEXT(K84,"0")) *
                (ROW(INDIRECT("'" &amp; INDEX('Hulp (CAO''s)'!$C$3:$C$6,
                    MATCH(TRUE,'Hulp (CAO''s)'!$D$3:$D$6,0)) &amp; "'!B1:B1000")) &gt; MATCH(
                    K82,
                    INDIRECT("'" &amp; INDEX('Hulp (CAO''s)'!$C$3:$C$6,
                        MATCH(TRUE,'Hulp (CAO''s)'!$D$3:$D$6,0)) &amp; "'!A:A"),
                    0
                )) *
                IF(
                    L82="",
                    1,
                    (ROW(INDIRECT("'" &amp; INDEX('Hulp (CAO''s)'!$C$3:$C$6,
                        MATCH(TRUE,'Hulp (CAO''s)'!$D$3:$D$6,0)) &amp; "'!B1:B1000")) &lt; MATCH(
                        L82,
                        INDIRECT("'" &amp; INDEX('Hulp (CAO''s)'!$C$3:$C$6,
                            MATCH(TRUE,'Hulp (CAO''s)'!$D$3:$D$6,0)) &amp; "'!A:A"),
                        0
                    ))
                ),
                ROW(INDIRECT("'" &amp; INDEX('Hulp (CAO''s)'!$C$3:$C$6,
                    MATCH(TRUE,'Hulp (CAO''s)'!$D$3:$D$6,0)) &amp; "'!B1:B1000"))
            )
        ),0)
    )
))</f>
        <v/>
      </c>
      <c r="L85" s="145" t="str">
        <f t="array" aca="1" ref="L85" ca="1">IF($D83="Gebruik % van maximum trede",
IF(
    OR(L82="",L83=""),
    "",
    MAX(
    INDIRECT("'" &amp; INDEX('Hulp (CAO''s)'!$C$3:$C$6,
        MATCH(TRUE,'Hulp (CAO''s)'!$D$3:$D$6,0)) &amp; "'!" &amp;
        INDEX('Hulp (CAO''s)'!$H$3:$H$6,
            MATCH(TRUE,'Hulp (CAO''s)'!$D$3:$D$6,0))
        &amp;
        MATCH(L82, INDIRECT("'" &amp; INDEX('Hulp (CAO''s)'!$C$3:$C$6,
            MATCH(TRUE,'Hulp (CAO''s)'!$D$3:$D$6,0)) &amp; "'!A:A"),0)
        &amp; ":H" &amp;
        IF(M82&lt;&gt;"",
            MATCH(M82, INDIRECT("'" &amp; INDEX('Hulp (CAO''s)'!$C$3:$C$6,
                MATCH(TRUE,'Hulp (CAO''s)'!$D$3:$D$6,0)) &amp; "'!A:A"),0)-1,
            1000
        )
    )
) * L83
),
IF(
    IFERROR(MIN(
        IF(
            (TRIM(INDIRECT("'" &amp; INDEX('Hulp (CAO''s)'!$C$3:$C$6,
                MATCH(TRUE,'Hulp (CAO''s)'!$D$3:$D$6,0)) &amp; "'!B1:B1000")) = TEXT(L84,"0")) *
            (ROW(INDIRECT("'" &amp; INDEX('Hulp (CAO''s)'!$C$3:$C$6,
                MATCH(TRUE,'Hulp (CAO''s)'!$D$3:$D$6,0)) &amp; "'!B1:B1000")) &gt; MATCH(
                L82,
                INDIRECT("'" &amp; INDEX('Hulp (CAO''s)'!$C$3:$C$6,
                    MATCH(TRUE,'Hulp (CAO''s)'!$D$3:$D$6,0)) &amp; "'!A:A"),
                0
            )) *
            IF(
                M82="",
                1,
                (ROW(INDIRECT("'" &amp; INDEX('Hulp (CAO''s)'!$C$3:$C$6,
                    MATCH(TRUE,'Hulp (CAO''s)'!$D$3:$D$6,0)) &amp; "'!B1:B1000")) &lt; MATCH(
                    M82,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TEXT(L84,"0")) *
                (ROW(INDIRECT("'" &amp; INDEX('Hulp (CAO''s)'!$C$3:$C$6,
                    MATCH(TRUE,'Hulp (CAO''s)'!$D$3:$D$6,0)) &amp; "'!B1:B1000")) &gt; MATCH(
                    L82,
                    INDIRECT("'" &amp; INDEX('Hulp (CAO''s)'!$C$3:$C$6,
                        MATCH(TRUE,'Hulp (CAO''s)'!$D$3:$D$6,0)) &amp; "'!A:A"),
                    0
                )) *
                IF(
                    M82="",
                    1,
                    (ROW(INDIRECT("'" &amp; INDEX('Hulp (CAO''s)'!$C$3:$C$6,
                        MATCH(TRUE,'Hulp (CAO''s)'!$D$3:$D$6,0)) &amp; "'!B1:B1000")) &lt; MATCH(
                        M82,
                        INDIRECT("'" &amp; INDEX('Hulp (CAO''s)'!$C$3:$C$6,
                            MATCH(TRUE,'Hulp (CAO''s)'!$D$3:$D$6,0)) &amp; "'!A:A"),
                        0
                    ))
                ),
                ROW(INDIRECT("'" &amp; INDEX('Hulp (CAO''s)'!$C$3:$C$6,
                    MATCH(TRUE,'Hulp (CAO''s)'!$D$3:$D$6,0)) &amp; "'!B1:B1000"))
            )
        ),0)
    )
))</f>
        <v/>
      </c>
      <c r="M85" s="145" t="str">
        <f t="array" aca="1" ref="M85" ca="1">IF($D83="Gebruik % van maximum trede",
IF(
    OR(M82="",M83=""),
    "",
    MAX(
    INDIRECT("'" &amp; INDEX('Hulp (CAO''s)'!$C$3:$C$6,
        MATCH(TRUE,'Hulp (CAO''s)'!$D$3:$D$6,0)) &amp; "'!" &amp;
        INDEX('Hulp (CAO''s)'!$H$3:$H$6,
            MATCH(TRUE,'Hulp (CAO''s)'!$D$3:$D$6,0))
        &amp;
        MATCH(M82, INDIRECT("'" &amp; INDEX('Hulp (CAO''s)'!$C$3:$C$6,
            MATCH(TRUE,'Hulp (CAO''s)'!$D$3:$D$6,0)) &amp; "'!A:A"),0)
        &amp; ":H" &amp;
        IF(N82&lt;&gt;"",
            MATCH(N82, INDIRECT("'" &amp; INDEX('Hulp (CAO''s)'!$C$3:$C$6,
                MATCH(TRUE,'Hulp (CAO''s)'!$D$3:$D$6,0)) &amp; "'!A:A"),0)-1,
            1000
        )
    )
) * M83
),
IF(
    IFERROR(MIN(
        IF(
            (TRIM(INDIRECT("'" &amp; INDEX('Hulp (CAO''s)'!$C$3:$C$6,
                MATCH(TRUE,'Hulp (CAO''s)'!$D$3:$D$6,0)) &amp; "'!B1:B1000")) = TEXT(M84,"0")) *
            (ROW(INDIRECT("'" &amp; INDEX('Hulp (CAO''s)'!$C$3:$C$6,
                MATCH(TRUE,'Hulp (CAO''s)'!$D$3:$D$6,0)) &amp; "'!B1:B1000")) &gt; MATCH(
                M82,
                INDIRECT("'" &amp; INDEX('Hulp (CAO''s)'!$C$3:$C$6,
                    MATCH(TRUE,'Hulp (CAO''s)'!$D$3:$D$6,0)) &amp; "'!A:A"),
                0
            )) *
            IF(
                N82="",
                1,
                (ROW(INDIRECT("'" &amp; INDEX('Hulp (CAO''s)'!$C$3:$C$6,
                    MATCH(TRUE,'Hulp (CAO''s)'!$D$3:$D$6,0)) &amp; "'!B1:B1000")) &lt; MATCH(
                    N82,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TEXT(M84,"0")) *
                (ROW(INDIRECT("'" &amp; INDEX('Hulp (CAO''s)'!$C$3:$C$6,
                    MATCH(TRUE,'Hulp (CAO''s)'!$D$3:$D$6,0)) &amp; "'!B1:B1000")) &gt; MATCH(
                    M82,
                    INDIRECT("'" &amp; INDEX('Hulp (CAO''s)'!$C$3:$C$6,
                        MATCH(TRUE,'Hulp (CAO''s)'!$D$3:$D$6,0)) &amp; "'!A:A"),
                    0
                )) *
                IF(
                    N82="",
                    1,
                    (ROW(INDIRECT("'" &amp; INDEX('Hulp (CAO''s)'!$C$3:$C$6,
                        MATCH(TRUE,'Hulp (CAO''s)'!$D$3:$D$6,0)) &amp; "'!B1:B1000")) &lt; MATCH(
                        N82,
                        INDIRECT("'" &amp; INDEX('Hulp (CAO''s)'!$C$3:$C$6,
                            MATCH(TRUE,'Hulp (CAO''s)'!$D$3:$D$6,0)) &amp; "'!A:A"),
                        0
                    ))
                ),
                ROW(INDIRECT("'" &amp; INDEX('Hulp (CAO''s)'!$C$3:$C$6,
                    MATCH(TRUE,'Hulp (CAO''s)'!$D$3:$D$6,0)) &amp; "'!B1:B1000"))
            )
        ),0)
    )
))</f>
        <v/>
      </c>
      <c r="N85" s="145" t="str">
        <f t="array" aca="1" ref="N85" ca="1">IF($D83="Gebruik % van maximum trede",
IF(
    OR(N82="",N83=""),
    "",
    MAX(
    INDIRECT("'" &amp; INDEX('Hulp (CAO''s)'!$C$3:$C$6,
        MATCH(TRUE,'Hulp (CAO''s)'!$D$3:$D$6,0)) &amp; "'!" &amp;
        INDEX('Hulp (CAO''s)'!$H$3:$H$6,
            MATCH(TRUE,'Hulp (CAO''s)'!$D$3:$D$6,0))
        &amp;
        MATCH(N82, INDIRECT("'" &amp; INDEX('Hulp (CAO''s)'!$C$3:$C$6,
            MATCH(TRUE,'Hulp (CAO''s)'!$D$3:$D$6,0)) &amp; "'!A:A"),0)
        &amp; ":H" &amp;
        IF(O82&lt;&gt;"",
            MATCH(O82, INDIRECT("'" &amp; INDEX('Hulp (CAO''s)'!$C$3:$C$6,
                MATCH(TRUE,'Hulp (CAO''s)'!$D$3:$D$6,0)) &amp; "'!A:A"),0)-1,
            1000
        )
    )
) * N83
),
IF(
    IFERROR(MIN(
        IF(
            (TRIM(INDIRECT("'" &amp; INDEX('Hulp (CAO''s)'!$C$3:$C$6,
                MATCH(TRUE,'Hulp (CAO''s)'!$D$3:$D$6,0)) &amp; "'!B1:B1000")) = TEXT(N84,"0")) *
            (ROW(INDIRECT("'" &amp; INDEX('Hulp (CAO''s)'!$C$3:$C$6,
                MATCH(TRUE,'Hulp (CAO''s)'!$D$3:$D$6,0)) &amp; "'!B1:B1000")) &gt; MATCH(
                N82,
                INDIRECT("'" &amp; INDEX('Hulp (CAO''s)'!$C$3:$C$6,
                    MATCH(TRUE,'Hulp (CAO''s)'!$D$3:$D$6,0)) &amp; "'!A:A"),
                0
            )) *
            IF(
                O82="",
                1,
                (ROW(INDIRECT("'" &amp; INDEX('Hulp (CAO''s)'!$C$3:$C$6,
                    MATCH(TRUE,'Hulp (CAO''s)'!$D$3:$D$6,0)) &amp; "'!B1:B1000")) &lt; MATCH(
                    O82,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TEXT(N84,"0")) *
                (ROW(INDIRECT("'" &amp; INDEX('Hulp (CAO''s)'!$C$3:$C$6,
                    MATCH(TRUE,'Hulp (CAO''s)'!$D$3:$D$6,0)) &amp; "'!B1:B1000")) &gt; MATCH(
                    N82,
                    INDIRECT("'" &amp; INDEX('Hulp (CAO''s)'!$C$3:$C$6,
                        MATCH(TRUE,'Hulp (CAO''s)'!$D$3:$D$6,0)) &amp; "'!A:A"),
                    0
                )) *
                IF(
                    O82="",
                    1,
                    (ROW(INDIRECT("'" &amp; INDEX('Hulp (CAO''s)'!$C$3:$C$6,
                        MATCH(TRUE,'Hulp (CAO''s)'!$D$3:$D$6,0)) &amp; "'!B1:B1000")) &lt; MATCH(
                        O82,
                        INDIRECT("'" &amp; INDEX('Hulp (CAO''s)'!$C$3:$C$6,
                            MATCH(TRUE,'Hulp (CAO''s)'!$D$3:$D$6,0)) &amp; "'!A:A"),
                        0
                    ))
                ),
                ROW(INDIRECT("'" &amp; INDEX('Hulp (CAO''s)'!$C$3:$C$6,
                    MATCH(TRUE,'Hulp (CAO''s)'!$D$3:$D$6,0)) &amp; "'!B1:B1000"))
            )
        ),0)
    )
))</f>
        <v/>
      </c>
      <c r="O85" s="145" t="str">
        <f t="array" aca="1" ref="O85" ca="1">IF($D83="Gebruik % van maximum trede",
IF(
    OR(O82="",O83=""),
    "",
    MAX(
    INDIRECT("'" &amp; INDEX('Hulp (CAO''s)'!$C$3:$C$6,
        MATCH(TRUE,'Hulp (CAO''s)'!$D$3:$D$6,0)) &amp; "'!" &amp;
        INDEX('Hulp (CAO''s)'!$H$3:$H$6,
            MATCH(TRUE,'Hulp (CAO''s)'!$D$3:$D$6,0))
        &amp;
        MATCH(O82, INDIRECT("'" &amp; INDEX('Hulp (CAO''s)'!$C$3:$C$6,
            MATCH(TRUE,'Hulp (CAO''s)'!$D$3:$D$6,0)) &amp; "'!A:A"),0)
        &amp; ":H" &amp;
        IF(P82&lt;&gt;"",
            MATCH(P82, INDIRECT("'" &amp; INDEX('Hulp (CAO''s)'!$C$3:$C$6,
                MATCH(TRUE,'Hulp (CAO''s)'!$D$3:$D$6,0)) &amp; "'!A:A"),0)-1,
            1000
        )
    )
) * O83
),
IF(
    IFERROR(MIN(
        IF(
            (TRIM(INDIRECT("'" &amp; INDEX('Hulp (CAO''s)'!$C$3:$C$6,
                MATCH(TRUE,'Hulp (CAO''s)'!$D$3:$D$6,0)) &amp; "'!B1:B1000")) = TEXT(O84,"0")) *
            (ROW(INDIRECT("'" &amp; INDEX('Hulp (CAO''s)'!$C$3:$C$6,
                MATCH(TRUE,'Hulp (CAO''s)'!$D$3:$D$6,0)) &amp; "'!B1:B1000")) &gt; MATCH(
                O82,
                INDIRECT("'" &amp; INDEX('Hulp (CAO''s)'!$C$3:$C$6,
                    MATCH(TRUE,'Hulp (CAO''s)'!$D$3:$D$6,0)) &amp; "'!A:A"),
                0
            )) *
            IF(
                P82="",
                1,
                (ROW(INDIRECT("'" &amp; INDEX('Hulp (CAO''s)'!$C$3:$C$6,
                    MATCH(TRUE,'Hulp (CAO''s)'!$D$3:$D$6,0)) &amp; "'!B1:B1000")) &lt; MATCH(
                    P82,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TEXT(O84,"0")) *
                (ROW(INDIRECT("'" &amp; INDEX('Hulp (CAO''s)'!$C$3:$C$6,
                    MATCH(TRUE,'Hulp (CAO''s)'!$D$3:$D$6,0)) &amp; "'!B1:B1000")) &gt; MATCH(
                    O82,
                    INDIRECT("'" &amp; INDEX('Hulp (CAO''s)'!$C$3:$C$6,
                        MATCH(TRUE,'Hulp (CAO''s)'!$D$3:$D$6,0)) &amp; "'!A:A"),
                    0
                )) *
                IF(
                    P82="",
                    1,
                    (ROW(INDIRECT("'" &amp; INDEX('Hulp (CAO''s)'!$C$3:$C$6,
                        MATCH(TRUE,'Hulp (CAO''s)'!$D$3:$D$6,0)) &amp; "'!B1:B1000")) &lt; MATCH(
                        P82,
                        INDIRECT("'" &amp; INDEX('Hulp (CAO''s)'!$C$3:$C$6,
                            MATCH(TRUE,'Hulp (CAO''s)'!$D$3:$D$6,0)) &amp; "'!A:A"),
                        0
                    ))
                ),
                ROW(INDIRECT("'" &amp; INDEX('Hulp (CAO''s)'!$C$3:$C$6,
                    MATCH(TRUE,'Hulp (CAO''s)'!$D$3:$D$6,0)) &amp; "'!B1:B1000"))
            )
        ),0)
    )
))</f>
        <v/>
      </c>
      <c r="P85" s="145" t="str">
        <f t="array" aca="1" ref="P85" ca="1">IF($D83="Gebruik % van maximum trede",
IF(
    OR(P82="",P83=""),
    "",
    MAX(
    INDIRECT("'" &amp; INDEX('Hulp (CAO''s)'!$C$3:$C$6,
        MATCH(TRUE,'Hulp (CAO''s)'!$D$3:$D$6,0)) &amp; "'!" &amp;
        INDEX('Hulp (CAO''s)'!$H$3:$H$6,
            MATCH(TRUE,'Hulp (CAO''s)'!$D$3:$D$6,0))
        &amp;
        MATCH(P82, INDIRECT("'" &amp; INDEX('Hulp (CAO''s)'!$C$3:$C$6,
            MATCH(TRUE,'Hulp (CAO''s)'!$D$3:$D$6,0)) &amp; "'!A:A"),0)
        &amp; ":H" &amp;
        IF(Q82&lt;&gt;"",
            MATCH(Q82, INDIRECT("'" &amp; INDEX('Hulp (CAO''s)'!$C$3:$C$6,
                MATCH(TRUE,'Hulp (CAO''s)'!$D$3:$D$6,0)) &amp; "'!A:A"),0)-1,
            1000
        )
    )
) * P83
),
IF(
    IFERROR(MIN(
        IF(
            (TRIM(INDIRECT("'" &amp; INDEX('Hulp (CAO''s)'!$C$3:$C$6,
                MATCH(TRUE,'Hulp (CAO''s)'!$D$3:$D$6,0)) &amp; "'!B1:B1000")) = TEXT(P84,"0")) *
            (ROW(INDIRECT("'" &amp; INDEX('Hulp (CAO''s)'!$C$3:$C$6,
                MATCH(TRUE,'Hulp (CAO''s)'!$D$3:$D$6,0)) &amp; "'!B1:B1000")) &gt; MATCH(
                P82,
                INDIRECT("'" &amp; INDEX('Hulp (CAO''s)'!$C$3:$C$6,
                    MATCH(TRUE,'Hulp (CAO''s)'!$D$3:$D$6,0)) &amp; "'!A:A"),
                0
            )) *
            IF(
                Q82="",
                1,
                (ROW(INDIRECT("'" &amp; INDEX('Hulp (CAO''s)'!$C$3:$C$6,
                    MATCH(TRUE,'Hulp (CAO''s)'!$D$3:$D$6,0)) &amp; "'!B1:B1000")) &lt; MATCH(
                    Q82,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TEXT(P84,"0")) *
                (ROW(INDIRECT("'" &amp; INDEX('Hulp (CAO''s)'!$C$3:$C$6,
                    MATCH(TRUE,'Hulp (CAO''s)'!$D$3:$D$6,0)) &amp; "'!B1:B1000")) &gt; MATCH(
                    P82,
                    INDIRECT("'" &amp; INDEX('Hulp (CAO''s)'!$C$3:$C$6,
                        MATCH(TRUE,'Hulp (CAO''s)'!$D$3:$D$6,0)) &amp; "'!A:A"),
                    0
                )) *
                IF(
                    Q82="",
                    1,
                    (ROW(INDIRECT("'" &amp; INDEX('Hulp (CAO''s)'!$C$3:$C$6,
                        MATCH(TRUE,'Hulp (CAO''s)'!$D$3:$D$6,0)) &amp; "'!B1:B1000")) &lt; MATCH(
                        Q82,
                        INDIRECT("'" &amp; INDEX('Hulp (CAO''s)'!$C$3:$C$6,
                            MATCH(TRUE,'Hulp (CAO''s)'!$D$3:$D$6,0)) &amp; "'!A:A"),
                        0
                    ))
                ),
                ROW(INDIRECT("'" &amp; INDEX('Hulp (CAO''s)'!$C$3:$C$6,
                    MATCH(TRUE,'Hulp (CAO''s)'!$D$3:$D$6,0)) &amp; "'!B1:B1000"))
            )
        ),0)
    )
))</f>
        <v/>
      </c>
      <c r="Q85" s="145" t="str">
        <f t="array" aca="1" ref="Q85" ca="1">IF($D83="Gebruik % van maximum trede",
IF(
    OR(Q82="",Q83=""),
    "",
    MAX(
    INDIRECT("'" &amp; INDEX('Hulp (CAO''s)'!$C$3:$C$6,
        MATCH(TRUE,'Hulp (CAO''s)'!$D$3:$D$6,0)) &amp; "'!" &amp;
        INDEX('Hulp (CAO''s)'!$H$3:$H$6,
            MATCH(TRUE,'Hulp (CAO''s)'!$D$3:$D$6,0))
        &amp;
        MATCH(Q82, INDIRECT("'" &amp; INDEX('Hulp (CAO''s)'!$C$3:$C$6,
            MATCH(TRUE,'Hulp (CAO''s)'!$D$3:$D$6,0)) &amp; "'!A:A"),0)
        &amp; ":H" &amp;
        IF(R82&lt;&gt;"",
            MATCH(R82, INDIRECT("'" &amp; INDEX('Hulp (CAO''s)'!$C$3:$C$6,
                MATCH(TRUE,'Hulp (CAO''s)'!$D$3:$D$6,0)) &amp; "'!A:A"),0)-1,
            1000
        )
    )
) * Q83
),
IF(
    IFERROR(MIN(
        IF(
            (TRIM(INDIRECT("'" &amp; INDEX('Hulp (CAO''s)'!$C$3:$C$6,
                MATCH(TRUE,'Hulp (CAO''s)'!$D$3:$D$6,0)) &amp; "'!B1:B1000")) = TEXT(Q84,"0")) *
            (ROW(INDIRECT("'" &amp; INDEX('Hulp (CAO''s)'!$C$3:$C$6,
                MATCH(TRUE,'Hulp (CAO''s)'!$D$3:$D$6,0)) &amp; "'!B1:B1000")) &gt; MATCH(
                Q82,
                INDIRECT("'" &amp; INDEX('Hulp (CAO''s)'!$C$3:$C$6,
                    MATCH(TRUE,'Hulp (CAO''s)'!$D$3:$D$6,0)) &amp; "'!A:A"),
                0
            )) *
            IF(
                R82="",
                1,
                (ROW(INDIRECT("'" &amp; INDEX('Hulp (CAO''s)'!$C$3:$C$6,
                    MATCH(TRUE,'Hulp (CAO''s)'!$D$3:$D$6,0)) &amp; "'!B1:B1000")) &lt; MATCH(
                    R82,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TEXT(Q84,"0")) *
                (ROW(INDIRECT("'" &amp; INDEX('Hulp (CAO''s)'!$C$3:$C$6,
                    MATCH(TRUE,'Hulp (CAO''s)'!$D$3:$D$6,0)) &amp; "'!B1:B1000")) &gt; MATCH(
                    Q82,
                    INDIRECT("'" &amp; INDEX('Hulp (CAO''s)'!$C$3:$C$6,
                        MATCH(TRUE,'Hulp (CAO''s)'!$D$3:$D$6,0)) &amp; "'!A:A"),
                    0
                )) *
                IF(
                    R82="",
                    1,
                    (ROW(INDIRECT("'" &amp; INDEX('Hulp (CAO''s)'!$C$3:$C$6,
                        MATCH(TRUE,'Hulp (CAO''s)'!$D$3:$D$6,0)) &amp; "'!B1:B1000")) &lt; MATCH(
                        R82,
                        INDIRECT("'" &amp; INDEX('Hulp (CAO''s)'!$C$3:$C$6,
                            MATCH(TRUE,'Hulp (CAO''s)'!$D$3:$D$6,0)) &amp; "'!A:A"),
                        0
                    ))
                ),
                ROW(INDIRECT("'" &amp; INDEX('Hulp (CAO''s)'!$C$3:$C$6,
                    MATCH(TRUE,'Hulp (CAO''s)'!$D$3:$D$6,0)) &amp; "'!B1:B1000"))
            )
        ),0)
    )
))</f>
        <v/>
      </c>
      <c r="R85" s="145" t="str">
        <f t="array" aca="1" ref="R85" ca="1">IF($D83="Gebruik % van maximum trede",
IF(
    OR(R82="",R83=""),
    "",
    MAX(
    INDIRECT("'" &amp; INDEX('Hulp (CAO''s)'!$C$3:$C$6,
        MATCH(TRUE,'Hulp (CAO''s)'!$D$3:$D$6,0)) &amp; "'!" &amp;
        INDEX('Hulp (CAO''s)'!$H$3:$H$6,
            MATCH(TRUE,'Hulp (CAO''s)'!$D$3:$D$6,0))
        &amp;
        MATCH(R82, INDIRECT("'" &amp; INDEX('Hulp (CAO''s)'!$C$3:$C$6,
            MATCH(TRUE,'Hulp (CAO''s)'!$D$3:$D$6,0)) &amp; "'!A:A"),0)
        &amp; ":H" &amp;
        IF(S82&lt;&gt;"",
            MATCH(S82, INDIRECT("'" &amp; INDEX('Hulp (CAO''s)'!$C$3:$C$6,
                MATCH(TRUE,'Hulp (CAO''s)'!$D$3:$D$6,0)) &amp; "'!A:A"),0)-1,
            1000
        )
    )
) * R83
),
IF(
    IFERROR(MIN(
        IF(
            (TRIM(INDIRECT("'" &amp; INDEX('Hulp (CAO''s)'!$C$3:$C$6,
                MATCH(TRUE,'Hulp (CAO''s)'!$D$3:$D$6,0)) &amp; "'!B1:B1000")) = TEXT(R84,"0")) *
            (ROW(INDIRECT("'" &amp; INDEX('Hulp (CAO''s)'!$C$3:$C$6,
                MATCH(TRUE,'Hulp (CAO''s)'!$D$3:$D$6,0)) &amp; "'!B1:B1000")) &gt; MATCH(
                R82,
                INDIRECT("'" &amp; INDEX('Hulp (CAO''s)'!$C$3:$C$6,
                    MATCH(TRUE,'Hulp (CAO''s)'!$D$3:$D$6,0)) &amp; "'!A:A"),
                0
            )) *
            IF(
                S82="",
                1,
                (ROW(INDIRECT("'" &amp; INDEX('Hulp (CAO''s)'!$C$3:$C$6,
                    MATCH(TRUE,'Hulp (CAO''s)'!$D$3:$D$6,0)) &amp; "'!B1:B1000")) &lt; MATCH(
                    S82,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TEXT(R84,"0")) *
                (ROW(INDIRECT("'" &amp; INDEX('Hulp (CAO''s)'!$C$3:$C$6,
                    MATCH(TRUE,'Hulp (CAO''s)'!$D$3:$D$6,0)) &amp; "'!B1:B1000")) &gt; MATCH(
                    R82,
                    INDIRECT("'" &amp; INDEX('Hulp (CAO''s)'!$C$3:$C$6,
                        MATCH(TRUE,'Hulp (CAO''s)'!$D$3:$D$6,0)) &amp; "'!A:A"),
                    0
                )) *
                IF(
                    S82="",
                    1,
                    (ROW(INDIRECT("'" &amp; INDEX('Hulp (CAO''s)'!$C$3:$C$6,
                        MATCH(TRUE,'Hulp (CAO''s)'!$D$3:$D$6,0)) &amp; "'!B1:B1000")) &lt; MATCH(
                        S82,
                        INDIRECT("'" &amp; INDEX('Hulp (CAO''s)'!$C$3:$C$6,
                            MATCH(TRUE,'Hulp (CAO''s)'!$D$3:$D$6,0)) &amp; "'!A:A"),
                        0
                    ))
                ),
                ROW(INDIRECT("'" &amp; INDEX('Hulp (CAO''s)'!$C$3:$C$6,
                    MATCH(TRUE,'Hulp (CAO''s)'!$D$3:$D$6,0)) &amp; "'!B1:B1000"))
            )
        ),0)
    )
))</f>
        <v/>
      </c>
      <c r="S85" s="145" t="str">
        <f t="array" aca="1" ref="S85" ca="1">IF($D83="Gebruik % van maximum trede",
IF(
    OR(S82="",S83=""),
    "",
    MAX(
    INDIRECT("'" &amp; INDEX('Hulp (CAO''s)'!$C$3:$C$6,
        MATCH(TRUE,'Hulp (CAO''s)'!$D$3:$D$6,0)) &amp; "'!" &amp;
        INDEX('Hulp (CAO''s)'!$H$3:$H$6,
            MATCH(TRUE,'Hulp (CAO''s)'!$D$3:$D$6,0))
        &amp;
        MATCH(S82, INDIRECT("'" &amp; INDEX('Hulp (CAO''s)'!$C$3:$C$6,
            MATCH(TRUE,'Hulp (CAO''s)'!$D$3:$D$6,0)) &amp; "'!A:A"),0)
        &amp; ":H" &amp;
        IF(T82&lt;&gt;"",
            MATCH(T82, INDIRECT("'" &amp; INDEX('Hulp (CAO''s)'!$C$3:$C$6,
                MATCH(TRUE,'Hulp (CAO''s)'!$D$3:$D$6,0)) &amp; "'!A:A"),0)-1,
            1000
        )
    )
) * S83
),
IF(
    IFERROR(MIN(
        IF(
            (TRIM(INDIRECT("'" &amp; INDEX('Hulp (CAO''s)'!$C$3:$C$6,
                MATCH(TRUE,'Hulp (CAO''s)'!$D$3:$D$6,0)) &amp; "'!B1:B1000")) = TEXT(S84,"0")) *
            (ROW(INDIRECT("'" &amp; INDEX('Hulp (CAO''s)'!$C$3:$C$6,
                MATCH(TRUE,'Hulp (CAO''s)'!$D$3:$D$6,0)) &amp; "'!B1:B1000")) &gt; MATCH(
                S82,
                INDIRECT("'" &amp; INDEX('Hulp (CAO''s)'!$C$3:$C$6,
                    MATCH(TRUE,'Hulp (CAO''s)'!$D$3:$D$6,0)) &amp; "'!A:A"),
                0
            )) *
            IF(
                T82="",
                1,
                (ROW(INDIRECT("'" &amp; INDEX('Hulp (CAO''s)'!$C$3:$C$6,
                    MATCH(TRUE,'Hulp (CAO''s)'!$D$3:$D$6,0)) &amp; "'!B1:B1000")) &lt; MATCH(
                    T82,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TEXT(S84,"0")) *
                (ROW(INDIRECT("'" &amp; INDEX('Hulp (CAO''s)'!$C$3:$C$6,
                    MATCH(TRUE,'Hulp (CAO''s)'!$D$3:$D$6,0)) &amp; "'!B1:B1000")) &gt; MATCH(
                    S82,
                    INDIRECT("'" &amp; INDEX('Hulp (CAO''s)'!$C$3:$C$6,
                        MATCH(TRUE,'Hulp (CAO''s)'!$D$3:$D$6,0)) &amp; "'!A:A"),
                    0
                )) *
                IF(
                    T82="",
                    1,
                    (ROW(INDIRECT("'" &amp; INDEX('Hulp (CAO''s)'!$C$3:$C$6,
                        MATCH(TRUE,'Hulp (CAO''s)'!$D$3:$D$6,0)) &amp; "'!B1:B1000")) &lt; MATCH(
                        T82,
                        INDIRECT("'" &amp; INDEX('Hulp (CAO''s)'!$C$3:$C$6,
                            MATCH(TRUE,'Hulp (CAO''s)'!$D$3:$D$6,0)) &amp; "'!A:A"),
                        0
                    ))
                ),
                ROW(INDIRECT("'" &amp; INDEX('Hulp (CAO''s)'!$C$3:$C$6,
                    MATCH(TRUE,'Hulp (CAO''s)'!$D$3:$D$6,0)) &amp; "'!B1:B1000"))
            )
        ),0)
    )
))</f>
        <v/>
      </c>
      <c r="T85" s="145" t="str">
        <f t="array" aca="1" ref="T85" ca="1">IF($D83="Gebruik % van maximum trede",
IF(
    OR(T82="",T83=""),
    "",
    MAX(
    INDIRECT("'" &amp; INDEX('Hulp (CAO''s)'!$C$3:$C$6,
        MATCH(TRUE,'Hulp (CAO''s)'!$D$3:$D$6,0)) &amp; "'!" &amp;
        INDEX('Hulp (CAO''s)'!$H$3:$H$6,
            MATCH(TRUE,'Hulp (CAO''s)'!$D$3:$D$6,0))
        &amp;
        MATCH(T82, INDIRECT("'" &amp; INDEX('Hulp (CAO''s)'!$C$3:$C$6,
            MATCH(TRUE,'Hulp (CAO''s)'!$D$3:$D$6,0)) &amp; "'!A:A"),0)
        &amp; ":H" &amp;
        IF(U82&lt;&gt;"",
            MATCH(U82, INDIRECT("'" &amp; INDEX('Hulp (CAO''s)'!$C$3:$C$6,
                MATCH(TRUE,'Hulp (CAO''s)'!$D$3:$D$6,0)) &amp; "'!A:A"),0)-1,
            1000
        )
    )
) * T83
),
IF(
    IFERROR(MIN(
        IF(
            (TRIM(INDIRECT("'" &amp; INDEX('Hulp (CAO''s)'!$C$3:$C$6,
                MATCH(TRUE,'Hulp (CAO''s)'!$D$3:$D$6,0)) &amp; "'!B1:B1000")) = TEXT(T84,"0")) *
            (ROW(INDIRECT("'" &amp; INDEX('Hulp (CAO''s)'!$C$3:$C$6,
                MATCH(TRUE,'Hulp (CAO''s)'!$D$3:$D$6,0)) &amp; "'!B1:B1000")) &gt; MATCH(
                T82,
                INDIRECT("'" &amp; INDEX('Hulp (CAO''s)'!$C$3:$C$6,
                    MATCH(TRUE,'Hulp (CAO''s)'!$D$3:$D$6,0)) &amp; "'!A:A"),
                0
            )) *
            IF(
                U82="",
                1,
                (ROW(INDIRECT("'" &amp; INDEX('Hulp (CAO''s)'!$C$3:$C$6,
                    MATCH(TRUE,'Hulp (CAO''s)'!$D$3:$D$6,0)) &amp; "'!B1:B1000")) &lt; MATCH(
                    U82,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TEXT(T84,"0")) *
                (ROW(INDIRECT("'" &amp; INDEX('Hulp (CAO''s)'!$C$3:$C$6,
                    MATCH(TRUE,'Hulp (CAO''s)'!$D$3:$D$6,0)) &amp; "'!B1:B1000")) &gt; MATCH(
                    T82,
                    INDIRECT("'" &amp; INDEX('Hulp (CAO''s)'!$C$3:$C$6,
                        MATCH(TRUE,'Hulp (CAO''s)'!$D$3:$D$6,0)) &amp; "'!A:A"),
                    0
                )) *
                IF(
                    U82="",
                    1,
                    (ROW(INDIRECT("'" &amp; INDEX('Hulp (CAO''s)'!$C$3:$C$6,
                        MATCH(TRUE,'Hulp (CAO''s)'!$D$3:$D$6,0)) &amp; "'!B1:B1000")) &lt; MATCH(
                        U82,
                        INDIRECT("'" &amp; INDEX('Hulp (CAO''s)'!$C$3:$C$6,
                            MATCH(TRUE,'Hulp (CAO''s)'!$D$3:$D$6,0)) &amp; "'!A:A"),
                        0
                    ))
                ),
                ROW(INDIRECT("'" &amp; INDEX('Hulp (CAO''s)'!$C$3:$C$6,
                    MATCH(TRUE,'Hulp (CAO''s)'!$D$3:$D$6,0)) &amp; "'!B1:B1000"))
            )
        ),0)
    )
))</f>
        <v/>
      </c>
      <c r="U85" s="145" t="str">
        <f t="array" aca="1" ref="U85" ca="1">IF($D83="Gebruik % van maximum trede",
IF(
    OR(U82="",U83=""),
    "",
    MAX(
    INDIRECT("'" &amp; INDEX('Hulp (CAO''s)'!$C$3:$C$6,
        MATCH(TRUE,'Hulp (CAO''s)'!$D$3:$D$6,0)) &amp; "'!" &amp;
        INDEX('Hulp (CAO''s)'!$H$3:$H$6,
            MATCH(TRUE,'Hulp (CAO''s)'!$D$3:$D$6,0))
        &amp;
        MATCH(U82, INDIRECT("'" &amp; INDEX('Hulp (CAO''s)'!$C$3:$C$6,
            MATCH(TRUE,'Hulp (CAO''s)'!$D$3:$D$6,0)) &amp; "'!A:A"),0)
        &amp; ":H" &amp;
        IF(V82&lt;&gt;"",
            MATCH(V82, INDIRECT("'" &amp; INDEX('Hulp (CAO''s)'!$C$3:$C$6,
                MATCH(TRUE,'Hulp (CAO''s)'!$D$3:$D$6,0)) &amp; "'!A:A"),0)-1,
            1000
        )
    )
) * U83
),
IF(
    IFERROR(MIN(
        IF(
            (TRIM(INDIRECT("'" &amp; INDEX('Hulp (CAO''s)'!$C$3:$C$6,
                MATCH(TRUE,'Hulp (CAO''s)'!$D$3:$D$6,0)) &amp; "'!B1:B1000")) = TEXT(U84,"0")) *
            (ROW(INDIRECT("'" &amp; INDEX('Hulp (CAO''s)'!$C$3:$C$6,
                MATCH(TRUE,'Hulp (CAO''s)'!$D$3:$D$6,0)) &amp; "'!B1:B1000")) &gt; MATCH(
                U82,
                INDIRECT("'" &amp; INDEX('Hulp (CAO''s)'!$C$3:$C$6,
                    MATCH(TRUE,'Hulp (CAO''s)'!$D$3:$D$6,0)) &amp; "'!A:A"),
                0
            )) *
            IF(
                V82="",
                1,
                (ROW(INDIRECT("'" &amp; INDEX('Hulp (CAO''s)'!$C$3:$C$6,
                    MATCH(TRUE,'Hulp (CAO''s)'!$D$3:$D$6,0)) &amp; "'!B1:B1000")) &lt; MATCH(
                    V82,
                    INDIRECT("'" &amp; INDEX('Hulp (CAO''s)'!$C$3:$C$6,
                        MATCH(TRUE,'Hulp (CAO''s)'!$D$3:$D$6,0)) &amp; "'!A:A"),
                    0
                ))
            ),
            ROW(INDIRECT("'" &amp; INDEX('Hulp (CAO''s)'!$C$3:$C$6,
                MATCH(TRUE,'Hulp (CAO''s)'!$D$3:$D$6,0)) &amp; "'!B1:B1000"))
        )
    ),0) &lt; 1,
    "",
    INDEX(
        INDIRECT("'" &amp; INDEX('Hulp (CAO''s)'!$C$3:$C$6,
            MATCH(TRUE,'Hulp (CAO''s)'!$D$3:$D$6,0)) &amp; "'!" &amp;
        INDEX('Hulp (CAO''s)'!$H$3:$H$6,
            MATCH(TRUE,'Hulp (CAO''s)'!$D$3:$D$6,0)) &amp; ":" &amp;
        INDEX('Hulp (CAO''s)'!$H$3:$H$6,
            MATCH(TRUE,'Hulp (CAO''s)'!$D$3:$D$6,0))
        ),
        IFERROR(MIN(
            IF(
                (TRIM(INDIRECT("'" &amp; INDEX('Hulp (CAO''s)'!$C$3:$C$6,
                    MATCH(TRUE,'Hulp (CAO''s)'!$D$3:$D$6,0)) &amp; "'!B1:B1000")) = TEXT(U84,"0")) *
                (ROW(INDIRECT("'" &amp; INDEX('Hulp (CAO''s)'!$C$3:$C$6,
                    MATCH(TRUE,'Hulp (CAO''s)'!$D$3:$D$6,0)) &amp; "'!B1:B1000")) &gt; MATCH(
                    U82,
                    INDIRECT("'" &amp; INDEX('Hulp (CAO''s)'!$C$3:$C$6,
                        MATCH(TRUE,'Hulp (CAO''s)'!$D$3:$D$6,0)) &amp; "'!A:A"),
                    0
                )) *
                IF(
                    V82="",
                    1,
                    (ROW(INDIRECT("'" &amp; INDEX('Hulp (CAO''s)'!$C$3:$C$6,
                        MATCH(TRUE,'Hulp (CAO''s)'!$D$3:$D$6,0)) &amp; "'!B1:B1000")) &lt; MATCH(
                        V82,
                        INDIRECT("'" &amp; INDEX('Hulp (CAO''s)'!$C$3:$C$6,
                            MATCH(TRUE,'Hulp (CAO''s)'!$D$3:$D$6,0)) &amp; "'!A:A"),
                        0
                    ))
                ),
                ROW(INDIRECT("'" &amp; INDEX('Hulp (CAO''s)'!$C$3:$C$6,
                    MATCH(TRUE,'Hulp (CAO''s)'!$D$3:$D$6,0)) &amp; "'!B1:B1000"))
            )
        ),0)
    )
))</f>
        <v/>
      </c>
      <c r="V85" s="165" t="str">
        <f t="array" aca="1" ref="V85" ca="1">IF(SUM(F86:U86)=0,"",
IF(
   SUM(F85:U85)=0,
   "",
   (
      SUMPRODUCT(
         IF(F85:U85="",0,F85:U85),
         IF(F86:U86="",0,F86:U86) * SUM(F86:U86)
      )
   ) *
   IF(
      'Hulp (CAO''s)'!#REF!,
      IF(
         OR(
            INDEX(#REF!, ROW(#REF!) + INT((ROW()-ROW($V$8))/6)*8)="",
            ISNA(INDEX(#REF!, ROW(#REF!) + INT((ROW()-ROW($V$8))/6)*8))
         ),
         1878/12,
         INDEX(#REF!, ROW(#REF!) + INT((ROW()-ROW($V$8))/6)*8)/12
      ),
      1
   )
))</f>
        <v/>
      </c>
      <c r="W85" s="171" t="str">
        <f ca="1">IF(B82="","",
    IF(W84="","",
        IF(INDIRECT("'Hulp (control forms)'!C" &amp; (13 + INT((ROW()-ROW($B$5))/7))),
            W84,
            V85
        )
    )
)</f>
        <v/>
      </c>
      <c r="X85" s="170" t="str">
        <f ca="1">IF(AND($B82&lt;&gt;"", $W85=""),"!","")</f>
        <v/>
      </c>
    </row>
    <row r="86" spans="2:24" ht="16.05" customHeight="1" thickBot="1" x14ac:dyDescent="0.55000000000000004">
      <c r="C86" s="151"/>
      <c r="D86" s="141" t="s">
        <v>60</v>
      </c>
      <c r="E86" s="24" t="s">
        <v>59</v>
      </c>
      <c r="F86" s="146">
        <v>0.05</v>
      </c>
      <c r="G86" s="146">
        <v>0.1</v>
      </c>
      <c r="H86" s="146">
        <v>0.1</v>
      </c>
      <c r="I86" s="146">
        <v>0.15</v>
      </c>
      <c r="J86" s="146">
        <v>0.2</v>
      </c>
      <c r="K86" s="146">
        <v>0.15</v>
      </c>
      <c r="L86" s="146">
        <v>0.1</v>
      </c>
      <c r="M86" s="146">
        <v>0.05</v>
      </c>
      <c r="N86" s="146">
        <v>0.05</v>
      </c>
      <c r="O86" s="146">
        <v>0.05</v>
      </c>
      <c r="P86" s="146">
        <v>0</v>
      </c>
      <c r="Q86" s="146"/>
      <c r="R86" s="146"/>
      <c r="S86" s="146"/>
      <c r="T86" s="146"/>
      <c r="U86" s="147"/>
      <c r="V86" s="142" t="str">
        <f ca="1">IF($B82="","",IF($D86="Aandeel in %",
   "Totaal: "&amp;SUM(F86:U86)*100&amp;"%",
   "Totaal: "&amp;SUM(F86:U86)&amp;" uur"
))</f>
        <v/>
      </c>
      <c r="W86" s="168"/>
      <c r="X86" s="153"/>
    </row>
    <row r="87" spans="2:24" ht="16.05" customHeight="1" thickBot="1" x14ac:dyDescent="0.55000000000000004">
      <c r="C87" s="154"/>
      <c r="D87" s="140"/>
      <c r="E87" s="140"/>
      <c r="F87" s="140"/>
      <c r="G87" s="140"/>
      <c r="H87" s="140"/>
      <c r="I87" s="140"/>
      <c r="J87" s="140"/>
      <c r="K87" s="140"/>
      <c r="L87" s="140"/>
      <c r="M87" s="140"/>
      <c r="N87" s="140"/>
      <c r="O87" s="140"/>
      <c r="P87" s="140"/>
      <c r="Q87" s="140"/>
      <c r="R87" s="140"/>
      <c r="S87" s="140"/>
      <c r="T87" s="155"/>
      <c r="U87" s="155"/>
      <c r="V87" s="169"/>
      <c r="W87" s="169"/>
      <c r="X87" s="156"/>
    </row>
    <row r="88" spans="2:24" ht="14.25" x14ac:dyDescent="0.45">
      <c r="B88"/>
      <c r="C88"/>
      <c r="X88" s="5"/>
    </row>
    <row r="89" spans="2:24" ht="14.25" x14ac:dyDescent="0.45">
      <c r="B89"/>
      <c r="C89"/>
      <c r="X89" s="5"/>
    </row>
    <row r="90" spans="2:24" ht="14.25" x14ac:dyDescent="0.45">
      <c r="B90"/>
      <c r="C90"/>
      <c r="X90" s="5"/>
    </row>
    <row r="91" spans="2:24" ht="14.25" x14ac:dyDescent="0.45">
      <c r="B91"/>
      <c r="C91"/>
      <c r="X91" s="5"/>
    </row>
    <row r="92" spans="2:24" ht="14.25" x14ac:dyDescent="0.45">
      <c r="B92"/>
      <c r="C92"/>
      <c r="X92" s="5"/>
    </row>
    <row r="93" spans="2:24" ht="14.25" x14ac:dyDescent="0.45">
      <c r="B93"/>
      <c r="C93"/>
      <c r="X93" s="5"/>
    </row>
    <row r="94" spans="2:24" ht="14.25" x14ac:dyDescent="0.45">
      <c r="B94"/>
      <c r="C94"/>
      <c r="X94" s="5"/>
    </row>
    <row r="95" spans="2:24" ht="14.25" x14ac:dyDescent="0.45">
      <c r="B95"/>
      <c r="C95"/>
      <c r="X95" s="5"/>
    </row>
    <row r="96" spans="2:24" ht="14.25" x14ac:dyDescent="0.45">
      <c r="B96"/>
      <c r="C96"/>
      <c r="X96" s="5"/>
    </row>
    <row r="97" spans="2:24" ht="14.25" x14ac:dyDescent="0.45">
      <c r="B97"/>
      <c r="C97"/>
      <c r="X97" s="5"/>
    </row>
    <row r="98" spans="2:24" ht="14.25" x14ac:dyDescent="0.45">
      <c r="B98"/>
      <c r="C98"/>
      <c r="X98" s="5"/>
    </row>
    <row r="99" spans="2:24" ht="14.25" x14ac:dyDescent="0.45">
      <c r="B99"/>
      <c r="C99"/>
      <c r="X99" s="5"/>
    </row>
    <row r="100" spans="2:24" ht="14.25" x14ac:dyDescent="0.45">
      <c r="B100"/>
      <c r="C100"/>
      <c r="X100" s="5"/>
    </row>
    <row r="101" spans="2:24" ht="14.25" x14ac:dyDescent="0.45">
      <c r="B101"/>
      <c r="C101"/>
      <c r="X101" s="5"/>
    </row>
    <row r="102" spans="2:24" ht="14.25" x14ac:dyDescent="0.45">
      <c r="B102"/>
      <c r="C102"/>
      <c r="X102" s="5"/>
    </row>
    <row r="103" spans="2:24" ht="14.25" x14ac:dyDescent="0.45">
      <c r="B103"/>
      <c r="C103"/>
      <c r="X103" s="5"/>
    </row>
    <row r="104" spans="2:24" ht="14.25" x14ac:dyDescent="0.45">
      <c r="B104"/>
      <c r="C104"/>
      <c r="X104" s="5"/>
    </row>
    <row r="105" spans="2:24" ht="14.25" x14ac:dyDescent="0.45">
      <c r="B105"/>
      <c r="C105"/>
      <c r="X105" s="5"/>
    </row>
    <row r="106" spans="2:24" ht="14.25" x14ac:dyDescent="0.45">
      <c r="B106"/>
      <c r="C106"/>
      <c r="X106" s="5"/>
    </row>
    <row r="107" spans="2:24" ht="14.25" x14ac:dyDescent="0.45">
      <c r="B107"/>
      <c r="C107"/>
      <c r="X107" s="5"/>
    </row>
    <row r="108" spans="2:24" ht="14.25" x14ac:dyDescent="0.45">
      <c r="B108"/>
      <c r="C108"/>
      <c r="X108" s="5"/>
    </row>
    <row r="109" spans="2:24" ht="14.25" x14ac:dyDescent="0.45">
      <c r="B109"/>
      <c r="C109"/>
      <c r="X109" s="5"/>
    </row>
    <row r="110" spans="2:24" ht="14.25" x14ac:dyDescent="0.45">
      <c r="B110"/>
      <c r="C110"/>
      <c r="X110" s="5"/>
    </row>
    <row r="111" spans="2:24" ht="14.25" x14ac:dyDescent="0.45">
      <c r="B111"/>
      <c r="C111"/>
      <c r="X111" s="5"/>
    </row>
    <row r="112" spans="2:24" ht="14.25" x14ac:dyDescent="0.45">
      <c r="B112"/>
      <c r="C112"/>
      <c r="X112" s="5"/>
    </row>
    <row r="113" spans="2:24" ht="14.25" x14ac:dyDescent="0.45">
      <c r="B113"/>
      <c r="C113"/>
      <c r="X113" s="5"/>
    </row>
    <row r="114" spans="2:24" ht="14.25" x14ac:dyDescent="0.45">
      <c r="B114"/>
      <c r="C114"/>
      <c r="X114" s="5"/>
    </row>
    <row r="115" spans="2:24" ht="14.25" x14ac:dyDescent="0.45">
      <c r="B115"/>
      <c r="C115"/>
      <c r="X115" s="5"/>
    </row>
    <row r="116" spans="2:24" ht="14.25" x14ac:dyDescent="0.45">
      <c r="B116"/>
      <c r="C116"/>
      <c r="X116" s="5"/>
    </row>
    <row r="117" spans="2:24" ht="14.25" x14ac:dyDescent="0.45">
      <c r="B117"/>
      <c r="C117"/>
      <c r="X117" s="5"/>
    </row>
  </sheetData>
  <mergeCells count="25">
    <mergeCell ref="W54:W55"/>
    <mergeCell ref="D55:D56"/>
    <mergeCell ref="W19:W20"/>
    <mergeCell ref="W26:W27"/>
    <mergeCell ref="D27:D28"/>
    <mergeCell ref="W33:W34"/>
    <mergeCell ref="D34:D35"/>
    <mergeCell ref="W40:W41"/>
    <mergeCell ref="D41:D42"/>
    <mergeCell ref="W47:W48"/>
    <mergeCell ref="D48:D49"/>
    <mergeCell ref="W82:W83"/>
    <mergeCell ref="D83:D84"/>
    <mergeCell ref="W61:W62"/>
    <mergeCell ref="D62:D63"/>
    <mergeCell ref="W68:W69"/>
    <mergeCell ref="D69:D70"/>
    <mergeCell ref="W75:W76"/>
    <mergeCell ref="D76:D77"/>
    <mergeCell ref="Z4:AC5"/>
    <mergeCell ref="D6:D7"/>
    <mergeCell ref="W12:W13"/>
    <mergeCell ref="D13:D14"/>
    <mergeCell ref="D20:D21"/>
    <mergeCell ref="W5:W6"/>
  </mergeCells>
  <conditionalFormatting sqref="F5:U5">
    <cfRule type="expression" dxfId="1457" priority="65">
      <formula>$B5=""</formula>
    </cfRule>
  </conditionalFormatting>
  <conditionalFormatting sqref="F6:U6">
    <cfRule type="expression" dxfId="1456" priority="69">
      <formula>OR($B5="",$D6&lt;&gt;"Gebruik % van maximum trede")</formula>
    </cfRule>
  </conditionalFormatting>
  <conditionalFormatting sqref="F7:U7">
    <cfRule type="expression" dxfId="1455" priority="70">
      <formula>OR($B5="",$D6&lt;&gt;"Gebruik trede (gemiddeld)")</formula>
    </cfRule>
  </conditionalFormatting>
  <conditionalFormatting sqref="F12:U12">
    <cfRule type="expression" dxfId="1454" priority="72">
      <formula>$B12=""</formula>
    </cfRule>
  </conditionalFormatting>
  <conditionalFormatting sqref="F13:U13">
    <cfRule type="expression" dxfId="1453" priority="76">
      <formula>OR($B12="",$D13&lt;&gt;"Gebruik % van maximum trede")</formula>
    </cfRule>
  </conditionalFormatting>
  <conditionalFormatting sqref="F14:U14">
    <cfRule type="expression" dxfId="1452" priority="77">
      <formula>OR($B12="",$D13&lt;&gt;"Gebruik trede (gemiddeld)")</formula>
    </cfRule>
  </conditionalFormatting>
  <conditionalFormatting sqref="F19:U19">
    <cfRule type="expression" dxfId="1451" priority="144">
      <formula>$B19=""</formula>
    </cfRule>
  </conditionalFormatting>
  <conditionalFormatting sqref="F20:U20">
    <cfRule type="expression" dxfId="1450" priority="148">
      <formula>OR($B19="",$D20&lt;&gt;"Gebruik % van maximum trede")</formula>
    </cfRule>
  </conditionalFormatting>
  <conditionalFormatting sqref="F21:U21">
    <cfRule type="expression" dxfId="1449" priority="149">
      <formula>OR($B19="",$D20&lt;&gt;"Gebruik trede (gemiddeld)")</formula>
    </cfRule>
  </conditionalFormatting>
  <conditionalFormatting sqref="F26:U26">
    <cfRule type="expression" dxfId="1448" priority="58">
      <formula>$B26=""</formula>
    </cfRule>
  </conditionalFormatting>
  <conditionalFormatting sqref="F27:U27">
    <cfRule type="expression" dxfId="1447" priority="62">
      <formula>OR($B26="",$D27&lt;&gt;"Gebruik % van maximum trede")</formula>
    </cfRule>
  </conditionalFormatting>
  <conditionalFormatting sqref="F28:U28">
    <cfRule type="expression" dxfId="1446" priority="63">
      <formula>OR($B26="",$D27&lt;&gt;"Gebruik trede (gemiddeld)")</formula>
    </cfRule>
  </conditionalFormatting>
  <conditionalFormatting sqref="F33:U33">
    <cfRule type="expression" dxfId="1445" priority="51">
      <formula>$B33=""</formula>
    </cfRule>
  </conditionalFormatting>
  <conditionalFormatting sqref="F34:U34">
    <cfRule type="expression" dxfId="1444" priority="55">
      <formula>OR($B33="",$D34&lt;&gt;"Gebruik % van maximum trede")</formula>
    </cfRule>
  </conditionalFormatting>
  <conditionalFormatting sqref="F35:U35">
    <cfRule type="expression" dxfId="1443" priority="56">
      <formula>OR($B33="",$D34&lt;&gt;"Gebruik trede (gemiddeld)")</formula>
    </cfRule>
  </conditionalFormatting>
  <conditionalFormatting sqref="F40:U40">
    <cfRule type="expression" dxfId="1442" priority="44">
      <formula>$B40=""</formula>
    </cfRule>
  </conditionalFormatting>
  <conditionalFormatting sqref="F41:U41">
    <cfRule type="expression" dxfId="1441" priority="48">
      <formula>OR($B40="",$D41&lt;&gt;"Gebruik % van maximum trede")</formula>
    </cfRule>
  </conditionalFormatting>
  <conditionalFormatting sqref="F42:U42">
    <cfRule type="expression" dxfId="1440" priority="49">
      <formula>OR($B40="",$D41&lt;&gt;"Gebruik trede (gemiddeld)")</formula>
    </cfRule>
  </conditionalFormatting>
  <conditionalFormatting sqref="F47:U47">
    <cfRule type="expression" dxfId="1439" priority="37">
      <formula>$B47=""</formula>
    </cfRule>
  </conditionalFormatting>
  <conditionalFormatting sqref="F48:U48">
    <cfRule type="expression" dxfId="1438" priority="41">
      <formula>OR($B47="",$D48&lt;&gt;"Gebruik % van maximum trede")</formula>
    </cfRule>
  </conditionalFormatting>
  <conditionalFormatting sqref="F49:U49">
    <cfRule type="expression" dxfId="1437" priority="42">
      <formula>OR($B47="",$D48&lt;&gt;"Gebruik trede (gemiddeld)")</formula>
    </cfRule>
  </conditionalFormatting>
  <conditionalFormatting sqref="F54:U54">
    <cfRule type="expression" dxfId="1436" priority="30">
      <formula>$B54=""</formula>
    </cfRule>
  </conditionalFormatting>
  <conditionalFormatting sqref="F55:U55">
    <cfRule type="expression" dxfId="1435" priority="34">
      <formula>OR($B54="",$D55&lt;&gt;"Gebruik % van maximum trede")</formula>
    </cfRule>
  </conditionalFormatting>
  <conditionalFormatting sqref="F56:U56">
    <cfRule type="expression" dxfId="1434" priority="35">
      <formula>OR($B54="",$D55&lt;&gt;"Gebruik trede (gemiddeld)")</formula>
    </cfRule>
  </conditionalFormatting>
  <conditionalFormatting sqref="F61:U61">
    <cfRule type="expression" dxfId="1433" priority="23">
      <formula>$B61=""</formula>
    </cfRule>
  </conditionalFormatting>
  <conditionalFormatting sqref="F62:U62">
    <cfRule type="expression" dxfId="1432" priority="27">
      <formula>OR($B61="",$D62&lt;&gt;"Gebruik % van maximum trede")</formula>
    </cfRule>
  </conditionalFormatting>
  <conditionalFormatting sqref="F63:U63">
    <cfRule type="expression" dxfId="1431" priority="28">
      <formula>OR($B61="",$D62&lt;&gt;"Gebruik trede (gemiddeld)")</formula>
    </cfRule>
  </conditionalFormatting>
  <conditionalFormatting sqref="F68:U68">
    <cfRule type="expression" dxfId="1430" priority="16">
      <formula>$B68=""</formula>
    </cfRule>
  </conditionalFormatting>
  <conditionalFormatting sqref="F69:U69">
    <cfRule type="expression" dxfId="1429" priority="20">
      <formula>OR($B68="",$D69&lt;&gt;"Gebruik % van maximum trede")</formula>
    </cfRule>
  </conditionalFormatting>
  <conditionalFormatting sqref="F70:U70">
    <cfRule type="expression" dxfId="1428" priority="21">
      <formula>OR($B68="",$D69&lt;&gt;"Gebruik trede (gemiddeld)")</formula>
    </cfRule>
  </conditionalFormatting>
  <conditionalFormatting sqref="F75:U75">
    <cfRule type="expression" dxfId="1427" priority="9">
      <formula>$B75=""</formula>
    </cfRule>
  </conditionalFormatting>
  <conditionalFormatting sqref="F76:U76">
    <cfRule type="expression" dxfId="1426" priority="13">
      <formula>OR($B75="",$D76&lt;&gt;"Gebruik % van maximum trede")</formula>
    </cfRule>
  </conditionalFormatting>
  <conditionalFormatting sqref="F77:U77">
    <cfRule type="expression" dxfId="1425" priority="14">
      <formula>OR($B75="",$D76&lt;&gt;"Gebruik trede (gemiddeld)")</formula>
    </cfRule>
  </conditionalFormatting>
  <conditionalFormatting sqref="F82:U82">
    <cfRule type="expression" dxfId="1424" priority="2">
      <formula>$B82=""</formula>
    </cfRule>
  </conditionalFormatting>
  <conditionalFormatting sqref="F83:U83">
    <cfRule type="expression" dxfId="1423" priority="6">
      <formula>OR($B82="",$D83&lt;&gt;"Gebruik % van maximum trede")</formula>
    </cfRule>
  </conditionalFormatting>
  <conditionalFormatting sqref="F84:U84">
    <cfRule type="expression" dxfId="1422" priority="7">
      <formula>OR($B82="",$D83&lt;&gt;"Gebruik trede (gemiddeld)")</formula>
    </cfRule>
  </conditionalFormatting>
  <conditionalFormatting sqref="F8:W8">
    <cfRule type="expression" dxfId="1421" priority="64">
      <formula>$B5=""</formula>
    </cfRule>
  </conditionalFormatting>
  <conditionalFormatting sqref="F15:W15">
    <cfRule type="expression" dxfId="1420" priority="71">
      <formula>$B12=""</formula>
    </cfRule>
  </conditionalFormatting>
  <conditionalFormatting sqref="F22:W22">
    <cfRule type="expression" dxfId="1419" priority="89">
      <formula>$B19=""</formula>
    </cfRule>
  </conditionalFormatting>
  <conditionalFormatting sqref="F29:W29">
    <cfRule type="expression" dxfId="1418" priority="57">
      <formula>$B26=""</formula>
    </cfRule>
  </conditionalFormatting>
  <conditionalFormatting sqref="F36:W36">
    <cfRule type="expression" dxfId="1417" priority="50">
      <formula>$B33=""</formula>
    </cfRule>
  </conditionalFormatting>
  <conditionalFormatting sqref="F43:W43">
    <cfRule type="expression" dxfId="1416" priority="43">
      <formula>$B40=""</formula>
    </cfRule>
  </conditionalFormatting>
  <conditionalFormatting sqref="F50:W50">
    <cfRule type="expression" dxfId="1415" priority="36">
      <formula>$B47=""</formula>
    </cfRule>
  </conditionalFormatting>
  <conditionalFormatting sqref="F57:W57">
    <cfRule type="expression" dxfId="1414" priority="29">
      <formula>$B54=""</formula>
    </cfRule>
  </conditionalFormatting>
  <conditionalFormatting sqref="F64:W64">
    <cfRule type="expression" dxfId="1413" priority="22">
      <formula>$B61=""</formula>
    </cfRule>
  </conditionalFormatting>
  <conditionalFormatting sqref="F71:W71">
    <cfRule type="expression" dxfId="1412" priority="15">
      <formula>$B68=""</formula>
    </cfRule>
  </conditionalFormatting>
  <conditionalFormatting sqref="F78:W78">
    <cfRule type="expression" dxfId="1411" priority="8">
      <formula>$B75=""</formula>
    </cfRule>
  </conditionalFormatting>
  <conditionalFormatting sqref="F85:W85">
    <cfRule type="expression" dxfId="1410" priority="1">
      <formula>$B82=""</formula>
    </cfRule>
  </conditionalFormatting>
  <dataValidations count="2">
    <dataValidation type="list" allowBlank="1" showInputMessage="1" showErrorMessage="1" sqref="D16 D72 D23 D79 D9 D30 D37 D44 D51 D58 D65 D86" xr:uid="{00000000-0002-0000-0600-000000000000}">
      <formula1>"Aandeel in %, Aandeel in uren"</formula1>
    </dataValidation>
    <dataValidation type="list" allowBlank="1" showInputMessage="1" showErrorMessage="1" sqref="D13 D69 D20 D76 D6 D27 D34 D41 D48 D55 D62 D83" xr:uid="{00000000-0002-0000-0600-000001000000}">
      <formula1>"Gebruik % van maximum trede, Gebruik trede (gemiddeld)"</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21</xdr:col>
                    <xdr:colOff>890588</xdr:colOff>
                    <xdr:row>4</xdr:row>
                    <xdr:rowOff>119063</xdr:rowOff>
                  </from>
                  <to>
                    <xdr:col>22</xdr:col>
                    <xdr:colOff>90488</xdr:colOff>
                    <xdr:row>5</xdr:row>
                    <xdr:rowOff>114300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21</xdr:col>
                    <xdr:colOff>833438</xdr:colOff>
                    <xdr:row>11</xdr:row>
                    <xdr:rowOff>109538</xdr:rowOff>
                  </from>
                  <to>
                    <xdr:col>22</xdr:col>
                    <xdr:colOff>4763</xdr:colOff>
                    <xdr:row>12</xdr:row>
                    <xdr:rowOff>119063</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21</xdr:col>
                    <xdr:colOff>871538</xdr:colOff>
                    <xdr:row>18</xdr:row>
                    <xdr:rowOff>119063</xdr:rowOff>
                  </from>
                  <to>
                    <xdr:col>22</xdr:col>
                    <xdr:colOff>57150</xdr:colOff>
                    <xdr:row>19</xdr:row>
                    <xdr:rowOff>114300</xdr:rowOff>
                  </to>
                </anchor>
              </controlPr>
            </control>
          </mc:Choice>
        </mc:AlternateContent>
        <mc:AlternateContent xmlns:mc="http://schemas.openxmlformats.org/markup-compatibility/2006">
          <mc:Choice Requires="x14">
            <control shapeId="116740" r:id="rId7" name="Check Box 4">
              <controlPr defaultSize="0" autoFill="0" autoLine="0" autoPict="0">
                <anchor moveWithCells="1">
                  <from>
                    <xdr:col>21</xdr:col>
                    <xdr:colOff>862013</xdr:colOff>
                    <xdr:row>25</xdr:row>
                    <xdr:rowOff>100013</xdr:rowOff>
                  </from>
                  <to>
                    <xdr:col>22</xdr:col>
                    <xdr:colOff>38100</xdr:colOff>
                    <xdr:row>26</xdr:row>
                    <xdr:rowOff>100013</xdr:rowOff>
                  </to>
                </anchor>
              </controlPr>
            </control>
          </mc:Choice>
        </mc:AlternateContent>
        <mc:AlternateContent xmlns:mc="http://schemas.openxmlformats.org/markup-compatibility/2006">
          <mc:Choice Requires="x14">
            <control shapeId="116741" r:id="rId8" name="Check Box 5">
              <controlPr defaultSize="0" autoFill="0" autoLine="0" autoPict="0">
                <anchor moveWithCells="1">
                  <from>
                    <xdr:col>21</xdr:col>
                    <xdr:colOff>862013</xdr:colOff>
                    <xdr:row>32</xdr:row>
                    <xdr:rowOff>100013</xdr:rowOff>
                  </from>
                  <to>
                    <xdr:col>22</xdr:col>
                    <xdr:colOff>80963</xdr:colOff>
                    <xdr:row>33</xdr:row>
                    <xdr:rowOff>100013</xdr:rowOff>
                  </to>
                </anchor>
              </controlPr>
            </control>
          </mc:Choice>
        </mc:AlternateContent>
        <mc:AlternateContent xmlns:mc="http://schemas.openxmlformats.org/markup-compatibility/2006">
          <mc:Choice Requires="x14">
            <control shapeId="116742" r:id="rId9" name="Check Box 6">
              <controlPr defaultSize="0" autoFill="0" autoLine="0" autoPict="0">
                <anchor moveWithCells="1">
                  <from>
                    <xdr:col>21</xdr:col>
                    <xdr:colOff>852488</xdr:colOff>
                    <xdr:row>39</xdr:row>
                    <xdr:rowOff>100013</xdr:rowOff>
                  </from>
                  <to>
                    <xdr:col>22</xdr:col>
                    <xdr:colOff>57150</xdr:colOff>
                    <xdr:row>40</xdr:row>
                    <xdr:rowOff>100013</xdr:rowOff>
                  </to>
                </anchor>
              </controlPr>
            </control>
          </mc:Choice>
        </mc:AlternateContent>
        <mc:AlternateContent xmlns:mc="http://schemas.openxmlformats.org/markup-compatibility/2006">
          <mc:Choice Requires="x14">
            <control shapeId="116743" r:id="rId10" name="Check Box 7">
              <controlPr defaultSize="0" autoFill="0" autoLine="0" autoPict="0">
                <anchor moveWithCells="1">
                  <from>
                    <xdr:col>21</xdr:col>
                    <xdr:colOff>842963</xdr:colOff>
                    <xdr:row>46</xdr:row>
                    <xdr:rowOff>109538</xdr:rowOff>
                  </from>
                  <to>
                    <xdr:col>22</xdr:col>
                    <xdr:colOff>57150</xdr:colOff>
                    <xdr:row>47</xdr:row>
                    <xdr:rowOff>100013</xdr:rowOff>
                  </to>
                </anchor>
              </controlPr>
            </control>
          </mc:Choice>
        </mc:AlternateContent>
        <mc:AlternateContent xmlns:mc="http://schemas.openxmlformats.org/markup-compatibility/2006">
          <mc:Choice Requires="x14">
            <control shapeId="116744" r:id="rId11" name="Check Box 8">
              <controlPr defaultSize="0" autoFill="0" autoLine="0" autoPict="0">
                <anchor moveWithCells="1">
                  <from>
                    <xdr:col>21</xdr:col>
                    <xdr:colOff>823913</xdr:colOff>
                    <xdr:row>53</xdr:row>
                    <xdr:rowOff>109538</xdr:rowOff>
                  </from>
                  <to>
                    <xdr:col>21</xdr:col>
                    <xdr:colOff>1014413</xdr:colOff>
                    <xdr:row>54</xdr:row>
                    <xdr:rowOff>90488</xdr:rowOff>
                  </to>
                </anchor>
              </controlPr>
            </control>
          </mc:Choice>
        </mc:AlternateContent>
        <mc:AlternateContent xmlns:mc="http://schemas.openxmlformats.org/markup-compatibility/2006">
          <mc:Choice Requires="x14">
            <control shapeId="116745" r:id="rId12" name="Check Box 9">
              <controlPr defaultSize="0" autoFill="0" autoLine="0" autoPict="0">
                <anchor moveWithCells="1">
                  <from>
                    <xdr:col>21</xdr:col>
                    <xdr:colOff>823913</xdr:colOff>
                    <xdr:row>60</xdr:row>
                    <xdr:rowOff>90488</xdr:rowOff>
                  </from>
                  <to>
                    <xdr:col>22</xdr:col>
                    <xdr:colOff>23813</xdr:colOff>
                    <xdr:row>61</xdr:row>
                    <xdr:rowOff>80963</xdr:rowOff>
                  </to>
                </anchor>
              </controlPr>
            </control>
          </mc:Choice>
        </mc:AlternateContent>
        <mc:AlternateContent xmlns:mc="http://schemas.openxmlformats.org/markup-compatibility/2006">
          <mc:Choice Requires="x14">
            <control shapeId="116746" r:id="rId13" name="Check Box 10">
              <controlPr defaultSize="0" autoFill="0" autoLine="0" autoPict="0">
                <anchor moveWithCells="1">
                  <from>
                    <xdr:col>21</xdr:col>
                    <xdr:colOff>852488</xdr:colOff>
                    <xdr:row>67</xdr:row>
                    <xdr:rowOff>95250</xdr:rowOff>
                  </from>
                  <to>
                    <xdr:col>22</xdr:col>
                    <xdr:colOff>71438</xdr:colOff>
                    <xdr:row>68</xdr:row>
                    <xdr:rowOff>100013</xdr:rowOff>
                  </to>
                </anchor>
              </controlPr>
            </control>
          </mc:Choice>
        </mc:AlternateContent>
        <mc:AlternateContent xmlns:mc="http://schemas.openxmlformats.org/markup-compatibility/2006">
          <mc:Choice Requires="x14">
            <control shapeId="116747" r:id="rId14" name="Check Box 11">
              <controlPr defaultSize="0" autoFill="0" autoLine="0" autoPict="0">
                <anchor moveWithCells="1">
                  <from>
                    <xdr:col>21</xdr:col>
                    <xdr:colOff>842963</xdr:colOff>
                    <xdr:row>74</xdr:row>
                    <xdr:rowOff>76200</xdr:rowOff>
                  </from>
                  <to>
                    <xdr:col>22</xdr:col>
                    <xdr:colOff>38100</xdr:colOff>
                    <xdr:row>75</xdr:row>
                    <xdr:rowOff>109538</xdr:rowOff>
                  </to>
                </anchor>
              </controlPr>
            </control>
          </mc:Choice>
        </mc:AlternateContent>
        <mc:AlternateContent xmlns:mc="http://schemas.openxmlformats.org/markup-compatibility/2006">
          <mc:Choice Requires="x14">
            <control shapeId="116748" r:id="rId15" name="Check Box 12">
              <controlPr defaultSize="0" autoFill="0" autoLine="0" autoPict="0">
                <anchor moveWithCells="1">
                  <from>
                    <xdr:col>21</xdr:col>
                    <xdr:colOff>823913</xdr:colOff>
                    <xdr:row>81</xdr:row>
                    <xdr:rowOff>95250</xdr:rowOff>
                  </from>
                  <to>
                    <xdr:col>22</xdr:col>
                    <xdr:colOff>23813</xdr:colOff>
                    <xdr:row>82</xdr:row>
                    <xdr:rowOff>90488</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813" id="{7C91915E-1EC8-4085-88CA-502A3787E635}">
            <xm:f>OR($B5="",'Hulp (control forms)'!$C$13&lt;&gt;TRUE)</xm:f>
            <x14:dxf>
              <font>
                <color theme="6" tint="0.59996337778862885"/>
              </font>
              <fill>
                <patternFill>
                  <bgColor theme="6" tint="0.59996337778862885"/>
                </patternFill>
              </fill>
            </x14:dxf>
          </x14:cfRule>
          <xm:sqref>W7</xm:sqref>
        </x14:conditionalFormatting>
        <x14:conditionalFormatting xmlns:xm="http://schemas.microsoft.com/office/excel/2006/main">
          <x14:cfRule type="expression" priority="73" id="{7C91915E-1EC8-4085-88CA-502A3787E635}">
            <xm:f>OR($B12="",'Hulp (control forms)'!$C$14&lt;&gt;TRUE)</xm:f>
            <x14:dxf>
              <font>
                <color theme="6" tint="0.59996337778862885"/>
              </font>
              <fill>
                <patternFill>
                  <bgColor theme="6" tint="0.59996337778862885"/>
                </patternFill>
              </fill>
            </x14:dxf>
          </x14:cfRule>
          <xm:sqref>W14</xm:sqref>
        </x14:conditionalFormatting>
        <x14:conditionalFormatting xmlns:xm="http://schemas.microsoft.com/office/excel/2006/main">
          <x14:cfRule type="expression" priority="145" id="{0C1E24DB-3853-49A3-921B-FD5F14123FE5}">
            <xm:f>OR($B19="",'Hulp (control forms)'!$C$15&lt;&gt;TRUE)</xm:f>
            <x14:dxf>
              <font>
                <color theme="6" tint="0.59996337778862885"/>
              </font>
              <fill>
                <patternFill>
                  <bgColor theme="6" tint="0.59996337778862885"/>
                </patternFill>
              </fill>
            </x14:dxf>
          </x14:cfRule>
          <xm:sqref>W21</xm:sqref>
        </x14:conditionalFormatting>
        <x14:conditionalFormatting xmlns:xm="http://schemas.microsoft.com/office/excel/2006/main">
          <x14:cfRule type="expression" priority="59" id="{8D7E3A63-FB5B-42AF-99E5-DDE91447B45F}">
            <xm:f>OR($B26="",'Hulp (control forms)'!$C$16&lt;&gt;TRUE)</xm:f>
            <x14:dxf>
              <font>
                <color theme="6" tint="0.59996337778862885"/>
              </font>
              <fill>
                <patternFill>
                  <bgColor theme="6" tint="0.59996337778862885"/>
                </patternFill>
              </fill>
            </x14:dxf>
          </x14:cfRule>
          <xm:sqref>W28</xm:sqref>
        </x14:conditionalFormatting>
        <x14:conditionalFormatting xmlns:xm="http://schemas.microsoft.com/office/excel/2006/main">
          <x14:cfRule type="expression" priority="52" id="{615BE5F3-2EC6-49EE-8B61-7011CDA43562}">
            <xm:f>OR($B33="",'Hulp (control forms)'!$C$17&lt;&gt;TRUE)</xm:f>
            <x14:dxf>
              <font>
                <color theme="6" tint="0.59996337778862885"/>
              </font>
              <fill>
                <patternFill>
                  <bgColor theme="6" tint="0.59996337778862885"/>
                </patternFill>
              </fill>
            </x14:dxf>
          </x14:cfRule>
          <xm:sqref>W35</xm:sqref>
        </x14:conditionalFormatting>
        <x14:conditionalFormatting xmlns:xm="http://schemas.microsoft.com/office/excel/2006/main">
          <x14:cfRule type="expression" priority="45" id="{E11AB25C-1529-42B2-91D8-C4B715FE1BFA}">
            <xm:f>OR($B40="",'Hulp (control forms)'!$C$18&lt;&gt;TRUE)</xm:f>
            <x14:dxf>
              <font>
                <color theme="6" tint="0.59996337778862885"/>
              </font>
              <fill>
                <patternFill>
                  <bgColor theme="6" tint="0.59996337778862885"/>
                </patternFill>
              </fill>
            </x14:dxf>
          </x14:cfRule>
          <xm:sqref>W42</xm:sqref>
        </x14:conditionalFormatting>
        <x14:conditionalFormatting xmlns:xm="http://schemas.microsoft.com/office/excel/2006/main">
          <x14:cfRule type="expression" priority="38" id="{602DA0E2-C580-4038-BCF7-5E0F449CBE87}">
            <xm:f>OR($B47="",'Hulp (control forms)'!$C$19&lt;&gt;TRUE)</xm:f>
            <x14:dxf>
              <font>
                <color theme="6" tint="0.59996337778862885"/>
              </font>
              <fill>
                <patternFill>
                  <bgColor theme="6" tint="0.59996337778862885"/>
                </patternFill>
              </fill>
            </x14:dxf>
          </x14:cfRule>
          <xm:sqref>W49</xm:sqref>
        </x14:conditionalFormatting>
        <x14:conditionalFormatting xmlns:xm="http://schemas.microsoft.com/office/excel/2006/main">
          <x14:cfRule type="expression" priority="31" id="{85D9B546-07A0-43FF-9878-27F68BEE7F1A}">
            <xm:f>OR($B54="",'Hulp (control forms)'!$C$20&lt;&gt;TRUE)</xm:f>
            <x14:dxf>
              <font>
                <color theme="6" tint="0.59996337778862885"/>
              </font>
              <fill>
                <patternFill>
                  <bgColor theme="6" tint="0.59996337778862885"/>
                </patternFill>
              </fill>
            </x14:dxf>
          </x14:cfRule>
          <xm:sqref>W56</xm:sqref>
        </x14:conditionalFormatting>
        <x14:conditionalFormatting xmlns:xm="http://schemas.microsoft.com/office/excel/2006/main">
          <x14:cfRule type="expression" priority="24" id="{BAB4D886-BF27-4C8D-8516-1C909ACF3262}">
            <xm:f>OR($B61="",'Hulp (control forms)'!$C$21&lt;&gt;TRUE)</xm:f>
            <x14:dxf>
              <font>
                <color theme="6" tint="0.59996337778862885"/>
              </font>
              <fill>
                <patternFill>
                  <bgColor theme="6" tint="0.59996337778862885"/>
                </patternFill>
              </fill>
            </x14:dxf>
          </x14:cfRule>
          <xm:sqref>W63</xm:sqref>
        </x14:conditionalFormatting>
        <x14:conditionalFormatting xmlns:xm="http://schemas.microsoft.com/office/excel/2006/main">
          <x14:cfRule type="expression" priority="17" id="{CED6386B-3FDB-49B8-81F4-50438EC9FACE}">
            <xm:f>OR($B68="",'Hulp (control forms)'!$C$22&lt;&gt;TRUE)</xm:f>
            <x14:dxf>
              <font>
                <color theme="6" tint="0.59996337778862885"/>
              </font>
              <fill>
                <patternFill>
                  <bgColor theme="6" tint="0.59996337778862885"/>
                </patternFill>
              </fill>
            </x14:dxf>
          </x14:cfRule>
          <xm:sqref>W70</xm:sqref>
        </x14:conditionalFormatting>
        <x14:conditionalFormatting xmlns:xm="http://schemas.microsoft.com/office/excel/2006/main">
          <x14:cfRule type="expression" priority="10" id="{3EC4A467-1134-4842-8464-BCC21BF183BA}">
            <xm:f>OR($B75="",'Hulp (control forms)'!$C$23&lt;&gt;TRUE)</xm:f>
            <x14:dxf>
              <font>
                <color theme="6" tint="0.59996337778862885"/>
              </font>
              <fill>
                <patternFill>
                  <bgColor theme="6" tint="0.59996337778862885"/>
                </patternFill>
              </fill>
            </x14:dxf>
          </x14:cfRule>
          <xm:sqref>W77</xm:sqref>
        </x14:conditionalFormatting>
        <x14:conditionalFormatting xmlns:xm="http://schemas.microsoft.com/office/excel/2006/main">
          <x14:cfRule type="expression" priority="3" id="{B4216E95-AD51-4E20-B535-B36F3597F4C3}">
            <xm:f>OR($B82="",'Hulp (control forms)'!$C$24&lt;&gt;TRUE)</xm:f>
            <x14:dxf>
              <font>
                <color theme="6" tint="0.59996337778862885"/>
              </font>
              <fill>
                <patternFill>
                  <bgColor theme="6" tint="0.59996337778862885"/>
                </patternFill>
              </fill>
            </x14:dxf>
          </x14:cfRule>
          <xm:sqref>W84</xm:sqref>
        </x14:conditionalFormatting>
      </x14:conditionalFormatting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BF151-1B3B-4BA6-96EF-8E72FA06B4E0}">
  <sheetPr>
    <tabColor theme="1"/>
  </sheetPr>
  <dimension ref="A1:J194"/>
  <sheetViews>
    <sheetView workbookViewId="0"/>
  </sheetViews>
  <sheetFormatPr defaultRowHeight="14.25" x14ac:dyDescent="0.45"/>
  <cols>
    <col min="2" max="2" width="8.73046875" style="48"/>
  </cols>
  <sheetData>
    <row r="1" spans="1:10" x14ac:dyDescent="0.45">
      <c r="A1" t="s">
        <v>1277</v>
      </c>
      <c r="C1" s="378">
        <f>IF(D2&lt;&gt;"", D2-1, DATE(2030,1,1))</f>
        <v>46203</v>
      </c>
      <c r="D1" s="378">
        <f>IF(E2&lt;&gt;"", E2-1, DATE(2030,1,1))</f>
        <v>47484</v>
      </c>
      <c r="F1" s="378">
        <f>IF(G2&lt;&gt;"", G2-1, DATE(2030,1,1))</f>
        <v>46203</v>
      </c>
      <c r="G1" s="378">
        <f>IF(H2&lt;&gt;"", H2-1, DATE(2030,1,1))</f>
        <v>47484</v>
      </c>
    </row>
    <row r="2" spans="1:10" x14ac:dyDescent="0.45">
      <c r="A2" t="s">
        <v>1276</v>
      </c>
      <c r="C2" s="362">
        <v>46023</v>
      </c>
      <c r="D2" s="362">
        <v>46204</v>
      </c>
      <c r="F2" s="362">
        <v>46023</v>
      </c>
      <c r="G2" s="362">
        <v>46204</v>
      </c>
    </row>
    <row r="3" spans="1:10" x14ac:dyDescent="0.45">
      <c r="A3" s="694" t="s">
        <v>28</v>
      </c>
      <c r="B3" s="702" t="s">
        <v>292</v>
      </c>
      <c r="C3" s="694" t="s">
        <v>2187</v>
      </c>
      <c r="D3" s="694" t="s">
        <v>2188</v>
      </c>
      <c r="F3" s="35" t="s">
        <v>2187</v>
      </c>
      <c r="G3" s="694" t="s">
        <v>2188</v>
      </c>
      <c r="H3" s="5"/>
      <c r="J3" s="5" t="s">
        <v>1229</v>
      </c>
    </row>
    <row r="4" spans="1:10" x14ac:dyDescent="0.45">
      <c r="A4" s="1004">
        <v>15</v>
      </c>
      <c r="B4" s="48">
        <v>0</v>
      </c>
      <c r="C4">
        <v>2320.5</v>
      </c>
      <c r="D4">
        <v>2401.7199999999998</v>
      </c>
      <c r="F4">
        <f>MAX(C4, 'Hulp (overig)'!$C$12*'Hulp (CAO''s)'!$Z$7/12)</f>
        <v>2320.5</v>
      </c>
      <c r="G4">
        <f>MAX(D4, 'Hulp (overig)'!$C$12*'Hulp (CAO''s)'!$Z$7/12)</f>
        <v>2401.7199999999998</v>
      </c>
      <c r="J4">
        <f>IF(
    OR(
        AND(MAX(0, MIN($F$1, DATE(Initialisatie!$C$5,12,31)) - MAX($F$2, DATE(Initialisatie!$C$5,1,1)) + 1) &gt; 0, IFERROR(VALUE($F4),0)=0),
        AND(MAX(0, MIN($G$1, DATE(Initialisatie!$C$5,12,31)) - MAX($G$2, DATE(Initialisatie!$C$5,1,1)) + 1) &gt; 0, IFERROR(VALUE($G4),0)=0)
    ),
    0,
    SUM(
        IFERROR(VALUE($F4),0) * MAX(0, MIN($F$1, DATE(Initialisatie!$C$5,12,31)) - MAX($F$2, DATE(Initialisatie!$C$5,1,1)) + 1),
        IFERROR(VALUE($G4),0) * MAX(0, MIN($G$1, DATE(Initialisatie!$C$5,12,31)) - MAX($G$2, DATE(Initialisatie!$C$5,1,1)) + 1)
    ) / (DATE(Initialisatie!$C$5,12,31) - DATE(Initialisatie!$C$5,1,1) + 1)
)</f>
        <v>2361.4437808219177</v>
      </c>
    </row>
    <row r="5" spans="1:10" x14ac:dyDescent="0.45">
      <c r="A5" s="848"/>
      <c r="B5" s="48">
        <v>1</v>
      </c>
      <c r="C5">
        <v>2351.37</v>
      </c>
      <c r="D5">
        <v>2433.67</v>
      </c>
      <c r="F5">
        <f>MAX(C5, 'Hulp (overig)'!$C$12*'Hulp (CAO''s)'!$Z$7/12)</f>
        <v>2351.37</v>
      </c>
      <c r="G5">
        <f>MAX(D5, 'Hulp (overig)'!$C$12*'Hulp (CAO''s)'!$Z$7/12)</f>
        <v>2433.67</v>
      </c>
      <c r="J5">
        <f>IF(
    OR(
        AND(MAX(0, MIN($F$1, DATE(Initialisatie!$C$5,12,31)) - MAX($F$2, DATE(Initialisatie!$C$5,1,1)) + 1) &gt; 0, IFERROR(VALUE($F5),0)=0),
        AND(MAX(0, MIN($G$1, DATE(Initialisatie!$C$5,12,31)) - MAX($G$2, DATE(Initialisatie!$C$5,1,1)) + 1) &gt; 0, IFERROR(VALUE($G5),0)=0)
    ),
    0,
    SUM(
        IFERROR(VALUE($F5),0) * MAX(0, MIN($F$1, DATE(Initialisatie!$C$5,12,31)) - MAX($F$2, DATE(Initialisatie!$C$5,1,1)) + 1),
        IFERROR(VALUE($G5),0) * MAX(0, MIN($G$1, DATE(Initialisatie!$C$5,12,31)) - MAX($G$2, DATE(Initialisatie!$C$5,1,1)) + 1)
    ) / (DATE(Initialisatie!$C$5,12,31) - DATE(Initialisatie!$C$5,1,1) + 1)
)</f>
        <v>2392.858219178082</v>
      </c>
    </row>
    <row r="6" spans="1:10" x14ac:dyDescent="0.45">
      <c r="A6" s="848"/>
      <c r="B6" s="48">
        <v>2</v>
      </c>
      <c r="C6">
        <v>2404.0300000000002</v>
      </c>
      <c r="D6">
        <v>2488.17</v>
      </c>
      <c r="F6">
        <f>MAX(C6, 'Hulp (overig)'!$C$12*'Hulp (CAO''s)'!$Z$7/12)</f>
        <v>2404.0300000000002</v>
      </c>
      <c r="G6">
        <f>MAX(D6, 'Hulp (overig)'!$C$12*'Hulp (CAO''s)'!$Z$7/12)</f>
        <v>2488.17</v>
      </c>
      <c r="J6">
        <f>IF(
    OR(
        AND(MAX(0, MIN($F$1, DATE(Initialisatie!$C$5,12,31)) - MAX($F$2, DATE(Initialisatie!$C$5,1,1)) + 1) &gt; 0, IFERROR(VALUE($F6),0)=0),
        AND(MAX(0, MIN($G$1, DATE(Initialisatie!$C$5,12,31)) - MAX($G$2, DATE(Initialisatie!$C$5,1,1)) + 1) &gt; 0, IFERROR(VALUE($G6),0)=0)
    ),
    0,
    SUM(
        IFERROR(VALUE($F6),0) * MAX(0, MIN($F$1, DATE(Initialisatie!$C$5,12,31)) - MAX($F$2, DATE(Initialisatie!$C$5,1,1)) + 1),
        IFERROR(VALUE($G6),0) * MAX(0, MIN($G$1, DATE(Initialisatie!$C$5,12,31)) - MAX($G$2, DATE(Initialisatie!$C$5,1,1)) + 1)
    ) / (DATE(Initialisatie!$C$5,12,31) - DATE(Initialisatie!$C$5,1,1) + 1)
)</f>
        <v>2446.4457808219181</v>
      </c>
    </row>
    <row r="7" spans="1:10" x14ac:dyDescent="0.45">
      <c r="A7" s="848"/>
      <c r="B7" s="48">
        <v>3</v>
      </c>
      <c r="C7">
        <v>2455.1999999999998</v>
      </c>
      <c r="D7">
        <v>2541.13</v>
      </c>
      <c r="F7">
        <f>MAX(C7, 'Hulp (overig)'!$C$12*'Hulp (CAO''s)'!$Z$7/12)</f>
        <v>2455.1999999999998</v>
      </c>
      <c r="G7">
        <f>MAX(D7, 'Hulp (overig)'!$C$12*'Hulp (CAO''s)'!$Z$7/12)</f>
        <v>2541.13</v>
      </c>
      <c r="J7">
        <f>IF(
    OR(
        AND(MAX(0, MIN($F$1, DATE(Initialisatie!$C$5,12,31)) - MAX($F$2, DATE(Initialisatie!$C$5,1,1)) + 1) &gt; 0, IFERROR(VALUE($F7),0)=0),
        AND(MAX(0, MIN($G$1, DATE(Initialisatie!$C$5,12,31)) - MAX($G$2, DATE(Initialisatie!$C$5,1,1)) + 1) &gt; 0, IFERROR(VALUE($G7),0)=0)
    ),
    0,
    SUM(
        IFERROR(VALUE($F7),0) * MAX(0, MIN($F$1, DATE(Initialisatie!$C$5,12,31)) - MAX($F$2, DATE(Initialisatie!$C$5,1,1)) + 1),
        IFERROR(VALUE($G7),0) * MAX(0, MIN($G$1, DATE(Initialisatie!$C$5,12,31)) - MAX($G$2, DATE(Initialisatie!$C$5,1,1)) + 1)
    ) / (DATE(Initialisatie!$C$5,12,31) - DATE(Initialisatie!$C$5,1,1) + 1)
)</f>
        <v>2498.5181369863012</v>
      </c>
    </row>
    <row r="8" spans="1:10" x14ac:dyDescent="0.45">
      <c r="A8" s="848"/>
      <c r="B8" s="48">
        <v>4</v>
      </c>
      <c r="C8">
        <v>2511.31</v>
      </c>
      <c r="D8">
        <v>2599.21</v>
      </c>
      <c r="F8">
        <f>MAX(C8, 'Hulp (overig)'!$C$12*'Hulp (CAO''s)'!$Z$7/12)</f>
        <v>2511.31</v>
      </c>
      <c r="G8">
        <f>MAX(D8, 'Hulp (overig)'!$C$12*'Hulp (CAO''s)'!$Z$7/12)</f>
        <v>2599.21</v>
      </c>
      <c r="J8">
        <f>IF(
    OR(
        AND(MAX(0, MIN($F$1, DATE(Initialisatie!$C$5,12,31)) - MAX($F$2, DATE(Initialisatie!$C$5,1,1)) + 1) &gt; 0, IFERROR(VALUE($F8),0)=0),
        AND(MAX(0, MIN($G$1, DATE(Initialisatie!$C$5,12,31)) - MAX($G$2, DATE(Initialisatie!$C$5,1,1)) + 1) &gt; 0, IFERROR(VALUE($G8),0)=0)
    ),
    0,
    SUM(
        IFERROR(VALUE($F8),0) * MAX(0, MIN($F$1, DATE(Initialisatie!$C$5,12,31)) - MAX($F$2, DATE(Initialisatie!$C$5,1,1)) + 1),
        IFERROR(VALUE($G8),0) * MAX(0, MIN($G$1, DATE(Initialisatie!$C$5,12,31)) - MAX($G$2, DATE(Initialisatie!$C$5,1,1)) + 1)
    ) / (DATE(Initialisatie!$C$5,12,31) - DATE(Initialisatie!$C$5,1,1) + 1)
)</f>
        <v>2555.6212328767124</v>
      </c>
    </row>
    <row r="9" spans="1:10" x14ac:dyDescent="0.45">
      <c r="A9" s="848"/>
      <c r="B9" s="48">
        <v>5</v>
      </c>
      <c r="C9">
        <v>2573.4699999999998</v>
      </c>
      <c r="D9">
        <v>2663.54</v>
      </c>
      <c r="F9">
        <f>MAX(C9, 'Hulp (overig)'!$C$12*'Hulp (CAO''s)'!$Z$7/12)</f>
        <v>2573.4699999999998</v>
      </c>
      <c r="G9">
        <f>MAX(D9, 'Hulp (overig)'!$C$12*'Hulp (CAO''s)'!$Z$7/12)</f>
        <v>2663.54</v>
      </c>
      <c r="J9">
        <f>IF(
    OR(
        AND(MAX(0, MIN($F$1, DATE(Initialisatie!$C$5,12,31)) - MAX($F$2, DATE(Initialisatie!$C$5,1,1)) + 1) &gt; 0, IFERROR(VALUE($F9),0)=0),
        AND(MAX(0, MIN($G$1, DATE(Initialisatie!$C$5,12,31)) - MAX($G$2, DATE(Initialisatie!$C$5,1,1)) + 1) &gt; 0, IFERROR(VALUE($G9),0)=0)
    ),
    0,
    SUM(
        IFERROR(VALUE($F9),0) * MAX(0, MIN($F$1, DATE(Initialisatie!$C$5,12,31)) - MAX($F$2, DATE(Initialisatie!$C$5,1,1)) + 1),
        IFERROR(VALUE($G9),0) * MAX(0, MIN($G$1, DATE(Initialisatie!$C$5,12,31)) - MAX($G$2, DATE(Initialisatie!$C$5,1,1)) + 1)
    ) / (DATE(Initialisatie!$C$5,12,31) - DATE(Initialisatie!$C$5,1,1) + 1)
)</f>
        <v>2618.8751506849312</v>
      </c>
    </row>
    <row r="10" spans="1:10" x14ac:dyDescent="0.45">
      <c r="A10" s="848"/>
      <c r="B10" s="48">
        <v>6</v>
      </c>
      <c r="C10">
        <v>2643.39</v>
      </c>
      <c r="D10">
        <v>2735.91</v>
      </c>
      <c r="F10">
        <f>MAX(C10, 'Hulp (overig)'!$C$12*'Hulp (CAO''s)'!$Z$7/12)</f>
        <v>2643.39</v>
      </c>
      <c r="G10">
        <f>MAX(D10, 'Hulp (overig)'!$C$12*'Hulp (CAO''s)'!$Z$7/12)</f>
        <v>2735.91</v>
      </c>
      <c r="J10">
        <f>IF(
    OR(
        AND(MAX(0, MIN($F$1, DATE(Initialisatie!$C$5,12,31)) - MAX($F$2, DATE(Initialisatie!$C$5,1,1)) + 1) &gt; 0, IFERROR(VALUE($F10),0)=0),
        AND(MAX(0, MIN($G$1, DATE(Initialisatie!$C$5,12,31)) - MAX($G$2, DATE(Initialisatie!$C$5,1,1)) + 1) &gt; 0, IFERROR(VALUE($G10),0)=0)
    ),
    0,
    SUM(
        IFERROR(VALUE($F10),0) * MAX(0, MIN($F$1, DATE(Initialisatie!$C$5,12,31)) - MAX($F$2, DATE(Initialisatie!$C$5,1,1)) + 1),
        IFERROR(VALUE($G10),0) * MAX(0, MIN($G$1, DATE(Initialisatie!$C$5,12,31)) - MAX($G$2, DATE(Initialisatie!$C$5,1,1)) + 1)
    ) / (DATE(Initialisatie!$C$5,12,31) - DATE(Initialisatie!$C$5,1,1) + 1)
)</f>
        <v>2690.030219178082</v>
      </c>
    </row>
    <row r="11" spans="1:10" x14ac:dyDescent="0.45">
      <c r="A11" s="848"/>
      <c r="B11" s="48">
        <v>7</v>
      </c>
      <c r="C11">
        <v>2716.43</v>
      </c>
      <c r="D11">
        <v>2811.51</v>
      </c>
      <c r="F11">
        <f>MAX(C11, 'Hulp (overig)'!$C$12*'Hulp (CAO''s)'!$Z$7/12)</f>
        <v>2716.43</v>
      </c>
      <c r="G11">
        <f>MAX(D11, 'Hulp (overig)'!$C$12*'Hulp (CAO''s)'!$Z$7/12)</f>
        <v>2811.51</v>
      </c>
      <c r="J11">
        <f>IF(
    OR(
        AND(MAX(0, MIN($F$1, DATE(Initialisatie!$C$5,12,31)) - MAX($F$2, DATE(Initialisatie!$C$5,1,1)) + 1) &gt; 0, IFERROR(VALUE($F11),0)=0),
        AND(MAX(0, MIN($G$1, DATE(Initialisatie!$C$5,12,31)) - MAX($G$2, DATE(Initialisatie!$C$5,1,1)) + 1) &gt; 0, IFERROR(VALUE($G11),0)=0)
    ),
    0,
    SUM(
        IFERROR(VALUE($F11),0) * MAX(0, MIN($F$1, DATE(Initialisatie!$C$5,12,31)) - MAX($F$2, DATE(Initialisatie!$C$5,1,1)) + 1),
        IFERROR(VALUE($G11),0) * MAX(0, MIN($G$1, DATE(Initialisatie!$C$5,12,31)) - MAX($G$2, DATE(Initialisatie!$C$5,1,1)) + 1)
    ) / (DATE(Initialisatie!$C$5,12,31) - DATE(Initialisatie!$C$5,1,1) + 1)
)</f>
        <v>2764.3607397260271</v>
      </c>
    </row>
    <row r="12" spans="1:10" x14ac:dyDescent="0.45">
      <c r="A12" s="848"/>
      <c r="B12" s="48">
        <v>8</v>
      </c>
      <c r="C12">
        <v>2798.8</v>
      </c>
      <c r="D12">
        <v>2896.76</v>
      </c>
      <c r="F12">
        <f>MAX(C12, 'Hulp (overig)'!$C$12*'Hulp (CAO''s)'!$Z$7/12)</f>
        <v>2798.8</v>
      </c>
      <c r="G12">
        <f>MAX(D12, 'Hulp (overig)'!$C$12*'Hulp (CAO''s)'!$Z$7/12)</f>
        <v>2896.76</v>
      </c>
      <c r="J12">
        <f>IF(
    OR(
        AND(MAX(0, MIN($F$1, DATE(Initialisatie!$C$5,12,31)) - MAX($F$2, DATE(Initialisatie!$C$5,1,1)) + 1) &gt; 0, IFERROR(VALUE($F12),0)=0),
        AND(MAX(0, MIN($G$1, DATE(Initialisatie!$C$5,12,31)) - MAX($G$2, DATE(Initialisatie!$C$5,1,1)) + 1) &gt; 0, IFERROR(VALUE($G12),0)=0)
    ),
    0,
    SUM(
        IFERROR(VALUE($F12),0) * MAX(0, MIN($F$1, DATE(Initialisatie!$C$5,12,31)) - MAX($F$2, DATE(Initialisatie!$C$5,1,1)) + 1),
        IFERROR(VALUE($G12),0) * MAX(0, MIN($G$1, DATE(Initialisatie!$C$5,12,31)) - MAX($G$2, DATE(Initialisatie!$C$5,1,1)) + 1)
    ) / (DATE(Initialisatie!$C$5,12,31) - DATE(Initialisatie!$C$5,1,1) + 1)
)</f>
        <v>2848.182575342466</v>
      </c>
    </row>
    <row r="13" spans="1:10" x14ac:dyDescent="0.45">
      <c r="A13" s="848">
        <v>20</v>
      </c>
      <c r="B13" s="48">
        <v>0</v>
      </c>
      <c r="C13">
        <v>2404.0300000000002</v>
      </c>
      <c r="D13">
        <v>2488.17</v>
      </c>
      <c r="F13">
        <f>MAX(C13, 'Hulp (overig)'!$C$12*'Hulp (CAO''s)'!$Z$7/12)</f>
        <v>2404.0300000000002</v>
      </c>
      <c r="G13">
        <f>MAX(D13, 'Hulp (overig)'!$C$12*'Hulp (CAO''s)'!$Z$7/12)</f>
        <v>2488.17</v>
      </c>
      <c r="J13">
        <f>IF(
    OR(
        AND(MAX(0, MIN($F$1, DATE(Initialisatie!$C$5,12,31)) - MAX($F$2, DATE(Initialisatie!$C$5,1,1)) + 1) &gt; 0, IFERROR(VALUE($F13),0)=0),
        AND(MAX(0, MIN($G$1, DATE(Initialisatie!$C$5,12,31)) - MAX($G$2, DATE(Initialisatie!$C$5,1,1)) + 1) &gt; 0, IFERROR(VALUE($G13),0)=0)
    ),
    0,
    SUM(
        IFERROR(VALUE($F13),0) * MAX(0, MIN($F$1, DATE(Initialisatie!$C$5,12,31)) - MAX($F$2, DATE(Initialisatie!$C$5,1,1)) + 1),
        IFERROR(VALUE($G13),0) * MAX(0, MIN($G$1, DATE(Initialisatie!$C$5,12,31)) - MAX($G$2, DATE(Initialisatie!$C$5,1,1)) + 1)
    ) / (DATE(Initialisatie!$C$5,12,31) - DATE(Initialisatie!$C$5,1,1) + 1)
)</f>
        <v>2446.4457808219181</v>
      </c>
    </row>
    <row r="14" spans="1:10" x14ac:dyDescent="0.45">
      <c r="A14" s="848"/>
      <c r="B14" s="48">
        <v>1</v>
      </c>
      <c r="C14">
        <v>2455.1999999999998</v>
      </c>
      <c r="D14">
        <v>2541.13</v>
      </c>
      <c r="F14">
        <f>MAX(C14, 'Hulp (overig)'!$C$12*'Hulp (CAO''s)'!$Z$7/12)</f>
        <v>2455.1999999999998</v>
      </c>
      <c r="G14">
        <f>MAX(D14, 'Hulp (overig)'!$C$12*'Hulp (CAO''s)'!$Z$7/12)</f>
        <v>2541.13</v>
      </c>
      <c r="J14">
        <f>IF(
    OR(
        AND(MAX(0, MIN($F$1, DATE(Initialisatie!$C$5,12,31)) - MAX($F$2, DATE(Initialisatie!$C$5,1,1)) + 1) &gt; 0, IFERROR(VALUE($F14),0)=0),
        AND(MAX(0, MIN($G$1, DATE(Initialisatie!$C$5,12,31)) - MAX($G$2, DATE(Initialisatie!$C$5,1,1)) + 1) &gt; 0, IFERROR(VALUE($G14),0)=0)
    ),
    0,
    SUM(
        IFERROR(VALUE($F14),0) * MAX(0, MIN($F$1, DATE(Initialisatie!$C$5,12,31)) - MAX($F$2, DATE(Initialisatie!$C$5,1,1)) + 1),
        IFERROR(VALUE($G14),0) * MAX(0, MIN($G$1, DATE(Initialisatie!$C$5,12,31)) - MAX($G$2, DATE(Initialisatie!$C$5,1,1)) + 1)
    ) / (DATE(Initialisatie!$C$5,12,31) - DATE(Initialisatie!$C$5,1,1) + 1)
)</f>
        <v>2498.5181369863012</v>
      </c>
    </row>
    <row r="15" spans="1:10" x14ac:dyDescent="0.45">
      <c r="A15" s="848"/>
      <c r="B15" s="48">
        <v>2</v>
      </c>
      <c r="C15">
        <v>2511.31</v>
      </c>
      <c r="D15">
        <v>2599.21</v>
      </c>
      <c r="F15">
        <f>MAX(C15, 'Hulp (overig)'!$C$12*'Hulp (CAO''s)'!$Z$7/12)</f>
        <v>2511.31</v>
      </c>
      <c r="G15">
        <f>MAX(D15, 'Hulp (overig)'!$C$12*'Hulp (CAO''s)'!$Z$7/12)</f>
        <v>2599.21</v>
      </c>
      <c r="J15">
        <f>IF(
    OR(
        AND(MAX(0, MIN($F$1, DATE(Initialisatie!$C$5,12,31)) - MAX($F$2, DATE(Initialisatie!$C$5,1,1)) + 1) &gt; 0, IFERROR(VALUE($F15),0)=0),
        AND(MAX(0, MIN($G$1, DATE(Initialisatie!$C$5,12,31)) - MAX($G$2, DATE(Initialisatie!$C$5,1,1)) + 1) &gt; 0, IFERROR(VALUE($G15),0)=0)
    ),
    0,
    SUM(
        IFERROR(VALUE($F15),0) * MAX(0, MIN($F$1, DATE(Initialisatie!$C$5,12,31)) - MAX($F$2, DATE(Initialisatie!$C$5,1,1)) + 1),
        IFERROR(VALUE($G15),0) * MAX(0, MIN($G$1, DATE(Initialisatie!$C$5,12,31)) - MAX($G$2, DATE(Initialisatie!$C$5,1,1)) + 1)
    ) / (DATE(Initialisatie!$C$5,12,31) - DATE(Initialisatie!$C$5,1,1) + 1)
)</f>
        <v>2555.6212328767124</v>
      </c>
    </row>
    <row r="16" spans="1:10" x14ac:dyDescent="0.45">
      <c r="A16" s="848"/>
      <c r="B16" s="48">
        <v>3</v>
      </c>
      <c r="C16">
        <v>2573.4699999999998</v>
      </c>
      <c r="D16">
        <v>2663.54</v>
      </c>
      <c r="F16">
        <f>MAX(C16, 'Hulp (overig)'!$C$12*'Hulp (CAO''s)'!$Z$7/12)</f>
        <v>2573.4699999999998</v>
      </c>
      <c r="G16">
        <f>MAX(D16, 'Hulp (overig)'!$C$12*'Hulp (CAO''s)'!$Z$7/12)</f>
        <v>2663.54</v>
      </c>
      <c r="J16">
        <f>IF(
    OR(
        AND(MAX(0, MIN($F$1, DATE(Initialisatie!$C$5,12,31)) - MAX($F$2, DATE(Initialisatie!$C$5,1,1)) + 1) &gt; 0, IFERROR(VALUE($F16),0)=0),
        AND(MAX(0, MIN($G$1, DATE(Initialisatie!$C$5,12,31)) - MAX($G$2, DATE(Initialisatie!$C$5,1,1)) + 1) &gt; 0, IFERROR(VALUE($G16),0)=0)
    ),
    0,
    SUM(
        IFERROR(VALUE($F16),0) * MAX(0, MIN($F$1, DATE(Initialisatie!$C$5,12,31)) - MAX($F$2, DATE(Initialisatie!$C$5,1,1)) + 1),
        IFERROR(VALUE($G16),0) * MAX(0, MIN($G$1, DATE(Initialisatie!$C$5,12,31)) - MAX($G$2, DATE(Initialisatie!$C$5,1,1)) + 1)
    ) / (DATE(Initialisatie!$C$5,12,31) - DATE(Initialisatie!$C$5,1,1) + 1)
)</f>
        <v>2618.8751506849312</v>
      </c>
    </row>
    <row r="17" spans="1:10" x14ac:dyDescent="0.45">
      <c r="A17" s="848"/>
      <c r="B17" s="48">
        <v>4</v>
      </c>
      <c r="C17">
        <v>2643.39</v>
      </c>
      <c r="D17">
        <v>2735.91</v>
      </c>
      <c r="F17">
        <f>MAX(C17, 'Hulp (overig)'!$C$12*'Hulp (CAO''s)'!$Z$7/12)</f>
        <v>2643.39</v>
      </c>
      <c r="G17">
        <f>MAX(D17, 'Hulp (overig)'!$C$12*'Hulp (CAO''s)'!$Z$7/12)</f>
        <v>2735.91</v>
      </c>
      <c r="J17">
        <f>IF(
    OR(
        AND(MAX(0, MIN($F$1, DATE(Initialisatie!$C$5,12,31)) - MAX($F$2, DATE(Initialisatie!$C$5,1,1)) + 1) &gt; 0, IFERROR(VALUE($F17),0)=0),
        AND(MAX(0, MIN($G$1, DATE(Initialisatie!$C$5,12,31)) - MAX($G$2, DATE(Initialisatie!$C$5,1,1)) + 1) &gt; 0, IFERROR(VALUE($G17),0)=0)
    ),
    0,
    SUM(
        IFERROR(VALUE($F17),0) * MAX(0, MIN($F$1, DATE(Initialisatie!$C$5,12,31)) - MAX($F$2, DATE(Initialisatie!$C$5,1,1)) + 1),
        IFERROR(VALUE($G17),0) * MAX(0, MIN($G$1, DATE(Initialisatie!$C$5,12,31)) - MAX($G$2, DATE(Initialisatie!$C$5,1,1)) + 1)
    ) / (DATE(Initialisatie!$C$5,12,31) - DATE(Initialisatie!$C$5,1,1) + 1)
)</f>
        <v>2690.030219178082</v>
      </c>
    </row>
    <row r="18" spans="1:10" x14ac:dyDescent="0.45">
      <c r="A18" s="848"/>
      <c r="B18" s="48">
        <v>5</v>
      </c>
      <c r="C18">
        <v>2716.43</v>
      </c>
      <c r="D18">
        <v>2811.51</v>
      </c>
      <c r="F18">
        <f>MAX(C18, 'Hulp (overig)'!$C$12*'Hulp (CAO''s)'!$Z$7/12)</f>
        <v>2716.43</v>
      </c>
      <c r="G18">
        <f>MAX(D18, 'Hulp (overig)'!$C$12*'Hulp (CAO''s)'!$Z$7/12)</f>
        <v>2811.51</v>
      </c>
      <c r="J18">
        <f>IF(
    OR(
        AND(MAX(0, MIN($F$1, DATE(Initialisatie!$C$5,12,31)) - MAX($F$2, DATE(Initialisatie!$C$5,1,1)) + 1) &gt; 0, IFERROR(VALUE($F18),0)=0),
        AND(MAX(0, MIN($G$1, DATE(Initialisatie!$C$5,12,31)) - MAX($G$2, DATE(Initialisatie!$C$5,1,1)) + 1) &gt; 0, IFERROR(VALUE($G18),0)=0)
    ),
    0,
    SUM(
        IFERROR(VALUE($F18),0) * MAX(0, MIN($F$1, DATE(Initialisatie!$C$5,12,31)) - MAX($F$2, DATE(Initialisatie!$C$5,1,1)) + 1),
        IFERROR(VALUE($G18),0) * MAX(0, MIN($G$1, DATE(Initialisatie!$C$5,12,31)) - MAX($G$2, DATE(Initialisatie!$C$5,1,1)) + 1)
    ) / (DATE(Initialisatie!$C$5,12,31) - DATE(Initialisatie!$C$5,1,1) + 1)
)</f>
        <v>2764.3607397260271</v>
      </c>
    </row>
    <row r="19" spans="1:10" x14ac:dyDescent="0.45">
      <c r="A19" s="848"/>
      <c r="B19" s="48">
        <v>6</v>
      </c>
      <c r="C19">
        <v>2798.8</v>
      </c>
      <c r="D19">
        <v>2896.76</v>
      </c>
      <c r="F19">
        <f>MAX(C19, 'Hulp (overig)'!$C$12*'Hulp (CAO''s)'!$Z$7/12)</f>
        <v>2798.8</v>
      </c>
      <c r="G19">
        <f>MAX(D19, 'Hulp (overig)'!$C$12*'Hulp (CAO''s)'!$Z$7/12)</f>
        <v>2896.76</v>
      </c>
      <c r="J19">
        <f>IF(
    OR(
        AND(MAX(0, MIN($F$1, DATE(Initialisatie!$C$5,12,31)) - MAX($F$2, DATE(Initialisatie!$C$5,1,1)) + 1) &gt; 0, IFERROR(VALUE($F19),0)=0),
        AND(MAX(0, MIN($G$1, DATE(Initialisatie!$C$5,12,31)) - MAX($G$2, DATE(Initialisatie!$C$5,1,1)) + 1) &gt; 0, IFERROR(VALUE($G19),0)=0)
    ),
    0,
    SUM(
        IFERROR(VALUE($F19),0) * MAX(0, MIN($F$1, DATE(Initialisatie!$C$5,12,31)) - MAX($F$2, DATE(Initialisatie!$C$5,1,1)) + 1),
        IFERROR(VALUE($G19),0) * MAX(0, MIN($G$1, DATE(Initialisatie!$C$5,12,31)) - MAX($G$2, DATE(Initialisatie!$C$5,1,1)) + 1)
    ) / (DATE(Initialisatie!$C$5,12,31) - DATE(Initialisatie!$C$5,1,1) + 1)
)</f>
        <v>2848.182575342466</v>
      </c>
    </row>
    <row r="20" spans="1:10" x14ac:dyDescent="0.45">
      <c r="A20" s="848"/>
      <c r="B20" s="48">
        <v>7</v>
      </c>
      <c r="C20">
        <v>2881.14</v>
      </c>
      <c r="D20">
        <v>2981.98</v>
      </c>
      <c r="F20">
        <f>MAX(C20, 'Hulp (overig)'!$C$12*'Hulp (CAO''s)'!$Z$7/12)</f>
        <v>2881.14</v>
      </c>
      <c r="G20">
        <f>MAX(D20, 'Hulp (overig)'!$C$12*'Hulp (CAO''s)'!$Z$7/12)</f>
        <v>2981.98</v>
      </c>
      <c r="J20">
        <f>IF(
    OR(
        AND(MAX(0, MIN($F$1, DATE(Initialisatie!$C$5,12,31)) - MAX($F$2, DATE(Initialisatie!$C$5,1,1)) + 1) &gt; 0, IFERROR(VALUE($F20),0)=0),
        AND(MAX(0, MIN($G$1, DATE(Initialisatie!$C$5,12,31)) - MAX($G$2, DATE(Initialisatie!$C$5,1,1)) + 1) &gt; 0, IFERROR(VALUE($G20),0)=0)
    ),
    0,
    SUM(
        IFERROR(VALUE($F20),0) * MAX(0, MIN($F$1, DATE(Initialisatie!$C$5,12,31)) - MAX($F$2, DATE(Initialisatie!$C$5,1,1)) + 1),
        IFERROR(VALUE($G20),0) * MAX(0, MIN($G$1, DATE(Initialisatie!$C$5,12,31)) - MAX($G$2, DATE(Initialisatie!$C$5,1,1)) + 1)
    ) / (DATE(Initialisatie!$C$5,12,31) - DATE(Initialisatie!$C$5,1,1) + 1)
)</f>
        <v>2931.9744109589037</v>
      </c>
    </row>
    <row r="21" spans="1:10" x14ac:dyDescent="0.45">
      <c r="A21" s="848"/>
      <c r="B21" s="48">
        <v>8</v>
      </c>
      <c r="C21">
        <v>2960.9</v>
      </c>
      <c r="D21">
        <v>3064.53</v>
      </c>
      <c r="F21">
        <f>MAX(C21, 'Hulp (overig)'!$C$12*'Hulp (CAO''s)'!$Z$7/12)</f>
        <v>2960.9</v>
      </c>
      <c r="G21">
        <f>MAX(D21, 'Hulp (overig)'!$C$12*'Hulp (CAO''s)'!$Z$7/12)</f>
        <v>3064.53</v>
      </c>
      <c r="J21">
        <f>IF(
    OR(
        AND(MAX(0, MIN($F$1, DATE(Initialisatie!$C$5,12,31)) - MAX($F$2, DATE(Initialisatie!$C$5,1,1)) + 1) &gt; 0, IFERROR(VALUE($F21),0)=0),
        AND(MAX(0, MIN($G$1, DATE(Initialisatie!$C$5,12,31)) - MAX($G$2, DATE(Initialisatie!$C$5,1,1)) + 1) &gt; 0, IFERROR(VALUE($G21),0)=0)
    ),
    0,
    SUM(
        IFERROR(VALUE($F21),0) * MAX(0, MIN($F$1, DATE(Initialisatie!$C$5,12,31)) - MAX($F$2, DATE(Initialisatie!$C$5,1,1)) + 1),
        IFERROR(VALUE($G21),0) * MAX(0, MIN($G$1, DATE(Initialisatie!$C$5,12,31)) - MAX($G$2, DATE(Initialisatie!$C$5,1,1)) + 1)
    ) / (DATE(Initialisatie!$C$5,12,31) - DATE(Initialisatie!$C$5,1,1) + 1)
)</f>
        <v>3013.1408767123285</v>
      </c>
    </row>
    <row r="22" spans="1:10" x14ac:dyDescent="0.45">
      <c r="A22" s="848">
        <v>25</v>
      </c>
      <c r="B22" s="48" t="s">
        <v>2202</v>
      </c>
      <c r="C22">
        <v>2455.1999999999998</v>
      </c>
      <c r="D22">
        <v>2541.13</v>
      </c>
      <c r="F22">
        <f>MAX(C22, 'Hulp (overig)'!$C$12*'Hulp (CAO''s)'!$Z$7/12)</f>
        <v>2455.1999999999998</v>
      </c>
      <c r="G22">
        <f>MAX(D22, 'Hulp (overig)'!$C$12*'Hulp (CAO''s)'!$Z$7/12)</f>
        <v>2541.13</v>
      </c>
      <c r="J22">
        <f>IF(
    OR(
        AND(MAX(0, MIN($F$1, DATE(Initialisatie!$C$5,12,31)) - MAX($F$2, DATE(Initialisatie!$C$5,1,1)) + 1) &gt; 0, IFERROR(VALUE($F22),0)=0),
        AND(MAX(0, MIN($G$1, DATE(Initialisatie!$C$5,12,31)) - MAX($G$2, DATE(Initialisatie!$C$5,1,1)) + 1) &gt; 0, IFERROR(VALUE($G22),0)=0)
    ),
    0,
    SUM(
        IFERROR(VALUE($F22),0) * MAX(0, MIN($F$1, DATE(Initialisatie!$C$5,12,31)) - MAX($F$2, DATE(Initialisatie!$C$5,1,1)) + 1),
        IFERROR(VALUE($G22),0) * MAX(0, MIN($G$1, DATE(Initialisatie!$C$5,12,31)) - MAX($G$2, DATE(Initialisatie!$C$5,1,1)) + 1)
    ) / (DATE(Initialisatie!$C$5,12,31) - DATE(Initialisatie!$C$5,1,1) + 1)
)</f>
        <v>2498.5181369863012</v>
      </c>
    </row>
    <row r="23" spans="1:10" x14ac:dyDescent="0.45">
      <c r="A23" s="848"/>
      <c r="B23" s="48">
        <v>1</v>
      </c>
      <c r="C23">
        <v>2511.31</v>
      </c>
      <c r="D23">
        <v>2599.21</v>
      </c>
      <c r="F23">
        <f>MAX(C23, 'Hulp (overig)'!$C$12*'Hulp (CAO''s)'!$Z$7/12)</f>
        <v>2511.31</v>
      </c>
      <c r="G23">
        <f>MAX(D23, 'Hulp (overig)'!$C$12*'Hulp (CAO''s)'!$Z$7/12)</f>
        <v>2599.21</v>
      </c>
      <c r="J23">
        <f>IF(
    OR(
        AND(MAX(0, MIN($F$1, DATE(Initialisatie!$C$5,12,31)) - MAX($F$2, DATE(Initialisatie!$C$5,1,1)) + 1) &gt; 0, IFERROR(VALUE($F23),0)=0),
        AND(MAX(0, MIN($G$1, DATE(Initialisatie!$C$5,12,31)) - MAX($G$2, DATE(Initialisatie!$C$5,1,1)) + 1) &gt; 0, IFERROR(VALUE($G23),0)=0)
    ),
    0,
    SUM(
        IFERROR(VALUE($F23),0) * MAX(0, MIN($F$1, DATE(Initialisatie!$C$5,12,31)) - MAX($F$2, DATE(Initialisatie!$C$5,1,1)) + 1),
        IFERROR(VALUE($G23),0) * MAX(0, MIN($G$1, DATE(Initialisatie!$C$5,12,31)) - MAX($G$2, DATE(Initialisatie!$C$5,1,1)) + 1)
    ) / (DATE(Initialisatie!$C$5,12,31) - DATE(Initialisatie!$C$5,1,1) + 1)
)</f>
        <v>2555.6212328767124</v>
      </c>
    </row>
    <row r="24" spans="1:10" x14ac:dyDescent="0.45">
      <c r="A24" s="848"/>
      <c r="B24" s="48">
        <v>2</v>
      </c>
      <c r="C24">
        <v>2573.4699999999998</v>
      </c>
      <c r="D24">
        <v>2663.54</v>
      </c>
      <c r="F24">
        <f>MAX(C24, 'Hulp (overig)'!$C$12*'Hulp (CAO''s)'!$Z$7/12)</f>
        <v>2573.4699999999998</v>
      </c>
      <c r="G24">
        <f>MAX(D24, 'Hulp (overig)'!$C$12*'Hulp (CAO''s)'!$Z$7/12)</f>
        <v>2663.54</v>
      </c>
      <c r="J24">
        <f>IF(
    OR(
        AND(MAX(0, MIN($F$1, DATE(Initialisatie!$C$5,12,31)) - MAX($F$2, DATE(Initialisatie!$C$5,1,1)) + 1) &gt; 0, IFERROR(VALUE($F24),0)=0),
        AND(MAX(0, MIN($G$1, DATE(Initialisatie!$C$5,12,31)) - MAX($G$2, DATE(Initialisatie!$C$5,1,1)) + 1) &gt; 0, IFERROR(VALUE($G24),0)=0)
    ),
    0,
    SUM(
        IFERROR(VALUE($F24),0) * MAX(0, MIN($F$1, DATE(Initialisatie!$C$5,12,31)) - MAX($F$2, DATE(Initialisatie!$C$5,1,1)) + 1),
        IFERROR(VALUE($G24),0) * MAX(0, MIN($G$1, DATE(Initialisatie!$C$5,12,31)) - MAX($G$2, DATE(Initialisatie!$C$5,1,1)) + 1)
    ) / (DATE(Initialisatie!$C$5,12,31) - DATE(Initialisatie!$C$5,1,1) + 1)
)</f>
        <v>2618.8751506849312</v>
      </c>
    </row>
    <row r="25" spans="1:10" x14ac:dyDescent="0.45">
      <c r="A25" s="848"/>
      <c r="B25" s="48">
        <v>3</v>
      </c>
      <c r="C25">
        <v>2643.39</v>
      </c>
      <c r="D25">
        <v>2735.91</v>
      </c>
      <c r="F25">
        <f>MAX(C25, 'Hulp (overig)'!$C$12*'Hulp (CAO''s)'!$Z$7/12)</f>
        <v>2643.39</v>
      </c>
      <c r="G25">
        <f>MAX(D25, 'Hulp (overig)'!$C$12*'Hulp (CAO''s)'!$Z$7/12)</f>
        <v>2735.91</v>
      </c>
      <c r="J25">
        <f>IF(
    OR(
        AND(MAX(0, MIN($F$1, DATE(Initialisatie!$C$5,12,31)) - MAX($F$2, DATE(Initialisatie!$C$5,1,1)) + 1) &gt; 0, IFERROR(VALUE($F25),0)=0),
        AND(MAX(0, MIN($G$1, DATE(Initialisatie!$C$5,12,31)) - MAX($G$2, DATE(Initialisatie!$C$5,1,1)) + 1) &gt; 0, IFERROR(VALUE($G25),0)=0)
    ),
    0,
    SUM(
        IFERROR(VALUE($F25),0) * MAX(0, MIN($F$1, DATE(Initialisatie!$C$5,12,31)) - MAX($F$2, DATE(Initialisatie!$C$5,1,1)) + 1),
        IFERROR(VALUE($G25),0) * MAX(0, MIN($G$1, DATE(Initialisatie!$C$5,12,31)) - MAX($G$2, DATE(Initialisatie!$C$5,1,1)) + 1)
    ) / (DATE(Initialisatie!$C$5,12,31) - DATE(Initialisatie!$C$5,1,1) + 1)
)</f>
        <v>2690.030219178082</v>
      </c>
    </row>
    <row r="26" spans="1:10" x14ac:dyDescent="0.45">
      <c r="A26" s="848"/>
      <c r="B26" s="48">
        <v>4</v>
      </c>
      <c r="C26">
        <v>2716.43</v>
      </c>
      <c r="D26">
        <v>2811.51</v>
      </c>
      <c r="F26">
        <f>MAX(C26, 'Hulp (overig)'!$C$12*'Hulp (CAO''s)'!$Z$7/12)</f>
        <v>2716.43</v>
      </c>
      <c r="G26">
        <f>MAX(D26, 'Hulp (overig)'!$C$12*'Hulp (CAO''s)'!$Z$7/12)</f>
        <v>2811.51</v>
      </c>
      <c r="J26">
        <f>IF(
    OR(
        AND(MAX(0, MIN($F$1, DATE(Initialisatie!$C$5,12,31)) - MAX($F$2, DATE(Initialisatie!$C$5,1,1)) + 1) &gt; 0, IFERROR(VALUE($F26),0)=0),
        AND(MAX(0, MIN($G$1, DATE(Initialisatie!$C$5,12,31)) - MAX($G$2, DATE(Initialisatie!$C$5,1,1)) + 1) &gt; 0, IFERROR(VALUE($G26),0)=0)
    ),
    0,
    SUM(
        IFERROR(VALUE($F26),0) * MAX(0, MIN($F$1, DATE(Initialisatie!$C$5,12,31)) - MAX($F$2, DATE(Initialisatie!$C$5,1,1)) + 1),
        IFERROR(VALUE($G26),0) * MAX(0, MIN($G$1, DATE(Initialisatie!$C$5,12,31)) - MAX($G$2, DATE(Initialisatie!$C$5,1,1)) + 1)
    ) / (DATE(Initialisatie!$C$5,12,31) - DATE(Initialisatie!$C$5,1,1) + 1)
)</f>
        <v>2764.3607397260271</v>
      </c>
    </row>
    <row r="27" spans="1:10" x14ac:dyDescent="0.45">
      <c r="A27" s="848"/>
      <c r="B27" s="48">
        <v>5</v>
      </c>
      <c r="C27">
        <v>2798.8</v>
      </c>
      <c r="D27">
        <v>2896.76</v>
      </c>
      <c r="F27">
        <f>MAX(C27, 'Hulp (overig)'!$C$12*'Hulp (CAO''s)'!$Z$7/12)</f>
        <v>2798.8</v>
      </c>
      <c r="G27">
        <f>MAX(D27, 'Hulp (overig)'!$C$12*'Hulp (CAO''s)'!$Z$7/12)</f>
        <v>2896.76</v>
      </c>
      <c r="J27">
        <f>IF(
    OR(
        AND(MAX(0, MIN($F$1, DATE(Initialisatie!$C$5,12,31)) - MAX($F$2, DATE(Initialisatie!$C$5,1,1)) + 1) &gt; 0, IFERROR(VALUE($F27),0)=0),
        AND(MAX(0, MIN($G$1, DATE(Initialisatie!$C$5,12,31)) - MAX($G$2, DATE(Initialisatie!$C$5,1,1)) + 1) &gt; 0, IFERROR(VALUE($G27),0)=0)
    ),
    0,
    SUM(
        IFERROR(VALUE($F27),0) * MAX(0, MIN($F$1, DATE(Initialisatie!$C$5,12,31)) - MAX($F$2, DATE(Initialisatie!$C$5,1,1)) + 1),
        IFERROR(VALUE($G27),0) * MAX(0, MIN($G$1, DATE(Initialisatie!$C$5,12,31)) - MAX($G$2, DATE(Initialisatie!$C$5,1,1)) + 1)
    ) / (DATE(Initialisatie!$C$5,12,31) - DATE(Initialisatie!$C$5,1,1) + 1)
)</f>
        <v>2848.182575342466</v>
      </c>
    </row>
    <row r="28" spans="1:10" x14ac:dyDescent="0.45">
      <c r="A28" s="848"/>
      <c r="B28" s="48">
        <v>6</v>
      </c>
      <c r="C28">
        <v>2881.14</v>
      </c>
      <c r="D28">
        <v>2981.98</v>
      </c>
      <c r="F28">
        <f>MAX(C28, 'Hulp (overig)'!$C$12*'Hulp (CAO''s)'!$Z$7/12)</f>
        <v>2881.14</v>
      </c>
      <c r="G28">
        <f>MAX(D28, 'Hulp (overig)'!$C$12*'Hulp (CAO''s)'!$Z$7/12)</f>
        <v>2981.98</v>
      </c>
      <c r="J28">
        <f>IF(
    OR(
        AND(MAX(0, MIN($F$1, DATE(Initialisatie!$C$5,12,31)) - MAX($F$2, DATE(Initialisatie!$C$5,1,1)) + 1) &gt; 0, IFERROR(VALUE($F28),0)=0),
        AND(MAX(0, MIN($G$1, DATE(Initialisatie!$C$5,12,31)) - MAX($G$2, DATE(Initialisatie!$C$5,1,1)) + 1) &gt; 0, IFERROR(VALUE($G28),0)=0)
    ),
    0,
    SUM(
        IFERROR(VALUE($F28),0) * MAX(0, MIN($F$1, DATE(Initialisatie!$C$5,12,31)) - MAX($F$2, DATE(Initialisatie!$C$5,1,1)) + 1),
        IFERROR(VALUE($G28),0) * MAX(0, MIN($G$1, DATE(Initialisatie!$C$5,12,31)) - MAX($G$2, DATE(Initialisatie!$C$5,1,1)) + 1)
    ) / (DATE(Initialisatie!$C$5,12,31) - DATE(Initialisatie!$C$5,1,1) + 1)
)</f>
        <v>2931.9744109589037</v>
      </c>
    </row>
    <row r="29" spans="1:10" x14ac:dyDescent="0.45">
      <c r="A29" s="848"/>
      <c r="B29" s="48">
        <v>7</v>
      </c>
      <c r="C29">
        <v>2960.9</v>
      </c>
      <c r="D29">
        <v>3064.53</v>
      </c>
      <c r="F29">
        <f>MAX(C29, 'Hulp (overig)'!$C$12*'Hulp (CAO''s)'!$Z$7/12)</f>
        <v>2960.9</v>
      </c>
      <c r="G29">
        <f>MAX(D29, 'Hulp (overig)'!$C$12*'Hulp (CAO''s)'!$Z$7/12)</f>
        <v>3064.53</v>
      </c>
      <c r="J29">
        <f>IF(
    OR(
        AND(MAX(0, MIN($F$1, DATE(Initialisatie!$C$5,12,31)) - MAX($F$2, DATE(Initialisatie!$C$5,1,1)) + 1) &gt; 0, IFERROR(VALUE($F29),0)=0),
        AND(MAX(0, MIN($G$1, DATE(Initialisatie!$C$5,12,31)) - MAX($G$2, DATE(Initialisatie!$C$5,1,1)) + 1) &gt; 0, IFERROR(VALUE($G29),0)=0)
    ),
    0,
    SUM(
        IFERROR(VALUE($F29),0) * MAX(0, MIN($F$1, DATE(Initialisatie!$C$5,12,31)) - MAX($F$2, DATE(Initialisatie!$C$5,1,1)) + 1),
        IFERROR(VALUE($G29),0) * MAX(0, MIN($G$1, DATE(Initialisatie!$C$5,12,31)) - MAX($G$2, DATE(Initialisatie!$C$5,1,1)) + 1)
    ) / (DATE(Initialisatie!$C$5,12,31) - DATE(Initialisatie!$C$5,1,1) + 1)
)</f>
        <v>3013.1408767123285</v>
      </c>
    </row>
    <row r="30" spans="1:10" x14ac:dyDescent="0.45">
      <c r="A30" s="848"/>
      <c r="B30" s="48">
        <v>8</v>
      </c>
      <c r="C30">
        <v>3050.6</v>
      </c>
      <c r="D30">
        <v>3157.37</v>
      </c>
      <c r="F30">
        <f>MAX(C30, 'Hulp (overig)'!$C$12*'Hulp (CAO''s)'!$Z$7/12)</f>
        <v>3050.6</v>
      </c>
      <c r="G30">
        <f>MAX(D30, 'Hulp (overig)'!$C$12*'Hulp (CAO''s)'!$Z$7/12)</f>
        <v>3157.37</v>
      </c>
      <c r="J30">
        <f>IF(
    OR(
        AND(MAX(0, MIN($F$1, DATE(Initialisatie!$C$5,12,31)) - MAX($F$2, DATE(Initialisatie!$C$5,1,1)) + 1) &gt; 0, IFERROR(VALUE($F30),0)=0),
        AND(MAX(0, MIN($G$1, DATE(Initialisatie!$C$5,12,31)) - MAX($G$2, DATE(Initialisatie!$C$5,1,1)) + 1) &gt; 0, IFERROR(VALUE($G30),0)=0)
    ),
    0,
    SUM(
        IFERROR(VALUE($F30),0) * MAX(0, MIN($F$1, DATE(Initialisatie!$C$5,12,31)) - MAX($F$2, DATE(Initialisatie!$C$5,1,1)) + 1),
        IFERROR(VALUE($G30),0) * MAX(0, MIN($G$1, DATE(Initialisatie!$C$5,12,31)) - MAX($G$2, DATE(Initialisatie!$C$5,1,1)) + 1)
    ) / (DATE(Initialisatie!$C$5,12,31) - DATE(Initialisatie!$C$5,1,1) + 1)
)</f>
        <v>3104.4237808219177</v>
      </c>
    </row>
    <row r="31" spans="1:10" x14ac:dyDescent="0.45">
      <c r="A31" s="848"/>
      <c r="B31" s="48">
        <v>9</v>
      </c>
      <c r="C31">
        <v>3124.01</v>
      </c>
      <c r="D31">
        <v>3233.35</v>
      </c>
      <c r="F31">
        <f>MAX(C31, 'Hulp (overig)'!$C$12*'Hulp (CAO''s)'!$Z$7/12)</f>
        <v>3124.01</v>
      </c>
      <c r="G31">
        <f>MAX(D31, 'Hulp (overig)'!$C$12*'Hulp (CAO''s)'!$Z$7/12)</f>
        <v>3233.35</v>
      </c>
      <c r="J31">
        <f>IF(
    OR(
        AND(MAX(0, MIN($F$1, DATE(Initialisatie!$C$5,12,31)) - MAX($F$2, DATE(Initialisatie!$C$5,1,1)) + 1) &gt; 0, IFERROR(VALUE($F31),0)=0),
        AND(MAX(0, MIN($G$1, DATE(Initialisatie!$C$5,12,31)) - MAX($G$2, DATE(Initialisatie!$C$5,1,1)) + 1) &gt; 0, IFERROR(VALUE($G31),0)=0)
    ),
    0,
    SUM(
        IFERROR(VALUE($F31),0) * MAX(0, MIN($F$1, DATE(Initialisatie!$C$5,12,31)) - MAX($F$2, DATE(Initialisatie!$C$5,1,1)) + 1),
        IFERROR(VALUE($G31),0) * MAX(0, MIN($G$1, DATE(Initialisatie!$C$5,12,31)) - MAX($G$2, DATE(Initialisatie!$C$5,1,1)) + 1)
    ) / (DATE(Initialisatie!$C$5,12,31) - DATE(Initialisatie!$C$5,1,1) + 1)
)</f>
        <v>3179.1293424657533</v>
      </c>
    </row>
    <row r="32" spans="1:10" x14ac:dyDescent="0.45">
      <c r="A32" s="848">
        <v>30</v>
      </c>
      <c r="B32" s="48" t="s">
        <v>2202</v>
      </c>
      <c r="C32">
        <v>2511.31</v>
      </c>
      <c r="D32">
        <v>2599.21</v>
      </c>
      <c r="F32">
        <f>MAX(C32, 'Hulp (overig)'!$C$12*'Hulp (CAO''s)'!$Z$7/12)</f>
        <v>2511.31</v>
      </c>
      <c r="G32">
        <f>MAX(D32, 'Hulp (overig)'!$C$12*'Hulp (CAO''s)'!$Z$7/12)</f>
        <v>2599.21</v>
      </c>
      <c r="J32">
        <f>IF(
    OR(
        AND(MAX(0, MIN($F$1, DATE(Initialisatie!$C$5,12,31)) - MAX($F$2, DATE(Initialisatie!$C$5,1,1)) + 1) &gt; 0, IFERROR(VALUE($F32),0)=0),
        AND(MAX(0, MIN($G$1, DATE(Initialisatie!$C$5,12,31)) - MAX($G$2, DATE(Initialisatie!$C$5,1,1)) + 1) &gt; 0, IFERROR(VALUE($G32),0)=0)
    ),
    0,
    SUM(
        IFERROR(VALUE($F32),0) * MAX(0, MIN($F$1, DATE(Initialisatie!$C$5,12,31)) - MAX($F$2, DATE(Initialisatie!$C$5,1,1)) + 1),
        IFERROR(VALUE($G32),0) * MAX(0, MIN($G$1, DATE(Initialisatie!$C$5,12,31)) - MAX($G$2, DATE(Initialisatie!$C$5,1,1)) + 1)
    ) / (DATE(Initialisatie!$C$5,12,31) - DATE(Initialisatie!$C$5,1,1) + 1)
)</f>
        <v>2555.6212328767124</v>
      </c>
    </row>
    <row r="33" spans="1:10" x14ac:dyDescent="0.45">
      <c r="A33" s="848"/>
      <c r="B33" s="48">
        <v>1</v>
      </c>
      <c r="C33">
        <v>2573.4699999999998</v>
      </c>
      <c r="D33">
        <v>2663.54</v>
      </c>
      <c r="F33">
        <f>MAX(C33, 'Hulp (overig)'!$C$12*'Hulp (CAO''s)'!$Z$7/12)</f>
        <v>2573.4699999999998</v>
      </c>
      <c r="G33">
        <f>MAX(D33, 'Hulp (overig)'!$C$12*'Hulp (CAO''s)'!$Z$7/12)</f>
        <v>2663.54</v>
      </c>
      <c r="J33">
        <f>IF(
    OR(
        AND(MAX(0, MIN($F$1, DATE(Initialisatie!$C$5,12,31)) - MAX($F$2, DATE(Initialisatie!$C$5,1,1)) + 1) &gt; 0, IFERROR(VALUE($F33),0)=0),
        AND(MAX(0, MIN($G$1, DATE(Initialisatie!$C$5,12,31)) - MAX($G$2, DATE(Initialisatie!$C$5,1,1)) + 1) &gt; 0, IFERROR(VALUE($G33),0)=0)
    ),
    0,
    SUM(
        IFERROR(VALUE($F33),0) * MAX(0, MIN($F$1, DATE(Initialisatie!$C$5,12,31)) - MAX($F$2, DATE(Initialisatie!$C$5,1,1)) + 1),
        IFERROR(VALUE($G33),0) * MAX(0, MIN($G$1, DATE(Initialisatie!$C$5,12,31)) - MAX($G$2, DATE(Initialisatie!$C$5,1,1)) + 1)
    ) / (DATE(Initialisatie!$C$5,12,31) - DATE(Initialisatie!$C$5,1,1) + 1)
)</f>
        <v>2618.8751506849312</v>
      </c>
    </row>
    <row r="34" spans="1:10" x14ac:dyDescent="0.45">
      <c r="A34" s="848"/>
      <c r="B34" s="48">
        <v>2</v>
      </c>
      <c r="C34">
        <v>2643.39</v>
      </c>
      <c r="D34">
        <v>2735.91</v>
      </c>
      <c r="F34">
        <f>MAX(C34, 'Hulp (overig)'!$C$12*'Hulp (CAO''s)'!$Z$7/12)</f>
        <v>2643.39</v>
      </c>
      <c r="G34">
        <f>MAX(D34, 'Hulp (overig)'!$C$12*'Hulp (CAO''s)'!$Z$7/12)</f>
        <v>2735.91</v>
      </c>
      <c r="J34">
        <f>IF(
    OR(
        AND(MAX(0, MIN($F$1, DATE(Initialisatie!$C$5,12,31)) - MAX($F$2, DATE(Initialisatie!$C$5,1,1)) + 1) &gt; 0, IFERROR(VALUE($F34),0)=0),
        AND(MAX(0, MIN($G$1, DATE(Initialisatie!$C$5,12,31)) - MAX($G$2, DATE(Initialisatie!$C$5,1,1)) + 1) &gt; 0, IFERROR(VALUE($G34),0)=0)
    ),
    0,
    SUM(
        IFERROR(VALUE($F34),0) * MAX(0, MIN($F$1, DATE(Initialisatie!$C$5,12,31)) - MAX($F$2, DATE(Initialisatie!$C$5,1,1)) + 1),
        IFERROR(VALUE($G34),0) * MAX(0, MIN($G$1, DATE(Initialisatie!$C$5,12,31)) - MAX($G$2, DATE(Initialisatie!$C$5,1,1)) + 1)
    ) / (DATE(Initialisatie!$C$5,12,31) - DATE(Initialisatie!$C$5,1,1) + 1)
)</f>
        <v>2690.030219178082</v>
      </c>
    </row>
    <row r="35" spans="1:10" x14ac:dyDescent="0.45">
      <c r="A35" s="848"/>
      <c r="B35" s="48">
        <v>3</v>
      </c>
      <c r="C35">
        <v>2716.43</v>
      </c>
      <c r="D35">
        <v>2811.51</v>
      </c>
      <c r="F35">
        <f>MAX(C35, 'Hulp (overig)'!$C$12*'Hulp (CAO''s)'!$Z$7/12)</f>
        <v>2716.43</v>
      </c>
      <c r="G35">
        <f>MAX(D35, 'Hulp (overig)'!$C$12*'Hulp (CAO''s)'!$Z$7/12)</f>
        <v>2811.51</v>
      </c>
      <c r="J35">
        <f>IF(
    OR(
        AND(MAX(0, MIN($F$1, DATE(Initialisatie!$C$5,12,31)) - MAX($F$2, DATE(Initialisatie!$C$5,1,1)) + 1) &gt; 0, IFERROR(VALUE($F35),0)=0),
        AND(MAX(0, MIN($G$1, DATE(Initialisatie!$C$5,12,31)) - MAX($G$2, DATE(Initialisatie!$C$5,1,1)) + 1) &gt; 0, IFERROR(VALUE($G35),0)=0)
    ),
    0,
    SUM(
        IFERROR(VALUE($F35),0) * MAX(0, MIN($F$1, DATE(Initialisatie!$C$5,12,31)) - MAX($F$2, DATE(Initialisatie!$C$5,1,1)) + 1),
        IFERROR(VALUE($G35),0) * MAX(0, MIN($G$1, DATE(Initialisatie!$C$5,12,31)) - MAX($G$2, DATE(Initialisatie!$C$5,1,1)) + 1)
    ) / (DATE(Initialisatie!$C$5,12,31) - DATE(Initialisatie!$C$5,1,1) + 1)
)</f>
        <v>2764.3607397260271</v>
      </c>
    </row>
    <row r="36" spans="1:10" x14ac:dyDescent="0.45">
      <c r="A36" s="848"/>
      <c r="B36" s="48">
        <v>4</v>
      </c>
      <c r="C36">
        <v>2798.8</v>
      </c>
      <c r="D36">
        <v>2896.76</v>
      </c>
      <c r="F36">
        <f>MAX(C36, 'Hulp (overig)'!$C$12*'Hulp (CAO''s)'!$Z$7/12)</f>
        <v>2798.8</v>
      </c>
      <c r="G36">
        <f>MAX(D36, 'Hulp (overig)'!$C$12*'Hulp (CAO''s)'!$Z$7/12)</f>
        <v>2896.76</v>
      </c>
      <c r="J36">
        <f>IF(
    OR(
        AND(MAX(0, MIN($F$1, DATE(Initialisatie!$C$5,12,31)) - MAX($F$2, DATE(Initialisatie!$C$5,1,1)) + 1) &gt; 0, IFERROR(VALUE($F36),0)=0),
        AND(MAX(0, MIN($G$1, DATE(Initialisatie!$C$5,12,31)) - MAX($G$2, DATE(Initialisatie!$C$5,1,1)) + 1) &gt; 0, IFERROR(VALUE($G36),0)=0)
    ),
    0,
    SUM(
        IFERROR(VALUE($F36),0) * MAX(0, MIN($F$1, DATE(Initialisatie!$C$5,12,31)) - MAX($F$2, DATE(Initialisatie!$C$5,1,1)) + 1),
        IFERROR(VALUE($G36),0) * MAX(0, MIN($G$1, DATE(Initialisatie!$C$5,12,31)) - MAX($G$2, DATE(Initialisatie!$C$5,1,1)) + 1)
    ) / (DATE(Initialisatie!$C$5,12,31) - DATE(Initialisatie!$C$5,1,1) + 1)
)</f>
        <v>2848.182575342466</v>
      </c>
    </row>
    <row r="37" spans="1:10" x14ac:dyDescent="0.45">
      <c r="A37" s="848"/>
      <c r="B37" s="48">
        <v>5</v>
      </c>
      <c r="C37">
        <v>2881.14</v>
      </c>
      <c r="D37">
        <v>2981.98</v>
      </c>
      <c r="F37">
        <f>MAX(C37, 'Hulp (overig)'!$C$12*'Hulp (CAO''s)'!$Z$7/12)</f>
        <v>2881.14</v>
      </c>
      <c r="G37">
        <f>MAX(D37, 'Hulp (overig)'!$C$12*'Hulp (CAO''s)'!$Z$7/12)</f>
        <v>2981.98</v>
      </c>
      <c r="J37">
        <f>IF(
    OR(
        AND(MAX(0, MIN($F$1, DATE(Initialisatie!$C$5,12,31)) - MAX($F$2, DATE(Initialisatie!$C$5,1,1)) + 1) &gt; 0, IFERROR(VALUE($F37),0)=0),
        AND(MAX(0, MIN($G$1, DATE(Initialisatie!$C$5,12,31)) - MAX($G$2, DATE(Initialisatie!$C$5,1,1)) + 1) &gt; 0, IFERROR(VALUE($G37),0)=0)
    ),
    0,
    SUM(
        IFERROR(VALUE($F37),0) * MAX(0, MIN($F$1, DATE(Initialisatie!$C$5,12,31)) - MAX($F$2, DATE(Initialisatie!$C$5,1,1)) + 1),
        IFERROR(VALUE($G37),0) * MAX(0, MIN($G$1, DATE(Initialisatie!$C$5,12,31)) - MAX($G$2, DATE(Initialisatie!$C$5,1,1)) + 1)
    ) / (DATE(Initialisatie!$C$5,12,31) - DATE(Initialisatie!$C$5,1,1) + 1)
)</f>
        <v>2931.9744109589037</v>
      </c>
    </row>
    <row r="38" spans="1:10" x14ac:dyDescent="0.45">
      <c r="A38" s="848"/>
      <c r="B38" s="48">
        <v>6</v>
      </c>
      <c r="C38">
        <v>2960.9</v>
      </c>
      <c r="D38">
        <v>3064.53</v>
      </c>
      <c r="F38">
        <f>MAX(C38, 'Hulp (overig)'!$C$12*'Hulp (CAO''s)'!$Z$7/12)</f>
        <v>2960.9</v>
      </c>
      <c r="G38">
        <f>MAX(D38, 'Hulp (overig)'!$C$12*'Hulp (CAO''s)'!$Z$7/12)</f>
        <v>3064.53</v>
      </c>
      <c r="J38">
        <f>IF(
    OR(
        AND(MAX(0, MIN($F$1, DATE(Initialisatie!$C$5,12,31)) - MAX($F$2, DATE(Initialisatie!$C$5,1,1)) + 1) &gt; 0, IFERROR(VALUE($F38),0)=0),
        AND(MAX(0, MIN($G$1, DATE(Initialisatie!$C$5,12,31)) - MAX($G$2, DATE(Initialisatie!$C$5,1,1)) + 1) &gt; 0, IFERROR(VALUE($G38),0)=0)
    ),
    0,
    SUM(
        IFERROR(VALUE($F38),0) * MAX(0, MIN($F$1, DATE(Initialisatie!$C$5,12,31)) - MAX($F$2, DATE(Initialisatie!$C$5,1,1)) + 1),
        IFERROR(VALUE($G38),0) * MAX(0, MIN($G$1, DATE(Initialisatie!$C$5,12,31)) - MAX($G$2, DATE(Initialisatie!$C$5,1,1)) + 1)
    ) / (DATE(Initialisatie!$C$5,12,31) - DATE(Initialisatie!$C$5,1,1) + 1)
)</f>
        <v>3013.1408767123285</v>
      </c>
    </row>
    <row r="39" spans="1:10" x14ac:dyDescent="0.45">
      <c r="A39" s="848"/>
      <c r="B39" s="48">
        <v>7</v>
      </c>
      <c r="C39">
        <v>3050.6</v>
      </c>
      <c r="D39">
        <v>3157.37</v>
      </c>
      <c r="F39">
        <f>MAX(C39, 'Hulp (overig)'!$C$12*'Hulp (CAO''s)'!$Z$7/12)</f>
        <v>3050.6</v>
      </c>
      <c r="G39">
        <f>MAX(D39, 'Hulp (overig)'!$C$12*'Hulp (CAO''s)'!$Z$7/12)</f>
        <v>3157.37</v>
      </c>
      <c r="J39">
        <f>IF(
    OR(
        AND(MAX(0, MIN($F$1, DATE(Initialisatie!$C$5,12,31)) - MAX($F$2, DATE(Initialisatie!$C$5,1,1)) + 1) &gt; 0, IFERROR(VALUE($F39),0)=0),
        AND(MAX(0, MIN($G$1, DATE(Initialisatie!$C$5,12,31)) - MAX($G$2, DATE(Initialisatie!$C$5,1,1)) + 1) &gt; 0, IFERROR(VALUE($G39),0)=0)
    ),
    0,
    SUM(
        IFERROR(VALUE($F39),0) * MAX(0, MIN($F$1, DATE(Initialisatie!$C$5,12,31)) - MAX($F$2, DATE(Initialisatie!$C$5,1,1)) + 1),
        IFERROR(VALUE($G39),0) * MAX(0, MIN($G$1, DATE(Initialisatie!$C$5,12,31)) - MAX($G$2, DATE(Initialisatie!$C$5,1,1)) + 1)
    ) / (DATE(Initialisatie!$C$5,12,31) - DATE(Initialisatie!$C$5,1,1) + 1)
)</f>
        <v>3104.4237808219177</v>
      </c>
    </row>
    <row r="40" spans="1:10" x14ac:dyDescent="0.45">
      <c r="A40" s="848"/>
      <c r="B40" s="48">
        <v>8</v>
      </c>
      <c r="C40">
        <v>3124.01</v>
      </c>
      <c r="D40">
        <v>3233.35</v>
      </c>
      <c r="F40">
        <f>MAX(C40, 'Hulp (overig)'!$C$12*'Hulp (CAO''s)'!$Z$7/12)</f>
        <v>3124.01</v>
      </c>
      <c r="G40">
        <f>MAX(D40, 'Hulp (overig)'!$C$12*'Hulp (CAO''s)'!$Z$7/12)</f>
        <v>3233.35</v>
      </c>
      <c r="J40">
        <f>IF(
    OR(
        AND(MAX(0, MIN($F$1, DATE(Initialisatie!$C$5,12,31)) - MAX($F$2, DATE(Initialisatie!$C$5,1,1)) + 1) &gt; 0, IFERROR(VALUE($F40),0)=0),
        AND(MAX(0, MIN($G$1, DATE(Initialisatie!$C$5,12,31)) - MAX($G$2, DATE(Initialisatie!$C$5,1,1)) + 1) &gt; 0, IFERROR(VALUE($G40),0)=0)
    ),
    0,
    SUM(
        IFERROR(VALUE($F40),0) * MAX(0, MIN($F$1, DATE(Initialisatie!$C$5,12,31)) - MAX($F$2, DATE(Initialisatie!$C$5,1,1)) + 1),
        IFERROR(VALUE($G40),0) * MAX(0, MIN($G$1, DATE(Initialisatie!$C$5,12,31)) - MAX($G$2, DATE(Initialisatie!$C$5,1,1)) + 1)
    ) / (DATE(Initialisatie!$C$5,12,31) - DATE(Initialisatie!$C$5,1,1) + 1)
)</f>
        <v>3179.1293424657533</v>
      </c>
    </row>
    <row r="41" spans="1:10" x14ac:dyDescent="0.45">
      <c r="A41" s="848"/>
      <c r="B41" s="48">
        <v>9</v>
      </c>
      <c r="C41">
        <v>3212.5</v>
      </c>
      <c r="D41">
        <v>3324.94</v>
      </c>
      <c r="F41">
        <f>MAX(C41, 'Hulp (overig)'!$C$12*'Hulp (CAO''s)'!$Z$7/12)</f>
        <v>3212.5</v>
      </c>
      <c r="G41">
        <f>MAX(D41, 'Hulp (overig)'!$C$12*'Hulp (CAO''s)'!$Z$7/12)</f>
        <v>3324.94</v>
      </c>
      <c r="J41">
        <f>IF(
    OR(
        AND(MAX(0, MIN($F$1, DATE(Initialisatie!$C$5,12,31)) - MAX($F$2, DATE(Initialisatie!$C$5,1,1)) + 1) &gt; 0, IFERROR(VALUE($F41),0)=0),
        AND(MAX(0, MIN($G$1, DATE(Initialisatie!$C$5,12,31)) - MAX($G$2, DATE(Initialisatie!$C$5,1,1)) + 1) &gt; 0, IFERROR(VALUE($G41),0)=0)
    ),
    0,
    SUM(
        IFERROR(VALUE($F41),0) * MAX(0, MIN($F$1, DATE(Initialisatie!$C$5,12,31)) - MAX($F$2, DATE(Initialisatie!$C$5,1,1)) + 1),
        IFERROR(VALUE($G41),0) * MAX(0, MIN($G$1, DATE(Initialisatie!$C$5,12,31)) - MAX($G$2, DATE(Initialisatie!$C$5,1,1)) + 1)
    ) / (DATE(Initialisatie!$C$5,12,31) - DATE(Initialisatie!$C$5,1,1) + 1)
)</f>
        <v>3269.1820821917809</v>
      </c>
    </row>
    <row r="42" spans="1:10" x14ac:dyDescent="0.45">
      <c r="A42" s="848"/>
      <c r="B42" s="48">
        <v>10</v>
      </c>
      <c r="C42">
        <v>3294.84</v>
      </c>
      <c r="D42">
        <v>3410.16</v>
      </c>
      <c r="F42">
        <f>MAX(C42, 'Hulp (overig)'!$C$12*'Hulp (CAO''s)'!$Z$7/12)</f>
        <v>3294.84</v>
      </c>
      <c r="G42">
        <f>MAX(D42, 'Hulp (overig)'!$C$12*'Hulp (CAO''s)'!$Z$7/12)</f>
        <v>3410.16</v>
      </c>
      <c r="J42">
        <f>IF(
    OR(
        AND(MAX(0, MIN($F$1, DATE(Initialisatie!$C$5,12,31)) - MAX($F$2, DATE(Initialisatie!$C$5,1,1)) + 1) &gt; 0, IFERROR(VALUE($F42),0)=0),
        AND(MAX(0, MIN($G$1, DATE(Initialisatie!$C$5,12,31)) - MAX($G$2, DATE(Initialisatie!$C$5,1,1)) + 1) &gt; 0, IFERROR(VALUE($G42),0)=0)
    ),
    0,
    SUM(
        IFERROR(VALUE($F42),0) * MAX(0, MIN($F$1, DATE(Initialisatie!$C$5,12,31)) - MAX($F$2, DATE(Initialisatie!$C$5,1,1)) + 1),
        IFERROR(VALUE($G42),0) * MAX(0, MIN($G$1, DATE(Initialisatie!$C$5,12,31)) - MAX($G$2, DATE(Initialisatie!$C$5,1,1)) + 1)
    ) / (DATE(Initialisatie!$C$5,12,31) - DATE(Initialisatie!$C$5,1,1) + 1)
)</f>
        <v>3352.9739178082191</v>
      </c>
    </row>
    <row r="43" spans="1:10" x14ac:dyDescent="0.45">
      <c r="A43" s="848">
        <v>35</v>
      </c>
      <c r="B43" s="48" t="s">
        <v>2202</v>
      </c>
      <c r="C43">
        <v>2573.4699999999998</v>
      </c>
      <c r="D43">
        <v>2663.54</v>
      </c>
      <c r="F43">
        <f>MAX(C43, 'Hulp (overig)'!$C$12*'Hulp (CAO''s)'!$Z$7/12)</f>
        <v>2573.4699999999998</v>
      </c>
      <c r="G43">
        <f>MAX(D43, 'Hulp (overig)'!$C$12*'Hulp (CAO''s)'!$Z$7/12)</f>
        <v>2663.54</v>
      </c>
      <c r="J43">
        <f>IF(
    OR(
        AND(MAX(0, MIN($F$1, DATE(Initialisatie!$C$5,12,31)) - MAX($F$2, DATE(Initialisatie!$C$5,1,1)) + 1) &gt; 0, IFERROR(VALUE($F43),0)=0),
        AND(MAX(0, MIN($G$1, DATE(Initialisatie!$C$5,12,31)) - MAX($G$2, DATE(Initialisatie!$C$5,1,1)) + 1) &gt; 0, IFERROR(VALUE($G43),0)=0)
    ),
    0,
    SUM(
        IFERROR(VALUE($F43),0) * MAX(0, MIN($F$1, DATE(Initialisatie!$C$5,12,31)) - MAX($F$2, DATE(Initialisatie!$C$5,1,1)) + 1),
        IFERROR(VALUE($G43),0) * MAX(0, MIN($G$1, DATE(Initialisatie!$C$5,12,31)) - MAX($G$2, DATE(Initialisatie!$C$5,1,1)) + 1)
    ) / (DATE(Initialisatie!$C$5,12,31) - DATE(Initialisatie!$C$5,1,1) + 1)
)</f>
        <v>2618.8751506849312</v>
      </c>
    </row>
    <row r="44" spans="1:10" x14ac:dyDescent="0.45">
      <c r="A44" s="848"/>
      <c r="B44" s="48">
        <v>1</v>
      </c>
      <c r="C44">
        <v>2643.39</v>
      </c>
      <c r="D44">
        <v>2735.91</v>
      </c>
      <c r="F44">
        <f>MAX(C44, 'Hulp (overig)'!$C$12*'Hulp (CAO''s)'!$Z$7/12)</f>
        <v>2643.39</v>
      </c>
      <c r="G44">
        <f>MAX(D44, 'Hulp (overig)'!$C$12*'Hulp (CAO''s)'!$Z$7/12)</f>
        <v>2735.91</v>
      </c>
      <c r="J44">
        <f>IF(
    OR(
        AND(MAX(0, MIN($F$1, DATE(Initialisatie!$C$5,12,31)) - MAX($F$2, DATE(Initialisatie!$C$5,1,1)) + 1) &gt; 0, IFERROR(VALUE($F44),0)=0),
        AND(MAX(0, MIN($G$1, DATE(Initialisatie!$C$5,12,31)) - MAX($G$2, DATE(Initialisatie!$C$5,1,1)) + 1) &gt; 0, IFERROR(VALUE($G44),0)=0)
    ),
    0,
    SUM(
        IFERROR(VALUE($F44),0) * MAX(0, MIN($F$1, DATE(Initialisatie!$C$5,12,31)) - MAX($F$2, DATE(Initialisatie!$C$5,1,1)) + 1),
        IFERROR(VALUE($G44),0) * MAX(0, MIN($G$1, DATE(Initialisatie!$C$5,12,31)) - MAX($G$2, DATE(Initialisatie!$C$5,1,1)) + 1)
    ) / (DATE(Initialisatie!$C$5,12,31) - DATE(Initialisatie!$C$5,1,1) + 1)
)</f>
        <v>2690.030219178082</v>
      </c>
    </row>
    <row r="45" spans="1:10" x14ac:dyDescent="0.45">
      <c r="A45" s="848"/>
      <c r="B45" s="48">
        <v>2</v>
      </c>
      <c r="C45">
        <v>2716.43</v>
      </c>
      <c r="D45">
        <v>2811.51</v>
      </c>
      <c r="F45">
        <f>MAX(C45, 'Hulp (overig)'!$C$12*'Hulp (CAO''s)'!$Z$7/12)</f>
        <v>2716.43</v>
      </c>
      <c r="G45">
        <f>MAX(D45, 'Hulp (overig)'!$C$12*'Hulp (CAO''s)'!$Z$7/12)</f>
        <v>2811.51</v>
      </c>
      <c r="J45">
        <f>IF(
    OR(
        AND(MAX(0, MIN($F$1, DATE(Initialisatie!$C$5,12,31)) - MAX($F$2, DATE(Initialisatie!$C$5,1,1)) + 1) &gt; 0, IFERROR(VALUE($F45),0)=0),
        AND(MAX(0, MIN($G$1, DATE(Initialisatie!$C$5,12,31)) - MAX($G$2, DATE(Initialisatie!$C$5,1,1)) + 1) &gt; 0, IFERROR(VALUE($G45),0)=0)
    ),
    0,
    SUM(
        IFERROR(VALUE($F45),0) * MAX(0, MIN($F$1, DATE(Initialisatie!$C$5,12,31)) - MAX($F$2, DATE(Initialisatie!$C$5,1,1)) + 1),
        IFERROR(VALUE($G45),0) * MAX(0, MIN($G$1, DATE(Initialisatie!$C$5,12,31)) - MAX($G$2, DATE(Initialisatie!$C$5,1,1)) + 1)
    ) / (DATE(Initialisatie!$C$5,12,31) - DATE(Initialisatie!$C$5,1,1) + 1)
)</f>
        <v>2764.3607397260271</v>
      </c>
    </row>
    <row r="46" spans="1:10" x14ac:dyDescent="0.45">
      <c r="A46" s="848"/>
      <c r="B46" s="48">
        <v>3</v>
      </c>
      <c r="C46">
        <v>2798.8</v>
      </c>
      <c r="D46">
        <v>2896.76</v>
      </c>
      <c r="F46">
        <f>MAX(C46, 'Hulp (overig)'!$C$12*'Hulp (CAO''s)'!$Z$7/12)</f>
        <v>2798.8</v>
      </c>
      <c r="G46">
        <f>MAX(D46, 'Hulp (overig)'!$C$12*'Hulp (CAO''s)'!$Z$7/12)</f>
        <v>2896.76</v>
      </c>
      <c r="J46">
        <f>IF(
    OR(
        AND(MAX(0, MIN($F$1, DATE(Initialisatie!$C$5,12,31)) - MAX($F$2, DATE(Initialisatie!$C$5,1,1)) + 1) &gt; 0, IFERROR(VALUE($F46),0)=0),
        AND(MAX(0, MIN($G$1, DATE(Initialisatie!$C$5,12,31)) - MAX($G$2, DATE(Initialisatie!$C$5,1,1)) + 1) &gt; 0, IFERROR(VALUE($G46),0)=0)
    ),
    0,
    SUM(
        IFERROR(VALUE($F46),0) * MAX(0, MIN($F$1, DATE(Initialisatie!$C$5,12,31)) - MAX($F$2, DATE(Initialisatie!$C$5,1,1)) + 1),
        IFERROR(VALUE($G46),0) * MAX(0, MIN($G$1, DATE(Initialisatie!$C$5,12,31)) - MAX($G$2, DATE(Initialisatie!$C$5,1,1)) + 1)
    ) / (DATE(Initialisatie!$C$5,12,31) - DATE(Initialisatie!$C$5,1,1) + 1)
)</f>
        <v>2848.182575342466</v>
      </c>
    </row>
    <row r="47" spans="1:10" x14ac:dyDescent="0.45">
      <c r="A47" s="848"/>
      <c r="B47" s="48">
        <v>4</v>
      </c>
      <c r="C47">
        <v>2881.14</v>
      </c>
      <c r="D47">
        <v>2981.98</v>
      </c>
      <c r="F47">
        <f>MAX(C47, 'Hulp (overig)'!$C$12*'Hulp (CAO''s)'!$Z$7/12)</f>
        <v>2881.14</v>
      </c>
      <c r="G47">
        <f>MAX(D47, 'Hulp (overig)'!$C$12*'Hulp (CAO''s)'!$Z$7/12)</f>
        <v>2981.98</v>
      </c>
      <c r="J47">
        <f>IF(
    OR(
        AND(MAX(0, MIN($F$1, DATE(Initialisatie!$C$5,12,31)) - MAX($F$2, DATE(Initialisatie!$C$5,1,1)) + 1) &gt; 0, IFERROR(VALUE($F47),0)=0),
        AND(MAX(0, MIN($G$1, DATE(Initialisatie!$C$5,12,31)) - MAX($G$2, DATE(Initialisatie!$C$5,1,1)) + 1) &gt; 0, IFERROR(VALUE($G47),0)=0)
    ),
    0,
    SUM(
        IFERROR(VALUE($F47),0) * MAX(0, MIN($F$1, DATE(Initialisatie!$C$5,12,31)) - MAX($F$2, DATE(Initialisatie!$C$5,1,1)) + 1),
        IFERROR(VALUE($G47),0) * MAX(0, MIN($G$1, DATE(Initialisatie!$C$5,12,31)) - MAX($G$2, DATE(Initialisatie!$C$5,1,1)) + 1)
    ) / (DATE(Initialisatie!$C$5,12,31) - DATE(Initialisatie!$C$5,1,1) + 1)
)</f>
        <v>2931.9744109589037</v>
      </c>
    </row>
    <row r="48" spans="1:10" x14ac:dyDescent="0.45">
      <c r="A48" s="848"/>
      <c r="B48" s="48">
        <v>5</v>
      </c>
      <c r="C48">
        <v>2960.9</v>
      </c>
      <c r="D48">
        <v>3064.53</v>
      </c>
      <c r="F48">
        <f>MAX(C48, 'Hulp (overig)'!$C$12*'Hulp (CAO''s)'!$Z$7/12)</f>
        <v>2960.9</v>
      </c>
      <c r="G48">
        <f>MAX(D48, 'Hulp (overig)'!$C$12*'Hulp (CAO''s)'!$Z$7/12)</f>
        <v>3064.53</v>
      </c>
      <c r="J48">
        <f>IF(
    OR(
        AND(MAX(0, MIN($F$1, DATE(Initialisatie!$C$5,12,31)) - MAX($F$2, DATE(Initialisatie!$C$5,1,1)) + 1) &gt; 0, IFERROR(VALUE($F48),0)=0),
        AND(MAX(0, MIN($G$1, DATE(Initialisatie!$C$5,12,31)) - MAX($G$2, DATE(Initialisatie!$C$5,1,1)) + 1) &gt; 0, IFERROR(VALUE($G48),0)=0)
    ),
    0,
    SUM(
        IFERROR(VALUE($F48),0) * MAX(0, MIN($F$1, DATE(Initialisatie!$C$5,12,31)) - MAX($F$2, DATE(Initialisatie!$C$5,1,1)) + 1),
        IFERROR(VALUE($G48),0) * MAX(0, MIN($G$1, DATE(Initialisatie!$C$5,12,31)) - MAX($G$2, DATE(Initialisatie!$C$5,1,1)) + 1)
    ) / (DATE(Initialisatie!$C$5,12,31) - DATE(Initialisatie!$C$5,1,1) + 1)
)</f>
        <v>3013.1408767123285</v>
      </c>
    </row>
    <row r="49" spans="1:10" x14ac:dyDescent="0.45">
      <c r="A49" s="848"/>
      <c r="B49" s="48">
        <v>6</v>
      </c>
      <c r="C49">
        <v>3050.6</v>
      </c>
      <c r="D49">
        <v>3157.37</v>
      </c>
      <c r="F49">
        <f>MAX(C49, 'Hulp (overig)'!$C$12*'Hulp (CAO''s)'!$Z$7/12)</f>
        <v>3050.6</v>
      </c>
      <c r="G49">
        <f>MAX(D49, 'Hulp (overig)'!$C$12*'Hulp (CAO''s)'!$Z$7/12)</f>
        <v>3157.37</v>
      </c>
      <c r="J49">
        <f>IF(
    OR(
        AND(MAX(0, MIN($F$1, DATE(Initialisatie!$C$5,12,31)) - MAX($F$2, DATE(Initialisatie!$C$5,1,1)) + 1) &gt; 0, IFERROR(VALUE($F49),0)=0),
        AND(MAX(0, MIN($G$1, DATE(Initialisatie!$C$5,12,31)) - MAX($G$2, DATE(Initialisatie!$C$5,1,1)) + 1) &gt; 0, IFERROR(VALUE($G49),0)=0)
    ),
    0,
    SUM(
        IFERROR(VALUE($F49),0) * MAX(0, MIN($F$1, DATE(Initialisatie!$C$5,12,31)) - MAX($F$2, DATE(Initialisatie!$C$5,1,1)) + 1),
        IFERROR(VALUE($G49),0) * MAX(0, MIN($G$1, DATE(Initialisatie!$C$5,12,31)) - MAX($G$2, DATE(Initialisatie!$C$5,1,1)) + 1)
    ) / (DATE(Initialisatie!$C$5,12,31) - DATE(Initialisatie!$C$5,1,1) + 1)
)</f>
        <v>3104.4237808219177</v>
      </c>
    </row>
    <row r="50" spans="1:10" x14ac:dyDescent="0.45">
      <c r="A50" s="848"/>
      <c r="B50" s="48">
        <v>7</v>
      </c>
      <c r="C50">
        <v>3124.01</v>
      </c>
      <c r="D50">
        <v>3233.35</v>
      </c>
      <c r="F50">
        <f>MAX(C50, 'Hulp (overig)'!$C$12*'Hulp (CAO''s)'!$Z$7/12)</f>
        <v>3124.01</v>
      </c>
      <c r="G50">
        <f>MAX(D50, 'Hulp (overig)'!$C$12*'Hulp (CAO''s)'!$Z$7/12)</f>
        <v>3233.35</v>
      </c>
      <c r="J50">
        <f>IF(
    OR(
        AND(MAX(0, MIN($F$1, DATE(Initialisatie!$C$5,12,31)) - MAX($F$2, DATE(Initialisatie!$C$5,1,1)) + 1) &gt; 0, IFERROR(VALUE($F50),0)=0),
        AND(MAX(0, MIN($G$1, DATE(Initialisatie!$C$5,12,31)) - MAX($G$2, DATE(Initialisatie!$C$5,1,1)) + 1) &gt; 0, IFERROR(VALUE($G50),0)=0)
    ),
    0,
    SUM(
        IFERROR(VALUE($F50),0) * MAX(0, MIN($F$1, DATE(Initialisatie!$C$5,12,31)) - MAX($F$2, DATE(Initialisatie!$C$5,1,1)) + 1),
        IFERROR(VALUE($G50),0) * MAX(0, MIN($G$1, DATE(Initialisatie!$C$5,12,31)) - MAX($G$2, DATE(Initialisatie!$C$5,1,1)) + 1)
    ) / (DATE(Initialisatie!$C$5,12,31) - DATE(Initialisatie!$C$5,1,1) + 1)
)</f>
        <v>3179.1293424657533</v>
      </c>
    </row>
    <row r="51" spans="1:10" x14ac:dyDescent="0.45">
      <c r="A51" s="848"/>
      <c r="B51" s="48">
        <v>8</v>
      </c>
      <c r="C51">
        <v>3212.5</v>
      </c>
      <c r="D51">
        <v>3324.94</v>
      </c>
      <c r="F51">
        <f>MAX(C51, 'Hulp (overig)'!$C$12*'Hulp (CAO''s)'!$Z$7/12)</f>
        <v>3212.5</v>
      </c>
      <c r="G51">
        <f>MAX(D51, 'Hulp (overig)'!$C$12*'Hulp (CAO''s)'!$Z$7/12)</f>
        <v>3324.94</v>
      </c>
      <c r="J51">
        <f>IF(
    OR(
        AND(MAX(0, MIN($F$1, DATE(Initialisatie!$C$5,12,31)) - MAX($F$2, DATE(Initialisatie!$C$5,1,1)) + 1) &gt; 0, IFERROR(VALUE($F51),0)=0),
        AND(MAX(0, MIN($G$1, DATE(Initialisatie!$C$5,12,31)) - MAX($G$2, DATE(Initialisatie!$C$5,1,1)) + 1) &gt; 0, IFERROR(VALUE($G51),0)=0)
    ),
    0,
    SUM(
        IFERROR(VALUE($F51),0) * MAX(0, MIN($F$1, DATE(Initialisatie!$C$5,12,31)) - MAX($F$2, DATE(Initialisatie!$C$5,1,1)) + 1),
        IFERROR(VALUE($G51),0) * MAX(0, MIN($G$1, DATE(Initialisatie!$C$5,12,31)) - MAX($G$2, DATE(Initialisatie!$C$5,1,1)) + 1)
    ) / (DATE(Initialisatie!$C$5,12,31) - DATE(Initialisatie!$C$5,1,1) + 1)
)</f>
        <v>3269.1820821917809</v>
      </c>
    </row>
    <row r="52" spans="1:10" x14ac:dyDescent="0.45">
      <c r="A52" s="848"/>
      <c r="B52" s="48">
        <v>9</v>
      </c>
      <c r="C52">
        <v>3294.84</v>
      </c>
      <c r="D52">
        <v>3410.16</v>
      </c>
      <c r="F52">
        <f>MAX(C52, 'Hulp (overig)'!$C$12*'Hulp (CAO''s)'!$Z$7/12)</f>
        <v>3294.84</v>
      </c>
      <c r="G52">
        <f>MAX(D52, 'Hulp (overig)'!$C$12*'Hulp (CAO''s)'!$Z$7/12)</f>
        <v>3410.16</v>
      </c>
      <c r="J52">
        <f>IF(
    OR(
        AND(MAX(0, MIN($F$1, DATE(Initialisatie!$C$5,12,31)) - MAX($F$2, DATE(Initialisatie!$C$5,1,1)) + 1) &gt; 0, IFERROR(VALUE($F52),0)=0),
        AND(MAX(0, MIN($G$1, DATE(Initialisatie!$C$5,12,31)) - MAX($G$2, DATE(Initialisatie!$C$5,1,1)) + 1) &gt; 0, IFERROR(VALUE($G52),0)=0)
    ),
    0,
    SUM(
        IFERROR(VALUE($F52),0) * MAX(0, MIN($F$1, DATE(Initialisatie!$C$5,12,31)) - MAX($F$2, DATE(Initialisatie!$C$5,1,1)) + 1),
        IFERROR(VALUE($G52),0) * MAX(0, MIN($G$1, DATE(Initialisatie!$C$5,12,31)) - MAX($G$2, DATE(Initialisatie!$C$5,1,1)) + 1)
    ) / (DATE(Initialisatie!$C$5,12,31) - DATE(Initialisatie!$C$5,1,1) + 1)
)</f>
        <v>3352.9739178082191</v>
      </c>
    </row>
    <row r="53" spans="1:10" x14ac:dyDescent="0.45">
      <c r="A53" s="848"/>
      <c r="B53" s="48">
        <v>10</v>
      </c>
      <c r="C53">
        <v>3384.01</v>
      </c>
      <c r="D53">
        <v>3502.45</v>
      </c>
      <c r="F53">
        <f>MAX(C53, 'Hulp (overig)'!$C$12*'Hulp (CAO''s)'!$Z$7/12)</f>
        <v>3384.01</v>
      </c>
      <c r="G53">
        <f>MAX(D53, 'Hulp (overig)'!$C$12*'Hulp (CAO''s)'!$Z$7/12)</f>
        <v>3502.45</v>
      </c>
      <c r="J53">
        <f>IF(
    OR(
        AND(MAX(0, MIN($F$1, DATE(Initialisatie!$C$5,12,31)) - MAX($F$2, DATE(Initialisatie!$C$5,1,1)) + 1) &gt; 0, IFERROR(VALUE($F53),0)=0),
        AND(MAX(0, MIN($G$1, DATE(Initialisatie!$C$5,12,31)) - MAX($G$2, DATE(Initialisatie!$C$5,1,1)) + 1) &gt; 0, IFERROR(VALUE($G53),0)=0)
    ),
    0,
    SUM(
        IFERROR(VALUE($F53),0) * MAX(0, MIN($F$1, DATE(Initialisatie!$C$5,12,31)) - MAX($F$2, DATE(Initialisatie!$C$5,1,1)) + 1),
        IFERROR(VALUE($G53),0) * MAX(0, MIN($G$1, DATE(Initialisatie!$C$5,12,31)) - MAX($G$2, DATE(Initialisatie!$C$5,1,1)) + 1)
    ) / (DATE(Initialisatie!$C$5,12,31) - DATE(Initialisatie!$C$5,1,1) + 1)
)</f>
        <v>3443.7167397260268</v>
      </c>
    </row>
    <row r="54" spans="1:10" x14ac:dyDescent="0.45">
      <c r="A54" s="848"/>
      <c r="B54" s="48">
        <v>11</v>
      </c>
      <c r="C54">
        <v>3471.46</v>
      </c>
      <c r="D54">
        <v>3592.96</v>
      </c>
      <c r="F54">
        <f>MAX(C54, 'Hulp (overig)'!$C$12*'Hulp (CAO''s)'!$Z$7/12)</f>
        <v>3471.46</v>
      </c>
      <c r="G54">
        <f>MAX(D54, 'Hulp (overig)'!$C$12*'Hulp (CAO''s)'!$Z$7/12)</f>
        <v>3592.96</v>
      </c>
      <c r="J54">
        <f>IF(
    OR(
        AND(MAX(0, MIN($F$1, DATE(Initialisatie!$C$5,12,31)) - MAX($F$2, DATE(Initialisatie!$C$5,1,1)) + 1) &gt; 0, IFERROR(VALUE($F54),0)=0),
        AND(MAX(0, MIN($G$1, DATE(Initialisatie!$C$5,12,31)) - MAX($G$2, DATE(Initialisatie!$C$5,1,1)) + 1) &gt; 0, IFERROR(VALUE($G54),0)=0)
    ),
    0,
    SUM(
        IFERROR(VALUE($F54),0) * MAX(0, MIN($F$1, DATE(Initialisatie!$C$5,12,31)) - MAX($F$2, DATE(Initialisatie!$C$5,1,1)) + 1),
        IFERROR(VALUE($G54),0) * MAX(0, MIN($G$1, DATE(Initialisatie!$C$5,12,31)) - MAX($G$2, DATE(Initialisatie!$C$5,1,1)) + 1)
    ) / (DATE(Initialisatie!$C$5,12,31) - DATE(Initialisatie!$C$5,1,1) + 1)
)</f>
        <v>3532.7093150684927</v>
      </c>
    </row>
    <row r="55" spans="1:10" x14ac:dyDescent="0.45">
      <c r="A55" s="848">
        <v>40</v>
      </c>
      <c r="B55" s="48" t="s">
        <v>2202</v>
      </c>
      <c r="C55">
        <v>2716.43</v>
      </c>
      <c r="D55">
        <v>2811.51</v>
      </c>
      <c r="F55">
        <f>MAX(C55, 'Hulp (overig)'!$C$12*'Hulp (CAO''s)'!$Z$7/12)</f>
        <v>2716.43</v>
      </c>
      <c r="G55">
        <f>MAX(D55, 'Hulp (overig)'!$C$12*'Hulp (CAO''s)'!$Z$7/12)</f>
        <v>2811.51</v>
      </c>
      <c r="J55">
        <f>IF(
    OR(
        AND(MAX(0, MIN($F$1, DATE(Initialisatie!$C$5,12,31)) - MAX($F$2, DATE(Initialisatie!$C$5,1,1)) + 1) &gt; 0, IFERROR(VALUE($F55),0)=0),
        AND(MAX(0, MIN($G$1, DATE(Initialisatie!$C$5,12,31)) - MAX($G$2, DATE(Initialisatie!$C$5,1,1)) + 1) &gt; 0, IFERROR(VALUE($G55),0)=0)
    ),
    0,
    SUM(
        IFERROR(VALUE($F55),0) * MAX(0, MIN($F$1, DATE(Initialisatie!$C$5,12,31)) - MAX($F$2, DATE(Initialisatie!$C$5,1,1)) + 1),
        IFERROR(VALUE($G55),0) * MAX(0, MIN($G$1, DATE(Initialisatie!$C$5,12,31)) - MAX($G$2, DATE(Initialisatie!$C$5,1,1)) + 1)
    ) / (DATE(Initialisatie!$C$5,12,31) - DATE(Initialisatie!$C$5,1,1) + 1)
)</f>
        <v>2764.3607397260271</v>
      </c>
    </row>
    <row r="56" spans="1:10" x14ac:dyDescent="0.45">
      <c r="A56" s="848"/>
      <c r="B56" s="48">
        <v>1</v>
      </c>
      <c r="C56">
        <v>2881.14</v>
      </c>
      <c r="D56">
        <v>2981.98</v>
      </c>
      <c r="F56">
        <f>MAX(C56, 'Hulp (overig)'!$C$12*'Hulp (CAO''s)'!$Z$7/12)</f>
        <v>2881.14</v>
      </c>
      <c r="G56">
        <f>MAX(D56, 'Hulp (overig)'!$C$12*'Hulp (CAO''s)'!$Z$7/12)</f>
        <v>2981.98</v>
      </c>
      <c r="J56">
        <f>IF(
    OR(
        AND(MAX(0, MIN($F$1, DATE(Initialisatie!$C$5,12,31)) - MAX($F$2, DATE(Initialisatie!$C$5,1,1)) + 1) &gt; 0, IFERROR(VALUE($F56),0)=0),
        AND(MAX(0, MIN($G$1, DATE(Initialisatie!$C$5,12,31)) - MAX($G$2, DATE(Initialisatie!$C$5,1,1)) + 1) &gt; 0, IFERROR(VALUE($G56),0)=0)
    ),
    0,
    SUM(
        IFERROR(VALUE($F56),0) * MAX(0, MIN($F$1, DATE(Initialisatie!$C$5,12,31)) - MAX($F$2, DATE(Initialisatie!$C$5,1,1)) + 1),
        IFERROR(VALUE($G56),0) * MAX(0, MIN($G$1, DATE(Initialisatie!$C$5,12,31)) - MAX($G$2, DATE(Initialisatie!$C$5,1,1)) + 1)
    ) / (DATE(Initialisatie!$C$5,12,31) - DATE(Initialisatie!$C$5,1,1) + 1)
)</f>
        <v>2931.9744109589037</v>
      </c>
    </row>
    <row r="57" spans="1:10" x14ac:dyDescent="0.45">
      <c r="A57" s="848"/>
      <c r="B57" s="48">
        <v>2</v>
      </c>
      <c r="C57">
        <v>3050.6</v>
      </c>
      <c r="D57">
        <v>3157.37</v>
      </c>
      <c r="F57">
        <f>MAX(C57, 'Hulp (overig)'!$C$12*'Hulp (CAO''s)'!$Z$7/12)</f>
        <v>3050.6</v>
      </c>
      <c r="G57">
        <f>MAX(D57, 'Hulp (overig)'!$C$12*'Hulp (CAO''s)'!$Z$7/12)</f>
        <v>3157.37</v>
      </c>
      <c r="J57">
        <f>IF(
    OR(
        AND(MAX(0, MIN($F$1, DATE(Initialisatie!$C$5,12,31)) - MAX($F$2, DATE(Initialisatie!$C$5,1,1)) + 1) &gt; 0, IFERROR(VALUE($F57),0)=0),
        AND(MAX(0, MIN($G$1, DATE(Initialisatie!$C$5,12,31)) - MAX($G$2, DATE(Initialisatie!$C$5,1,1)) + 1) &gt; 0, IFERROR(VALUE($G57),0)=0)
    ),
    0,
    SUM(
        IFERROR(VALUE($F57),0) * MAX(0, MIN($F$1, DATE(Initialisatie!$C$5,12,31)) - MAX($F$2, DATE(Initialisatie!$C$5,1,1)) + 1),
        IFERROR(VALUE($G57),0) * MAX(0, MIN($G$1, DATE(Initialisatie!$C$5,12,31)) - MAX($G$2, DATE(Initialisatie!$C$5,1,1)) + 1)
    ) / (DATE(Initialisatie!$C$5,12,31) - DATE(Initialisatie!$C$5,1,1) + 1)
)</f>
        <v>3104.4237808219177</v>
      </c>
    </row>
    <row r="58" spans="1:10" x14ac:dyDescent="0.45">
      <c r="A58" s="848"/>
      <c r="B58" s="48">
        <v>3</v>
      </c>
      <c r="C58">
        <v>3124.01</v>
      </c>
      <c r="D58">
        <v>3233.35</v>
      </c>
      <c r="F58">
        <f>MAX(C58, 'Hulp (overig)'!$C$12*'Hulp (CAO''s)'!$Z$7/12)</f>
        <v>3124.01</v>
      </c>
      <c r="G58">
        <f>MAX(D58, 'Hulp (overig)'!$C$12*'Hulp (CAO''s)'!$Z$7/12)</f>
        <v>3233.35</v>
      </c>
      <c r="J58">
        <f>IF(
    OR(
        AND(MAX(0, MIN($F$1, DATE(Initialisatie!$C$5,12,31)) - MAX($F$2, DATE(Initialisatie!$C$5,1,1)) + 1) &gt; 0, IFERROR(VALUE($F58),0)=0),
        AND(MAX(0, MIN($G$1, DATE(Initialisatie!$C$5,12,31)) - MAX($G$2, DATE(Initialisatie!$C$5,1,1)) + 1) &gt; 0, IFERROR(VALUE($G58),0)=0)
    ),
    0,
    SUM(
        IFERROR(VALUE($F58),0) * MAX(0, MIN($F$1, DATE(Initialisatie!$C$5,12,31)) - MAX($F$2, DATE(Initialisatie!$C$5,1,1)) + 1),
        IFERROR(VALUE($G58),0) * MAX(0, MIN($G$1, DATE(Initialisatie!$C$5,12,31)) - MAX($G$2, DATE(Initialisatie!$C$5,1,1)) + 1)
    ) / (DATE(Initialisatie!$C$5,12,31) - DATE(Initialisatie!$C$5,1,1) + 1)
)</f>
        <v>3179.1293424657533</v>
      </c>
    </row>
    <row r="59" spans="1:10" x14ac:dyDescent="0.45">
      <c r="A59" s="848"/>
      <c r="B59" s="48">
        <v>4</v>
      </c>
      <c r="C59">
        <v>3212.5</v>
      </c>
      <c r="D59">
        <v>3324.94</v>
      </c>
      <c r="F59">
        <f>MAX(C59, 'Hulp (overig)'!$C$12*'Hulp (CAO''s)'!$Z$7/12)</f>
        <v>3212.5</v>
      </c>
      <c r="G59">
        <f>MAX(D59, 'Hulp (overig)'!$C$12*'Hulp (CAO''s)'!$Z$7/12)</f>
        <v>3324.94</v>
      </c>
      <c r="J59">
        <f>IF(
    OR(
        AND(MAX(0, MIN($F$1, DATE(Initialisatie!$C$5,12,31)) - MAX($F$2, DATE(Initialisatie!$C$5,1,1)) + 1) &gt; 0, IFERROR(VALUE($F59),0)=0),
        AND(MAX(0, MIN($G$1, DATE(Initialisatie!$C$5,12,31)) - MAX($G$2, DATE(Initialisatie!$C$5,1,1)) + 1) &gt; 0, IFERROR(VALUE($G59),0)=0)
    ),
    0,
    SUM(
        IFERROR(VALUE($F59),0) * MAX(0, MIN($F$1, DATE(Initialisatie!$C$5,12,31)) - MAX($F$2, DATE(Initialisatie!$C$5,1,1)) + 1),
        IFERROR(VALUE($G59),0) * MAX(0, MIN($G$1, DATE(Initialisatie!$C$5,12,31)) - MAX($G$2, DATE(Initialisatie!$C$5,1,1)) + 1)
    ) / (DATE(Initialisatie!$C$5,12,31) - DATE(Initialisatie!$C$5,1,1) + 1)
)</f>
        <v>3269.1820821917809</v>
      </c>
    </row>
    <row r="60" spans="1:10" x14ac:dyDescent="0.45">
      <c r="A60" s="848"/>
      <c r="B60" s="48">
        <v>5</v>
      </c>
      <c r="C60">
        <v>3294.84</v>
      </c>
      <c r="D60">
        <v>3410.16</v>
      </c>
      <c r="F60">
        <f>MAX(C60, 'Hulp (overig)'!$C$12*'Hulp (CAO''s)'!$Z$7/12)</f>
        <v>3294.84</v>
      </c>
      <c r="G60">
        <f>MAX(D60, 'Hulp (overig)'!$C$12*'Hulp (CAO''s)'!$Z$7/12)</f>
        <v>3410.16</v>
      </c>
      <c r="J60">
        <f>IF(
    OR(
        AND(MAX(0, MIN($F$1, DATE(Initialisatie!$C$5,12,31)) - MAX($F$2, DATE(Initialisatie!$C$5,1,1)) + 1) &gt; 0, IFERROR(VALUE($F60),0)=0),
        AND(MAX(0, MIN($G$1, DATE(Initialisatie!$C$5,12,31)) - MAX($G$2, DATE(Initialisatie!$C$5,1,1)) + 1) &gt; 0, IFERROR(VALUE($G60),0)=0)
    ),
    0,
    SUM(
        IFERROR(VALUE($F60),0) * MAX(0, MIN($F$1, DATE(Initialisatie!$C$5,12,31)) - MAX($F$2, DATE(Initialisatie!$C$5,1,1)) + 1),
        IFERROR(VALUE($G60),0) * MAX(0, MIN($G$1, DATE(Initialisatie!$C$5,12,31)) - MAX($G$2, DATE(Initialisatie!$C$5,1,1)) + 1)
    ) / (DATE(Initialisatie!$C$5,12,31) - DATE(Initialisatie!$C$5,1,1) + 1)
)</f>
        <v>3352.9739178082191</v>
      </c>
    </row>
    <row r="61" spans="1:10" x14ac:dyDescent="0.45">
      <c r="A61" s="848"/>
      <c r="B61" s="48">
        <v>6</v>
      </c>
      <c r="C61">
        <v>3384.01</v>
      </c>
      <c r="D61">
        <v>3502.45</v>
      </c>
      <c r="F61">
        <f>MAX(C61, 'Hulp (overig)'!$C$12*'Hulp (CAO''s)'!$Z$7/12)</f>
        <v>3384.01</v>
      </c>
      <c r="G61">
        <f>MAX(D61, 'Hulp (overig)'!$C$12*'Hulp (CAO''s)'!$Z$7/12)</f>
        <v>3502.45</v>
      </c>
      <c r="J61">
        <f>IF(
    OR(
        AND(MAX(0, MIN($F$1, DATE(Initialisatie!$C$5,12,31)) - MAX($F$2, DATE(Initialisatie!$C$5,1,1)) + 1) &gt; 0, IFERROR(VALUE($F61),0)=0),
        AND(MAX(0, MIN($G$1, DATE(Initialisatie!$C$5,12,31)) - MAX($G$2, DATE(Initialisatie!$C$5,1,1)) + 1) &gt; 0, IFERROR(VALUE($G61),0)=0)
    ),
    0,
    SUM(
        IFERROR(VALUE($F61),0) * MAX(0, MIN($F$1, DATE(Initialisatie!$C$5,12,31)) - MAX($F$2, DATE(Initialisatie!$C$5,1,1)) + 1),
        IFERROR(VALUE($G61),0) * MAX(0, MIN($G$1, DATE(Initialisatie!$C$5,12,31)) - MAX($G$2, DATE(Initialisatie!$C$5,1,1)) + 1)
    ) / (DATE(Initialisatie!$C$5,12,31) - DATE(Initialisatie!$C$5,1,1) + 1)
)</f>
        <v>3443.7167397260268</v>
      </c>
    </row>
    <row r="62" spans="1:10" x14ac:dyDescent="0.45">
      <c r="A62" s="848"/>
      <c r="B62" s="48">
        <v>7</v>
      </c>
      <c r="C62">
        <v>3471.46</v>
      </c>
      <c r="D62">
        <v>3592.96</v>
      </c>
      <c r="F62">
        <f>MAX(C62, 'Hulp (overig)'!$C$12*'Hulp (CAO''s)'!$Z$7/12)</f>
        <v>3471.46</v>
      </c>
      <c r="G62">
        <f>MAX(D62, 'Hulp (overig)'!$C$12*'Hulp (CAO''s)'!$Z$7/12)</f>
        <v>3592.96</v>
      </c>
      <c r="J62">
        <f>IF(
    OR(
        AND(MAX(0, MIN($F$1, DATE(Initialisatie!$C$5,12,31)) - MAX($F$2, DATE(Initialisatie!$C$5,1,1)) + 1) &gt; 0, IFERROR(VALUE($F62),0)=0),
        AND(MAX(0, MIN($G$1, DATE(Initialisatie!$C$5,12,31)) - MAX($G$2, DATE(Initialisatie!$C$5,1,1)) + 1) &gt; 0, IFERROR(VALUE($G62),0)=0)
    ),
    0,
    SUM(
        IFERROR(VALUE($F62),0) * MAX(0, MIN($F$1, DATE(Initialisatie!$C$5,12,31)) - MAX($F$2, DATE(Initialisatie!$C$5,1,1)) + 1),
        IFERROR(VALUE($G62),0) * MAX(0, MIN($G$1, DATE(Initialisatie!$C$5,12,31)) - MAX($G$2, DATE(Initialisatie!$C$5,1,1)) + 1)
    ) / (DATE(Initialisatie!$C$5,12,31) - DATE(Initialisatie!$C$5,1,1) + 1)
)</f>
        <v>3532.7093150684927</v>
      </c>
    </row>
    <row r="63" spans="1:10" x14ac:dyDescent="0.45">
      <c r="A63" s="848"/>
      <c r="B63" s="48">
        <v>8</v>
      </c>
      <c r="C63">
        <v>3557.17</v>
      </c>
      <c r="D63">
        <v>3681.67</v>
      </c>
      <c r="F63">
        <f>MAX(C63, 'Hulp (overig)'!$C$12*'Hulp (CAO''s)'!$Z$7/12)</f>
        <v>3557.17</v>
      </c>
      <c r="G63">
        <f>MAX(D63, 'Hulp (overig)'!$C$12*'Hulp (CAO''s)'!$Z$7/12)</f>
        <v>3681.67</v>
      </c>
      <c r="J63">
        <f>IF(
    OR(
        AND(MAX(0, MIN($F$1, DATE(Initialisatie!$C$5,12,31)) - MAX($F$2, DATE(Initialisatie!$C$5,1,1)) + 1) &gt; 0, IFERROR(VALUE($F63),0)=0),
        AND(MAX(0, MIN($G$1, DATE(Initialisatie!$C$5,12,31)) - MAX($G$2, DATE(Initialisatie!$C$5,1,1)) + 1) &gt; 0, IFERROR(VALUE($G63),0)=0)
    ),
    0,
    SUM(
        IFERROR(VALUE($F63),0) * MAX(0, MIN($F$1, DATE(Initialisatie!$C$5,12,31)) - MAX($F$2, DATE(Initialisatie!$C$5,1,1)) + 1),
        IFERROR(VALUE($G63),0) * MAX(0, MIN($G$1, DATE(Initialisatie!$C$5,12,31)) - MAX($G$2, DATE(Initialisatie!$C$5,1,1)) + 1)
    ) / (DATE(Initialisatie!$C$5,12,31) - DATE(Initialisatie!$C$5,1,1) + 1)
)</f>
        <v>3619.9316438356163</v>
      </c>
    </row>
    <row r="64" spans="1:10" x14ac:dyDescent="0.45">
      <c r="A64" s="848"/>
      <c r="B64" s="48">
        <v>9</v>
      </c>
      <c r="C64">
        <v>3644.59</v>
      </c>
      <c r="D64">
        <v>3772.15</v>
      </c>
      <c r="F64">
        <f>MAX(C64, 'Hulp (overig)'!$C$12*'Hulp (CAO''s)'!$Z$7/12)</f>
        <v>3644.59</v>
      </c>
      <c r="G64">
        <f>MAX(D64, 'Hulp (overig)'!$C$12*'Hulp (CAO''s)'!$Z$7/12)</f>
        <v>3772.15</v>
      </c>
      <c r="J64">
        <f>IF(
    OR(
        AND(MAX(0, MIN($F$1, DATE(Initialisatie!$C$5,12,31)) - MAX($F$2, DATE(Initialisatie!$C$5,1,1)) + 1) &gt; 0, IFERROR(VALUE($F64),0)=0),
        AND(MAX(0, MIN($G$1, DATE(Initialisatie!$C$5,12,31)) - MAX($G$2, DATE(Initialisatie!$C$5,1,1)) + 1) &gt; 0, IFERROR(VALUE($G64),0)=0)
    ),
    0,
    SUM(
        IFERROR(VALUE($F64),0) * MAX(0, MIN($F$1, DATE(Initialisatie!$C$5,12,31)) - MAX($F$2, DATE(Initialisatie!$C$5,1,1)) + 1),
        IFERROR(VALUE($G64),0) * MAX(0, MIN($G$1, DATE(Initialisatie!$C$5,12,31)) - MAX($G$2, DATE(Initialisatie!$C$5,1,1)) + 1)
    ) / (DATE(Initialisatie!$C$5,12,31) - DATE(Initialisatie!$C$5,1,1) + 1)
)</f>
        <v>3708.8942191780825</v>
      </c>
    </row>
    <row r="65" spans="1:10" x14ac:dyDescent="0.45">
      <c r="A65" s="848"/>
      <c r="B65" s="48">
        <v>10</v>
      </c>
      <c r="C65">
        <v>3733.75</v>
      </c>
      <c r="D65">
        <v>3864.43</v>
      </c>
      <c r="F65">
        <f>MAX(C65, 'Hulp (overig)'!$C$12*'Hulp (CAO''s)'!$Z$7/12)</f>
        <v>3733.75</v>
      </c>
      <c r="G65">
        <f>MAX(D65, 'Hulp (overig)'!$C$12*'Hulp (CAO''s)'!$Z$7/12)</f>
        <v>3864.43</v>
      </c>
      <c r="J65">
        <f>IF(
    OR(
        AND(MAX(0, MIN($F$1, DATE(Initialisatie!$C$5,12,31)) - MAX($F$2, DATE(Initialisatie!$C$5,1,1)) + 1) &gt; 0, IFERROR(VALUE($F65),0)=0),
        AND(MAX(0, MIN($G$1, DATE(Initialisatie!$C$5,12,31)) - MAX($G$2, DATE(Initialisatie!$C$5,1,1)) + 1) &gt; 0, IFERROR(VALUE($G65),0)=0)
    ),
    0,
    SUM(
        IFERROR(VALUE($F65),0) * MAX(0, MIN($F$1, DATE(Initialisatie!$C$5,12,31)) - MAX($F$2, DATE(Initialisatie!$C$5,1,1)) + 1),
        IFERROR(VALUE($G65),0) * MAX(0, MIN($G$1, DATE(Initialisatie!$C$5,12,31)) - MAX($G$2, DATE(Initialisatie!$C$5,1,1)) + 1)
    ) / (DATE(Initialisatie!$C$5,12,31) - DATE(Initialisatie!$C$5,1,1) + 1)
)</f>
        <v>3799.6270410958905</v>
      </c>
    </row>
    <row r="66" spans="1:10" x14ac:dyDescent="0.45">
      <c r="A66" s="848">
        <v>45</v>
      </c>
      <c r="B66" s="48" t="s">
        <v>2202</v>
      </c>
      <c r="C66">
        <v>2881.14</v>
      </c>
      <c r="D66">
        <v>2981.98</v>
      </c>
      <c r="F66">
        <f>MAX(C66, 'Hulp (overig)'!$C$12*'Hulp (CAO''s)'!$Z$7/12)</f>
        <v>2881.14</v>
      </c>
      <c r="G66">
        <f>MAX(D66, 'Hulp (overig)'!$C$12*'Hulp (CAO''s)'!$Z$7/12)</f>
        <v>2981.98</v>
      </c>
      <c r="J66">
        <f>IF(
    OR(
        AND(MAX(0, MIN($F$1, DATE(Initialisatie!$C$5,12,31)) - MAX($F$2, DATE(Initialisatie!$C$5,1,1)) + 1) &gt; 0, IFERROR(VALUE($F66),0)=0),
        AND(MAX(0, MIN($G$1, DATE(Initialisatie!$C$5,12,31)) - MAX($G$2, DATE(Initialisatie!$C$5,1,1)) + 1) &gt; 0, IFERROR(VALUE($G66),0)=0)
    ),
    0,
    SUM(
        IFERROR(VALUE($F66),0) * MAX(0, MIN($F$1, DATE(Initialisatie!$C$5,12,31)) - MAX($F$2, DATE(Initialisatie!$C$5,1,1)) + 1),
        IFERROR(VALUE($G66),0) * MAX(0, MIN($G$1, DATE(Initialisatie!$C$5,12,31)) - MAX($G$2, DATE(Initialisatie!$C$5,1,1)) + 1)
    ) / (DATE(Initialisatie!$C$5,12,31) - DATE(Initialisatie!$C$5,1,1) + 1)
)</f>
        <v>2931.9744109589037</v>
      </c>
    </row>
    <row r="67" spans="1:10" x14ac:dyDescent="0.45">
      <c r="A67" s="848"/>
      <c r="B67" s="48" t="s">
        <v>2203</v>
      </c>
      <c r="C67">
        <v>3050.6</v>
      </c>
      <c r="D67">
        <v>3157.37</v>
      </c>
      <c r="F67">
        <f>MAX(C67, 'Hulp (overig)'!$C$12*'Hulp (CAO''s)'!$Z$7/12)</f>
        <v>3050.6</v>
      </c>
      <c r="G67">
        <f>MAX(D67, 'Hulp (overig)'!$C$12*'Hulp (CAO''s)'!$Z$7/12)</f>
        <v>3157.37</v>
      </c>
      <c r="J67">
        <f>IF(
    OR(
        AND(MAX(0, MIN($F$1, DATE(Initialisatie!$C$5,12,31)) - MAX($F$2, DATE(Initialisatie!$C$5,1,1)) + 1) &gt; 0, IFERROR(VALUE($F67),0)=0),
        AND(MAX(0, MIN($G$1, DATE(Initialisatie!$C$5,12,31)) - MAX($G$2, DATE(Initialisatie!$C$5,1,1)) + 1) &gt; 0, IFERROR(VALUE($G67),0)=0)
    ),
    0,
    SUM(
        IFERROR(VALUE($F67),0) * MAX(0, MIN($F$1, DATE(Initialisatie!$C$5,12,31)) - MAX($F$2, DATE(Initialisatie!$C$5,1,1)) + 1),
        IFERROR(VALUE($G67),0) * MAX(0, MIN($G$1, DATE(Initialisatie!$C$5,12,31)) - MAX($G$2, DATE(Initialisatie!$C$5,1,1)) + 1)
    ) / (DATE(Initialisatie!$C$5,12,31) - DATE(Initialisatie!$C$5,1,1) + 1)
)</f>
        <v>3104.4237808219177</v>
      </c>
    </row>
    <row r="68" spans="1:10" x14ac:dyDescent="0.45">
      <c r="A68" s="848"/>
      <c r="B68" s="48" t="s">
        <v>2204</v>
      </c>
      <c r="C68">
        <v>3212.5</v>
      </c>
      <c r="D68">
        <v>3324.94</v>
      </c>
      <c r="F68">
        <f>MAX(C68, 'Hulp (overig)'!$C$12*'Hulp (CAO''s)'!$Z$7/12)</f>
        <v>3212.5</v>
      </c>
      <c r="G68">
        <f>MAX(D68, 'Hulp (overig)'!$C$12*'Hulp (CAO''s)'!$Z$7/12)</f>
        <v>3324.94</v>
      </c>
      <c r="J68">
        <f>IF(
    OR(
        AND(MAX(0, MIN($F$1, DATE(Initialisatie!$C$5,12,31)) - MAX($F$2, DATE(Initialisatie!$C$5,1,1)) + 1) &gt; 0, IFERROR(VALUE($F68),0)=0),
        AND(MAX(0, MIN($G$1, DATE(Initialisatie!$C$5,12,31)) - MAX($G$2, DATE(Initialisatie!$C$5,1,1)) + 1) &gt; 0, IFERROR(VALUE($G68),0)=0)
    ),
    0,
    SUM(
        IFERROR(VALUE($F68),0) * MAX(0, MIN($F$1, DATE(Initialisatie!$C$5,12,31)) - MAX($F$2, DATE(Initialisatie!$C$5,1,1)) + 1),
        IFERROR(VALUE($G68),0) * MAX(0, MIN($G$1, DATE(Initialisatie!$C$5,12,31)) - MAX($G$2, DATE(Initialisatie!$C$5,1,1)) + 1)
    ) / (DATE(Initialisatie!$C$5,12,31) - DATE(Initialisatie!$C$5,1,1) + 1)
)</f>
        <v>3269.1820821917809</v>
      </c>
    </row>
    <row r="69" spans="1:10" x14ac:dyDescent="0.45">
      <c r="A69" s="848"/>
      <c r="B69" s="48">
        <v>0</v>
      </c>
      <c r="C69">
        <v>3384.01</v>
      </c>
      <c r="D69">
        <v>3502.45</v>
      </c>
      <c r="F69">
        <f>MAX(C69, 'Hulp (overig)'!$C$12*'Hulp (CAO''s)'!$Z$7/12)</f>
        <v>3384.01</v>
      </c>
      <c r="G69">
        <f>MAX(D69, 'Hulp (overig)'!$C$12*'Hulp (CAO''s)'!$Z$7/12)</f>
        <v>3502.45</v>
      </c>
      <c r="J69">
        <f>IF(
    OR(
        AND(MAX(0, MIN($F$1, DATE(Initialisatie!$C$5,12,31)) - MAX($F$2, DATE(Initialisatie!$C$5,1,1)) + 1) &gt; 0, IFERROR(VALUE($F69),0)=0),
        AND(MAX(0, MIN($G$1, DATE(Initialisatie!$C$5,12,31)) - MAX($G$2, DATE(Initialisatie!$C$5,1,1)) + 1) &gt; 0, IFERROR(VALUE($G69),0)=0)
    ),
    0,
    SUM(
        IFERROR(VALUE($F69),0) * MAX(0, MIN($F$1, DATE(Initialisatie!$C$5,12,31)) - MAX($F$2, DATE(Initialisatie!$C$5,1,1)) + 1),
        IFERROR(VALUE($G69),0) * MAX(0, MIN($G$1, DATE(Initialisatie!$C$5,12,31)) - MAX($G$2, DATE(Initialisatie!$C$5,1,1)) + 1)
    ) / (DATE(Initialisatie!$C$5,12,31) - DATE(Initialisatie!$C$5,1,1) + 1)
)</f>
        <v>3443.7167397260268</v>
      </c>
    </row>
    <row r="70" spans="1:10" x14ac:dyDescent="0.45">
      <c r="A70" s="848"/>
      <c r="B70" s="48">
        <v>1</v>
      </c>
      <c r="C70">
        <v>3471.46</v>
      </c>
      <c r="D70">
        <v>3592.96</v>
      </c>
      <c r="F70">
        <f>MAX(C70, 'Hulp (overig)'!$C$12*'Hulp (CAO''s)'!$Z$7/12)</f>
        <v>3471.46</v>
      </c>
      <c r="G70">
        <f>MAX(D70, 'Hulp (overig)'!$C$12*'Hulp (CAO''s)'!$Z$7/12)</f>
        <v>3592.96</v>
      </c>
      <c r="J70">
        <f>IF(
    OR(
        AND(MAX(0, MIN($F$1, DATE(Initialisatie!$C$5,12,31)) - MAX($F$2, DATE(Initialisatie!$C$5,1,1)) + 1) &gt; 0, IFERROR(VALUE($F70),0)=0),
        AND(MAX(0, MIN($G$1, DATE(Initialisatie!$C$5,12,31)) - MAX($G$2, DATE(Initialisatie!$C$5,1,1)) + 1) &gt; 0, IFERROR(VALUE($G70),0)=0)
    ),
    0,
    SUM(
        IFERROR(VALUE($F70),0) * MAX(0, MIN($F$1, DATE(Initialisatie!$C$5,12,31)) - MAX($F$2, DATE(Initialisatie!$C$5,1,1)) + 1),
        IFERROR(VALUE($G70),0) * MAX(0, MIN($G$1, DATE(Initialisatie!$C$5,12,31)) - MAX($G$2, DATE(Initialisatie!$C$5,1,1)) + 1)
    ) / (DATE(Initialisatie!$C$5,12,31) - DATE(Initialisatie!$C$5,1,1) + 1)
)</f>
        <v>3532.7093150684927</v>
      </c>
    </row>
    <row r="71" spans="1:10" x14ac:dyDescent="0.45">
      <c r="A71" s="848"/>
      <c r="B71" s="48">
        <v>2</v>
      </c>
      <c r="C71">
        <v>3557.17</v>
      </c>
      <c r="D71">
        <v>3681.67</v>
      </c>
      <c r="F71">
        <f>MAX(C71, 'Hulp (overig)'!$C$12*'Hulp (CAO''s)'!$Z$7/12)</f>
        <v>3557.17</v>
      </c>
      <c r="G71">
        <f>MAX(D71, 'Hulp (overig)'!$C$12*'Hulp (CAO''s)'!$Z$7/12)</f>
        <v>3681.67</v>
      </c>
      <c r="J71">
        <f>IF(
    OR(
        AND(MAX(0, MIN($F$1, DATE(Initialisatie!$C$5,12,31)) - MAX($F$2, DATE(Initialisatie!$C$5,1,1)) + 1) &gt; 0, IFERROR(VALUE($F71),0)=0),
        AND(MAX(0, MIN($G$1, DATE(Initialisatie!$C$5,12,31)) - MAX($G$2, DATE(Initialisatie!$C$5,1,1)) + 1) &gt; 0, IFERROR(VALUE($G71),0)=0)
    ),
    0,
    SUM(
        IFERROR(VALUE($F71),0) * MAX(0, MIN($F$1, DATE(Initialisatie!$C$5,12,31)) - MAX($F$2, DATE(Initialisatie!$C$5,1,1)) + 1),
        IFERROR(VALUE($G71),0) * MAX(0, MIN($G$1, DATE(Initialisatie!$C$5,12,31)) - MAX($G$2, DATE(Initialisatie!$C$5,1,1)) + 1)
    ) / (DATE(Initialisatie!$C$5,12,31) - DATE(Initialisatie!$C$5,1,1) + 1)
)</f>
        <v>3619.9316438356163</v>
      </c>
    </row>
    <row r="72" spans="1:10" x14ac:dyDescent="0.45">
      <c r="A72" s="848"/>
      <c r="B72" s="48">
        <v>3</v>
      </c>
      <c r="C72">
        <v>3644.59</v>
      </c>
      <c r="D72">
        <v>3772.15</v>
      </c>
      <c r="F72">
        <f>MAX(C72, 'Hulp (overig)'!$C$12*'Hulp (CAO''s)'!$Z$7/12)</f>
        <v>3644.59</v>
      </c>
      <c r="G72">
        <f>MAX(D72, 'Hulp (overig)'!$C$12*'Hulp (CAO''s)'!$Z$7/12)</f>
        <v>3772.15</v>
      </c>
      <c r="J72">
        <f>IF(
    OR(
        AND(MAX(0, MIN($F$1, DATE(Initialisatie!$C$5,12,31)) - MAX($F$2, DATE(Initialisatie!$C$5,1,1)) + 1) &gt; 0, IFERROR(VALUE($F72),0)=0),
        AND(MAX(0, MIN($G$1, DATE(Initialisatie!$C$5,12,31)) - MAX($G$2, DATE(Initialisatie!$C$5,1,1)) + 1) &gt; 0, IFERROR(VALUE($G72),0)=0)
    ),
    0,
    SUM(
        IFERROR(VALUE($F72),0) * MAX(0, MIN($F$1, DATE(Initialisatie!$C$5,12,31)) - MAX($F$2, DATE(Initialisatie!$C$5,1,1)) + 1),
        IFERROR(VALUE($G72),0) * MAX(0, MIN($G$1, DATE(Initialisatie!$C$5,12,31)) - MAX($G$2, DATE(Initialisatie!$C$5,1,1)) + 1)
    ) / (DATE(Initialisatie!$C$5,12,31) - DATE(Initialisatie!$C$5,1,1) + 1)
)</f>
        <v>3708.8942191780825</v>
      </c>
    </row>
    <row r="73" spans="1:10" x14ac:dyDescent="0.45">
      <c r="A73" s="848"/>
      <c r="B73" s="48">
        <v>4</v>
      </c>
      <c r="C73">
        <v>3733.75</v>
      </c>
      <c r="D73">
        <v>3864.43</v>
      </c>
      <c r="F73">
        <f>MAX(C73, 'Hulp (overig)'!$C$12*'Hulp (CAO''s)'!$Z$7/12)</f>
        <v>3733.75</v>
      </c>
      <c r="G73">
        <f>MAX(D73, 'Hulp (overig)'!$C$12*'Hulp (CAO''s)'!$Z$7/12)</f>
        <v>3864.43</v>
      </c>
      <c r="J73">
        <f>IF(
    OR(
        AND(MAX(0, MIN($F$1, DATE(Initialisatie!$C$5,12,31)) - MAX($F$2, DATE(Initialisatie!$C$5,1,1)) + 1) &gt; 0, IFERROR(VALUE($F73),0)=0),
        AND(MAX(0, MIN($G$1, DATE(Initialisatie!$C$5,12,31)) - MAX($G$2, DATE(Initialisatie!$C$5,1,1)) + 1) &gt; 0, IFERROR(VALUE($G73),0)=0)
    ),
    0,
    SUM(
        IFERROR(VALUE($F73),0) * MAX(0, MIN($F$1, DATE(Initialisatie!$C$5,12,31)) - MAX($F$2, DATE(Initialisatie!$C$5,1,1)) + 1),
        IFERROR(VALUE($G73),0) * MAX(0, MIN($G$1, DATE(Initialisatie!$C$5,12,31)) - MAX($G$2, DATE(Initialisatie!$C$5,1,1)) + 1)
    ) / (DATE(Initialisatie!$C$5,12,31) - DATE(Initialisatie!$C$5,1,1) + 1)
)</f>
        <v>3799.6270410958905</v>
      </c>
    </row>
    <row r="74" spans="1:10" x14ac:dyDescent="0.45">
      <c r="A74" s="848"/>
      <c r="B74" s="48">
        <v>5</v>
      </c>
      <c r="C74">
        <v>3824.58</v>
      </c>
      <c r="D74">
        <v>3958.44</v>
      </c>
      <c r="F74">
        <f>MAX(C74, 'Hulp (overig)'!$C$12*'Hulp (CAO''s)'!$Z$7/12)</f>
        <v>3824.58</v>
      </c>
      <c r="G74">
        <f>MAX(D74, 'Hulp (overig)'!$C$12*'Hulp (CAO''s)'!$Z$7/12)</f>
        <v>3958.44</v>
      </c>
      <c r="J74">
        <f>IF(
    OR(
        AND(MAX(0, MIN($F$1, DATE(Initialisatie!$C$5,12,31)) - MAX($F$2, DATE(Initialisatie!$C$5,1,1)) + 1) &gt; 0, IFERROR(VALUE($F74),0)=0),
        AND(MAX(0, MIN($G$1, DATE(Initialisatie!$C$5,12,31)) - MAX($G$2, DATE(Initialisatie!$C$5,1,1)) + 1) &gt; 0, IFERROR(VALUE($G74),0)=0)
    ),
    0,
    SUM(
        IFERROR(VALUE($F74),0) * MAX(0, MIN($F$1, DATE(Initialisatie!$C$5,12,31)) - MAX($F$2, DATE(Initialisatie!$C$5,1,1)) + 1),
        IFERROR(VALUE($G74),0) * MAX(0, MIN($G$1, DATE(Initialisatie!$C$5,12,31)) - MAX($G$2, DATE(Initialisatie!$C$5,1,1)) + 1)
    ) / (DATE(Initialisatie!$C$5,12,31) - DATE(Initialisatie!$C$5,1,1) + 1)
)</f>
        <v>3892.0601095890411</v>
      </c>
    </row>
    <row r="75" spans="1:10" x14ac:dyDescent="0.45">
      <c r="A75" s="848"/>
      <c r="B75" s="48">
        <v>6</v>
      </c>
      <c r="C75">
        <v>3918.86</v>
      </c>
      <c r="D75">
        <v>4056.02</v>
      </c>
      <c r="F75">
        <f>MAX(C75, 'Hulp (overig)'!$C$12*'Hulp (CAO''s)'!$Z$7/12)</f>
        <v>3918.86</v>
      </c>
      <c r="G75">
        <f>MAX(D75, 'Hulp (overig)'!$C$12*'Hulp (CAO''s)'!$Z$7/12)</f>
        <v>4056.02</v>
      </c>
      <c r="J75">
        <f>IF(
    OR(
        AND(MAX(0, MIN($F$1, DATE(Initialisatie!$C$5,12,31)) - MAX($F$2, DATE(Initialisatie!$C$5,1,1)) + 1) &gt; 0, IFERROR(VALUE($F75),0)=0),
        AND(MAX(0, MIN($G$1, DATE(Initialisatie!$C$5,12,31)) - MAX($G$2, DATE(Initialisatie!$C$5,1,1)) + 1) &gt; 0, IFERROR(VALUE($G75),0)=0)
    ),
    0,
    SUM(
        IFERROR(VALUE($F75),0) * MAX(0, MIN($F$1, DATE(Initialisatie!$C$5,12,31)) - MAX($F$2, DATE(Initialisatie!$C$5,1,1)) + 1),
        IFERROR(VALUE($G75),0) * MAX(0, MIN($G$1, DATE(Initialisatie!$C$5,12,31)) - MAX($G$2, DATE(Initialisatie!$C$5,1,1)) + 1)
    ) / (DATE(Initialisatie!$C$5,12,31) - DATE(Initialisatie!$C$5,1,1) + 1)
)</f>
        <v>3988.003671232877</v>
      </c>
    </row>
    <row r="76" spans="1:10" x14ac:dyDescent="0.45">
      <c r="A76" s="848"/>
      <c r="B76" s="48">
        <v>7</v>
      </c>
      <c r="C76">
        <v>4016.62</v>
      </c>
      <c r="D76">
        <v>4157.2</v>
      </c>
      <c r="F76">
        <f>MAX(C76, 'Hulp (overig)'!$C$12*'Hulp (CAO''s)'!$Z$7/12)</f>
        <v>4016.62</v>
      </c>
      <c r="G76">
        <f>MAX(D76, 'Hulp (overig)'!$C$12*'Hulp (CAO''s)'!$Z$7/12)</f>
        <v>4157.2</v>
      </c>
      <c r="J76">
        <f>IF(
    OR(
        AND(MAX(0, MIN($F$1, DATE(Initialisatie!$C$5,12,31)) - MAX($F$2, DATE(Initialisatie!$C$5,1,1)) + 1) &gt; 0, IFERROR(VALUE($F76),0)=0),
        AND(MAX(0, MIN($G$1, DATE(Initialisatie!$C$5,12,31)) - MAX($G$2, DATE(Initialisatie!$C$5,1,1)) + 1) &gt; 0, IFERROR(VALUE($G76),0)=0)
    ),
    0,
    SUM(
        IFERROR(VALUE($F76),0) * MAX(0, MIN($F$1, DATE(Initialisatie!$C$5,12,31)) - MAX($F$2, DATE(Initialisatie!$C$5,1,1)) + 1),
        IFERROR(VALUE($G76),0) * MAX(0, MIN($G$1, DATE(Initialisatie!$C$5,12,31)) - MAX($G$2, DATE(Initialisatie!$C$5,1,1)) + 1)
    ) / (DATE(Initialisatie!$C$5,12,31) - DATE(Initialisatie!$C$5,1,1) + 1)
)</f>
        <v>4087.4877260273975</v>
      </c>
    </row>
    <row r="77" spans="1:10" x14ac:dyDescent="0.45">
      <c r="A77" s="848"/>
      <c r="B77" s="48">
        <v>8</v>
      </c>
      <c r="C77">
        <v>4102.26</v>
      </c>
      <c r="D77">
        <v>4245.84</v>
      </c>
      <c r="F77">
        <f>MAX(C77, 'Hulp (overig)'!$C$12*'Hulp (CAO''s)'!$Z$7/12)</f>
        <v>4102.26</v>
      </c>
      <c r="G77">
        <f>MAX(D77, 'Hulp (overig)'!$C$12*'Hulp (CAO''s)'!$Z$7/12)</f>
        <v>4245.84</v>
      </c>
      <c r="J77">
        <f>IF(
    OR(
        AND(MAX(0, MIN($F$1, DATE(Initialisatie!$C$5,12,31)) - MAX($F$2, DATE(Initialisatie!$C$5,1,1)) + 1) &gt; 0, IFERROR(VALUE($F77),0)=0),
        AND(MAX(0, MIN($G$1, DATE(Initialisatie!$C$5,12,31)) - MAX($G$2, DATE(Initialisatie!$C$5,1,1)) + 1) &gt; 0, IFERROR(VALUE($G77),0)=0)
    ),
    0,
    SUM(
        IFERROR(VALUE($F77),0) * MAX(0, MIN($F$1, DATE(Initialisatie!$C$5,12,31)) - MAX($F$2, DATE(Initialisatie!$C$5,1,1)) + 1),
        IFERROR(VALUE($G77),0) * MAX(0, MIN($G$1, DATE(Initialisatie!$C$5,12,31)) - MAX($G$2, DATE(Initialisatie!$C$5,1,1)) + 1)
    ) / (DATE(Initialisatie!$C$5,12,31) - DATE(Initialisatie!$C$5,1,1) + 1)
)</f>
        <v>4174.6400547945204</v>
      </c>
    </row>
    <row r="78" spans="1:10" x14ac:dyDescent="0.45">
      <c r="A78" s="848">
        <v>50</v>
      </c>
      <c r="B78" s="48" t="s">
        <v>2202</v>
      </c>
      <c r="C78">
        <v>3212.5</v>
      </c>
      <c r="D78">
        <v>3324.94</v>
      </c>
      <c r="F78">
        <f>MAX(C78, 'Hulp (overig)'!$C$12*'Hulp (CAO''s)'!$Z$7/12)</f>
        <v>3212.5</v>
      </c>
      <c r="G78">
        <f>MAX(D78, 'Hulp (overig)'!$C$12*'Hulp (CAO''s)'!$Z$7/12)</f>
        <v>3324.94</v>
      </c>
      <c r="J78">
        <f>IF(
    OR(
        AND(MAX(0, MIN($F$1, DATE(Initialisatie!$C$5,12,31)) - MAX($F$2, DATE(Initialisatie!$C$5,1,1)) + 1) &gt; 0, IFERROR(VALUE($F78),0)=0),
        AND(MAX(0, MIN($G$1, DATE(Initialisatie!$C$5,12,31)) - MAX($G$2, DATE(Initialisatie!$C$5,1,1)) + 1) &gt; 0, IFERROR(VALUE($G78),0)=0)
    ),
    0,
    SUM(
        IFERROR(VALUE($F78),0) * MAX(0, MIN($F$1, DATE(Initialisatie!$C$5,12,31)) - MAX($F$2, DATE(Initialisatie!$C$5,1,1)) + 1),
        IFERROR(VALUE($G78),0) * MAX(0, MIN($G$1, DATE(Initialisatie!$C$5,12,31)) - MAX($G$2, DATE(Initialisatie!$C$5,1,1)) + 1)
    ) / (DATE(Initialisatie!$C$5,12,31) - DATE(Initialisatie!$C$5,1,1) + 1)
)</f>
        <v>3269.1820821917809</v>
      </c>
    </row>
    <row r="79" spans="1:10" x14ac:dyDescent="0.45">
      <c r="A79" s="848"/>
      <c r="B79" s="48" t="s">
        <v>2203</v>
      </c>
      <c r="C79">
        <v>3384.01</v>
      </c>
      <c r="D79">
        <v>3502.45</v>
      </c>
      <c r="F79">
        <f>MAX(C79, 'Hulp (overig)'!$C$12*'Hulp (CAO''s)'!$Z$7/12)</f>
        <v>3384.01</v>
      </c>
      <c r="G79">
        <f>MAX(D79, 'Hulp (overig)'!$C$12*'Hulp (CAO''s)'!$Z$7/12)</f>
        <v>3502.45</v>
      </c>
      <c r="J79">
        <f>IF(
    OR(
        AND(MAX(0, MIN($F$1, DATE(Initialisatie!$C$5,12,31)) - MAX($F$2, DATE(Initialisatie!$C$5,1,1)) + 1) &gt; 0, IFERROR(VALUE($F79),0)=0),
        AND(MAX(0, MIN($G$1, DATE(Initialisatie!$C$5,12,31)) - MAX($G$2, DATE(Initialisatie!$C$5,1,1)) + 1) &gt; 0, IFERROR(VALUE($G79),0)=0)
    ),
    0,
    SUM(
        IFERROR(VALUE($F79),0) * MAX(0, MIN($F$1, DATE(Initialisatie!$C$5,12,31)) - MAX($F$2, DATE(Initialisatie!$C$5,1,1)) + 1),
        IFERROR(VALUE($G79),0) * MAX(0, MIN($G$1, DATE(Initialisatie!$C$5,12,31)) - MAX($G$2, DATE(Initialisatie!$C$5,1,1)) + 1)
    ) / (DATE(Initialisatie!$C$5,12,31) - DATE(Initialisatie!$C$5,1,1) + 1)
)</f>
        <v>3443.7167397260268</v>
      </c>
    </row>
    <row r="80" spans="1:10" x14ac:dyDescent="0.45">
      <c r="A80" s="848"/>
      <c r="B80" s="48">
        <v>0</v>
      </c>
      <c r="C80">
        <v>3471.46</v>
      </c>
      <c r="D80">
        <v>3592.96</v>
      </c>
      <c r="F80">
        <f>MAX(C80, 'Hulp (overig)'!$C$12*'Hulp (CAO''s)'!$Z$7/12)</f>
        <v>3471.46</v>
      </c>
      <c r="G80">
        <f>MAX(D80, 'Hulp (overig)'!$C$12*'Hulp (CAO''s)'!$Z$7/12)</f>
        <v>3592.96</v>
      </c>
      <c r="J80">
        <f>IF(
    OR(
        AND(MAX(0, MIN($F$1, DATE(Initialisatie!$C$5,12,31)) - MAX($F$2, DATE(Initialisatie!$C$5,1,1)) + 1) &gt; 0, IFERROR(VALUE($F80),0)=0),
        AND(MAX(0, MIN($G$1, DATE(Initialisatie!$C$5,12,31)) - MAX($G$2, DATE(Initialisatie!$C$5,1,1)) + 1) &gt; 0, IFERROR(VALUE($G80),0)=0)
    ),
    0,
    SUM(
        IFERROR(VALUE($F80),0) * MAX(0, MIN($F$1, DATE(Initialisatie!$C$5,12,31)) - MAX($F$2, DATE(Initialisatie!$C$5,1,1)) + 1),
        IFERROR(VALUE($G80),0) * MAX(0, MIN($G$1, DATE(Initialisatie!$C$5,12,31)) - MAX($G$2, DATE(Initialisatie!$C$5,1,1)) + 1)
    ) / (DATE(Initialisatie!$C$5,12,31) - DATE(Initialisatie!$C$5,1,1) + 1)
)</f>
        <v>3532.7093150684927</v>
      </c>
    </row>
    <row r="81" spans="1:10" x14ac:dyDescent="0.45">
      <c r="A81" s="848"/>
      <c r="B81" s="48">
        <v>1</v>
      </c>
      <c r="C81">
        <v>3644.59</v>
      </c>
      <c r="D81">
        <v>3772.15</v>
      </c>
      <c r="F81">
        <f>MAX(C81, 'Hulp (overig)'!$C$12*'Hulp (CAO''s)'!$Z$7/12)</f>
        <v>3644.59</v>
      </c>
      <c r="G81">
        <f>MAX(D81, 'Hulp (overig)'!$C$12*'Hulp (CAO''s)'!$Z$7/12)</f>
        <v>3772.15</v>
      </c>
      <c r="J81">
        <f>IF(
    OR(
        AND(MAX(0, MIN($F$1, DATE(Initialisatie!$C$5,12,31)) - MAX($F$2, DATE(Initialisatie!$C$5,1,1)) + 1) &gt; 0, IFERROR(VALUE($F81),0)=0),
        AND(MAX(0, MIN($G$1, DATE(Initialisatie!$C$5,12,31)) - MAX($G$2, DATE(Initialisatie!$C$5,1,1)) + 1) &gt; 0, IFERROR(VALUE($G81),0)=0)
    ),
    0,
    SUM(
        IFERROR(VALUE($F81),0) * MAX(0, MIN($F$1, DATE(Initialisatie!$C$5,12,31)) - MAX($F$2, DATE(Initialisatie!$C$5,1,1)) + 1),
        IFERROR(VALUE($G81),0) * MAX(0, MIN($G$1, DATE(Initialisatie!$C$5,12,31)) - MAX($G$2, DATE(Initialisatie!$C$5,1,1)) + 1)
    ) / (DATE(Initialisatie!$C$5,12,31) - DATE(Initialisatie!$C$5,1,1) + 1)
)</f>
        <v>3708.8942191780825</v>
      </c>
    </row>
    <row r="82" spans="1:10" x14ac:dyDescent="0.45">
      <c r="A82" s="848"/>
      <c r="B82" s="48">
        <v>2</v>
      </c>
      <c r="C82">
        <v>3824.58</v>
      </c>
      <c r="D82">
        <v>3958.44</v>
      </c>
      <c r="F82">
        <f>MAX(C82, 'Hulp (overig)'!$C$12*'Hulp (CAO''s)'!$Z$7/12)</f>
        <v>3824.58</v>
      </c>
      <c r="G82">
        <f>MAX(D82, 'Hulp (overig)'!$C$12*'Hulp (CAO''s)'!$Z$7/12)</f>
        <v>3958.44</v>
      </c>
      <c r="J82">
        <f>IF(
    OR(
        AND(MAX(0, MIN($F$1, DATE(Initialisatie!$C$5,12,31)) - MAX($F$2, DATE(Initialisatie!$C$5,1,1)) + 1) &gt; 0, IFERROR(VALUE($F82),0)=0),
        AND(MAX(0, MIN($G$1, DATE(Initialisatie!$C$5,12,31)) - MAX($G$2, DATE(Initialisatie!$C$5,1,1)) + 1) &gt; 0, IFERROR(VALUE($G82),0)=0)
    ),
    0,
    SUM(
        IFERROR(VALUE($F82),0) * MAX(0, MIN($F$1, DATE(Initialisatie!$C$5,12,31)) - MAX($F$2, DATE(Initialisatie!$C$5,1,1)) + 1),
        IFERROR(VALUE($G82),0) * MAX(0, MIN($G$1, DATE(Initialisatie!$C$5,12,31)) - MAX($G$2, DATE(Initialisatie!$C$5,1,1)) + 1)
    ) / (DATE(Initialisatie!$C$5,12,31) - DATE(Initialisatie!$C$5,1,1) + 1)
)</f>
        <v>3892.0601095890411</v>
      </c>
    </row>
    <row r="83" spans="1:10" x14ac:dyDescent="0.45">
      <c r="A83" s="848"/>
      <c r="B83" s="48">
        <v>3</v>
      </c>
      <c r="C83">
        <v>4016.62</v>
      </c>
      <c r="D83">
        <v>4157.2</v>
      </c>
      <c r="F83">
        <f>MAX(C83, 'Hulp (overig)'!$C$12*'Hulp (CAO''s)'!$Z$7/12)</f>
        <v>4016.62</v>
      </c>
      <c r="G83">
        <f>MAX(D83, 'Hulp (overig)'!$C$12*'Hulp (CAO''s)'!$Z$7/12)</f>
        <v>4157.2</v>
      </c>
      <c r="J83">
        <f>IF(
    OR(
        AND(MAX(0, MIN($F$1, DATE(Initialisatie!$C$5,12,31)) - MAX($F$2, DATE(Initialisatie!$C$5,1,1)) + 1) &gt; 0, IFERROR(VALUE($F83),0)=0),
        AND(MAX(0, MIN($G$1, DATE(Initialisatie!$C$5,12,31)) - MAX($G$2, DATE(Initialisatie!$C$5,1,1)) + 1) &gt; 0, IFERROR(VALUE($G83),0)=0)
    ),
    0,
    SUM(
        IFERROR(VALUE($F83),0) * MAX(0, MIN($F$1, DATE(Initialisatie!$C$5,12,31)) - MAX($F$2, DATE(Initialisatie!$C$5,1,1)) + 1),
        IFERROR(VALUE($G83),0) * MAX(0, MIN($G$1, DATE(Initialisatie!$C$5,12,31)) - MAX($G$2, DATE(Initialisatie!$C$5,1,1)) + 1)
    ) / (DATE(Initialisatie!$C$5,12,31) - DATE(Initialisatie!$C$5,1,1) + 1)
)</f>
        <v>4087.4877260273975</v>
      </c>
    </row>
    <row r="84" spans="1:10" x14ac:dyDescent="0.45">
      <c r="A84" s="848"/>
      <c r="B84" s="48">
        <v>4</v>
      </c>
      <c r="C84">
        <v>4102.26</v>
      </c>
      <c r="D84">
        <v>4245.84</v>
      </c>
      <c r="F84">
        <f>MAX(C84, 'Hulp (overig)'!$C$12*'Hulp (CAO''s)'!$Z$7/12)</f>
        <v>4102.26</v>
      </c>
      <c r="G84">
        <f>MAX(D84, 'Hulp (overig)'!$C$12*'Hulp (CAO''s)'!$Z$7/12)</f>
        <v>4245.84</v>
      </c>
      <c r="J84">
        <f>IF(
    OR(
        AND(MAX(0, MIN($F$1, DATE(Initialisatie!$C$5,12,31)) - MAX($F$2, DATE(Initialisatie!$C$5,1,1)) + 1) &gt; 0, IFERROR(VALUE($F84),0)=0),
        AND(MAX(0, MIN($G$1, DATE(Initialisatie!$C$5,12,31)) - MAX($G$2, DATE(Initialisatie!$C$5,1,1)) + 1) &gt; 0, IFERROR(VALUE($G84),0)=0)
    ),
    0,
    SUM(
        IFERROR(VALUE($F84),0) * MAX(0, MIN($F$1, DATE(Initialisatie!$C$5,12,31)) - MAX($F$2, DATE(Initialisatie!$C$5,1,1)) + 1),
        IFERROR(VALUE($G84),0) * MAX(0, MIN($G$1, DATE(Initialisatie!$C$5,12,31)) - MAX($G$2, DATE(Initialisatie!$C$5,1,1)) + 1)
    ) / (DATE(Initialisatie!$C$5,12,31) - DATE(Initialisatie!$C$5,1,1) + 1)
)</f>
        <v>4174.6400547945204</v>
      </c>
    </row>
    <row r="85" spans="1:10" x14ac:dyDescent="0.45">
      <c r="A85" s="848"/>
      <c r="B85" s="48">
        <v>5</v>
      </c>
      <c r="C85">
        <v>4198.28</v>
      </c>
      <c r="D85">
        <v>4345.22</v>
      </c>
      <c r="F85">
        <f>MAX(C85, 'Hulp (overig)'!$C$12*'Hulp (CAO''s)'!$Z$7/12)</f>
        <v>4198.28</v>
      </c>
      <c r="G85">
        <f>MAX(D85, 'Hulp (overig)'!$C$12*'Hulp (CAO''s)'!$Z$7/12)</f>
        <v>4345.22</v>
      </c>
      <c r="J85">
        <f>IF(
    OR(
        AND(MAX(0, MIN($F$1, DATE(Initialisatie!$C$5,12,31)) - MAX($F$2, DATE(Initialisatie!$C$5,1,1)) + 1) &gt; 0, IFERROR(VALUE($F85),0)=0),
        AND(MAX(0, MIN($G$1, DATE(Initialisatie!$C$5,12,31)) - MAX($G$2, DATE(Initialisatie!$C$5,1,1)) + 1) &gt; 0, IFERROR(VALUE($G85),0)=0)
    ),
    0,
    SUM(
        IFERROR(VALUE($F85),0) * MAX(0, MIN($F$1, DATE(Initialisatie!$C$5,12,31)) - MAX($F$2, DATE(Initialisatie!$C$5,1,1)) + 1),
        IFERROR(VALUE($G85),0) * MAX(0, MIN($G$1, DATE(Initialisatie!$C$5,12,31)) - MAX($G$2, DATE(Initialisatie!$C$5,1,1)) + 1)
    ) / (DATE(Initialisatie!$C$5,12,31) - DATE(Initialisatie!$C$5,1,1) + 1)
)</f>
        <v>4272.3538630136991</v>
      </c>
    </row>
    <row r="86" spans="1:10" x14ac:dyDescent="0.45">
      <c r="A86" s="848"/>
      <c r="B86" s="48">
        <v>6</v>
      </c>
      <c r="C86">
        <v>4292.6099999999997</v>
      </c>
      <c r="D86">
        <v>4442.8500000000004</v>
      </c>
      <c r="F86">
        <f>MAX(C86, 'Hulp (overig)'!$C$12*'Hulp (CAO''s)'!$Z$7/12)</f>
        <v>4292.6099999999997</v>
      </c>
      <c r="G86">
        <f>MAX(D86, 'Hulp (overig)'!$C$12*'Hulp (CAO''s)'!$Z$7/12)</f>
        <v>4442.8500000000004</v>
      </c>
      <c r="J86">
        <f>IF(
    OR(
        AND(MAX(0, MIN($F$1, DATE(Initialisatie!$C$5,12,31)) - MAX($F$2, DATE(Initialisatie!$C$5,1,1)) + 1) &gt; 0, IFERROR(VALUE($F86),0)=0),
        AND(MAX(0, MIN($G$1, DATE(Initialisatie!$C$5,12,31)) - MAX($G$2, DATE(Initialisatie!$C$5,1,1)) + 1) &gt; 0, IFERROR(VALUE($G86),0)=0)
    ),
    0,
    SUM(
        IFERROR(VALUE($F86),0) * MAX(0, MIN($F$1, DATE(Initialisatie!$C$5,12,31)) - MAX($F$2, DATE(Initialisatie!$C$5,1,1)) + 1),
        IFERROR(VALUE($G86),0) * MAX(0, MIN($G$1, DATE(Initialisatie!$C$5,12,31)) - MAX($G$2, DATE(Initialisatie!$C$5,1,1)) + 1)
    ) / (DATE(Initialisatie!$C$5,12,31) - DATE(Initialisatie!$C$5,1,1) + 1)
)</f>
        <v>4368.3474246575342</v>
      </c>
    </row>
    <row r="87" spans="1:10" x14ac:dyDescent="0.45">
      <c r="A87" s="848"/>
      <c r="B87" s="48">
        <v>7</v>
      </c>
      <c r="C87">
        <v>4381.75</v>
      </c>
      <c r="D87">
        <v>4535.1099999999997</v>
      </c>
      <c r="F87">
        <f>MAX(C87, 'Hulp (overig)'!$C$12*'Hulp (CAO''s)'!$Z$7/12)</f>
        <v>4381.75</v>
      </c>
      <c r="G87">
        <f>MAX(D87, 'Hulp (overig)'!$C$12*'Hulp (CAO''s)'!$Z$7/12)</f>
        <v>4535.1099999999997</v>
      </c>
      <c r="J87">
        <f>IF(
    OR(
        AND(MAX(0, MIN($F$1, DATE(Initialisatie!$C$5,12,31)) - MAX($F$2, DATE(Initialisatie!$C$5,1,1)) + 1) &gt; 0, IFERROR(VALUE($F87),0)=0),
        AND(MAX(0, MIN($G$1, DATE(Initialisatie!$C$5,12,31)) - MAX($G$2, DATE(Initialisatie!$C$5,1,1)) + 1) &gt; 0, IFERROR(VALUE($G87),0)=0)
    ),
    0,
    SUM(
        IFERROR(VALUE($F87),0) * MAX(0, MIN($F$1, DATE(Initialisatie!$C$5,12,31)) - MAX($F$2, DATE(Initialisatie!$C$5,1,1)) + 1),
        IFERROR(VALUE($G87),0) * MAX(0, MIN($G$1, DATE(Initialisatie!$C$5,12,31)) - MAX($G$2, DATE(Initialisatie!$C$5,1,1)) + 1)
    ) / (DATE(Initialisatie!$C$5,12,31) - DATE(Initialisatie!$C$5,1,1) + 1)
)</f>
        <v>4459.0602465753427</v>
      </c>
    </row>
    <row r="88" spans="1:10" x14ac:dyDescent="0.45">
      <c r="A88" s="848"/>
      <c r="B88" s="48">
        <v>8</v>
      </c>
      <c r="C88">
        <v>4470.82</v>
      </c>
      <c r="D88">
        <v>4627.3</v>
      </c>
      <c r="F88">
        <f>MAX(C88, 'Hulp (overig)'!$C$12*'Hulp (CAO''s)'!$Z$7/12)</f>
        <v>4470.82</v>
      </c>
      <c r="G88">
        <f>MAX(D88, 'Hulp (overig)'!$C$12*'Hulp (CAO''s)'!$Z$7/12)</f>
        <v>4627.3</v>
      </c>
      <c r="J88">
        <f>IF(
    OR(
        AND(MAX(0, MIN($F$1, DATE(Initialisatie!$C$5,12,31)) - MAX($F$2, DATE(Initialisatie!$C$5,1,1)) + 1) &gt; 0, IFERROR(VALUE($F88),0)=0),
        AND(MAX(0, MIN($G$1, DATE(Initialisatie!$C$5,12,31)) - MAX($G$2, DATE(Initialisatie!$C$5,1,1)) + 1) &gt; 0, IFERROR(VALUE($G88),0)=0)
    ),
    0,
    SUM(
        IFERROR(VALUE($F88),0) * MAX(0, MIN($F$1, DATE(Initialisatie!$C$5,12,31)) - MAX($F$2, DATE(Initialisatie!$C$5,1,1)) + 1),
        IFERROR(VALUE($G88),0) * MAX(0, MIN($G$1, DATE(Initialisatie!$C$5,12,31)) - MAX($G$2, DATE(Initialisatie!$C$5,1,1)) + 1)
    ) / (DATE(Initialisatie!$C$5,12,31) - DATE(Initialisatie!$C$5,1,1) + 1)
)</f>
        <v>4549.7030684931506</v>
      </c>
    </row>
    <row r="89" spans="1:10" x14ac:dyDescent="0.45">
      <c r="A89" s="848"/>
      <c r="B89" s="48">
        <v>9</v>
      </c>
      <c r="C89">
        <v>4565.13</v>
      </c>
      <c r="D89">
        <v>4724.91</v>
      </c>
      <c r="F89">
        <f>MAX(C89, 'Hulp (overig)'!$C$12*'Hulp (CAO''s)'!$Z$7/12)</f>
        <v>4565.13</v>
      </c>
      <c r="G89">
        <f>MAX(D89, 'Hulp (overig)'!$C$12*'Hulp (CAO''s)'!$Z$7/12)</f>
        <v>4724.91</v>
      </c>
      <c r="J89">
        <f>IF(
    OR(
        AND(MAX(0, MIN($F$1, DATE(Initialisatie!$C$5,12,31)) - MAX($F$2, DATE(Initialisatie!$C$5,1,1)) + 1) &gt; 0, IFERROR(VALUE($F89),0)=0),
        AND(MAX(0, MIN($G$1, DATE(Initialisatie!$C$5,12,31)) - MAX($G$2, DATE(Initialisatie!$C$5,1,1)) + 1) &gt; 0, IFERROR(VALUE($G89),0)=0)
    ),
    0,
    SUM(
        IFERROR(VALUE($F89),0) * MAX(0, MIN($F$1, DATE(Initialisatie!$C$5,12,31)) - MAX($F$2, DATE(Initialisatie!$C$5,1,1)) + 1),
        IFERROR(VALUE($G89),0) * MAX(0, MIN($G$1, DATE(Initialisatie!$C$5,12,31)) - MAX($G$2, DATE(Initialisatie!$C$5,1,1)) + 1)
    ) / (DATE(Initialisatie!$C$5,12,31) - DATE(Initialisatie!$C$5,1,1) + 1)
)</f>
        <v>4645.6766301369862</v>
      </c>
    </row>
    <row r="90" spans="1:10" x14ac:dyDescent="0.45">
      <c r="A90" s="848"/>
      <c r="B90" s="48">
        <v>10</v>
      </c>
      <c r="C90">
        <v>4659.42</v>
      </c>
      <c r="D90">
        <v>4822.5</v>
      </c>
      <c r="F90">
        <f>MAX(C90, 'Hulp (overig)'!$C$12*'Hulp (CAO''s)'!$Z$7/12)</f>
        <v>4659.42</v>
      </c>
      <c r="G90">
        <f>MAX(D90, 'Hulp (overig)'!$C$12*'Hulp (CAO''s)'!$Z$7/12)</f>
        <v>4822.5</v>
      </c>
      <c r="J90">
        <f>IF(
    OR(
        AND(MAX(0, MIN($F$1, DATE(Initialisatie!$C$5,12,31)) - MAX($F$2, DATE(Initialisatie!$C$5,1,1)) + 1) &gt; 0, IFERROR(VALUE($F90),0)=0),
        AND(MAX(0, MIN($G$1, DATE(Initialisatie!$C$5,12,31)) - MAX($G$2, DATE(Initialisatie!$C$5,1,1)) + 1) &gt; 0, IFERROR(VALUE($G90),0)=0)
    ),
    0,
    SUM(
        IFERROR(VALUE($F90),0) * MAX(0, MIN($F$1, DATE(Initialisatie!$C$5,12,31)) - MAX($F$2, DATE(Initialisatie!$C$5,1,1)) + 1),
        IFERROR(VALUE($G90),0) * MAX(0, MIN($G$1, DATE(Initialisatie!$C$5,12,31)) - MAX($G$2, DATE(Initialisatie!$C$5,1,1)) + 1)
    ) / (DATE(Initialisatie!$C$5,12,31) - DATE(Initialisatie!$C$5,1,1) + 1)
)</f>
        <v>4741.6301917808223</v>
      </c>
    </row>
    <row r="91" spans="1:10" x14ac:dyDescent="0.45">
      <c r="A91" s="848">
        <v>55</v>
      </c>
      <c r="B91" s="48" t="s">
        <v>2202</v>
      </c>
      <c r="C91">
        <v>3471.46</v>
      </c>
      <c r="D91">
        <v>3592.96</v>
      </c>
      <c r="F91">
        <f>MAX(C91, 'Hulp (overig)'!$C$12*'Hulp (CAO''s)'!$Z$7/12)</f>
        <v>3471.46</v>
      </c>
      <c r="G91">
        <f>MAX(D91, 'Hulp (overig)'!$C$12*'Hulp (CAO''s)'!$Z$7/12)</f>
        <v>3592.96</v>
      </c>
      <c r="J91">
        <f>IF(
    OR(
        AND(MAX(0, MIN($F$1, DATE(Initialisatie!$C$5,12,31)) - MAX($F$2, DATE(Initialisatie!$C$5,1,1)) + 1) &gt; 0, IFERROR(VALUE($F91),0)=0),
        AND(MAX(0, MIN($G$1, DATE(Initialisatie!$C$5,12,31)) - MAX($G$2, DATE(Initialisatie!$C$5,1,1)) + 1) &gt; 0, IFERROR(VALUE($G91),0)=0)
    ),
    0,
    SUM(
        IFERROR(VALUE($F91),0) * MAX(0, MIN($F$1, DATE(Initialisatie!$C$5,12,31)) - MAX($F$2, DATE(Initialisatie!$C$5,1,1)) + 1),
        IFERROR(VALUE($G91),0) * MAX(0, MIN($G$1, DATE(Initialisatie!$C$5,12,31)) - MAX($G$2, DATE(Initialisatie!$C$5,1,1)) + 1)
    ) / (DATE(Initialisatie!$C$5,12,31) - DATE(Initialisatie!$C$5,1,1) + 1)
)</f>
        <v>3532.7093150684927</v>
      </c>
    </row>
    <row r="92" spans="1:10" x14ac:dyDescent="0.45">
      <c r="A92" s="848"/>
      <c r="B92" s="48">
        <v>0</v>
      </c>
      <c r="C92">
        <v>3644.59</v>
      </c>
      <c r="D92">
        <v>3772.15</v>
      </c>
      <c r="F92">
        <f>MAX(C92, 'Hulp (overig)'!$C$12*'Hulp (CAO''s)'!$Z$7/12)</f>
        <v>3644.59</v>
      </c>
      <c r="G92">
        <f>MAX(D92, 'Hulp (overig)'!$C$12*'Hulp (CAO''s)'!$Z$7/12)</f>
        <v>3772.15</v>
      </c>
      <c r="J92">
        <f>IF(
    OR(
        AND(MAX(0, MIN($F$1, DATE(Initialisatie!$C$5,12,31)) - MAX($F$2, DATE(Initialisatie!$C$5,1,1)) + 1) &gt; 0, IFERROR(VALUE($F92),0)=0),
        AND(MAX(0, MIN($G$1, DATE(Initialisatie!$C$5,12,31)) - MAX($G$2, DATE(Initialisatie!$C$5,1,1)) + 1) &gt; 0, IFERROR(VALUE($G92),0)=0)
    ),
    0,
    SUM(
        IFERROR(VALUE($F92),0) * MAX(0, MIN($F$1, DATE(Initialisatie!$C$5,12,31)) - MAX($F$2, DATE(Initialisatie!$C$5,1,1)) + 1),
        IFERROR(VALUE($G92),0) * MAX(0, MIN($G$1, DATE(Initialisatie!$C$5,12,31)) - MAX($G$2, DATE(Initialisatie!$C$5,1,1)) + 1)
    ) / (DATE(Initialisatie!$C$5,12,31) - DATE(Initialisatie!$C$5,1,1) + 1)
)</f>
        <v>3708.8942191780825</v>
      </c>
    </row>
    <row r="93" spans="1:10" x14ac:dyDescent="0.45">
      <c r="A93" s="848"/>
      <c r="B93" s="48">
        <v>1</v>
      </c>
      <c r="C93">
        <v>3918.86</v>
      </c>
      <c r="D93">
        <v>4056.02</v>
      </c>
      <c r="F93">
        <f>MAX(C93, 'Hulp (overig)'!$C$12*'Hulp (CAO''s)'!$Z$7/12)</f>
        <v>3918.86</v>
      </c>
      <c r="G93">
        <f>MAX(D93, 'Hulp (overig)'!$C$12*'Hulp (CAO''s)'!$Z$7/12)</f>
        <v>4056.02</v>
      </c>
      <c r="J93">
        <f>IF(
    OR(
        AND(MAX(0, MIN($F$1, DATE(Initialisatie!$C$5,12,31)) - MAX($F$2, DATE(Initialisatie!$C$5,1,1)) + 1) &gt; 0, IFERROR(VALUE($F93),0)=0),
        AND(MAX(0, MIN($G$1, DATE(Initialisatie!$C$5,12,31)) - MAX($G$2, DATE(Initialisatie!$C$5,1,1)) + 1) &gt; 0, IFERROR(VALUE($G93),0)=0)
    ),
    0,
    SUM(
        IFERROR(VALUE($F93),0) * MAX(0, MIN($F$1, DATE(Initialisatie!$C$5,12,31)) - MAX($F$2, DATE(Initialisatie!$C$5,1,1)) + 1),
        IFERROR(VALUE($G93),0) * MAX(0, MIN($G$1, DATE(Initialisatie!$C$5,12,31)) - MAX($G$2, DATE(Initialisatie!$C$5,1,1)) + 1)
    ) / (DATE(Initialisatie!$C$5,12,31) - DATE(Initialisatie!$C$5,1,1) + 1)
)</f>
        <v>3988.003671232877</v>
      </c>
    </row>
    <row r="94" spans="1:10" x14ac:dyDescent="0.45">
      <c r="A94" s="848"/>
      <c r="B94" s="48">
        <v>2</v>
      </c>
      <c r="C94">
        <v>4102.26</v>
      </c>
      <c r="D94">
        <v>4245.84</v>
      </c>
      <c r="F94">
        <f>MAX(C94, 'Hulp (overig)'!$C$12*'Hulp (CAO''s)'!$Z$7/12)</f>
        <v>4102.26</v>
      </c>
      <c r="G94">
        <f>MAX(D94, 'Hulp (overig)'!$C$12*'Hulp (CAO''s)'!$Z$7/12)</f>
        <v>4245.84</v>
      </c>
      <c r="J94">
        <f>IF(
    OR(
        AND(MAX(0, MIN($F$1, DATE(Initialisatie!$C$5,12,31)) - MAX($F$2, DATE(Initialisatie!$C$5,1,1)) + 1) &gt; 0, IFERROR(VALUE($F94),0)=0),
        AND(MAX(0, MIN($G$1, DATE(Initialisatie!$C$5,12,31)) - MAX($G$2, DATE(Initialisatie!$C$5,1,1)) + 1) &gt; 0, IFERROR(VALUE($G94),0)=0)
    ),
    0,
    SUM(
        IFERROR(VALUE($F94),0) * MAX(0, MIN($F$1, DATE(Initialisatie!$C$5,12,31)) - MAX($F$2, DATE(Initialisatie!$C$5,1,1)) + 1),
        IFERROR(VALUE($G94),0) * MAX(0, MIN($G$1, DATE(Initialisatie!$C$5,12,31)) - MAX($G$2, DATE(Initialisatie!$C$5,1,1)) + 1)
    ) / (DATE(Initialisatie!$C$5,12,31) - DATE(Initialisatie!$C$5,1,1) + 1)
)</f>
        <v>4174.6400547945204</v>
      </c>
    </row>
    <row r="95" spans="1:10" x14ac:dyDescent="0.45">
      <c r="A95" s="848"/>
      <c r="B95" s="48">
        <v>3</v>
      </c>
      <c r="C95">
        <v>4292.6099999999997</v>
      </c>
      <c r="D95">
        <v>4442.8500000000004</v>
      </c>
      <c r="F95">
        <f>MAX(C95, 'Hulp (overig)'!$C$12*'Hulp (CAO''s)'!$Z$7/12)</f>
        <v>4292.6099999999997</v>
      </c>
      <c r="G95">
        <f>MAX(D95, 'Hulp (overig)'!$C$12*'Hulp (CAO''s)'!$Z$7/12)</f>
        <v>4442.8500000000004</v>
      </c>
      <c r="J95">
        <f>IF(
    OR(
        AND(MAX(0, MIN($F$1, DATE(Initialisatie!$C$5,12,31)) - MAX($F$2, DATE(Initialisatie!$C$5,1,1)) + 1) &gt; 0, IFERROR(VALUE($F95),0)=0),
        AND(MAX(0, MIN($G$1, DATE(Initialisatie!$C$5,12,31)) - MAX($G$2, DATE(Initialisatie!$C$5,1,1)) + 1) &gt; 0, IFERROR(VALUE($G95),0)=0)
    ),
    0,
    SUM(
        IFERROR(VALUE($F95),0) * MAX(0, MIN($F$1, DATE(Initialisatie!$C$5,12,31)) - MAX($F$2, DATE(Initialisatie!$C$5,1,1)) + 1),
        IFERROR(VALUE($G95),0) * MAX(0, MIN($G$1, DATE(Initialisatie!$C$5,12,31)) - MAX($G$2, DATE(Initialisatie!$C$5,1,1)) + 1)
    ) / (DATE(Initialisatie!$C$5,12,31) - DATE(Initialisatie!$C$5,1,1) + 1)
)</f>
        <v>4368.3474246575342</v>
      </c>
    </row>
    <row r="96" spans="1:10" x14ac:dyDescent="0.45">
      <c r="A96" s="848"/>
      <c r="B96" s="48">
        <v>4</v>
      </c>
      <c r="C96">
        <v>4470.82</v>
      </c>
      <c r="D96">
        <v>4627.3</v>
      </c>
      <c r="F96">
        <f>MAX(C96, 'Hulp (overig)'!$C$12*'Hulp (CAO''s)'!$Z$7/12)</f>
        <v>4470.82</v>
      </c>
      <c r="G96">
        <f>MAX(D96, 'Hulp (overig)'!$C$12*'Hulp (CAO''s)'!$Z$7/12)</f>
        <v>4627.3</v>
      </c>
      <c r="J96">
        <f>IF(
    OR(
        AND(MAX(0, MIN($F$1, DATE(Initialisatie!$C$5,12,31)) - MAX($F$2, DATE(Initialisatie!$C$5,1,1)) + 1) &gt; 0, IFERROR(VALUE($F96),0)=0),
        AND(MAX(0, MIN($G$1, DATE(Initialisatie!$C$5,12,31)) - MAX($G$2, DATE(Initialisatie!$C$5,1,1)) + 1) &gt; 0, IFERROR(VALUE($G96),0)=0)
    ),
    0,
    SUM(
        IFERROR(VALUE($F96),0) * MAX(0, MIN($F$1, DATE(Initialisatie!$C$5,12,31)) - MAX($F$2, DATE(Initialisatie!$C$5,1,1)) + 1),
        IFERROR(VALUE($G96),0) * MAX(0, MIN($G$1, DATE(Initialisatie!$C$5,12,31)) - MAX($G$2, DATE(Initialisatie!$C$5,1,1)) + 1)
    ) / (DATE(Initialisatie!$C$5,12,31) - DATE(Initialisatie!$C$5,1,1) + 1)
)</f>
        <v>4549.7030684931506</v>
      </c>
    </row>
    <row r="97" spans="1:10" x14ac:dyDescent="0.45">
      <c r="A97" s="848"/>
      <c r="B97" s="48">
        <v>5</v>
      </c>
      <c r="C97">
        <v>4659.42</v>
      </c>
      <c r="D97">
        <v>4822.5</v>
      </c>
      <c r="F97">
        <f>MAX(C97, 'Hulp (overig)'!$C$12*'Hulp (CAO''s)'!$Z$7/12)</f>
        <v>4659.42</v>
      </c>
      <c r="G97">
        <f>MAX(D97, 'Hulp (overig)'!$C$12*'Hulp (CAO''s)'!$Z$7/12)</f>
        <v>4822.5</v>
      </c>
      <c r="J97">
        <f>IF(
    OR(
        AND(MAX(0, MIN($F$1, DATE(Initialisatie!$C$5,12,31)) - MAX($F$2, DATE(Initialisatie!$C$5,1,1)) + 1) &gt; 0, IFERROR(VALUE($F97),0)=0),
        AND(MAX(0, MIN($G$1, DATE(Initialisatie!$C$5,12,31)) - MAX($G$2, DATE(Initialisatie!$C$5,1,1)) + 1) &gt; 0, IFERROR(VALUE($G97),0)=0)
    ),
    0,
    SUM(
        IFERROR(VALUE($F97),0) * MAX(0, MIN($F$1, DATE(Initialisatie!$C$5,12,31)) - MAX($F$2, DATE(Initialisatie!$C$5,1,1)) + 1),
        IFERROR(VALUE($G97),0) * MAX(0, MIN($G$1, DATE(Initialisatie!$C$5,12,31)) - MAX($G$2, DATE(Initialisatie!$C$5,1,1)) + 1)
    ) / (DATE(Initialisatie!$C$5,12,31) - DATE(Initialisatie!$C$5,1,1) + 1)
)</f>
        <v>4741.6301917808223</v>
      </c>
    </row>
    <row r="98" spans="1:10" x14ac:dyDescent="0.45">
      <c r="A98" s="848"/>
      <c r="B98" s="48">
        <v>6</v>
      </c>
      <c r="C98">
        <v>4746.8999999999996</v>
      </c>
      <c r="D98">
        <v>4913.04</v>
      </c>
      <c r="F98">
        <f>MAX(C98, 'Hulp (overig)'!$C$12*'Hulp (CAO''s)'!$Z$7/12)</f>
        <v>4746.8999999999996</v>
      </c>
      <c r="G98">
        <f>MAX(D98, 'Hulp (overig)'!$C$12*'Hulp (CAO''s)'!$Z$7/12)</f>
        <v>4913.04</v>
      </c>
      <c r="J98">
        <f>IF(
    OR(
        AND(MAX(0, MIN($F$1, DATE(Initialisatie!$C$5,12,31)) - MAX($F$2, DATE(Initialisatie!$C$5,1,1)) + 1) &gt; 0, IFERROR(VALUE($F98),0)=0),
        AND(MAX(0, MIN($G$1, DATE(Initialisatie!$C$5,12,31)) - MAX($G$2, DATE(Initialisatie!$C$5,1,1)) + 1) &gt; 0, IFERROR(VALUE($G98),0)=0)
    ),
    0,
    SUM(
        IFERROR(VALUE($F98),0) * MAX(0, MIN($F$1, DATE(Initialisatie!$C$5,12,31)) - MAX($F$2, DATE(Initialisatie!$C$5,1,1)) + 1),
        IFERROR(VALUE($G98),0) * MAX(0, MIN($G$1, DATE(Initialisatie!$C$5,12,31)) - MAX($G$2, DATE(Initialisatie!$C$5,1,1)) + 1)
    ) / (DATE(Initialisatie!$C$5,12,31) - DATE(Initialisatie!$C$5,1,1) + 1)
)</f>
        <v>4830.652767123287</v>
      </c>
    </row>
    <row r="99" spans="1:10" x14ac:dyDescent="0.45">
      <c r="A99" s="848"/>
      <c r="B99" s="48">
        <v>7</v>
      </c>
      <c r="C99">
        <v>4834.28</v>
      </c>
      <c r="D99">
        <v>5003.4799999999996</v>
      </c>
      <c r="F99">
        <f>MAX(C99, 'Hulp (overig)'!$C$12*'Hulp (CAO''s)'!$Z$7/12)</f>
        <v>4834.28</v>
      </c>
      <c r="G99">
        <f>MAX(D99, 'Hulp (overig)'!$C$12*'Hulp (CAO''s)'!$Z$7/12)</f>
        <v>5003.4799999999996</v>
      </c>
      <c r="J99">
        <f>IF(
    OR(
        AND(MAX(0, MIN($F$1, DATE(Initialisatie!$C$5,12,31)) - MAX($F$2, DATE(Initialisatie!$C$5,1,1)) + 1) &gt; 0, IFERROR(VALUE($F99),0)=0),
        AND(MAX(0, MIN($G$1, DATE(Initialisatie!$C$5,12,31)) - MAX($G$2, DATE(Initialisatie!$C$5,1,1)) + 1) &gt; 0, IFERROR(VALUE($G99),0)=0)
    ),
    0,
    SUM(
        IFERROR(VALUE($F99),0) * MAX(0, MIN($F$1, DATE(Initialisatie!$C$5,12,31)) - MAX($F$2, DATE(Initialisatie!$C$5,1,1)) + 1),
        IFERROR(VALUE($G99),0) * MAX(0, MIN($G$1, DATE(Initialisatie!$C$5,12,31)) - MAX($G$2, DATE(Initialisatie!$C$5,1,1)) + 1)
    ) / (DATE(Initialisatie!$C$5,12,31) - DATE(Initialisatie!$C$5,1,1) + 1)
)</f>
        <v>4919.5753424657532</v>
      </c>
    </row>
    <row r="100" spans="1:10" x14ac:dyDescent="0.45">
      <c r="A100" s="848"/>
      <c r="B100" s="48">
        <v>8</v>
      </c>
      <c r="C100">
        <v>4935.4799999999996</v>
      </c>
      <c r="D100">
        <v>5108.22</v>
      </c>
      <c r="F100">
        <f>MAX(C100, 'Hulp (overig)'!$C$12*'Hulp (CAO''s)'!$Z$7/12)</f>
        <v>4935.4799999999996</v>
      </c>
      <c r="G100">
        <f>MAX(D100, 'Hulp (overig)'!$C$12*'Hulp (CAO''s)'!$Z$7/12)</f>
        <v>5108.22</v>
      </c>
      <c r="J100">
        <f>IF(
    OR(
        AND(MAX(0, MIN($F$1, DATE(Initialisatie!$C$5,12,31)) - MAX($F$2, DATE(Initialisatie!$C$5,1,1)) + 1) &gt; 0, IFERROR(VALUE($F100),0)=0),
        AND(MAX(0, MIN($G$1, DATE(Initialisatie!$C$5,12,31)) - MAX($G$2, DATE(Initialisatie!$C$5,1,1)) + 1) &gt; 0, IFERROR(VALUE($G100),0)=0)
    ),
    0,
    SUM(
        IFERROR(VALUE($F100),0) * MAX(0, MIN($F$1, DATE(Initialisatie!$C$5,12,31)) - MAX($F$2, DATE(Initialisatie!$C$5,1,1)) + 1),
        IFERROR(VALUE($G100),0) * MAX(0, MIN($G$1, DATE(Initialisatie!$C$5,12,31)) - MAX($G$2, DATE(Initialisatie!$C$5,1,1)) + 1)
    ) / (DATE(Initialisatie!$C$5,12,31) - DATE(Initialisatie!$C$5,1,1) + 1)
)</f>
        <v>5022.5598904109584</v>
      </c>
    </row>
    <row r="101" spans="1:10" x14ac:dyDescent="0.45">
      <c r="A101" s="848"/>
      <c r="B101" s="48">
        <v>9</v>
      </c>
      <c r="C101">
        <v>5038.32</v>
      </c>
      <c r="D101">
        <v>5214.66</v>
      </c>
      <c r="F101">
        <f>MAX(C101, 'Hulp (overig)'!$C$12*'Hulp (CAO''s)'!$Z$7/12)</f>
        <v>5038.32</v>
      </c>
      <c r="G101">
        <f>MAX(D101, 'Hulp (overig)'!$C$12*'Hulp (CAO''s)'!$Z$7/12)</f>
        <v>5214.66</v>
      </c>
      <c r="J101">
        <f>IF(
    OR(
        AND(MAX(0, MIN($F$1, DATE(Initialisatie!$C$5,12,31)) - MAX($F$2, DATE(Initialisatie!$C$5,1,1)) + 1) &gt; 0, IFERROR(VALUE($F101),0)=0),
        AND(MAX(0, MIN($G$1, DATE(Initialisatie!$C$5,12,31)) - MAX($G$2, DATE(Initialisatie!$C$5,1,1)) + 1) &gt; 0, IFERROR(VALUE($G101),0)=0)
    ),
    0,
    SUM(
        IFERROR(VALUE($F101),0) * MAX(0, MIN($F$1, DATE(Initialisatie!$C$5,12,31)) - MAX($F$2, DATE(Initialisatie!$C$5,1,1)) + 1),
        IFERROR(VALUE($G101),0) * MAX(0, MIN($G$1, DATE(Initialisatie!$C$5,12,31)) - MAX($G$2, DATE(Initialisatie!$C$5,1,1)) + 1)
    ) / (DATE(Initialisatie!$C$5,12,31) - DATE(Initialisatie!$C$5,1,1) + 1)
)</f>
        <v>5127.2146849315068</v>
      </c>
    </row>
    <row r="102" spans="1:10" x14ac:dyDescent="0.45">
      <c r="A102" s="848"/>
      <c r="B102" s="48">
        <v>10</v>
      </c>
      <c r="C102">
        <v>5139.46</v>
      </c>
      <c r="D102">
        <v>5319.34</v>
      </c>
      <c r="F102">
        <f>MAX(C102, 'Hulp (overig)'!$C$12*'Hulp (CAO''s)'!$Z$7/12)</f>
        <v>5139.46</v>
      </c>
      <c r="G102">
        <f>MAX(D102, 'Hulp (overig)'!$C$12*'Hulp (CAO''s)'!$Z$7/12)</f>
        <v>5319.34</v>
      </c>
      <c r="J102">
        <f>IF(
    OR(
        AND(MAX(0, MIN($F$1, DATE(Initialisatie!$C$5,12,31)) - MAX($F$2, DATE(Initialisatie!$C$5,1,1)) + 1) &gt; 0, IFERROR(VALUE($F102),0)=0),
        AND(MAX(0, MIN($G$1, DATE(Initialisatie!$C$5,12,31)) - MAX($G$2, DATE(Initialisatie!$C$5,1,1)) + 1) &gt; 0, IFERROR(VALUE($G102),0)=0)
    ),
    0,
    SUM(
        IFERROR(VALUE($F102),0) * MAX(0, MIN($F$1, DATE(Initialisatie!$C$5,12,31)) - MAX($F$2, DATE(Initialisatie!$C$5,1,1)) + 1),
        IFERROR(VALUE($G102),0) * MAX(0, MIN($G$1, DATE(Initialisatie!$C$5,12,31)) - MAX($G$2, DATE(Initialisatie!$C$5,1,1)) + 1)
    ) / (DATE(Initialisatie!$C$5,12,31) - DATE(Initialisatie!$C$5,1,1) + 1)
)</f>
        <v>5230.1392328767124</v>
      </c>
    </row>
    <row r="103" spans="1:10" x14ac:dyDescent="0.45">
      <c r="A103" s="848"/>
      <c r="B103" s="48">
        <v>11</v>
      </c>
      <c r="C103">
        <v>5230.32</v>
      </c>
      <c r="D103">
        <v>5413.38</v>
      </c>
      <c r="F103">
        <f>MAX(C103, 'Hulp (overig)'!$C$12*'Hulp (CAO''s)'!$Z$7/12)</f>
        <v>5230.32</v>
      </c>
      <c r="G103">
        <f>MAX(D103, 'Hulp (overig)'!$C$12*'Hulp (CAO''s)'!$Z$7/12)</f>
        <v>5413.38</v>
      </c>
      <c r="J103">
        <f>IF(
    OR(
        AND(MAX(0, MIN($F$1, DATE(Initialisatie!$C$5,12,31)) - MAX($F$2, DATE(Initialisatie!$C$5,1,1)) + 1) &gt; 0, IFERROR(VALUE($F103),0)=0),
        AND(MAX(0, MIN($G$1, DATE(Initialisatie!$C$5,12,31)) - MAX($G$2, DATE(Initialisatie!$C$5,1,1)) + 1) &gt; 0, IFERROR(VALUE($G103),0)=0)
    ),
    0,
    SUM(
        IFERROR(VALUE($F103),0) * MAX(0, MIN($F$1, DATE(Initialisatie!$C$5,12,31)) - MAX($F$2, DATE(Initialisatie!$C$5,1,1)) + 1),
        IFERROR(VALUE($G103),0) * MAX(0, MIN($G$1, DATE(Initialisatie!$C$5,12,31)) - MAX($G$2, DATE(Initialisatie!$C$5,1,1)) + 1)
    ) / (DATE(Initialisatie!$C$5,12,31) - DATE(Initialisatie!$C$5,1,1) + 1)
)</f>
        <v>5322.6023013698623</v>
      </c>
    </row>
    <row r="104" spans="1:10" x14ac:dyDescent="0.45">
      <c r="A104" s="848">
        <v>60</v>
      </c>
      <c r="B104" s="48" t="s">
        <v>2203</v>
      </c>
      <c r="C104">
        <v>4016.62</v>
      </c>
      <c r="D104">
        <v>4157.2</v>
      </c>
      <c r="F104">
        <f>MAX(C104, 'Hulp (overig)'!$C$12*'Hulp (CAO''s)'!$Z$7/12)</f>
        <v>4016.62</v>
      </c>
      <c r="G104">
        <f>MAX(D104, 'Hulp (overig)'!$C$12*'Hulp (CAO''s)'!$Z$7/12)</f>
        <v>4157.2</v>
      </c>
      <c r="J104">
        <f>IF(
    OR(
        AND(MAX(0, MIN($F$1, DATE(Initialisatie!$C$5,12,31)) - MAX($F$2, DATE(Initialisatie!$C$5,1,1)) + 1) &gt; 0, IFERROR(VALUE($F104),0)=0),
        AND(MAX(0, MIN($G$1, DATE(Initialisatie!$C$5,12,31)) - MAX($G$2, DATE(Initialisatie!$C$5,1,1)) + 1) &gt; 0, IFERROR(VALUE($G104),0)=0)
    ),
    0,
    SUM(
        IFERROR(VALUE($F104),0) * MAX(0, MIN($F$1, DATE(Initialisatie!$C$5,12,31)) - MAX($F$2, DATE(Initialisatie!$C$5,1,1)) + 1),
        IFERROR(VALUE($G104),0) * MAX(0, MIN($G$1, DATE(Initialisatie!$C$5,12,31)) - MAX($G$2, DATE(Initialisatie!$C$5,1,1)) + 1)
    ) / (DATE(Initialisatie!$C$5,12,31) - DATE(Initialisatie!$C$5,1,1) + 1)
)</f>
        <v>4087.4877260273975</v>
      </c>
    </row>
    <row r="105" spans="1:10" x14ac:dyDescent="0.45">
      <c r="A105" s="848"/>
      <c r="B105" s="48" t="s">
        <v>2204</v>
      </c>
      <c r="C105">
        <v>4198.28</v>
      </c>
      <c r="D105">
        <v>4345.22</v>
      </c>
      <c r="F105">
        <f>MAX(C105, 'Hulp (overig)'!$C$12*'Hulp (CAO''s)'!$Z$7/12)</f>
        <v>4198.28</v>
      </c>
      <c r="G105">
        <f>MAX(D105, 'Hulp (overig)'!$C$12*'Hulp (CAO''s)'!$Z$7/12)</f>
        <v>4345.22</v>
      </c>
      <c r="J105">
        <f>IF(
    OR(
        AND(MAX(0, MIN($F$1, DATE(Initialisatie!$C$5,12,31)) - MAX($F$2, DATE(Initialisatie!$C$5,1,1)) + 1) &gt; 0, IFERROR(VALUE($F105),0)=0),
        AND(MAX(0, MIN($G$1, DATE(Initialisatie!$C$5,12,31)) - MAX($G$2, DATE(Initialisatie!$C$5,1,1)) + 1) &gt; 0, IFERROR(VALUE($G105),0)=0)
    ),
    0,
    SUM(
        IFERROR(VALUE($F105),0) * MAX(0, MIN($F$1, DATE(Initialisatie!$C$5,12,31)) - MAX($F$2, DATE(Initialisatie!$C$5,1,1)) + 1),
        IFERROR(VALUE($G105),0) * MAX(0, MIN($G$1, DATE(Initialisatie!$C$5,12,31)) - MAX($G$2, DATE(Initialisatie!$C$5,1,1)) + 1)
    ) / (DATE(Initialisatie!$C$5,12,31) - DATE(Initialisatie!$C$5,1,1) + 1)
)</f>
        <v>4272.3538630136991</v>
      </c>
    </row>
    <row r="106" spans="1:10" x14ac:dyDescent="0.45">
      <c r="A106" s="848"/>
      <c r="B106" s="48">
        <v>0</v>
      </c>
      <c r="C106">
        <v>4470.82</v>
      </c>
      <c r="D106">
        <v>4627.3</v>
      </c>
      <c r="F106">
        <f>MAX(C106, 'Hulp (overig)'!$C$12*'Hulp (CAO''s)'!$Z$7/12)</f>
        <v>4470.82</v>
      </c>
      <c r="G106">
        <f>MAX(D106, 'Hulp (overig)'!$C$12*'Hulp (CAO''s)'!$Z$7/12)</f>
        <v>4627.3</v>
      </c>
      <c r="J106">
        <f>IF(
    OR(
        AND(MAX(0, MIN($F$1, DATE(Initialisatie!$C$5,12,31)) - MAX($F$2, DATE(Initialisatie!$C$5,1,1)) + 1) &gt; 0, IFERROR(VALUE($F106),0)=0),
        AND(MAX(0, MIN($G$1, DATE(Initialisatie!$C$5,12,31)) - MAX($G$2, DATE(Initialisatie!$C$5,1,1)) + 1) &gt; 0, IFERROR(VALUE($G106),0)=0)
    ),
    0,
    SUM(
        IFERROR(VALUE($F106),0) * MAX(0, MIN($F$1, DATE(Initialisatie!$C$5,12,31)) - MAX($F$2, DATE(Initialisatie!$C$5,1,1)) + 1),
        IFERROR(VALUE($G106),0) * MAX(0, MIN($G$1, DATE(Initialisatie!$C$5,12,31)) - MAX($G$2, DATE(Initialisatie!$C$5,1,1)) + 1)
    ) / (DATE(Initialisatie!$C$5,12,31) - DATE(Initialisatie!$C$5,1,1) + 1)
)</f>
        <v>4549.7030684931506</v>
      </c>
    </row>
    <row r="107" spans="1:10" x14ac:dyDescent="0.45">
      <c r="A107" s="848"/>
      <c r="B107" s="48">
        <v>1</v>
      </c>
      <c r="C107">
        <v>4659.42</v>
      </c>
      <c r="D107">
        <v>4822.5</v>
      </c>
      <c r="F107">
        <f>MAX(C107, 'Hulp (overig)'!$C$12*'Hulp (CAO''s)'!$Z$7/12)</f>
        <v>4659.42</v>
      </c>
      <c r="G107">
        <f>MAX(D107, 'Hulp (overig)'!$C$12*'Hulp (CAO''s)'!$Z$7/12)</f>
        <v>4822.5</v>
      </c>
      <c r="J107">
        <f>IF(
    OR(
        AND(MAX(0, MIN($F$1, DATE(Initialisatie!$C$5,12,31)) - MAX($F$2, DATE(Initialisatie!$C$5,1,1)) + 1) &gt; 0, IFERROR(VALUE($F107),0)=0),
        AND(MAX(0, MIN($G$1, DATE(Initialisatie!$C$5,12,31)) - MAX($G$2, DATE(Initialisatie!$C$5,1,1)) + 1) &gt; 0, IFERROR(VALUE($G107),0)=0)
    ),
    0,
    SUM(
        IFERROR(VALUE($F107),0) * MAX(0, MIN($F$1, DATE(Initialisatie!$C$5,12,31)) - MAX($F$2, DATE(Initialisatie!$C$5,1,1)) + 1),
        IFERROR(VALUE($G107),0) * MAX(0, MIN($G$1, DATE(Initialisatie!$C$5,12,31)) - MAX($G$2, DATE(Initialisatie!$C$5,1,1)) + 1)
    ) / (DATE(Initialisatie!$C$5,12,31) - DATE(Initialisatie!$C$5,1,1) + 1)
)</f>
        <v>4741.6301917808223</v>
      </c>
    </row>
    <row r="108" spans="1:10" x14ac:dyDescent="0.45">
      <c r="A108" s="848"/>
      <c r="B108" s="48">
        <v>2</v>
      </c>
      <c r="C108">
        <v>4834.28</v>
      </c>
      <c r="D108">
        <v>5003.4799999999996</v>
      </c>
      <c r="F108">
        <f>MAX(C108, 'Hulp (overig)'!$C$12*'Hulp (CAO''s)'!$Z$7/12)</f>
        <v>4834.28</v>
      </c>
      <c r="G108">
        <f>MAX(D108, 'Hulp (overig)'!$C$12*'Hulp (CAO''s)'!$Z$7/12)</f>
        <v>5003.4799999999996</v>
      </c>
      <c r="J108">
        <f>IF(
    OR(
        AND(MAX(0, MIN($F$1, DATE(Initialisatie!$C$5,12,31)) - MAX($F$2, DATE(Initialisatie!$C$5,1,1)) + 1) &gt; 0, IFERROR(VALUE($F108),0)=0),
        AND(MAX(0, MIN($G$1, DATE(Initialisatie!$C$5,12,31)) - MAX($G$2, DATE(Initialisatie!$C$5,1,1)) + 1) &gt; 0, IFERROR(VALUE($G108),0)=0)
    ),
    0,
    SUM(
        IFERROR(VALUE($F108),0) * MAX(0, MIN($F$1, DATE(Initialisatie!$C$5,12,31)) - MAX($F$2, DATE(Initialisatie!$C$5,1,1)) + 1),
        IFERROR(VALUE($G108),0) * MAX(0, MIN($G$1, DATE(Initialisatie!$C$5,12,31)) - MAX($G$2, DATE(Initialisatie!$C$5,1,1)) + 1)
    ) / (DATE(Initialisatie!$C$5,12,31) - DATE(Initialisatie!$C$5,1,1) + 1)
)</f>
        <v>4919.5753424657532</v>
      </c>
    </row>
    <row r="109" spans="1:10" x14ac:dyDescent="0.45">
      <c r="A109" s="848"/>
      <c r="B109" s="48">
        <v>3</v>
      </c>
      <c r="C109">
        <v>5038.32</v>
      </c>
      <c r="D109">
        <v>5214.66</v>
      </c>
      <c r="F109">
        <f>MAX(C109, 'Hulp (overig)'!$C$12*'Hulp (CAO''s)'!$Z$7/12)</f>
        <v>5038.32</v>
      </c>
      <c r="G109">
        <f>MAX(D109, 'Hulp (overig)'!$C$12*'Hulp (CAO''s)'!$Z$7/12)</f>
        <v>5214.66</v>
      </c>
      <c r="J109">
        <f>IF(
    OR(
        AND(MAX(0, MIN($F$1, DATE(Initialisatie!$C$5,12,31)) - MAX($F$2, DATE(Initialisatie!$C$5,1,1)) + 1) &gt; 0, IFERROR(VALUE($F109),0)=0),
        AND(MAX(0, MIN($G$1, DATE(Initialisatie!$C$5,12,31)) - MAX($G$2, DATE(Initialisatie!$C$5,1,1)) + 1) &gt; 0, IFERROR(VALUE($G109),0)=0)
    ),
    0,
    SUM(
        IFERROR(VALUE($F109),0) * MAX(0, MIN($F$1, DATE(Initialisatie!$C$5,12,31)) - MAX($F$2, DATE(Initialisatie!$C$5,1,1)) + 1),
        IFERROR(VALUE($G109),0) * MAX(0, MIN($G$1, DATE(Initialisatie!$C$5,12,31)) - MAX($G$2, DATE(Initialisatie!$C$5,1,1)) + 1)
    ) / (DATE(Initialisatie!$C$5,12,31) - DATE(Initialisatie!$C$5,1,1) + 1)
)</f>
        <v>5127.2146849315068</v>
      </c>
    </row>
    <row r="110" spans="1:10" x14ac:dyDescent="0.45">
      <c r="A110" s="848"/>
      <c r="B110" s="48">
        <v>4</v>
      </c>
      <c r="C110">
        <v>5230.32</v>
      </c>
      <c r="D110">
        <v>5413.38</v>
      </c>
      <c r="F110">
        <f>MAX(C110, 'Hulp (overig)'!$C$12*'Hulp (CAO''s)'!$Z$7/12)</f>
        <v>5230.32</v>
      </c>
      <c r="G110">
        <f>MAX(D110, 'Hulp (overig)'!$C$12*'Hulp (CAO''s)'!$Z$7/12)</f>
        <v>5413.38</v>
      </c>
      <c r="J110">
        <f>IF(
    OR(
        AND(MAX(0, MIN($F$1, DATE(Initialisatie!$C$5,12,31)) - MAX($F$2, DATE(Initialisatie!$C$5,1,1)) + 1) &gt; 0, IFERROR(VALUE($F110),0)=0),
        AND(MAX(0, MIN($G$1, DATE(Initialisatie!$C$5,12,31)) - MAX($G$2, DATE(Initialisatie!$C$5,1,1)) + 1) &gt; 0, IFERROR(VALUE($G110),0)=0)
    ),
    0,
    SUM(
        IFERROR(VALUE($F110),0) * MAX(0, MIN($F$1, DATE(Initialisatie!$C$5,12,31)) - MAX($F$2, DATE(Initialisatie!$C$5,1,1)) + 1),
        IFERROR(VALUE($G110),0) * MAX(0, MIN($G$1, DATE(Initialisatie!$C$5,12,31)) - MAX($G$2, DATE(Initialisatie!$C$5,1,1)) + 1)
    ) / (DATE(Initialisatie!$C$5,12,31) - DATE(Initialisatie!$C$5,1,1) + 1)
)</f>
        <v>5322.6023013698623</v>
      </c>
    </row>
    <row r="111" spans="1:10" x14ac:dyDescent="0.45">
      <c r="A111" s="848"/>
      <c r="B111" s="48">
        <v>5</v>
      </c>
      <c r="C111">
        <v>5427.49</v>
      </c>
      <c r="D111">
        <v>5617.45</v>
      </c>
      <c r="F111">
        <f>MAX(C111, 'Hulp (overig)'!$C$12*'Hulp (CAO''s)'!$Z$7/12)</f>
        <v>5427.49</v>
      </c>
      <c r="G111">
        <f>MAX(D111, 'Hulp (overig)'!$C$12*'Hulp (CAO''s)'!$Z$7/12)</f>
        <v>5617.45</v>
      </c>
      <c r="J111">
        <f>IF(
    OR(
        AND(MAX(0, MIN($F$1, DATE(Initialisatie!$C$5,12,31)) - MAX($F$2, DATE(Initialisatie!$C$5,1,1)) + 1) &gt; 0, IFERROR(VALUE($F111),0)=0),
        AND(MAX(0, MIN($G$1, DATE(Initialisatie!$C$5,12,31)) - MAX($G$2, DATE(Initialisatie!$C$5,1,1)) + 1) &gt; 0, IFERROR(VALUE($G111),0)=0)
    ),
    0,
    SUM(
        IFERROR(VALUE($F111),0) * MAX(0, MIN($F$1, DATE(Initialisatie!$C$5,12,31)) - MAX($F$2, DATE(Initialisatie!$C$5,1,1)) + 1),
        IFERROR(VALUE($G111),0) * MAX(0, MIN($G$1, DATE(Initialisatie!$C$5,12,31)) - MAX($G$2, DATE(Initialisatie!$C$5,1,1)) + 1)
    ) / (DATE(Initialisatie!$C$5,12,31) - DATE(Initialisatie!$C$5,1,1) + 1)
)</f>
        <v>5523.2506575342459</v>
      </c>
    </row>
    <row r="112" spans="1:10" x14ac:dyDescent="0.45">
      <c r="A112" s="848"/>
      <c r="B112" s="48">
        <v>6</v>
      </c>
      <c r="C112">
        <v>5617.74</v>
      </c>
      <c r="D112">
        <v>5814.36</v>
      </c>
      <c r="F112">
        <f>MAX(C112, 'Hulp (overig)'!$C$12*'Hulp (CAO''s)'!$Z$7/12)</f>
        <v>5617.74</v>
      </c>
      <c r="G112">
        <f>MAX(D112, 'Hulp (overig)'!$C$12*'Hulp (CAO''s)'!$Z$7/12)</f>
        <v>5814.36</v>
      </c>
      <c r="J112">
        <f>IF(
    OR(
        AND(MAX(0, MIN($F$1, DATE(Initialisatie!$C$5,12,31)) - MAX($F$2, DATE(Initialisatie!$C$5,1,1)) + 1) &gt; 0, IFERROR(VALUE($F112),0)=0),
        AND(MAX(0, MIN($G$1, DATE(Initialisatie!$C$5,12,31)) - MAX($G$2, DATE(Initialisatie!$C$5,1,1)) + 1) &gt; 0, IFERROR(VALUE($G112),0)=0)
    ),
    0,
    SUM(
        IFERROR(VALUE($F112),0) * MAX(0, MIN($F$1, DATE(Initialisatie!$C$5,12,31)) - MAX($F$2, DATE(Initialisatie!$C$5,1,1)) + 1),
        IFERROR(VALUE($G112),0) * MAX(0, MIN($G$1, DATE(Initialisatie!$C$5,12,31)) - MAX($G$2, DATE(Initialisatie!$C$5,1,1)) + 1)
    ) / (DATE(Initialisatie!$C$5,12,31) - DATE(Initialisatie!$C$5,1,1) + 1)
)</f>
        <v>5716.8580273972602</v>
      </c>
    </row>
    <row r="113" spans="1:10" x14ac:dyDescent="0.45">
      <c r="A113" s="848"/>
      <c r="B113" s="48">
        <v>7</v>
      </c>
      <c r="C113">
        <v>5701.76</v>
      </c>
      <c r="D113">
        <v>5901.32</v>
      </c>
      <c r="F113">
        <f>MAX(C113, 'Hulp (overig)'!$C$12*'Hulp (CAO''s)'!$Z$7/12)</f>
        <v>5701.76</v>
      </c>
      <c r="G113">
        <f>MAX(D113, 'Hulp (overig)'!$C$12*'Hulp (CAO''s)'!$Z$7/12)</f>
        <v>5901.32</v>
      </c>
      <c r="J113">
        <f>IF(
    OR(
        AND(MAX(0, MIN($F$1, DATE(Initialisatie!$C$5,12,31)) - MAX($F$2, DATE(Initialisatie!$C$5,1,1)) + 1) &gt; 0, IFERROR(VALUE($F113),0)=0),
        AND(MAX(0, MIN($G$1, DATE(Initialisatie!$C$5,12,31)) - MAX($G$2, DATE(Initialisatie!$C$5,1,1)) + 1) &gt; 0, IFERROR(VALUE($G113),0)=0)
    ),
    0,
    SUM(
        IFERROR(VALUE($F113),0) * MAX(0, MIN($F$1, DATE(Initialisatie!$C$5,12,31)) - MAX($F$2, DATE(Initialisatie!$C$5,1,1)) + 1),
        IFERROR(VALUE($G113),0) * MAX(0, MIN($G$1, DATE(Initialisatie!$C$5,12,31)) - MAX($G$2, DATE(Initialisatie!$C$5,1,1)) + 1)
    ) / (DATE(Initialisatie!$C$5,12,31) - DATE(Initialisatie!$C$5,1,1) + 1)
)</f>
        <v>5802.3601095890408</v>
      </c>
    </row>
    <row r="114" spans="1:10" x14ac:dyDescent="0.45">
      <c r="A114" s="848"/>
      <c r="B114" s="48">
        <v>8</v>
      </c>
      <c r="C114">
        <v>5787.48</v>
      </c>
      <c r="D114">
        <v>5990.04</v>
      </c>
      <c r="F114">
        <f>MAX(C114, 'Hulp (overig)'!$C$12*'Hulp (CAO''s)'!$Z$7/12)</f>
        <v>5787.48</v>
      </c>
      <c r="G114">
        <f>MAX(D114, 'Hulp (overig)'!$C$12*'Hulp (CAO''s)'!$Z$7/12)</f>
        <v>5990.04</v>
      </c>
      <c r="J114">
        <f>IF(
    OR(
        AND(MAX(0, MIN($F$1, DATE(Initialisatie!$C$5,12,31)) - MAX($F$2, DATE(Initialisatie!$C$5,1,1)) + 1) &gt; 0, IFERROR(VALUE($F114),0)=0),
        AND(MAX(0, MIN($G$1, DATE(Initialisatie!$C$5,12,31)) - MAX($G$2, DATE(Initialisatie!$C$5,1,1)) + 1) &gt; 0, IFERROR(VALUE($G114),0)=0)
    ),
    0,
    SUM(
        IFERROR(VALUE($F114),0) * MAX(0, MIN($F$1, DATE(Initialisatie!$C$5,12,31)) - MAX($F$2, DATE(Initialisatie!$C$5,1,1)) + 1),
        IFERROR(VALUE($G114),0) * MAX(0, MIN($G$1, DATE(Initialisatie!$C$5,12,31)) - MAX($G$2, DATE(Initialisatie!$C$5,1,1)) + 1)
    ) / (DATE(Initialisatie!$C$5,12,31) - DATE(Initialisatie!$C$5,1,1) + 1)
)</f>
        <v>5889.5924383561651</v>
      </c>
    </row>
    <row r="115" spans="1:10" x14ac:dyDescent="0.45">
      <c r="A115" s="848"/>
      <c r="B115" s="48">
        <v>9</v>
      </c>
      <c r="C115">
        <v>5876.59</v>
      </c>
      <c r="D115">
        <v>6082.27</v>
      </c>
      <c r="F115">
        <f>MAX(C115, 'Hulp (overig)'!$C$12*'Hulp (CAO''s)'!$Z$7/12)</f>
        <v>5876.59</v>
      </c>
      <c r="G115">
        <f>MAX(D115, 'Hulp (overig)'!$C$12*'Hulp (CAO''s)'!$Z$7/12)</f>
        <v>6082.27</v>
      </c>
      <c r="J115">
        <f>IF(
    OR(
        AND(MAX(0, MIN($F$1, DATE(Initialisatie!$C$5,12,31)) - MAX($F$2, DATE(Initialisatie!$C$5,1,1)) + 1) &gt; 0, IFERROR(VALUE($F115),0)=0),
        AND(MAX(0, MIN($G$1, DATE(Initialisatie!$C$5,12,31)) - MAX($G$2, DATE(Initialisatie!$C$5,1,1)) + 1) &gt; 0, IFERROR(VALUE($G115),0)=0)
    ),
    0,
    SUM(
        IFERROR(VALUE($F115),0) * MAX(0, MIN($F$1, DATE(Initialisatie!$C$5,12,31)) - MAX($F$2, DATE(Initialisatie!$C$5,1,1)) + 1),
        IFERROR(VALUE($G115),0) * MAX(0, MIN($G$1, DATE(Initialisatie!$C$5,12,31)) - MAX($G$2, DATE(Initialisatie!$C$5,1,1)) + 1)
    ) / (DATE(Initialisatie!$C$5,12,31) - DATE(Initialisatie!$C$5,1,1) + 1)
)</f>
        <v>5980.2752602739729</v>
      </c>
    </row>
    <row r="116" spans="1:10" x14ac:dyDescent="0.45">
      <c r="A116" s="848"/>
      <c r="B116" s="48">
        <v>10</v>
      </c>
      <c r="C116">
        <v>5962.34</v>
      </c>
      <c r="D116">
        <v>6171.02</v>
      </c>
      <c r="F116">
        <f>MAX(C116, 'Hulp (overig)'!$C$12*'Hulp (CAO''s)'!$Z$7/12)</f>
        <v>5962.34</v>
      </c>
      <c r="G116">
        <f>MAX(D116, 'Hulp (overig)'!$C$12*'Hulp (CAO''s)'!$Z$7/12)</f>
        <v>6171.02</v>
      </c>
      <c r="J116">
        <f>IF(
    OR(
        AND(MAX(0, MIN($F$1, DATE(Initialisatie!$C$5,12,31)) - MAX($F$2, DATE(Initialisatie!$C$5,1,1)) + 1) &gt; 0, IFERROR(VALUE($F116),0)=0),
        AND(MAX(0, MIN($G$1, DATE(Initialisatie!$C$5,12,31)) - MAX($G$2, DATE(Initialisatie!$C$5,1,1)) + 1) &gt; 0, IFERROR(VALUE($G116),0)=0)
    ),
    0,
    SUM(
        IFERROR(VALUE($F116),0) * MAX(0, MIN($F$1, DATE(Initialisatie!$C$5,12,31)) - MAX($F$2, DATE(Initialisatie!$C$5,1,1)) + 1),
        IFERROR(VALUE($G116),0) * MAX(0, MIN($G$1, DATE(Initialisatie!$C$5,12,31)) - MAX($G$2, DATE(Initialisatie!$C$5,1,1)) + 1)
    ) / (DATE(Initialisatie!$C$5,12,31) - DATE(Initialisatie!$C$5,1,1) + 1)
)</f>
        <v>6067.537589041096</v>
      </c>
    </row>
    <row r="117" spans="1:10" x14ac:dyDescent="0.45">
      <c r="A117" s="848">
        <v>65</v>
      </c>
      <c r="B117" s="48" t="s">
        <v>2203</v>
      </c>
      <c r="C117">
        <v>4659.42</v>
      </c>
      <c r="D117">
        <v>4822.5</v>
      </c>
      <c r="F117">
        <f>MAX(C117, 'Hulp (overig)'!$C$12*'Hulp (CAO''s)'!$Z$7/12)</f>
        <v>4659.42</v>
      </c>
      <c r="G117">
        <f>MAX(D117, 'Hulp (overig)'!$C$12*'Hulp (CAO''s)'!$Z$7/12)</f>
        <v>4822.5</v>
      </c>
      <c r="J117">
        <f>IF(
    OR(
        AND(MAX(0, MIN($F$1, DATE(Initialisatie!$C$5,12,31)) - MAX($F$2, DATE(Initialisatie!$C$5,1,1)) + 1) &gt; 0, IFERROR(VALUE($F117),0)=0),
        AND(MAX(0, MIN($G$1, DATE(Initialisatie!$C$5,12,31)) - MAX($G$2, DATE(Initialisatie!$C$5,1,1)) + 1) &gt; 0, IFERROR(VALUE($G117),0)=0)
    ),
    0,
    SUM(
        IFERROR(VALUE($F117),0) * MAX(0, MIN($F$1, DATE(Initialisatie!$C$5,12,31)) - MAX($F$2, DATE(Initialisatie!$C$5,1,1)) + 1),
        IFERROR(VALUE($G117),0) * MAX(0, MIN($G$1, DATE(Initialisatie!$C$5,12,31)) - MAX($G$2, DATE(Initialisatie!$C$5,1,1)) + 1)
    ) / (DATE(Initialisatie!$C$5,12,31) - DATE(Initialisatie!$C$5,1,1) + 1)
)</f>
        <v>4741.6301917808223</v>
      </c>
    </row>
    <row r="118" spans="1:10" x14ac:dyDescent="0.45">
      <c r="A118" s="848"/>
      <c r="B118" s="48" t="s">
        <v>2204</v>
      </c>
      <c r="C118">
        <v>4834.28</v>
      </c>
      <c r="D118">
        <v>5003.4799999999996</v>
      </c>
      <c r="F118">
        <f>MAX(C118, 'Hulp (overig)'!$C$12*'Hulp (CAO''s)'!$Z$7/12)</f>
        <v>4834.28</v>
      </c>
      <c r="G118">
        <f>MAX(D118, 'Hulp (overig)'!$C$12*'Hulp (CAO''s)'!$Z$7/12)</f>
        <v>5003.4799999999996</v>
      </c>
      <c r="J118">
        <f>IF(
    OR(
        AND(MAX(0, MIN($F$1, DATE(Initialisatie!$C$5,12,31)) - MAX($F$2, DATE(Initialisatie!$C$5,1,1)) + 1) &gt; 0, IFERROR(VALUE($F118),0)=0),
        AND(MAX(0, MIN($G$1, DATE(Initialisatie!$C$5,12,31)) - MAX($G$2, DATE(Initialisatie!$C$5,1,1)) + 1) &gt; 0, IFERROR(VALUE($G118),0)=0)
    ),
    0,
    SUM(
        IFERROR(VALUE($F118),0) * MAX(0, MIN($F$1, DATE(Initialisatie!$C$5,12,31)) - MAX($F$2, DATE(Initialisatie!$C$5,1,1)) + 1),
        IFERROR(VALUE($G118),0) * MAX(0, MIN($G$1, DATE(Initialisatie!$C$5,12,31)) - MAX($G$2, DATE(Initialisatie!$C$5,1,1)) + 1)
    ) / (DATE(Initialisatie!$C$5,12,31) - DATE(Initialisatie!$C$5,1,1) + 1)
)</f>
        <v>4919.5753424657532</v>
      </c>
    </row>
    <row r="119" spans="1:10" x14ac:dyDescent="0.45">
      <c r="A119" s="848"/>
      <c r="B119" s="48">
        <v>0</v>
      </c>
      <c r="C119">
        <v>5038.32</v>
      </c>
      <c r="D119">
        <v>5214.66</v>
      </c>
      <c r="F119">
        <f>MAX(C119, 'Hulp (overig)'!$C$12*'Hulp (CAO''s)'!$Z$7/12)</f>
        <v>5038.32</v>
      </c>
      <c r="G119">
        <f>MAX(D119, 'Hulp (overig)'!$C$12*'Hulp (CAO''s)'!$Z$7/12)</f>
        <v>5214.66</v>
      </c>
      <c r="J119">
        <f>IF(
    OR(
        AND(MAX(0, MIN($F$1, DATE(Initialisatie!$C$5,12,31)) - MAX($F$2, DATE(Initialisatie!$C$5,1,1)) + 1) &gt; 0, IFERROR(VALUE($F119),0)=0),
        AND(MAX(0, MIN($G$1, DATE(Initialisatie!$C$5,12,31)) - MAX($G$2, DATE(Initialisatie!$C$5,1,1)) + 1) &gt; 0, IFERROR(VALUE($G119),0)=0)
    ),
    0,
    SUM(
        IFERROR(VALUE($F119),0) * MAX(0, MIN($F$1, DATE(Initialisatie!$C$5,12,31)) - MAX($F$2, DATE(Initialisatie!$C$5,1,1)) + 1),
        IFERROR(VALUE($G119),0) * MAX(0, MIN($G$1, DATE(Initialisatie!$C$5,12,31)) - MAX($G$2, DATE(Initialisatie!$C$5,1,1)) + 1)
    ) / (DATE(Initialisatie!$C$5,12,31) - DATE(Initialisatie!$C$5,1,1) + 1)
)</f>
        <v>5127.2146849315068</v>
      </c>
    </row>
    <row r="120" spans="1:10" x14ac:dyDescent="0.45">
      <c r="A120" s="848"/>
      <c r="B120" s="48">
        <v>1</v>
      </c>
      <c r="C120">
        <v>5230.32</v>
      </c>
      <c r="D120">
        <v>5413.38</v>
      </c>
      <c r="F120">
        <f>MAX(C120, 'Hulp (overig)'!$C$12*'Hulp (CAO''s)'!$Z$7/12)</f>
        <v>5230.32</v>
      </c>
      <c r="G120">
        <f>MAX(D120, 'Hulp (overig)'!$C$12*'Hulp (CAO''s)'!$Z$7/12)</f>
        <v>5413.38</v>
      </c>
      <c r="J120">
        <f>IF(
    OR(
        AND(MAX(0, MIN($F$1, DATE(Initialisatie!$C$5,12,31)) - MAX($F$2, DATE(Initialisatie!$C$5,1,1)) + 1) &gt; 0, IFERROR(VALUE($F120),0)=0),
        AND(MAX(0, MIN($G$1, DATE(Initialisatie!$C$5,12,31)) - MAX($G$2, DATE(Initialisatie!$C$5,1,1)) + 1) &gt; 0, IFERROR(VALUE($G120),0)=0)
    ),
    0,
    SUM(
        IFERROR(VALUE($F120),0) * MAX(0, MIN($F$1, DATE(Initialisatie!$C$5,12,31)) - MAX($F$2, DATE(Initialisatie!$C$5,1,1)) + 1),
        IFERROR(VALUE($G120),0) * MAX(0, MIN($G$1, DATE(Initialisatie!$C$5,12,31)) - MAX($G$2, DATE(Initialisatie!$C$5,1,1)) + 1)
    ) / (DATE(Initialisatie!$C$5,12,31) - DATE(Initialisatie!$C$5,1,1) + 1)
)</f>
        <v>5322.6023013698623</v>
      </c>
    </row>
    <row r="121" spans="1:10" x14ac:dyDescent="0.45">
      <c r="A121" s="848"/>
      <c r="B121" s="48">
        <v>2</v>
      </c>
      <c r="C121">
        <v>5331.45</v>
      </c>
      <c r="D121">
        <v>5518.05</v>
      </c>
      <c r="F121">
        <f>MAX(C121, 'Hulp (overig)'!$C$12*'Hulp (CAO''s)'!$Z$7/12)</f>
        <v>5331.45</v>
      </c>
      <c r="G121">
        <f>MAX(D121, 'Hulp (overig)'!$C$12*'Hulp (CAO''s)'!$Z$7/12)</f>
        <v>5518.05</v>
      </c>
      <c r="J121">
        <f>IF(
    OR(
        AND(MAX(0, MIN($F$1, DATE(Initialisatie!$C$5,12,31)) - MAX($F$2, DATE(Initialisatie!$C$5,1,1)) + 1) &gt; 0, IFERROR(VALUE($F121),0)=0),
        AND(MAX(0, MIN($G$1, DATE(Initialisatie!$C$5,12,31)) - MAX($G$2, DATE(Initialisatie!$C$5,1,1)) + 1) &gt; 0, IFERROR(VALUE($G121),0)=0)
    ),
    0,
    SUM(
        IFERROR(VALUE($F121),0) * MAX(0, MIN($F$1, DATE(Initialisatie!$C$5,12,31)) - MAX($F$2, DATE(Initialisatie!$C$5,1,1)) + 1),
        IFERROR(VALUE($G121),0) * MAX(0, MIN($G$1, DATE(Initialisatie!$C$5,12,31)) - MAX($G$2, DATE(Initialisatie!$C$5,1,1)) + 1)
    ) / (DATE(Initialisatie!$C$5,12,31) - DATE(Initialisatie!$C$5,1,1) + 1)
)</f>
        <v>5425.5168493150686</v>
      </c>
    </row>
    <row r="122" spans="1:10" x14ac:dyDescent="0.45">
      <c r="A122" s="848"/>
      <c r="B122" s="48">
        <v>3</v>
      </c>
      <c r="C122">
        <v>5427.49</v>
      </c>
      <c r="D122">
        <v>5617.45</v>
      </c>
      <c r="F122">
        <f>MAX(C122, 'Hulp (overig)'!$C$12*'Hulp (CAO''s)'!$Z$7/12)</f>
        <v>5427.49</v>
      </c>
      <c r="G122">
        <f>MAX(D122, 'Hulp (overig)'!$C$12*'Hulp (CAO''s)'!$Z$7/12)</f>
        <v>5617.45</v>
      </c>
      <c r="J122">
        <f>IF(
    OR(
        AND(MAX(0, MIN($F$1, DATE(Initialisatie!$C$5,12,31)) - MAX($F$2, DATE(Initialisatie!$C$5,1,1)) + 1) &gt; 0, IFERROR(VALUE($F122),0)=0),
        AND(MAX(0, MIN($G$1, DATE(Initialisatie!$C$5,12,31)) - MAX($G$2, DATE(Initialisatie!$C$5,1,1)) + 1) &gt; 0, IFERROR(VALUE($G122),0)=0)
    ),
    0,
    SUM(
        IFERROR(VALUE($F122),0) * MAX(0, MIN($F$1, DATE(Initialisatie!$C$5,12,31)) - MAX($F$2, DATE(Initialisatie!$C$5,1,1)) + 1),
        IFERROR(VALUE($G122),0) * MAX(0, MIN($G$1, DATE(Initialisatie!$C$5,12,31)) - MAX($G$2, DATE(Initialisatie!$C$5,1,1)) + 1)
    ) / (DATE(Initialisatie!$C$5,12,31) - DATE(Initialisatie!$C$5,1,1) + 1)
)</f>
        <v>5523.2506575342459</v>
      </c>
    </row>
    <row r="123" spans="1:10" x14ac:dyDescent="0.45">
      <c r="A123" s="848"/>
      <c r="B123" s="48">
        <v>4</v>
      </c>
      <c r="C123">
        <v>5525.21</v>
      </c>
      <c r="D123">
        <v>5718.59</v>
      </c>
      <c r="F123">
        <f>MAX(C123, 'Hulp (overig)'!$C$12*'Hulp (CAO''s)'!$Z$7/12)</f>
        <v>5525.21</v>
      </c>
      <c r="G123">
        <f>MAX(D123, 'Hulp (overig)'!$C$12*'Hulp (CAO''s)'!$Z$7/12)</f>
        <v>5718.59</v>
      </c>
      <c r="J123">
        <f>IF(
    OR(
        AND(MAX(0, MIN($F$1, DATE(Initialisatie!$C$5,12,31)) - MAX($F$2, DATE(Initialisatie!$C$5,1,1)) + 1) &gt; 0, IFERROR(VALUE($F123),0)=0),
        AND(MAX(0, MIN($G$1, DATE(Initialisatie!$C$5,12,31)) - MAX($G$2, DATE(Initialisatie!$C$5,1,1)) + 1) &gt; 0, IFERROR(VALUE($G123),0)=0)
    ),
    0,
    SUM(
        IFERROR(VALUE($F123),0) * MAX(0, MIN($F$1, DATE(Initialisatie!$C$5,12,31)) - MAX($F$2, DATE(Initialisatie!$C$5,1,1)) + 1),
        IFERROR(VALUE($G123),0) * MAX(0, MIN($G$1, DATE(Initialisatie!$C$5,12,31)) - MAX($G$2, DATE(Initialisatie!$C$5,1,1)) + 1)
    ) / (DATE(Initialisatie!$C$5,12,31) - DATE(Initialisatie!$C$5,1,1) + 1)
)</f>
        <v>5622.6947123287673</v>
      </c>
    </row>
    <row r="124" spans="1:10" x14ac:dyDescent="0.45">
      <c r="A124" s="848"/>
      <c r="B124" s="48">
        <v>5</v>
      </c>
      <c r="C124">
        <v>5617.74</v>
      </c>
      <c r="D124">
        <v>5814.36</v>
      </c>
      <c r="F124">
        <f>MAX(C124, 'Hulp (overig)'!$C$12*'Hulp (CAO''s)'!$Z$7/12)</f>
        <v>5617.74</v>
      </c>
      <c r="G124">
        <f>MAX(D124, 'Hulp (overig)'!$C$12*'Hulp (CAO''s)'!$Z$7/12)</f>
        <v>5814.36</v>
      </c>
      <c r="J124">
        <f>IF(
    OR(
        AND(MAX(0, MIN($F$1, DATE(Initialisatie!$C$5,12,31)) - MAX($F$2, DATE(Initialisatie!$C$5,1,1)) + 1) &gt; 0, IFERROR(VALUE($F124),0)=0),
        AND(MAX(0, MIN($G$1, DATE(Initialisatie!$C$5,12,31)) - MAX($G$2, DATE(Initialisatie!$C$5,1,1)) + 1) &gt; 0, IFERROR(VALUE($G124),0)=0)
    ),
    0,
    SUM(
        IFERROR(VALUE($F124),0) * MAX(0, MIN($F$1, DATE(Initialisatie!$C$5,12,31)) - MAX($F$2, DATE(Initialisatie!$C$5,1,1)) + 1),
        IFERROR(VALUE($G124),0) * MAX(0, MIN($G$1, DATE(Initialisatie!$C$5,12,31)) - MAX($G$2, DATE(Initialisatie!$C$5,1,1)) + 1)
    ) / (DATE(Initialisatie!$C$5,12,31) - DATE(Initialisatie!$C$5,1,1) + 1)
)</f>
        <v>5716.8580273972602</v>
      </c>
    </row>
    <row r="125" spans="1:10" x14ac:dyDescent="0.45">
      <c r="A125" s="848"/>
      <c r="B125" s="48">
        <v>6</v>
      </c>
      <c r="C125">
        <v>5787.48</v>
      </c>
      <c r="D125">
        <v>5990.04</v>
      </c>
      <c r="F125">
        <f>MAX(C125, 'Hulp (overig)'!$C$12*'Hulp (CAO''s)'!$Z$7/12)</f>
        <v>5787.48</v>
      </c>
      <c r="G125">
        <f>MAX(D125, 'Hulp (overig)'!$C$12*'Hulp (CAO''s)'!$Z$7/12)</f>
        <v>5990.04</v>
      </c>
      <c r="J125">
        <f>IF(
    OR(
        AND(MAX(0, MIN($F$1, DATE(Initialisatie!$C$5,12,31)) - MAX($F$2, DATE(Initialisatie!$C$5,1,1)) + 1) &gt; 0, IFERROR(VALUE($F125),0)=0),
        AND(MAX(0, MIN($G$1, DATE(Initialisatie!$C$5,12,31)) - MAX($G$2, DATE(Initialisatie!$C$5,1,1)) + 1) &gt; 0, IFERROR(VALUE($G125),0)=0)
    ),
    0,
    SUM(
        IFERROR(VALUE($F125),0) * MAX(0, MIN($F$1, DATE(Initialisatie!$C$5,12,31)) - MAX($F$2, DATE(Initialisatie!$C$5,1,1)) + 1),
        IFERROR(VALUE($G125),0) * MAX(0, MIN($G$1, DATE(Initialisatie!$C$5,12,31)) - MAX($G$2, DATE(Initialisatie!$C$5,1,1)) + 1)
    ) / (DATE(Initialisatie!$C$5,12,31) - DATE(Initialisatie!$C$5,1,1) + 1)
)</f>
        <v>5889.5924383561651</v>
      </c>
    </row>
    <row r="126" spans="1:10" x14ac:dyDescent="0.45">
      <c r="A126" s="848"/>
      <c r="B126" s="48">
        <v>7</v>
      </c>
      <c r="C126">
        <v>5962.34</v>
      </c>
      <c r="D126">
        <v>6171.02</v>
      </c>
      <c r="F126">
        <f>MAX(C126, 'Hulp (overig)'!$C$12*'Hulp (CAO''s)'!$Z$7/12)</f>
        <v>5962.34</v>
      </c>
      <c r="G126">
        <f>MAX(D126, 'Hulp (overig)'!$C$12*'Hulp (CAO''s)'!$Z$7/12)</f>
        <v>6171.02</v>
      </c>
      <c r="J126">
        <f>IF(
    OR(
        AND(MAX(0, MIN($F$1, DATE(Initialisatie!$C$5,12,31)) - MAX($F$2, DATE(Initialisatie!$C$5,1,1)) + 1) &gt; 0, IFERROR(VALUE($F126),0)=0),
        AND(MAX(0, MIN($G$1, DATE(Initialisatie!$C$5,12,31)) - MAX($G$2, DATE(Initialisatie!$C$5,1,1)) + 1) &gt; 0, IFERROR(VALUE($G126),0)=0)
    ),
    0,
    SUM(
        IFERROR(VALUE($F126),0) * MAX(0, MIN($F$1, DATE(Initialisatie!$C$5,12,31)) - MAX($F$2, DATE(Initialisatie!$C$5,1,1)) + 1),
        IFERROR(VALUE($G126),0) * MAX(0, MIN($G$1, DATE(Initialisatie!$C$5,12,31)) - MAX($G$2, DATE(Initialisatie!$C$5,1,1)) + 1)
    ) / (DATE(Initialisatie!$C$5,12,31) - DATE(Initialisatie!$C$5,1,1) + 1)
)</f>
        <v>6067.537589041096</v>
      </c>
    </row>
    <row r="127" spans="1:10" x14ac:dyDescent="0.45">
      <c r="A127" s="848"/>
      <c r="B127" s="48">
        <v>8</v>
      </c>
      <c r="C127">
        <v>6138.9</v>
      </c>
      <c r="D127">
        <v>6353.76</v>
      </c>
      <c r="F127">
        <f>MAX(C127, 'Hulp (overig)'!$C$12*'Hulp (CAO''s)'!$Z$7/12)</f>
        <v>6138.9</v>
      </c>
      <c r="G127">
        <f>MAX(D127, 'Hulp (overig)'!$C$12*'Hulp (CAO''s)'!$Z$7/12)</f>
        <v>6353.76</v>
      </c>
      <c r="J127">
        <f>IF(
    OR(
        AND(MAX(0, MIN($F$1, DATE(Initialisatie!$C$5,12,31)) - MAX($F$2, DATE(Initialisatie!$C$5,1,1)) + 1) &gt; 0, IFERROR(VALUE($F127),0)=0),
        AND(MAX(0, MIN($G$1, DATE(Initialisatie!$C$5,12,31)) - MAX($G$2, DATE(Initialisatie!$C$5,1,1)) + 1) &gt; 0, IFERROR(VALUE($G127),0)=0)
    ),
    0,
    SUM(
        IFERROR(VALUE($F127),0) * MAX(0, MIN($F$1, DATE(Initialisatie!$C$5,12,31)) - MAX($F$2, DATE(Initialisatie!$C$5,1,1)) + 1),
        IFERROR(VALUE($G127),0) * MAX(0, MIN($G$1, DATE(Initialisatie!$C$5,12,31)) - MAX($G$2, DATE(Initialisatie!$C$5,1,1)) + 1)
    ) / (DATE(Initialisatie!$C$5,12,31) - DATE(Initialisatie!$C$5,1,1) + 1)
)</f>
        <v>6247.2129863013706</v>
      </c>
    </row>
    <row r="128" spans="1:10" x14ac:dyDescent="0.45">
      <c r="A128" s="848"/>
      <c r="B128" s="48">
        <v>9</v>
      </c>
      <c r="C128">
        <v>6313.73</v>
      </c>
      <c r="D128">
        <v>6534.71</v>
      </c>
      <c r="F128">
        <f>MAX(C128, 'Hulp (overig)'!$C$12*'Hulp (CAO''s)'!$Z$7/12)</f>
        <v>6313.73</v>
      </c>
      <c r="G128">
        <f>MAX(D128, 'Hulp (overig)'!$C$12*'Hulp (CAO''s)'!$Z$7/12)</f>
        <v>6534.71</v>
      </c>
      <c r="J128">
        <f>IF(
    OR(
        AND(MAX(0, MIN($F$1, DATE(Initialisatie!$C$5,12,31)) - MAX($F$2, DATE(Initialisatie!$C$5,1,1)) + 1) &gt; 0, IFERROR(VALUE($F128),0)=0),
        AND(MAX(0, MIN($G$1, DATE(Initialisatie!$C$5,12,31)) - MAX($G$2, DATE(Initialisatie!$C$5,1,1)) + 1) &gt; 0, IFERROR(VALUE($G128),0)=0)
    ),
    0,
    SUM(
        IFERROR(VALUE($F128),0) * MAX(0, MIN($F$1, DATE(Initialisatie!$C$5,12,31)) - MAX($F$2, DATE(Initialisatie!$C$5,1,1)) + 1),
        IFERROR(VALUE($G128),0) * MAX(0, MIN($G$1, DATE(Initialisatie!$C$5,12,31)) - MAX($G$2, DATE(Initialisatie!$C$5,1,1)) + 1)
    ) / (DATE(Initialisatie!$C$5,12,31) - DATE(Initialisatie!$C$5,1,1) + 1)
)</f>
        <v>6425.1281369863</v>
      </c>
    </row>
    <row r="129" spans="1:10" x14ac:dyDescent="0.45">
      <c r="A129" s="848"/>
      <c r="B129" s="48">
        <v>10</v>
      </c>
      <c r="C129">
        <v>6490.32</v>
      </c>
      <c r="D129">
        <v>6717.48</v>
      </c>
      <c r="F129">
        <f>MAX(C129, 'Hulp (overig)'!$C$12*'Hulp (CAO''s)'!$Z$7/12)</f>
        <v>6490.32</v>
      </c>
      <c r="G129">
        <f>MAX(D129, 'Hulp (overig)'!$C$12*'Hulp (CAO''s)'!$Z$7/12)</f>
        <v>6717.48</v>
      </c>
      <c r="J129">
        <f>IF(
    OR(
        AND(MAX(0, MIN($F$1, DATE(Initialisatie!$C$5,12,31)) - MAX($F$2, DATE(Initialisatie!$C$5,1,1)) + 1) &gt; 0, IFERROR(VALUE($F129),0)=0),
        AND(MAX(0, MIN($G$1, DATE(Initialisatie!$C$5,12,31)) - MAX($G$2, DATE(Initialisatie!$C$5,1,1)) + 1) &gt; 0, IFERROR(VALUE($G129),0)=0)
    ),
    0,
    SUM(
        IFERROR(VALUE($F129),0) * MAX(0, MIN($F$1, DATE(Initialisatie!$C$5,12,31)) - MAX($F$2, DATE(Initialisatie!$C$5,1,1)) + 1),
        IFERROR(VALUE($G129),0) * MAX(0, MIN($G$1, DATE(Initialisatie!$C$5,12,31)) - MAX($G$2, DATE(Initialisatie!$C$5,1,1)) + 1)
    ) / (DATE(Initialisatie!$C$5,12,31) - DATE(Initialisatie!$C$5,1,1) + 1)
)</f>
        <v>6604.8335342465743</v>
      </c>
    </row>
    <row r="130" spans="1:10" x14ac:dyDescent="0.45">
      <c r="A130" s="848"/>
      <c r="B130" s="48">
        <v>11</v>
      </c>
      <c r="C130">
        <v>6666.89</v>
      </c>
      <c r="D130">
        <v>6900.23</v>
      </c>
      <c r="F130">
        <f>MAX(C130, 'Hulp (overig)'!$C$12*'Hulp (CAO''s)'!$Z$7/12)</f>
        <v>6666.89</v>
      </c>
      <c r="G130">
        <f>MAX(D130, 'Hulp (overig)'!$C$12*'Hulp (CAO''s)'!$Z$7/12)</f>
        <v>6900.23</v>
      </c>
      <c r="J130">
        <f>IF(
    OR(
        AND(MAX(0, MIN($F$1, DATE(Initialisatie!$C$5,12,31)) - MAX($F$2, DATE(Initialisatie!$C$5,1,1)) + 1) &gt; 0, IFERROR(VALUE($F130),0)=0),
        AND(MAX(0, MIN($G$1, DATE(Initialisatie!$C$5,12,31)) - MAX($G$2, DATE(Initialisatie!$C$5,1,1)) + 1) &gt; 0, IFERROR(VALUE($G130),0)=0)
    ),
    0,
    SUM(
        IFERROR(VALUE($F130),0) * MAX(0, MIN($F$1, DATE(Initialisatie!$C$5,12,31)) - MAX($F$2, DATE(Initialisatie!$C$5,1,1)) + 1),
        IFERROR(VALUE($G130),0) * MAX(0, MIN($G$1, DATE(Initialisatie!$C$5,12,31)) - MAX($G$2, DATE(Initialisatie!$C$5,1,1)) + 1)
    ) / (DATE(Initialisatie!$C$5,12,31) - DATE(Initialisatie!$C$5,1,1) + 1)
)</f>
        <v>6784.5189315068501</v>
      </c>
    </row>
    <row r="131" spans="1:10" x14ac:dyDescent="0.45">
      <c r="A131" s="848"/>
      <c r="B131" s="48">
        <v>12</v>
      </c>
      <c r="C131">
        <v>6752.61</v>
      </c>
      <c r="D131">
        <v>6988.95</v>
      </c>
      <c r="F131">
        <f>MAX(C131, 'Hulp (overig)'!$C$12*'Hulp (CAO''s)'!$Z$7/12)</f>
        <v>6752.61</v>
      </c>
      <c r="G131">
        <f>MAX(D131, 'Hulp (overig)'!$C$12*'Hulp (CAO''s)'!$Z$7/12)</f>
        <v>6988.95</v>
      </c>
      <c r="J131">
        <f>IF(
    OR(
        AND(MAX(0, MIN($F$1, DATE(Initialisatie!$C$5,12,31)) - MAX($F$2, DATE(Initialisatie!$C$5,1,1)) + 1) &gt; 0, IFERROR(VALUE($F131),0)=0),
        AND(MAX(0, MIN($G$1, DATE(Initialisatie!$C$5,12,31)) - MAX($G$2, DATE(Initialisatie!$C$5,1,1)) + 1) &gt; 0, IFERROR(VALUE($G131),0)=0)
    ),
    0,
    SUM(
        IFERROR(VALUE($F131),0) * MAX(0, MIN($F$1, DATE(Initialisatie!$C$5,12,31)) - MAX($F$2, DATE(Initialisatie!$C$5,1,1)) + 1),
        IFERROR(VALUE($G131),0) * MAX(0, MIN($G$1, DATE(Initialisatie!$C$5,12,31)) - MAX($G$2, DATE(Initialisatie!$C$5,1,1)) + 1)
    ) / (DATE(Initialisatie!$C$5,12,31) - DATE(Initialisatie!$C$5,1,1) + 1)
)</f>
        <v>6871.7512602739725</v>
      </c>
    </row>
    <row r="132" spans="1:10" x14ac:dyDescent="0.45">
      <c r="A132" s="848"/>
      <c r="B132" s="48">
        <v>13</v>
      </c>
      <c r="C132">
        <v>6840.02</v>
      </c>
      <c r="D132">
        <v>7079.42</v>
      </c>
      <c r="F132">
        <f>MAX(C132, 'Hulp (overig)'!$C$12*'Hulp (CAO''s)'!$Z$7/12)</f>
        <v>6840.02</v>
      </c>
      <c r="G132">
        <f>MAX(D132, 'Hulp (overig)'!$C$12*'Hulp (CAO''s)'!$Z$7/12)</f>
        <v>7079.42</v>
      </c>
      <c r="J132">
        <f>IF(
    OR(
        AND(MAX(0, MIN($F$1, DATE(Initialisatie!$C$5,12,31)) - MAX($F$2, DATE(Initialisatie!$C$5,1,1)) + 1) &gt; 0, IFERROR(VALUE($F132),0)=0),
        AND(MAX(0, MIN($G$1, DATE(Initialisatie!$C$5,12,31)) - MAX($G$2, DATE(Initialisatie!$C$5,1,1)) + 1) &gt; 0, IFERROR(VALUE($G132),0)=0)
    ),
    0,
    SUM(
        IFERROR(VALUE($F132),0) * MAX(0, MIN($F$1, DATE(Initialisatie!$C$5,12,31)) - MAX($F$2, DATE(Initialisatie!$C$5,1,1)) + 1),
        IFERROR(VALUE($G132),0) * MAX(0, MIN($G$1, DATE(Initialisatie!$C$5,12,31)) - MAX($G$2, DATE(Initialisatie!$C$5,1,1)) + 1)
    ) / (DATE(Initialisatie!$C$5,12,31) - DATE(Initialisatie!$C$5,1,1) + 1)
)</f>
        <v>6960.7038356164394</v>
      </c>
    </row>
    <row r="133" spans="1:10" x14ac:dyDescent="0.45">
      <c r="A133" s="848"/>
      <c r="B133" s="48">
        <v>14</v>
      </c>
      <c r="C133">
        <v>6930.89</v>
      </c>
      <c r="D133">
        <v>7173.47</v>
      </c>
      <c r="F133">
        <f>MAX(C133, 'Hulp (overig)'!$C$12*'Hulp (CAO''s)'!$Z$7/12)</f>
        <v>6930.89</v>
      </c>
      <c r="G133">
        <f>MAX(D133, 'Hulp (overig)'!$C$12*'Hulp (CAO''s)'!$Z$7/12)</f>
        <v>7173.47</v>
      </c>
      <c r="J133">
        <f>IF(
    OR(
        AND(MAX(0, MIN($F$1, DATE(Initialisatie!$C$5,12,31)) - MAX($F$2, DATE(Initialisatie!$C$5,1,1)) + 1) &gt; 0, IFERROR(VALUE($F133),0)=0),
        AND(MAX(0, MIN($G$1, DATE(Initialisatie!$C$5,12,31)) - MAX($G$2, DATE(Initialisatie!$C$5,1,1)) + 1) &gt; 0, IFERROR(VALUE($G133),0)=0)
    ),
    0,
    SUM(
        IFERROR(VALUE($F133),0) * MAX(0, MIN($F$1, DATE(Initialisatie!$C$5,12,31)) - MAX($F$2, DATE(Initialisatie!$C$5,1,1)) + 1),
        IFERROR(VALUE($G133),0) * MAX(0, MIN($G$1, DATE(Initialisatie!$C$5,12,31)) - MAX($G$2, DATE(Initialisatie!$C$5,1,1)) + 1)
    ) / (DATE(Initialisatie!$C$5,12,31) - DATE(Initialisatie!$C$5,1,1) + 1)
)</f>
        <v>7053.1769041095895</v>
      </c>
    </row>
    <row r="134" spans="1:10" x14ac:dyDescent="0.45">
      <c r="A134" s="848"/>
      <c r="B134" s="48">
        <v>15</v>
      </c>
      <c r="C134">
        <v>7018.3</v>
      </c>
      <c r="D134">
        <v>7263.94</v>
      </c>
      <c r="F134">
        <f>MAX(C134, 'Hulp (overig)'!$C$12*'Hulp (CAO''s)'!$Z$7/12)</f>
        <v>7018.3</v>
      </c>
      <c r="G134">
        <f>MAX(D134, 'Hulp (overig)'!$C$12*'Hulp (CAO''s)'!$Z$7/12)</f>
        <v>7263.94</v>
      </c>
      <c r="J134">
        <f>IF(
    OR(
        AND(MAX(0, MIN($F$1, DATE(Initialisatie!$C$5,12,31)) - MAX($F$2, DATE(Initialisatie!$C$5,1,1)) + 1) &gt; 0, IFERROR(VALUE($F134),0)=0),
        AND(MAX(0, MIN($G$1, DATE(Initialisatie!$C$5,12,31)) - MAX($G$2, DATE(Initialisatie!$C$5,1,1)) + 1) &gt; 0, IFERROR(VALUE($G134),0)=0)
    ),
    0,
    SUM(
        IFERROR(VALUE($F134),0) * MAX(0, MIN($F$1, DATE(Initialisatie!$C$5,12,31)) - MAX($F$2, DATE(Initialisatie!$C$5,1,1)) + 1),
        IFERROR(VALUE($G134),0) * MAX(0, MIN($G$1, DATE(Initialisatie!$C$5,12,31)) - MAX($G$2, DATE(Initialisatie!$C$5,1,1)) + 1)
    ) / (DATE(Initialisatie!$C$5,12,31) - DATE(Initialisatie!$C$5,1,1) + 1)
)</f>
        <v>7142.1294794520545</v>
      </c>
    </row>
    <row r="135" spans="1:10" x14ac:dyDescent="0.45">
      <c r="A135" s="848">
        <v>70</v>
      </c>
      <c r="B135" s="48" t="s">
        <v>2203</v>
      </c>
      <c r="C135">
        <v>5617.74</v>
      </c>
      <c r="D135">
        <v>5814.36</v>
      </c>
      <c r="F135">
        <f>MAX(C135, 'Hulp (overig)'!$C$12*'Hulp (CAO''s)'!$Z$7/12)</f>
        <v>5617.74</v>
      </c>
      <c r="G135">
        <f>MAX(D135, 'Hulp (overig)'!$C$12*'Hulp (CAO''s)'!$Z$7/12)</f>
        <v>5814.36</v>
      </c>
      <c r="J135">
        <f>IF(
    OR(
        AND(MAX(0, MIN($F$1, DATE(Initialisatie!$C$5,12,31)) - MAX($F$2, DATE(Initialisatie!$C$5,1,1)) + 1) &gt; 0, IFERROR(VALUE($F135),0)=0),
        AND(MAX(0, MIN($G$1, DATE(Initialisatie!$C$5,12,31)) - MAX($G$2, DATE(Initialisatie!$C$5,1,1)) + 1) &gt; 0, IFERROR(VALUE($G135),0)=0)
    ),
    0,
    SUM(
        IFERROR(VALUE($F135),0) * MAX(0, MIN($F$1, DATE(Initialisatie!$C$5,12,31)) - MAX($F$2, DATE(Initialisatie!$C$5,1,1)) + 1),
        IFERROR(VALUE($G135),0) * MAX(0, MIN($G$1, DATE(Initialisatie!$C$5,12,31)) - MAX($G$2, DATE(Initialisatie!$C$5,1,1)) + 1)
    ) / (DATE(Initialisatie!$C$5,12,31) - DATE(Initialisatie!$C$5,1,1) + 1)
)</f>
        <v>5716.8580273972602</v>
      </c>
    </row>
    <row r="136" spans="1:10" x14ac:dyDescent="0.45">
      <c r="A136" s="848"/>
      <c r="B136" s="48" t="s">
        <v>2204</v>
      </c>
      <c r="C136">
        <v>5787.48</v>
      </c>
      <c r="D136">
        <v>5990.04</v>
      </c>
      <c r="F136">
        <f>MAX(C136, 'Hulp (overig)'!$C$12*'Hulp (CAO''s)'!$Z$7/12)</f>
        <v>5787.48</v>
      </c>
      <c r="G136">
        <f>MAX(D136, 'Hulp (overig)'!$C$12*'Hulp (CAO''s)'!$Z$7/12)</f>
        <v>5990.04</v>
      </c>
      <c r="J136">
        <f>IF(
    OR(
        AND(MAX(0, MIN($F$1, DATE(Initialisatie!$C$5,12,31)) - MAX($F$2, DATE(Initialisatie!$C$5,1,1)) + 1) &gt; 0, IFERROR(VALUE($F136),0)=0),
        AND(MAX(0, MIN($G$1, DATE(Initialisatie!$C$5,12,31)) - MAX($G$2, DATE(Initialisatie!$C$5,1,1)) + 1) &gt; 0, IFERROR(VALUE($G136),0)=0)
    ),
    0,
    SUM(
        IFERROR(VALUE($F136),0) * MAX(0, MIN($F$1, DATE(Initialisatie!$C$5,12,31)) - MAX($F$2, DATE(Initialisatie!$C$5,1,1)) + 1),
        IFERROR(VALUE($G136),0) * MAX(0, MIN($G$1, DATE(Initialisatie!$C$5,12,31)) - MAX($G$2, DATE(Initialisatie!$C$5,1,1)) + 1)
    ) / (DATE(Initialisatie!$C$5,12,31) - DATE(Initialisatie!$C$5,1,1) + 1)
)</f>
        <v>5889.5924383561651</v>
      </c>
    </row>
    <row r="137" spans="1:10" x14ac:dyDescent="0.45">
      <c r="A137" s="848"/>
      <c r="B137" s="48">
        <v>0</v>
      </c>
      <c r="C137">
        <v>5962.34</v>
      </c>
      <c r="D137">
        <v>6171.02</v>
      </c>
      <c r="F137">
        <f>MAX(C137, 'Hulp (overig)'!$C$12*'Hulp (CAO''s)'!$Z$7/12)</f>
        <v>5962.34</v>
      </c>
      <c r="G137">
        <f>MAX(D137, 'Hulp (overig)'!$C$12*'Hulp (CAO''s)'!$Z$7/12)</f>
        <v>6171.02</v>
      </c>
      <c r="J137">
        <f>IF(
    OR(
        AND(MAX(0, MIN($F$1, DATE(Initialisatie!$C$5,12,31)) - MAX($F$2, DATE(Initialisatie!$C$5,1,1)) + 1) &gt; 0, IFERROR(VALUE($F137),0)=0),
        AND(MAX(0, MIN($G$1, DATE(Initialisatie!$C$5,12,31)) - MAX($G$2, DATE(Initialisatie!$C$5,1,1)) + 1) &gt; 0, IFERROR(VALUE($G137),0)=0)
    ),
    0,
    SUM(
        IFERROR(VALUE($F137),0) * MAX(0, MIN($F$1, DATE(Initialisatie!$C$5,12,31)) - MAX($F$2, DATE(Initialisatie!$C$5,1,1)) + 1),
        IFERROR(VALUE($G137),0) * MAX(0, MIN($G$1, DATE(Initialisatie!$C$5,12,31)) - MAX($G$2, DATE(Initialisatie!$C$5,1,1)) + 1)
    ) / (DATE(Initialisatie!$C$5,12,31) - DATE(Initialisatie!$C$5,1,1) + 1)
)</f>
        <v>6067.537589041096</v>
      </c>
    </row>
    <row r="138" spans="1:10" x14ac:dyDescent="0.45">
      <c r="A138" s="848"/>
      <c r="B138" s="48">
        <v>1</v>
      </c>
      <c r="C138">
        <v>6138.9</v>
      </c>
      <c r="D138">
        <v>6353.76</v>
      </c>
      <c r="F138">
        <f>MAX(C138, 'Hulp (overig)'!$C$12*'Hulp (CAO''s)'!$Z$7/12)</f>
        <v>6138.9</v>
      </c>
      <c r="G138">
        <f>MAX(D138, 'Hulp (overig)'!$C$12*'Hulp (CAO''s)'!$Z$7/12)</f>
        <v>6353.76</v>
      </c>
      <c r="J138">
        <f>IF(
    OR(
        AND(MAX(0, MIN($F$1, DATE(Initialisatie!$C$5,12,31)) - MAX($F$2, DATE(Initialisatie!$C$5,1,1)) + 1) &gt; 0, IFERROR(VALUE($F138),0)=0),
        AND(MAX(0, MIN($G$1, DATE(Initialisatie!$C$5,12,31)) - MAX($G$2, DATE(Initialisatie!$C$5,1,1)) + 1) &gt; 0, IFERROR(VALUE($G138),0)=0)
    ),
    0,
    SUM(
        IFERROR(VALUE($F138),0) * MAX(0, MIN($F$1, DATE(Initialisatie!$C$5,12,31)) - MAX($F$2, DATE(Initialisatie!$C$5,1,1)) + 1),
        IFERROR(VALUE($G138),0) * MAX(0, MIN($G$1, DATE(Initialisatie!$C$5,12,31)) - MAX($G$2, DATE(Initialisatie!$C$5,1,1)) + 1)
    ) / (DATE(Initialisatie!$C$5,12,31) - DATE(Initialisatie!$C$5,1,1) + 1)
)</f>
        <v>6247.2129863013706</v>
      </c>
    </row>
    <row r="139" spans="1:10" x14ac:dyDescent="0.45">
      <c r="A139" s="848"/>
      <c r="B139" s="48">
        <v>2</v>
      </c>
      <c r="C139">
        <v>6228.03</v>
      </c>
      <c r="D139">
        <v>6446.01</v>
      </c>
      <c r="F139">
        <f>MAX(C139, 'Hulp (overig)'!$C$12*'Hulp (CAO''s)'!$Z$7/12)</f>
        <v>6228.03</v>
      </c>
      <c r="G139">
        <f>MAX(D139, 'Hulp (overig)'!$C$12*'Hulp (CAO''s)'!$Z$7/12)</f>
        <v>6446.01</v>
      </c>
      <c r="J139">
        <f>IF(
    OR(
        AND(MAX(0, MIN($F$1, DATE(Initialisatie!$C$5,12,31)) - MAX($F$2, DATE(Initialisatie!$C$5,1,1)) + 1) &gt; 0, IFERROR(VALUE($F139),0)=0),
        AND(MAX(0, MIN($G$1, DATE(Initialisatie!$C$5,12,31)) - MAX($G$2, DATE(Initialisatie!$C$5,1,1)) + 1) &gt; 0, IFERROR(VALUE($G139),0)=0)
    ),
    0,
    SUM(
        IFERROR(VALUE($F139),0) * MAX(0, MIN($F$1, DATE(Initialisatie!$C$5,12,31)) - MAX($F$2, DATE(Initialisatie!$C$5,1,1)) + 1),
        IFERROR(VALUE($G139),0) * MAX(0, MIN($G$1, DATE(Initialisatie!$C$5,12,31)) - MAX($G$2, DATE(Initialisatie!$C$5,1,1)) + 1)
    ) / (DATE(Initialisatie!$C$5,12,31) - DATE(Initialisatie!$C$5,1,1) + 1)
)</f>
        <v>6337.915808219178</v>
      </c>
    </row>
    <row r="140" spans="1:10" x14ac:dyDescent="0.45">
      <c r="A140" s="848"/>
      <c r="B140" s="48">
        <v>3</v>
      </c>
      <c r="C140">
        <v>6313.73</v>
      </c>
      <c r="D140">
        <v>6534.71</v>
      </c>
      <c r="F140">
        <f>MAX(C140, 'Hulp (overig)'!$C$12*'Hulp (CAO''s)'!$Z$7/12)</f>
        <v>6313.73</v>
      </c>
      <c r="G140">
        <f>MAX(D140, 'Hulp (overig)'!$C$12*'Hulp (CAO''s)'!$Z$7/12)</f>
        <v>6534.71</v>
      </c>
      <c r="J140">
        <f>IF(
    OR(
        AND(MAX(0, MIN($F$1, DATE(Initialisatie!$C$5,12,31)) - MAX($F$2, DATE(Initialisatie!$C$5,1,1)) + 1) &gt; 0, IFERROR(VALUE($F140),0)=0),
        AND(MAX(0, MIN($G$1, DATE(Initialisatie!$C$5,12,31)) - MAX($G$2, DATE(Initialisatie!$C$5,1,1)) + 1) &gt; 0, IFERROR(VALUE($G140),0)=0)
    ),
    0,
    SUM(
        IFERROR(VALUE($F140),0) * MAX(0, MIN($F$1, DATE(Initialisatie!$C$5,12,31)) - MAX($F$2, DATE(Initialisatie!$C$5,1,1)) + 1),
        IFERROR(VALUE($G140),0) * MAX(0, MIN($G$1, DATE(Initialisatie!$C$5,12,31)) - MAX($G$2, DATE(Initialisatie!$C$5,1,1)) + 1)
    ) / (DATE(Initialisatie!$C$5,12,31) - DATE(Initialisatie!$C$5,1,1) + 1)
)</f>
        <v>6425.1281369863</v>
      </c>
    </row>
    <row r="141" spans="1:10" x14ac:dyDescent="0.45">
      <c r="A141" s="848"/>
      <c r="B141" s="48">
        <v>4</v>
      </c>
      <c r="C141">
        <v>6404.59</v>
      </c>
      <c r="D141">
        <v>6628.75</v>
      </c>
      <c r="F141">
        <f>MAX(C141, 'Hulp (overig)'!$C$12*'Hulp (CAO''s)'!$Z$7/12)</f>
        <v>6404.59</v>
      </c>
      <c r="G141">
        <f>MAX(D141, 'Hulp (overig)'!$C$12*'Hulp (CAO''s)'!$Z$7/12)</f>
        <v>6628.75</v>
      </c>
      <c r="J141">
        <f>IF(
    OR(
        AND(MAX(0, MIN($F$1, DATE(Initialisatie!$C$5,12,31)) - MAX($F$2, DATE(Initialisatie!$C$5,1,1)) + 1) &gt; 0, IFERROR(VALUE($F141),0)=0),
        AND(MAX(0, MIN($G$1, DATE(Initialisatie!$C$5,12,31)) - MAX($G$2, DATE(Initialisatie!$C$5,1,1)) + 1) &gt; 0, IFERROR(VALUE($G141),0)=0)
    ),
    0,
    SUM(
        IFERROR(VALUE($F141),0) * MAX(0, MIN($F$1, DATE(Initialisatie!$C$5,12,31)) - MAX($F$2, DATE(Initialisatie!$C$5,1,1)) + 1),
        IFERROR(VALUE($G141),0) * MAX(0, MIN($G$1, DATE(Initialisatie!$C$5,12,31)) - MAX($G$2, DATE(Initialisatie!$C$5,1,1)) + 1)
    ) / (DATE(Initialisatie!$C$5,12,31) - DATE(Initialisatie!$C$5,1,1) + 1)
)</f>
        <v>6517.5912054794526</v>
      </c>
    </row>
    <row r="142" spans="1:10" x14ac:dyDescent="0.45">
      <c r="A142" s="848"/>
      <c r="B142" s="48">
        <v>5</v>
      </c>
      <c r="C142">
        <v>6666.89</v>
      </c>
      <c r="D142">
        <v>6900.23</v>
      </c>
      <c r="F142">
        <f>MAX(C142, 'Hulp (overig)'!$C$12*'Hulp (CAO''s)'!$Z$7/12)</f>
        <v>6666.89</v>
      </c>
      <c r="G142">
        <f>MAX(D142, 'Hulp (overig)'!$C$12*'Hulp (CAO''s)'!$Z$7/12)</f>
        <v>6900.23</v>
      </c>
      <c r="J142">
        <f>IF(
    OR(
        AND(MAX(0, MIN($F$1, DATE(Initialisatie!$C$5,12,31)) - MAX($F$2, DATE(Initialisatie!$C$5,1,1)) + 1) &gt; 0, IFERROR(VALUE($F142),0)=0),
        AND(MAX(0, MIN($G$1, DATE(Initialisatie!$C$5,12,31)) - MAX($G$2, DATE(Initialisatie!$C$5,1,1)) + 1) &gt; 0, IFERROR(VALUE($G142),0)=0)
    ),
    0,
    SUM(
        IFERROR(VALUE($F142),0) * MAX(0, MIN($F$1, DATE(Initialisatie!$C$5,12,31)) - MAX($F$2, DATE(Initialisatie!$C$5,1,1)) + 1),
        IFERROR(VALUE($G142),0) * MAX(0, MIN($G$1, DATE(Initialisatie!$C$5,12,31)) - MAX($G$2, DATE(Initialisatie!$C$5,1,1)) + 1)
    ) / (DATE(Initialisatie!$C$5,12,31) - DATE(Initialisatie!$C$5,1,1) + 1)
)</f>
        <v>6784.5189315068501</v>
      </c>
    </row>
    <row r="143" spans="1:10" x14ac:dyDescent="0.45">
      <c r="A143" s="848"/>
      <c r="B143" s="48">
        <v>6</v>
      </c>
      <c r="C143">
        <v>6930.89</v>
      </c>
      <c r="D143">
        <v>7173.47</v>
      </c>
      <c r="F143">
        <f>MAX(C143, 'Hulp (overig)'!$C$12*'Hulp (CAO''s)'!$Z$7/12)</f>
        <v>6930.89</v>
      </c>
      <c r="G143">
        <f>MAX(D143, 'Hulp (overig)'!$C$12*'Hulp (CAO''s)'!$Z$7/12)</f>
        <v>7173.47</v>
      </c>
      <c r="J143">
        <f>IF(
    OR(
        AND(MAX(0, MIN($F$1, DATE(Initialisatie!$C$5,12,31)) - MAX($F$2, DATE(Initialisatie!$C$5,1,1)) + 1) &gt; 0, IFERROR(VALUE($F143),0)=0),
        AND(MAX(0, MIN($G$1, DATE(Initialisatie!$C$5,12,31)) - MAX($G$2, DATE(Initialisatie!$C$5,1,1)) + 1) &gt; 0, IFERROR(VALUE($G143),0)=0)
    ),
    0,
    SUM(
        IFERROR(VALUE($F143),0) * MAX(0, MIN($F$1, DATE(Initialisatie!$C$5,12,31)) - MAX($F$2, DATE(Initialisatie!$C$5,1,1)) + 1),
        IFERROR(VALUE($G143),0) * MAX(0, MIN($G$1, DATE(Initialisatie!$C$5,12,31)) - MAX($G$2, DATE(Initialisatie!$C$5,1,1)) + 1)
    ) / (DATE(Initialisatie!$C$5,12,31) - DATE(Initialisatie!$C$5,1,1) + 1)
)</f>
        <v>7053.1769041095895</v>
      </c>
    </row>
    <row r="144" spans="1:10" x14ac:dyDescent="0.45">
      <c r="A144" s="848"/>
      <c r="B144" s="48">
        <v>7</v>
      </c>
      <c r="C144">
        <v>7107.79</v>
      </c>
      <c r="D144">
        <v>7356.56</v>
      </c>
      <c r="F144">
        <f>MAX(C144, 'Hulp (overig)'!$C$12*'Hulp (CAO''s)'!$Z$7/12)</f>
        <v>7107.79</v>
      </c>
      <c r="G144">
        <f>MAX(D144, 'Hulp (overig)'!$C$12*'Hulp (CAO''s)'!$Z$7/12)</f>
        <v>7356.56</v>
      </c>
      <c r="J144">
        <f>IF(
    OR(
        AND(MAX(0, MIN($F$1, DATE(Initialisatie!$C$5,12,31)) - MAX($F$2, DATE(Initialisatie!$C$5,1,1)) + 1) &gt; 0, IFERROR(VALUE($F144),0)=0),
        AND(MAX(0, MIN($G$1, DATE(Initialisatie!$C$5,12,31)) - MAX($G$2, DATE(Initialisatie!$C$5,1,1)) + 1) &gt; 0, IFERROR(VALUE($G144),0)=0)
    ),
    0,
    SUM(
        IFERROR(VALUE($F144),0) * MAX(0, MIN($F$1, DATE(Initialisatie!$C$5,12,31)) - MAX($F$2, DATE(Initialisatie!$C$5,1,1)) + 1),
        IFERROR(VALUE($G144),0) * MAX(0, MIN($G$1, DATE(Initialisatie!$C$5,12,31)) - MAX($G$2, DATE(Initialisatie!$C$5,1,1)) + 1)
    ) / (DATE(Initialisatie!$C$5,12,31) - DATE(Initialisatie!$C$5,1,1) + 1)
)</f>
        <v>7233.1973424657544</v>
      </c>
    </row>
    <row r="145" spans="1:10" x14ac:dyDescent="0.45">
      <c r="A145" s="848"/>
      <c r="B145" s="48">
        <v>8</v>
      </c>
      <c r="C145">
        <v>7282.19</v>
      </c>
      <c r="D145">
        <v>7537.07</v>
      </c>
      <c r="F145">
        <f>MAX(C145, 'Hulp (overig)'!$C$12*'Hulp (CAO''s)'!$Z$7/12)</f>
        <v>7282.19</v>
      </c>
      <c r="G145">
        <f>MAX(D145, 'Hulp (overig)'!$C$12*'Hulp (CAO''s)'!$Z$7/12)</f>
        <v>7537.07</v>
      </c>
      <c r="J145">
        <f>IF(
    OR(
        AND(MAX(0, MIN($F$1, DATE(Initialisatie!$C$5,12,31)) - MAX($F$2, DATE(Initialisatie!$C$5,1,1)) + 1) &gt; 0, IFERROR(VALUE($F145),0)=0),
        AND(MAX(0, MIN($G$1, DATE(Initialisatie!$C$5,12,31)) - MAX($G$2, DATE(Initialisatie!$C$5,1,1)) + 1) &gt; 0, IFERROR(VALUE($G145),0)=0)
    ),
    0,
    SUM(
        IFERROR(VALUE($F145),0) * MAX(0, MIN($F$1, DATE(Initialisatie!$C$5,12,31)) - MAX($F$2, DATE(Initialisatie!$C$5,1,1)) + 1),
        IFERROR(VALUE($G145),0) * MAX(0, MIN($G$1, DATE(Initialisatie!$C$5,12,31)) - MAX($G$2, DATE(Initialisatie!$C$5,1,1)) + 1)
    ) / (DATE(Initialisatie!$C$5,12,31) - DATE(Initialisatie!$C$5,1,1) + 1)
)</f>
        <v>7410.6774520547933</v>
      </c>
    </row>
    <row r="146" spans="1:10" x14ac:dyDescent="0.45">
      <c r="A146" s="848"/>
      <c r="B146" s="48">
        <v>9</v>
      </c>
      <c r="C146">
        <v>7497.34</v>
      </c>
      <c r="D146">
        <v>7759.75</v>
      </c>
      <c r="F146">
        <f>MAX(C146, 'Hulp (overig)'!$C$12*'Hulp (CAO''s)'!$Z$7/12)</f>
        <v>7497.34</v>
      </c>
      <c r="G146">
        <f>MAX(D146, 'Hulp (overig)'!$C$12*'Hulp (CAO''s)'!$Z$7/12)</f>
        <v>7759.75</v>
      </c>
      <c r="J146">
        <f>IF(
    OR(
        AND(MAX(0, MIN($F$1, DATE(Initialisatie!$C$5,12,31)) - MAX($F$2, DATE(Initialisatie!$C$5,1,1)) + 1) &gt; 0, IFERROR(VALUE($F146),0)=0),
        AND(MAX(0, MIN($G$1, DATE(Initialisatie!$C$5,12,31)) - MAX($G$2, DATE(Initialisatie!$C$5,1,1)) + 1) &gt; 0, IFERROR(VALUE($G146),0)=0)
    ),
    0,
    SUM(
        IFERROR(VALUE($F146),0) * MAX(0, MIN($F$1, DATE(Initialisatie!$C$5,12,31)) - MAX($F$2, DATE(Initialisatie!$C$5,1,1)) + 1),
        IFERROR(VALUE($G146),0) * MAX(0, MIN($G$1, DATE(Initialisatie!$C$5,12,31)) - MAX($G$2, DATE(Initialisatie!$C$5,1,1)) + 1)
    ) / (DATE(Initialisatie!$C$5,12,31) - DATE(Initialisatie!$C$5,1,1) + 1)
)</f>
        <v>7629.623397260274</v>
      </c>
    </row>
    <row r="147" spans="1:10" x14ac:dyDescent="0.45">
      <c r="A147" s="848"/>
      <c r="B147" s="48">
        <v>10</v>
      </c>
      <c r="C147">
        <v>7715.77</v>
      </c>
      <c r="D147">
        <v>7985.82</v>
      </c>
      <c r="F147">
        <f>MAX(C147, 'Hulp (overig)'!$C$12*'Hulp (CAO''s)'!$Z$7/12)</f>
        <v>7715.77</v>
      </c>
      <c r="G147">
        <f>MAX(D147, 'Hulp (overig)'!$C$12*'Hulp (CAO''s)'!$Z$7/12)</f>
        <v>7985.82</v>
      </c>
      <c r="J147">
        <f>IF(
    OR(
        AND(MAX(0, MIN($F$1, DATE(Initialisatie!$C$5,12,31)) - MAX($F$2, DATE(Initialisatie!$C$5,1,1)) + 1) &gt; 0, IFERROR(VALUE($F147),0)=0),
        AND(MAX(0, MIN($G$1, DATE(Initialisatie!$C$5,12,31)) - MAX($G$2, DATE(Initialisatie!$C$5,1,1)) + 1) &gt; 0, IFERROR(VALUE($G147),0)=0)
    ),
    0,
    SUM(
        IFERROR(VALUE($F147),0) * MAX(0, MIN($F$1, DATE(Initialisatie!$C$5,12,31)) - MAX($F$2, DATE(Initialisatie!$C$5,1,1)) + 1),
        IFERROR(VALUE($G147),0) * MAX(0, MIN($G$1, DATE(Initialisatie!$C$5,12,31)) - MAX($G$2, DATE(Initialisatie!$C$5,1,1)) + 1)
    ) / (DATE(Initialisatie!$C$5,12,31) - DATE(Initialisatie!$C$5,1,1) + 1)
)</f>
        <v>7851.9047945205475</v>
      </c>
    </row>
    <row r="148" spans="1:10" x14ac:dyDescent="0.45">
      <c r="A148" s="848"/>
      <c r="B148" s="48">
        <v>11</v>
      </c>
      <c r="C148">
        <v>7932.55</v>
      </c>
      <c r="D148">
        <v>8210.19</v>
      </c>
      <c r="F148">
        <f>MAX(C148, 'Hulp (overig)'!$C$12*'Hulp (CAO''s)'!$Z$7/12)</f>
        <v>7932.55</v>
      </c>
      <c r="G148">
        <f>MAX(D148, 'Hulp (overig)'!$C$12*'Hulp (CAO''s)'!$Z$7/12)</f>
        <v>8210.19</v>
      </c>
      <c r="J148">
        <f>IF(
    OR(
        AND(MAX(0, MIN($F$1, DATE(Initialisatie!$C$5,12,31)) - MAX($F$2, DATE(Initialisatie!$C$5,1,1)) + 1) &gt; 0, IFERROR(VALUE($F148),0)=0),
        AND(MAX(0, MIN($G$1, DATE(Initialisatie!$C$5,12,31)) - MAX($G$2, DATE(Initialisatie!$C$5,1,1)) + 1) &gt; 0, IFERROR(VALUE($G148),0)=0)
    ),
    0,
    SUM(
        IFERROR(VALUE($F148),0) * MAX(0, MIN($F$1, DATE(Initialisatie!$C$5,12,31)) - MAX($F$2, DATE(Initialisatie!$C$5,1,1)) + 1),
        IFERROR(VALUE($G148),0) * MAX(0, MIN($G$1, DATE(Initialisatie!$C$5,12,31)) - MAX($G$2, DATE(Initialisatie!$C$5,1,1)) + 1)
    ) / (DATE(Initialisatie!$C$5,12,31) - DATE(Initialisatie!$C$5,1,1) + 1)
)</f>
        <v>8072.5109863013704</v>
      </c>
    </row>
    <row r="149" spans="1:10" x14ac:dyDescent="0.45">
      <c r="A149" s="848"/>
      <c r="B149" s="48">
        <v>12</v>
      </c>
      <c r="C149">
        <v>8039.23</v>
      </c>
      <c r="D149">
        <v>8320.6</v>
      </c>
      <c r="F149">
        <f>MAX(C149, 'Hulp (overig)'!$C$12*'Hulp (CAO''s)'!$Z$7/12)</f>
        <v>8039.23</v>
      </c>
      <c r="G149">
        <f>MAX(D149, 'Hulp (overig)'!$C$12*'Hulp (CAO''s)'!$Z$7/12)</f>
        <v>8320.6</v>
      </c>
      <c r="J149">
        <f>IF(
    OR(
        AND(MAX(0, MIN($F$1, DATE(Initialisatie!$C$5,12,31)) - MAX($F$2, DATE(Initialisatie!$C$5,1,1)) + 1) &gt; 0, IFERROR(VALUE($F149),0)=0),
        AND(MAX(0, MIN($G$1, DATE(Initialisatie!$C$5,12,31)) - MAX($G$2, DATE(Initialisatie!$C$5,1,1)) + 1) &gt; 0, IFERROR(VALUE($G149),0)=0)
    ),
    0,
    SUM(
        IFERROR(VALUE($F149),0) * MAX(0, MIN($F$1, DATE(Initialisatie!$C$5,12,31)) - MAX($F$2, DATE(Initialisatie!$C$5,1,1)) + 1),
        IFERROR(VALUE($G149),0) * MAX(0, MIN($G$1, DATE(Initialisatie!$C$5,12,31)) - MAX($G$2, DATE(Initialisatie!$C$5,1,1)) + 1)
    ) / (DATE(Initialisatie!$C$5,12,31) - DATE(Initialisatie!$C$5,1,1) + 1)
)</f>
        <v>8181.0713150684942</v>
      </c>
    </row>
    <row r="150" spans="1:10" x14ac:dyDescent="0.45">
      <c r="A150" s="848"/>
      <c r="B150" s="48">
        <v>13</v>
      </c>
      <c r="C150">
        <v>8150.99</v>
      </c>
      <c r="D150">
        <v>8436.27</v>
      </c>
      <c r="F150">
        <f>MAX(C150, 'Hulp (overig)'!$C$12*'Hulp (CAO''s)'!$Z$7/12)</f>
        <v>8150.99</v>
      </c>
      <c r="G150">
        <f>MAX(D150, 'Hulp (overig)'!$C$12*'Hulp (CAO''s)'!$Z$7/12)</f>
        <v>8436.27</v>
      </c>
      <c r="J150">
        <f>IF(
    OR(
        AND(MAX(0, MIN($F$1, DATE(Initialisatie!$C$5,12,31)) - MAX($F$2, DATE(Initialisatie!$C$5,1,1)) + 1) &gt; 0, IFERROR(VALUE($F150),0)=0),
        AND(MAX(0, MIN($G$1, DATE(Initialisatie!$C$5,12,31)) - MAX($G$2, DATE(Initialisatie!$C$5,1,1)) + 1) &gt; 0, IFERROR(VALUE($G150),0)=0)
    ),
    0,
    SUM(
        IFERROR(VALUE($F150),0) * MAX(0, MIN($F$1, DATE(Initialisatie!$C$5,12,31)) - MAX($F$2, DATE(Initialisatie!$C$5,1,1)) + 1),
        IFERROR(VALUE($G150),0) * MAX(0, MIN($G$1, DATE(Initialisatie!$C$5,12,31)) - MAX($G$2, DATE(Initialisatie!$C$5,1,1)) + 1)
    ) / (DATE(Initialisatie!$C$5,12,31) - DATE(Initialisatie!$C$5,1,1) + 1)
)</f>
        <v>8294.8023835616441</v>
      </c>
    </row>
    <row r="151" spans="1:10" x14ac:dyDescent="0.45">
      <c r="A151" s="848"/>
      <c r="B151" s="48">
        <v>14</v>
      </c>
      <c r="C151">
        <v>8259.39</v>
      </c>
      <c r="D151">
        <v>8548.4699999999993</v>
      </c>
      <c r="F151">
        <f>MAX(C151, 'Hulp (overig)'!$C$12*'Hulp (CAO''s)'!$Z$7/12)</f>
        <v>8259.39</v>
      </c>
      <c r="G151">
        <f>MAX(D151, 'Hulp (overig)'!$C$12*'Hulp (CAO''s)'!$Z$7/12)</f>
        <v>8548.4699999999993</v>
      </c>
      <c r="J151">
        <f>IF(
    OR(
        AND(MAX(0, MIN($F$1, DATE(Initialisatie!$C$5,12,31)) - MAX($F$2, DATE(Initialisatie!$C$5,1,1)) + 1) &gt; 0, IFERROR(VALUE($F151),0)=0),
        AND(MAX(0, MIN($G$1, DATE(Initialisatie!$C$5,12,31)) - MAX($G$2, DATE(Initialisatie!$C$5,1,1)) + 1) &gt; 0, IFERROR(VALUE($G151),0)=0)
    ),
    0,
    SUM(
        IFERROR(VALUE($F151),0) * MAX(0, MIN($F$1, DATE(Initialisatie!$C$5,12,31)) - MAX($F$2, DATE(Initialisatie!$C$5,1,1)) + 1),
        IFERROR(VALUE($G151),0) * MAX(0, MIN($G$1, DATE(Initialisatie!$C$5,12,31)) - MAX($G$2, DATE(Initialisatie!$C$5,1,1)) + 1)
    ) / (DATE(Initialisatie!$C$5,12,31) - DATE(Initialisatie!$C$5,1,1) + 1)
)</f>
        <v>8405.1180000000004</v>
      </c>
    </row>
    <row r="152" spans="1:10" x14ac:dyDescent="0.45">
      <c r="A152" s="848"/>
      <c r="B152" s="48">
        <v>15</v>
      </c>
      <c r="C152">
        <v>8367.7999999999993</v>
      </c>
      <c r="D152">
        <v>8660.67</v>
      </c>
      <c r="F152">
        <f>MAX(C152, 'Hulp (overig)'!$C$12*'Hulp (CAO''s)'!$Z$7/12)</f>
        <v>8367.7999999999993</v>
      </c>
      <c r="G152">
        <f>MAX(D152, 'Hulp (overig)'!$C$12*'Hulp (CAO''s)'!$Z$7/12)</f>
        <v>8660.67</v>
      </c>
      <c r="J152">
        <f>IF(
    OR(
        AND(MAX(0, MIN($F$1, DATE(Initialisatie!$C$5,12,31)) - MAX($F$2, DATE(Initialisatie!$C$5,1,1)) + 1) &gt; 0, IFERROR(VALUE($F152),0)=0),
        AND(MAX(0, MIN($G$1, DATE(Initialisatie!$C$5,12,31)) - MAX($G$2, DATE(Initialisatie!$C$5,1,1)) + 1) &gt; 0, IFERROR(VALUE($G152),0)=0)
    ),
    0,
    SUM(
        IFERROR(VALUE($F152),0) * MAX(0, MIN($F$1, DATE(Initialisatie!$C$5,12,31)) - MAX($F$2, DATE(Initialisatie!$C$5,1,1)) + 1),
        IFERROR(VALUE($G152),0) * MAX(0, MIN($G$1, DATE(Initialisatie!$C$5,12,31)) - MAX($G$2, DATE(Initialisatie!$C$5,1,1)) + 1)
    ) / (DATE(Initialisatie!$C$5,12,31) - DATE(Initialisatie!$C$5,1,1) + 1)
)</f>
        <v>8515.4385753424667</v>
      </c>
    </row>
    <row r="153" spans="1:10" x14ac:dyDescent="0.45">
      <c r="A153" s="848">
        <v>75</v>
      </c>
      <c r="B153" s="48" t="s">
        <v>2203</v>
      </c>
      <c r="C153">
        <v>6490.32</v>
      </c>
      <c r="D153">
        <v>6717.48</v>
      </c>
      <c r="F153">
        <f>MAX(C153, 'Hulp (overig)'!$C$12*'Hulp (CAO''s)'!$Z$7/12)</f>
        <v>6490.32</v>
      </c>
      <c r="G153">
        <f>MAX(D153, 'Hulp (overig)'!$C$12*'Hulp (CAO''s)'!$Z$7/12)</f>
        <v>6717.48</v>
      </c>
      <c r="J153">
        <f>IF(
    OR(
        AND(MAX(0, MIN($F$1, DATE(Initialisatie!$C$5,12,31)) - MAX($F$2, DATE(Initialisatie!$C$5,1,1)) + 1) &gt; 0, IFERROR(VALUE($F153),0)=0),
        AND(MAX(0, MIN($G$1, DATE(Initialisatie!$C$5,12,31)) - MAX($G$2, DATE(Initialisatie!$C$5,1,1)) + 1) &gt; 0, IFERROR(VALUE($G153),0)=0)
    ),
    0,
    SUM(
        IFERROR(VALUE($F153),0) * MAX(0, MIN($F$1, DATE(Initialisatie!$C$5,12,31)) - MAX($F$2, DATE(Initialisatie!$C$5,1,1)) + 1),
        IFERROR(VALUE($G153),0) * MAX(0, MIN($G$1, DATE(Initialisatie!$C$5,12,31)) - MAX($G$2, DATE(Initialisatie!$C$5,1,1)) + 1)
    ) / (DATE(Initialisatie!$C$5,12,31) - DATE(Initialisatie!$C$5,1,1) + 1)
)</f>
        <v>6604.8335342465743</v>
      </c>
    </row>
    <row r="154" spans="1:10" x14ac:dyDescent="0.45">
      <c r="A154" s="848"/>
      <c r="B154" s="48" t="s">
        <v>2204</v>
      </c>
      <c r="C154">
        <v>6666.89</v>
      </c>
      <c r="D154">
        <v>6900.23</v>
      </c>
      <c r="F154">
        <f>MAX(C154, 'Hulp (overig)'!$C$12*'Hulp (CAO''s)'!$Z$7/12)</f>
        <v>6666.89</v>
      </c>
      <c r="G154">
        <f>MAX(D154, 'Hulp (overig)'!$C$12*'Hulp (CAO''s)'!$Z$7/12)</f>
        <v>6900.23</v>
      </c>
      <c r="J154">
        <f>IF(
    OR(
        AND(MAX(0, MIN($F$1, DATE(Initialisatie!$C$5,12,31)) - MAX($F$2, DATE(Initialisatie!$C$5,1,1)) + 1) &gt; 0, IFERROR(VALUE($F154),0)=0),
        AND(MAX(0, MIN($G$1, DATE(Initialisatie!$C$5,12,31)) - MAX($G$2, DATE(Initialisatie!$C$5,1,1)) + 1) &gt; 0, IFERROR(VALUE($G154),0)=0)
    ),
    0,
    SUM(
        IFERROR(VALUE($F154),0) * MAX(0, MIN($F$1, DATE(Initialisatie!$C$5,12,31)) - MAX($F$2, DATE(Initialisatie!$C$5,1,1)) + 1),
        IFERROR(VALUE($G154),0) * MAX(0, MIN($G$1, DATE(Initialisatie!$C$5,12,31)) - MAX($G$2, DATE(Initialisatie!$C$5,1,1)) + 1)
    ) / (DATE(Initialisatie!$C$5,12,31) - DATE(Initialisatie!$C$5,1,1) + 1)
)</f>
        <v>6784.5189315068501</v>
      </c>
    </row>
    <row r="155" spans="1:10" x14ac:dyDescent="0.45">
      <c r="A155" s="848"/>
      <c r="B155" s="48">
        <v>0</v>
      </c>
      <c r="C155">
        <v>6840.02</v>
      </c>
      <c r="D155">
        <v>7079.42</v>
      </c>
      <c r="F155">
        <f>MAX(C155, 'Hulp (overig)'!$C$12*'Hulp (CAO''s)'!$Z$7/12)</f>
        <v>6840.02</v>
      </c>
      <c r="G155">
        <f>MAX(D155, 'Hulp (overig)'!$C$12*'Hulp (CAO''s)'!$Z$7/12)</f>
        <v>7079.42</v>
      </c>
      <c r="J155">
        <f>IF(
    OR(
        AND(MAX(0, MIN($F$1, DATE(Initialisatie!$C$5,12,31)) - MAX($F$2, DATE(Initialisatie!$C$5,1,1)) + 1) &gt; 0, IFERROR(VALUE($F155),0)=0),
        AND(MAX(0, MIN($G$1, DATE(Initialisatie!$C$5,12,31)) - MAX($G$2, DATE(Initialisatie!$C$5,1,1)) + 1) &gt; 0, IFERROR(VALUE($G155),0)=0)
    ),
    0,
    SUM(
        IFERROR(VALUE($F155),0) * MAX(0, MIN($F$1, DATE(Initialisatie!$C$5,12,31)) - MAX($F$2, DATE(Initialisatie!$C$5,1,1)) + 1),
        IFERROR(VALUE($G155),0) * MAX(0, MIN($G$1, DATE(Initialisatie!$C$5,12,31)) - MAX($G$2, DATE(Initialisatie!$C$5,1,1)) + 1)
    ) / (DATE(Initialisatie!$C$5,12,31) - DATE(Initialisatie!$C$5,1,1) + 1)
)</f>
        <v>6960.7038356164394</v>
      </c>
    </row>
    <row r="156" spans="1:10" x14ac:dyDescent="0.45">
      <c r="A156" s="848"/>
      <c r="B156" s="48">
        <v>1</v>
      </c>
      <c r="C156">
        <v>7018.3</v>
      </c>
      <c r="D156">
        <v>7263.94</v>
      </c>
      <c r="F156">
        <f>MAX(C156, 'Hulp (overig)'!$C$12*'Hulp (CAO''s)'!$Z$7/12)</f>
        <v>7018.3</v>
      </c>
      <c r="G156">
        <f>MAX(D156, 'Hulp (overig)'!$C$12*'Hulp (CAO''s)'!$Z$7/12)</f>
        <v>7263.94</v>
      </c>
      <c r="J156">
        <f>IF(
    OR(
        AND(MAX(0, MIN($F$1, DATE(Initialisatie!$C$5,12,31)) - MAX($F$2, DATE(Initialisatie!$C$5,1,1)) + 1) &gt; 0, IFERROR(VALUE($F156),0)=0),
        AND(MAX(0, MIN($G$1, DATE(Initialisatie!$C$5,12,31)) - MAX($G$2, DATE(Initialisatie!$C$5,1,1)) + 1) &gt; 0, IFERROR(VALUE($G156),0)=0)
    ),
    0,
    SUM(
        IFERROR(VALUE($F156),0) * MAX(0, MIN($F$1, DATE(Initialisatie!$C$5,12,31)) - MAX($F$2, DATE(Initialisatie!$C$5,1,1)) + 1),
        IFERROR(VALUE($G156),0) * MAX(0, MIN($G$1, DATE(Initialisatie!$C$5,12,31)) - MAX($G$2, DATE(Initialisatie!$C$5,1,1)) + 1)
    ) / (DATE(Initialisatie!$C$5,12,31) - DATE(Initialisatie!$C$5,1,1) + 1)
)</f>
        <v>7142.1294794520545</v>
      </c>
    </row>
    <row r="157" spans="1:10" x14ac:dyDescent="0.45">
      <c r="A157" s="848"/>
      <c r="B157" s="48">
        <v>2</v>
      </c>
      <c r="C157">
        <v>7107.79</v>
      </c>
      <c r="D157">
        <v>7356.56</v>
      </c>
      <c r="F157">
        <f>MAX(C157, 'Hulp (overig)'!$C$12*'Hulp (CAO''s)'!$Z$7/12)</f>
        <v>7107.79</v>
      </c>
      <c r="G157">
        <f>MAX(D157, 'Hulp (overig)'!$C$12*'Hulp (CAO''s)'!$Z$7/12)</f>
        <v>7356.56</v>
      </c>
      <c r="J157">
        <f>IF(
    OR(
        AND(MAX(0, MIN($F$1, DATE(Initialisatie!$C$5,12,31)) - MAX($F$2, DATE(Initialisatie!$C$5,1,1)) + 1) &gt; 0, IFERROR(VALUE($F157),0)=0),
        AND(MAX(0, MIN($G$1, DATE(Initialisatie!$C$5,12,31)) - MAX($G$2, DATE(Initialisatie!$C$5,1,1)) + 1) &gt; 0, IFERROR(VALUE($G157),0)=0)
    ),
    0,
    SUM(
        IFERROR(VALUE($F157),0) * MAX(0, MIN($F$1, DATE(Initialisatie!$C$5,12,31)) - MAX($F$2, DATE(Initialisatie!$C$5,1,1)) + 1),
        IFERROR(VALUE($G157),0) * MAX(0, MIN($G$1, DATE(Initialisatie!$C$5,12,31)) - MAX($G$2, DATE(Initialisatie!$C$5,1,1)) + 1)
    ) / (DATE(Initialisatie!$C$5,12,31) - DATE(Initialisatie!$C$5,1,1) + 1)
)</f>
        <v>7233.1973424657544</v>
      </c>
    </row>
    <row r="158" spans="1:10" x14ac:dyDescent="0.45">
      <c r="A158" s="848"/>
      <c r="B158" s="48">
        <v>3</v>
      </c>
      <c r="C158">
        <v>7192.46</v>
      </c>
      <c r="D158">
        <v>7444.2</v>
      </c>
      <c r="F158">
        <f>MAX(C158, 'Hulp (overig)'!$C$12*'Hulp (CAO''s)'!$Z$7/12)</f>
        <v>7192.46</v>
      </c>
      <c r="G158">
        <f>MAX(D158, 'Hulp (overig)'!$C$12*'Hulp (CAO''s)'!$Z$7/12)</f>
        <v>7444.2</v>
      </c>
      <c r="J158">
        <f>IF(
    OR(
        AND(MAX(0, MIN($F$1, DATE(Initialisatie!$C$5,12,31)) - MAX($F$2, DATE(Initialisatie!$C$5,1,1)) + 1) &gt; 0, IFERROR(VALUE($F158),0)=0),
        AND(MAX(0, MIN($G$1, DATE(Initialisatie!$C$5,12,31)) - MAX($G$2, DATE(Initialisatie!$C$5,1,1)) + 1) &gt; 0, IFERROR(VALUE($G158),0)=0)
    ),
    0,
    SUM(
        IFERROR(VALUE($F158),0) * MAX(0, MIN($F$1, DATE(Initialisatie!$C$5,12,31)) - MAX($F$2, DATE(Initialisatie!$C$5,1,1)) + 1),
        IFERROR(VALUE($G158),0) * MAX(0, MIN($G$1, DATE(Initialisatie!$C$5,12,31)) - MAX($G$2, DATE(Initialisatie!$C$5,1,1)) + 1)
    ) / (DATE(Initialisatie!$C$5,12,31) - DATE(Initialisatie!$C$5,1,1) + 1)
)</f>
        <v>7319.3645479452052</v>
      </c>
    </row>
    <row r="159" spans="1:10" x14ac:dyDescent="0.45">
      <c r="A159" s="848"/>
      <c r="B159" s="48">
        <v>4</v>
      </c>
      <c r="C159">
        <v>7282.19</v>
      </c>
      <c r="D159">
        <v>7537.07</v>
      </c>
      <c r="F159">
        <f>MAX(C159, 'Hulp (overig)'!$C$12*'Hulp (CAO''s)'!$Z$7/12)</f>
        <v>7282.19</v>
      </c>
      <c r="G159">
        <f>MAX(D159, 'Hulp (overig)'!$C$12*'Hulp (CAO''s)'!$Z$7/12)</f>
        <v>7537.07</v>
      </c>
      <c r="J159">
        <f>IF(
    OR(
        AND(MAX(0, MIN($F$1, DATE(Initialisatie!$C$5,12,31)) - MAX($F$2, DATE(Initialisatie!$C$5,1,1)) + 1) &gt; 0, IFERROR(VALUE($F159),0)=0),
        AND(MAX(0, MIN($G$1, DATE(Initialisatie!$C$5,12,31)) - MAX($G$2, DATE(Initialisatie!$C$5,1,1)) + 1) &gt; 0, IFERROR(VALUE($G159),0)=0)
    ),
    0,
    SUM(
        IFERROR(VALUE($F159),0) * MAX(0, MIN($F$1, DATE(Initialisatie!$C$5,12,31)) - MAX($F$2, DATE(Initialisatie!$C$5,1,1)) + 1),
        IFERROR(VALUE($G159),0) * MAX(0, MIN($G$1, DATE(Initialisatie!$C$5,12,31)) - MAX($G$2, DATE(Initialisatie!$C$5,1,1)) + 1)
    ) / (DATE(Initialisatie!$C$5,12,31) - DATE(Initialisatie!$C$5,1,1) + 1)
)</f>
        <v>7410.6774520547933</v>
      </c>
    </row>
    <row r="160" spans="1:10" x14ac:dyDescent="0.45">
      <c r="A160" s="848"/>
      <c r="B160" s="48">
        <v>5</v>
      </c>
      <c r="C160">
        <v>7388.9</v>
      </c>
      <c r="D160">
        <v>7647.51</v>
      </c>
      <c r="F160">
        <f>MAX(C160, 'Hulp (overig)'!$C$12*'Hulp (CAO''s)'!$Z$7/12)</f>
        <v>7388.9</v>
      </c>
      <c r="G160">
        <f>MAX(D160, 'Hulp (overig)'!$C$12*'Hulp (CAO''s)'!$Z$7/12)</f>
        <v>7647.51</v>
      </c>
      <c r="J160">
        <f>IF(
    OR(
        AND(MAX(0, MIN($F$1, DATE(Initialisatie!$C$5,12,31)) - MAX($F$2, DATE(Initialisatie!$C$5,1,1)) + 1) &gt; 0, IFERROR(VALUE($F160),0)=0),
        AND(MAX(0, MIN($G$1, DATE(Initialisatie!$C$5,12,31)) - MAX($G$2, DATE(Initialisatie!$C$5,1,1)) + 1) &gt; 0, IFERROR(VALUE($G160),0)=0)
    ),
    0,
    SUM(
        IFERROR(VALUE($F160),0) * MAX(0, MIN($F$1, DATE(Initialisatie!$C$5,12,31)) - MAX($F$2, DATE(Initialisatie!$C$5,1,1)) + 1),
        IFERROR(VALUE($G160),0) * MAX(0, MIN($G$1, DATE(Initialisatie!$C$5,12,31)) - MAX($G$2, DATE(Initialisatie!$C$5,1,1)) + 1)
    ) / (DATE(Initialisatie!$C$5,12,31) - DATE(Initialisatie!$C$5,1,1) + 1)
)</f>
        <v>7519.2677808219187</v>
      </c>
    </row>
    <row r="161" spans="1:10" x14ac:dyDescent="0.45">
      <c r="A161" s="848"/>
      <c r="B161" s="48">
        <v>6</v>
      </c>
      <c r="C161">
        <v>7715.77</v>
      </c>
      <c r="D161">
        <v>7985.82</v>
      </c>
      <c r="F161">
        <f>MAX(C161, 'Hulp (overig)'!$C$12*'Hulp (CAO''s)'!$Z$7/12)</f>
        <v>7715.77</v>
      </c>
      <c r="G161">
        <f>MAX(D161, 'Hulp (overig)'!$C$12*'Hulp (CAO''s)'!$Z$7/12)</f>
        <v>7985.82</v>
      </c>
      <c r="J161">
        <f>IF(
    OR(
        AND(MAX(0, MIN($F$1, DATE(Initialisatie!$C$5,12,31)) - MAX($F$2, DATE(Initialisatie!$C$5,1,1)) + 1) &gt; 0, IFERROR(VALUE($F161),0)=0),
        AND(MAX(0, MIN($G$1, DATE(Initialisatie!$C$5,12,31)) - MAX($G$2, DATE(Initialisatie!$C$5,1,1)) + 1) &gt; 0, IFERROR(VALUE($G161),0)=0)
    ),
    0,
    SUM(
        IFERROR(VALUE($F161),0) * MAX(0, MIN($F$1, DATE(Initialisatie!$C$5,12,31)) - MAX($F$2, DATE(Initialisatie!$C$5,1,1)) + 1),
        IFERROR(VALUE($G161),0) * MAX(0, MIN($G$1, DATE(Initialisatie!$C$5,12,31)) - MAX($G$2, DATE(Initialisatie!$C$5,1,1)) + 1)
    ) / (DATE(Initialisatie!$C$5,12,31) - DATE(Initialisatie!$C$5,1,1) + 1)
)</f>
        <v>7851.9047945205475</v>
      </c>
    </row>
    <row r="162" spans="1:10" x14ac:dyDescent="0.45">
      <c r="A162" s="848"/>
      <c r="B162" s="48">
        <v>7</v>
      </c>
      <c r="C162">
        <v>8039.23</v>
      </c>
      <c r="D162">
        <v>8320.6</v>
      </c>
      <c r="F162">
        <f>MAX(C162, 'Hulp (overig)'!$C$12*'Hulp (CAO''s)'!$Z$7/12)</f>
        <v>8039.23</v>
      </c>
      <c r="G162">
        <f>MAX(D162, 'Hulp (overig)'!$C$12*'Hulp (CAO''s)'!$Z$7/12)</f>
        <v>8320.6</v>
      </c>
      <c r="J162">
        <f>IF(
    OR(
        AND(MAX(0, MIN($F$1, DATE(Initialisatie!$C$5,12,31)) - MAX($F$2, DATE(Initialisatie!$C$5,1,1)) + 1) &gt; 0, IFERROR(VALUE($F162),0)=0),
        AND(MAX(0, MIN($G$1, DATE(Initialisatie!$C$5,12,31)) - MAX($G$2, DATE(Initialisatie!$C$5,1,1)) + 1) &gt; 0, IFERROR(VALUE($G162),0)=0)
    ),
    0,
    SUM(
        IFERROR(VALUE($F162),0) * MAX(0, MIN($F$1, DATE(Initialisatie!$C$5,12,31)) - MAX($F$2, DATE(Initialisatie!$C$5,1,1)) + 1),
        IFERROR(VALUE($G162),0) * MAX(0, MIN($G$1, DATE(Initialisatie!$C$5,12,31)) - MAX($G$2, DATE(Initialisatie!$C$5,1,1)) + 1)
    ) / (DATE(Initialisatie!$C$5,12,31) - DATE(Initialisatie!$C$5,1,1) + 1)
)</f>
        <v>8181.0713150684942</v>
      </c>
    </row>
    <row r="163" spans="1:10" x14ac:dyDescent="0.45">
      <c r="A163" s="848"/>
      <c r="B163" s="48">
        <v>8</v>
      </c>
      <c r="C163">
        <v>8367.7999999999993</v>
      </c>
      <c r="D163">
        <v>8660.67</v>
      </c>
      <c r="F163">
        <f>MAX(C163, 'Hulp (overig)'!$C$12*'Hulp (CAO''s)'!$Z$7/12)</f>
        <v>8367.7999999999993</v>
      </c>
      <c r="G163">
        <f>MAX(D163, 'Hulp (overig)'!$C$12*'Hulp (CAO''s)'!$Z$7/12)</f>
        <v>8660.67</v>
      </c>
      <c r="J163">
        <f>IF(
    OR(
        AND(MAX(0, MIN($F$1, DATE(Initialisatie!$C$5,12,31)) - MAX($F$2, DATE(Initialisatie!$C$5,1,1)) + 1) &gt; 0, IFERROR(VALUE($F163),0)=0),
        AND(MAX(0, MIN($G$1, DATE(Initialisatie!$C$5,12,31)) - MAX($G$2, DATE(Initialisatie!$C$5,1,1)) + 1) &gt; 0, IFERROR(VALUE($G163),0)=0)
    ),
    0,
    SUM(
        IFERROR(VALUE($F163),0) * MAX(0, MIN($F$1, DATE(Initialisatie!$C$5,12,31)) - MAX($F$2, DATE(Initialisatie!$C$5,1,1)) + 1),
        IFERROR(VALUE($G163),0) * MAX(0, MIN($G$1, DATE(Initialisatie!$C$5,12,31)) - MAX($G$2, DATE(Initialisatie!$C$5,1,1)) + 1)
    ) / (DATE(Initialisatie!$C$5,12,31) - DATE(Initialisatie!$C$5,1,1) + 1)
)</f>
        <v>8515.4385753424667</v>
      </c>
    </row>
    <row r="164" spans="1:10" x14ac:dyDescent="0.45">
      <c r="A164" s="848"/>
      <c r="B164" s="48">
        <v>9</v>
      </c>
      <c r="C164">
        <v>8586.25</v>
      </c>
      <c r="D164">
        <v>8886.77</v>
      </c>
      <c r="F164">
        <f>MAX(C164, 'Hulp (overig)'!$C$12*'Hulp (CAO''s)'!$Z$7/12)</f>
        <v>8586.25</v>
      </c>
      <c r="G164">
        <f>MAX(D164, 'Hulp (overig)'!$C$12*'Hulp (CAO''s)'!$Z$7/12)</f>
        <v>8886.77</v>
      </c>
      <c r="J164">
        <f>IF(
    OR(
        AND(MAX(0, MIN($F$1, DATE(Initialisatie!$C$5,12,31)) - MAX($F$2, DATE(Initialisatie!$C$5,1,1)) + 1) &gt; 0, IFERROR(VALUE($F164),0)=0),
        AND(MAX(0, MIN($G$1, DATE(Initialisatie!$C$5,12,31)) - MAX($G$2, DATE(Initialisatie!$C$5,1,1)) + 1) &gt; 0, IFERROR(VALUE($G164),0)=0)
    ),
    0,
    SUM(
        IFERROR(VALUE($F164),0) * MAX(0, MIN($F$1, DATE(Initialisatie!$C$5,12,31)) - MAX($F$2, DATE(Initialisatie!$C$5,1,1)) + 1),
        IFERROR(VALUE($G164),0) * MAX(0, MIN($G$1, DATE(Initialisatie!$C$5,12,31)) - MAX($G$2, DATE(Initialisatie!$C$5,1,1)) + 1)
    ) / (DATE(Initialisatie!$C$5,12,31) - DATE(Initialisatie!$C$5,1,1) + 1)
)</f>
        <v>8737.7450136986299</v>
      </c>
    </row>
    <row r="165" spans="1:10" x14ac:dyDescent="0.45">
      <c r="A165" s="848"/>
      <c r="B165" s="48">
        <v>10</v>
      </c>
      <c r="C165">
        <v>8813.2099999999991</v>
      </c>
      <c r="D165">
        <v>9121.67</v>
      </c>
      <c r="F165">
        <f>MAX(C165, 'Hulp (overig)'!$C$12*'Hulp (CAO''s)'!$Z$7/12)</f>
        <v>8813.2099999999991</v>
      </c>
      <c r="G165">
        <f>MAX(D165, 'Hulp (overig)'!$C$12*'Hulp (CAO''s)'!$Z$7/12)</f>
        <v>9121.67</v>
      </c>
      <c r="J165">
        <f>IF(
    OR(
        AND(MAX(0, MIN($F$1, DATE(Initialisatie!$C$5,12,31)) - MAX($F$2, DATE(Initialisatie!$C$5,1,1)) + 1) &gt; 0, IFERROR(VALUE($F165),0)=0),
        AND(MAX(0, MIN($G$1, DATE(Initialisatie!$C$5,12,31)) - MAX($G$2, DATE(Initialisatie!$C$5,1,1)) + 1) &gt; 0, IFERROR(VALUE($G165),0)=0)
    ),
    0,
    SUM(
        IFERROR(VALUE($F165),0) * MAX(0, MIN($F$1, DATE(Initialisatie!$C$5,12,31)) - MAX($F$2, DATE(Initialisatie!$C$5,1,1)) + 1),
        IFERROR(VALUE($G165),0) * MAX(0, MIN($G$1, DATE(Initialisatie!$C$5,12,31)) - MAX($G$2, DATE(Initialisatie!$C$5,1,1)) + 1)
    ) / (DATE(Initialisatie!$C$5,12,31) - DATE(Initialisatie!$C$5,1,1) + 1)
)</f>
        <v>8968.7076438356162</v>
      </c>
    </row>
    <row r="166" spans="1:10" x14ac:dyDescent="0.45">
      <c r="A166" s="848"/>
      <c r="B166" s="48">
        <v>11</v>
      </c>
      <c r="C166">
        <v>9055.34</v>
      </c>
      <c r="D166">
        <v>9372.2800000000007</v>
      </c>
      <c r="F166">
        <f>MAX(C166, 'Hulp (overig)'!$C$12*'Hulp (CAO''s)'!$Z$7/12)</f>
        <v>9055.34</v>
      </c>
      <c r="G166">
        <f>MAX(D166, 'Hulp (overig)'!$C$12*'Hulp (CAO''s)'!$Z$7/12)</f>
        <v>9372.2800000000007</v>
      </c>
      <c r="J166">
        <f>IF(
    OR(
        AND(MAX(0, MIN($F$1, DATE(Initialisatie!$C$5,12,31)) - MAX($F$2, DATE(Initialisatie!$C$5,1,1)) + 1) &gt; 0, IFERROR(VALUE($F166),0)=0),
        AND(MAX(0, MIN($G$1, DATE(Initialisatie!$C$5,12,31)) - MAX($G$2, DATE(Initialisatie!$C$5,1,1)) + 1) &gt; 0, IFERROR(VALUE($G166),0)=0)
    ),
    0,
    SUM(
        IFERROR(VALUE($F166),0) * MAX(0, MIN($F$1, DATE(Initialisatie!$C$5,12,31)) - MAX($F$2, DATE(Initialisatie!$C$5,1,1)) + 1),
        IFERROR(VALUE($G166),0) * MAX(0, MIN($G$1, DATE(Initialisatie!$C$5,12,31)) - MAX($G$2, DATE(Initialisatie!$C$5,1,1)) + 1)
    ) / (DATE(Initialisatie!$C$5,12,31) - DATE(Initialisatie!$C$5,1,1) + 1)
)</f>
        <v>9215.1124931506856</v>
      </c>
    </row>
    <row r="167" spans="1:10" x14ac:dyDescent="0.45">
      <c r="A167" s="848"/>
      <c r="B167" s="48">
        <v>12</v>
      </c>
      <c r="C167">
        <v>9300.9599999999991</v>
      </c>
      <c r="D167">
        <v>9626.49</v>
      </c>
      <c r="F167">
        <f>MAX(C167, 'Hulp (overig)'!$C$12*'Hulp (CAO''s)'!$Z$7/12)</f>
        <v>9300.9599999999991</v>
      </c>
      <c r="G167">
        <f>MAX(D167, 'Hulp (overig)'!$C$12*'Hulp (CAO''s)'!$Z$7/12)</f>
        <v>9626.49</v>
      </c>
      <c r="J167">
        <f>IF(
    OR(
        AND(MAX(0, MIN($F$1, DATE(Initialisatie!$C$5,12,31)) - MAX($F$2, DATE(Initialisatie!$C$5,1,1)) + 1) &gt; 0, IFERROR(VALUE($F167),0)=0),
        AND(MAX(0, MIN($G$1, DATE(Initialisatie!$C$5,12,31)) - MAX($G$2, DATE(Initialisatie!$C$5,1,1)) + 1) &gt; 0, IFERROR(VALUE($G167),0)=0)
    ),
    0,
    SUM(
        IFERROR(VALUE($F167),0) * MAX(0, MIN($F$1, DATE(Initialisatie!$C$5,12,31)) - MAX($F$2, DATE(Initialisatie!$C$5,1,1)) + 1),
        IFERROR(VALUE($G167),0) * MAX(0, MIN($G$1, DATE(Initialisatie!$C$5,12,31)) - MAX($G$2, DATE(Initialisatie!$C$5,1,1)) + 1)
    ) / (DATE(Initialisatie!$C$5,12,31) - DATE(Initialisatie!$C$5,1,1) + 1)
)</f>
        <v>9465.062794520547</v>
      </c>
    </row>
    <row r="168" spans="1:10" x14ac:dyDescent="0.45">
      <c r="A168" s="848"/>
      <c r="B168" s="48">
        <v>13</v>
      </c>
      <c r="C168">
        <v>9419.4699999999993</v>
      </c>
      <c r="D168">
        <v>9749.15</v>
      </c>
      <c r="F168">
        <f>MAX(C168, 'Hulp (overig)'!$C$12*'Hulp (CAO''s)'!$Z$7/12)</f>
        <v>9419.4699999999993</v>
      </c>
      <c r="G168">
        <f>MAX(D168, 'Hulp (overig)'!$C$12*'Hulp (CAO''s)'!$Z$7/12)</f>
        <v>9749.15</v>
      </c>
      <c r="J168">
        <f>IF(
    OR(
        AND(MAX(0, MIN($F$1, DATE(Initialisatie!$C$5,12,31)) - MAX($F$2, DATE(Initialisatie!$C$5,1,1)) + 1) &gt; 0, IFERROR(VALUE($F168),0)=0),
        AND(MAX(0, MIN($G$1, DATE(Initialisatie!$C$5,12,31)) - MAX($G$2, DATE(Initialisatie!$C$5,1,1)) + 1) &gt; 0, IFERROR(VALUE($G168),0)=0)
    ),
    0,
    SUM(
        IFERROR(VALUE($F168),0) * MAX(0, MIN($F$1, DATE(Initialisatie!$C$5,12,31)) - MAX($F$2, DATE(Initialisatie!$C$5,1,1)) + 1),
        IFERROR(VALUE($G168),0) * MAX(0, MIN($G$1, DATE(Initialisatie!$C$5,12,31)) - MAX($G$2, DATE(Initialisatie!$C$5,1,1)) + 1)
    ) / (DATE(Initialisatie!$C$5,12,31) - DATE(Initialisatie!$C$5,1,1) + 1)
)</f>
        <v>9585.6648493150678</v>
      </c>
    </row>
    <row r="169" spans="1:10" x14ac:dyDescent="0.45">
      <c r="A169" s="848"/>
      <c r="B169" s="48">
        <v>14</v>
      </c>
      <c r="C169">
        <v>9543.1</v>
      </c>
      <c r="D169">
        <v>9877.11</v>
      </c>
      <c r="F169">
        <f>MAX(C169, 'Hulp (overig)'!$C$12*'Hulp (CAO''s)'!$Z$7/12)</f>
        <v>9543.1</v>
      </c>
      <c r="G169">
        <f>MAX(D169, 'Hulp (overig)'!$C$12*'Hulp (CAO''s)'!$Z$7/12)</f>
        <v>9877.11</v>
      </c>
      <c r="J169">
        <f>IF(
    OR(
        AND(MAX(0, MIN($F$1, DATE(Initialisatie!$C$5,12,31)) - MAX($F$2, DATE(Initialisatie!$C$5,1,1)) + 1) &gt; 0, IFERROR(VALUE($F169),0)=0),
        AND(MAX(0, MIN($G$1, DATE(Initialisatie!$C$5,12,31)) - MAX($G$2, DATE(Initialisatie!$C$5,1,1)) + 1) &gt; 0, IFERROR(VALUE($G169),0)=0)
    ),
    0,
    SUM(
        IFERROR(VALUE($F169),0) * MAX(0, MIN($F$1, DATE(Initialisatie!$C$5,12,31)) - MAX($F$2, DATE(Initialisatie!$C$5,1,1)) + 1),
        IFERROR(VALUE($G169),0) * MAX(0, MIN($G$1, DATE(Initialisatie!$C$5,12,31)) - MAX($G$2, DATE(Initialisatie!$C$5,1,1)) + 1)
    ) / (DATE(Initialisatie!$C$5,12,31) - DATE(Initialisatie!$C$5,1,1) + 1)
)</f>
        <v>9711.4776438356166</v>
      </c>
    </row>
    <row r="170" spans="1:10" x14ac:dyDescent="0.45">
      <c r="A170" s="848"/>
      <c r="B170" s="48">
        <v>15</v>
      </c>
      <c r="C170">
        <v>9685.33</v>
      </c>
      <c r="D170">
        <v>10024.32</v>
      </c>
      <c r="F170">
        <f>MAX(C170, 'Hulp (overig)'!$C$12*'Hulp (CAO''s)'!$Z$7/12)</f>
        <v>9685.33</v>
      </c>
      <c r="G170">
        <f>MAX(D170, 'Hulp (overig)'!$C$12*'Hulp (CAO''s)'!$Z$7/12)</f>
        <v>10024.32</v>
      </c>
      <c r="J170">
        <f>IF(
    OR(
        AND(MAX(0, MIN($F$1, DATE(Initialisatie!$C$5,12,31)) - MAX($F$2, DATE(Initialisatie!$C$5,1,1)) + 1) &gt; 0, IFERROR(VALUE($F170),0)=0),
        AND(MAX(0, MIN($G$1, DATE(Initialisatie!$C$5,12,31)) - MAX($G$2, DATE(Initialisatie!$C$5,1,1)) + 1) &gt; 0, IFERROR(VALUE($G170),0)=0)
    ),
    0,
    SUM(
        IFERROR(VALUE($F170),0) * MAX(0, MIN($F$1, DATE(Initialisatie!$C$5,12,31)) - MAX($F$2, DATE(Initialisatie!$C$5,1,1)) + 1),
        IFERROR(VALUE($G170),0) * MAX(0, MIN($G$1, DATE(Initialisatie!$C$5,12,31)) - MAX($G$2, DATE(Initialisatie!$C$5,1,1)) + 1)
    ) / (DATE(Initialisatie!$C$5,12,31) - DATE(Initialisatie!$C$5,1,1) + 1)
)</f>
        <v>9856.218109589041</v>
      </c>
    </row>
    <row r="171" spans="1:10" x14ac:dyDescent="0.45">
      <c r="A171" s="848"/>
      <c r="B171" s="48">
        <v>16</v>
      </c>
      <c r="C171">
        <v>9829.32</v>
      </c>
      <c r="D171">
        <v>10173.35</v>
      </c>
      <c r="F171">
        <f>MAX(C171, 'Hulp (overig)'!$C$12*'Hulp (CAO''s)'!$Z$7/12)</f>
        <v>9829.32</v>
      </c>
      <c r="G171">
        <f>MAX(D171, 'Hulp (overig)'!$C$12*'Hulp (CAO''s)'!$Z$7/12)</f>
        <v>10173.35</v>
      </c>
      <c r="J171">
        <f>IF(
    OR(
        AND(MAX(0, MIN($F$1, DATE(Initialisatie!$C$5,12,31)) - MAX($F$2, DATE(Initialisatie!$C$5,1,1)) + 1) &gt; 0, IFERROR(VALUE($F171),0)=0),
        AND(MAX(0, MIN($G$1, DATE(Initialisatie!$C$5,12,31)) - MAX($G$2, DATE(Initialisatie!$C$5,1,1)) + 1) &gt; 0, IFERROR(VALUE($G171),0)=0)
    ),
    0,
    SUM(
        IFERROR(VALUE($F171),0) * MAX(0, MIN($F$1, DATE(Initialisatie!$C$5,12,31)) - MAX($F$2, DATE(Initialisatie!$C$5,1,1)) + 1),
        IFERROR(VALUE($G171),0) * MAX(0, MIN($G$1, DATE(Initialisatie!$C$5,12,31)) - MAX($G$2, DATE(Initialisatie!$C$5,1,1)) + 1)
    ) / (DATE(Initialisatie!$C$5,12,31) - DATE(Initialisatie!$C$5,1,1) + 1)
)</f>
        <v>10002.748821917809</v>
      </c>
    </row>
    <row r="172" spans="1:10" x14ac:dyDescent="0.45">
      <c r="A172" s="848"/>
      <c r="B172" s="48">
        <v>17</v>
      </c>
      <c r="C172">
        <v>9969.85</v>
      </c>
      <c r="D172">
        <v>10318.790000000001</v>
      </c>
      <c r="F172">
        <f>MAX(C172, 'Hulp (overig)'!$C$12*'Hulp (CAO''s)'!$Z$7/12)</f>
        <v>9969.85</v>
      </c>
      <c r="G172">
        <f>MAX(D172, 'Hulp (overig)'!$C$12*'Hulp (CAO''s)'!$Z$7/12)</f>
        <v>10318.790000000001</v>
      </c>
      <c r="J172">
        <f>IF(
    OR(
        AND(MAX(0, MIN($F$1, DATE(Initialisatie!$C$5,12,31)) - MAX($F$2, DATE(Initialisatie!$C$5,1,1)) + 1) &gt; 0, IFERROR(VALUE($F172),0)=0),
        AND(MAX(0, MIN($G$1, DATE(Initialisatie!$C$5,12,31)) - MAX($G$2, DATE(Initialisatie!$C$5,1,1)) + 1) &gt; 0, IFERROR(VALUE($G172),0)=0)
    ),
    0,
    SUM(
        IFERROR(VALUE($F172),0) * MAX(0, MIN($F$1, DATE(Initialisatie!$C$5,12,31)) - MAX($F$2, DATE(Initialisatie!$C$5,1,1)) + 1),
        IFERROR(VALUE($G172),0) * MAX(0, MIN($G$1, DATE(Initialisatie!$C$5,12,31)) - MAX($G$2, DATE(Initialisatie!$C$5,1,1)) + 1)
    ) / (DATE(Initialisatie!$C$5,12,31) - DATE(Initialisatie!$C$5,1,1) + 1)
)</f>
        <v>10145.753999999999</v>
      </c>
    </row>
    <row r="173" spans="1:10" x14ac:dyDescent="0.45">
      <c r="A173" s="848"/>
      <c r="B173" s="48">
        <v>18</v>
      </c>
      <c r="C173">
        <v>10113.799999999999</v>
      </c>
      <c r="D173">
        <v>10467.780000000001</v>
      </c>
      <c r="F173">
        <f>MAX(C173, 'Hulp (overig)'!$C$12*'Hulp (CAO''s)'!$Z$7/12)</f>
        <v>10113.799999999999</v>
      </c>
      <c r="G173">
        <f>MAX(D173, 'Hulp (overig)'!$C$12*'Hulp (CAO''s)'!$Z$7/12)</f>
        <v>10467.780000000001</v>
      </c>
      <c r="J173">
        <f>IF(
    OR(
        AND(MAX(0, MIN($F$1, DATE(Initialisatie!$C$5,12,31)) - MAX($F$2, DATE(Initialisatie!$C$5,1,1)) + 1) &gt; 0, IFERROR(VALUE($F173),0)=0),
        AND(MAX(0, MIN($G$1, DATE(Initialisatie!$C$5,12,31)) - MAX($G$2, DATE(Initialisatie!$C$5,1,1)) + 1) &gt; 0, IFERROR(VALUE($G173),0)=0)
    ),
    0,
    SUM(
        IFERROR(VALUE($F173),0) * MAX(0, MIN($F$1, DATE(Initialisatie!$C$5,12,31)) - MAX($F$2, DATE(Initialisatie!$C$5,1,1)) + 1),
        IFERROR(VALUE($G173),0) * MAX(0, MIN($G$1, DATE(Initialisatie!$C$5,12,31)) - MAX($G$2, DATE(Initialisatie!$C$5,1,1)) + 1)
    ) / (DATE(Initialisatie!$C$5,12,31) - DATE(Initialisatie!$C$5,1,1) + 1)
)</f>
        <v>10292.244712328767</v>
      </c>
    </row>
    <row r="174" spans="1:10" x14ac:dyDescent="0.45">
      <c r="A174" s="848">
        <v>80</v>
      </c>
      <c r="B174" s="48" t="s">
        <v>2203</v>
      </c>
      <c r="C174">
        <v>7497.34</v>
      </c>
      <c r="D174">
        <v>7759.75</v>
      </c>
      <c r="F174">
        <f>MAX(C174, 'Hulp (overig)'!$C$12*'Hulp (CAO''s)'!$Z$7/12)</f>
        <v>7497.34</v>
      </c>
      <c r="G174">
        <f>MAX(D174, 'Hulp (overig)'!$C$12*'Hulp (CAO''s)'!$Z$7/12)</f>
        <v>7759.75</v>
      </c>
      <c r="J174">
        <f>IF(
    OR(
        AND(MAX(0, MIN($F$1, DATE(Initialisatie!$C$5,12,31)) - MAX($F$2, DATE(Initialisatie!$C$5,1,1)) + 1) &gt; 0, IFERROR(VALUE($F174),0)=0),
        AND(MAX(0, MIN($G$1, DATE(Initialisatie!$C$5,12,31)) - MAX($G$2, DATE(Initialisatie!$C$5,1,1)) + 1) &gt; 0, IFERROR(VALUE($G174),0)=0)
    ),
    0,
    SUM(
        IFERROR(VALUE($F174),0) * MAX(0, MIN($F$1, DATE(Initialisatie!$C$5,12,31)) - MAX($F$2, DATE(Initialisatie!$C$5,1,1)) + 1),
        IFERROR(VALUE($G174),0) * MAX(0, MIN($G$1, DATE(Initialisatie!$C$5,12,31)) - MAX($G$2, DATE(Initialisatie!$C$5,1,1)) + 1)
    ) / (DATE(Initialisatie!$C$5,12,31) - DATE(Initialisatie!$C$5,1,1) + 1)
)</f>
        <v>7629.623397260274</v>
      </c>
    </row>
    <row r="175" spans="1:10" x14ac:dyDescent="0.45">
      <c r="A175" s="848"/>
      <c r="B175" s="48" t="s">
        <v>2204</v>
      </c>
      <c r="C175">
        <v>7715.77</v>
      </c>
      <c r="D175">
        <v>7985.82</v>
      </c>
      <c r="F175">
        <f>MAX(C175, 'Hulp (overig)'!$C$12*'Hulp (CAO''s)'!$Z$7/12)</f>
        <v>7715.77</v>
      </c>
      <c r="G175">
        <f>MAX(D175, 'Hulp (overig)'!$C$12*'Hulp (CAO''s)'!$Z$7/12)</f>
        <v>7985.82</v>
      </c>
      <c r="J175">
        <f>IF(
    OR(
        AND(MAX(0, MIN($F$1, DATE(Initialisatie!$C$5,12,31)) - MAX($F$2, DATE(Initialisatie!$C$5,1,1)) + 1) &gt; 0, IFERROR(VALUE($F175),0)=0),
        AND(MAX(0, MIN($G$1, DATE(Initialisatie!$C$5,12,31)) - MAX($G$2, DATE(Initialisatie!$C$5,1,1)) + 1) &gt; 0, IFERROR(VALUE($G175),0)=0)
    ),
    0,
    SUM(
        IFERROR(VALUE($F175),0) * MAX(0, MIN($F$1, DATE(Initialisatie!$C$5,12,31)) - MAX($F$2, DATE(Initialisatie!$C$5,1,1)) + 1),
        IFERROR(VALUE($G175),0) * MAX(0, MIN($G$1, DATE(Initialisatie!$C$5,12,31)) - MAX($G$2, DATE(Initialisatie!$C$5,1,1)) + 1)
    ) / (DATE(Initialisatie!$C$5,12,31) - DATE(Initialisatie!$C$5,1,1) + 1)
)</f>
        <v>7851.9047945205475</v>
      </c>
    </row>
    <row r="176" spans="1:10" x14ac:dyDescent="0.45">
      <c r="A176" s="848"/>
      <c r="B176" s="48">
        <v>0</v>
      </c>
      <c r="C176">
        <v>7932.55</v>
      </c>
      <c r="D176">
        <v>8210.19</v>
      </c>
      <c r="F176">
        <f>MAX(C176, 'Hulp (overig)'!$C$12*'Hulp (CAO''s)'!$Z$7/12)</f>
        <v>7932.55</v>
      </c>
      <c r="G176">
        <f>MAX(D176, 'Hulp (overig)'!$C$12*'Hulp (CAO''s)'!$Z$7/12)</f>
        <v>8210.19</v>
      </c>
      <c r="J176">
        <f>IF(
    OR(
        AND(MAX(0, MIN($F$1, DATE(Initialisatie!$C$5,12,31)) - MAX($F$2, DATE(Initialisatie!$C$5,1,1)) + 1) &gt; 0, IFERROR(VALUE($F176),0)=0),
        AND(MAX(0, MIN($G$1, DATE(Initialisatie!$C$5,12,31)) - MAX($G$2, DATE(Initialisatie!$C$5,1,1)) + 1) &gt; 0, IFERROR(VALUE($G176),0)=0)
    ),
    0,
    SUM(
        IFERROR(VALUE($F176),0) * MAX(0, MIN($F$1, DATE(Initialisatie!$C$5,12,31)) - MAX($F$2, DATE(Initialisatie!$C$5,1,1)) + 1),
        IFERROR(VALUE($G176),0) * MAX(0, MIN($G$1, DATE(Initialisatie!$C$5,12,31)) - MAX($G$2, DATE(Initialisatie!$C$5,1,1)) + 1)
    ) / (DATE(Initialisatie!$C$5,12,31) - DATE(Initialisatie!$C$5,1,1) + 1)
)</f>
        <v>8072.5109863013704</v>
      </c>
    </row>
    <row r="177" spans="1:10" x14ac:dyDescent="0.45">
      <c r="A177" s="848"/>
      <c r="B177" s="48">
        <v>1</v>
      </c>
      <c r="C177">
        <v>8150.99</v>
      </c>
      <c r="D177">
        <v>8436.27</v>
      </c>
      <c r="F177">
        <f>MAX(C177, 'Hulp (overig)'!$C$12*'Hulp (CAO''s)'!$Z$7/12)</f>
        <v>8150.99</v>
      </c>
      <c r="G177">
        <f>MAX(D177, 'Hulp (overig)'!$C$12*'Hulp (CAO''s)'!$Z$7/12)</f>
        <v>8436.27</v>
      </c>
      <c r="J177">
        <f>IF(
    OR(
        AND(MAX(0, MIN($F$1, DATE(Initialisatie!$C$5,12,31)) - MAX($F$2, DATE(Initialisatie!$C$5,1,1)) + 1) &gt; 0, IFERROR(VALUE($F177),0)=0),
        AND(MAX(0, MIN($G$1, DATE(Initialisatie!$C$5,12,31)) - MAX($G$2, DATE(Initialisatie!$C$5,1,1)) + 1) &gt; 0, IFERROR(VALUE($G177),0)=0)
    ),
    0,
    SUM(
        IFERROR(VALUE($F177),0) * MAX(0, MIN($F$1, DATE(Initialisatie!$C$5,12,31)) - MAX($F$2, DATE(Initialisatie!$C$5,1,1)) + 1),
        IFERROR(VALUE($G177),0) * MAX(0, MIN($G$1, DATE(Initialisatie!$C$5,12,31)) - MAX($G$2, DATE(Initialisatie!$C$5,1,1)) + 1)
    ) / (DATE(Initialisatie!$C$5,12,31) - DATE(Initialisatie!$C$5,1,1) + 1)
)</f>
        <v>8294.8023835616441</v>
      </c>
    </row>
    <row r="178" spans="1:10" x14ac:dyDescent="0.45">
      <c r="A178" s="848"/>
      <c r="B178" s="48">
        <v>2</v>
      </c>
      <c r="C178">
        <v>8367.7999999999993</v>
      </c>
      <c r="D178">
        <v>8660.67</v>
      </c>
      <c r="F178">
        <f>MAX(C178, 'Hulp (overig)'!$C$12*'Hulp (CAO''s)'!$Z$7/12)</f>
        <v>8367.7999999999993</v>
      </c>
      <c r="G178">
        <f>MAX(D178, 'Hulp (overig)'!$C$12*'Hulp (CAO''s)'!$Z$7/12)</f>
        <v>8660.67</v>
      </c>
      <c r="J178">
        <f>IF(
    OR(
        AND(MAX(0, MIN($F$1, DATE(Initialisatie!$C$5,12,31)) - MAX($F$2, DATE(Initialisatie!$C$5,1,1)) + 1) &gt; 0, IFERROR(VALUE($F178),0)=0),
        AND(MAX(0, MIN($G$1, DATE(Initialisatie!$C$5,12,31)) - MAX($G$2, DATE(Initialisatie!$C$5,1,1)) + 1) &gt; 0, IFERROR(VALUE($G178),0)=0)
    ),
    0,
    SUM(
        IFERROR(VALUE($F178),0) * MAX(0, MIN($F$1, DATE(Initialisatie!$C$5,12,31)) - MAX($F$2, DATE(Initialisatie!$C$5,1,1)) + 1),
        IFERROR(VALUE($G178),0) * MAX(0, MIN($G$1, DATE(Initialisatie!$C$5,12,31)) - MAX($G$2, DATE(Initialisatie!$C$5,1,1)) + 1)
    ) / (DATE(Initialisatie!$C$5,12,31) - DATE(Initialisatie!$C$5,1,1) + 1)
)</f>
        <v>8515.4385753424667</v>
      </c>
    </row>
    <row r="179" spans="1:10" x14ac:dyDescent="0.45">
      <c r="A179" s="848"/>
      <c r="B179" s="48">
        <v>3</v>
      </c>
      <c r="C179">
        <v>8476.16</v>
      </c>
      <c r="D179">
        <v>8772.83</v>
      </c>
      <c r="F179">
        <f>MAX(C179, 'Hulp (overig)'!$C$12*'Hulp (CAO''s)'!$Z$7/12)</f>
        <v>8476.16</v>
      </c>
      <c r="G179">
        <f>MAX(D179, 'Hulp (overig)'!$C$12*'Hulp (CAO''s)'!$Z$7/12)</f>
        <v>8772.83</v>
      </c>
      <c r="J179">
        <f>IF(
    OR(
        AND(MAX(0, MIN($F$1, DATE(Initialisatie!$C$5,12,31)) - MAX($F$2, DATE(Initialisatie!$C$5,1,1)) + 1) &gt; 0, IFERROR(VALUE($F179),0)=0),
        AND(MAX(0, MIN($G$1, DATE(Initialisatie!$C$5,12,31)) - MAX($G$2, DATE(Initialisatie!$C$5,1,1)) + 1) &gt; 0, IFERROR(VALUE($G179),0)=0)
    ),
    0,
    SUM(
        IFERROR(VALUE($F179),0) * MAX(0, MIN($F$1, DATE(Initialisatie!$C$5,12,31)) - MAX($F$2, DATE(Initialisatie!$C$5,1,1)) + 1),
        IFERROR(VALUE($G179),0) * MAX(0, MIN($G$1, DATE(Initialisatie!$C$5,12,31)) - MAX($G$2, DATE(Initialisatie!$C$5,1,1)) + 1)
    ) / (DATE(Initialisatie!$C$5,12,31) - DATE(Initialisatie!$C$5,1,1) + 1)
)</f>
        <v>8625.7141917808203</v>
      </c>
    </row>
    <row r="180" spans="1:10" x14ac:dyDescent="0.45">
      <c r="A180" s="848"/>
      <c r="B180" s="48">
        <v>4</v>
      </c>
      <c r="C180">
        <v>8586.25</v>
      </c>
      <c r="D180">
        <v>8886.77</v>
      </c>
      <c r="F180">
        <f>MAX(C180, 'Hulp (overig)'!$C$12*'Hulp (CAO''s)'!$Z$7/12)</f>
        <v>8586.25</v>
      </c>
      <c r="G180">
        <f>MAX(D180, 'Hulp (overig)'!$C$12*'Hulp (CAO''s)'!$Z$7/12)</f>
        <v>8886.77</v>
      </c>
      <c r="J180">
        <f>IF(
    OR(
        AND(MAX(0, MIN($F$1, DATE(Initialisatie!$C$5,12,31)) - MAX($F$2, DATE(Initialisatie!$C$5,1,1)) + 1) &gt; 0, IFERROR(VALUE($F180),0)=0),
        AND(MAX(0, MIN($G$1, DATE(Initialisatie!$C$5,12,31)) - MAX($G$2, DATE(Initialisatie!$C$5,1,1)) + 1) &gt; 0, IFERROR(VALUE($G180),0)=0)
    ),
    0,
    SUM(
        IFERROR(VALUE($F180),0) * MAX(0, MIN($F$1, DATE(Initialisatie!$C$5,12,31)) - MAX($F$2, DATE(Initialisatie!$C$5,1,1)) + 1),
        IFERROR(VALUE($G180),0) * MAX(0, MIN($G$1, DATE(Initialisatie!$C$5,12,31)) - MAX($G$2, DATE(Initialisatie!$C$5,1,1)) + 1)
    ) / (DATE(Initialisatie!$C$5,12,31) - DATE(Initialisatie!$C$5,1,1) + 1)
)</f>
        <v>8737.7450136986299</v>
      </c>
    </row>
    <row r="181" spans="1:10" x14ac:dyDescent="0.45">
      <c r="A181" s="848"/>
      <c r="B181" s="48">
        <v>5</v>
      </c>
      <c r="C181">
        <v>8692.93</v>
      </c>
      <c r="D181">
        <v>8997.18</v>
      </c>
      <c r="F181">
        <f>MAX(C181, 'Hulp (overig)'!$C$12*'Hulp (CAO''s)'!$Z$7/12)</f>
        <v>8692.93</v>
      </c>
      <c r="G181">
        <f>MAX(D181, 'Hulp (overig)'!$C$12*'Hulp (CAO''s)'!$Z$7/12)</f>
        <v>8997.18</v>
      </c>
      <c r="J181">
        <f>IF(
    OR(
        AND(MAX(0, MIN($F$1, DATE(Initialisatie!$C$5,12,31)) - MAX($F$2, DATE(Initialisatie!$C$5,1,1)) + 1) &gt; 0, IFERROR(VALUE($F181),0)=0),
        AND(MAX(0, MIN($G$1, DATE(Initialisatie!$C$5,12,31)) - MAX($G$2, DATE(Initialisatie!$C$5,1,1)) + 1) &gt; 0, IFERROR(VALUE($G181),0)=0)
    ),
    0,
    SUM(
        IFERROR(VALUE($F181),0) * MAX(0, MIN($F$1, DATE(Initialisatie!$C$5,12,31)) - MAX($F$2, DATE(Initialisatie!$C$5,1,1)) + 1),
        IFERROR(VALUE($G181),0) * MAX(0, MIN($G$1, DATE(Initialisatie!$C$5,12,31)) - MAX($G$2, DATE(Initialisatie!$C$5,1,1)) + 1)
    ) / (DATE(Initialisatie!$C$5,12,31) - DATE(Initialisatie!$C$5,1,1) + 1)
)</f>
        <v>8846.3053424657537</v>
      </c>
    </row>
    <row r="182" spans="1:10" x14ac:dyDescent="0.45">
      <c r="A182" s="848"/>
      <c r="B182" s="48">
        <v>6</v>
      </c>
      <c r="C182">
        <v>9055.34</v>
      </c>
      <c r="D182">
        <v>9372.2800000000007</v>
      </c>
      <c r="F182">
        <f>MAX(C182, 'Hulp (overig)'!$C$12*'Hulp (CAO''s)'!$Z$7/12)</f>
        <v>9055.34</v>
      </c>
      <c r="G182">
        <f>MAX(D182, 'Hulp (overig)'!$C$12*'Hulp (CAO''s)'!$Z$7/12)</f>
        <v>9372.2800000000007</v>
      </c>
      <c r="J182">
        <f>IF(
    OR(
        AND(MAX(0, MIN($F$1, DATE(Initialisatie!$C$5,12,31)) - MAX($F$2, DATE(Initialisatie!$C$5,1,1)) + 1) &gt; 0, IFERROR(VALUE($F182),0)=0),
        AND(MAX(0, MIN($G$1, DATE(Initialisatie!$C$5,12,31)) - MAX($G$2, DATE(Initialisatie!$C$5,1,1)) + 1) &gt; 0, IFERROR(VALUE($G182),0)=0)
    ),
    0,
    SUM(
        IFERROR(VALUE($F182),0) * MAX(0, MIN($F$1, DATE(Initialisatie!$C$5,12,31)) - MAX($F$2, DATE(Initialisatie!$C$5,1,1)) + 1),
        IFERROR(VALUE($G182),0) * MAX(0, MIN($G$1, DATE(Initialisatie!$C$5,12,31)) - MAX($G$2, DATE(Initialisatie!$C$5,1,1)) + 1)
    ) / (DATE(Initialisatie!$C$5,12,31) - DATE(Initialisatie!$C$5,1,1) + 1)
)</f>
        <v>9215.1124931506856</v>
      </c>
    </row>
    <row r="183" spans="1:10" x14ac:dyDescent="0.45">
      <c r="A183" s="848"/>
      <c r="B183" s="48">
        <v>7</v>
      </c>
      <c r="C183">
        <v>9419.4699999999993</v>
      </c>
      <c r="D183">
        <v>9749.15</v>
      </c>
      <c r="F183">
        <f>MAX(C183, 'Hulp (overig)'!$C$12*'Hulp (CAO''s)'!$Z$7/12)</f>
        <v>9419.4699999999993</v>
      </c>
      <c r="G183">
        <f>MAX(D183, 'Hulp (overig)'!$C$12*'Hulp (CAO''s)'!$Z$7/12)</f>
        <v>9749.15</v>
      </c>
      <c r="J183">
        <f>IF(
    OR(
        AND(MAX(0, MIN($F$1, DATE(Initialisatie!$C$5,12,31)) - MAX($F$2, DATE(Initialisatie!$C$5,1,1)) + 1) &gt; 0, IFERROR(VALUE($F183),0)=0),
        AND(MAX(0, MIN($G$1, DATE(Initialisatie!$C$5,12,31)) - MAX($G$2, DATE(Initialisatie!$C$5,1,1)) + 1) &gt; 0, IFERROR(VALUE($G183),0)=0)
    ),
    0,
    SUM(
        IFERROR(VALUE($F183),0) * MAX(0, MIN($F$1, DATE(Initialisatie!$C$5,12,31)) - MAX($F$2, DATE(Initialisatie!$C$5,1,1)) + 1),
        IFERROR(VALUE($G183),0) * MAX(0, MIN($G$1, DATE(Initialisatie!$C$5,12,31)) - MAX($G$2, DATE(Initialisatie!$C$5,1,1)) + 1)
    ) / (DATE(Initialisatie!$C$5,12,31) - DATE(Initialisatie!$C$5,1,1) + 1)
)</f>
        <v>9585.6648493150678</v>
      </c>
    </row>
    <row r="184" spans="1:10" x14ac:dyDescent="0.45">
      <c r="A184" s="848"/>
      <c r="B184" s="48">
        <v>8</v>
      </c>
      <c r="C184">
        <v>9829.32</v>
      </c>
      <c r="D184">
        <v>10173.35</v>
      </c>
      <c r="F184">
        <f>MAX(C184, 'Hulp (overig)'!$C$12*'Hulp (CAO''s)'!$Z$7/12)</f>
        <v>9829.32</v>
      </c>
      <c r="G184">
        <f>MAX(D184, 'Hulp (overig)'!$C$12*'Hulp (CAO''s)'!$Z$7/12)</f>
        <v>10173.35</v>
      </c>
      <c r="J184">
        <f>IF(
    OR(
        AND(MAX(0, MIN($F$1, DATE(Initialisatie!$C$5,12,31)) - MAX($F$2, DATE(Initialisatie!$C$5,1,1)) + 1) &gt; 0, IFERROR(VALUE($F184),0)=0),
        AND(MAX(0, MIN($G$1, DATE(Initialisatie!$C$5,12,31)) - MAX($G$2, DATE(Initialisatie!$C$5,1,1)) + 1) &gt; 0, IFERROR(VALUE($G184),0)=0)
    ),
    0,
    SUM(
        IFERROR(VALUE($F184),0) * MAX(0, MIN($F$1, DATE(Initialisatie!$C$5,12,31)) - MAX($F$2, DATE(Initialisatie!$C$5,1,1)) + 1),
        IFERROR(VALUE($G184),0) * MAX(0, MIN($G$1, DATE(Initialisatie!$C$5,12,31)) - MAX($G$2, DATE(Initialisatie!$C$5,1,1)) + 1)
    ) / (DATE(Initialisatie!$C$5,12,31) - DATE(Initialisatie!$C$5,1,1) + 1)
)</f>
        <v>10002.748821917809</v>
      </c>
    </row>
    <row r="185" spans="1:10" x14ac:dyDescent="0.45">
      <c r="A185" s="848"/>
      <c r="B185" s="48">
        <v>9</v>
      </c>
      <c r="C185">
        <v>10113.799999999999</v>
      </c>
      <c r="D185">
        <v>10467.780000000001</v>
      </c>
      <c r="F185">
        <f>MAX(C185, 'Hulp (overig)'!$C$12*'Hulp (CAO''s)'!$Z$7/12)</f>
        <v>10113.799999999999</v>
      </c>
      <c r="G185">
        <f>MAX(D185, 'Hulp (overig)'!$C$12*'Hulp (CAO''s)'!$Z$7/12)</f>
        <v>10467.780000000001</v>
      </c>
      <c r="J185">
        <f>IF(
    OR(
        AND(MAX(0, MIN($F$1, DATE(Initialisatie!$C$5,12,31)) - MAX($F$2, DATE(Initialisatie!$C$5,1,1)) + 1) &gt; 0, IFERROR(VALUE($F185),0)=0),
        AND(MAX(0, MIN($G$1, DATE(Initialisatie!$C$5,12,31)) - MAX($G$2, DATE(Initialisatie!$C$5,1,1)) + 1) &gt; 0, IFERROR(VALUE($G185),0)=0)
    ),
    0,
    SUM(
        IFERROR(VALUE($F185),0) * MAX(0, MIN($F$1, DATE(Initialisatie!$C$5,12,31)) - MAX($F$2, DATE(Initialisatie!$C$5,1,1)) + 1),
        IFERROR(VALUE($G185),0) * MAX(0, MIN($G$1, DATE(Initialisatie!$C$5,12,31)) - MAX($G$2, DATE(Initialisatie!$C$5,1,1)) + 1)
    ) / (DATE(Initialisatie!$C$5,12,31) - DATE(Initialisatie!$C$5,1,1) + 1)
)</f>
        <v>10292.244712328767</v>
      </c>
    </row>
    <row r="186" spans="1:10" x14ac:dyDescent="0.45">
      <c r="A186" s="848"/>
      <c r="B186" s="48">
        <v>10</v>
      </c>
      <c r="C186">
        <v>10394.94</v>
      </c>
      <c r="D186">
        <v>10758.76</v>
      </c>
      <c r="F186">
        <f>MAX(C186, 'Hulp (overig)'!$C$12*'Hulp (CAO''s)'!$Z$7/12)</f>
        <v>10394.94</v>
      </c>
      <c r="G186">
        <f>MAX(D186, 'Hulp (overig)'!$C$12*'Hulp (CAO''s)'!$Z$7/12)</f>
        <v>10758.76</v>
      </c>
      <c r="J186">
        <f>IF(
    OR(
        AND(MAX(0, MIN($F$1, DATE(Initialisatie!$C$5,12,31)) - MAX($F$2, DATE(Initialisatie!$C$5,1,1)) + 1) &gt; 0, IFERROR(VALUE($F186),0)=0),
        AND(MAX(0, MIN($G$1, DATE(Initialisatie!$C$5,12,31)) - MAX($G$2, DATE(Initialisatie!$C$5,1,1)) + 1) &gt; 0, IFERROR(VALUE($G186),0)=0)
    ),
    0,
    SUM(
        IFERROR(VALUE($F186),0) * MAX(0, MIN($F$1, DATE(Initialisatie!$C$5,12,31)) - MAX($F$2, DATE(Initialisatie!$C$5,1,1)) + 1),
        IFERROR(VALUE($G186),0) * MAX(0, MIN($G$1, DATE(Initialisatie!$C$5,12,31)) - MAX($G$2, DATE(Initialisatie!$C$5,1,1)) + 1)
    ) / (DATE(Initialisatie!$C$5,12,31) - DATE(Initialisatie!$C$5,1,1) + 1)
)</f>
        <v>10578.345150684932</v>
      </c>
    </row>
    <row r="187" spans="1:10" x14ac:dyDescent="0.45">
      <c r="A187" s="848"/>
      <c r="B187" s="48">
        <v>11</v>
      </c>
      <c r="C187">
        <v>10679.45</v>
      </c>
      <c r="D187">
        <v>11053.23</v>
      </c>
      <c r="F187">
        <f>MAX(C187, 'Hulp (overig)'!$C$12*'Hulp (CAO''s)'!$Z$7/12)</f>
        <v>10679.45</v>
      </c>
      <c r="G187">
        <f>MAX(D187, 'Hulp (overig)'!$C$12*'Hulp (CAO''s)'!$Z$7/12)</f>
        <v>11053.23</v>
      </c>
      <c r="J187">
        <f>IF(
    OR(
        AND(MAX(0, MIN($F$1, DATE(Initialisatie!$C$5,12,31)) - MAX($F$2, DATE(Initialisatie!$C$5,1,1)) + 1) &gt; 0, IFERROR(VALUE($F187),0)=0),
        AND(MAX(0, MIN($G$1, DATE(Initialisatie!$C$5,12,31)) - MAX($G$2, DATE(Initialisatie!$C$5,1,1)) + 1) &gt; 0, IFERROR(VALUE($G187),0)=0)
    ),
    0,
    SUM(
        IFERROR(VALUE($F187),0) * MAX(0, MIN($F$1, DATE(Initialisatie!$C$5,12,31)) - MAX($F$2, DATE(Initialisatie!$C$5,1,1)) + 1),
        IFERROR(VALUE($G187),0) * MAX(0, MIN($G$1, DATE(Initialisatie!$C$5,12,31)) - MAX($G$2, DATE(Initialisatie!$C$5,1,1)) + 1)
    ) / (DATE(Initialisatie!$C$5,12,31) - DATE(Initialisatie!$C$5,1,1) + 1)
)</f>
        <v>10867.87608219178</v>
      </c>
    </row>
    <row r="188" spans="1:10" x14ac:dyDescent="0.45">
      <c r="A188" s="848"/>
      <c r="B188" s="48">
        <v>12</v>
      </c>
      <c r="C188">
        <v>10967.4</v>
      </c>
      <c r="D188">
        <v>11351.26</v>
      </c>
      <c r="F188">
        <f>MAX(C188, 'Hulp (overig)'!$C$12*'Hulp (CAO''s)'!$Z$7/12)</f>
        <v>10967.4</v>
      </c>
      <c r="G188">
        <f>MAX(D188, 'Hulp (overig)'!$C$12*'Hulp (CAO''s)'!$Z$7/12)</f>
        <v>11351.26</v>
      </c>
      <c r="J188">
        <f>IF(
    OR(
        AND(MAX(0, MIN($F$1, DATE(Initialisatie!$C$5,12,31)) - MAX($F$2, DATE(Initialisatie!$C$5,1,1)) + 1) &gt; 0, IFERROR(VALUE($F188),0)=0),
        AND(MAX(0, MIN($G$1, DATE(Initialisatie!$C$5,12,31)) - MAX($G$2, DATE(Initialisatie!$C$5,1,1)) + 1) &gt; 0, IFERROR(VALUE($G188),0)=0)
    ),
    0,
    SUM(
        IFERROR(VALUE($F188),0) * MAX(0, MIN($F$1, DATE(Initialisatie!$C$5,12,31)) - MAX($F$2, DATE(Initialisatie!$C$5,1,1)) + 1),
        IFERROR(VALUE($G188),0) * MAX(0, MIN($G$1, DATE(Initialisatie!$C$5,12,31)) - MAX($G$2, DATE(Initialisatie!$C$5,1,1)) + 1)
    ) / (DATE(Initialisatie!$C$5,12,31) - DATE(Initialisatie!$C$5,1,1) + 1)
)</f>
        <v>11160.907506849315</v>
      </c>
    </row>
    <row r="189" spans="1:10" x14ac:dyDescent="0.45">
      <c r="A189" s="848"/>
      <c r="B189" s="48">
        <v>13</v>
      </c>
      <c r="C189">
        <v>11109.64</v>
      </c>
      <c r="D189">
        <v>11498.48</v>
      </c>
      <c r="F189">
        <f>MAX(C189, 'Hulp (overig)'!$C$12*'Hulp (CAO''s)'!$Z$7/12)</f>
        <v>11109.64</v>
      </c>
      <c r="G189">
        <f>MAX(D189, 'Hulp (overig)'!$C$12*'Hulp (CAO''s)'!$Z$7/12)</f>
        <v>11498.48</v>
      </c>
      <c r="J189">
        <f>IF(
    OR(
        AND(MAX(0, MIN($F$1, DATE(Initialisatie!$C$5,12,31)) - MAX($F$2, DATE(Initialisatie!$C$5,1,1)) + 1) &gt; 0, IFERROR(VALUE($F189),0)=0),
        AND(MAX(0, MIN($G$1, DATE(Initialisatie!$C$5,12,31)) - MAX($G$2, DATE(Initialisatie!$C$5,1,1)) + 1) &gt; 0, IFERROR(VALUE($G189),0)=0)
    ),
    0,
    SUM(
        IFERROR(VALUE($F189),0) * MAX(0, MIN($F$1, DATE(Initialisatie!$C$5,12,31)) - MAX($F$2, DATE(Initialisatie!$C$5,1,1)) + 1),
        IFERROR(VALUE($G189),0) * MAX(0, MIN($G$1, DATE(Initialisatie!$C$5,12,31)) - MAX($G$2, DATE(Initialisatie!$C$5,1,1)) + 1)
    ) / (DATE(Initialisatie!$C$5,12,31) - DATE(Initialisatie!$C$5,1,1) + 1)
)</f>
        <v>11305.657972602739</v>
      </c>
    </row>
    <row r="190" spans="1:10" x14ac:dyDescent="0.45">
      <c r="A190" s="848"/>
      <c r="B190" s="48">
        <v>14</v>
      </c>
      <c r="C190">
        <v>11253.6</v>
      </c>
      <c r="D190">
        <v>11647.48</v>
      </c>
      <c r="F190">
        <f>MAX(C190, 'Hulp (overig)'!$C$12*'Hulp (CAO''s)'!$Z$7/12)</f>
        <v>11253.6</v>
      </c>
      <c r="G190">
        <f>MAX(D190, 'Hulp (overig)'!$C$12*'Hulp (CAO''s)'!$Z$7/12)</f>
        <v>11647.48</v>
      </c>
      <c r="J190">
        <f>IF(
    OR(
        AND(MAX(0, MIN($F$1, DATE(Initialisatie!$C$5,12,31)) - MAX($F$2, DATE(Initialisatie!$C$5,1,1)) + 1) &gt; 0, IFERROR(VALUE($F190),0)=0),
        AND(MAX(0, MIN($G$1, DATE(Initialisatie!$C$5,12,31)) - MAX($G$2, DATE(Initialisatie!$C$5,1,1)) + 1) &gt; 0, IFERROR(VALUE($G190),0)=0)
    ),
    0,
    SUM(
        IFERROR(VALUE($F190),0) * MAX(0, MIN($F$1, DATE(Initialisatie!$C$5,12,31)) - MAX($F$2, DATE(Initialisatie!$C$5,1,1)) + 1),
        IFERROR(VALUE($G190),0) * MAX(0, MIN($G$1, DATE(Initialisatie!$C$5,12,31)) - MAX($G$2, DATE(Initialisatie!$C$5,1,1)) + 1)
    ) / (DATE(Initialisatie!$C$5,12,31) - DATE(Initialisatie!$C$5,1,1) + 1)
)</f>
        <v>11452.158684931506</v>
      </c>
    </row>
    <row r="191" spans="1:10" x14ac:dyDescent="0.45">
      <c r="A191" s="848"/>
      <c r="B191" s="48">
        <v>15</v>
      </c>
      <c r="C191">
        <v>11395.82</v>
      </c>
      <c r="D191">
        <v>11794.67</v>
      </c>
      <c r="F191">
        <f>MAX(C191, 'Hulp (overig)'!$C$12*'Hulp (CAO''s)'!$Z$7/12)</f>
        <v>11395.82</v>
      </c>
      <c r="G191">
        <f>MAX(D191, 'Hulp (overig)'!$C$12*'Hulp (CAO''s)'!$Z$7/12)</f>
        <v>11794.67</v>
      </c>
      <c r="J191">
        <f>IF(
    OR(
        AND(MAX(0, MIN($F$1, DATE(Initialisatie!$C$5,12,31)) - MAX($F$2, DATE(Initialisatie!$C$5,1,1)) + 1) &gt; 0, IFERROR(VALUE($F191),0)=0),
        AND(MAX(0, MIN($G$1, DATE(Initialisatie!$C$5,12,31)) - MAX($G$2, DATE(Initialisatie!$C$5,1,1)) + 1) &gt; 0, IFERROR(VALUE($G191),0)=0)
    ),
    0,
    SUM(
        IFERROR(VALUE($F191),0) * MAX(0, MIN($F$1, DATE(Initialisatie!$C$5,12,31)) - MAX($F$2, DATE(Initialisatie!$C$5,1,1)) + 1),
        IFERROR(VALUE($G191),0) * MAX(0, MIN($G$1, DATE(Initialisatie!$C$5,12,31)) - MAX($G$2, DATE(Initialisatie!$C$5,1,1)) + 1)
    ) / (DATE(Initialisatie!$C$5,12,31) - DATE(Initialisatie!$C$5,1,1) + 1)
)</f>
        <v>11596.884109589038</v>
      </c>
    </row>
    <row r="192" spans="1:10" x14ac:dyDescent="0.45">
      <c r="A192" s="848"/>
      <c r="B192" s="48">
        <v>16</v>
      </c>
      <c r="C192">
        <v>11538.07</v>
      </c>
      <c r="D192">
        <v>11941.9</v>
      </c>
      <c r="F192">
        <f>MAX(C192, 'Hulp (overig)'!$C$12*'Hulp (CAO''s)'!$Z$7/12)</f>
        <v>11538.07</v>
      </c>
      <c r="G192">
        <f>MAX(D192, 'Hulp (overig)'!$C$12*'Hulp (CAO''s)'!$Z$7/12)</f>
        <v>11941.9</v>
      </c>
      <c r="J192">
        <f>IF(
    OR(
        AND(MAX(0, MIN($F$1, DATE(Initialisatie!$C$5,12,31)) - MAX($F$2, DATE(Initialisatie!$C$5,1,1)) + 1) &gt; 0, IFERROR(VALUE($F192),0)=0),
        AND(MAX(0, MIN($G$1, DATE(Initialisatie!$C$5,12,31)) - MAX($G$2, DATE(Initialisatie!$C$5,1,1)) + 1) &gt; 0, IFERROR(VALUE($G192),0)=0)
    ),
    0,
    SUM(
        IFERROR(VALUE($F192),0) * MAX(0, MIN($F$1, DATE(Initialisatie!$C$5,12,31)) - MAX($F$2, DATE(Initialisatie!$C$5,1,1)) + 1),
        IFERROR(VALUE($G192),0) * MAX(0, MIN($G$1, DATE(Initialisatie!$C$5,12,31)) - MAX($G$2, DATE(Initialisatie!$C$5,1,1)) + 1)
    ) / (DATE(Initialisatie!$C$5,12,31) - DATE(Initialisatie!$C$5,1,1) + 1)
)</f>
        <v>11741.644575342465</v>
      </c>
    </row>
    <row r="193" spans="1:10" x14ac:dyDescent="0.45">
      <c r="A193" s="848"/>
      <c r="B193" s="48">
        <v>17</v>
      </c>
      <c r="C193">
        <v>11683.71</v>
      </c>
      <c r="D193">
        <v>12092.64</v>
      </c>
      <c r="F193">
        <f>MAX(C193, 'Hulp (overig)'!$C$12*'Hulp (CAO''s)'!$Z$7/12)</f>
        <v>11683.71</v>
      </c>
      <c r="G193">
        <f>MAX(D193, 'Hulp (overig)'!$C$12*'Hulp (CAO''s)'!$Z$7/12)</f>
        <v>12092.64</v>
      </c>
      <c r="J193">
        <f>IF(
    OR(
        AND(MAX(0, MIN($F$1, DATE(Initialisatie!$C$5,12,31)) - MAX($F$2, DATE(Initialisatie!$C$5,1,1)) + 1) &gt; 0, IFERROR(VALUE($F193),0)=0),
        AND(MAX(0, MIN($G$1, DATE(Initialisatie!$C$5,12,31)) - MAX($G$2, DATE(Initialisatie!$C$5,1,1)) + 1) &gt; 0, IFERROR(VALUE($G193),0)=0)
    ),
    0,
    SUM(
        IFERROR(VALUE($F193),0) * MAX(0, MIN($F$1, DATE(Initialisatie!$C$5,12,31)) - MAX($F$2, DATE(Initialisatie!$C$5,1,1)) + 1),
        IFERROR(VALUE($G193),0) * MAX(0, MIN($G$1, DATE(Initialisatie!$C$5,12,31)) - MAX($G$2, DATE(Initialisatie!$C$5,1,1)) + 1)
    ) / (DATE(Initialisatie!$C$5,12,31) - DATE(Initialisatie!$C$5,1,1) + 1)
)</f>
        <v>11889.855534246573</v>
      </c>
    </row>
    <row r="194" spans="1:10" x14ac:dyDescent="0.45">
      <c r="A194" s="848"/>
      <c r="B194" s="48">
        <v>18</v>
      </c>
      <c r="C194">
        <v>11825.98</v>
      </c>
      <c r="D194">
        <v>12239.89</v>
      </c>
      <c r="F194">
        <f>MAX(C194, 'Hulp (overig)'!$C$12*'Hulp (CAO''s)'!$Z$7/12)</f>
        <v>11825.98</v>
      </c>
      <c r="G194">
        <f>MAX(D194, 'Hulp (overig)'!$C$12*'Hulp (CAO''s)'!$Z$7/12)</f>
        <v>12239.89</v>
      </c>
      <c r="J194">
        <f>IF(
    OR(
        AND(MAX(0, MIN($F$1, DATE(Initialisatie!$C$5,12,31)) - MAX($F$2, DATE(Initialisatie!$C$5,1,1)) + 1) &gt; 0, IFERROR(VALUE($F194),0)=0),
        AND(MAX(0, MIN($G$1, DATE(Initialisatie!$C$5,12,31)) - MAX($G$2, DATE(Initialisatie!$C$5,1,1)) + 1) &gt; 0, IFERROR(VALUE($G194),0)=0)
    ),
    0,
    SUM(
        IFERROR(VALUE($F194),0) * MAX(0, MIN($F$1, DATE(Initialisatie!$C$5,12,31)) - MAX($F$2, DATE(Initialisatie!$C$5,1,1)) + 1),
        IFERROR(VALUE($G194),0) * MAX(0, MIN($G$1, DATE(Initialisatie!$C$5,12,31)) - MAX($G$2, DATE(Initialisatie!$C$5,1,1)) + 1)
    ) / (DATE(Initialisatie!$C$5,12,31) - DATE(Initialisatie!$C$5,1,1) + 1)
)</f>
        <v>12034.635999999999</v>
      </c>
    </row>
  </sheetData>
  <mergeCells count="14">
    <mergeCell ref="A55:A65"/>
    <mergeCell ref="A4:A12"/>
    <mergeCell ref="A13:A21"/>
    <mergeCell ref="A22:A31"/>
    <mergeCell ref="A32:A42"/>
    <mergeCell ref="A43:A54"/>
    <mergeCell ref="A153:A173"/>
    <mergeCell ref="A174:A194"/>
    <mergeCell ref="A66:A77"/>
    <mergeCell ref="A78:A90"/>
    <mergeCell ref="A91:A103"/>
    <mergeCell ref="A104:A116"/>
    <mergeCell ref="A117:A134"/>
    <mergeCell ref="A135:A152"/>
  </mergeCells>
  <pageMargins left="0.75" right="0.75" top="1" bottom="1" header="0.5" footer="0.5"/>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C2:J32"/>
  <sheetViews>
    <sheetView zoomScale="67" zoomScaleNormal="67" workbookViewId="0">
      <selection activeCell="F22" sqref="F22"/>
    </sheetView>
  </sheetViews>
  <sheetFormatPr defaultRowHeight="14.25" x14ac:dyDescent="0.45"/>
  <cols>
    <col min="2" max="2" width="8.59765625" customWidth="1"/>
    <col min="3" max="3" width="30.59765625" customWidth="1"/>
    <col min="4" max="4" width="18.59765625" customWidth="1"/>
    <col min="5" max="5" width="15.59765625" customWidth="1"/>
    <col min="6" max="6" width="35.59765625" customWidth="1"/>
    <col min="7" max="8" width="20.59765625" customWidth="1"/>
    <col min="9" max="9" width="10.59765625" customWidth="1"/>
  </cols>
  <sheetData>
    <row r="2" spans="3:10" ht="14.55" customHeight="1" x14ac:dyDescent="0.45"/>
    <row r="3" spans="3:10" ht="14.55" customHeight="1" x14ac:dyDescent="0.45"/>
    <row r="4" spans="3:10" ht="14.55" customHeight="1" x14ac:dyDescent="0.45">
      <c r="C4" s="791" t="s">
        <v>914</v>
      </c>
      <c r="D4" s="791"/>
      <c r="F4" s="791" t="s">
        <v>916</v>
      </c>
      <c r="G4" s="791"/>
      <c r="H4" s="791"/>
      <c r="I4" s="791"/>
    </row>
    <row r="5" spans="3:10" ht="14.55" customHeight="1" thickBot="1" x14ac:dyDescent="0.5">
      <c r="C5" s="792"/>
      <c r="D5" s="792"/>
      <c r="F5" s="791"/>
      <c r="G5" s="791"/>
      <c r="H5" s="791"/>
      <c r="I5" s="791"/>
    </row>
    <row r="6" spans="3:10" ht="14.55" customHeight="1" thickBot="1" x14ac:dyDescent="0.5">
      <c r="C6" s="14" t="s">
        <v>14</v>
      </c>
      <c r="D6" s="178"/>
      <c r="F6" s="97" t="s">
        <v>898</v>
      </c>
      <c r="G6" s="98"/>
      <c r="I6" s="25" t="s">
        <v>912</v>
      </c>
    </row>
    <row r="7" spans="3:10" ht="14.55" customHeight="1" thickBot="1" x14ac:dyDescent="0.55000000000000004">
      <c r="C7" s="22" t="s">
        <v>11</v>
      </c>
      <c r="D7" s="73" t="s">
        <v>0</v>
      </c>
      <c r="F7" s="3" t="s">
        <v>911</v>
      </c>
      <c r="G7" s="219">
        <v>0.3</v>
      </c>
      <c r="I7" s="220">
        <v>0.25</v>
      </c>
      <c r="J7" s="237" t="s">
        <v>780</v>
      </c>
    </row>
    <row r="8" spans="3:10" ht="14.55" customHeight="1" thickBot="1" x14ac:dyDescent="0.5">
      <c r="C8" s="23" t="s">
        <v>13</v>
      </c>
      <c r="D8" s="85">
        <f>Initialisatie!C5</f>
        <v>2026</v>
      </c>
      <c r="F8" s="97" t="s">
        <v>913</v>
      </c>
      <c r="G8" s="200"/>
      <c r="H8" s="790" t="s">
        <v>944</v>
      </c>
      <c r="I8" s="204"/>
    </row>
    <row r="9" spans="3:10" ht="14.55" customHeight="1" thickBot="1" x14ac:dyDescent="0.55000000000000004">
      <c r="C9" s="14" t="s">
        <v>759</v>
      </c>
      <c r="D9" s="178"/>
      <c r="F9" s="1" t="s">
        <v>908</v>
      </c>
      <c r="G9" s="55">
        <v>61</v>
      </c>
      <c r="H9" s="790"/>
      <c r="I9" s="221">
        <v>0.65</v>
      </c>
      <c r="J9" s="237" t="s">
        <v>780</v>
      </c>
    </row>
    <row r="10" spans="3:10" ht="14.55" customHeight="1" x14ac:dyDescent="0.5">
      <c r="C10" s="1" t="s">
        <v>23</v>
      </c>
      <c r="D10" s="55" t="s">
        <v>763</v>
      </c>
      <c r="F10" s="2" t="s">
        <v>909</v>
      </c>
      <c r="G10" s="56">
        <v>39</v>
      </c>
      <c r="H10" s="790"/>
      <c r="I10" s="222">
        <v>0.65</v>
      </c>
      <c r="J10" s="237" t="s">
        <v>780</v>
      </c>
    </row>
    <row r="11" spans="3:10" ht="14.55" customHeight="1" thickBot="1" x14ac:dyDescent="0.55000000000000004">
      <c r="C11" s="2" t="s">
        <v>760</v>
      </c>
      <c r="D11" s="56" t="s">
        <v>765</v>
      </c>
      <c r="F11" s="3" t="s">
        <v>910</v>
      </c>
      <c r="G11" s="57">
        <v>30</v>
      </c>
      <c r="H11" s="201"/>
      <c r="I11" s="218">
        <v>0.65</v>
      </c>
      <c r="J11" s="237" t="s">
        <v>780</v>
      </c>
    </row>
    <row r="12" spans="3:10" ht="14.55" customHeight="1" thickBot="1" x14ac:dyDescent="0.5">
      <c r="C12" s="2" t="s">
        <v>761</v>
      </c>
      <c r="D12" s="87" t="s">
        <v>764</v>
      </c>
      <c r="F12" s="97" t="s">
        <v>932</v>
      </c>
      <c r="G12" s="98"/>
    </row>
    <row r="13" spans="3:10" ht="14.55" customHeight="1" thickBot="1" x14ac:dyDescent="0.55000000000000004">
      <c r="C13" s="3" t="s">
        <v>762</v>
      </c>
      <c r="D13" s="57" t="s">
        <v>766</v>
      </c>
      <c r="F13" s="2" t="s">
        <v>930</v>
      </c>
      <c r="G13" s="223">
        <v>0.2</v>
      </c>
      <c r="H13" s="237" t="s">
        <v>780</v>
      </c>
    </row>
    <row r="14" spans="3:10" ht="14.55" customHeight="1" x14ac:dyDescent="0.5">
      <c r="F14" s="2" t="s">
        <v>927</v>
      </c>
      <c r="G14" s="224">
        <v>0.2</v>
      </c>
      <c r="H14" s="237" t="s">
        <v>780</v>
      </c>
    </row>
    <row r="15" spans="3:10" ht="14.55" customHeight="1" x14ac:dyDescent="0.5">
      <c r="F15" s="2" t="s">
        <v>928</v>
      </c>
      <c r="G15" s="224">
        <v>0.2</v>
      </c>
      <c r="H15" s="237" t="s">
        <v>780</v>
      </c>
    </row>
    <row r="16" spans="3:10" ht="14.55" customHeight="1" x14ac:dyDescent="0.5">
      <c r="F16" s="2" t="s">
        <v>929</v>
      </c>
      <c r="G16" s="224">
        <v>0.2</v>
      </c>
      <c r="H16" s="237" t="s">
        <v>780</v>
      </c>
    </row>
    <row r="17" spans="6:9" ht="14.55" customHeight="1" thickBot="1" x14ac:dyDescent="0.55000000000000004">
      <c r="F17" s="3" t="s">
        <v>897</v>
      </c>
      <c r="G17" s="225">
        <v>0.2</v>
      </c>
      <c r="H17" s="237" t="s">
        <v>780</v>
      </c>
    </row>
    <row r="18" spans="6:9" ht="14.55" customHeight="1" thickBot="1" x14ac:dyDescent="0.5">
      <c r="F18" s="97" t="s">
        <v>906</v>
      </c>
      <c r="G18" s="98"/>
    </row>
    <row r="19" spans="6:9" ht="14.55" customHeight="1" thickBot="1" x14ac:dyDescent="0.55000000000000004">
      <c r="F19" s="3" t="s">
        <v>899</v>
      </c>
      <c r="G19" s="226">
        <v>0.08</v>
      </c>
      <c r="H19" s="237" t="s">
        <v>780</v>
      </c>
    </row>
    <row r="20" spans="6:9" ht="14.55" customHeight="1" thickBot="1" x14ac:dyDescent="0.5">
      <c r="F20" s="97"/>
      <c r="G20" s="199" t="s">
        <v>902</v>
      </c>
      <c r="H20" s="200" t="s">
        <v>903</v>
      </c>
    </row>
    <row r="21" spans="6:9" ht="14.55" customHeight="1" thickBot="1" x14ac:dyDescent="0.55000000000000004">
      <c r="F21" s="3" t="s">
        <v>900</v>
      </c>
      <c r="G21" s="227">
        <v>0.13</v>
      </c>
      <c r="H21" s="219">
        <v>0.08</v>
      </c>
      <c r="I21" s="237" t="s">
        <v>780</v>
      </c>
    </row>
    <row r="22" spans="6:9" ht="14.55" customHeight="1" thickBot="1" x14ac:dyDescent="0.5">
      <c r="F22" s="97" t="s">
        <v>904</v>
      </c>
      <c r="G22" s="199" t="s">
        <v>896</v>
      </c>
      <c r="H22" s="200" t="s">
        <v>915</v>
      </c>
    </row>
    <row r="23" spans="6:9" ht="14.55" customHeight="1" x14ac:dyDescent="0.5">
      <c r="F23" s="22" t="s">
        <v>948</v>
      </c>
      <c r="G23" s="202">
        <v>48000</v>
      </c>
      <c r="H23" s="203">
        <v>60000</v>
      </c>
      <c r="I23" s="237" t="s">
        <v>780</v>
      </c>
    </row>
    <row r="24" spans="6:9" ht="14.55" customHeight="1" x14ac:dyDescent="0.5">
      <c r="F24" s="2" t="s">
        <v>922</v>
      </c>
      <c r="G24" s="182">
        <v>1450</v>
      </c>
      <c r="H24" s="56">
        <v>1300</v>
      </c>
      <c r="I24" s="237" t="s">
        <v>780</v>
      </c>
    </row>
    <row r="25" spans="6:9" ht="14.55" customHeight="1" x14ac:dyDescent="0.5">
      <c r="F25" s="2" t="s">
        <v>923</v>
      </c>
      <c r="G25" s="228">
        <v>0.03</v>
      </c>
      <c r="H25" s="224">
        <v>0.03</v>
      </c>
      <c r="I25" s="237" t="s">
        <v>780</v>
      </c>
    </row>
    <row r="26" spans="6:9" ht="14.55" customHeight="1" x14ac:dyDescent="0.5">
      <c r="F26" s="2" t="s">
        <v>907</v>
      </c>
      <c r="G26" s="62">
        <v>0.28000000000000003</v>
      </c>
      <c r="H26" s="63">
        <v>0.26500000000000001</v>
      </c>
      <c r="I26" s="237" t="s">
        <v>780</v>
      </c>
    </row>
    <row r="27" spans="6:9" ht="14.55" customHeight="1" x14ac:dyDescent="0.5">
      <c r="F27" s="2" t="s">
        <v>920</v>
      </c>
      <c r="G27" s="62">
        <v>0.01</v>
      </c>
      <c r="H27" s="63">
        <v>0.01</v>
      </c>
      <c r="I27" s="237" t="s">
        <v>780</v>
      </c>
    </row>
    <row r="28" spans="6:9" ht="14.55" customHeight="1" thickBot="1" x14ac:dyDescent="0.55000000000000004">
      <c r="F28" s="3" t="s">
        <v>921</v>
      </c>
      <c r="G28" s="227">
        <v>0.01</v>
      </c>
      <c r="H28" s="219">
        <v>0</v>
      </c>
      <c r="I28" s="237" t="s">
        <v>780</v>
      </c>
    </row>
    <row r="29" spans="6:9" ht="14.55" customHeight="1" x14ac:dyDescent="0.45"/>
    <row r="30" spans="6:9" ht="14.55" customHeight="1" x14ac:dyDescent="0.45"/>
    <row r="31" spans="6:9" ht="14.55" customHeight="1" x14ac:dyDescent="0.45"/>
    <row r="32" spans="6:9" ht="14.55" customHeight="1" x14ac:dyDescent="0.45"/>
  </sheetData>
  <mergeCells count="3">
    <mergeCell ref="H8:H10"/>
    <mergeCell ref="F4:I5"/>
    <mergeCell ref="C4:D5"/>
  </mergeCells>
  <conditionalFormatting sqref="H13:H17">
    <cfRule type="expression" dxfId="1397" priority="11">
      <formula>NOT(H13="")</formula>
    </cfRule>
  </conditionalFormatting>
  <conditionalFormatting sqref="H19">
    <cfRule type="expression" dxfId="1396" priority="10">
      <formula>NOT(H19="")</formula>
    </cfRule>
  </conditionalFormatting>
  <conditionalFormatting sqref="I21">
    <cfRule type="expression" dxfId="1395" priority="9">
      <formula>NOT(OR(G21="",H21=""))</formula>
    </cfRule>
  </conditionalFormatting>
  <conditionalFormatting sqref="I23:I28">
    <cfRule type="expression" dxfId="1394" priority="1">
      <formula>NOT(OR(G23="",H23=""))</formula>
    </cfRule>
  </conditionalFormatting>
  <conditionalFormatting sqref="J7">
    <cfRule type="expression" dxfId="1393" priority="19">
      <formula>NOT(OR(G7="",I7=""))</formula>
    </cfRule>
  </conditionalFormatting>
  <conditionalFormatting sqref="J9:J11">
    <cfRule type="expression" dxfId="1392" priority="16">
      <formula>NOT(OR(G9="",I9=""))</formula>
    </cfRule>
  </conditionalFormatting>
  <hyperlinks>
    <hyperlink ref="D12" r:id="rId1" xr:uid="{00000000-0004-0000-0700-000000000000}"/>
    <hyperlink ref="J7" r:id="rId2" display="!@" xr:uid="{00000000-0004-0000-0700-000001000000}"/>
    <hyperlink ref="J9" r:id="rId3" display="!@" xr:uid="{00000000-0004-0000-0700-000002000000}"/>
    <hyperlink ref="J10" r:id="rId4" display="!@" xr:uid="{00000000-0004-0000-0700-000003000000}"/>
    <hyperlink ref="J11" r:id="rId5" display="!@" xr:uid="{00000000-0004-0000-0700-000004000000}"/>
    <hyperlink ref="I28" r:id="rId6" display="!@" xr:uid="{00000000-0004-0000-0700-000005000000}"/>
    <hyperlink ref="I27" r:id="rId7" display="!@" xr:uid="{00000000-0004-0000-0700-000006000000}"/>
    <hyperlink ref="I26" r:id="rId8" display="!@" xr:uid="{00000000-0004-0000-0700-000007000000}"/>
    <hyperlink ref="I25" r:id="rId9" display="!@" xr:uid="{00000000-0004-0000-0700-000008000000}"/>
    <hyperlink ref="I24" r:id="rId10" display="!@" xr:uid="{00000000-0004-0000-0700-000009000000}"/>
    <hyperlink ref="I23" r:id="rId11" display="!@" xr:uid="{00000000-0004-0000-0700-00000A000000}"/>
    <hyperlink ref="I21" r:id="rId12" display="!@" xr:uid="{00000000-0004-0000-0700-00000B000000}"/>
    <hyperlink ref="H19" r:id="rId13" display="!@" xr:uid="{00000000-0004-0000-0700-00000C000000}"/>
    <hyperlink ref="H17" r:id="rId14" display="!@" xr:uid="{00000000-0004-0000-0700-00000D000000}"/>
    <hyperlink ref="H16" r:id="rId15" display="!@" xr:uid="{00000000-0004-0000-0700-00000E000000}"/>
    <hyperlink ref="H15" r:id="rId16" display="!@" xr:uid="{00000000-0004-0000-0700-00000F000000}"/>
    <hyperlink ref="H14" r:id="rId17" display="!@" xr:uid="{00000000-0004-0000-0700-000010000000}"/>
    <hyperlink ref="H13" r:id="rId18" display="!@" xr:uid="{00000000-0004-0000-0700-000011000000}"/>
  </hyperlinks>
  <pageMargins left="0.7" right="0.7" top="0.75" bottom="0.75" header="0.3" footer="0.3"/>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pageSetUpPr autoPageBreaks="0"/>
  </sheetPr>
  <dimension ref="A1:CZ203"/>
  <sheetViews>
    <sheetView zoomScaleNormal="100" workbookViewId="0"/>
  </sheetViews>
  <sheetFormatPr defaultColWidth="8.796875" defaultRowHeight="14.25" x14ac:dyDescent="0.45"/>
  <cols>
    <col min="1" max="1" width="15.59765625" customWidth="1"/>
    <col min="2" max="2" width="52.59765625" style="396" customWidth="1"/>
    <col min="3" max="3" width="12.53125" style="454" customWidth="1"/>
    <col min="4" max="4" width="8.53125" style="454" customWidth="1"/>
    <col min="5" max="5" width="16.53125" style="454" customWidth="1"/>
    <col min="6" max="6" width="8.53125" style="454" customWidth="1"/>
    <col min="7" max="7" width="16.53125" style="454" customWidth="1"/>
    <col min="8" max="8" width="8.53125" style="454" customWidth="1"/>
    <col min="9" max="9" width="16.53125" style="454" customWidth="1"/>
    <col min="10" max="10" width="8.53125" style="454" customWidth="1"/>
    <col min="11" max="11" width="16.53125" style="454" customWidth="1"/>
    <col min="12" max="12" width="8.53125" style="454" customWidth="1"/>
    <col min="13" max="13" width="16.53125" style="454" customWidth="1"/>
    <col min="14" max="14" width="8.53125" style="454" customWidth="1"/>
    <col min="15" max="15" width="16.53125" style="454" customWidth="1"/>
    <col min="16" max="16" width="8.53125" style="454" customWidth="1"/>
    <col min="17" max="17" width="16.53125" style="454" customWidth="1"/>
    <col min="18" max="18" width="8.53125" style="454" customWidth="1"/>
    <col min="19" max="19" width="16.53125" style="454" customWidth="1"/>
    <col min="20" max="20" width="8.53125" style="454" customWidth="1"/>
    <col min="21" max="21" width="16.53125" style="454" customWidth="1"/>
    <col min="22" max="22" width="8.53125" style="454" customWidth="1"/>
    <col min="23" max="23" width="16.53125" style="454" customWidth="1"/>
    <col min="24" max="24" width="8.53125" style="454" customWidth="1"/>
    <col min="25" max="25" width="16.53125" style="454" customWidth="1"/>
    <col min="26" max="26" width="8.53125" style="454" customWidth="1"/>
    <col min="27" max="27" width="16.53125" style="454" customWidth="1"/>
    <col min="28" max="28" width="8.53125" style="454" customWidth="1"/>
    <col min="29" max="29" width="16.53125" style="454" customWidth="1"/>
    <col min="30" max="30" width="8.53125" style="454" customWidth="1"/>
    <col min="31" max="31" width="16.53125" style="454" customWidth="1"/>
    <col min="32" max="32" width="8.53125" style="454" customWidth="1"/>
    <col min="33" max="33" width="16.53125" style="454" customWidth="1"/>
    <col min="34" max="34" width="8.53125" style="454" customWidth="1"/>
    <col min="35" max="35" width="16.53125" style="454" customWidth="1"/>
    <col min="36" max="36" width="8.53125" style="454" customWidth="1"/>
    <col min="37" max="37" width="16.53125" style="454" customWidth="1"/>
    <col min="38" max="38" width="8.53125" style="454" customWidth="1"/>
    <col min="39" max="39" width="16.53125" style="454" customWidth="1"/>
    <col min="40" max="40" width="8.53125" style="454" customWidth="1"/>
    <col min="41" max="41" width="16.53125" style="454" customWidth="1"/>
    <col min="42" max="42" width="8.53125" style="454" customWidth="1"/>
    <col min="43" max="43" width="16.53125" style="454" customWidth="1"/>
    <col min="44" max="44" width="8.53125" style="454" customWidth="1"/>
    <col min="45" max="45" width="16.53125" style="454" customWidth="1"/>
    <col min="46" max="46" width="8.53125" style="454" customWidth="1"/>
    <col min="47" max="47" width="16.53125" style="454" customWidth="1"/>
    <col min="48" max="48" width="8.53125" style="454" customWidth="1"/>
    <col min="49" max="49" width="16.53125" style="454" customWidth="1"/>
    <col min="50" max="50" width="8.53125" style="454" customWidth="1"/>
    <col min="51" max="51" width="16.53125" style="454" customWidth="1"/>
    <col min="52" max="52" width="8.53125" style="454" customWidth="1"/>
    <col min="53" max="53" width="16.53125" style="454" customWidth="1"/>
    <col min="54" max="54" width="8.53125" style="454" customWidth="1"/>
    <col min="55" max="55" width="16.53125" style="454" customWidth="1"/>
    <col min="56" max="56" width="8.53125" style="454" customWidth="1"/>
    <col min="57" max="57" width="16.53125" style="454" customWidth="1"/>
    <col min="58" max="58" width="8.53125" style="454" customWidth="1"/>
    <col min="59" max="59" width="16.53125" style="454" customWidth="1"/>
    <col min="60" max="60" width="8.53125" style="454" customWidth="1"/>
    <col min="61" max="61" width="16.53125" style="454" customWidth="1"/>
    <col min="62" max="62" width="8.53125" style="454" customWidth="1"/>
    <col min="63" max="63" width="16.53125" style="454" customWidth="1"/>
    <col min="64" max="64" width="8.53125" style="454" customWidth="1"/>
    <col min="65" max="65" width="16.53125" style="454" customWidth="1"/>
    <col min="66" max="66" width="8.53125" style="454" customWidth="1"/>
    <col min="67" max="67" width="16.53125" style="454" customWidth="1"/>
    <col min="68" max="68" width="8.53125" style="454" customWidth="1"/>
    <col min="69" max="69" width="16.53125" style="454" customWidth="1"/>
    <col min="70" max="70" width="8.53125" style="454" customWidth="1"/>
    <col min="71" max="71" width="16.53125" style="454" customWidth="1"/>
    <col min="72" max="72" width="8.53125" style="454" customWidth="1"/>
    <col min="73" max="73" width="16.53125" style="454" customWidth="1"/>
    <col min="74" max="74" width="8.53125" style="454" customWidth="1"/>
    <col min="75" max="75" width="16.53125" style="454" customWidth="1"/>
    <col min="76" max="76" width="8.53125" style="454" customWidth="1"/>
    <col min="77" max="77" width="16.53125" style="454" customWidth="1"/>
    <col min="78" max="78" width="8.53125" style="454" customWidth="1"/>
    <col min="79" max="79" width="16.53125" style="454" customWidth="1"/>
    <col min="80" max="80" width="8.53125" style="454" customWidth="1"/>
    <col min="81" max="81" width="16.53125" style="454" customWidth="1"/>
    <col min="82" max="82" width="8.53125" style="454" customWidth="1"/>
    <col min="83" max="83" width="16.53125" style="454" customWidth="1"/>
  </cols>
  <sheetData>
    <row r="1" spans="1:104" x14ac:dyDescent="0.45">
      <c r="A1" s="289"/>
      <c r="B1" s="294"/>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289"/>
      <c r="CG1" s="289"/>
      <c r="CH1" s="289"/>
      <c r="CI1" s="289"/>
      <c r="CJ1" s="289"/>
      <c r="CK1" s="289"/>
      <c r="CL1" s="289"/>
      <c r="CM1" s="289"/>
      <c r="CN1" s="289"/>
      <c r="CO1" s="289"/>
      <c r="CP1" s="289"/>
      <c r="CQ1" s="289"/>
      <c r="CR1" s="289"/>
      <c r="CS1" s="289"/>
      <c r="CT1" s="289"/>
      <c r="CU1" s="289"/>
      <c r="CV1" s="289"/>
      <c r="CW1" s="289"/>
      <c r="CX1" s="289"/>
      <c r="CY1" s="289"/>
      <c r="CZ1" s="289"/>
    </row>
    <row r="2" spans="1:104" x14ac:dyDescent="0.45">
      <c r="A2" s="289"/>
      <c r="B2" s="294"/>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445"/>
      <c r="AT2" s="445"/>
      <c r="AU2" s="445"/>
      <c r="AV2" s="445"/>
      <c r="AW2" s="445"/>
      <c r="AX2" s="445"/>
      <c r="AY2" s="445"/>
      <c r="AZ2" s="445"/>
      <c r="BA2" s="445"/>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289"/>
      <c r="CG2" s="289"/>
      <c r="CH2" s="289"/>
      <c r="CI2" s="289"/>
      <c r="CJ2" s="289"/>
      <c r="CK2" s="289"/>
      <c r="CL2" s="289"/>
      <c r="CM2" s="289"/>
      <c r="CN2" s="289"/>
      <c r="CO2" s="289"/>
      <c r="CP2" s="289"/>
      <c r="CQ2" s="289"/>
      <c r="CR2" s="289"/>
      <c r="CS2" s="289"/>
      <c r="CT2" s="289"/>
      <c r="CU2" s="289"/>
      <c r="CV2" s="289"/>
      <c r="CW2" s="289"/>
      <c r="CX2" s="289"/>
      <c r="CY2" s="289"/>
      <c r="CZ2" s="289"/>
    </row>
    <row r="3" spans="1:104" ht="18" x14ac:dyDescent="0.45">
      <c r="A3" s="289"/>
      <c r="B3" s="414" t="s">
        <v>773</v>
      </c>
      <c r="C3" s="445"/>
      <c r="D3" s="445"/>
      <c r="E3" s="445"/>
      <c r="F3" s="445"/>
      <c r="G3" s="445"/>
      <c r="H3" s="445"/>
      <c r="I3" s="445"/>
      <c r="J3" s="445"/>
      <c r="K3" s="445"/>
      <c r="L3" s="445"/>
      <c r="M3" s="445"/>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c r="AT3" s="445"/>
      <c r="AU3" s="445"/>
      <c r="AV3" s="445"/>
      <c r="AW3" s="445"/>
      <c r="AX3" s="445"/>
      <c r="AY3" s="445"/>
      <c r="AZ3" s="445"/>
      <c r="BA3" s="445"/>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289"/>
      <c r="CG3" s="289"/>
      <c r="CH3" s="289"/>
      <c r="CI3" s="289"/>
      <c r="CJ3" s="289"/>
      <c r="CK3" s="289"/>
      <c r="CL3" s="289"/>
      <c r="CM3" s="289"/>
      <c r="CN3" s="289"/>
      <c r="CO3" s="289"/>
      <c r="CP3" s="289"/>
      <c r="CQ3" s="289"/>
      <c r="CR3" s="289"/>
      <c r="CS3" s="289"/>
      <c r="CT3" s="289"/>
      <c r="CU3" s="289"/>
      <c r="CV3" s="289"/>
      <c r="CW3" s="289"/>
      <c r="CX3" s="289"/>
      <c r="CY3" s="289"/>
      <c r="CZ3" s="289"/>
    </row>
    <row r="4" spans="1:104" ht="14.65" thickBot="1" x14ac:dyDescent="0.5">
      <c r="A4" s="289"/>
      <c r="B4" s="294"/>
      <c r="C4" s="445"/>
      <c r="D4" s="794" t="str">
        <f ca="1">IF(D16="","",D15)</f>
        <v/>
      </c>
      <c r="E4" s="795"/>
      <c r="F4" s="794" t="str">
        <f ca="1">IF(F16="","",F15)</f>
        <v/>
      </c>
      <c r="G4" s="795"/>
      <c r="H4" s="794" t="str">
        <f ca="1">IF(H16="","",H15)</f>
        <v/>
      </c>
      <c r="I4" s="795"/>
      <c r="J4" s="794" t="str">
        <f ca="1">IF(J16="","",J15)</f>
        <v/>
      </c>
      <c r="K4" s="795"/>
      <c r="L4" s="794" t="str">
        <f ca="1">IF(L16="","",L15)</f>
        <v/>
      </c>
      <c r="M4" s="795"/>
      <c r="N4" s="794" t="str">
        <f ca="1">IF(N16="","",N15)</f>
        <v/>
      </c>
      <c r="O4" s="795"/>
      <c r="P4" s="794" t="str">
        <f ca="1">IF(P16="","",P15)</f>
        <v/>
      </c>
      <c r="Q4" s="795"/>
      <c r="R4" s="794" t="str">
        <f ca="1">IF(R16="","",R15)</f>
        <v/>
      </c>
      <c r="S4" s="795"/>
      <c r="T4" s="794" t="str">
        <f ca="1">IF(T16="","",T15)</f>
        <v/>
      </c>
      <c r="U4" s="795"/>
      <c r="V4" s="794" t="str">
        <f ca="1">IF(V16="","",V15)</f>
        <v/>
      </c>
      <c r="W4" s="795"/>
      <c r="X4" s="794" t="str">
        <f ca="1">IF(X16="","",X15)</f>
        <v/>
      </c>
      <c r="Y4" s="795"/>
      <c r="Z4" s="794" t="str">
        <f ca="1">IF(Z16="","",Z15)</f>
        <v/>
      </c>
      <c r="AA4" s="795"/>
      <c r="AB4" s="794" t="str">
        <f ca="1">IF(AB16="","",AB15)</f>
        <v/>
      </c>
      <c r="AC4" s="795"/>
      <c r="AD4" s="794" t="str">
        <f ca="1">IF(AD16="","",AD15)</f>
        <v/>
      </c>
      <c r="AE4" s="795"/>
      <c r="AF4" s="794" t="str">
        <f ca="1">IF(AF16="","",AF15)</f>
        <v/>
      </c>
      <c r="AG4" s="795"/>
      <c r="AH4" s="794" t="str">
        <f ca="1">IF(AH16="","",AH15)</f>
        <v/>
      </c>
      <c r="AI4" s="795"/>
      <c r="AJ4" s="794" t="str">
        <f ca="1">IF(AJ16="","",AJ15)</f>
        <v/>
      </c>
      <c r="AK4" s="795"/>
      <c r="AL4" s="794" t="str">
        <f ca="1">IF(AL16="","",AL15)</f>
        <v/>
      </c>
      <c r="AM4" s="795"/>
      <c r="AN4" s="794" t="str">
        <f ca="1">IF(AN16="","",AN15)</f>
        <v/>
      </c>
      <c r="AO4" s="795"/>
      <c r="AP4" s="794" t="str">
        <f ca="1">IF(AP16="","",AP15)</f>
        <v/>
      </c>
      <c r="AQ4" s="795"/>
      <c r="AR4" s="794" t="str">
        <f ca="1">IF(AR16="","",AR15)</f>
        <v/>
      </c>
      <c r="AS4" s="795"/>
      <c r="AT4" s="794" t="str">
        <f ca="1">IF(AT16="","",AT15)</f>
        <v/>
      </c>
      <c r="AU4" s="795"/>
      <c r="AV4" s="794" t="str">
        <f ca="1">IF(AV16="","",AV15)</f>
        <v/>
      </c>
      <c r="AW4" s="795"/>
      <c r="AX4" s="794" t="str">
        <f ca="1">IF(AX16="","",AX15)</f>
        <v/>
      </c>
      <c r="AY4" s="795"/>
      <c r="AZ4" s="794" t="str">
        <f ca="1">IF(AZ16="","",AZ15)</f>
        <v/>
      </c>
      <c r="BA4" s="795"/>
      <c r="BB4" s="794" t="str">
        <f ca="1">IF(BB16="","",BB15)</f>
        <v/>
      </c>
      <c r="BC4" s="795"/>
      <c r="BD4" s="794" t="str">
        <f ca="1">IF(BD16="","",BD15)</f>
        <v/>
      </c>
      <c r="BE4" s="795"/>
      <c r="BF4" s="794" t="str">
        <f ca="1">IF(BF16="","",BF15)</f>
        <v/>
      </c>
      <c r="BG4" s="795"/>
      <c r="BH4" s="794" t="str">
        <f ca="1">IF(BH16="","",BH15)</f>
        <v/>
      </c>
      <c r="BI4" s="795"/>
      <c r="BJ4" s="794" t="str">
        <f ca="1">IF(BJ16="","",BJ15)</f>
        <v/>
      </c>
      <c r="BK4" s="795"/>
      <c r="BL4" s="794" t="str">
        <f ca="1">IF(BL16="","",BL15)</f>
        <v/>
      </c>
      <c r="BM4" s="795"/>
      <c r="BN4" s="794" t="str">
        <f ca="1">IF(BN16="","",BN15)</f>
        <v/>
      </c>
      <c r="BO4" s="795"/>
      <c r="BP4" s="794" t="str">
        <f ca="1">IF(BP16="","",BP15)</f>
        <v/>
      </c>
      <c r="BQ4" s="795"/>
      <c r="BR4" s="794" t="str">
        <f ca="1">IF(BR16="","",BR15)</f>
        <v/>
      </c>
      <c r="BS4" s="795"/>
      <c r="BT4" s="794" t="str">
        <f ca="1">IF(BT16="","",BT15)</f>
        <v/>
      </c>
      <c r="BU4" s="795"/>
      <c r="BV4" s="794" t="str">
        <f ca="1">IF(BV16="","",BV15)</f>
        <v/>
      </c>
      <c r="BW4" s="795"/>
      <c r="BX4" s="794" t="str">
        <f ca="1">IF(BX16="","",BX15)</f>
        <v/>
      </c>
      <c r="BY4" s="795"/>
      <c r="BZ4" s="794" t="str">
        <f ca="1">IF(BZ16="","",BZ15)</f>
        <v/>
      </c>
      <c r="CA4" s="795"/>
      <c r="CB4" s="794" t="str">
        <f ca="1">IF(CB16="","",CB15)</f>
        <v/>
      </c>
      <c r="CC4" s="795"/>
      <c r="CD4" s="794" t="str">
        <f ca="1">IF(CD16="","",CD15)</f>
        <v/>
      </c>
      <c r="CE4" s="795"/>
      <c r="CF4" s="286"/>
      <c r="CG4" s="289"/>
      <c r="CH4" s="289"/>
      <c r="CI4" s="289"/>
      <c r="CJ4" s="289"/>
      <c r="CK4" s="289"/>
      <c r="CL4" s="289"/>
      <c r="CM4" s="289"/>
      <c r="CN4" s="289"/>
      <c r="CO4" s="289"/>
      <c r="CP4" s="289"/>
      <c r="CQ4" s="289"/>
      <c r="CR4" s="289"/>
      <c r="CS4" s="289"/>
      <c r="CT4" s="289"/>
      <c r="CU4" s="289"/>
      <c r="CV4" s="289"/>
      <c r="CW4" s="289"/>
      <c r="CX4" s="289"/>
      <c r="CY4" s="289"/>
      <c r="CZ4" s="289"/>
    </row>
    <row r="5" spans="1:104" ht="23.55" customHeight="1" x14ac:dyDescent="0.45">
      <c r="A5" s="289"/>
      <c r="B5" s="125" t="s">
        <v>5</v>
      </c>
      <c r="C5" s="446"/>
      <c r="D5" s="800" t="str">
        <f ca="1">IF(D16="","",D16)</f>
        <v/>
      </c>
      <c r="E5" s="801"/>
      <c r="F5" s="800" t="str">
        <f ca="1">IF(F16="","",F16)</f>
        <v/>
      </c>
      <c r="G5" s="801"/>
      <c r="H5" s="800" t="str">
        <f ca="1">IF(H16="","",H16)</f>
        <v/>
      </c>
      <c r="I5" s="801"/>
      <c r="J5" s="800" t="str">
        <f ca="1">IF(J16="","",J16)</f>
        <v/>
      </c>
      <c r="K5" s="801"/>
      <c r="L5" s="800" t="str">
        <f ca="1">IF(L16="","",L16)</f>
        <v/>
      </c>
      <c r="M5" s="801"/>
      <c r="N5" s="800" t="str">
        <f ca="1">IF(N16="","",N16)</f>
        <v/>
      </c>
      <c r="O5" s="801"/>
      <c r="P5" s="800" t="str">
        <f ca="1">IF(P16="","",P16)</f>
        <v/>
      </c>
      <c r="Q5" s="801"/>
      <c r="R5" s="800" t="str">
        <f ca="1">IF(R16="","",R16)</f>
        <v/>
      </c>
      <c r="S5" s="801"/>
      <c r="T5" s="800" t="str">
        <f ca="1">IF(T16="","",T16)</f>
        <v/>
      </c>
      <c r="U5" s="801"/>
      <c r="V5" s="800" t="str">
        <f ca="1">IF(V16="","",V16)</f>
        <v/>
      </c>
      <c r="W5" s="801"/>
      <c r="X5" s="800" t="str">
        <f ca="1">IF(X16="","",X16)</f>
        <v/>
      </c>
      <c r="Y5" s="801"/>
      <c r="Z5" s="800" t="str">
        <f ca="1">IF(Z16="","",Z16)</f>
        <v/>
      </c>
      <c r="AA5" s="801"/>
      <c r="AB5" s="800" t="str">
        <f ca="1">IF(AB16="","",AB16)</f>
        <v/>
      </c>
      <c r="AC5" s="801"/>
      <c r="AD5" s="800" t="str">
        <f ca="1">IF(AD16="","",AD16)</f>
        <v/>
      </c>
      <c r="AE5" s="801"/>
      <c r="AF5" s="800" t="str">
        <f ca="1">IF(AF16="","",AF16)</f>
        <v/>
      </c>
      <c r="AG5" s="801"/>
      <c r="AH5" s="800" t="str">
        <f ca="1">IF(AH16="","",AH16)</f>
        <v/>
      </c>
      <c r="AI5" s="801"/>
      <c r="AJ5" s="800" t="str">
        <f ca="1">IF(AJ16="","",AJ16)</f>
        <v/>
      </c>
      <c r="AK5" s="801"/>
      <c r="AL5" s="800" t="str">
        <f ca="1">IF(AL16="","",AL16)</f>
        <v/>
      </c>
      <c r="AM5" s="801"/>
      <c r="AN5" s="800" t="str">
        <f ca="1">IF(AN16="","",AN16)</f>
        <v/>
      </c>
      <c r="AO5" s="801"/>
      <c r="AP5" s="800" t="str">
        <f ca="1">IF(AP16="","",AP16)</f>
        <v/>
      </c>
      <c r="AQ5" s="801"/>
      <c r="AR5" s="800" t="str">
        <f ca="1">IF(AR16="","",AR16)</f>
        <v/>
      </c>
      <c r="AS5" s="801"/>
      <c r="AT5" s="800" t="str">
        <f ca="1">IF(AT16="","",AT16)</f>
        <v/>
      </c>
      <c r="AU5" s="801"/>
      <c r="AV5" s="800" t="str">
        <f ca="1">IF(AV16="","",AV16)</f>
        <v/>
      </c>
      <c r="AW5" s="801"/>
      <c r="AX5" s="800" t="str">
        <f ca="1">IF(AX16="","",AX16)</f>
        <v/>
      </c>
      <c r="AY5" s="801"/>
      <c r="AZ5" s="800" t="str">
        <f ca="1">IF(AZ16="","",AZ16)</f>
        <v/>
      </c>
      <c r="BA5" s="801"/>
      <c r="BB5" s="800" t="str">
        <f ca="1">IF(BB16="","",BB16)</f>
        <v/>
      </c>
      <c r="BC5" s="801"/>
      <c r="BD5" s="800" t="str">
        <f ca="1">IF(BD16="","",BD16)</f>
        <v/>
      </c>
      <c r="BE5" s="801"/>
      <c r="BF5" s="800" t="str">
        <f ca="1">IF(BF16="","",BF16)</f>
        <v/>
      </c>
      <c r="BG5" s="801"/>
      <c r="BH5" s="800" t="str">
        <f ca="1">IF(BH16="","",BH16)</f>
        <v/>
      </c>
      <c r="BI5" s="801"/>
      <c r="BJ5" s="800" t="str">
        <f ca="1">IF(BJ16="","",BJ16)</f>
        <v/>
      </c>
      <c r="BK5" s="801"/>
      <c r="BL5" s="800" t="str">
        <f ca="1">IF(BL16="","",BL16)</f>
        <v/>
      </c>
      <c r="BM5" s="801"/>
      <c r="BN5" s="800" t="str">
        <f ca="1">IF(BN16="","",BN16)</f>
        <v/>
      </c>
      <c r="BO5" s="801"/>
      <c r="BP5" s="800" t="str">
        <f ca="1">IF(BP16="","",BP16)</f>
        <v/>
      </c>
      <c r="BQ5" s="801"/>
      <c r="BR5" s="800" t="str">
        <f ca="1">IF(BR16="","",BR16)</f>
        <v/>
      </c>
      <c r="BS5" s="801"/>
      <c r="BT5" s="800" t="str">
        <f ca="1">IF(BT16="","",BT16)</f>
        <v/>
      </c>
      <c r="BU5" s="801"/>
      <c r="BV5" s="800" t="str">
        <f ca="1">IF(BV16="","",BV16)</f>
        <v/>
      </c>
      <c r="BW5" s="801"/>
      <c r="BX5" s="800" t="str">
        <f ca="1">IF(BX16="","",BX16)</f>
        <v/>
      </c>
      <c r="BY5" s="801"/>
      <c r="BZ5" s="800" t="str">
        <f ca="1">IF(BZ16="","",BZ16)</f>
        <v/>
      </c>
      <c r="CA5" s="801"/>
      <c r="CB5" s="800" t="str">
        <f ca="1">IF(CB16="","",CB16)</f>
        <v/>
      </c>
      <c r="CC5" s="801"/>
      <c r="CD5" s="800" t="str">
        <f ca="1">IF(CD16="","",CD16)</f>
        <v/>
      </c>
      <c r="CE5" s="801"/>
      <c r="CF5" s="320"/>
      <c r="CG5" s="289"/>
      <c r="CH5" s="289"/>
      <c r="CI5" s="289"/>
      <c r="CJ5" s="289"/>
      <c r="CK5" s="289"/>
      <c r="CL5" s="289"/>
      <c r="CM5" s="289"/>
      <c r="CN5" s="289"/>
      <c r="CO5" s="289"/>
      <c r="CP5" s="289"/>
      <c r="CQ5" s="289"/>
      <c r="CR5" s="289"/>
      <c r="CS5" s="289"/>
      <c r="CT5" s="289"/>
      <c r="CU5" s="289"/>
      <c r="CV5" s="289"/>
      <c r="CW5" s="289"/>
      <c r="CX5" s="289"/>
      <c r="CY5" s="289"/>
      <c r="CZ5" s="289"/>
    </row>
    <row r="6" spans="1:104" ht="15.75" x14ac:dyDescent="0.45">
      <c r="A6" s="289"/>
      <c r="B6" s="592" t="str">
        <f>HYPERLINK(
  "#'6. Definities'!" &amp;
  INDEX('Hulp (definities)'!E:E,
        MATCH("Gewogen bruto maandsalaris",'Hulp (definities)'!A:A,0)
  ),
  "Gewogen bruto maandsalaris"
)</f>
        <v>Gewogen bruto maandsalaris</v>
      </c>
      <c r="C6" s="447"/>
      <c r="D6" s="437"/>
      <c r="E6" s="438" t="str">
        <f ca="1">E17</f>
        <v/>
      </c>
      <c r="F6" s="437"/>
      <c r="G6" s="438" t="str">
        <f ca="1">G17</f>
        <v/>
      </c>
      <c r="H6" s="437"/>
      <c r="I6" s="438" t="str">
        <f ca="1">I17</f>
        <v/>
      </c>
      <c r="J6" s="437"/>
      <c r="K6" s="438" t="str">
        <f ca="1">K17</f>
        <v/>
      </c>
      <c r="L6" s="437"/>
      <c r="M6" s="438" t="str">
        <f ca="1">M17</f>
        <v/>
      </c>
      <c r="N6" s="437"/>
      <c r="O6" s="438" t="str">
        <f ca="1">O17</f>
        <v/>
      </c>
      <c r="P6" s="437"/>
      <c r="Q6" s="438" t="str">
        <f ca="1">Q17</f>
        <v/>
      </c>
      <c r="R6" s="437"/>
      <c r="S6" s="438" t="str">
        <f ca="1">S17</f>
        <v/>
      </c>
      <c r="T6" s="437"/>
      <c r="U6" s="438" t="str">
        <f ca="1">U17</f>
        <v/>
      </c>
      <c r="V6" s="437"/>
      <c r="W6" s="438" t="str">
        <f ca="1">W17</f>
        <v/>
      </c>
      <c r="X6" s="437"/>
      <c r="Y6" s="438" t="str">
        <f ca="1">Y17</f>
        <v/>
      </c>
      <c r="Z6" s="437"/>
      <c r="AA6" s="438" t="str">
        <f ca="1">AA17</f>
        <v/>
      </c>
      <c r="AB6" s="437"/>
      <c r="AC6" s="438" t="str">
        <f ca="1">AC17</f>
        <v/>
      </c>
      <c r="AD6" s="437"/>
      <c r="AE6" s="438" t="str">
        <f ca="1">AE17</f>
        <v/>
      </c>
      <c r="AF6" s="437"/>
      <c r="AG6" s="438" t="str">
        <f ca="1">AG17</f>
        <v/>
      </c>
      <c r="AH6" s="437"/>
      <c r="AI6" s="438" t="str">
        <f ca="1">AI17</f>
        <v/>
      </c>
      <c r="AJ6" s="437"/>
      <c r="AK6" s="438" t="str">
        <f ca="1">AK17</f>
        <v/>
      </c>
      <c r="AL6" s="437"/>
      <c r="AM6" s="438" t="str">
        <f ca="1">AM17</f>
        <v/>
      </c>
      <c r="AN6" s="437"/>
      <c r="AO6" s="438" t="str">
        <f ca="1">AO17</f>
        <v/>
      </c>
      <c r="AP6" s="437"/>
      <c r="AQ6" s="438" t="str">
        <f ca="1">AQ17</f>
        <v/>
      </c>
      <c r="AR6" s="437"/>
      <c r="AS6" s="438" t="str">
        <f ca="1">AS17</f>
        <v/>
      </c>
      <c r="AT6" s="437"/>
      <c r="AU6" s="438" t="str">
        <f ca="1">AU17</f>
        <v/>
      </c>
      <c r="AV6" s="437"/>
      <c r="AW6" s="438" t="str">
        <f ca="1">AW17</f>
        <v/>
      </c>
      <c r="AX6" s="437"/>
      <c r="AY6" s="438" t="str">
        <f ca="1">AY17</f>
        <v/>
      </c>
      <c r="AZ6" s="437"/>
      <c r="BA6" s="438" t="str">
        <f ca="1">BA17</f>
        <v/>
      </c>
      <c r="BB6" s="437"/>
      <c r="BC6" s="438" t="str">
        <f ca="1">BC17</f>
        <v/>
      </c>
      <c r="BD6" s="437"/>
      <c r="BE6" s="438" t="str">
        <f ca="1">BE17</f>
        <v/>
      </c>
      <c r="BF6" s="437"/>
      <c r="BG6" s="438" t="str">
        <f ca="1">BG17</f>
        <v/>
      </c>
      <c r="BH6" s="437"/>
      <c r="BI6" s="438" t="str">
        <f ca="1">BI17</f>
        <v/>
      </c>
      <c r="BJ6" s="437"/>
      <c r="BK6" s="438" t="str">
        <f ca="1">BK17</f>
        <v/>
      </c>
      <c r="BL6" s="437"/>
      <c r="BM6" s="438" t="str">
        <f ca="1">BM17</f>
        <v/>
      </c>
      <c r="BN6" s="437"/>
      <c r="BO6" s="438" t="str">
        <f ca="1">BO17</f>
        <v/>
      </c>
      <c r="BP6" s="437"/>
      <c r="BQ6" s="438" t="str">
        <f ca="1">BQ17</f>
        <v/>
      </c>
      <c r="BR6" s="437"/>
      <c r="BS6" s="438" t="str">
        <f ca="1">BS17</f>
        <v/>
      </c>
      <c r="BT6" s="437"/>
      <c r="BU6" s="438" t="str">
        <f ca="1">BU17</f>
        <v/>
      </c>
      <c r="BV6" s="437"/>
      <c r="BW6" s="438" t="str">
        <f ca="1">BW17</f>
        <v/>
      </c>
      <c r="BX6" s="437"/>
      <c r="BY6" s="438" t="str">
        <f ca="1">BY17</f>
        <v/>
      </c>
      <c r="BZ6" s="437"/>
      <c r="CA6" s="438" t="str">
        <f ca="1">CA17</f>
        <v/>
      </c>
      <c r="CB6" s="437"/>
      <c r="CC6" s="438" t="str">
        <f ca="1">CC17</f>
        <v/>
      </c>
      <c r="CD6" s="437"/>
      <c r="CE6" s="438" t="str">
        <f ca="1">CE17</f>
        <v/>
      </c>
      <c r="CF6" s="320"/>
      <c r="CG6" s="289"/>
      <c r="CH6" s="289"/>
      <c r="CI6" s="289"/>
      <c r="CJ6" s="289"/>
      <c r="CK6" s="289"/>
      <c r="CL6" s="289"/>
      <c r="CM6" s="289"/>
      <c r="CN6" s="289"/>
      <c r="CO6" s="289"/>
      <c r="CP6" s="289"/>
      <c r="CQ6" s="289"/>
      <c r="CR6" s="289"/>
      <c r="CS6" s="289"/>
      <c r="CT6" s="289"/>
      <c r="CU6" s="289"/>
      <c r="CV6" s="289"/>
      <c r="CW6" s="289"/>
      <c r="CX6" s="289"/>
      <c r="CY6" s="289"/>
      <c r="CZ6" s="289"/>
    </row>
    <row r="7" spans="1:104" ht="15.75" x14ac:dyDescent="0.45">
      <c r="A7" s="289"/>
      <c r="B7" s="392" t="s">
        <v>16</v>
      </c>
      <c r="C7" s="448"/>
      <c r="D7" s="439"/>
      <c r="E7" s="440" t="str">
        <f ca="1">D29</f>
        <v/>
      </c>
      <c r="F7" s="439"/>
      <c r="G7" s="440" t="str">
        <f ca="1">F29</f>
        <v/>
      </c>
      <c r="H7" s="439"/>
      <c r="I7" s="440" t="str">
        <f ca="1">H29</f>
        <v/>
      </c>
      <c r="J7" s="439"/>
      <c r="K7" s="440" t="str">
        <f ca="1">J29</f>
        <v/>
      </c>
      <c r="L7" s="439"/>
      <c r="M7" s="440" t="str">
        <f ca="1">L29</f>
        <v/>
      </c>
      <c r="N7" s="439"/>
      <c r="O7" s="440" t="str">
        <f ca="1">N29</f>
        <v/>
      </c>
      <c r="P7" s="439"/>
      <c r="Q7" s="440" t="str">
        <f ca="1">P29</f>
        <v/>
      </c>
      <c r="R7" s="439"/>
      <c r="S7" s="440" t="str">
        <f ca="1">R29</f>
        <v/>
      </c>
      <c r="T7" s="439"/>
      <c r="U7" s="440" t="str">
        <f ca="1">T29</f>
        <v/>
      </c>
      <c r="V7" s="439"/>
      <c r="W7" s="440" t="str">
        <f ca="1">V29</f>
        <v/>
      </c>
      <c r="X7" s="439"/>
      <c r="Y7" s="440" t="str">
        <f ca="1">X29</f>
        <v/>
      </c>
      <c r="Z7" s="439"/>
      <c r="AA7" s="440" t="str">
        <f ca="1">Z29</f>
        <v/>
      </c>
      <c r="AB7" s="439"/>
      <c r="AC7" s="440" t="str">
        <f ca="1">AB29</f>
        <v/>
      </c>
      <c r="AD7" s="439"/>
      <c r="AE7" s="440" t="str">
        <f ca="1">AD29</f>
        <v/>
      </c>
      <c r="AF7" s="439"/>
      <c r="AG7" s="440" t="str">
        <f ca="1">AF29</f>
        <v/>
      </c>
      <c r="AH7" s="439"/>
      <c r="AI7" s="440" t="str">
        <f ca="1">AH29</f>
        <v/>
      </c>
      <c r="AJ7" s="439"/>
      <c r="AK7" s="440" t="str">
        <f ca="1">AJ29</f>
        <v/>
      </c>
      <c r="AL7" s="439"/>
      <c r="AM7" s="440" t="str">
        <f ca="1">AL29</f>
        <v/>
      </c>
      <c r="AN7" s="439"/>
      <c r="AO7" s="440" t="str">
        <f ca="1">AN29</f>
        <v/>
      </c>
      <c r="AP7" s="439"/>
      <c r="AQ7" s="440" t="str">
        <f ca="1">AP29</f>
        <v/>
      </c>
      <c r="AR7" s="439"/>
      <c r="AS7" s="440" t="str">
        <f ca="1">AR29</f>
        <v/>
      </c>
      <c r="AT7" s="439"/>
      <c r="AU7" s="440" t="str">
        <f ca="1">AT29</f>
        <v/>
      </c>
      <c r="AV7" s="439"/>
      <c r="AW7" s="440" t="str">
        <f ca="1">AV29</f>
        <v/>
      </c>
      <c r="AX7" s="439"/>
      <c r="AY7" s="440" t="str">
        <f ca="1">AX29</f>
        <v/>
      </c>
      <c r="AZ7" s="439"/>
      <c r="BA7" s="440" t="str">
        <f ca="1">AZ29</f>
        <v/>
      </c>
      <c r="BB7" s="439"/>
      <c r="BC7" s="440" t="str">
        <f ca="1">BB29</f>
        <v/>
      </c>
      <c r="BD7" s="439"/>
      <c r="BE7" s="440" t="str">
        <f ca="1">BD29</f>
        <v/>
      </c>
      <c r="BF7" s="439"/>
      <c r="BG7" s="440" t="str">
        <f ca="1">BF29</f>
        <v/>
      </c>
      <c r="BH7" s="439"/>
      <c r="BI7" s="440" t="str">
        <f ca="1">BH29</f>
        <v/>
      </c>
      <c r="BJ7" s="439"/>
      <c r="BK7" s="440" t="str">
        <f ca="1">BJ29</f>
        <v/>
      </c>
      <c r="BL7" s="439"/>
      <c r="BM7" s="440" t="str">
        <f ca="1">BL29</f>
        <v/>
      </c>
      <c r="BN7" s="439"/>
      <c r="BO7" s="440" t="str">
        <f ca="1">BN29</f>
        <v/>
      </c>
      <c r="BP7" s="439"/>
      <c r="BQ7" s="440" t="str">
        <f ca="1">BP29</f>
        <v/>
      </c>
      <c r="BR7" s="439"/>
      <c r="BS7" s="440" t="str">
        <f ca="1">BR29</f>
        <v/>
      </c>
      <c r="BT7" s="439"/>
      <c r="BU7" s="440" t="str">
        <f ca="1">BT29</f>
        <v/>
      </c>
      <c r="BV7" s="439"/>
      <c r="BW7" s="440" t="str">
        <f ca="1">BV29</f>
        <v/>
      </c>
      <c r="BX7" s="439"/>
      <c r="BY7" s="440" t="str">
        <f ca="1">BX29</f>
        <v/>
      </c>
      <c r="BZ7" s="439"/>
      <c r="CA7" s="440" t="str">
        <f ca="1">BZ29</f>
        <v/>
      </c>
      <c r="CB7" s="439"/>
      <c r="CC7" s="440" t="str">
        <f ca="1">CB29</f>
        <v/>
      </c>
      <c r="CD7" s="439"/>
      <c r="CE7" s="440" t="str">
        <f ca="1">CD29</f>
        <v/>
      </c>
      <c r="CF7" s="320"/>
      <c r="CG7" s="289"/>
      <c r="CH7" s="289"/>
      <c r="CI7" s="289"/>
      <c r="CJ7" s="289"/>
      <c r="CK7" s="289"/>
      <c r="CL7" s="289"/>
      <c r="CM7" s="289"/>
      <c r="CN7" s="289"/>
      <c r="CO7" s="289"/>
      <c r="CP7" s="289"/>
      <c r="CQ7" s="289"/>
      <c r="CR7" s="289"/>
      <c r="CS7" s="289"/>
      <c r="CT7" s="289"/>
      <c r="CU7" s="289"/>
      <c r="CV7" s="289"/>
      <c r="CW7" s="289"/>
      <c r="CX7" s="289"/>
      <c r="CY7" s="289"/>
      <c r="CZ7" s="289"/>
    </row>
    <row r="8" spans="1:104" ht="15.75" x14ac:dyDescent="0.45">
      <c r="A8" s="289"/>
      <c r="B8" s="392" t="s">
        <v>731</v>
      </c>
      <c r="C8" s="448"/>
      <c r="D8" s="439"/>
      <c r="E8" s="440" t="str">
        <f ca="1">IF(D32&lt;&gt;"",D32,IF(D16="","", $C32))</f>
        <v/>
      </c>
      <c r="F8" s="439"/>
      <c r="G8" s="440" t="str">
        <f ca="1">IF(F32&lt;&gt;"",F32,IF(F16="","", $C32))</f>
        <v/>
      </c>
      <c r="H8" s="439"/>
      <c r="I8" s="440" t="str">
        <f ca="1">IF(H32&lt;&gt;"",H32,IF(H16="","", $C32))</f>
        <v/>
      </c>
      <c r="J8" s="439"/>
      <c r="K8" s="440" t="str">
        <f ca="1">IF(J32&lt;&gt;"",J32,IF(J16="","", $C32))</f>
        <v/>
      </c>
      <c r="L8" s="439"/>
      <c r="M8" s="440" t="str">
        <f ca="1">IF(L32&lt;&gt;"",L32,IF(L16="","", $C32))</f>
        <v/>
      </c>
      <c r="N8" s="439"/>
      <c r="O8" s="440" t="str">
        <f ca="1">IF(N32&lt;&gt;"",N32,IF(N16="","", $C32))</f>
        <v/>
      </c>
      <c r="P8" s="439"/>
      <c r="Q8" s="440" t="str">
        <f ca="1">IF(P32&lt;&gt;"",P32,IF(P16="","", $C32))</f>
        <v/>
      </c>
      <c r="R8" s="439"/>
      <c r="S8" s="440" t="str">
        <f ca="1">IF(R32&lt;&gt;"",R32,IF(R16="","", $C32))</f>
        <v/>
      </c>
      <c r="T8" s="439"/>
      <c r="U8" s="440" t="str">
        <f ca="1">IF(T32&lt;&gt;"",T32,IF(T16="","", $C32))</f>
        <v/>
      </c>
      <c r="V8" s="439"/>
      <c r="W8" s="440" t="str">
        <f ca="1">IF(V32&lt;&gt;"",V32,IF(V16="","", $C32))</f>
        <v/>
      </c>
      <c r="X8" s="439"/>
      <c r="Y8" s="440" t="str">
        <f ca="1">IF(X32&lt;&gt;"",X32,IF(X16="","", $C32))</f>
        <v/>
      </c>
      <c r="Z8" s="439"/>
      <c r="AA8" s="440" t="str">
        <f ca="1">IF(Z32&lt;&gt;"",Z32,IF(Z16="","", $C32))</f>
        <v/>
      </c>
      <c r="AB8" s="439"/>
      <c r="AC8" s="440" t="str">
        <f ca="1">IF(AB32&lt;&gt;"",AB32,IF(AB16="","", $C32))</f>
        <v/>
      </c>
      <c r="AD8" s="439"/>
      <c r="AE8" s="440" t="str">
        <f ca="1">IF(AD32&lt;&gt;"",AD32,IF(AD16="","", $C32))</f>
        <v/>
      </c>
      <c r="AF8" s="439"/>
      <c r="AG8" s="440" t="str">
        <f ca="1">IF(AF32&lt;&gt;"",AF32,IF(AF16="","", $C32))</f>
        <v/>
      </c>
      <c r="AH8" s="439"/>
      <c r="AI8" s="440" t="str">
        <f ca="1">IF(AH32&lt;&gt;"",AH32,IF(AH16="","", $C32))</f>
        <v/>
      </c>
      <c r="AJ8" s="439"/>
      <c r="AK8" s="440" t="str">
        <f ca="1">IF(AJ32&lt;&gt;"",AJ32,IF(AJ16="","", $C32))</f>
        <v/>
      </c>
      <c r="AL8" s="439"/>
      <c r="AM8" s="440" t="str">
        <f ca="1">IF(AL32&lt;&gt;"",AL32,IF(AL16="","", $C32))</f>
        <v/>
      </c>
      <c r="AN8" s="439"/>
      <c r="AO8" s="440" t="str">
        <f ca="1">IF(AN32&lt;&gt;"",AN32,IF(AN16="","", $C32))</f>
        <v/>
      </c>
      <c r="AP8" s="439"/>
      <c r="AQ8" s="440" t="str">
        <f ca="1">IF(AP32&lt;&gt;"",AP32,IF(AP16="","", $C32))</f>
        <v/>
      </c>
      <c r="AR8" s="439"/>
      <c r="AS8" s="440" t="str">
        <f ca="1">IF(AR32&lt;&gt;"",AR32,IF(AR16="","", $C32))</f>
        <v/>
      </c>
      <c r="AT8" s="439"/>
      <c r="AU8" s="440" t="str">
        <f ca="1">IF(AT32&lt;&gt;"",AT32,IF(AT16="","", $C32))</f>
        <v/>
      </c>
      <c r="AV8" s="439"/>
      <c r="AW8" s="440" t="str">
        <f ca="1">IF(AV32&lt;&gt;"",AV32,IF(AV16="","", $C32))</f>
        <v/>
      </c>
      <c r="AX8" s="439"/>
      <c r="AY8" s="440" t="str">
        <f ca="1">IF(AX32&lt;&gt;"",AX32,IF(AX16="","", $C32))</f>
        <v/>
      </c>
      <c r="AZ8" s="439"/>
      <c r="BA8" s="440" t="str">
        <f ca="1">IF(AZ32&lt;&gt;"",AZ32,IF(AZ16="","", $C32))</f>
        <v/>
      </c>
      <c r="BB8" s="439"/>
      <c r="BC8" s="440" t="str">
        <f ca="1">IF(BB32&lt;&gt;"",BB32,IF(BB16="","", $C32))</f>
        <v/>
      </c>
      <c r="BD8" s="439"/>
      <c r="BE8" s="440" t="str">
        <f ca="1">IF(BD32&lt;&gt;"",BD32,IF(BD16="","", $C32))</f>
        <v/>
      </c>
      <c r="BF8" s="439"/>
      <c r="BG8" s="440" t="str">
        <f ca="1">IF(BF32&lt;&gt;"",BF32,IF(BF16="","", $C32))</f>
        <v/>
      </c>
      <c r="BH8" s="439"/>
      <c r="BI8" s="440" t="str">
        <f ca="1">IF(BH32&lt;&gt;"",BH32,IF(BH16="","", $C32))</f>
        <v/>
      </c>
      <c r="BJ8" s="439"/>
      <c r="BK8" s="440" t="str">
        <f ca="1">IF(BJ32&lt;&gt;"",BJ32,IF(BJ16="","", $C32))</f>
        <v/>
      </c>
      <c r="BL8" s="439"/>
      <c r="BM8" s="440" t="str">
        <f ca="1">IF(BL32&lt;&gt;"",BL32,IF(BL16="","", $C32))</f>
        <v/>
      </c>
      <c r="BN8" s="439"/>
      <c r="BO8" s="440" t="str">
        <f ca="1">IF(BN32&lt;&gt;"",BN32,IF(BN16="","", $C32))</f>
        <v/>
      </c>
      <c r="BP8" s="439"/>
      <c r="BQ8" s="440" t="str">
        <f ca="1">IF(BP32&lt;&gt;"",BP32,IF(BP16="","", $C32))</f>
        <v/>
      </c>
      <c r="BR8" s="439"/>
      <c r="BS8" s="440" t="str">
        <f ca="1">IF(BR32&lt;&gt;"",BR32,IF(BR16="","", $C32))</f>
        <v/>
      </c>
      <c r="BT8" s="439"/>
      <c r="BU8" s="440" t="str">
        <f ca="1">IF(BT32&lt;&gt;"",BT32,IF(BT16="","", $C32))</f>
        <v/>
      </c>
      <c r="BV8" s="439"/>
      <c r="BW8" s="440" t="str">
        <f ca="1">IF(BV32&lt;&gt;"",BV32,IF(BV16="","", $C32))</f>
        <v/>
      </c>
      <c r="BX8" s="439"/>
      <c r="BY8" s="440" t="str">
        <f ca="1">IF(BX32&lt;&gt;"",BX32,IF(BX16="","", $C32))</f>
        <v/>
      </c>
      <c r="BZ8" s="439"/>
      <c r="CA8" s="440" t="str">
        <f ca="1">IF(BZ32&lt;&gt;"",BZ32,IF(BZ16="","", $C32))</f>
        <v/>
      </c>
      <c r="CB8" s="439"/>
      <c r="CC8" s="440" t="str">
        <f ca="1">IF(CB32&lt;&gt;"",CB32,IF(CB16="","", $C32))</f>
        <v/>
      </c>
      <c r="CD8" s="439"/>
      <c r="CE8" s="440" t="str">
        <f ca="1">IF(CD32&lt;&gt;"",CD32,IF(CD16="","", $C32))</f>
        <v/>
      </c>
      <c r="CF8" s="320"/>
      <c r="CG8" s="289"/>
      <c r="CH8" s="289"/>
      <c r="CI8" s="289"/>
      <c r="CJ8" s="289"/>
      <c r="CK8" s="289"/>
      <c r="CL8" s="289"/>
      <c r="CM8" s="289"/>
      <c r="CN8" s="289"/>
      <c r="CO8" s="289"/>
      <c r="CP8" s="289"/>
      <c r="CQ8" s="289"/>
      <c r="CR8" s="289"/>
      <c r="CS8" s="289"/>
      <c r="CT8" s="289"/>
      <c r="CU8" s="289"/>
      <c r="CV8" s="289"/>
      <c r="CW8" s="289"/>
      <c r="CX8" s="289"/>
      <c r="CY8" s="289"/>
      <c r="CZ8" s="289"/>
    </row>
    <row r="9" spans="1:104" ht="15.75" x14ac:dyDescent="0.45">
      <c r="A9" s="289"/>
      <c r="B9" s="591" t="str">
        <f>HYPERLINK(
  "#'6. Definities'!" &amp;
  INDEX('Hulp (definities)'!E:E,
        MATCH("Intensiteit",'Hulp (definities)'!A:A,0)
  ),
  "Intensiteit"
)</f>
        <v>Intensiteit</v>
      </c>
      <c r="C9" s="448"/>
      <c r="D9" s="439"/>
      <c r="E9" s="441" t="str">
        <f ca="1">IF(D16="","",
IF(AND(E41&lt;&gt;"",E42&lt;&gt;"",E42&lt;&gt;0), E41/E42,""))</f>
        <v/>
      </c>
      <c r="F9" s="439"/>
      <c r="G9" s="441" t="str">
        <f ca="1">IF(F16="","",
IF(AND(G41&lt;&gt;"",G42&lt;&gt;"",G42&lt;&gt;0), G41/G42,""))</f>
        <v/>
      </c>
      <c r="H9" s="439"/>
      <c r="I9" s="441" t="str">
        <f ca="1">IF(H16="","",
IF(AND(I41&lt;&gt;"",I42&lt;&gt;"",I42&lt;&gt;0), I41/I42,""))</f>
        <v/>
      </c>
      <c r="J9" s="439"/>
      <c r="K9" s="441" t="str">
        <f ca="1">IF(J16="","",
IF(AND(K41&lt;&gt;"",K42&lt;&gt;"",K42&lt;&gt;0), K41/K42,""))</f>
        <v/>
      </c>
      <c r="L9" s="439"/>
      <c r="M9" s="441" t="str">
        <f ca="1">IF(L16="","",
IF(AND(M41&lt;&gt;"",M42&lt;&gt;"",M42&lt;&gt;0), M41/M42,""))</f>
        <v/>
      </c>
      <c r="N9" s="439"/>
      <c r="O9" s="441" t="str">
        <f ca="1">IF(N16="","",
IF(AND(O41&lt;&gt;"",O42&lt;&gt;"",O42&lt;&gt;0), O41/O42,""))</f>
        <v/>
      </c>
      <c r="P9" s="439"/>
      <c r="Q9" s="441" t="str">
        <f ca="1">IF(P16="","",
IF(AND(Q41&lt;&gt;"",Q42&lt;&gt;"",Q42&lt;&gt;0), Q41/Q42,""))</f>
        <v/>
      </c>
      <c r="R9" s="439"/>
      <c r="S9" s="441" t="str">
        <f ca="1">IF(R16="","",
IF(AND(S41&lt;&gt;"",S42&lt;&gt;"",S42&lt;&gt;0), S41/S42,""))</f>
        <v/>
      </c>
      <c r="T9" s="439"/>
      <c r="U9" s="441" t="str">
        <f ca="1">IF(T16="","",
IF(AND(U41&lt;&gt;"",U42&lt;&gt;"",U42&lt;&gt;0), U41/U42,""))</f>
        <v/>
      </c>
      <c r="V9" s="439"/>
      <c r="W9" s="441" t="str">
        <f ca="1">IF(V16="","",
IF(AND(W41&lt;&gt;"",W42&lt;&gt;"",W42&lt;&gt;0), W41/W42,""))</f>
        <v/>
      </c>
      <c r="X9" s="439"/>
      <c r="Y9" s="441" t="str">
        <f ca="1">IF(X16="","",
IF(AND(Y41&lt;&gt;"",Y42&lt;&gt;"",Y42&lt;&gt;0), Y41/Y42,""))</f>
        <v/>
      </c>
      <c r="Z9" s="439"/>
      <c r="AA9" s="441" t="str">
        <f ca="1">IF(Z16="","",
IF(AND(AA41&lt;&gt;"",AA42&lt;&gt;"",AA42&lt;&gt;0), AA41/AA42,""))</f>
        <v/>
      </c>
      <c r="AB9" s="439"/>
      <c r="AC9" s="441" t="str">
        <f ca="1">IF(AB16="","",
IF(AND(AC41&lt;&gt;"",AC42&lt;&gt;"",AC42&lt;&gt;0), AC41/AC42,""))</f>
        <v/>
      </c>
      <c r="AD9" s="439"/>
      <c r="AE9" s="441" t="str">
        <f ca="1">IF(AD16="","",
IF(AND(AE41&lt;&gt;"",AE42&lt;&gt;"",AE42&lt;&gt;0), AE41/AE42,""))</f>
        <v/>
      </c>
      <c r="AF9" s="439"/>
      <c r="AG9" s="441" t="str">
        <f ca="1">IF(AF16="","",
IF(AND(AG41&lt;&gt;"",AG42&lt;&gt;"",AG42&lt;&gt;0), AG41/AG42,""))</f>
        <v/>
      </c>
      <c r="AH9" s="439"/>
      <c r="AI9" s="441" t="str">
        <f ca="1">IF(AH16="","",
IF(AND(AI41&lt;&gt;"",AI42&lt;&gt;"",AI42&lt;&gt;0), AI41/AI42,""))</f>
        <v/>
      </c>
      <c r="AJ9" s="439"/>
      <c r="AK9" s="441" t="str">
        <f ca="1">IF(AJ16="","",
IF(AND(AK41&lt;&gt;"",AK42&lt;&gt;"",AK42&lt;&gt;0), AK41/AK42,""))</f>
        <v/>
      </c>
      <c r="AL9" s="439"/>
      <c r="AM9" s="441" t="str">
        <f ca="1">IF(AL16="","",
IF(AND(AM41&lt;&gt;"",AM42&lt;&gt;"",AM42&lt;&gt;0), AM41/AM42,""))</f>
        <v/>
      </c>
      <c r="AN9" s="439"/>
      <c r="AO9" s="441" t="str">
        <f ca="1">IF(AN16="","",
IF(AND(AO41&lt;&gt;"",AO42&lt;&gt;"",AO42&lt;&gt;0), AO41/AO42,""))</f>
        <v/>
      </c>
      <c r="AP9" s="439"/>
      <c r="AQ9" s="441" t="str">
        <f ca="1">IF(AP16="","",
IF(AND(AQ41&lt;&gt;"",AQ42&lt;&gt;"",AQ42&lt;&gt;0), AQ41/AQ42,""))</f>
        <v/>
      </c>
      <c r="AR9" s="439"/>
      <c r="AS9" s="441" t="str">
        <f ca="1">IF(AR16="","",
IF(AND(AS41&lt;&gt;"",AS42&lt;&gt;"",AS42&lt;&gt;0), AS41/AS42,""))</f>
        <v/>
      </c>
      <c r="AT9" s="439"/>
      <c r="AU9" s="441" t="str">
        <f ca="1">IF(AT16="","",
IF(AND(AU41&lt;&gt;"",AU42&lt;&gt;"",AU42&lt;&gt;0), AU41/AU42,""))</f>
        <v/>
      </c>
      <c r="AV9" s="439"/>
      <c r="AW9" s="441" t="str">
        <f ca="1">IF(AV16="","",
IF(AND(AW41&lt;&gt;"",AW42&lt;&gt;"",AW42&lt;&gt;0), AW41/AW42,""))</f>
        <v/>
      </c>
      <c r="AX9" s="439"/>
      <c r="AY9" s="441" t="str">
        <f ca="1">IF(AX16="","",
IF(AND(AY41&lt;&gt;"",AY42&lt;&gt;"",AY42&lt;&gt;0), AY41/AY42,""))</f>
        <v/>
      </c>
      <c r="AZ9" s="439"/>
      <c r="BA9" s="441" t="str">
        <f ca="1">IF(AZ16="","",
IF(AND(BA41&lt;&gt;"",BA42&lt;&gt;"",BA42&lt;&gt;0), BA41/BA42,""))</f>
        <v/>
      </c>
      <c r="BB9" s="439"/>
      <c r="BC9" s="441" t="str">
        <f ca="1">IF(BB16="","",
IF(AND(BC41&lt;&gt;"",BC42&lt;&gt;"",BC42&lt;&gt;0), BC41/BC42,""))</f>
        <v/>
      </c>
      <c r="BD9" s="439"/>
      <c r="BE9" s="441" t="str">
        <f ca="1">IF(BD16="","",
IF(AND(BE41&lt;&gt;"",BE42&lt;&gt;"",BE42&lt;&gt;0), BE41/BE42,""))</f>
        <v/>
      </c>
      <c r="BF9" s="439"/>
      <c r="BG9" s="441" t="str">
        <f ca="1">IF(BF16="","",
IF(AND(BG41&lt;&gt;"",BG42&lt;&gt;"",BG42&lt;&gt;0), BG41/BG42,""))</f>
        <v/>
      </c>
      <c r="BH9" s="439"/>
      <c r="BI9" s="441" t="str">
        <f ca="1">IF(BH16="","",
IF(AND(BI41&lt;&gt;"",BI42&lt;&gt;"",BI42&lt;&gt;0), BI41/BI42,""))</f>
        <v/>
      </c>
      <c r="BJ9" s="439"/>
      <c r="BK9" s="441" t="str">
        <f ca="1">IF(BJ16="","",
IF(AND(BK41&lt;&gt;"",BK42&lt;&gt;"",BK42&lt;&gt;0), BK41/BK42,""))</f>
        <v/>
      </c>
      <c r="BL9" s="439"/>
      <c r="BM9" s="441" t="str">
        <f ca="1">IF(BL16="","",
IF(AND(BM41&lt;&gt;"",BM42&lt;&gt;"",BM42&lt;&gt;0), BM41/BM42,""))</f>
        <v/>
      </c>
      <c r="BN9" s="439"/>
      <c r="BO9" s="441" t="str">
        <f ca="1">IF(BN16="","",
IF(AND(BO41&lt;&gt;"",BO42&lt;&gt;"",BO42&lt;&gt;0), BO41/BO42,""))</f>
        <v/>
      </c>
      <c r="BP9" s="439"/>
      <c r="BQ9" s="441" t="str">
        <f ca="1">IF(BP16="","",
IF(AND(BQ41&lt;&gt;"",BQ42&lt;&gt;"",BQ42&lt;&gt;0), BQ41/BQ42,""))</f>
        <v/>
      </c>
      <c r="BR9" s="439"/>
      <c r="BS9" s="441" t="str">
        <f ca="1">IF(BR16="","",
IF(AND(BS41&lt;&gt;"",BS42&lt;&gt;"",BS42&lt;&gt;0), BS41/BS42,""))</f>
        <v/>
      </c>
      <c r="BT9" s="439"/>
      <c r="BU9" s="441" t="str">
        <f ca="1">IF(BT16="","",
IF(AND(BU41&lt;&gt;"",BU42&lt;&gt;"",BU42&lt;&gt;0), BU41/BU42,""))</f>
        <v/>
      </c>
      <c r="BV9" s="439"/>
      <c r="BW9" s="441" t="str">
        <f ca="1">IF(BV16="","",
IF(AND(BW41&lt;&gt;"",BW42&lt;&gt;"",BW42&lt;&gt;0), BW41/BW42,""))</f>
        <v/>
      </c>
      <c r="BX9" s="439"/>
      <c r="BY9" s="441" t="str">
        <f ca="1">IF(BX16="","",
IF(AND(BY41&lt;&gt;"",BY42&lt;&gt;"",BY42&lt;&gt;0), BY41/BY42,""))</f>
        <v/>
      </c>
      <c r="BZ9" s="439"/>
      <c r="CA9" s="441" t="str">
        <f ca="1">IF(BZ16="","",
IF(AND(CA41&lt;&gt;"",CA42&lt;&gt;"",CA42&lt;&gt;0), CA41/CA42,""))</f>
        <v/>
      </c>
      <c r="CB9" s="439"/>
      <c r="CC9" s="441" t="str">
        <f ca="1">IF(CB16="","",
IF(AND(CC41&lt;&gt;"",CC42&lt;&gt;"",CC42&lt;&gt;0), CC41/CC42,""))</f>
        <v/>
      </c>
      <c r="CD9" s="439"/>
      <c r="CE9" s="441" t="str">
        <f ca="1">IF(CD16="","",
IF(AND(CE41&lt;&gt;"",CE42&lt;&gt;"",CE42&lt;&gt;0), CE41/CE42,""))</f>
        <v/>
      </c>
      <c r="CF9" s="320"/>
      <c r="CG9" s="289"/>
      <c r="CH9" s="289"/>
      <c r="CI9" s="289"/>
      <c r="CJ9" s="289"/>
      <c r="CK9" s="289"/>
      <c r="CL9" s="289"/>
      <c r="CM9" s="289"/>
      <c r="CN9" s="289"/>
      <c r="CO9" s="289"/>
      <c r="CP9" s="289"/>
      <c r="CQ9" s="289"/>
      <c r="CR9" s="289"/>
      <c r="CS9" s="289"/>
      <c r="CT9" s="289"/>
      <c r="CU9" s="289"/>
      <c r="CV9" s="289"/>
      <c r="CW9" s="289"/>
      <c r="CX9" s="289"/>
      <c r="CY9" s="289"/>
      <c r="CZ9" s="289"/>
    </row>
    <row r="10" spans="1:104" ht="25.05" customHeight="1" x14ac:dyDescent="0.45">
      <c r="A10" s="289"/>
      <c r="B10" s="360" t="s">
        <v>725</v>
      </c>
      <c r="C10" s="449"/>
      <c r="D10" s="806" t="str">
        <f ca="1">D46</f>
        <v/>
      </c>
      <c r="E10" s="807"/>
      <c r="F10" s="806" t="str">
        <f ca="1">F46</f>
        <v/>
      </c>
      <c r="G10" s="807"/>
      <c r="H10" s="806" t="str">
        <f ca="1">H46</f>
        <v/>
      </c>
      <c r="I10" s="807"/>
      <c r="J10" s="806" t="str">
        <f ca="1">J46</f>
        <v/>
      </c>
      <c r="K10" s="807"/>
      <c r="L10" s="806" t="str">
        <f ca="1">L46</f>
        <v/>
      </c>
      <c r="M10" s="807"/>
      <c r="N10" s="806" t="str">
        <f ca="1">N46</f>
        <v/>
      </c>
      <c r="O10" s="807"/>
      <c r="P10" s="806" t="str">
        <f ca="1">P46</f>
        <v/>
      </c>
      <c r="Q10" s="807"/>
      <c r="R10" s="806" t="str">
        <f ca="1">R46</f>
        <v/>
      </c>
      <c r="S10" s="807"/>
      <c r="T10" s="806" t="str">
        <f ca="1">T46</f>
        <v/>
      </c>
      <c r="U10" s="807"/>
      <c r="V10" s="806" t="str">
        <f ca="1">V46</f>
        <v/>
      </c>
      <c r="W10" s="807"/>
      <c r="X10" s="806" t="str">
        <f ca="1">X46</f>
        <v/>
      </c>
      <c r="Y10" s="807"/>
      <c r="Z10" s="806" t="str">
        <f ca="1">Z46</f>
        <v/>
      </c>
      <c r="AA10" s="807"/>
      <c r="AB10" s="806" t="str">
        <f ca="1">AB46</f>
        <v/>
      </c>
      <c r="AC10" s="807"/>
      <c r="AD10" s="806" t="str">
        <f ca="1">AD46</f>
        <v/>
      </c>
      <c r="AE10" s="807"/>
      <c r="AF10" s="806" t="str">
        <f ca="1">AF46</f>
        <v/>
      </c>
      <c r="AG10" s="807"/>
      <c r="AH10" s="806" t="str">
        <f ca="1">AH46</f>
        <v/>
      </c>
      <c r="AI10" s="807"/>
      <c r="AJ10" s="806" t="str">
        <f ca="1">AJ46</f>
        <v/>
      </c>
      <c r="AK10" s="807"/>
      <c r="AL10" s="806" t="str">
        <f ca="1">AL46</f>
        <v/>
      </c>
      <c r="AM10" s="807"/>
      <c r="AN10" s="806" t="str">
        <f ca="1">AN46</f>
        <v/>
      </c>
      <c r="AO10" s="807"/>
      <c r="AP10" s="806" t="str">
        <f ca="1">AP46</f>
        <v/>
      </c>
      <c r="AQ10" s="807"/>
      <c r="AR10" s="806" t="str">
        <f ca="1">AR46</f>
        <v/>
      </c>
      <c r="AS10" s="807"/>
      <c r="AT10" s="806" t="str">
        <f ca="1">AT46</f>
        <v/>
      </c>
      <c r="AU10" s="807"/>
      <c r="AV10" s="806" t="str">
        <f ca="1">AV46</f>
        <v/>
      </c>
      <c r="AW10" s="807"/>
      <c r="AX10" s="806" t="str">
        <f ca="1">AX46</f>
        <v/>
      </c>
      <c r="AY10" s="807"/>
      <c r="AZ10" s="806" t="str">
        <f ca="1">AZ46</f>
        <v/>
      </c>
      <c r="BA10" s="807"/>
      <c r="BB10" s="806" t="str">
        <f ca="1">BB46</f>
        <v/>
      </c>
      <c r="BC10" s="807"/>
      <c r="BD10" s="806" t="str">
        <f ca="1">BD46</f>
        <v/>
      </c>
      <c r="BE10" s="807"/>
      <c r="BF10" s="806" t="str">
        <f ca="1">BF46</f>
        <v/>
      </c>
      <c r="BG10" s="807"/>
      <c r="BH10" s="806" t="str">
        <f ca="1">BH46</f>
        <v/>
      </c>
      <c r="BI10" s="807"/>
      <c r="BJ10" s="806" t="str">
        <f ca="1">BJ46</f>
        <v/>
      </c>
      <c r="BK10" s="807"/>
      <c r="BL10" s="806" t="str">
        <f ca="1">BL46</f>
        <v/>
      </c>
      <c r="BM10" s="807"/>
      <c r="BN10" s="806" t="str">
        <f ca="1">BN46</f>
        <v/>
      </c>
      <c r="BO10" s="807"/>
      <c r="BP10" s="806" t="str">
        <f ca="1">BP46</f>
        <v/>
      </c>
      <c r="BQ10" s="807"/>
      <c r="BR10" s="806" t="str">
        <f ca="1">BR46</f>
        <v/>
      </c>
      <c r="BS10" s="807"/>
      <c r="BT10" s="806" t="str">
        <f ca="1">BT46</f>
        <v/>
      </c>
      <c r="BU10" s="807"/>
      <c r="BV10" s="806" t="str">
        <f ca="1">BV46</f>
        <v/>
      </c>
      <c r="BW10" s="807"/>
      <c r="BX10" s="806" t="str">
        <f ca="1">BX46</f>
        <v/>
      </c>
      <c r="BY10" s="807"/>
      <c r="BZ10" s="806" t="str">
        <f ca="1">BZ46</f>
        <v/>
      </c>
      <c r="CA10" s="807"/>
      <c r="CB10" s="806" t="str">
        <f ca="1">CB46</f>
        <v/>
      </c>
      <c r="CC10" s="807"/>
      <c r="CD10" s="806" t="str">
        <f ca="1">CD46</f>
        <v/>
      </c>
      <c r="CE10" s="807"/>
      <c r="CF10" s="320"/>
      <c r="CG10" s="289"/>
      <c r="CH10" s="289"/>
      <c r="CI10" s="289"/>
      <c r="CJ10" s="289"/>
      <c r="CK10" s="289"/>
      <c r="CL10" s="289"/>
      <c r="CM10" s="289"/>
      <c r="CN10" s="289"/>
      <c r="CO10" s="289"/>
      <c r="CP10" s="289"/>
      <c r="CQ10" s="289"/>
      <c r="CR10" s="289"/>
      <c r="CS10" s="289"/>
      <c r="CT10" s="289"/>
      <c r="CU10" s="289"/>
      <c r="CV10" s="289"/>
      <c r="CW10" s="289"/>
      <c r="CX10" s="289"/>
      <c r="CY10" s="289"/>
      <c r="CZ10" s="289"/>
    </row>
    <row r="11" spans="1:104" ht="25.05" customHeight="1" thickBot="1" x14ac:dyDescent="0.5">
      <c r="A11" s="289"/>
      <c r="B11" s="183" t="s">
        <v>783</v>
      </c>
      <c r="C11" s="450"/>
      <c r="D11" s="808" t="str">
        <f ca="1">D47</f>
        <v/>
      </c>
      <c r="E11" s="809"/>
      <c r="F11" s="808" t="str">
        <f ca="1">F47</f>
        <v/>
      </c>
      <c r="G11" s="809"/>
      <c r="H11" s="808" t="str">
        <f ca="1">H47</f>
        <v/>
      </c>
      <c r="I11" s="809"/>
      <c r="J11" s="808" t="str">
        <f ca="1">J47</f>
        <v/>
      </c>
      <c r="K11" s="809"/>
      <c r="L11" s="808" t="str">
        <f ca="1">L47</f>
        <v/>
      </c>
      <c r="M11" s="809"/>
      <c r="N11" s="808" t="str">
        <f ca="1">N47</f>
        <v/>
      </c>
      <c r="O11" s="809"/>
      <c r="P11" s="808" t="str">
        <f ca="1">P47</f>
        <v/>
      </c>
      <c r="Q11" s="809"/>
      <c r="R11" s="808" t="str">
        <f ca="1">R47</f>
        <v/>
      </c>
      <c r="S11" s="809"/>
      <c r="T11" s="808" t="str">
        <f ca="1">T47</f>
        <v/>
      </c>
      <c r="U11" s="809"/>
      <c r="V11" s="808" t="str">
        <f ca="1">V47</f>
        <v/>
      </c>
      <c r="W11" s="809"/>
      <c r="X11" s="808" t="str">
        <f ca="1">X47</f>
        <v/>
      </c>
      <c r="Y11" s="809"/>
      <c r="Z11" s="808" t="str">
        <f ca="1">Z47</f>
        <v/>
      </c>
      <c r="AA11" s="809"/>
      <c r="AB11" s="808" t="str">
        <f ca="1">AB47</f>
        <v/>
      </c>
      <c r="AC11" s="809"/>
      <c r="AD11" s="808" t="str">
        <f ca="1">AD47</f>
        <v/>
      </c>
      <c r="AE11" s="809"/>
      <c r="AF11" s="808" t="str">
        <f ca="1">AF47</f>
        <v/>
      </c>
      <c r="AG11" s="809"/>
      <c r="AH11" s="808" t="str">
        <f ca="1">AH47</f>
        <v/>
      </c>
      <c r="AI11" s="809"/>
      <c r="AJ11" s="808" t="str">
        <f ca="1">AJ47</f>
        <v/>
      </c>
      <c r="AK11" s="809"/>
      <c r="AL11" s="808" t="str">
        <f ca="1">AL47</f>
        <v/>
      </c>
      <c r="AM11" s="809"/>
      <c r="AN11" s="808" t="str">
        <f ca="1">AN47</f>
        <v/>
      </c>
      <c r="AO11" s="809"/>
      <c r="AP11" s="808" t="str">
        <f ca="1">AP47</f>
        <v/>
      </c>
      <c r="AQ11" s="809"/>
      <c r="AR11" s="808" t="str">
        <f ca="1">AR47</f>
        <v/>
      </c>
      <c r="AS11" s="809"/>
      <c r="AT11" s="808" t="str">
        <f ca="1">AT47</f>
        <v/>
      </c>
      <c r="AU11" s="809"/>
      <c r="AV11" s="808" t="str">
        <f ca="1">AV47</f>
        <v/>
      </c>
      <c r="AW11" s="809"/>
      <c r="AX11" s="808" t="str">
        <f ca="1">AX47</f>
        <v/>
      </c>
      <c r="AY11" s="809"/>
      <c r="AZ11" s="808" t="str">
        <f ca="1">AZ47</f>
        <v/>
      </c>
      <c r="BA11" s="809"/>
      <c r="BB11" s="808" t="str">
        <f ca="1">BB47</f>
        <v/>
      </c>
      <c r="BC11" s="809"/>
      <c r="BD11" s="808" t="str">
        <f ca="1">BD47</f>
        <v/>
      </c>
      <c r="BE11" s="809"/>
      <c r="BF11" s="808" t="str">
        <f ca="1">BF47</f>
        <v/>
      </c>
      <c r="BG11" s="809"/>
      <c r="BH11" s="808" t="str">
        <f ca="1">BH47</f>
        <v/>
      </c>
      <c r="BI11" s="809"/>
      <c r="BJ11" s="808" t="str">
        <f ca="1">BJ47</f>
        <v/>
      </c>
      <c r="BK11" s="809"/>
      <c r="BL11" s="808" t="str">
        <f ca="1">BL47</f>
        <v/>
      </c>
      <c r="BM11" s="809"/>
      <c r="BN11" s="808" t="str">
        <f ca="1">BN47</f>
        <v/>
      </c>
      <c r="BO11" s="809"/>
      <c r="BP11" s="808" t="str">
        <f ca="1">BP47</f>
        <v/>
      </c>
      <c r="BQ11" s="809"/>
      <c r="BR11" s="808" t="str">
        <f ca="1">BR47</f>
        <v/>
      </c>
      <c r="BS11" s="809"/>
      <c r="BT11" s="808" t="str">
        <f ca="1">BT47</f>
        <v/>
      </c>
      <c r="BU11" s="809"/>
      <c r="BV11" s="808" t="str">
        <f ca="1">BV47</f>
        <v/>
      </c>
      <c r="BW11" s="809"/>
      <c r="BX11" s="808" t="str">
        <f ca="1">BX47</f>
        <v/>
      </c>
      <c r="BY11" s="809"/>
      <c r="BZ11" s="808" t="str">
        <f ca="1">BZ47</f>
        <v/>
      </c>
      <c r="CA11" s="809"/>
      <c r="CB11" s="808" t="str">
        <f ca="1">CB47</f>
        <v/>
      </c>
      <c r="CC11" s="809"/>
      <c r="CD11" s="808" t="str">
        <f ca="1">CD47</f>
        <v/>
      </c>
      <c r="CE11" s="809"/>
      <c r="CF11" s="320"/>
      <c r="CG11" s="289"/>
      <c r="CH11" s="289"/>
      <c r="CI11" s="289"/>
      <c r="CJ11" s="289"/>
      <c r="CK11" s="289"/>
      <c r="CL11" s="289"/>
      <c r="CM11" s="289"/>
      <c r="CN11" s="289"/>
      <c r="CO11" s="289"/>
      <c r="CP11" s="289"/>
      <c r="CQ11" s="289"/>
      <c r="CR11" s="289"/>
      <c r="CS11" s="289"/>
      <c r="CT11" s="289"/>
      <c r="CU11" s="289"/>
      <c r="CV11" s="289"/>
      <c r="CW11" s="289"/>
      <c r="CX11" s="289"/>
      <c r="CY11" s="289"/>
      <c r="CZ11" s="289"/>
    </row>
    <row r="12" spans="1:104" ht="37.049999999999997" customHeight="1" x14ac:dyDescent="0.45">
      <c r="A12" s="289"/>
      <c r="B12" s="343"/>
      <c r="C12" s="436"/>
      <c r="D12" s="793" t="str" cm="1">
        <f t="array" aca="1" ref="D12" ca="1">IF(D16&lt;&gt;"",
   IF(SUMPRODUCT(--(MOD(COLUMN(F16:CD16),2)=0),--(F16:CD16&lt;&gt;""))=0,
      "© 2026 VNG / PPRC B.V. / AEPB Onderzoek en Advies B.V. Alle rechten voorbehouden.",
      ""
   ),
   ""
)</f>
        <v/>
      </c>
      <c r="E12" s="793"/>
      <c r="F12" s="793" t="str" cm="1">
        <f t="array" aca="1" ref="F12" ca="1">IF(F16&lt;&gt;"",
   IF(SUMPRODUCT(--(MOD(COLUMN(H16:CF16),2)=0),--(H16:CF16&lt;&gt;""))=0,
      "© 2026 VNG / PPRC B.V. / AEPB Onderzoek en Advies B.V. Alle rechten voorbehouden.",
      ""
   ),
   ""
)</f>
        <v/>
      </c>
      <c r="G12" s="793"/>
      <c r="H12" s="793" t="str" cm="1">
        <f t="array" aca="1" ref="H12" ca="1">IF(H16&lt;&gt;"",
   IF(SUMPRODUCT(--(MOD(COLUMN(J16:CH16),2)=0),--(J16:CH16&lt;&gt;""))=0,
      "© 2026 VNG / PPRC B.V. / AEPB Onderzoek en Advies B.V. Alle rechten voorbehouden.",
      ""
   ),
   ""
)</f>
        <v/>
      </c>
      <c r="I12" s="793"/>
      <c r="J12" s="793" t="str" cm="1">
        <f t="array" aca="1" ref="J12" ca="1">IF(J16&lt;&gt;"",
   IF(SUMPRODUCT(--(MOD(COLUMN(L16:CJ16),2)=0),--(L16:CJ16&lt;&gt;""))=0,
      "© 2026 VNG / PPRC B.V. / AEPB Onderzoek en Advies B.V. Alle rechten voorbehouden.",
      ""
   ),
   ""
)</f>
        <v/>
      </c>
      <c r="K12" s="793"/>
      <c r="L12" s="793" t="str" cm="1">
        <f t="array" aca="1" ref="L12" ca="1">IF(L16&lt;&gt;"",
   IF(SUMPRODUCT(--(MOD(COLUMN(N16:CL16),2)=0),--(N16:CL16&lt;&gt;""))=0,
      "© 2026 VNG / PPRC B.V. / AEPB Onderzoek en Advies B.V. Alle rechten voorbehouden.",
      ""
   ),
   ""
)</f>
        <v/>
      </c>
      <c r="M12" s="793"/>
      <c r="N12" s="793" t="str" cm="1">
        <f t="array" aca="1" ref="N12" ca="1">IF(N16&lt;&gt;"",
   IF(SUMPRODUCT(--(MOD(COLUMN(P16:CN16),2)=0),--(P16:CN16&lt;&gt;""))=0,
      "© 2026 VNG / PPRC B.V. / AEPB Onderzoek en Advies B.V. Alle rechten voorbehouden.",
      ""
   ),
   ""
)</f>
        <v/>
      </c>
      <c r="O12" s="793"/>
      <c r="P12" s="793" t="str" cm="1">
        <f t="array" aca="1" ref="P12" ca="1">IF(P16&lt;&gt;"",
   IF(SUMPRODUCT(--(MOD(COLUMN(R16:CP16),2)=0),--(R16:CP16&lt;&gt;""))=0,
      "© 2026 VNG / PPRC B.V. / AEPB Onderzoek en Advies B.V. Alle rechten voorbehouden.",
      ""
   ),
   ""
)</f>
        <v/>
      </c>
      <c r="Q12" s="793"/>
      <c r="R12" s="793" t="str" cm="1">
        <f t="array" aca="1" ref="R12" ca="1">IF(R16&lt;&gt;"",
   IF(SUMPRODUCT(--(MOD(COLUMN(T16:CR16),2)=0),--(T16:CR16&lt;&gt;""))=0,
      "© 2026 VNG / PPRC B.V. / AEPB Onderzoek en Advies B.V. Alle rechten voorbehouden.",
      ""
   ),
   ""
)</f>
        <v/>
      </c>
      <c r="S12" s="793"/>
      <c r="T12" s="793" t="str" cm="1">
        <f t="array" aca="1" ref="T12" ca="1">IF(T16&lt;&gt;"",
   IF(SUMPRODUCT(--(MOD(COLUMN(V16:CT16),2)=0),--(V16:CT16&lt;&gt;""))=0,
      "© 2026 VNG / PPRC B.V. / AEPB Onderzoek en Advies B.V. Alle rechten voorbehouden.",
      ""
   ),
   ""
)</f>
        <v/>
      </c>
      <c r="U12" s="793"/>
      <c r="V12" s="793" t="str" cm="1">
        <f t="array" aca="1" ref="V12" ca="1">IF(V16&lt;&gt;"",
   IF(SUMPRODUCT(--(MOD(COLUMN(X16:CV16),2)=0),--(X16:CV16&lt;&gt;""))=0,
      "© 2026 VNG / PPRC B.V. / AEPB Onderzoek en Advies B.V. Alle rechten voorbehouden.",
      ""
   ),
   ""
)</f>
        <v/>
      </c>
      <c r="W12" s="793"/>
      <c r="X12" s="793" t="str" cm="1">
        <f t="array" aca="1" ref="X12" ca="1">IF(X16&lt;&gt;"",
   IF(SUMPRODUCT(--(MOD(COLUMN(Z16:CX16),2)=0),--(Z16:CX16&lt;&gt;""))=0,
      "© 2026 VNG / PPRC B.V. / AEPB Onderzoek en Advies B.V. Alle rechten voorbehouden.",
      ""
   ),
   ""
)</f>
        <v/>
      </c>
      <c r="Y12" s="793"/>
      <c r="Z12" s="793" t="str" cm="1">
        <f t="array" aca="1" ref="Z12" ca="1">IF(Z16&lt;&gt;"",
   IF(SUMPRODUCT(--(MOD(COLUMN(AB16:CZ16),2)=0),--(AB16:CZ16&lt;&gt;""))=0,
      "© 2026 VNG / PPRC B.V. / AEPB Onderzoek en Advies B.V. Alle rechten voorbehouden.",
      ""
   ),
   ""
)</f>
        <v/>
      </c>
      <c r="AA12" s="793"/>
      <c r="AB12" s="793" t="str" cm="1">
        <f t="array" aca="1" ref="AB12" ca="1">IF(AB16&lt;&gt;"",
   IF(SUMPRODUCT(--(MOD(COLUMN(AD16:DB16),2)=0),--(AD16:DB16&lt;&gt;""))=0,
      "© 2026 VNG / PPRC B.V. / AEPB Onderzoek en Advies B.V. Alle rechten voorbehouden.",
      ""
   ),
   ""
)</f>
        <v/>
      </c>
      <c r="AC12" s="793"/>
      <c r="AD12" s="793" t="str" cm="1">
        <f t="array" aca="1" ref="AD12" ca="1">IF(AD16&lt;&gt;"",
   IF(SUMPRODUCT(--(MOD(COLUMN(AF16:DD16),2)=0),--(AF16:DD16&lt;&gt;""))=0,
      "© 2026 VNG / PPRC B.V. / AEPB Onderzoek en Advies B.V. Alle rechten voorbehouden.",
      ""
   ),
   ""
)</f>
        <v/>
      </c>
      <c r="AE12" s="793"/>
      <c r="AF12" s="793" t="str" cm="1">
        <f t="array" aca="1" ref="AF12" ca="1">IF(AF16&lt;&gt;"",
   IF(SUMPRODUCT(--(MOD(COLUMN(AH16:DF16),2)=0),--(AH16:DF16&lt;&gt;""))=0,
      "© 2026 VNG / PPRC B.V. / AEPB Onderzoek en Advies B.V. Alle rechten voorbehouden.",
      ""
   ),
   ""
)</f>
        <v/>
      </c>
      <c r="AG12" s="793"/>
      <c r="AH12" s="793" t="str" cm="1">
        <f t="array" aca="1" ref="AH12" ca="1">IF(AH16&lt;&gt;"",
   IF(SUMPRODUCT(--(MOD(COLUMN(AJ16:DH16),2)=0),--(AJ16:DH16&lt;&gt;""))=0,
      "© 2026 VNG / PPRC B.V. / AEPB Onderzoek en Advies B.V. Alle rechten voorbehouden.",
      ""
   ),
   ""
)</f>
        <v/>
      </c>
      <c r="AI12" s="793"/>
      <c r="AJ12" s="793" t="str" cm="1">
        <f t="array" aca="1" ref="AJ12" ca="1">IF(AJ16&lt;&gt;"",
   IF(SUMPRODUCT(--(MOD(COLUMN(AL16:DJ16),2)=0),--(AL16:DJ16&lt;&gt;""))=0,
      "© 2026 VNG / PPRC B.V. / AEPB Onderzoek en Advies B.V. Alle rechten voorbehouden.",
      ""
   ),
   ""
)</f>
        <v/>
      </c>
      <c r="AK12" s="793"/>
      <c r="AL12" s="793" t="str" cm="1">
        <f t="array" aca="1" ref="AL12" ca="1">IF(AL16&lt;&gt;"",
   IF(SUMPRODUCT(--(MOD(COLUMN(AN16:DL16),2)=0),--(AN16:DL16&lt;&gt;""))=0,
      "© 2026 VNG / PPRC B.V. / AEPB Onderzoek en Advies B.V. Alle rechten voorbehouden.",
      ""
   ),
   ""
)</f>
        <v/>
      </c>
      <c r="AM12" s="793"/>
      <c r="AN12" s="793" t="str" cm="1">
        <f t="array" aca="1" ref="AN12" ca="1">IF(AN16&lt;&gt;"",
   IF(SUMPRODUCT(--(MOD(COLUMN(AP16:DN16),2)=0),--(AP16:DN16&lt;&gt;""))=0,
      "© 2026 VNG / PPRC B.V. / AEPB Onderzoek en Advies B.V. Alle rechten voorbehouden.",
      ""
   ),
   ""
)</f>
        <v/>
      </c>
      <c r="AO12" s="793"/>
      <c r="AP12" s="793" t="str" cm="1">
        <f t="array" aca="1" ref="AP12" ca="1">IF(AP16&lt;&gt;"",
   IF(SUMPRODUCT(--(MOD(COLUMN(AR16:DP16),2)=0),--(AR16:DP16&lt;&gt;""))=0,
      "© 2026 VNG / PPRC B.V. / AEPB Onderzoek en Advies B.V. Alle rechten voorbehouden.",
      ""
   ),
   ""
)</f>
        <v/>
      </c>
      <c r="AQ12" s="793"/>
      <c r="AR12" s="793" t="str" cm="1">
        <f t="array" aca="1" ref="AR12" ca="1">IF(AR16&lt;&gt;"",
   IF(SUMPRODUCT(--(MOD(COLUMN(AT16:DR16),2)=0),--(AT16:DR16&lt;&gt;""))=0,
      "© 2026 VNG / PPRC B.V. / AEPB Onderzoek en Advies B.V. Alle rechten voorbehouden.",
      ""
   ),
   ""
)</f>
        <v/>
      </c>
      <c r="AS12" s="793"/>
      <c r="AT12" s="793" t="str" cm="1">
        <f t="array" aca="1" ref="AT12" ca="1">IF(AT16&lt;&gt;"",
   IF(SUMPRODUCT(--(MOD(COLUMN(AV16:DT16),2)=0),--(AV16:DT16&lt;&gt;""))=0,
      "© 2026 VNG / PPRC B.V. / AEPB Onderzoek en Advies B.V. Alle rechten voorbehouden.",
      ""
   ),
   ""
)</f>
        <v/>
      </c>
      <c r="AU12" s="793"/>
      <c r="AV12" s="793" t="str" cm="1">
        <f t="array" aca="1" ref="AV12" ca="1">IF(AV16&lt;&gt;"",
   IF(SUMPRODUCT(--(MOD(COLUMN(AX16:DV16),2)=0),--(AX16:DV16&lt;&gt;""))=0,
      "© 2026 VNG / PPRC B.V. / AEPB Onderzoek en Advies B.V. Alle rechten voorbehouden.",
      ""
   ),
   ""
)</f>
        <v/>
      </c>
      <c r="AW12" s="793"/>
      <c r="AX12" s="793" t="str" cm="1">
        <f t="array" aca="1" ref="AX12" ca="1">IF(AX16&lt;&gt;"",
   IF(SUMPRODUCT(--(MOD(COLUMN(AZ16:DX16),2)=0),--(AZ16:DX16&lt;&gt;""))=0,
      "© 2026 VNG / PPRC B.V. / AEPB Onderzoek en Advies B.V. Alle rechten voorbehouden.",
      ""
   ),
   ""
)</f>
        <v/>
      </c>
      <c r="AY12" s="793"/>
      <c r="AZ12" s="793" t="str" cm="1">
        <f t="array" aca="1" ref="AZ12" ca="1">IF(AZ16&lt;&gt;"",
   IF(SUMPRODUCT(--(MOD(COLUMN(BB16:DZ16),2)=0),--(BB16:DZ16&lt;&gt;""))=0,
      "© 2026 VNG / PPRC B.V. / AEPB Onderzoek en Advies B.V. Alle rechten voorbehouden.",
      ""
   ),
   ""
)</f>
        <v/>
      </c>
      <c r="BA12" s="793"/>
      <c r="BB12" s="793" t="str" cm="1">
        <f t="array" aca="1" ref="BB12" ca="1">IF(BB16&lt;&gt;"",
   IF(SUMPRODUCT(--(MOD(COLUMN(BD16:EB16),2)=0),--(BD16:EB16&lt;&gt;""))=0,
      "© 2026 VNG / PPRC B.V. / AEPB Onderzoek en Advies B.V. Alle rechten voorbehouden.",
      ""
   ),
   ""
)</f>
        <v/>
      </c>
      <c r="BC12" s="793"/>
      <c r="BD12" s="793" t="str" cm="1">
        <f t="array" aca="1" ref="BD12" ca="1">IF(BD16&lt;&gt;"",
   IF(SUMPRODUCT(--(MOD(COLUMN(BF16:ED16),2)=0),--(BF16:ED16&lt;&gt;""))=0,
      "© 2026 VNG / PPRC B.V. / AEPB Onderzoek en Advies B.V. Alle rechten voorbehouden.",
      ""
   ),
   ""
)</f>
        <v/>
      </c>
      <c r="BE12" s="793"/>
      <c r="BF12" s="793" t="str" cm="1">
        <f t="array" aca="1" ref="BF12" ca="1">IF(BF16&lt;&gt;"",
   IF(SUMPRODUCT(--(MOD(COLUMN(BH16:EF16),2)=0),--(BH16:EF16&lt;&gt;""))=0,
      "© 2026 VNG / PPRC B.V. / AEPB Onderzoek en Advies B.V. Alle rechten voorbehouden.",
      ""
   ),
   ""
)</f>
        <v/>
      </c>
      <c r="BG12" s="793"/>
      <c r="BH12" s="793" t="str" cm="1">
        <f t="array" aca="1" ref="BH12" ca="1">IF(BH16&lt;&gt;"",
   IF(SUMPRODUCT(--(MOD(COLUMN(BJ16:EH16),2)=0),--(BJ16:EH16&lt;&gt;""))=0,
      "© 2026 VNG / PPRC B.V. / AEPB Onderzoek en Advies B.V. Alle rechten voorbehouden.",
      ""
   ),
   ""
)</f>
        <v/>
      </c>
      <c r="BI12" s="793"/>
      <c r="BJ12" s="793" t="str" cm="1">
        <f t="array" aca="1" ref="BJ12" ca="1">IF(BJ16&lt;&gt;"",
   IF(SUMPRODUCT(--(MOD(COLUMN(BL16:EJ16),2)=0),--(BL16:EJ16&lt;&gt;""))=0,
      "© 2026 VNG / PPRC B.V. / AEPB Onderzoek en Advies B.V. Alle rechten voorbehouden.",
      ""
   ),
   ""
)</f>
        <v/>
      </c>
      <c r="BK12" s="793"/>
      <c r="BL12" s="793" t="str" cm="1">
        <f t="array" aca="1" ref="BL12" ca="1">IF(BL16&lt;&gt;"",
   IF(SUMPRODUCT(--(MOD(COLUMN(BN16:EL16),2)=0),--(BN16:EL16&lt;&gt;""))=0,
      "© 2026 VNG / PPRC B.V. / AEPB Onderzoek en Advies B.V. Alle rechten voorbehouden.",
      ""
   ),
   ""
)</f>
        <v/>
      </c>
      <c r="BM12" s="793"/>
      <c r="BN12" s="793" t="str" cm="1">
        <f t="array" aca="1" ref="BN12" ca="1">IF(BN16&lt;&gt;"",
   IF(SUMPRODUCT(--(MOD(COLUMN(BP16:EN16),2)=0),--(BP16:EN16&lt;&gt;""))=0,
      "© 2026 VNG / PPRC B.V. / AEPB Onderzoek en Advies B.V. Alle rechten voorbehouden.",
      ""
   ),
   ""
)</f>
        <v/>
      </c>
      <c r="BO12" s="793"/>
      <c r="BP12" s="793" t="str" cm="1">
        <f t="array" aca="1" ref="BP12" ca="1">IF(BP16&lt;&gt;"",
   IF(SUMPRODUCT(--(MOD(COLUMN(BR16:EP16),2)=0),--(BR16:EP16&lt;&gt;""))=0,
      "© 2026 VNG / PPRC B.V. / AEPB Onderzoek en Advies B.V. Alle rechten voorbehouden.",
      ""
   ),
   ""
)</f>
        <v/>
      </c>
      <c r="BQ12" s="793"/>
      <c r="BR12" s="793" t="str" cm="1">
        <f t="array" aca="1" ref="BR12" ca="1">IF(BR16&lt;&gt;"",
   IF(SUMPRODUCT(--(MOD(COLUMN(BT16:ER16),2)=0),--(BT16:ER16&lt;&gt;""))=0,
      "© 2026 VNG / PPRC B.V. / AEPB Onderzoek en Advies B.V. Alle rechten voorbehouden.",
      ""
   ),
   ""
)</f>
        <v/>
      </c>
      <c r="BS12" s="793"/>
      <c r="BT12" s="793" t="str" cm="1">
        <f t="array" aca="1" ref="BT12" ca="1">IF(BT16&lt;&gt;"",
   IF(SUMPRODUCT(--(MOD(COLUMN(BV16:ET16),2)=0),--(BV16:ET16&lt;&gt;""))=0,
      "© 2026 VNG / PPRC B.V. / AEPB Onderzoek en Advies B.V. Alle rechten voorbehouden.",
      ""
   ),
   ""
)</f>
        <v/>
      </c>
      <c r="BU12" s="793"/>
      <c r="BV12" s="793" t="str" cm="1">
        <f t="array" aca="1" ref="BV12" ca="1">IF(BV16&lt;&gt;"",
   IF(SUMPRODUCT(--(MOD(COLUMN(BX16:EV16),2)=0),--(BX16:EV16&lt;&gt;""))=0,
      "© 2026 VNG / PPRC B.V. / AEPB Onderzoek en Advies B.V. Alle rechten voorbehouden.",
      ""
   ),
   ""
)</f>
        <v/>
      </c>
      <c r="BW12" s="793"/>
      <c r="BX12" s="793" t="str" cm="1">
        <f t="array" aca="1" ref="BX12" ca="1">IF(BX16&lt;&gt;"",
   IF(SUMPRODUCT(--(MOD(COLUMN(BZ16:EX16),2)=0),--(BZ16:EX16&lt;&gt;""))=0,
      "© 2026 VNG / PPRC B.V. / AEPB Onderzoek en Advies B.V. Alle rechten voorbehouden.",
      ""
   ),
   ""
)</f>
        <v/>
      </c>
      <c r="BY12" s="793"/>
      <c r="BZ12" s="793" t="str" cm="1">
        <f t="array" aca="1" ref="BZ12" ca="1">IF(BZ16&lt;&gt;"",
   IF(SUMPRODUCT(--(MOD(COLUMN(CB16:EZ16),2)=0),--(CB16:EZ16&lt;&gt;""))=0,
      "© 2026 VNG / PPRC B.V. / AEPB Onderzoek en Advies B.V. Alle rechten voorbehouden.",
      ""
   ),
   ""
)</f>
        <v/>
      </c>
      <c r="CA12" s="793"/>
      <c r="CB12" s="793" t="str" cm="1">
        <f t="array" aca="1" ref="CB12" ca="1">IF(CB16&lt;&gt;"",
   IF(SUMPRODUCT(--(MOD(COLUMN(CD16:FB16),2)=0),--(CD16:FB16&lt;&gt;""))=0,
      "© 2026 VNG / PPRC B.V. / AEPB Onderzoek en Advies B.V. Alle rechten voorbehouden.",
      ""
   ),
   ""
)</f>
        <v/>
      </c>
      <c r="CC12" s="793"/>
      <c r="CD12" s="793" t="str" cm="1">
        <f t="array" aca="1" ref="CD12" ca="1">IF(CD16&lt;&gt;"",
   IF(SUMPRODUCT(--(MOD(COLUMN(CF16:FD16),2)=0),--(CF16:FD16&lt;&gt;""))=0,
      "© 2026 VNG / PPRC B.V. / AEPB Onderzoek en Advies B.V. Alle rechten voorbehouden.",
      ""
   ),
   ""
)</f>
        <v/>
      </c>
      <c r="CE12" s="793"/>
      <c r="CF12" s="289"/>
      <c r="CG12" s="289"/>
      <c r="CH12" s="289"/>
      <c r="CI12" s="289"/>
      <c r="CJ12" s="289"/>
      <c r="CK12" s="289"/>
      <c r="CL12" s="289"/>
      <c r="CM12" s="289"/>
      <c r="CN12" s="289"/>
      <c r="CO12" s="289"/>
      <c r="CP12" s="289"/>
      <c r="CQ12" s="289"/>
      <c r="CR12" s="289"/>
      <c r="CS12" s="289"/>
      <c r="CT12" s="289"/>
      <c r="CU12" s="289"/>
      <c r="CV12" s="289"/>
      <c r="CW12" s="289"/>
      <c r="CX12" s="289"/>
      <c r="CY12" s="289"/>
      <c r="CZ12" s="289"/>
    </row>
    <row r="13" spans="1:104" x14ac:dyDescent="0.45">
      <c r="A13" s="289"/>
      <c r="B13" s="294"/>
      <c r="C13" s="445"/>
      <c r="D13" s="445"/>
      <c r="E13" s="445"/>
      <c r="F13" s="445"/>
      <c r="G13" s="689"/>
      <c r="H13" s="445"/>
      <c r="I13" s="689"/>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289"/>
      <c r="CG13" s="289"/>
      <c r="CH13" s="289"/>
      <c r="CI13" s="289"/>
      <c r="CJ13" s="289"/>
      <c r="CK13" s="289"/>
      <c r="CL13" s="289"/>
      <c r="CM13" s="289"/>
      <c r="CN13" s="289"/>
      <c r="CO13" s="289"/>
      <c r="CP13" s="289"/>
      <c r="CQ13" s="289"/>
      <c r="CR13" s="289"/>
      <c r="CS13" s="289"/>
      <c r="CT13" s="289"/>
      <c r="CU13" s="289"/>
      <c r="CV13" s="289"/>
      <c r="CW13" s="289"/>
      <c r="CX13" s="289"/>
      <c r="CY13" s="289"/>
      <c r="CZ13" s="289"/>
    </row>
    <row r="14" spans="1:104" ht="18" x14ac:dyDescent="0.45">
      <c r="A14" s="289"/>
      <c r="B14" s="414" t="s">
        <v>1894</v>
      </c>
      <c r="C14" s="445"/>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c r="BM14" s="445"/>
      <c r="BN14" s="445"/>
      <c r="BO14" s="445"/>
      <c r="BP14" s="445"/>
      <c r="BQ14" s="445"/>
      <c r="BR14" s="445"/>
      <c r="BS14" s="445"/>
      <c r="BT14" s="445"/>
      <c r="BU14" s="445"/>
      <c r="BV14" s="445"/>
      <c r="BW14" s="445"/>
      <c r="BX14" s="445"/>
      <c r="BY14" s="445"/>
      <c r="BZ14" s="445"/>
      <c r="CA14" s="445"/>
      <c r="CB14" s="445"/>
      <c r="CC14" s="445"/>
      <c r="CD14" s="445"/>
      <c r="CE14" s="445"/>
      <c r="CF14" s="289"/>
      <c r="CG14" s="289"/>
      <c r="CH14" s="289"/>
      <c r="CI14" s="289"/>
      <c r="CJ14" s="289"/>
      <c r="CK14" s="289"/>
      <c r="CL14" s="289"/>
      <c r="CM14" s="289"/>
      <c r="CN14" s="289"/>
      <c r="CO14" s="289"/>
      <c r="CP14" s="289"/>
      <c r="CQ14" s="289"/>
      <c r="CR14" s="289"/>
      <c r="CS14" s="289"/>
      <c r="CT14" s="289"/>
      <c r="CU14" s="289"/>
      <c r="CV14" s="289"/>
      <c r="CW14" s="289"/>
      <c r="CX14" s="289"/>
      <c r="CY14" s="289"/>
      <c r="CZ14" s="289"/>
    </row>
    <row r="15" spans="1:104" ht="14.65" thickBot="1" x14ac:dyDescent="0.5">
      <c r="A15" s="289"/>
      <c r="B15" s="294"/>
      <c r="C15" s="445"/>
      <c r="D15" s="794" t="str">
        <f ca="1">IF(D16="","",
IF(
  OR(
    INDEX('1a. Input organisatieniveau'!$AC:$AC, 7+ (COLUMN(A13) - 1)*0.5) = "",
    INDEX('1a. Input organisatieniveau'!$AC:$AC, 7 + (COLUMN(A13) - 1)*0.5) = 0
  ),
  "",
  INDEX('1a. Input organisatieniveau'!$AC:$AC, 7 + (COLUMN(A13) - 1)*0.5)
))</f>
        <v/>
      </c>
      <c r="E15" s="795"/>
      <c r="F15" s="794" t="str">
        <f ca="1">IF(F16="","",
IF(
  OR(
    INDEX('1a. Input organisatieniveau'!$AC:$AC, 7+ (COLUMN(C13) - 1)*0.5) = "",
    INDEX('1a. Input organisatieniveau'!$AC:$AC, 7 + (COLUMN(C13) - 1)*0.5) = 0
  ),
  "",
  INDEX('1a. Input organisatieniveau'!$AC:$AC, 7 + (COLUMN(C13) - 1)*0.5)
))</f>
        <v/>
      </c>
      <c r="G15" s="795"/>
      <c r="H15" s="794" t="str">
        <f ca="1">IF(H16="","",
IF(
  OR(
    INDEX('1a. Input organisatieniveau'!$AC:$AC, 7+ (COLUMN(E13) - 1)*0.5) = "",
    INDEX('1a. Input organisatieniveau'!$AC:$AC, 7 + (COLUMN(E13) - 1)*0.5) = 0
  ),
  "",
  INDEX('1a. Input organisatieniveau'!$AC:$AC, 7 + (COLUMN(E13) - 1)*0.5)
))</f>
        <v/>
      </c>
      <c r="I15" s="795"/>
      <c r="J15" s="794" t="str">
        <f ca="1">IF(J16="","",
IF(
  OR(
    INDEX('1a. Input organisatieniveau'!$AC:$AC, 7+ (COLUMN(G13) - 1)*0.5) = "",
    INDEX('1a. Input organisatieniveau'!$AC:$AC, 7 + (COLUMN(G13) - 1)*0.5) = 0
  ),
  "",
  INDEX('1a. Input organisatieniveau'!$AC:$AC, 7 + (COLUMN(G13) - 1)*0.5)
))</f>
        <v/>
      </c>
      <c r="K15" s="795"/>
      <c r="L15" s="794" t="str">
        <f ca="1">IF(L16="","",
IF(
  OR(
    INDEX('1a. Input organisatieniveau'!$AC:$AC, 7+ (COLUMN(I13) - 1)*0.5) = "",
    INDEX('1a. Input organisatieniveau'!$AC:$AC, 7 + (COLUMN(I13) - 1)*0.5) = 0
  ),
  "",
  INDEX('1a. Input organisatieniveau'!$AC:$AC, 7 + (COLUMN(I13) - 1)*0.5)
))</f>
        <v/>
      </c>
      <c r="M15" s="795"/>
      <c r="N15" s="794" t="str">
        <f ca="1">IF(N16="","",
IF(
  OR(
    INDEX('1a. Input organisatieniveau'!$AC:$AC, 7+ (COLUMN(K13) - 1)*0.5) = "",
    INDEX('1a. Input organisatieniveau'!$AC:$AC, 7 + (COLUMN(K13) - 1)*0.5) = 0
  ),
  "",
  INDEX('1a. Input organisatieniveau'!$AC:$AC, 7 + (COLUMN(K13) - 1)*0.5)
))</f>
        <v/>
      </c>
      <c r="O15" s="795"/>
      <c r="P15" s="794" t="str">
        <f ca="1">IF(P16="","",
IF(
  OR(
    INDEX('1a. Input organisatieniveau'!$AC:$AC, 7+ (COLUMN(M13) - 1)*0.5) = "",
    INDEX('1a. Input organisatieniveau'!$AC:$AC, 7 + (COLUMN(M13) - 1)*0.5) = 0
  ),
  "",
  INDEX('1a. Input organisatieniveau'!$AC:$AC, 7 + (COLUMN(M13) - 1)*0.5)
))</f>
        <v/>
      </c>
      <c r="Q15" s="795"/>
      <c r="R15" s="794" t="str">
        <f ca="1">IF(R16="","",
IF(
  OR(
    INDEX('1a. Input organisatieniveau'!$AC:$AC, 7+ (COLUMN(O13) - 1)*0.5) = "",
    INDEX('1a. Input organisatieniveau'!$AC:$AC, 7 + (COLUMN(O13) - 1)*0.5) = 0
  ),
  "",
  INDEX('1a. Input organisatieniveau'!$AC:$AC, 7 + (COLUMN(O13) - 1)*0.5)
))</f>
        <v/>
      </c>
      <c r="S15" s="795"/>
      <c r="T15" s="794" t="str">
        <f ca="1">IF(T16="","",
IF(
  OR(
    INDEX('1a. Input organisatieniveau'!$AC:$AC, 7+ (COLUMN(Q13) - 1)*0.5) = "",
    INDEX('1a. Input organisatieniveau'!$AC:$AC, 7 + (COLUMN(Q13) - 1)*0.5) = 0
  ),
  "",
  INDEX('1a. Input organisatieniveau'!$AC:$AC, 7 + (COLUMN(Q13) - 1)*0.5)
))</f>
        <v/>
      </c>
      <c r="U15" s="795"/>
      <c r="V15" s="794" t="str">
        <f ca="1">IF(V16="","",
IF(
  OR(
    INDEX('1a. Input organisatieniveau'!$AC:$AC, 7+ (COLUMN(S13) - 1)*0.5) = "",
    INDEX('1a. Input organisatieniveau'!$AC:$AC, 7 + (COLUMN(S13) - 1)*0.5) = 0
  ),
  "",
  INDEX('1a. Input organisatieniveau'!$AC:$AC, 7 + (COLUMN(S13) - 1)*0.5)
))</f>
        <v/>
      </c>
      <c r="W15" s="795"/>
      <c r="X15" s="794" t="str">
        <f ca="1">IF(X16="","",
IF(
  OR(
    INDEX('1a. Input organisatieniveau'!$AC:$AC, 7+ (COLUMN(U13) - 1)*0.5) = "",
    INDEX('1a. Input organisatieniveau'!$AC:$AC, 7 + (COLUMN(U13) - 1)*0.5) = 0
  ),
  "",
  INDEX('1a. Input organisatieniveau'!$AC:$AC, 7 + (COLUMN(U13) - 1)*0.5)
))</f>
        <v/>
      </c>
      <c r="Y15" s="795"/>
      <c r="Z15" s="794" t="str">
        <f ca="1">IF(Z16="","",
IF(
  OR(
    INDEX('1a. Input organisatieniveau'!$AC:$AC, 7+ (COLUMN(W13) - 1)*0.5) = "",
    INDEX('1a. Input organisatieniveau'!$AC:$AC, 7 + (COLUMN(W13) - 1)*0.5) = 0
  ),
  "",
  INDEX('1a. Input organisatieniveau'!$AC:$AC, 7 + (COLUMN(W13) - 1)*0.5)
))</f>
        <v/>
      </c>
      <c r="AA15" s="795"/>
      <c r="AB15" s="794" t="str">
        <f ca="1">IF(AB16="","",
IF(
  OR(
    INDEX('1a. Input organisatieniveau'!$AC:$AC, 7+ (COLUMN(Y13) - 1)*0.5) = "",
    INDEX('1a. Input organisatieniveau'!$AC:$AC, 7 + (COLUMN(Y13) - 1)*0.5) = 0
  ),
  "",
  INDEX('1a. Input organisatieniveau'!$AC:$AC, 7 + (COLUMN(Y13) - 1)*0.5)
))</f>
        <v/>
      </c>
      <c r="AC15" s="795"/>
      <c r="AD15" s="794" t="str">
        <f ca="1">IF(AD16="","",
IF(
  OR(
    INDEX('1a. Input organisatieniveau'!$AC:$AC, 7+ (COLUMN(AA13) - 1)*0.5) = "",
    INDEX('1a. Input organisatieniveau'!$AC:$AC, 7 + (COLUMN(AA13) - 1)*0.5) = 0
  ),
  "",
  INDEX('1a. Input organisatieniveau'!$AC:$AC, 7 + (COLUMN(AA13) - 1)*0.5)
))</f>
        <v/>
      </c>
      <c r="AE15" s="795"/>
      <c r="AF15" s="794" t="str">
        <f ca="1">IF(AF16="","",
IF(
  OR(
    INDEX('1a. Input organisatieniveau'!$AC:$AC, 7+ (COLUMN(AC13) - 1)*0.5) = "",
    INDEX('1a. Input organisatieniveau'!$AC:$AC, 7 + (COLUMN(AC13) - 1)*0.5) = 0
  ),
  "",
  INDEX('1a. Input organisatieniveau'!$AC:$AC, 7 + (COLUMN(AC13) - 1)*0.5)
))</f>
        <v/>
      </c>
      <c r="AG15" s="795"/>
      <c r="AH15" s="794" t="str">
        <f ca="1">IF(AH16="","",
IF(
  OR(
    INDEX('1a. Input organisatieniveau'!$AC:$AC, 7+ (COLUMN(AE13) - 1)*0.5) = "",
    INDEX('1a. Input organisatieniveau'!$AC:$AC, 7 + (COLUMN(AE13) - 1)*0.5) = 0
  ),
  "",
  INDEX('1a. Input organisatieniveau'!$AC:$AC, 7 + (COLUMN(AE13) - 1)*0.5)
))</f>
        <v/>
      </c>
      <c r="AI15" s="795"/>
      <c r="AJ15" s="794" t="str">
        <f ca="1">IF(AJ16="","",
IF(
  OR(
    INDEX('1a. Input organisatieniveau'!$AC:$AC, 7+ (COLUMN(AG13) - 1)*0.5) = "",
    INDEX('1a. Input organisatieniveau'!$AC:$AC, 7 + (COLUMN(AG13) - 1)*0.5) = 0
  ),
  "",
  INDEX('1a. Input organisatieniveau'!$AC:$AC, 7 + (COLUMN(AG13) - 1)*0.5)
))</f>
        <v/>
      </c>
      <c r="AK15" s="795"/>
      <c r="AL15" s="794" t="str">
        <f ca="1">IF(AL16="","",
IF(
  OR(
    INDEX('1a. Input organisatieniveau'!$AC:$AC, 7+ (COLUMN(AI13) - 1)*0.5) = "",
    INDEX('1a. Input organisatieniveau'!$AC:$AC, 7 + (COLUMN(AI13) - 1)*0.5) = 0
  ),
  "",
  INDEX('1a. Input organisatieniveau'!$AC:$AC, 7 + (COLUMN(AI13) - 1)*0.5)
))</f>
        <v/>
      </c>
      <c r="AM15" s="795"/>
      <c r="AN15" s="794" t="str">
        <f ca="1">IF(AN16="","",
IF(
  OR(
    INDEX('1a. Input organisatieniveau'!$AC:$AC, 7+ (COLUMN(AK13) - 1)*0.5) = "",
    INDEX('1a. Input organisatieniveau'!$AC:$AC, 7 + (COLUMN(AK13) - 1)*0.5) = 0
  ),
  "",
  INDEX('1a. Input organisatieniveau'!$AC:$AC, 7 + (COLUMN(AK13) - 1)*0.5)
))</f>
        <v/>
      </c>
      <c r="AO15" s="795"/>
      <c r="AP15" s="794" t="str">
        <f ca="1">IF(AP16="","",
IF(
  OR(
    INDEX('1a. Input organisatieniveau'!$AC:$AC, 7+ (COLUMN(AM13) - 1)*0.5) = "",
    INDEX('1a. Input organisatieniveau'!$AC:$AC, 7 + (COLUMN(AM13) - 1)*0.5) = 0
  ),
  "",
  INDEX('1a. Input organisatieniveau'!$AC:$AC, 7 + (COLUMN(AM13) - 1)*0.5)
))</f>
        <v/>
      </c>
      <c r="AQ15" s="795"/>
      <c r="AR15" s="794" t="str">
        <f ca="1">IF(AR16="","",
IF(
  OR(
    INDEX('1a. Input organisatieniveau'!$AC:$AC, 7+ (COLUMN(AO13) - 1)*0.5) = "",
    INDEX('1a. Input organisatieniveau'!$AC:$AC, 7 + (COLUMN(AO13) - 1)*0.5) = 0
  ),
  "",
  INDEX('1a. Input organisatieniveau'!$AC:$AC, 7 + (COLUMN(AO13) - 1)*0.5)
))</f>
        <v/>
      </c>
      <c r="AS15" s="795"/>
      <c r="AT15" s="794" t="str">
        <f ca="1">IF(AT16="","",
IF(
  OR(
    INDEX('1a. Input organisatieniveau'!$AC:$AC, 7+ (COLUMN(AQ13) - 1)*0.5) = "",
    INDEX('1a. Input organisatieniveau'!$AC:$AC, 7 + (COLUMN(AQ13) - 1)*0.5) = 0
  ),
  "",
  INDEX('1a. Input organisatieniveau'!$AC:$AC, 7 + (COLUMN(AQ13) - 1)*0.5)
))</f>
        <v/>
      </c>
      <c r="AU15" s="795"/>
      <c r="AV15" s="794" t="str">
        <f ca="1">IF(AV16="","",
IF(
  OR(
    INDEX('1a. Input organisatieniveau'!$AC:$AC, 7+ (COLUMN(AS13) - 1)*0.5) = "",
    INDEX('1a. Input organisatieniveau'!$AC:$AC, 7 + (COLUMN(AS13) - 1)*0.5) = 0
  ),
  "",
  INDEX('1a. Input organisatieniveau'!$AC:$AC, 7 + (COLUMN(AS13) - 1)*0.5)
))</f>
        <v/>
      </c>
      <c r="AW15" s="795"/>
      <c r="AX15" s="794" t="str">
        <f ca="1">IF(AX16="","",
IF(
  OR(
    INDEX('1a. Input organisatieniveau'!$AC:$AC, 7+ (COLUMN(AU13) - 1)*0.5) = "",
    INDEX('1a. Input organisatieniveau'!$AC:$AC, 7 + (COLUMN(AU13) - 1)*0.5) = 0
  ),
  "",
  INDEX('1a. Input organisatieniveau'!$AC:$AC, 7 + (COLUMN(AU13) - 1)*0.5)
))</f>
        <v/>
      </c>
      <c r="AY15" s="795"/>
      <c r="AZ15" s="794" t="str">
        <f ca="1">IF(AZ16="","",
IF(
  OR(
    INDEX('1a. Input organisatieniveau'!$AC:$AC, 7+ (COLUMN(AW13) - 1)*0.5) = "",
    INDEX('1a. Input organisatieniveau'!$AC:$AC, 7 + (COLUMN(AW13) - 1)*0.5) = 0
  ),
  "",
  INDEX('1a. Input organisatieniveau'!$AC:$AC, 7 + (COLUMN(AW13) - 1)*0.5)
))</f>
        <v/>
      </c>
      <c r="BA15" s="795"/>
      <c r="BB15" s="794" t="str">
        <f ca="1">IF(BB16="","",
IF(
  OR(
    INDEX('1a. Input organisatieniveau'!$AC:$AC, 7+ (COLUMN(AY13) - 1)*0.5) = "",
    INDEX('1a. Input organisatieniveau'!$AC:$AC, 7 + (COLUMN(AY13) - 1)*0.5) = 0
  ),
  "",
  INDEX('1a. Input organisatieniveau'!$AC:$AC, 7 + (COLUMN(AY13) - 1)*0.5)
))</f>
        <v/>
      </c>
      <c r="BC15" s="795"/>
      <c r="BD15" s="794" t="str">
        <f ca="1">IF(BD16="","",
IF(
  OR(
    INDEX('1a. Input organisatieniveau'!$AC:$AC, 7+ (COLUMN(BA13) - 1)*0.5) = "",
    INDEX('1a. Input organisatieniveau'!$AC:$AC, 7 + (COLUMN(BA13) - 1)*0.5) = 0
  ),
  "",
  INDEX('1a. Input organisatieniveau'!$AC:$AC, 7 + (COLUMN(BA13) - 1)*0.5)
))</f>
        <v/>
      </c>
      <c r="BE15" s="795"/>
      <c r="BF15" s="794" t="str">
        <f ca="1">IF(BF16="","",
IF(
  OR(
    INDEX('1a. Input organisatieniveau'!$AC:$AC, 7+ (COLUMN(BC13) - 1)*0.5) = "",
    INDEX('1a. Input organisatieniveau'!$AC:$AC, 7 + (COLUMN(BC13) - 1)*0.5) = 0
  ),
  "",
  INDEX('1a. Input organisatieniveau'!$AC:$AC, 7 + (COLUMN(BC13) - 1)*0.5)
))</f>
        <v/>
      </c>
      <c r="BG15" s="795"/>
      <c r="BH15" s="794" t="str">
        <f ca="1">IF(BH16="","",
IF(
  OR(
    INDEX('1a. Input organisatieniveau'!$AC:$AC, 7+ (COLUMN(BE13) - 1)*0.5) = "",
    INDEX('1a. Input organisatieniveau'!$AC:$AC, 7 + (COLUMN(BE13) - 1)*0.5) = 0
  ),
  "",
  INDEX('1a. Input organisatieniveau'!$AC:$AC, 7 + (COLUMN(BE13) - 1)*0.5)
))</f>
        <v/>
      </c>
      <c r="BI15" s="795"/>
      <c r="BJ15" s="794" t="str">
        <f ca="1">IF(BJ16="","",
IF(
  OR(
    INDEX('1a. Input organisatieniveau'!$AC:$AC, 7+ (COLUMN(BG13) - 1)*0.5) = "",
    INDEX('1a. Input organisatieniveau'!$AC:$AC, 7 + (COLUMN(BG13) - 1)*0.5) = 0
  ),
  "",
  INDEX('1a. Input organisatieniveau'!$AC:$AC, 7 + (COLUMN(BG13) - 1)*0.5)
))</f>
        <v/>
      </c>
      <c r="BK15" s="795"/>
      <c r="BL15" s="794" t="str">
        <f ca="1">IF(BL16="","",
IF(
  OR(
    INDEX('1a. Input organisatieniveau'!$AC:$AC, 7+ (COLUMN(BI13) - 1)*0.5) = "",
    INDEX('1a. Input organisatieniveau'!$AC:$AC, 7 + (COLUMN(BI13) - 1)*0.5) = 0
  ),
  "",
  INDEX('1a. Input organisatieniveau'!$AC:$AC, 7 + (COLUMN(BI13) - 1)*0.5)
))</f>
        <v/>
      </c>
      <c r="BM15" s="795"/>
      <c r="BN15" s="794" t="str">
        <f ca="1">IF(BN16="","",
IF(
  OR(
    INDEX('1a. Input organisatieniveau'!$AC:$AC, 7+ (COLUMN(BK13) - 1)*0.5) = "",
    INDEX('1a. Input organisatieniveau'!$AC:$AC, 7 + (COLUMN(BK13) - 1)*0.5) = 0
  ),
  "",
  INDEX('1a. Input organisatieniveau'!$AC:$AC, 7 + (COLUMN(BK13) - 1)*0.5)
))</f>
        <v/>
      </c>
      <c r="BO15" s="795"/>
      <c r="BP15" s="794" t="str">
        <f ca="1">IF(BP16="","",
IF(
  OR(
    INDEX('1a. Input organisatieniveau'!$AC:$AC, 7+ (COLUMN(BM13) - 1)*0.5) = "",
    INDEX('1a. Input organisatieniveau'!$AC:$AC, 7 + (COLUMN(BM13) - 1)*0.5) = 0
  ),
  "",
  INDEX('1a. Input organisatieniveau'!$AC:$AC, 7 + (COLUMN(BM13) - 1)*0.5)
))</f>
        <v/>
      </c>
      <c r="BQ15" s="795"/>
      <c r="BR15" s="794" t="str">
        <f ca="1">IF(BR16="","",
IF(
  OR(
    INDEX('1a. Input organisatieniveau'!$AC:$AC, 7+ (COLUMN(BO13) - 1)*0.5) = "",
    INDEX('1a. Input organisatieniveau'!$AC:$AC, 7 + (COLUMN(BO13) - 1)*0.5) = 0
  ),
  "",
  INDEX('1a. Input organisatieniveau'!$AC:$AC, 7 + (COLUMN(BO13) - 1)*0.5)
))</f>
        <v/>
      </c>
      <c r="BS15" s="795"/>
      <c r="BT15" s="794" t="str">
        <f ca="1">IF(BT16="","",
IF(
  OR(
    INDEX('1a. Input organisatieniveau'!$AC:$AC, 7+ (COLUMN(BQ13) - 1)*0.5) = "",
    INDEX('1a. Input organisatieniveau'!$AC:$AC, 7 + (COLUMN(BQ13) - 1)*0.5) = 0
  ),
  "",
  INDEX('1a. Input organisatieniveau'!$AC:$AC, 7 + (COLUMN(BQ13) - 1)*0.5)
))</f>
        <v/>
      </c>
      <c r="BU15" s="795"/>
      <c r="BV15" s="794" t="str">
        <f ca="1">IF(BV16="","",
IF(
  OR(
    INDEX('1a. Input organisatieniveau'!$AC:$AC, 7+ (COLUMN(BS13) - 1)*0.5) = "",
    INDEX('1a. Input organisatieniveau'!$AC:$AC, 7 + (COLUMN(BS13) - 1)*0.5) = 0
  ),
  "",
  INDEX('1a. Input organisatieniveau'!$AC:$AC, 7 + (COLUMN(BS13) - 1)*0.5)
))</f>
        <v/>
      </c>
      <c r="BW15" s="795"/>
      <c r="BX15" s="794" t="str">
        <f ca="1">IF(BX16="","",
IF(
  OR(
    INDEX('1a. Input organisatieniveau'!$AC:$AC, 7+ (COLUMN(BU13) - 1)*0.5) = "",
    INDEX('1a. Input organisatieniveau'!$AC:$AC, 7 + (COLUMN(BU13) - 1)*0.5) = 0
  ),
  "",
  INDEX('1a. Input organisatieniveau'!$AC:$AC, 7 + (COLUMN(BU13) - 1)*0.5)
))</f>
        <v/>
      </c>
      <c r="BY15" s="795"/>
      <c r="BZ15" s="794" t="str">
        <f ca="1">IF(BZ16="","",
IF(
  OR(
    INDEX('1a. Input organisatieniveau'!$AC:$AC, 7+ (COLUMN(BW13) - 1)*0.5) = "",
    INDEX('1a. Input organisatieniveau'!$AC:$AC, 7 + (COLUMN(BW13) - 1)*0.5) = 0
  ),
  "",
  INDEX('1a. Input organisatieniveau'!$AC:$AC, 7 + (COLUMN(BW13) - 1)*0.5)
))</f>
        <v/>
      </c>
      <c r="CA15" s="795"/>
      <c r="CB15" s="794" t="str">
        <f ca="1">IF(CB16="","",
IF(
  OR(
    INDEX('1a. Input organisatieniveau'!$AC:$AC, 7+ (COLUMN(BY13) - 1)*0.5) = "",
    INDEX('1a. Input organisatieniveau'!$AC:$AC, 7 + (COLUMN(BY13) - 1)*0.5) = 0
  ),
  "",
  INDEX('1a. Input organisatieniveau'!$AC:$AC, 7 + (COLUMN(BY13) - 1)*0.5)
))</f>
        <v/>
      </c>
      <c r="CC15" s="795"/>
      <c r="CD15" s="794" t="str">
        <f ca="1">IF(CD16="","",
IF(
  OR(
    INDEX('1a. Input organisatieniveau'!$AC:$AC, 7+ (COLUMN(CA13) - 1)*0.5) = "",
    INDEX('1a. Input organisatieniveau'!$AC:$AC, 7 + (COLUMN(CA13) - 1)*0.5) = 0
  ),
  "",
  INDEX('1a. Input organisatieniveau'!$AC:$AC, 7 + (COLUMN(CA13) - 1)*0.5)
))</f>
        <v/>
      </c>
      <c r="CE15" s="795"/>
      <c r="CF15" s="286"/>
      <c r="CG15" s="289"/>
      <c r="CH15" s="289"/>
      <c r="CI15" s="289"/>
      <c r="CJ15" s="289"/>
      <c r="CK15" s="289"/>
      <c r="CL15" s="289"/>
      <c r="CM15" s="289"/>
      <c r="CN15" s="289"/>
      <c r="CO15" s="289"/>
      <c r="CP15" s="289"/>
      <c r="CQ15" s="289"/>
      <c r="CR15" s="289"/>
      <c r="CS15" s="289"/>
      <c r="CT15" s="289"/>
      <c r="CU15" s="289"/>
      <c r="CV15" s="289"/>
      <c r="CW15" s="289"/>
      <c r="CX15" s="289"/>
      <c r="CY15" s="289"/>
      <c r="CZ15" s="289"/>
    </row>
    <row r="16" spans="1:104" ht="23.55" customHeight="1" x14ac:dyDescent="0.45">
      <c r="A16" s="289"/>
      <c r="B16" s="365" t="s">
        <v>5</v>
      </c>
      <c r="C16" s="451"/>
      <c r="D16" s="800" t="str">
        <f ca="1">IF(
  OR(
    '1a. Input organisatieniveau'!$AE$7&lt;&gt;TRUE,
    INDEX('1b. Input productniveau'!$AD:$AD, 6 + 7/2 * (COLUMN(A13)-1))&lt;&gt;TRUE,
    INDEX('1c. Input functiemix'!$BE:$BE, 8 + 7/2 * (COLUMN(A13)-1))&lt;&gt;TRUE,
    INDEX('1a. Input organisatieniveau'!$AA:$AA, 7 + (COLUMN(A13) - 1)*0.5) = "",
    INDEX('1a. Input organisatieniveau'!$AA:$AA, 7 + (COLUMN(A13) - 1)*0.5) = 0
  ),
  "",
  INDEX('1a. Input organisatieniveau'!$AA:$AA, 7 + (COLUMN(A13) - 1)*0.5)
)</f>
        <v/>
      </c>
      <c r="E16" s="801"/>
      <c r="F16" s="800" t="str">
        <f ca="1">IF(
  OR(
    '1a. Input organisatieniveau'!$AE$7&lt;&gt;TRUE,
    INDEX('1b. Input productniveau'!$AD:$AD, 6 + 7/2 * (COLUMN(C13)-1))&lt;&gt;TRUE,
    INDEX('1c. Input functiemix'!$BE:$BE, 8 + 7/2 * (COLUMN(C13)-1))&lt;&gt;TRUE,
    INDEX('1a. Input organisatieniveau'!$AA:$AA, 7 + (COLUMN(C13) - 1)*0.5) = "",
    INDEX('1a. Input organisatieniveau'!$AA:$AA, 7 + (COLUMN(C13) - 1)*0.5) = 0
  ),
  "",
  INDEX('1a. Input organisatieniveau'!$AA:$AA, 7 + (COLUMN(C13) - 1)*0.5)
)</f>
        <v/>
      </c>
      <c r="G16" s="801"/>
      <c r="H16" s="800" t="str">
        <f ca="1">IF(
  OR(
    '1a. Input organisatieniveau'!$AE$7&lt;&gt;TRUE,
    INDEX('1b. Input productniveau'!$AD:$AD, 6 + 7/2 * (COLUMN(E13)-1))&lt;&gt;TRUE,
    INDEX('1c. Input functiemix'!$BE:$BE, 8 + 7/2 * (COLUMN(E13)-1))&lt;&gt;TRUE,
    INDEX('1a. Input organisatieniveau'!$AA:$AA, 7 + (COLUMN(E13) - 1)*0.5) = "",
    INDEX('1a. Input organisatieniveau'!$AA:$AA, 7 + (COLUMN(E13) - 1)*0.5) = 0
  ),
  "",
  INDEX('1a. Input organisatieniveau'!$AA:$AA, 7 + (COLUMN(E13) - 1)*0.5)
)</f>
        <v/>
      </c>
      <c r="I16" s="801"/>
      <c r="J16" s="800" t="str">
        <f ca="1">IF(
  OR(
    '1a. Input organisatieniveau'!$AE$7&lt;&gt;TRUE,
    INDEX('1b. Input productniveau'!$AD:$AD, 6 + 7/2 * (COLUMN(G13)-1))&lt;&gt;TRUE,
    INDEX('1c. Input functiemix'!$BE:$BE, 8 + 7/2 * (COLUMN(G13)-1))&lt;&gt;TRUE,
    INDEX('1a. Input organisatieniveau'!$AA:$AA, 7 + (COLUMN(G13) - 1)*0.5) = "",
    INDEX('1a. Input organisatieniveau'!$AA:$AA, 7 + (COLUMN(G13) - 1)*0.5) = 0
  ),
  "",
  INDEX('1a. Input organisatieniveau'!$AA:$AA, 7 + (COLUMN(G13) - 1)*0.5)
)</f>
        <v/>
      </c>
      <c r="K16" s="801"/>
      <c r="L16" s="800" t="str">
        <f ca="1">IF(
  OR(
    '1a. Input organisatieniveau'!$AE$7&lt;&gt;TRUE,
    INDEX('1b. Input productniveau'!$AD:$AD, 6 + 7/2 * (COLUMN(I13)-1))&lt;&gt;TRUE,
    INDEX('1c. Input functiemix'!$BE:$BE, 8 + 7/2 * (COLUMN(I13)-1))&lt;&gt;TRUE,
    INDEX('1a. Input organisatieniveau'!$AA:$AA, 7 + (COLUMN(I13) - 1)*0.5) = "",
    INDEX('1a. Input organisatieniveau'!$AA:$AA, 7 + (COLUMN(I13) - 1)*0.5) = 0
  ),
  "",
  INDEX('1a. Input organisatieniveau'!$AA:$AA, 7 + (COLUMN(I13) - 1)*0.5)
)</f>
        <v/>
      </c>
      <c r="M16" s="801"/>
      <c r="N16" s="800" t="str">
        <f ca="1">IF(
  OR(
    '1a. Input organisatieniveau'!$AE$7&lt;&gt;TRUE,
    INDEX('1b. Input productniveau'!$AD:$AD, 6 + 7/2 * (COLUMN(K13)-1))&lt;&gt;TRUE,
    INDEX('1c. Input functiemix'!$BE:$BE, 8 + 7/2 * (COLUMN(K13)-1))&lt;&gt;TRUE,
    INDEX('1a. Input organisatieniveau'!$AA:$AA, 7 + (COLUMN(K13) - 1)*0.5) = "",
    INDEX('1a. Input organisatieniveau'!$AA:$AA, 7 + (COLUMN(K13) - 1)*0.5) = 0
  ),
  "",
  INDEX('1a. Input organisatieniveau'!$AA:$AA, 7 + (COLUMN(K13) - 1)*0.5)
)</f>
        <v/>
      </c>
      <c r="O16" s="801"/>
      <c r="P16" s="800" t="str">
        <f ca="1">IF(
  OR(
    '1a. Input organisatieniveau'!$AE$7&lt;&gt;TRUE,
    INDEX('1b. Input productniveau'!$AD:$AD, 6 + 7/2 * (COLUMN(M13)-1))&lt;&gt;TRUE,
    INDEX('1c. Input functiemix'!$BE:$BE, 8 + 7/2 * (COLUMN(M13)-1))&lt;&gt;TRUE,
    INDEX('1a. Input organisatieniveau'!$AA:$AA, 7 + (COLUMN(M13) - 1)*0.5) = "",
    INDEX('1a. Input organisatieniveau'!$AA:$AA, 7 + (COLUMN(M13) - 1)*0.5) = 0
  ),
  "",
  INDEX('1a. Input organisatieniveau'!$AA:$AA, 7 + (COLUMN(M13) - 1)*0.5)
)</f>
        <v/>
      </c>
      <c r="Q16" s="801"/>
      <c r="R16" s="800" t="str">
        <f ca="1">IF(
  OR(
    '1a. Input organisatieniveau'!$AE$7&lt;&gt;TRUE,
    INDEX('1b. Input productniveau'!$AD:$AD, 6 + 7/2 * (COLUMN(O13)-1))&lt;&gt;TRUE,
    INDEX('1c. Input functiemix'!$BE:$BE, 8 + 7/2 * (COLUMN(O13)-1))&lt;&gt;TRUE,
    INDEX('1a. Input organisatieniveau'!$AA:$AA, 7 + (COLUMN(O13) - 1)*0.5) = "",
    INDEX('1a. Input organisatieniveau'!$AA:$AA, 7 + (COLUMN(O13) - 1)*0.5) = 0
  ),
  "",
  INDEX('1a. Input organisatieniveau'!$AA:$AA, 7 + (COLUMN(O13) - 1)*0.5)
)</f>
        <v/>
      </c>
      <c r="S16" s="801"/>
      <c r="T16" s="800" t="str">
        <f ca="1">IF(
  OR(
    '1a. Input organisatieniveau'!$AE$7&lt;&gt;TRUE,
    INDEX('1b. Input productniveau'!$AD:$AD, 6 + 7/2 * (COLUMN(Q13)-1))&lt;&gt;TRUE,
    INDEX('1c. Input functiemix'!$BE:$BE, 8 + 7/2 * (COLUMN(Q13)-1))&lt;&gt;TRUE,
    INDEX('1a. Input organisatieniveau'!$AA:$AA, 7 + (COLUMN(Q13) - 1)*0.5) = "",
    INDEX('1a. Input organisatieniveau'!$AA:$AA, 7 + (COLUMN(Q13) - 1)*0.5) = 0
  ),
  "",
  INDEX('1a. Input organisatieniveau'!$AA:$AA, 7 + (COLUMN(Q13) - 1)*0.5)
)</f>
        <v/>
      </c>
      <c r="U16" s="801"/>
      <c r="V16" s="800" t="str">
        <f ca="1">IF(
  OR(
    '1a. Input organisatieniveau'!$AE$7&lt;&gt;TRUE,
    INDEX('1b. Input productniveau'!$AD:$AD, 6 + 7/2 * (COLUMN(S13)-1))&lt;&gt;TRUE,
    INDEX('1c. Input functiemix'!$BE:$BE, 8 + 7/2 * (COLUMN(S13)-1))&lt;&gt;TRUE,
    INDEX('1a. Input organisatieniveau'!$AA:$AA, 7 + (COLUMN(S13) - 1)*0.5) = "",
    INDEX('1a. Input organisatieniveau'!$AA:$AA, 7 + (COLUMN(S13) - 1)*0.5) = 0
  ),
  "",
  INDEX('1a. Input organisatieniveau'!$AA:$AA, 7 + (COLUMN(S13) - 1)*0.5)
)</f>
        <v/>
      </c>
      <c r="W16" s="801"/>
      <c r="X16" s="800" t="str">
        <f ca="1">IF(
  OR(
    '1a. Input organisatieniveau'!$AE$7&lt;&gt;TRUE,
    INDEX('1b. Input productniveau'!$AD:$AD, 6 + 7/2 * (COLUMN(U13)-1))&lt;&gt;TRUE,
    INDEX('1c. Input functiemix'!$BE:$BE, 8 + 7/2 * (COLUMN(U13)-1))&lt;&gt;TRUE,
    INDEX('1a. Input organisatieniveau'!$AA:$AA, 7 + (COLUMN(U13) - 1)*0.5) = "",
    INDEX('1a. Input organisatieniveau'!$AA:$AA, 7 + (COLUMN(U13) - 1)*0.5) = 0
  ),
  "",
  INDEX('1a. Input organisatieniveau'!$AA:$AA, 7 + (COLUMN(U13) - 1)*0.5)
)</f>
        <v/>
      </c>
      <c r="Y16" s="801"/>
      <c r="Z16" s="800" t="str">
        <f ca="1">IF(
  OR(
    '1a. Input organisatieniveau'!$AE$7&lt;&gt;TRUE,
    INDEX('1b. Input productniveau'!$AD:$AD, 6 + 7/2 * (COLUMN(W13)-1))&lt;&gt;TRUE,
    INDEX('1c. Input functiemix'!$BE:$BE, 8 + 7/2 * (COLUMN(W13)-1))&lt;&gt;TRUE,
    INDEX('1a. Input organisatieniveau'!$AA:$AA, 7 + (COLUMN(W13) - 1)*0.5) = "",
    INDEX('1a. Input organisatieniveau'!$AA:$AA, 7 + (COLUMN(W13) - 1)*0.5) = 0
  ),
  "",
  INDEX('1a. Input organisatieniveau'!$AA:$AA, 7 + (COLUMN(W13) - 1)*0.5)
)</f>
        <v/>
      </c>
      <c r="AA16" s="801"/>
      <c r="AB16" s="800" t="str">
        <f ca="1">IF(
  OR(
    '1a. Input organisatieniveau'!$AE$7&lt;&gt;TRUE,
    INDEX('1b. Input productniveau'!$AD:$AD, 6 + 7/2 * (COLUMN(Y13)-1))&lt;&gt;TRUE,
    INDEX('1c. Input functiemix'!$BE:$BE, 8 + 7/2 * (COLUMN(Y13)-1))&lt;&gt;TRUE,
    INDEX('1a. Input organisatieniveau'!$AA:$AA, 7 + (COLUMN(Y13) - 1)*0.5) = "",
    INDEX('1a. Input organisatieniveau'!$AA:$AA, 7 + (COLUMN(Y13) - 1)*0.5) = 0
  ),
  "",
  INDEX('1a. Input organisatieniveau'!$AA:$AA, 7 + (COLUMN(Y13) - 1)*0.5)
)</f>
        <v/>
      </c>
      <c r="AC16" s="801"/>
      <c r="AD16" s="800" t="str">
        <f ca="1">IF(
  OR(
    '1a. Input organisatieniveau'!$AE$7&lt;&gt;TRUE,
    INDEX('1b. Input productniveau'!$AD:$AD, 6 + 7/2 * (COLUMN(AA13)-1))&lt;&gt;TRUE,
    INDEX('1c. Input functiemix'!$BE:$BE, 8 + 7/2 * (COLUMN(AA13)-1))&lt;&gt;TRUE,
    INDEX('1a. Input organisatieniveau'!$AA:$AA, 7 + (COLUMN(AA13) - 1)*0.5) = "",
    INDEX('1a. Input organisatieniveau'!$AA:$AA, 7 + (COLUMN(AA13) - 1)*0.5) = 0
  ),
  "",
  INDEX('1a. Input organisatieniveau'!$AA:$AA, 7 + (COLUMN(AA13) - 1)*0.5)
)</f>
        <v/>
      </c>
      <c r="AE16" s="801"/>
      <c r="AF16" s="800" t="str">
        <f ca="1">IF(
  OR(
    '1a. Input organisatieniveau'!$AE$7&lt;&gt;TRUE,
    INDEX('1b. Input productniveau'!$AD:$AD, 6 + 7/2 * (COLUMN(AC13)-1))&lt;&gt;TRUE,
    INDEX('1c. Input functiemix'!$BE:$BE, 8 + 7/2 * (COLUMN(AC13)-1))&lt;&gt;TRUE,
    INDEX('1a. Input organisatieniveau'!$AA:$AA, 7 + (COLUMN(AC13) - 1)*0.5) = "",
    INDEX('1a. Input organisatieniveau'!$AA:$AA, 7 + (COLUMN(AC13) - 1)*0.5) = 0
  ),
  "",
  INDEX('1a. Input organisatieniveau'!$AA:$AA, 7 + (COLUMN(AC13) - 1)*0.5)
)</f>
        <v/>
      </c>
      <c r="AG16" s="801"/>
      <c r="AH16" s="800" t="str">
        <f ca="1">IF(
  OR(
    '1a. Input organisatieniveau'!$AE$7&lt;&gt;TRUE,
    INDEX('1b. Input productniveau'!$AD:$AD, 6 + 7/2 * (COLUMN(AE13)-1))&lt;&gt;TRUE,
    INDEX('1c. Input functiemix'!$BE:$BE, 8 + 7/2 * (COLUMN(AE13)-1))&lt;&gt;TRUE,
    INDEX('1a. Input organisatieniveau'!$AA:$AA, 7 + (COLUMN(AE13) - 1)*0.5) = "",
    INDEX('1a. Input organisatieniveau'!$AA:$AA, 7 + (COLUMN(AE13) - 1)*0.5) = 0
  ),
  "",
  INDEX('1a. Input organisatieniveau'!$AA:$AA, 7 + (COLUMN(AE13) - 1)*0.5)
)</f>
        <v/>
      </c>
      <c r="AI16" s="801"/>
      <c r="AJ16" s="800" t="str">
        <f ca="1">IF(
  OR(
    '1a. Input organisatieniveau'!$AE$7&lt;&gt;TRUE,
    INDEX('1b. Input productniveau'!$AD:$AD, 6 + 7/2 * (COLUMN(AG13)-1))&lt;&gt;TRUE,
    INDEX('1c. Input functiemix'!$BE:$BE, 8 + 7/2 * (COLUMN(AG13)-1))&lt;&gt;TRUE,
    INDEX('1a. Input organisatieniveau'!$AA:$AA, 7 + (COLUMN(AG13) - 1)*0.5) = "",
    INDEX('1a. Input organisatieniveau'!$AA:$AA, 7 + (COLUMN(AG13) - 1)*0.5) = 0
  ),
  "",
  INDEX('1a. Input organisatieniveau'!$AA:$AA, 7 + (COLUMN(AG13) - 1)*0.5)
)</f>
        <v/>
      </c>
      <c r="AK16" s="801"/>
      <c r="AL16" s="800" t="str">
        <f ca="1">IF(
  OR(
    '1a. Input organisatieniveau'!$AE$7&lt;&gt;TRUE,
    INDEX('1b. Input productniveau'!$AD:$AD, 6 + 7/2 * (COLUMN(AI13)-1))&lt;&gt;TRUE,
    INDEX('1c. Input functiemix'!$BE:$BE, 8 + 7/2 * (COLUMN(AI13)-1))&lt;&gt;TRUE,
    INDEX('1a. Input organisatieniveau'!$AA:$AA, 7 + (COLUMN(AI13) - 1)*0.5) = "",
    INDEX('1a. Input organisatieniveau'!$AA:$AA, 7 + (COLUMN(AI13) - 1)*0.5) = 0
  ),
  "",
  INDEX('1a. Input organisatieniveau'!$AA:$AA, 7 + (COLUMN(AI13) - 1)*0.5)
)</f>
        <v/>
      </c>
      <c r="AM16" s="801"/>
      <c r="AN16" s="800" t="str">
        <f ca="1">IF(
  OR(
    '1a. Input organisatieniveau'!$AE$7&lt;&gt;TRUE,
    INDEX('1b. Input productniveau'!$AD:$AD, 6 + 7/2 * (COLUMN(AK13)-1))&lt;&gt;TRUE,
    INDEX('1c. Input functiemix'!$BE:$BE, 8 + 7/2 * (COLUMN(AK13)-1))&lt;&gt;TRUE,
    INDEX('1a. Input organisatieniveau'!$AA:$AA, 7 + (COLUMN(AK13) - 1)*0.5) = "",
    INDEX('1a. Input organisatieniveau'!$AA:$AA, 7 + (COLUMN(AK13) - 1)*0.5) = 0
  ),
  "",
  INDEX('1a. Input organisatieniveau'!$AA:$AA, 7 + (COLUMN(AK13) - 1)*0.5)
)</f>
        <v/>
      </c>
      <c r="AO16" s="801"/>
      <c r="AP16" s="800" t="str">
        <f ca="1">IF(
  OR(
    '1a. Input organisatieniveau'!$AE$7&lt;&gt;TRUE,
    INDEX('1b. Input productniveau'!$AD:$AD, 6 + 7/2 * (COLUMN(AM13)-1))&lt;&gt;TRUE,
    INDEX('1c. Input functiemix'!$BE:$BE, 8 + 7/2 * (COLUMN(AM13)-1))&lt;&gt;TRUE,
    INDEX('1a. Input organisatieniveau'!$AA:$AA, 7 + (COLUMN(AM13) - 1)*0.5) = "",
    INDEX('1a. Input organisatieniveau'!$AA:$AA, 7 + (COLUMN(AM13) - 1)*0.5) = 0
  ),
  "",
  INDEX('1a. Input organisatieniveau'!$AA:$AA, 7 + (COLUMN(AM13) - 1)*0.5)
)</f>
        <v/>
      </c>
      <c r="AQ16" s="801"/>
      <c r="AR16" s="800" t="str">
        <f ca="1">IF(
  OR(
    '1a. Input organisatieniveau'!$AE$7&lt;&gt;TRUE,
    INDEX('1b. Input productniveau'!$AD:$AD, 6 + 7/2 * (COLUMN(AO13)-1))&lt;&gt;TRUE,
    INDEX('1c. Input functiemix'!$BE:$BE, 8 + 7/2 * (COLUMN(AO13)-1))&lt;&gt;TRUE,
    INDEX('1a. Input organisatieniveau'!$AA:$AA, 7 + (COLUMN(AO13) - 1)*0.5) = "",
    INDEX('1a. Input organisatieniveau'!$AA:$AA, 7 + (COLUMN(AO13) - 1)*0.5) = 0
  ),
  "",
  INDEX('1a. Input organisatieniveau'!$AA:$AA, 7 + (COLUMN(AO13) - 1)*0.5)
)</f>
        <v/>
      </c>
      <c r="AS16" s="801"/>
      <c r="AT16" s="800" t="str">
        <f ca="1">IF(
  OR(
    '1a. Input organisatieniveau'!$AE$7&lt;&gt;TRUE,
    INDEX('1b. Input productniveau'!$AD:$AD, 6 + 7/2 * (COLUMN(AQ13)-1))&lt;&gt;TRUE,
    INDEX('1c. Input functiemix'!$BE:$BE, 8 + 7/2 * (COLUMN(AQ13)-1))&lt;&gt;TRUE,
    INDEX('1a. Input organisatieniveau'!$AA:$AA, 7 + (COLUMN(AQ13) - 1)*0.5) = "",
    INDEX('1a. Input organisatieniveau'!$AA:$AA, 7 + (COLUMN(AQ13) - 1)*0.5) = 0
  ),
  "",
  INDEX('1a. Input organisatieniveau'!$AA:$AA, 7 + (COLUMN(AQ13) - 1)*0.5)
)</f>
        <v/>
      </c>
      <c r="AU16" s="801"/>
      <c r="AV16" s="800" t="str">
        <f ca="1">IF(
  OR(
    '1a. Input organisatieniveau'!$AE$7&lt;&gt;TRUE,
    INDEX('1b. Input productniveau'!$AD:$AD, 6 + 7/2 * (COLUMN(AS13)-1))&lt;&gt;TRUE,
    INDEX('1c. Input functiemix'!$BE:$BE, 8 + 7/2 * (COLUMN(AS13)-1))&lt;&gt;TRUE,
    INDEX('1a. Input organisatieniveau'!$AA:$AA, 7 + (COLUMN(AS13) - 1)*0.5) = "",
    INDEX('1a. Input organisatieniveau'!$AA:$AA, 7 + (COLUMN(AS13) - 1)*0.5) = 0
  ),
  "",
  INDEX('1a. Input organisatieniveau'!$AA:$AA, 7 + (COLUMN(AS13) - 1)*0.5)
)</f>
        <v/>
      </c>
      <c r="AW16" s="801"/>
      <c r="AX16" s="800" t="str">
        <f ca="1">IF(
  OR(
    '1a. Input organisatieniveau'!$AE$7&lt;&gt;TRUE,
    INDEX('1b. Input productniveau'!$AD:$AD, 6 + 7/2 * (COLUMN(AU13)-1))&lt;&gt;TRUE,
    INDEX('1c. Input functiemix'!$BE:$BE, 8 + 7/2 * (COLUMN(AU13)-1))&lt;&gt;TRUE,
    INDEX('1a. Input organisatieniveau'!$AA:$AA, 7 + (COLUMN(AU13) - 1)*0.5) = "",
    INDEX('1a. Input organisatieniveau'!$AA:$AA, 7 + (COLUMN(AU13) - 1)*0.5) = 0
  ),
  "",
  INDEX('1a. Input organisatieniveau'!$AA:$AA, 7 + (COLUMN(AU13) - 1)*0.5)
)</f>
        <v/>
      </c>
      <c r="AY16" s="801"/>
      <c r="AZ16" s="800" t="str">
        <f ca="1">IF(
  OR(
    '1a. Input organisatieniveau'!$AE$7&lt;&gt;TRUE,
    INDEX('1b. Input productniveau'!$AD:$AD, 6 + 7/2 * (COLUMN(AW13)-1))&lt;&gt;TRUE,
    INDEX('1c. Input functiemix'!$BE:$BE, 8 + 7/2 * (COLUMN(AW13)-1))&lt;&gt;TRUE,
    INDEX('1a. Input organisatieniveau'!$AA:$AA, 7 + (COLUMN(AW13) - 1)*0.5) = "",
    INDEX('1a. Input organisatieniveau'!$AA:$AA, 7 + (COLUMN(AW13) - 1)*0.5) = 0
  ),
  "",
  INDEX('1a. Input organisatieniveau'!$AA:$AA, 7 + (COLUMN(AW13) - 1)*0.5)
)</f>
        <v/>
      </c>
      <c r="BA16" s="801"/>
      <c r="BB16" s="800" t="str">
        <f ca="1">IF(
  OR(
    '1a. Input organisatieniveau'!$AE$7&lt;&gt;TRUE,
    INDEX('1b. Input productniveau'!$AD:$AD, 6 + 7/2 * (COLUMN(AY13)-1))&lt;&gt;TRUE,
    INDEX('1c. Input functiemix'!$BE:$BE, 8 + 7/2 * (COLUMN(AY13)-1))&lt;&gt;TRUE,
    INDEX('1a. Input organisatieniveau'!$AA:$AA, 7 + (COLUMN(AY13) - 1)*0.5) = "",
    INDEX('1a. Input organisatieniveau'!$AA:$AA, 7 + (COLUMN(AY13) - 1)*0.5) = 0
  ),
  "",
  INDEX('1a. Input organisatieniveau'!$AA:$AA, 7 + (COLUMN(AY13) - 1)*0.5)
)</f>
        <v/>
      </c>
      <c r="BC16" s="801"/>
      <c r="BD16" s="800" t="str">
        <f ca="1">IF(
  OR(
    '1a. Input organisatieniveau'!$AE$7&lt;&gt;TRUE,
    INDEX('1b. Input productniveau'!$AD:$AD, 6 + 7/2 * (COLUMN(BA13)-1))&lt;&gt;TRUE,
    INDEX('1c. Input functiemix'!$BE:$BE, 8 + 7/2 * (COLUMN(BA13)-1))&lt;&gt;TRUE,
    INDEX('1a. Input organisatieniveau'!$AA:$AA, 7 + (COLUMN(BA13) - 1)*0.5) = "",
    INDEX('1a. Input organisatieniveau'!$AA:$AA, 7 + (COLUMN(BA13) - 1)*0.5) = 0
  ),
  "",
  INDEX('1a. Input organisatieniveau'!$AA:$AA, 7 + (COLUMN(BA13) - 1)*0.5)
)</f>
        <v/>
      </c>
      <c r="BE16" s="801"/>
      <c r="BF16" s="800" t="str">
        <f ca="1">IF(
  OR(
    '1a. Input organisatieniveau'!$AE$7&lt;&gt;TRUE,
    INDEX('1b. Input productniveau'!$AD:$AD, 6 + 7/2 * (COLUMN(BC13)-1))&lt;&gt;TRUE,
    INDEX('1c. Input functiemix'!$BE:$BE, 8 + 7/2 * (COLUMN(BC13)-1))&lt;&gt;TRUE,
    INDEX('1a. Input organisatieniveau'!$AA:$AA, 7 + (COLUMN(BC13) - 1)*0.5) = "",
    INDEX('1a. Input organisatieniveau'!$AA:$AA, 7 + (COLUMN(BC13) - 1)*0.5) = 0
  ),
  "",
  INDEX('1a. Input organisatieniveau'!$AA:$AA, 7 + (COLUMN(BC13) - 1)*0.5)
)</f>
        <v/>
      </c>
      <c r="BG16" s="801"/>
      <c r="BH16" s="800" t="str">
        <f ca="1">IF(
  OR(
    '1a. Input organisatieniveau'!$AE$7&lt;&gt;TRUE,
    INDEX('1b. Input productniveau'!$AD:$AD, 6 + 7/2 * (COLUMN(BE13)-1))&lt;&gt;TRUE,
    INDEX('1c. Input functiemix'!$BE:$BE, 8 + 7/2 * (COLUMN(BE13)-1))&lt;&gt;TRUE,
    INDEX('1a. Input organisatieniveau'!$AA:$AA, 7 + (COLUMN(BE13) - 1)*0.5) = "",
    INDEX('1a. Input organisatieniveau'!$AA:$AA, 7 + (COLUMN(BE13) - 1)*0.5) = 0
  ),
  "",
  INDEX('1a. Input organisatieniveau'!$AA:$AA, 7 + (COLUMN(BE13) - 1)*0.5)
)</f>
        <v/>
      </c>
      <c r="BI16" s="801"/>
      <c r="BJ16" s="800" t="str">
        <f ca="1">IF(
  OR(
    '1a. Input organisatieniveau'!$AE$7&lt;&gt;TRUE,
    INDEX('1b. Input productniveau'!$AD:$AD, 6 + 7/2 * (COLUMN(BG13)-1))&lt;&gt;TRUE,
    INDEX('1c. Input functiemix'!$BE:$BE, 8 + 7/2 * (COLUMN(BG13)-1))&lt;&gt;TRUE,
    INDEX('1a. Input organisatieniveau'!$AA:$AA, 7 + (COLUMN(BG13) - 1)*0.5) = "",
    INDEX('1a. Input organisatieniveau'!$AA:$AA, 7 + (COLUMN(BG13) - 1)*0.5) = 0
  ),
  "",
  INDEX('1a. Input organisatieniveau'!$AA:$AA, 7 + (COLUMN(BG13) - 1)*0.5)
)</f>
        <v/>
      </c>
      <c r="BK16" s="801"/>
      <c r="BL16" s="800" t="str">
        <f ca="1">IF(
  OR(
    '1a. Input organisatieniveau'!$AE$7&lt;&gt;TRUE,
    INDEX('1b. Input productniveau'!$AD:$AD, 6 + 7/2 * (COLUMN(BI13)-1))&lt;&gt;TRUE,
    INDEX('1c. Input functiemix'!$BE:$BE, 8 + 7/2 * (COLUMN(BI13)-1))&lt;&gt;TRUE,
    INDEX('1a. Input organisatieniveau'!$AA:$AA, 7 + (COLUMN(BI13) - 1)*0.5) = "",
    INDEX('1a. Input organisatieniveau'!$AA:$AA, 7 + (COLUMN(BI13) - 1)*0.5) = 0
  ),
  "",
  INDEX('1a. Input organisatieniveau'!$AA:$AA, 7 + (COLUMN(BI13) - 1)*0.5)
)</f>
        <v/>
      </c>
      <c r="BM16" s="801"/>
      <c r="BN16" s="800" t="str">
        <f ca="1">IF(
  OR(
    '1a. Input organisatieniveau'!$AE$7&lt;&gt;TRUE,
    INDEX('1b. Input productniveau'!$AD:$AD, 6 + 7/2 * (COLUMN(BK13)-1))&lt;&gt;TRUE,
    INDEX('1c. Input functiemix'!$BE:$BE, 8 + 7/2 * (COLUMN(BK13)-1))&lt;&gt;TRUE,
    INDEX('1a. Input organisatieniveau'!$AA:$AA, 7 + (COLUMN(BK13) - 1)*0.5) = "",
    INDEX('1a. Input organisatieniveau'!$AA:$AA, 7 + (COLUMN(BK13) - 1)*0.5) = 0
  ),
  "",
  INDEX('1a. Input organisatieniveau'!$AA:$AA, 7 + (COLUMN(BK13) - 1)*0.5)
)</f>
        <v/>
      </c>
      <c r="BO16" s="801"/>
      <c r="BP16" s="800" t="str">
        <f ca="1">IF(
  OR(
    '1a. Input organisatieniveau'!$AE$7&lt;&gt;TRUE,
    INDEX('1b. Input productniveau'!$AD:$AD, 6 + 7/2 * (COLUMN(BM13)-1))&lt;&gt;TRUE,
    INDEX('1c. Input functiemix'!$BE:$BE, 8 + 7/2 * (COLUMN(BM13)-1))&lt;&gt;TRUE,
    INDEX('1a. Input organisatieniveau'!$AA:$AA, 7 + (COLUMN(BM13) - 1)*0.5) = "",
    INDEX('1a. Input organisatieniveau'!$AA:$AA, 7 + (COLUMN(BM13) - 1)*0.5) = 0
  ),
  "",
  INDEX('1a. Input organisatieniveau'!$AA:$AA, 7 + (COLUMN(BM13) - 1)*0.5)
)</f>
        <v/>
      </c>
      <c r="BQ16" s="801"/>
      <c r="BR16" s="800" t="str">
        <f ca="1">IF(
  OR(
    '1a. Input organisatieniveau'!$AE$7&lt;&gt;TRUE,
    INDEX('1b. Input productniveau'!$AD:$AD, 6 + 7/2 * (COLUMN(BO13)-1))&lt;&gt;TRUE,
    INDEX('1c. Input functiemix'!$BE:$BE, 8 + 7/2 * (COLUMN(BO13)-1))&lt;&gt;TRUE,
    INDEX('1a. Input organisatieniveau'!$AA:$AA, 7 + (COLUMN(BO13) - 1)*0.5) = "",
    INDEX('1a. Input organisatieniveau'!$AA:$AA, 7 + (COLUMN(BO13) - 1)*0.5) = 0
  ),
  "",
  INDEX('1a. Input organisatieniveau'!$AA:$AA, 7 + (COLUMN(BO13) - 1)*0.5)
)</f>
        <v/>
      </c>
      <c r="BS16" s="801"/>
      <c r="BT16" s="800" t="str">
        <f ca="1">IF(
  OR(
    '1a. Input organisatieniveau'!$AE$7&lt;&gt;TRUE,
    INDEX('1b. Input productniveau'!$AD:$AD, 6 + 7/2 * (COLUMN(BQ13)-1))&lt;&gt;TRUE,
    INDEX('1c. Input functiemix'!$BE:$BE, 8 + 7/2 * (COLUMN(BQ13)-1))&lt;&gt;TRUE,
    INDEX('1a. Input organisatieniveau'!$AA:$AA, 7 + (COLUMN(BQ13) - 1)*0.5) = "",
    INDEX('1a. Input organisatieniveau'!$AA:$AA, 7 + (COLUMN(BQ13) - 1)*0.5) = 0
  ),
  "",
  INDEX('1a. Input organisatieniveau'!$AA:$AA, 7 + (COLUMN(BQ13) - 1)*0.5)
)</f>
        <v/>
      </c>
      <c r="BU16" s="801"/>
      <c r="BV16" s="800" t="str">
        <f ca="1">IF(
  OR(
    '1a. Input organisatieniveau'!$AE$7&lt;&gt;TRUE,
    INDEX('1b. Input productniveau'!$AD:$AD, 6 + 7/2 * (COLUMN(BS13)-1))&lt;&gt;TRUE,
    INDEX('1c. Input functiemix'!$BE:$BE, 8 + 7/2 * (COLUMN(BS13)-1))&lt;&gt;TRUE,
    INDEX('1a. Input organisatieniveau'!$AA:$AA, 7 + (COLUMN(BS13) - 1)*0.5) = "",
    INDEX('1a. Input organisatieniveau'!$AA:$AA, 7 + (COLUMN(BS13) - 1)*0.5) = 0
  ),
  "",
  INDEX('1a. Input organisatieniveau'!$AA:$AA, 7 + (COLUMN(BS13) - 1)*0.5)
)</f>
        <v/>
      </c>
      <c r="BW16" s="801"/>
      <c r="BX16" s="800" t="str">
        <f ca="1">IF(
  OR(
    '1a. Input organisatieniveau'!$AE$7&lt;&gt;TRUE,
    INDEX('1b. Input productniveau'!$AD:$AD, 6 + 7/2 * (COLUMN(BU13)-1))&lt;&gt;TRUE,
    INDEX('1c. Input functiemix'!$BE:$BE, 8 + 7/2 * (COLUMN(BU13)-1))&lt;&gt;TRUE,
    INDEX('1a. Input organisatieniveau'!$AA:$AA, 7 + (COLUMN(BU13) - 1)*0.5) = "",
    INDEX('1a. Input organisatieniveau'!$AA:$AA, 7 + (COLUMN(BU13) - 1)*0.5) = 0
  ),
  "",
  INDEX('1a. Input organisatieniveau'!$AA:$AA, 7 + (COLUMN(BU13) - 1)*0.5)
)</f>
        <v/>
      </c>
      <c r="BY16" s="801"/>
      <c r="BZ16" s="800" t="str">
        <f ca="1">IF(
  OR(
    '1a. Input organisatieniveau'!$AE$7&lt;&gt;TRUE,
    INDEX('1b. Input productniveau'!$AD:$AD, 6 + 7/2 * (COLUMN(BW13)-1))&lt;&gt;TRUE,
    INDEX('1c. Input functiemix'!$BE:$BE, 8 + 7/2 * (COLUMN(BW13)-1))&lt;&gt;TRUE,
    INDEX('1a. Input organisatieniveau'!$AA:$AA, 7 + (COLUMN(BW13) - 1)*0.5) = "",
    INDEX('1a. Input organisatieniveau'!$AA:$AA, 7 + (COLUMN(BW13) - 1)*0.5) = 0
  ),
  "",
  INDEX('1a. Input organisatieniveau'!$AA:$AA, 7 + (COLUMN(BW13) - 1)*0.5)
)</f>
        <v/>
      </c>
      <c r="CA16" s="801"/>
      <c r="CB16" s="800" t="str">
        <f ca="1">IF(
  OR(
    '1a. Input organisatieniveau'!$AE$7&lt;&gt;TRUE,
    INDEX('1b. Input productniveau'!$AD:$AD, 6 + 7/2 * (COLUMN(BY13)-1))&lt;&gt;TRUE,
    INDEX('1c. Input functiemix'!$BE:$BE, 8 + 7/2 * (COLUMN(BY13)-1))&lt;&gt;TRUE,
    INDEX('1a. Input organisatieniveau'!$AA:$AA, 7 + (COLUMN(BY13) - 1)*0.5) = "",
    INDEX('1a. Input organisatieniveau'!$AA:$AA, 7 + (COLUMN(BY13) - 1)*0.5) = 0
  ),
  "",
  INDEX('1a. Input organisatieniveau'!$AA:$AA, 7 + (COLUMN(BY13) - 1)*0.5)
)</f>
        <v/>
      </c>
      <c r="CC16" s="801"/>
      <c r="CD16" s="800" t="str">
        <f ca="1">IF(
  OR(
    '1a. Input organisatieniveau'!$AE$7&lt;&gt;TRUE,
    INDEX('1b. Input productniveau'!$AD:$AD, 6 + 7/2 * (COLUMN(CA13)-1))&lt;&gt;TRUE,
    INDEX('1c. Input functiemix'!$BE:$BE, 8 + 7/2 * (COLUMN(CA13)-1))&lt;&gt;TRUE,
    INDEX('1a. Input organisatieniveau'!$AA:$AA, 7 + (COLUMN(CA13) - 1)*0.5) = "",
    INDEX('1a. Input organisatieniveau'!$AA:$AA, 7 + (COLUMN(CA13) - 1)*0.5) = 0
  ),
  "",
  INDEX('1a. Input organisatieniveau'!$AA:$AA, 7 + (COLUMN(CA13) - 1)*0.5)
)</f>
        <v/>
      </c>
      <c r="CE16" s="801"/>
      <c r="CF16" s="320"/>
      <c r="CG16" s="289"/>
      <c r="CH16" s="289"/>
      <c r="CI16" s="289"/>
      <c r="CJ16" s="289"/>
      <c r="CK16" s="289"/>
      <c r="CL16" s="289"/>
      <c r="CM16" s="289"/>
      <c r="CN16" s="289"/>
      <c r="CO16" s="289"/>
      <c r="CP16" s="289"/>
      <c r="CQ16" s="289"/>
      <c r="CR16" s="289"/>
      <c r="CS16" s="289"/>
      <c r="CT16" s="289"/>
      <c r="CU16" s="289"/>
      <c r="CV16" s="289"/>
      <c r="CW16" s="289"/>
      <c r="CX16" s="289"/>
      <c r="CY16" s="289"/>
      <c r="CZ16" s="289"/>
    </row>
    <row r="17" spans="1:104" s="5" customFormat="1" x14ac:dyDescent="0.45">
      <c r="A17" s="298"/>
      <c r="B17" s="592" t="str">
        <f>HYPERLINK(
  "#'6. Definities'!" &amp;
  INDEX('Hulp (definities)'!E:E,
        MATCH("Gewogen bruto maandsalaris",'Hulp (definities)'!A:A,0)
  ),
  "Gewogen bruto maandsalaris"
)</f>
        <v>Gewogen bruto maandsalaris</v>
      </c>
      <c r="C17" s="452"/>
      <c r="D17" s="452"/>
      <c r="E17" s="453" t="str">
        <f ca="1">IF(D16="","",
IF(
    OR(
INDEX('1c. Input functiemix'!$Y:$Y, 8 + 7/2 * (COLUMN(A13)-1))="",
INDEX('1c. Input functiemix'!$Y:$Y, 8 + 7/2 * (COLUMN(A13)-1))=0),
  "",
INDEX('1c. Input functiemix'!$Y:$Y, 8 + 7/2 * (COLUMN(A13)-1))
))</f>
        <v/>
      </c>
      <c r="F17" s="452"/>
      <c r="G17" s="453" t="str">
        <f ca="1">IF(F16="","",
IF(
    OR(
INDEX('1c. Input functiemix'!$Y:$Y, 8 + 7/2 * (COLUMN(C13)-1))="",
INDEX('1c. Input functiemix'!$Y:$Y, 8 + 7/2 * (COLUMN(C13)-1))=0),
  "",
INDEX('1c. Input functiemix'!$Y:$Y, 8 + 7/2 * (COLUMN(C13)-1))
))</f>
        <v/>
      </c>
      <c r="H17" s="452"/>
      <c r="I17" s="453" t="str">
        <f ca="1">IF(H16="","",
IF(
    OR(
INDEX('1c. Input functiemix'!$Y:$Y, 8 + 7/2 * (COLUMN(E13)-1))="",
INDEX('1c. Input functiemix'!$Y:$Y, 8 + 7/2 * (COLUMN(E13)-1))=0),
  "",
INDEX('1c. Input functiemix'!$Y:$Y, 8 + 7/2 * (COLUMN(E13)-1))
))</f>
        <v/>
      </c>
      <c r="J17" s="452"/>
      <c r="K17" s="453" t="str">
        <f ca="1">IF(J16="","",
IF(
    OR(
INDEX('1c. Input functiemix'!$Y:$Y, 8 + 7/2 * (COLUMN(G13)-1))="",
INDEX('1c. Input functiemix'!$Y:$Y, 8 + 7/2 * (COLUMN(G13)-1))=0),
  "",
INDEX('1c. Input functiemix'!$Y:$Y, 8 + 7/2 * (COLUMN(G13)-1))
))</f>
        <v/>
      </c>
      <c r="L17" s="452"/>
      <c r="M17" s="453" t="str">
        <f ca="1">IF(L16="","",
IF(
    OR(
INDEX('1c. Input functiemix'!$Y:$Y, 8 + 7/2 * (COLUMN(I13)-1))="",
INDEX('1c. Input functiemix'!$Y:$Y, 8 + 7/2 * (COLUMN(I13)-1))=0),
  "",
INDEX('1c. Input functiemix'!$Y:$Y, 8 + 7/2 * (COLUMN(I13)-1))
))</f>
        <v/>
      </c>
      <c r="N17" s="452"/>
      <c r="O17" s="453" t="str">
        <f ca="1">IF(N16="","",
IF(
    OR(
INDEX('1c. Input functiemix'!$Y:$Y, 8 + 7/2 * (COLUMN(K13)-1))="",
INDEX('1c. Input functiemix'!$Y:$Y, 8 + 7/2 * (COLUMN(K13)-1))=0),
  "",
INDEX('1c. Input functiemix'!$Y:$Y, 8 + 7/2 * (COLUMN(K13)-1))
))</f>
        <v/>
      </c>
      <c r="P17" s="452"/>
      <c r="Q17" s="453" t="str">
        <f ca="1">IF(P16="","",
IF(
    OR(
INDEX('1c. Input functiemix'!$Y:$Y, 8 + 7/2 * (COLUMN(M13)-1))="",
INDEX('1c. Input functiemix'!$Y:$Y, 8 + 7/2 * (COLUMN(M13)-1))=0),
  "",
INDEX('1c. Input functiemix'!$Y:$Y, 8 + 7/2 * (COLUMN(M13)-1))
))</f>
        <v/>
      </c>
      <c r="R17" s="452"/>
      <c r="S17" s="453" t="str">
        <f ca="1">IF(R16="","",
IF(
    OR(
INDEX('1c. Input functiemix'!$Y:$Y, 8 + 7/2 * (COLUMN(O13)-1))="",
INDEX('1c. Input functiemix'!$Y:$Y, 8 + 7/2 * (COLUMN(O13)-1))=0),
  "",
INDEX('1c. Input functiemix'!$Y:$Y, 8 + 7/2 * (COLUMN(O13)-1))
))</f>
        <v/>
      </c>
      <c r="T17" s="452"/>
      <c r="U17" s="453" t="str">
        <f ca="1">IF(T16="","",
IF(
    OR(
INDEX('1c. Input functiemix'!$Y:$Y, 8 + 7/2 * (COLUMN(Q13)-1))="",
INDEX('1c. Input functiemix'!$Y:$Y, 8 + 7/2 * (COLUMN(Q13)-1))=0),
  "",
INDEX('1c. Input functiemix'!$Y:$Y, 8 + 7/2 * (COLUMN(Q13)-1))
))</f>
        <v/>
      </c>
      <c r="V17" s="452"/>
      <c r="W17" s="453" t="str">
        <f ca="1">IF(V16="","",
IF(
    OR(
INDEX('1c. Input functiemix'!$Y:$Y, 8 + 7/2 * (COLUMN(S13)-1))="",
INDEX('1c. Input functiemix'!$Y:$Y, 8 + 7/2 * (COLUMN(S13)-1))=0),
  "",
INDEX('1c. Input functiemix'!$Y:$Y, 8 + 7/2 * (COLUMN(S13)-1))
))</f>
        <v/>
      </c>
      <c r="X17" s="452"/>
      <c r="Y17" s="453" t="str">
        <f ca="1">IF(X16="","",
IF(
    OR(
INDEX('1c. Input functiemix'!$Y:$Y, 8 + 7/2 * (COLUMN(U13)-1))="",
INDEX('1c. Input functiemix'!$Y:$Y, 8 + 7/2 * (COLUMN(U13)-1))=0),
  "",
INDEX('1c. Input functiemix'!$Y:$Y, 8 + 7/2 * (COLUMN(U13)-1))
))</f>
        <v/>
      </c>
      <c r="Z17" s="452"/>
      <c r="AA17" s="453" t="str">
        <f ca="1">IF(Z16="","",
IF(
    OR(
INDEX('1c. Input functiemix'!$Y:$Y, 8 + 7/2 * (COLUMN(W13)-1))="",
INDEX('1c. Input functiemix'!$Y:$Y, 8 + 7/2 * (COLUMN(W13)-1))=0),
  "",
INDEX('1c. Input functiemix'!$Y:$Y, 8 + 7/2 * (COLUMN(W13)-1))
))</f>
        <v/>
      </c>
      <c r="AB17" s="452"/>
      <c r="AC17" s="453" t="str">
        <f ca="1">IF(AB16="","",
IF(
    OR(
INDEX('1c. Input functiemix'!$Y:$Y, 8 + 7/2 * (COLUMN(Y13)-1))="",
INDEX('1c. Input functiemix'!$Y:$Y, 8 + 7/2 * (COLUMN(Y13)-1))=0),
  "",
INDEX('1c. Input functiemix'!$Y:$Y, 8 + 7/2 * (COLUMN(Y13)-1))
))</f>
        <v/>
      </c>
      <c r="AD17" s="452"/>
      <c r="AE17" s="453" t="str">
        <f ca="1">IF(AD16="","",
IF(
    OR(
INDEX('1c. Input functiemix'!$Y:$Y, 8 + 7/2 * (COLUMN(AA13)-1))="",
INDEX('1c. Input functiemix'!$Y:$Y, 8 + 7/2 * (COLUMN(AA13)-1))=0),
  "",
INDEX('1c. Input functiemix'!$Y:$Y, 8 + 7/2 * (COLUMN(AA13)-1))
))</f>
        <v/>
      </c>
      <c r="AF17" s="452"/>
      <c r="AG17" s="453" t="str">
        <f ca="1">IF(AF16="","",
IF(
    OR(
INDEX('1c. Input functiemix'!$Y:$Y, 8 + 7/2 * (COLUMN(AC13)-1))="",
INDEX('1c. Input functiemix'!$Y:$Y, 8 + 7/2 * (COLUMN(AC13)-1))=0),
  "",
INDEX('1c. Input functiemix'!$Y:$Y, 8 + 7/2 * (COLUMN(AC13)-1))
))</f>
        <v/>
      </c>
      <c r="AH17" s="452"/>
      <c r="AI17" s="453" t="str">
        <f ca="1">IF(AH16="","",
IF(
    OR(
INDEX('1c. Input functiemix'!$Y:$Y, 8 + 7/2 * (COLUMN(AE13)-1))="",
INDEX('1c. Input functiemix'!$Y:$Y, 8 + 7/2 * (COLUMN(AE13)-1))=0),
  "",
INDEX('1c. Input functiemix'!$Y:$Y, 8 + 7/2 * (COLUMN(AE13)-1))
))</f>
        <v/>
      </c>
      <c r="AJ17" s="452"/>
      <c r="AK17" s="453" t="str">
        <f ca="1">IF(AJ16="","",
IF(
    OR(
INDEX('1c. Input functiemix'!$Y:$Y, 8 + 7/2 * (COLUMN(AG13)-1))="",
INDEX('1c. Input functiemix'!$Y:$Y, 8 + 7/2 * (COLUMN(AG13)-1))=0),
  "",
INDEX('1c. Input functiemix'!$Y:$Y, 8 + 7/2 * (COLUMN(AG13)-1))
))</f>
        <v/>
      </c>
      <c r="AL17" s="452"/>
      <c r="AM17" s="453" t="str">
        <f ca="1">IF(AL16="","",
IF(
    OR(
INDEX('1c. Input functiemix'!$Y:$Y, 8 + 7/2 * (COLUMN(AI13)-1))="",
INDEX('1c. Input functiemix'!$Y:$Y, 8 + 7/2 * (COLUMN(AI13)-1))=0),
  "",
INDEX('1c. Input functiemix'!$Y:$Y, 8 + 7/2 * (COLUMN(AI13)-1))
))</f>
        <v/>
      </c>
      <c r="AN17" s="452"/>
      <c r="AO17" s="453" t="str">
        <f ca="1">IF(AN16="","",
IF(
    OR(
INDEX('1c. Input functiemix'!$Y:$Y, 8 + 7/2 * (COLUMN(AK13)-1))="",
INDEX('1c. Input functiemix'!$Y:$Y, 8 + 7/2 * (COLUMN(AK13)-1))=0),
  "",
INDEX('1c. Input functiemix'!$Y:$Y, 8 + 7/2 * (COLUMN(AK13)-1))
))</f>
        <v/>
      </c>
      <c r="AP17" s="452"/>
      <c r="AQ17" s="453" t="str">
        <f ca="1">IF(AP16="","",
IF(
    OR(
INDEX('1c. Input functiemix'!$Y:$Y, 8 + 7/2 * (COLUMN(AM13)-1))="",
INDEX('1c. Input functiemix'!$Y:$Y, 8 + 7/2 * (COLUMN(AM13)-1))=0),
  "",
INDEX('1c. Input functiemix'!$Y:$Y, 8 + 7/2 * (COLUMN(AM13)-1))
))</f>
        <v/>
      </c>
      <c r="AR17" s="452"/>
      <c r="AS17" s="453" t="str">
        <f ca="1">IF(AR16="","",
IF(
    OR(
INDEX('1c. Input functiemix'!$Y:$Y, 8 + 7/2 * (COLUMN(AO13)-1))="",
INDEX('1c. Input functiemix'!$Y:$Y, 8 + 7/2 * (COLUMN(AO13)-1))=0),
  "",
INDEX('1c. Input functiemix'!$Y:$Y, 8 + 7/2 * (COLUMN(AO13)-1))
))</f>
        <v/>
      </c>
      <c r="AT17" s="452"/>
      <c r="AU17" s="453" t="str">
        <f ca="1">IF(AT16="","",
IF(
    OR(
INDEX('1c. Input functiemix'!$Y:$Y, 8 + 7/2 * (COLUMN(AQ13)-1))="",
INDEX('1c. Input functiemix'!$Y:$Y, 8 + 7/2 * (COLUMN(AQ13)-1))=0),
  "",
INDEX('1c. Input functiemix'!$Y:$Y, 8 + 7/2 * (COLUMN(AQ13)-1))
))</f>
        <v/>
      </c>
      <c r="AV17" s="452"/>
      <c r="AW17" s="453" t="str">
        <f ca="1">IF(AV16="","",
IF(
    OR(
INDEX('1c. Input functiemix'!$Y:$Y, 8 + 7/2 * (COLUMN(AS13)-1))="",
INDEX('1c. Input functiemix'!$Y:$Y, 8 + 7/2 * (COLUMN(AS13)-1))=0),
  "",
INDEX('1c. Input functiemix'!$Y:$Y, 8 + 7/2 * (COLUMN(AS13)-1))
))</f>
        <v/>
      </c>
      <c r="AX17" s="452"/>
      <c r="AY17" s="453" t="str">
        <f ca="1">IF(AX16="","",
IF(
    OR(
INDEX('1c. Input functiemix'!$Y:$Y, 8 + 7/2 * (COLUMN(AU13)-1))="",
INDEX('1c. Input functiemix'!$Y:$Y, 8 + 7/2 * (COLUMN(AU13)-1))=0),
  "",
INDEX('1c. Input functiemix'!$Y:$Y, 8 + 7/2 * (COLUMN(AU13)-1))
))</f>
        <v/>
      </c>
      <c r="AZ17" s="452"/>
      <c r="BA17" s="453" t="str">
        <f ca="1">IF(AZ16="","",
IF(
    OR(
INDEX('1c. Input functiemix'!$Y:$Y, 8 + 7/2 * (COLUMN(AW13)-1))="",
INDEX('1c. Input functiemix'!$Y:$Y, 8 + 7/2 * (COLUMN(AW13)-1))=0),
  "",
INDEX('1c. Input functiemix'!$Y:$Y, 8 + 7/2 * (COLUMN(AW13)-1))
))</f>
        <v/>
      </c>
      <c r="BB17" s="452"/>
      <c r="BC17" s="453" t="str">
        <f ca="1">IF(BB16="","",
IF(
    OR(
INDEX('1c. Input functiemix'!$Y:$Y, 8 + 7/2 * (COLUMN(AY13)-1))="",
INDEX('1c. Input functiemix'!$Y:$Y, 8 + 7/2 * (COLUMN(AY13)-1))=0),
  "",
INDEX('1c. Input functiemix'!$Y:$Y, 8 + 7/2 * (COLUMN(AY13)-1))
))</f>
        <v/>
      </c>
      <c r="BD17" s="452"/>
      <c r="BE17" s="453" t="str">
        <f ca="1">IF(BD16="","",
IF(
    OR(
INDEX('1c. Input functiemix'!$Y:$Y, 8 + 7/2 * (COLUMN(BA13)-1))="",
INDEX('1c. Input functiemix'!$Y:$Y, 8 + 7/2 * (COLUMN(BA13)-1))=0),
  "",
INDEX('1c. Input functiemix'!$Y:$Y, 8 + 7/2 * (COLUMN(BA13)-1))
))</f>
        <v/>
      </c>
      <c r="BF17" s="452"/>
      <c r="BG17" s="453" t="str">
        <f ca="1">IF(BF16="","",
IF(
    OR(
INDEX('1c. Input functiemix'!$Y:$Y, 8 + 7/2 * (COLUMN(BC13)-1))="",
INDEX('1c. Input functiemix'!$Y:$Y, 8 + 7/2 * (COLUMN(BC13)-1))=0),
  "",
INDEX('1c. Input functiemix'!$Y:$Y, 8 + 7/2 * (COLUMN(BC13)-1))
))</f>
        <v/>
      </c>
      <c r="BH17" s="452"/>
      <c r="BI17" s="453" t="str">
        <f ca="1">IF(BH16="","",
IF(
    OR(
INDEX('1c. Input functiemix'!$Y:$Y, 8 + 7/2 * (COLUMN(BE13)-1))="",
INDEX('1c. Input functiemix'!$Y:$Y, 8 + 7/2 * (COLUMN(BE13)-1))=0),
  "",
INDEX('1c. Input functiemix'!$Y:$Y, 8 + 7/2 * (COLUMN(BE13)-1))
))</f>
        <v/>
      </c>
      <c r="BJ17" s="452"/>
      <c r="BK17" s="453" t="str">
        <f ca="1">IF(BJ16="","",
IF(
    OR(
INDEX('1c. Input functiemix'!$Y:$Y, 8 + 7/2 * (COLUMN(BG13)-1))="",
INDEX('1c. Input functiemix'!$Y:$Y, 8 + 7/2 * (COLUMN(BG13)-1))=0),
  "",
INDEX('1c. Input functiemix'!$Y:$Y, 8 + 7/2 * (COLUMN(BG13)-1))
))</f>
        <v/>
      </c>
      <c r="BL17" s="452"/>
      <c r="BM17" s="453" t="str">
        <f ca="1">IF(BL16="","",
IF(
    OR(
INDEX('1c. Input functiemix'!$Y:$Y, 8 + 7/2 * (COLUMN(BI13)-1))="",
INDEX('1c. Input functiemix'!$Y:$Y, 8 + 7/2 * (COLUMN(BI13)-1))=0),
  "",
INDEX('1c. Input functiemix'!$Y:$Y, 8 + 7/2 * (COLUMN(BI13)-1))
))</f>
        <v/>
      </c>
      <c r="BN17" s="452"/>
      <c r="BO17" s="453" t="str">
        <f ca="1">IF(BN16="","",
IF(
    OR(
INDEX('1c. Input functiemix'!$Y:$Y, 8 + 7/2 * (COLUMN(BK13)-1))="",
INDEX('1c. Input functiemix'!$Y:$Y, 8 + 7/2 * (COLUMN(BK13)-1))=0),
  "",
INDEX('1c. Input functiemix'!$Y:$Y, 8 + 7/2 * (COLUMN(BK13)-1))
))</f>
        <v/>
      </c>
      <c r="BP17" s="452"/>
      <c r="BQ17" s="453" t="str">
        <f ca="1">IF(BP16="","",
IF(
    OR(
INDEX('1c. Input functiemix'!$Y:$Y, 8 + 7/2 * (COLUMN(BM13)-1))="",
INDEX('1c. Input functiemix'!$Y:$Y, 8 + 7/2 * (COLUMN(BM13)-1))=0),
  "",
INDEX('1c. Input functiemix'!$Y:$Y, 8 + 7/2 * (COLUMN(BM13)-1))
))</f>
        <v/>
      </c>
      <c r="BR17" s="452"/>
      <c r="BS17" s="453" t="str">
        <f ca="1">IF(BR16="","",
IF(
    OR(
INDEX('1c. Input functiemix'!$Y:$Y, 8 + 7/2 * (COLUMN(BO13)-1))="",
INDEX('1c. Input functiemix'!$Y:$Y, 8 + 7/2 * (COLUMN(BO13)-1))=0),
  "",
INDEX('1c. Input functiemix'!$Y:$Y, 8 + 7/2 * (COLUMN(BO13)-1))
))</f>
        <v/>
      </c>
      <c r="BT17" s="452"/>
      <c r="BU17" s="453" t="str">
        <f ca="1">IF(BT16="","",
IF(
    OR(
INDEX('1c. Input functiemix'!$Y:$Y, 8 + 7/2 * (COLUMN(BQ13)-1))="",
INDEX('1c. Input functiemix'!$Y:$Y, 8 + 7/2 * (COLUMN(BQ13)-1))=0),
  "",
INDEX('1c. Input functiemix'!$Y:$Y, 8 + 7/2 * (COLUMN(BQ13)-1))
))</f>
        <v/>
      </c>
      <c r="BV17" s="452"/>
      <c r="BW17" s="453" t="str">
        <f ca="1">IF(BV16="","",
IF(
    OR(
INDEX('1c. Input functiemix'!$Y:$Y, 8 + 7/2 * (COLUMN(BS13)-1))="",
INDEX('1c. Input functiemix'!$Y:$Y, 8 + 7/2 * (COLUMN(BS13)-1))=0),
  "",
INDEX('1c. Input functiemix'!$Y:$Y, 8 + 7/2 * (COLUMN(BS13)-1))
))</f>
        <v/>
      </c>
      <c r="BX17" s="452"/>
      <c r="BY17" s="453" t="str">
        <f ca="1">IF(BX16="","",
IF(
    OR(
INDEX('1c. Input functiemix'!$Y:$Y, 8 + 7/2 * (COLUMN(BU13)-1))="",
INDEX('1c. Input functiemix'!$Y:$Y, 8 + 7/2 * (COLUMN(BU13)-1))=0),
  "",
INDEX('1c. Input functiemix'!$Y:$Y, 8 + 7/2 * (COLUMN(BU13)-1))
))</f>
        <v/>
      </c>
      <c r="BZ17" s="452"/>
      <c r="CA17" s="453" t="str">
        <f ca="1">IF(BZ16="","",
IF(
    OR(
INDEX('1c. Input functiemix'!$Y:$Y, 8 + 7/2 * (COLUMN(BW13)-1))="",
INDEX('1c. Input functiemix'!$Y:$Y, 8 + 7/2 * (COLUMN(BW13)-1))=0),
  "",
INDEX('1c. Input functiemix'!$Y:$Y, 8 + 7/2 * (COLUMN(BW13)-1))
))</f>
        <v/>
      </c>
      <c r="CB17" s="452"/>
      <c r="CC17" s="453" t="str">
        <f ca="1">IF(CB16="","",
IF(
    OR(
INDEX('1c. Input functiemix'!$Y:$Y, 8 + 7/2 * (COLUMN(BY13)-1))="",
INDEX('1c. Input functiemix'!$Y:$Y, 8 + 7/2 * (COLUMN(BY13)-1))=0),
  "",
INDEX('1c. Input functiemix'!$Y:$Y, 8 + 7/2 * (COLUMN(BY13)-1))
))</f>
        <v/>
      </c>
      <c r="CD17" s="452"/>
      <c r="CE17" s="453" t="str">
        <f ca="1">IF(CD16="","",
IF(
    OR(
INDEX('1c. Input functiemix'!$Y:$Y, 8 + 7/2 * (COLUMN(CA13)-1))="",
INDEX('1c. Input functiemix'!$Y:$Y, 8 + 7/2 * (COLUMN(CA13)-1))=0),
  "",
INDEX('1c. Input functiemix'!$Y:$Y, 8 + 7/2 * (COLUMN(CA13)-1))
))</f>
        <v/>
      </c>
      <c r="CF17" s="331"/>
      <c r="CG17" s="298"/>
      <c r="CH17" s="298"/>
      <c r="CI17" s="298"/>
      <c r="CJ17" s="298"/>
      <c r="CK17" s="298"/>
      <c r="CL17" s="298"/>
      <c r="CM17" s="298"/>
      <c r="CN17" s="298"/>
      <c r="CO17" s="298"/>
      <c r="CP17" s="298"/>
      <c r="CQ17" s="298"/>
      <c r="CR17" s="298"/>
      <c r="CS17" s="298"/>
      <c r="CT17" s="298"/>
      <c r="CU17" s="298"/>
      <c r="CV17" s="298"/>
      <c r="CW17" s="298"/>
      <c r="CX17" s="298"/>
      <c r="CY17" s="298"/>
      <c r="CZ17" s="298"/>
    </row>
    <row r="18" spans="1:104" x14ac:dyDescent="0.45">
      <c r="A18" s="289"/>
      <c r="B18" s="537" t="str">
        <f>HYPERLINK(
  "#'6. Definities'!" &amp;
  INDEX('Hulp (definities)'!E:E,
        MATCH("Totale uren (per jaar)",'Hulp (definities)'!A:A,0)
  ),
  "Totale uren (per jaar)"
)</f>
        <v>Totale uren (per jaar)</v>
      </c>
      <c r="C18" s="442">
        <f>IFERROR(
   'Hulp (overig)'!$C$19,
  ""
)</f>
        <v>1878</v>
      </c>
      <c r="D18" s="442"/>
      <c r="E18" s="454" t="str">
        <f ca="1">IF(D16="","",IFERROR($C18,1878))</f>
        <v/>
      </c>
      <c r="F18" s="442"/>
      <c r="G18" s="454" t="str">
        <f ca="1">IF(F16="","",IFERROR($C18,1878))</f>
        <v/>
      </c>
      <c r="H18" s="442"/>
      <c r="I18" s="454" t="str">
        <f ca="1">IF(H16="","",IFERROR($C18,1878))</f>
        <v/>
      </c>
      <c r="J18" s="442"/>
      <c r="K18" s="454" t="str">
        <f ca="1">IF(J16="","",IFERROR($C18,1878))</f>
        <v/>
      </c>
      <c r="L18" s="442"/>
      <c r="M18" s="454" t="str">
        <f ca="1">IF(L16="","",IFERROR($C18,1878))</f>
        <v/>
      </c>
      <c r="N18" s="442"/>
      <c r="O18" s="454" t="str">
        <f ca="1">IF(N16="","",IFERROR($C18,1878))</f>
        <v/>
      </c>
      <c r="P18" s="442"/>
      <c r="Q18" s="454" t="str">
        <f ca="1">IF(P16="","",IFERROR($C18,1878))</f>
        <v/>
      </c>
      <c r="R18" s="442"/>
      <c r="S18" s="454" t="str">
        <f ca="1">IF(R16="","",IFERROR($C18,1878))</f>
        <v/>
      </c>
      <c r="T18" s="442"/>
      <c r="U18" s="454" t="str">
        <f ca="1">IF(T16="","",IFERROR($C18,1878))</f>
        <v/>
      </c>
      <c r="V18" s="442"/>
      <c r="W18" s="454" t="str">
        <f ca="1">IF(V16="","",IFERROR($C18,1878))</f>
        <v/>
      </c>
      <c r="X18" s="442"/>
      <c r="Y18" s="454" t="str">
        <f ca="1">IF(X16="","",IFERROR($C18,1878))</f>
        <v/>
      </c>
      <c r="Z18" s="442"/>
      <c r="AA18" s="454" t="str">
        <f ca="1">IF(Z16="","",IFERROR($C18,1878))</f>
        <v/>
      </c>
      <c r="AB18" s="442"/>
      <c r="AC18" s="454" t="str">
        <f ca="1">IF(AB16="","",IFERROR($C18,1878))</f>
        <v/>
      </c>
      <c r="AD18" s="442"/>
      <c r="AE18" s="454" t="str">
        <f ca="1">IF(AD16="","",IFERROR($C18,1878))</f>
        <v/>
      </c>
      <c r="AF18" s="442"/>
      <c r="AG18" s="454" t="str">
        <f ca="1">IF(AF16="","",IFERROR($C18,1878))</f>
        <v/>
      </c>
      <c r="AH18" s="442"/>
      <c r="AI18" s="454" t="str">
        <f ca="1">IF(AH16="","",IFERROR($C18,1878))</f>
        <v/>
      </c>
      <c r="AJ18" s="442"/>
      <c r="AK18" s="454" t="str">
        <f ca="1">IF(AJ16="","",IFERROR($C18,1878))</f>
        <v/>
      </c>
      <c r="AL18" s="442"/>
      <c r="AM18" s="454" t="str">
        <f ca="1">IF(AL16="","",IFERROR($C18,1878))</f>
        <v/>
      </c>
      <c r="AN18" s="442"/>
      <c r="AO18" s="454" t="str">
        <f ca="1">IF(AN16="","",IFERROR($C18,1878))</f>
        <v/>
      </c>
      <c r="AP18" s="442"/>
      <c r="AQ18" s="454" t="str">
        <f ca="1">IF(AP16="","",IFERROR($C18,1878))</f>
        <v/>
      </c>
      <c r="AR18" s="442"/>
      <c r="AS18" s="454" t="str">
        <f ca="1">IF(AR16="","",IFERROR($C18,1878))</f>
        <v/>
      </c>
      <c r="AT18" s="442"/>
      <c r="AU18" s="454" t="str">
        <f ca="1">IF(AT16="","",IFERROR($C18,1878))</f>
        <v/>
      </c>
      <c r="AV18" s="442"/>
      <c r="AW18" s="454" t="str">
        <f ca="1">IF(AV16="","",IFERROR($C18,1878))</f>
        <v/>
      </c>
      <c r="AX18" s="442"/>
      <c r="AY18" s="454" t="str">
        <f ca="1">IF(AX16="","",IFERROR($C18,1878))</f>
        <v/>
      </c>
      <c r="AZ18" s="442"/>
      <c r="BA18" s="454" t="str">
        <f ca="1">IF(AZ16="","",IFERROR($C18,1878))</f>
        <v/>
      </c>
      <c r="BB18" s="442"/>
      <c r="BC18" s="454" t="str">
        <f ca="1">IF(BB16="","",IFERROR($C18,1878))</f>
        <v/>
      </c>
      <c r="BD18" s="442"/>
      <c r="BE18" s="454" t="str">
        <f ca="1">IF(BD16="","",IFERROR($C18,1878))</f>
        <v/>
      </c>
      <c r="BF18" s="442"/>
      <c r="BG18" s="454" t="str">
        <f ca="1">IF(BF16="","",IFERROR($C18,1878))</f>
        <v/>
      </c>
      <c r="BH18" s="442"/>
      <c r="BI18" s="454" t="str">
        <f ca="1">IF(BH16="","",IFERROR($C18,1878))</f>
        <v/>
      </c>
      <c r="BJ18" s="442"/>
      <c r="BK18" s="454" t="str">
        <f ca="1">IF(BJ16="","",IFERROR($C18,1878))</f>
        <v/>
      </c>
      <c r="BL18" s="442"/>
      <c r="BM18" s="454" t="str">
        <f ca="1">IF(BL16="","",IFERROR($C18,1878))</f>
        <v/>
      </c>
      <c r="BN18" s="442"/>
      <c r="BO18" s="454" t="str">
        <f ca="1">IF(BN16="","",IFERROR($C18,1878))</f>
        <v/>
      </c>
      <c r="BP18" s="442"/>
      <c r="BQ18" s="454" t="str">
        <f ca="1">IF(BP16="","",IFERROR($C18,1878))</f>
        <v/>
      </c>
      <c r="BR18" s="442"/>
      <c r="BS18" s="454" t="str">
        <f ca="1">IF(BR16="","",IFERROR($C18,1878))</f>
        <v/>
      </c>
      <c r="BT18" s="442"/>
      <c r="BU18" s="454" t="str">
        <f ca="1">IF(BT16="","",IFERROR($C18,1878))</f>
        <v/>
      </c>
      <c r="BV18" s="442"/>
      <c r="BW18" s="454" t="str">
        <f ca="1">IF(BV16="","",IFERROR($C18,1878))</f>
        <v/>
      </c>
      <c r="BX18" s="442"/>
      <c r="BY18" s="454" t="str">
        <f ca="1">IF(BX16="","",IFERROR($C18,1878))</f>
        <v/>
      </c>
      <c r="BZ18" s="442"/>
      <c r="CA18" s="454" t="str">
        <f ca="1">IF(BZ16="","",IFERROR($C18,1878))</f>
        <v/>
      </c>
      <c r="CB18" s="442"/>
      <c r="CC18" s="454" t="str">
        <f ca="1">IF(CB16="","",IFERROR($C18,1878))</f>
        <v/>
      </c>
      <c r="CD18" s="442"/>
      <c r="CE18" s="454" t="str">
        <f ca="1">IF(CD16="","",IFERROR($C18,1878))</f>
        <v/>
      </c>
      <c r="CF18" s="320"/>
      <c r="CG18" s="289"/>
      <c r="CH18" s="289"/>
      <c r="CI18" s="289"/>
      <c r="CJ18" s="289"/>
      <c r="CK18" s="289"/>
      <c r="CL18" s="289"/>
      <c r="CM18" s="289"/>
      <c r="CN18" s="289"/>
      <c r="CO18" s="289"/>
      <c r="CP18" s="289"/>
      <c r="CQ18" s="289"/>
      <c r="CR18" s="289"/>
      <c r="CS18" s="289"/>
      <c r="CT18" s="289"/>
      <c r="CU18" s="289"/>
      <c r="CV18" s="289"/>
      <c r="CW18" s="289"/>
      <c r="CX18" s="289"/>
      <c r="CY18" s="289"/>
      <c r="CZ18" s="289"/>
    </row>
    <row r="19" spans="1:104" x14ac:dyDescent="0.45">
      <c r="A19" s="289"/>
      <c r="B19" s="537" t="str">
        <f>HYPERLINK(
  "#'6. Definities'!" &amp;
  INDEX('Hulp (definities)'!E:E,
        MATCH("Bruto uurloon",'Hulp (definities)'!A:A,0)
  ),
  "Bruto uurloon"
)</f>
        <v>Bruto uurloon</v>
      </c>
      <c r="C19" s="455"/>
      <c r="D19" s="455"/>
      <c r="E19" s="456" t="str">
        <f ca="1">IF(D16="","",SUM(E17:E17)/(E18/12))</f>
        <v/>
      </c>
      <c r="F19" s="455"/>
      <c r="G19" s="456" t="str">
        <f ca="1">IF(F16="","",SUM(G17:G17)/(G18/12))</f>
        <v/>
      </c>
      <c r="H19" s="455"/>
      <c r="I19" s="456" t="str">
        <f ca="1">IF(H16="","",SUM(I17:I17)/(I18/12))</f>
        <v/>
      </c>
      <c r="J19" s="455"/>
      <c r="K19" s="456" t="str">
        <f ca="1">IF(J16="","",SUM(K17:K17)/(K18/12))</f>
        <v/>
      </c>
      <c r="L19" s="455"/>
      <c r="M19" s="456" t="str">
        <f ca="1">IF(L16="","",SUM(M17:M17)/(M18/12))</f>
        <v/>
      </c>
      <c r="N19" s="455"/>
      <c r="O19" s="456" t="str">
        <f ca="1">IF(N16="","",SUM(O17:O17)/(O18/12))</f>
        <v/>
      </c>
      <c r="P19" s="455"/>
      <c r="Q19" s="456" t="str">
        <f ca="1">IF(P16="","",SUM(Q17:Q17)/(Q18/12))</f>
        <v/>
      </c>
      <c r="R19" s="455"/>
      <c r="S19" s="456" t="str">
        <f ca="1">IF(R16="","",SUM(S17:S17)/(S18/12))</f>
        <v/>
      </c>
      <c r="T19" s="455"/>
      <c r="U19" s="456" t="str">
        <f ca="1">IF(T16="","",SUM(U17:U17)/(U18/12))</f>
        <v/>
      </c>
      <c r="V19" s="455"/>
      <c r="W19" s="456" t="str">
        <f ca="1">IF(V16="","",SUM(W17:W17)/(W18/12))</f>
        <v/>
      </c>
      <c r="X19" s="455"/>
      <c r="Y19" s="456" t="str">
        <f ca="1">IF(X16="","",SUM(Y17:Y17)/(Y18/12))</f>
        <v/>
      </c>
      <c r="Z19" s="455"/>
      <c r="AA19" s="456" t="str">
        <f ca="1">IF(Z16="","",SUM(AA17:AA17)/(AA18/12))</f>
        <v/>
      </c>
      <c r="AB19" s="455"/>
      <c r="AC19" s="456" t="str">
        <f ca="1">IF(AB16="","",SUM(AC17:AC17)/(AC18/12))</f>
        <v/>
      </c>
      <c r="AD19" s="455"/>
      <c r="AE19" s="456" t="str">
        <f ca="1">IF(AD16="","",SUM(AE17:AE17)/(AE18/12))</f>
        <v/>
      </c>
      <c r="AF19" s="455"/>
      <c r="AG19" s="456" t="str">
        <f ca="1">IF(AF16="","",SUM(AG17:AG17)/(AG18/12))</f>
        <v/>
      </c>
      <c r="AH19" s="455"/>
      <c r="AI19" s="456" t="str">
        <f ca="1">IF(AH16="","",SUM(AI17:AI17)/(AI18/12))</f>
        <v/>
      </c>
      <c r="AJ19" s="455"/>
      <c r="AK19" s="456" t="str">
        <f ca="1">IF(AJ16="","",SUM(AK17:AK17)/(AK18/12))</f>
        <v/>
      </c>
      <c r="AL19" s="455"/>
      <c r="AM19" s="456" t="str">
        <f ca="1">IF(AL16="","",SUM(AM17:AM17)/(AM18/12))</f>
        <v/>
      </c>
      <c r="AN19" s="455"/>
      <c r="AO19" s="456" t="str">
        <f ca="1">IF(AN16="","",SUM(AO17:AO17)/(AO18/12))</f>
        <v/>
      </c>
      <c r="AP19" s="455"/>
      <c r="AQ19" s="456" t="str">
        <f ca="1">IF(AP16="","",SUM(AQ17:AQ17)/(AQ18/12))</f>
        <v/>
      </c>
      <c r="AR19" s="455"/>
      <c r="AS19" s="456" t="str">
        <f ca="1">IF(AR16="","",SUM(AS17:AS17)/(AS18/12))</f>
        <v/>
      </c>
      <c r="AT19" s="455"/>
      <c r="AU19" s="456" t="str">
        <f ca="1">IF(AT16="","",SUM(AU17:AU17)/(AU18/12))</f>
        <v/>
      </c>
      <c r="AV19" s="455"/>
      <c r="AW19" s="456" t="str">
        <f ca="1">IF(AV16="","",SUM(AW17:AW17)/(AW18/12))</f>
        <v/>
      </c>
      <c r="AX19" s="455"/>
      <c r="AY19" s="456" t="str">
        <f ca="1">IF(AX16="","",SUM(AY17:AY17)/(AY18/12))</f>
        <v/>
      </c>
      <c r="AZ19" s="455"/>
      <c r="BA19" s="456" t="str">
        <f ca="1">IF(AZ16="","",SUM(BA17:BA17)/(BA18/12))</f>
        <v/>
      </c>
      <c r="BB19" s="455"/>
      <c r="BC19" s="456" t="str">
        <f ca="1">IF(BB16="","",SUM(BC17:BC17)/(BC18/12))</f>
        <v/>
      </c>
      <c r="BD19" s="455"/>
      <c r="BE19" s="456" t="str">
        <f ca="1">IF(BD16="","",SUM(BE17:BE17)/(BE18/12))</f>
        <v/>
      </c>
      <c r="BF19" s="455"/>
      <c r="BG19" s="456" t="str">
        <f ca="1">IF(BF16="","",SUM(BG17:BG17)/(BG18/12))</f>
        <v/>
      </c>
      <c r="BH19" s="455"/>
      <c r="BI19" s="456" t="str">
        <f ca="1">IF(BH16="","",SUM(BI17:BI17)/(BI18/12))</f>
        <v/>
      </c>
      <c r="BJ19" s="455"/>
      <c r="BK19" s="456" t="str">
        <f ca="1">IF(BJ16="","",SUM(BK17:BK17)/(BK18/12))</f>
        <v/>
      </c>
      <c r="BL19" s="455"/>
      <c r="BM19" s="456" t="str">
        <f ca="1">IF(BL16="","",SUM(BM17:BM17)/(BM18/12))</f>
        <v/>
      </c>
      <c r="BN19" s="455"/>
      <c r="BO19" s="456" t="str">
        <f ca="1">IF(BN16="","",SUM(BO17:BO17)/(BO18/12))</f>
        <v/>
      </c>
      <c r="BP19" s="455"/>
      <c r="BQ19" s="456" t="str">
        <f ca="1">IF(BP16="","",SUM(BQ17:BQ17)/(BQ18/12))</f>
        <v/>
      </c>
      <c r="BR19" s="455"/>
      <c r="BS19" s="456" t="str">
        <f ca="1">IF(BR16="","",SUM(BS17:BS17)/(BS18/12))</f>
        <v/>
      </c>
      <c r="BT19" s="455"/>
      <c r="BU19" s="456" t="str">
        <f ca="1">IF(BT16="","",SUM(BU17:BU17)/(BU18/12))</f>
        <v/>
      </c>
      <c r="BV19" s="455"/>
      <c r="BW19" s="456" t="str">
        <f ca="1">IF(BV16="","",SUM(BW17:BW17)/(BW18/12))</f>
        <v/>
      </c>
      <c r="BX19" s="455"/>
      <c r="BY19" s="456" t="str">
        <f ca="1">IF(BX16="","",SUM(BY17:BY17)/(BY18/12))</f>
        <v/>
      </c>
      <c r="BZ19" s="455"/>
      <c r="CA19" s="456" t="str">
        <f ca="1">IF(BZ16="","",SUM(CA17:CA17)/(CA18/12))</f>
        <v/>
      </c>
      <c r="CB19" s="455"/>
      <c r="CC19" s="456" t="str">
        <f ca="1">IF(CB16="","",SUM(CC17:CC17)/(CC18/12))</f>
        <v/>
      </c>
      <c r="CD19" s="455"/>
      <c r="CE19" s="456" t="str">
        <f ca="1">IF(CD16="","",SUM(CE17:CE17)/(CE18/12))</f>
        <v/>
      </c>
      <c r="CF19" s="320"/>
      <c r="CG19" s="289"/>
      <c r="CH19" s="289"/>
      <c r="CI19" s="289"/>
      <c r="CJ19" s="289"/>
      <c r="CK19" s="289"/>
      <c r="CL19" s="289"/>
      <c r="CM19" s="289"/>
      <c r="CN19" s="289"/>
      <c r="CO19" s="289"/>
      <c r="CP19" s="289"/>
      <c r="CQ19" s="289"/>
      <c r="CR19" s="289"/>
      <c r="CS19" s="289"/>
      <c r="CT19" s="289"/>
      <c r="CU19" s="289"/>
      <c r="CV19" s="289"/>
      <c r="CW19" s="289"/>
      <c r="CX19" s="289"/>
      <c r="CY19" s="289"/>
      <c r="CZ19" s="289"/>
    </row>
    <row r="20" spans="1:104" x14ac:dyDescent="0.45">
      <c r="A20" s="289"/>
      <c r="B20" s="432" t="s">
        <v>6</v>
      </c>
      <c r="C20" s="457">
        <f>IFERROR(
  'Hulp (overig)'!$C$14,
  ""
)</f>
        <v>8.3299999999999999E-2</v>
      </c>
      <c r="D20" s="442"/>
      <c r="E20" s="458" t="str">
        <f ca="1">IF(D16="","",IF(E19="", "", MAX(E19*$C$20, 'Hulp (overig)'!$C$24)))</f>
        <v/>
      </c>
      <c r="F20" s="442"/>
      <c r="G20" s="458" t="str">
        <f ca="1">IF(F16="","",IF(G19="", "", MAX(G19*$C$20, 'Hulp (overig)'!$C$24)))</f>
        <v/>
      </c>
      <c r="H20" s="442"/>
      <c r="I20" s="458" t="str">
        <f ca="1">IF(H16="","",IF(I19="", "", MAX(I19*$C$20, 'Hulp (overig)'!$C$24)))</f>
        <v/>
      </c>
      <c r="J20" s="442"/>
      <c r="K20" s="458" t="str">
        <f ca="1">IF(J16="","",IF(K19="", "", MAX(K19*$C$20, 'Hulp (overig)'!$C$24)))</f>
        <v/>
      </c>
      <c r="L20" s="442"/>
      <c r="M20" s="458" t="str">
        <f ca="1">IF(L16="","",IF(M19="", "", MAX(M19*$C$20, 'Hulp (overig)'!$C$24)))</f>
        <v/>
      </c>
      <c r="N20" s="442"/>
      <c r="O20" s="458" t="str">
        <f ca="1">IF(N16="","",IF(O19="", "", MAX(O19*$C$20, 'Hulp (overig)'!$C$24)))</f>
        <v/>
      </c>
      <c r="P20" s="442"/>
      <c r="Q20" s="458" t="str">
        <f ca="1">IF(P16="","",IF(Q19="", "", MAX(Q19*$C$20, 'Hulp (overig)'!$C$24)))</f>
        <v/>
      </c>
      <c r="R20" s="442"/>
      <c r="S20" s="458" t="str">
        <f ca="1">IF(R16="","",IF(S19="", "", MAX(S19*$C$20, 'Hulp (overig)'!$C$24)))</f>
        <v/>
      </c>
      <c r="T20" s="442"/>
      <c r="U20" s="458" t="str">
        <f ca="1">IF(T16="","",IF(U19="", "", MAX(U19*$C$20, 'Hulp (overig)'!$C$24)))</f>
        <v/>
      </c>
      <c r="V20" s="442"/>
      <c r="W20" s="458" t="str">
        <f ca="1">IF(V16="","",IF(W19="", "", MAX(W19*$C$20, 'Hulp (overig)'!$C$24)))</f>
        <v/>
      </c>
      <c r="X20" s="442"/>
      <c r="Y20" s="458" t="str">
        <f ca="1">IF(X16="","",IF(Y19="", "", MAX(Y19*$C$20, 'Hulp (overig)'!$C$24)))</f>
        <v/>
      </c>
      <c r="Z20" s="442"/>
      <c r="AA20" s="458" t="str">
        <f ca="1">IF(Z16="","",IF(AA19="", "", MAX(AA19*$C$20, 'Hulp (overig)'!$C$24)))</f>
        <v/>
      </c>
      <c r="AB20" s="442"/>
      <c r="AC20" s="458" t="str">
        <f ca="1">IF(AB16="","",IF(AC19="", "", MAX(AC19*$C$20, 'Hulp (overig)'!$C$24)))</f>
        <v/>
      </c>
      <c r="AD20" s="442"/>
      <c r="AE20" s="458" t="str">
        <f ca="1">IF(AD16="","",IF(AE19="", "", MAX(AE19*$C$20, 'Hulp (overig)'!$C$24)))</f>
        <v/>
      </c>
      <c r="AF20" s="442"/>
      <c r="AG20" s="458" t="str">
        <f ca="1">IF(AF16="","",IF(AG19="", "", MAX(AG19*$C$20, 'Hulp (overig)'!$C$24)))</f>
        <v/>
      </c>
      <c r="AH20" s="442"/>
      <c r="AI20" s="458" t="str">
        <f ca="1">IF(AH16="","",IF(AI19="", "", MAX(AI19*$C$20, 'Hulp (overig)'!$C$24)))</f>
        <v/>
      </c>
      <c r="AJ20" s="442"/>
      <c r="AK20" s="458" t="str">
        <f ca="1">IF(AJ16="","",IF(AK19="", "", MAX(AK19*$C$20, 'Hulp (overig)'!$C$24)))</f>
        <v/>
      </c>
      <c r="AL20" s="442"/>
      <c r="AM20" s="458" t="str">
        <f ca="1">IF(AL16="","",IF(AM19="", "", MAX(AM19*$C$20, 'Hulp (overig)'!$C$24)))</f>
        <v/>
      </c>
      <c r="AN20" s="442"/>
      <c r="AO20" s="458" t="str">
        <f ca="1">IF(AN16="","",IF(AO19="", "", MAX(AO19*$C$20, 'Hulp (overig)'!$C$24)))</f>
        <v/>
      </c>
      <c r="AP20" s="442"/>
      <c r="AQ20" s="458" t="str">
        <f ca="1">IF(AP16="","",IF(AQ19="", "", MAX(AQ19*$C$20, 'Hulp (overig)'!$C$24)))</f>
        <v/>
      </c>
      <c r="AR20" s="442"/>
      <c r="AS20" s="458" t="str">
        <f ca="1">IF(AR16="","",IF(AS19="", "", MAX(AS19*$C$20, 'Hulp (overig)'!$C$24)))</f>
        <v/>
      </c>
      <c r="AT20" s="442"/>
      <c r="AU20" s="458" t="str">
        <f ca="1">IF(AT16="","",IF(AU19="", "", MAX(AU19*$C$20, 'Hulp (overig)'!$C$24)))</f>
        <v/>
      </c>
      <c r="AV20" s="442"/>
      <c r="AW20" s="458" t="str">
        <f ca="1">IF(AV16="","",IF(AW19="", "", MAX(AW19*$C$20, 'Hulp (overig)'!$C$24)))</f>
        <v/>
      </c>
      <c r="AX20" s="442"/>
      <c r="AY20" s="458" t="str">
        <f ca="1">IF(AX16="","",IF(AY19="", "", MAX(AY19*$C$20, 'Hulp (overig)'!$C$24)))</f>
        <v/>
      </c>
      <c r="AZ20" s="442"/>
      <c r="BA20" s="458" t="str">
        <f ca="1">IF(AZ16="","",IF(BA19="", "", MAX(BA19*$C$20, 'Hulp (overig)'!$C$24)))</f>
        <v/>
      </c>
      <c r="BB20" s="442"/>
      <c r="BC20" s="458" t="str">
        <f ca="1">IF(BB16="","",IF(BC19="", "", MAX(BC19*$C$20, 'Hulp (overig)'!$C$24)))</f>
        <v/>
      </c>
      <c r="BD20" s="442"/>
      <c r="BE20" s="458" t="str">
        <f ca="1">IF(BD16="","",IF(BE19="", "", MAX(BE19*$C$20, 'Hulp (overig)'!$C$24)))</f>
        <v/>
      </c>
      <c r="BF20" s="442"/>
      <c r="BG20" s="458" t="str">
        <f ca="1">IF(BF16="","",IF(BG19="", "", MAX(BG19*$C$20, 'Hulp (overig)'!$C$24)))</f>
        <v/>
      </c>
      <c r="BH20" s="442"/>
      <c r="BI20" s="458" t="str">
        <f ca="1">IF(BH16="","",IF(BI19="", "", MAX(BI19*$C$20, 'Hulp (overig)'!$C$24)))</f>
        <v/>
      </c>
      <c r="BJ20" s="442"/>
      <c r="BK20" s="458" t="str">
        <f ca="1">IF(BJ16="","",IF(BK19="", "", MAX(BK19*$C$20, 'Hulp (overig)'!$C$24)))</f>
        <v/>
      </c>
      <c r="BL20" s="442"/>
      <c r="BM20" s="458" t="str">
        <f ca="1">IF(BL16="","",IF(BM19="", "", MAX(BM19*$C$20, 'Hulp (overig)'!$C$24)))</f>
        <v/>
      </c>
      <c r="BN20" s="442"/>
      <c r="BO20" s="458" t="str">
        <f ca="1">IF(BN16="","",IF(BO19="", "", MAX(BO19*$C$20, 'Hulp (overig)'!$C$24)))</f>
        <v/>
      </c>
      <c r="BP20" s="442"/>
      <c r="BQ20" s="458" t="str">
        <f ca="1">IF(BP16="","",IF(BQ19="", "", MAX(BQ19*$C$20, 'Hulp (overig)'!$C$24)))</f>
        <v/>
      </c>
      <c r="BR20" s="442"/>
      <c r="BS20" s="458" t="str">
        <f ca="1">IF(BR16="","",IF(BS19="", "", MAX(BS19*$C$20, 'Hulp (overig)'!$C$24)))</f>
        <v/>
      </c>
      <c r="BT20" s="442"/>
      <c r="BU20" s="458" t="str">
        <f ca="1">IF(BT16="","",IF(BU19="", "", MAX(BU19*$C$20, 'Hulp (overig)'!$C$24)))</f>
        <v/>
      </c>
      <c r="BV20" s="442"/>
      <c r="BW20" s="458" t="str">
        <f ca="1">IF(BV16="","",IF(BW19="", "", MAX(BW19*$C$20, 'Hulp (overig)'!$C$24)))</f>
        <v/>
      </c>
      <c r="BX20" s="442"/>
      <c r="BY20" s="458" t="str">
        <f ca="1">IF(BX16="","",IF(BY19="", "", MAX(BY19*$C$20, 'Hulp (overig)'!$C$24)))</f>
        <v/>
      </c>
      <c r="BZ20" s="442"/>
      <c r="CA20" s="458" t="str">
        <f ca="1">IF(BZ16="","",IF(CA19="", "", MAX(CA19*$C$20, 'Hulp (overig)'!$C$24)))</f>
        <v/>
      </c>
      <c r="CB20" s="442"/>
      <c r="CC20" s="458" t="str">
        <f ca="1">IF(CB16="","",IF(CC19="", "", MAX(CC19*$C$20, 'Hulp (overig)'!$C$24)))</f>
        <v/>
      </c>
      <c r="CD20" s="442"/>
      <c r="CE20" s="458" t="str">
        <f ca="1">IF(CD16="","",IF(CE19="", "", MAX(CE19*$C$20, 'Hulp (overig)'!$C$24)))</f>
        <v/>
      </c>
      <c r="CF20" s="320"/>
      <c r="CG20" s="289"/>
      <c r="CH20" s="289"/>
      <c r="CI20" s="289"/>
      <c r="CJ20" s="289"/>
      <c r="CK20" s="289"/>
      <c r="CL20" s="289"/>
      <c r="CM20" s="289"/>
      <c r="CN20" s="289"/>
      <c r="CO20" s="289"/>
      <c r="CP20" s="289"/>
      <c r="CQ20" s="289"/>
      <c r="CR20" s="289"/>
      <c r="CS20" s="289"/>
      <c r="CT20" s="289"/>
      <c r="CU20" s="289"/>
      <c r="CV20" s="289"/>
      <c r="CW20" s="289"/>
      <c r="CX20" s="289"/>
      <c r="CY20" s="289"/>
      <c r="CZ20" s="289"/>
    </row>
    <row r="21" spans="1:104" x14ac:dyDescent="0.45">
      <c r="A21" s="289"/>
      <c r="B21" s="432" t="s">
        <v>7</v>
      </c>
      <c r="C21" s="457">
        <f>IFERROR(
  'Hulp (overig)'!$C$13,
  ""
)</f>
        <v>8.3299999999999999E-2</v>
      </c>
      <c r="D21" s="442"/>
      <c r="E21" s="458" t="str">
        <f ca="1">IF(D16="","",IF(E19="", "", MAX(E19*$C$21, 'Hulp (overig)'!$C$25)))</f>
        <v/>
      </c>
      <c r="F21" s="442"/>
      <c r="G21" s="458" t="str">
        <f ca="1">IF(F16="","",IF(G19="", "", MAX(G19*$C$21, 'Hulp (overig)'!$C$25)))</f>
        <v/>
      </c>
      <c r="H21" s="442"/>
      <c r="I21" s="458" t="str">
        <f ca="1">IF(H16="","",IF(I19="", "", MAX(I19*$C$21, 'Hulp (overig)'!$C$25)))</f>
        <v/>
      </c>
      <c r="J21" s="442"/>
      <c r="K21" s="458" t="str">
        <f ca="1">IF(J16="","",IF(K19="", "", MAX(K19*$C$21, 'Hulp (overig)'!$C$25)))</f>
        <v/>
      </c>
      <c r="L21" s="442"/>
      <c r="M21" s="458" t="str">
        <f ca="1">IF(L16="","",IF(M19="", "", MAX(M19*$C$21, 'Hulp (overig)'!$C$25)))</f>
        <v/>
      </c>
      <c r="N21" s="442"/>
      <c r="O21" s="458" t="str">
        <f ca="1">IF(N16="","",IF(O19="", "", MAX(O19*$C$21, 'Hulp (overig)'!$C$25)))</f>
        <v/>
      </c>
      <c r="P21" s="442"/>
      <c r="Q21" s="458" t="str">
        <f ca="1">IF(P16="","",IF(Q19="", "", MAX(Q19*$C$21, 'Hulp (overig)'!$C$25)))</f>
        <v/>
      </c>
      <c r="R21" s="442"/>
      <c r="S21" s="458" t="str">
        <f ca="1">IF(R16="","",IF(S19="", "", MAX(S19*$C$21, 'Hulp (overig)'!$C$25)))</f>
        <v/>
      </c>
      <c r="T21" s="442"/>
      <c r="U21" s="458" t="str">
        <f ca="1">IF(T16="","",IF(U19="", "", MAX(U19*$C$21, 'Hulp (overig)'!$C$25)))</f>
        <v/>
      </c>
      <c r="V21" s="442"/>
      <c r="W21" s="458" t="str">
        <f ca="1">IF(V16="","",IF(W19="", "", MAX(W19*$C$21, 'Hulp (overig)'!$C$25)))</f>
        <v/>
      </c>
      <c r="X21" s="442"/>
      <c r="Y21" s="458" t="str">
        <f ca="1">IF(X16="","",IF(Y19="", "", MAX(Y19*$C$21, 'Hulp (overig)'!$C$25)))</f>
        <v/>
      </c>
      <c r="Z21" s="442"/>
      <c r="AA21" s="458" t="str">
        <f ca="1">IF(Z16="","",IF(AA19="", "", MAX(AA19*$C$21, 'Hulp (overig)'!$C$25)))</f>
        <v/>
      </c>
      <c r="AB21" s="442"/>
      <c r="AC21" s="458" t="str">
        <f ca="1">IF(AB16="","",IF(AC19="", "", MAX(AC19*$C$21, 'Hulp (overig)'!$C$25)))</f>
        <v/>
      </c>
      <c r="AD21" s="442"/>
      <c r="AE21" s="458" t="str">
        <f ca="1">IF(AD16="","",IF(AE19="", "", MAX(AE19*$C$21, 'Hulp (overig)'!$C$25)))</f>
        <v/>
      </c>
      <c r="AF21" s="442"/>
      <c r="AG21" s="458" t="str">
        <f ca="1">IF(AF16="","",IF(AG19="", "", MAX(AG19*$C$21, 'Hulp (overig)'!$C$25)))</f>
        <v/>
      </c>
      <c r="AH21" s="442"/>
      <c r="AI21" s="458" t="str">
        <f ca="1">IF(AH16="","",IF(AI19="", "", MAX(AI19*$C$21, 'Hulp (overig)'!$C$25)))</f>
        <v/>
      </c>
      <c r="AJ21" s="442"/>
      <c r="AK21" s="458" t="str">
        <f ca="1">IF(AJ16="","",IF(AK19="", "", MAX(AK19*$C$21, 'Hulp (overig)'!$C$25)))</f>
        <v/>
      </c>
      <c r="AL21" s="442"/>
      <c r="AM21" s="458" t="str">
        <f ca="1">IF(AL16="","",IF(AM19="", "", MAX(AM19*$C$21, 'Hulp (overig)'!$C$25)))</f>
        <v/>
      </c>
      <c r="AN21" s="442"/>
      <c r="AO21" s="458" t="str">
        <f ca="1">IF(AN16="","",IF(AO19="", "", MAX(AO19*$C$21, 'Hulp (overig)'!$C$25)))</f>
        <v/>
      </c>
      <c r="AP21" s="442"/>
      <c r="AQ21" s="458" t="str">
        <f ca="1">IF(AP16="","",IF(AQ19="", "", MAX(AQ19*$C$21, 'Hulp (overig)'!$C$25)))</f>
        <v/>
      </c>
      <c r="AR21" s="442"/>
      <c r="AS21" s="458" t="str">
        <f ca="1">IF(AR16="","",IF(AS19="", "", MAX(AS19*$C$21, 'Hulp (overig)'!$C$25)))</f>
        <v/>
      </c>
      <c r="AT21" s="442"/>
      <c r="AU21" s="458" t="str">
        <f ca="1">IF(AT16="","",IF(AU19="", "", MAX(AU19*$C$21, 'Hulp (overig)'!$C$25)))</f>
        <v/>
      </c>
      <c r="AV21" s="442"/>
      <c r="AW21" s="458" t="str">
        <f ca="1">IF(AV16="","",IF(AW19="", "", MAX(AW19*$C$21, 'Hulp (overig)'!$C$25)))</f>
        <v/>
      </c>
      <c r="AX21" s="442"/>
      <c r="AY21" s="458" t="str">
        <f ca="1">IF(AX16="","",IF(AY19="", "", MAX(AY19*$C$21, 'Hulp (overig)'!$C$25)))</f>
        <v/>
      </c>
      <c r="AZ21" s="442"/>
      <c r="BA21" s="458" t="str">
        <f ca="1">IF(AZ16="","",IF(BA19="", "", MAX(BA19*$C$21, 'Hulp (overig)'!$C$25)))</f>
        <v/>
      </c>
      <c r="BB21" s="442"/>
      <c r="BC21" s="458" t="str">
        <f ca="1">IF(BB16="","",IF(BC19="", "", MAX(BC19*$C$21, 'Hulp (overig)'!$C$25)))</f>
        <v/>
      </c>
      <c r="BD21" s="442"/>
      <c r="BE21" s="458" t="str">
        <f ca="1">IF(BD16="","",IF(BE19="", "", MAX(BE19*$C$21, 'Hulp (overig)'!$C$25)))</f>
        <v/>
      </c>
      <c r="BF21" s="442"/>
      <c r="BG21" s="458" t="str">
        <f ca="1">IF(BF16="","",IF(BG19="", "", MAX(BG19*$C$21, 'Hulp (overig)'!$C$25)))</f>
        <v/>
      </c>
      <c r="BH21" s="442"/>
      <c r="BI21" s="458" t="str">
        <f ca="1">IF(BH16="","",IF(BI19="", "", MAX(BI19*$C$21, 'Hulp (overig)'!$C$25)))</f>
        <v/>
      </c>
      <c r="BJ21" s="442"/>
      <c r="BK21" s="458" t="str">
        <f ca="1">IF(BJ16="","",IF(BK19="", "", MAX(BK19*$C$21, 'Hulp (overig)'!$C$25)))</f>
        <v/>
      </c>
      <c r="BL21" s="442"/>
      <c r="BM21" s="458" t="str">
        <f ca="1">IF(BL16="","",IF(BM19="", "", MAX(BM19*$C$21, 'Hulp (overig)'!$C$25)))</f>
        <v/>
      </c>
      <c r="BN21" s="442"/>
      <c r="BO21" s="458" t="str">
        <f ca="1">IF(BN16="","",IF(BO19="", "", MAX(BO19*$C$21, 'Hulp (overig)'!$C$25)))</f>
        <v/>
      </c>
      <c r="BP21" s="442"/>
      <c r="BQ21" s="458" t="str">
        <f ca="1">IF(BP16="","",IF(BQ19="", "", MAX(BQ19*$C$21, 'Hulp (overig)'!$C$25)))</f>
        <v/>
      </c>
      <c r="BR21" s="442"/>
      <c r="BS21" s="458" t="str">
        <f ca="1">IF(BR16="","",IF(BS19="", "", MAX(BS19*$C$21, 'Hulp (overig)'!$C$25)))</f>
        <v/>
      </c>
      <c r="BT21" s="442"/>
      <c r="BU21" s="458" t="str">
        <f ca="1">IF(BT16="","",IF(BU19="", "", MAX(BU19*$C$21, 'Hulp (overig)'!$C$25)))</f>
        <v/>
      </c>
      <c r="BV21" s="442"/>
      <c r="BW21" s="458" t="str">
        <f ca="1">IF(BV16="","",IF(BW19="", "", MAX(BW19*$C$21, 'Hulp (overig)'!$C$25)))</f>
        <v/>
      </c>
      <c r="BX21" s="442"/>
      <c r="BY21" s="458" t="str">
        <f ca="1">IF(BX16="","",IF(BY19="", "", MAX(BY19*$C$21, 'Hulp (overig)'!$C$25)))</f>
        <v/>
      </c>
      <c r="BZ21" s="442"/>
      <c r="CA21" s="458" t="str">
        <f ca="1">IF(BZ16="","",IF(CA19="", "", MAX(CA19*$C$21, 'Hulp (overig)'!$C$25)))</f>
        <v/>
      </c>
      <c r="CB21" s="442"/>
      <c r="CC21" s="458" t="str">
        <f ca="1">IF(CB16="","",IF(CC19="", "", MAX(CC19*$C$21, 'Hulp (overig)'!$C$25)))</f>
        <v/>
      </c>
      <c r="CD21" s="442"/>
      <c r="CE21" s="458" t="str">
        <f ca="1">IF(CD16="","",IF(CE19="", "", MAX(CE19*$C$21, 'Hulp (overig)'!$C$25)))</f>
        <v/>
      </c>
      <c r="CF21" s="320"/>
      <c r="CG21" s="289"/>
      <c r="CH21" s="289"/>
      <c r="CI21" s="289"/>
      <c r="CJ21" s="289"/>
      <c r="CK21" s="289"/>
      <c r="CL21" s="289"/>
      <c r="CM21" s="289"/>
      <c r="CN21" s="289"/>
      <c r="CO21" s="289"/>
      <c r="CP21" s="289"/>
      <c r="CQ21" s="289"/>
      <c r="CR21" s="289"/>
      <c r="CS21" s="289"/>
      <c r="CT21" s="289"/>
      <c r="CU21" s="289"/>
      <c r="CV21" s="289"/>
      <c r="CW21" s="289"/>
      <c r="CX21" s="289"/>
      <c r="CY21" s="289"/>
      <c r="CZ21" s="289"/>
    </row>
    <row r="22" spans="1:104" x14ac:dyDescent="0.45">
      <c r="A22" s="289"/>
      <c r="B22" s="432" t="s">
        <v>34</v>
      </c>
      <c r="C22" s="442"/>
      <c r="D22" s="457" t="str">
        <f ca="1">IF(D16="","",IFERROR(
  IF(
    INDEX('1b. Input productniveau'!$H:$H, 5 + (COLUMN(A13)-1)*3.5) = "",
    "",
    INDEX('1b. Input productniveau'!$H:$H, 5 + (COLUMN(A13)-1)*3.5)
  ),
""))</f>
        <v/>
      </c>
      <c r="E22" s="458" t="str">
        <f ca="1">IF(D16="","",IF(D22="", "", D22*E19))</f>
        <v/>
      </c>
      <c r="F22" s="457" t="str">
        <f ca="1">IF(F16="","",IFERROR(
  IF(
    INDEX('1b. Input productniveau'!$H:$H, 5 + (COLUMN(C13)-1)*3.5) = "",
    "",
    INDEX('1b. Input productniveau'!$H:$H, 5 + (COLUMN(C13)-1)*3.5)
  ),
""))</f>
        <v/>
      </c>
      <c r="G22" s="458" t="str">
        <f ca="1">IF(F16="","",IF(F22="", "", F22*G19))</f>
        <v/>
      </c>
      <c r="H22" s="457" t="str">
        <f ca="1">IF(H16="","",IFERROR(
  IF(
    INDEX('1b. Input productniveau'!$H:$H, 5 + (COLUMN(E13)-1)*3.5) = "",
    "",
    INDEX('1b. Input productniveau'!$H:$H, 5 + (COLUMN(E13)-1)*3.5)
  ),
""))</f>
        <v/>
      </c>
      <c r="I22" s="458" t="str">
        <f ca="1">IF(H16="","",IF(H22="", "", H22*I19))</f>
        <v/>
      </c>
      <c r="J22" s="457" t="str">
        <f ca="1">IF(J16="","",IFERROR(
  IF(
    INDEX('1b. Input productniveau'!$H:$H, 5 + (COLUMN(G13)-1)*3.5) = "",
    "",
    INDEX('1b. Input productniveau'!$H:$H, 5 + (COLUMN(G13)-1)*3.5)
  ),
""))</f>
        <v/>
      </c>
      <c r="K22" s="458" t="str">
        <f ca="1">IF(J16="","",IF(J22="", "", J22*K19))</f>
        <v/>
      </c>
      <c r="L22" s="457" t="str">
        <f ca="1">IF(L16="","",IFERROR(
  IF(
    INDEX('1b. Input productniveau'!$H:$H, 5 + (COLUMN(I13)-1)*3.5) = "",
    "",
    INDEX('1b. Input productniveau'!$H:$H, 5 + (COLUMN(I13)-1)*3.5)
  ),
""))</f>
        <v/>
      </c>
      <c r="M22" s="458" t="str">
        <f ca="1">IF(L16="","",IF(L22="", "", L22*M19))</f>
        <v/>
      </c>
      <c r="N22" s="457" t="str">
        <f ca="1">IF(N16="","",IFERROR(
  IF(
    INDEX('1b. Input productniveau'!$H:$H, 5 + (COLUMN(K13)-1)*3.5) = "",
    "",
    INDEX('1b. Input productniveau'!$H:$H, 5 + (COLUMN(K13)-1)*3.5)
  ),
""))</f>
        <v/>
      </c>
      <c r="O22" s="458" t="str">
        <f ca="1">IF(N16="","",IF(N22="", "", N22*O19))</f>
        <v/>
      </c>
      <c r="P22" s="457" t="str">
        <f ca="1">IF(P16="","",IFERROR(
  IF(
    INDEX('1b. Input productniveau'!$H:$H, 5 + (COLUMN(M13)-1)*3.5) = "",
    "",
    INDEX('1b. Input productniveau'!$H:$H, 5 + (COLUMN(M13)-1)*3.5)
  ),
""))</f>
        <v/>
      </c>
      <c r="Q22" s="458" t="str">
        <f ca="1">IF(P16="","",IF(P22="", "", P22*Q19))</f>
        <v/>
      </c>
      <c r="R22" s="457" t="str">
        <f ca="1">IF(R16="","",IFERROR(
  IF(
    INDEX('1b. Input productniveau'!$H:$H, 5 + (COLUMN(O13)-1)*3.5) = "",
    "",
    INDEX('1b. Input productniveau'!$H:$H, 5 + (COLUMN(O13)-1)*3.5)
  ),
""))</f>
        <v/>
      </c>
      <c r="S22" s="458" t="str">
        <f ca="1">IF(R16="","",IF(R22="", "", R22*S19))</f>
        <v/>
      </c>
      <c r="T22" s="457" t="str">
        <f ca="1">IF(T16="","",IFERROR(
  IF(
    INDEX('1b. Input productniveau'!$H:$H, 5 + (COLUMN(Q13)-1)*3.5) = "",
    "",
    INDEX('1b. Input productniveau'!$H:$H, 5 + (COLUMN(Q13)-1)*3.5)
  ),
""))</f>
        <v/>
      </c>
      <c r="U22" s="458" t="str">
        <f ca="1">IF(T16="","",IF(T22="", "", T22*U19))</f>
        <v/>
      </c>
      <c r="V22" s="457" t="str">
        <f ca="1">IF(V16="","",IFERROR(
  IF(
    INDEX('1b. Input productniveau'!$H:$H, 5 + (COLUMN(S13)-1)*3.5) = "",
    "",
    INDEX('1b. Input productniveau'!$H:$H, 5 + (COLUMN(S13)-1)*3.5)
  ),
""))</f>
        <v/>
      </c>
      <c r="W22" s="458" t="str">
        <f ca="1">IF(V16="","",IF(V22="", "", V22*W19))</f>
        <v/>
      </c>
      <c r="X22" s="457" t="str">
        <f ca="1">IF(X16="","",IFERROR(
  IF(
    INDEX('1b. Input productniveau'!$H:$H, 5 + (COLUMN(U13)-1)*3.5) = "",
    "",
    INDEX('1b. Input productniveau'!$H:$H, 5 + (COLUMN(U13)-1)*3.5)
  ),
""))</f>
        <v/>
      </c>
      <c r="Y22" s="458" t="str">
        <f ca="1">IF(X16="","",IF(X22="", "", X22*Y19))</f>
        <v/>
      </c>
      <c r="Z22" s="457" t="str">
        <f ca="1">IF(Z16="","",IFERROR(
  IF(
    INDEX('1b. Input productniveau'!$H:$H, 5 + (COLUMN(W13)-1)*3.5) = "",
    "",
    INDEX('1b. Input productniveau'!$H:$H, 5 + (COLUMN(W13)-1)*3.5)
  ),
""))</f>
        <v/>
      </c>
      <c r="AA22" s="458" t="str">
        <f ca="1">IF(Z16="","",IF(Z22="", "", Z22*AA19))</f>
        <v/>
      </c>
      <c r="AB22" s="457" t="str">
        <f ca="1">IF(AB16="","",IFERROR(
  IF(
    INDEX('1b. Input productniveau'!$H:$H, 5 + (COLUMN(Y13)-1)*3.5) = "",
    "",
    INDEX('1b. Input productniveau'!$H:$H, 5 + (COLUMN(Y13)-1)*3.5)
  ),
""))</f>
        <v/>
      </c>
      <c r="AC22" s="458" t="str">
        <f ca="1">IF(AB16="","",IF(AB22="", "", AB22*AC19))</f>
        <v/>
      </c>
      <c r="AD22" s="457" t="str">
        <f ca="1">IF(AD16="","",IFERROR(
  IF(
    INDEX('1b. Input productniveau'!$H:$H, 5 + (COLUMN(AA13)-1)*3.5) = "",
    "",
    INDEX('1b. Input productniveau'!$H:$H, 5 + (COLUMN(AA13)-1)*3.5)
  ),
""))</f>
        <v/>
      </c>
      <c r="AE22" s="458" t="str">
        <f ca="1">IF(AD16="","",IF(AD22="", "", AD22*AE19))</f>
        <v/>
      </c>
      <c r="AF22" s="457" t="str">
        <f ca="1">IF(AF16="","",IFERROR(
  IF(
    INDEX('1b. Input productniveau'!$H:$H, 5 + (COLUMN(AC13)-1)*3.5) = "",
    "",
    INDEX('1b. Input productniveau'!$H:$H, 5 + (COLUMN(AC13)-1)*3.5)
  ),
""))</f>
        <v/>
      </c>
      <c r="AG22" s="458" t="str">
        <f ca="1">IF(AF16="","",IF(AF22="", "", AF22*AG19))</f>
        <v/>
      </c>
      <c r="AH22" s="457" t="str">
        <f ca="1">IF(AH16="","",IFERROR(
  IF(
    INDEX('1b. Input productniveau'!$H:$H, 5 + (COLUMN(AE13)-1)*3.5) = "",
    "",
    INDEX('1b. Input productniveau'!$H:$H, 5 + (COLUMN(AE13)-1)*3.5)
  ),
""))</f>
        <v/>
      </c>
      <c r="AI22" s="458" t="str">
        <f ca="1">IF(AH16="","",IF(AH22="", "", AH22*AI19))</f>
        <v/>
      </c>
      <c r="AJ22" s="457" t="str">
        <f ca="1">IF(AJ16="","",IFERROR(
  IF(
    INDEX('1b. Input productniveau'!$H:$H, 5 + (COLUMN(AG13)-1)*3.5) = "",
    "",
    INDEX('1b. Input productniveau'!$H:$H, 5 + (COLUMN(AG13)-1)*3.5)
  ),
""))</f>
        <v/>
      </c>
      <c r="AK22" s="458" t="str">
        <f ca="1">IF(AJ16="","",IF(AJ22="", "", AJ22*AK19))</f>
        <v/>
      </c>
      <c r="AL22" s="457" t="str">
        <f ca="1">IF(AL16="","",IFERROR(
  IF(
    INDEX('1b. Input productniveau'!$H:$H, 5 + (COLUMN(AI13)-1)*3.5) = "",
    "",
    INDEX('1b. Input productniveau'!$H:$H, 5 + (COLUMN(AI13)-1)*3.5)
  ),
""))</f>
        <v/>
      </c>
      <c r="AM22" s="458" t="str">
        <f ca="1">IF(AL16="","",IF(AL22="", "", AL22*AM19))</f>
        <v/>
      </c>
      <c r="AN22" s="457" t="str">
        <f ca="1">IF(AN16="","",IFERROR(
  IF(
    INDEX('1b. Input productniveau'!$H:$H, 5 + (COLUMN(AK13)-1)*3.5) = "",
    "",
    INDEX('1b. Input productniveau'!$H:$H, 5 + (COLUMN(AK13)-1)*3.5)
  ),
""))</f>
        <v/>
      </c>
      <c r="AO22" s="458" t="str">
        <f ca="1">IF(AN16="","",IF(AN22="", "", AN22*AO19))</f>
        <v/>
      </c>
      <c r="AP22" s="457" t="str">
        <f ca="1">IF(AP16="","",IFERROR(
  IF(
    INDEX('1b. Input productniveau'!$H:$H, 5 + (COLUMN(AM13)-1)*3.5) = "",
    "",
    INDEX('1b. Input productniveau'!$H:$H, 5 + (COLUMN(AM13)-1)*3.5)
  ),
""))</f>
        <v/>
      </c>
      <c r="AQ22" s="458" t="str">
        <f ca="1">IF(AP16="","",IF(AP22="", "", AP22*AQ19))</f>
        <v/>
      </c>
      <c r="AR22" s="457" t="str">
        <f ca="1">IF(AR16="","",IFERROR(
  IF(
    INDEX('1b. Input productniveau'!$H:$H, 5 + (COLUMN(AO13)-1)*3.5) = "",
    "",
    INDEX('1b. Input productniveau'!$H:$H, 5 + (COLUMN(AO13)-1)*3.5)
  ),
""))</f>
        <v/>
      </c>
      <c r="AS22" s="458" t="str">
        <f ca="1">IF(AR16="","",IF(AR22="", "", AR22*AS19))</f>
        <v/>
      </c>
      <c r="AT22" s="457" t="str">
        <f ca="1">IF(AT16="","",IFERROR(
  IF(
    INDEX('1b. Input productniveau'!$H:$H, 5 + (COLUMN(AQ13)-1)*3.5) = "",
    "",
    INDEX('1b. Input productniveau'!$H:$H, 5 + (COLUMN(AQ13)-1)*3.5)
  ),
""))</f>
        <v/>
      </c>
      <c r="AU22" s="458" t="str">
        <f ca="1">IF(AT16="","",IF(AT22="", "", AT22*AU19))</f>
        <v/>
      </c>
      <c r="AV22" s="457" t="str">
        <f ca="1">IF(AV16="","",IFERROR(
  IF(
    INDEX('1b. Input productniveau'!$H:$H, 5 + (COLUMN(AS13)-1)*3.5) = "",
    "",
    INDEX('1b. Input productniveau'!$H:$H, 5 + (COLUMN(AS13)-1)*3.5)
  ),
""))</f>
        <v/>
      </c>
      <c r="AW22" s="458" t="str">
        <f ca="1">IF(AV16="","",IF(AV22="", "", AV22*AW19))</f>
        <v/>
      </c>
      <c r="AX22" s="457" t="str">
        <f ca="1">IF(AX16="","",IFERROR(
  IF(
    INDEX('1b. Input productniveau'!$H:$H, 5 + (COLUMN(AU13)-1)*3.5) = "",
    "",
    INDEX('1b. Input productniveau'!$H:$H, 5 + (COLUMN(AU13)-1)*3.5)
  ),
""))</f>
        <v/>
      </c>
      <c r="AY22" s="458" t="str">
        <f ca="1">IF(AX16="","",IF(AX22="", "", AX22*AY19))</f>
        <v/>
      </c>
      <c r="AZ22" s="457" t="str">
        <f ca="1">IF(AZ16="","",IFERROR(
  IF(
    INDEX('1b. Input productniveau'!$H:$H, 5 + (COLUMN(AW13)-1)*3.5) = "",
    "",
    INDEX('1b. Input productniveau'!$H:$H, 5 + (COLUMN(AW13)-1)*3.5)
  ),
""))</f>
        <v/>
      </c>
      <c r="BA22" s="458" t="str">
        <f ca="1">IF(AZ16="","",IF(AZ22="", "", AZ22*BA19))</f>
        <v/>
      </c>
      <c r="BB22" s="457" t="str">
        <f ca="1">IF(BB16="","",IFERROR(
  IF(
    INDEX('1b. Input productniveau'!$H:$H, 5 + (COLUMN(AY13)-1)*3.5) = "",
    "",
    INDEX('1b. Input productniveau'!$H:$H, 5 + (COLUMN(AY13)-1)*3.5)
  ),
""))</f>
        <v/>
      </c>
      <c r="BC22" s="458" t="str">
        <f ca="1">IF(BB16="","",IF(BB22="", "", BB22*BC19))</f>
        <v/>
      </c>
      <c r="BD22" s="457" t="str">
        <f ca="1">IF(BD16="","",IFERROR(
  IF(
    INDEX('1b. Input productniveau'!$H:$H, 5 + (COLUMN(BA13)-1)*3.5) = "",
    "",
    INDEX('1b. Input productniveau'!$H:$H, 5 + (COLUMN(BA13)-1)*3.5)
  ),
""))</f>
        <v/>
      </c>
      <c r="BE22" s="458" t="str">
        <f ca="1">IF(BD16="","",IF(BD22="", "", BD22*BE19))</f>
        <v/>
      </c>
      <c r="BF22" s="457" t="str">
        <f ca="1">IF(BF16="","",IFERROR(
  IF(
    INDEX('1b. Input productniveau'!$H:$H, 5 + (COLUMN(BC13)-1)*3.5) = "",
    "",
    INDEX('1b. Input productniveau'!$H:$H, 5 + (COLUMN(BC13)-1)*3.5)
  ),
""))</f>
        <v/>
      </c>
      <c r="BG22" s="458" t="str">
        <f ca="1">IF(BF16="","",IF(BF22="", "", BF22*BG19))</f>
        <v/>
      </c>
      <c r="BH22" s="457" t="str">
        <f ca="1">IF(BH16="","",IFERROR(
  IF(
    INDEX('1b. Input productniveau'!$H:$H, 5 + (COLUMN(BE13)-1)*3.5) = "",
    "",
    INDEX('1b. Input productniveau'!$H:$H, 5 + (COLUMN(BE13)-1)*3.5)
  ),
""))</f>
        <v/>
      </c>
      <c r="BI22" s="458" t="str">
        <f ca="1">IF(BH16="","",IF(BH22="", "", BH22*BI19))</f>
        <v/>
      </c>
      <c r="BJ22" s="457" t="str">
        <f ca="1">IF(BJ16="","",IFERROR(
  IF(
    INDEX('1b. Input productniveau'!$H:$H, 5 + (COLUMN(BG13)-1)*3.5) = "",
    "",
    INDEX('1b. Input productniveau'!$H:$H, 5 + (COLUMN(BG13)-1)*3.5)
  ),
""))</f>
        <v/>
      </c>
      <c r="BK22" s="458" t="str">
        <f ca="1">IF(BJ16="","",IF(BJ22="", "", BJ22*BK19))</f>
        <v/>
      </c>
      <c r="BL22" s="457" t="str">
        <f ca="1">IF(BL16="","",IFERROR(
  IF(
    INDEX('1b. Input productniveau'!$H:$H, 5 + (COLUMN(BI13)-1)*3.5) = "",
    "",
    INDEX('1b. Input productniveau'!$H:$H, 5 + (COLUMN(BI13)-1)*3.5)
  ),
""))</f>
        <v/>
      </c>
      <c r="BM22" s="458" t="str">
        <f ca="1">IF(BL16="","",IF(BL22="", "", BL22*BM19))</f>
        <v/>
      </c>
      <c r="BN22" s="457" t="str">
        <f ca="1">IF(BN16="","",IFERROR(
  IF(
    INDEX('1b. Input productniveau'!$H:$H, 5 + (COLUMN(BK13)-1)*3.5) = "",
    "",
    INDEX('1b. Input productniveau'!$H:$H, 5 + (COLUMN(BK13)-1)*3.5)
  ),
""))</f>
        <v/>
      </c>
      <c r="BO22" s="458" t="str">
        <f ca="1">IF(BN16="","",IF(BN22="", "", BN22*BO19))</f>
        <v/>
      </c>
      <c r="BP22" s="457" t="str">
        <f ca="1">IF(BP16="","",IFERROR(
  IF(
    INDEX('1b. Input productniveau'!$H:$H, 5 + (COLUMN(BM13)-1)*3.5) = "",
    "",
    INDEX('1b. Input productniveau'!$H:$H, 5 + (COLUMN(BM13)-1)*3.5)
  ),
""))</f>
        <v/>
      </c>
      <c r="BQ22" s="458" t="str">
        <f ca="1">IF(BP16="","",IF(BP22="", "", BP22*BQ19))</f>
        <v/>
      </c>
      <c r="BR22" s="457" t="str">
        <f ca="1">IF(BR16="","",IFERROR(
  IF(
    INDEX('1b. Input productniveau'!$H:$H, 5 + (COLUMN(BO13)-1)*3.5) = "",
    "",
    INDEX('1b. Input productniveau'!$H:$H, 5 + (COLUMN(BO13)-1)*3.5)
  ),
""))</f>
        <v/>
      </c>
      <c r="BS22" s="458" t="str">
        <f ca="1">IF(BR16="","",IF(BR22="", "", BR22*BS19))</f>
        <v/>
      </c>
      <c r="BT22" s="457" t="str">
        <f ca="1">IF(BT16="","",IFERROR(
  IF(
    INDEX('1b. Input productniveau'!$H:$H, 5 + (COLUMN(BQ13)-1)*3.5) = "",
    "",
    INDEX('1b. Input productniveau'!$H:$H, 5 + (COLUMN(BQ13)-1)*3.5)
  ),
""))</f>
        <v/>
      </c>
      <c r="BU22" s="458" t="str">
        <f ca="1">IF(BT16="","",IF(BT22="", "", BT22*BU19))</f>
        <v/>
      </c>
      <c r="BV22" s="457" t="str">
        <f ca="1">IF(BV16="","",IFERROR(
  IF(
    INDEX('1b. Input productniveau'!$H:$H, 5 + (COLUMN(BS13)-1)*3.5) = "",
    "",
    INDEX('1b. Input productniveau'!$H:$H, 5 + (COLUMN(BS13)-1)*3.5)
  ),
""))</f>
        <v/>
      </c>
      <c r="BW22" s="458" t="str">
        <f ca="1">IF(BV16="","",IF(BV22="", "", BV22*BW19))</f>
        <v/>
      </c>
      <c r="BX22" s="457" t="str">
        <f ca="1">IF(BX16="","",IFERROR(
  IF(
    INDEX('1b. Input productniveau'!$H:$H, 5 + (COLUMN(BU13)-1)*3.5) = "",
    "",
    INDEX('1b. Input productniveau'!$H:$H, 5 + (COLUMN(BU13)-1)*3.5)
  ),
""))</f>
        <v/>
      </c>
      <c r="BY22" s="458" t="str">
        <f ca="1">IF(BX16="","",IF(BX22="", "", BX22*BY19))</f>
        <v/>
      </c>
      <c r="BZ22" s="457" t="str">
        <f ca="1">IF(BZ16="","",IFERROR(
  IF(
    INDEX('1b. Input productniveau'!$H:$H, 5 + (COLUMN(BW13)-1)*3.5) = "",
    "",
    INDEX('1b. Input productniveau'!$H:$H, 5 + (COLUMN(BW13)-1)*3.5)
  ),
""))</f>
        <v/>
      </c>
      <c r="CA22" s="458" t="str">
        <f ca="1">IF(BZ16="","",IF(BZ22="", "", BZ22*CA19))</f>
        <v/>
      </c>
      <c r="CB22" s="457" t="str">
        <f ca="1">IF(CB16="","",IFERROR(
  IF(
    INDEX('1b. Input productniveau'!$H:$H, 5 + (COLUMN(BY13)-1)*3.5) = "",
    "",
    INDEX('1b. Input productniveau'!$H:$H, 5 + (COLUMN(BY13)-1)*3.5)
  ),
""))</f>
        <v/>
      </c>
      <c r="CC22" s="458" t="str">
        <f ca="1">IF(CB16="","",IF(CB22="", "", CB22*CC19))</f>
        <v/>
      </c>
      <c r="CD22" s="457" t="str">
        <f ca="1">IF(CD16="","",IFERROR(
  IF(
    INDEX('1b. Input productniveau'!$H:$H, 5 + (COLUMN(CA13)-1)*3.5) = "",
    "",
    INDEX('1b. Input productniveau'!$H:$H, 5 + (COLUMN(CA13)-1)*3.5)
  ),
""))</f>
        <v/>
      </c>
      <c r="CE22" s="458" t="str">
        <f ca="1">IF(CD16="","",IF(CD22="", "", CD22*CE19))</f>
        <v/>
      </c>
      <c r="CF22" s="320"/>
      <c r="CG22" s="289"/>
      <c r="CH22" s="289"/>
      <c r="CI22" s="289"/>
      <c r="CJ22" s="289"/>
      <c r="CK22" s="289"/>
      <c r="CL22" s="289"/>
      <c r="CM22" s="289"/>
      <c r="CN22" s="289"/>
      <c r="CO22" s="289"/>
      <c r="CP22" s="289"/>
      <c r="CQ22" s="289"/>
      <c r="CR22" s="289"/>
      <c r="CS22" s="289"/>
      <c r="CT22" s="289"/>
      <c r="CU22" s="289"/>
      <c r="CV22" s="289"/>
      <c r="CW22" s="289"/>
      <c r="CX22" s="289"/>
      <c r="CY22" s="289"/>
      <c r="CZ22" s="289"/>
    </row>
    <row r="23" spans="1:104" x14ac:dyDescent="0.45">
      <c r="A23" s="289"/>
      <c r="B23" s="537" t="str">
        <f>HYPERLINK(
  "#'6. Definities'!" &amp;
  INDEX('Hulp (definities)'!E:E,
        MATCH("Overige vergoedingen",'Hulp (definities)'!A:A,0)
  ),
  "Overige vergoedingen"
)</f>
        <v>Overige vergoedingen</v>
      </c>
      <c r="C23" s="442" t="str">
        <f>IFERROR(
  IF('Hulp (overig)'!$C$15=0, "", 'Hulp (overig)'!$C$15),
  ""
)</f>
        <v>€ 1,000 / fte</v>
      </c>
      <c r="D23" s="442"/>
      <c r="E23" s="458" t="str">
        <f ca="1">IF(OR($C$23="", D16=""), "", IF('Hulp (CAO''s)'!$D$4=TRUE, IFERROR(1000/E18,1000/1878), IF('Hulp (CAO''s)'!$D$5=TRUE, SUM(E19:E22)*0.015, "")))</f>
        <v/>
      </c>
      <c r="F23" s="442"/>
      <c r="G23" s="458" t="str">
        <f ca="1">IF(OR($C$23="", F16=""), "", IF('Hulp (CAO''s)'!$D$4=TRUE, IFERROR(1000/G18,1000/1878), IF('Hulp (CAO''s)'!$D$5=TRUE, SUM(G19:G22)*0.015, "")))</f>
        <v/>
      </c>
      <c r="H23" s="442"/>
      <c r="I23" s="458" t="str">
        <f ca="1">IF(OR($C$23="", H16=""), "", IF('Hulp (CAO''s)'!$D$4=TRUE, IFERROR(1000/I18,1000/1878), IF('Hulp (CAO''s)'!$D$5=TRUE, SUM(I19:I22)*0.015, "")))</f>
        <v/>
      </c>
      <c r="J23" s="442"/>
      <c r="K23" s="458" t="str">
        <f ca="1">IF(OR($C$23="", J16=""), "", IF('Hulp (CAO''s)'!$D$4=TRUE, IFERROR(1000/K18,1000/1878), IF('Hulp (CAO''s)'!$D$5=TRUE, SUM(K19:K22)*0.015, "")))</f>
        <v/>
      </c>
      <c r="L23" s="442"/>
      <c r="M23" s="458" t="str">
        <f ca="1">IF(OR($C$23="", L16=""), "", IF('Hulp (CAO''s)'!$D$4=TRUE, IFERROR(1000/M18,1000/1878), IF('Hulp (CAO''s)'!$D$5=TRUE, SUM(M19:M22)*0.015, "")))</f>
        <v/>
      </c>
      <c r="N23" s="442"/>
      <c r="O23" s="458" t="str">
        <f ca="1">IF(OR($C$23="", N16=""), "", IF('Hulp (CAO''s)'!$D$4=TRUE, IFERROR(1000/O18,1000/1878), IF('Hulp (CAO''s)'!$D$5=TRUE, SUM(O19:O22)*0.015, "")))</f>
        <v/>
      </c>
      <c r="P23" s="442"/>
      <c r="Q23" s="458" t="str">
        <f ca="1">IF(OR($C$23="", P16=""), "", IF('Hulp (CAO''s)'!$D$4=TRUE, IFERROR(1000/Q18,1000/1878), IF('Hulp (CAO''s)'!$D$5=TRUE, SUM(Q19:Q22)*0.015, "")))</f>
        <v/>
      </c>
      <c r="R23" s="442"/>
      <c r="S23" s="458" t="str">
        <f ca="1">IF(OR($C$23="", R16=""), "", IF('Hulp (CAO''s)'!$D$4=TRUE, IFERROR(1000/S18,1000/1878), IF('Hulp (CAO''s)'!$D$5=TRUE, SUM(S19:S22)*0.015, "")))</f>
        <v/>
      </c>
      <c r="T23" s="442"/>
      <c r="U23" s="458" t="str">
        <f ca="1">IF(OR($C$23="", T16=""), "", IF('Hulp (CAO''s)'!$D$4=TRUE, IFERROR(1000/U18,1000/1878), IF('Hulp (CAO''s)'!$D$5=TRUE, SUM(U19:U22)*0.015, "")))</f>
        <v/>
      </c>
      <c r="V23" s="442"/>
      <c r="W23" s="458" t="str">
        <f ca="1">IF(OR($C$23="", V16=""), "", IF('Hulp (CAO''s)'!$D$4=TRUE, IFERROR(1000/W18,1000/1878), IF('Hulp (CAO''s)'!$D$5=TRUE, SUM(W19:W22)*0.015, "")))</f>
        <v/>
      </c>
      <c r="X23" s="442"/>
      <c r="Y23" s="458" t="str">
        <f ca="1">IF(OR($C$23="", X16=""), "", IF('Hulp (CAO''s)'!$D$4=TRUE, IFERROR(1000/Y18,1000/1878), IF('Hulp (CAO''s)'!$D$5=TRUE, SUM(Y19:Y22)*0.015, "")))</f>
        <v/>
      </c>
      <c r="Z23" s="442"/>
      <c r="AA23" s="458" t="str">
        <f ca="1">IF(OR($C$23="", Z16=""), "", IF('Hulp (CAO''s)'!$D$4=TRUE, IFERROR(1000/AA18,1000/1878), IF('Hulp (CAO''s)'!$D$5=TRUE, SUM(AA19:AA22)*0.015, "")))</f>
        <v/>
      </c>
      <c r="AB23" s="442"/>
      <c r="AC23" s="458" t="str">
        <f ca="1">IF(OR($C$23="", AB16=""), "", IF('Hulp (CAO''s)'!$D$4=TRUE, IFERROR(1000/AC18,1000/1878), IF('Hulp (CAO''s)'!$D$5=TRUE, SUM(AC19:AC22)*0.015, "")))</f>
        <v/>
      </c>
      <c r="AD23" s="442"/>
      <c r="AE23" s="458" t="str">
        <f ca="1">IF(OR($C$23="", AD16=""), "", IF('Hulp (CAO''s)'!$D$4=TRUE, IFERROR(1000/AE18,1000/1878), IF('Hulp (CAO''s)'!$D$5=TRUE, SUM(AE19:AE22)*0.015, "")))</f>
        <v/>
      </c>
      <c r="AF23" s="442"/>
      <c r="AG23" s="458" t="str">
        <f ca="1">IF(OR($C$23="", AF16=""), "", IF('Hulp (CAO''s)'!$D$4=TRUE, IFERROR(1000/AG18,1000/1878), IF('Hulp (CAO''s)'!$D$5=TRUE, SUM(AG19:AG22)*0.015, "")))</f>
        <v/>
      </c>
      <c r="AH23" s="442"/>
      <c r="AI23" s="458" t="str">
        <f ca="1">IF(OR($C$23="", AH16=""), "", IF('Hulp (CAO''s)'!$D$4=TRUE, IFERROR(1000/AI18,1000/1878), IF('Hulp (CAO''s)'!$D$5=TRUE, SUM(AI19:AI22)*0.015, "")))</f>
        <v/>
      </c>
      <c r="AJ23" s="442"/>
      <c r="AK23" s="458" t="str">
        <f ca="1">IF(OR($C$23="", AJ16=""), "", IF('Hulp (CAO''s)'!$D$4=TRUE, IFERROR(1000/AK18,1000/1878), IF('Hulp (CAO''s)'!$D$5=TRUE, SUM(AK19:AK22)*0.015, "")))</f>
        <v/>
      </c>
      <c r="AL23" s="442"/>
      <c r="AM23" s="458" t="str">
        <f ca="1">IF(OR($C$23="", AL16=""), "", IF('Hulp (CAO''s)'!$D$4=TRUE, IFERROR(1000/AM18,1000/1878), IF('Hulp (CAO''s)'!$D$5=TRUE, SUM(AM19:AM22)*0.015, "")))</f>
        <v/>
      </c>
      <c r="AN23" s="442"/>
      <c r="AO23" s="458" t="str">
        <f ca="1">IF(OR($C$23="", AN16=""), "", IF('Hulp (CAO''s)'!$D$4=TRUE, IFERROR(1000/AO18,1000/1878), IF('Hulp (CAO''s)'!$D$5=TRUE, SUM(AO19:AO22)*0.015, "")))</f>
        <v/>
      </c>
      <c r="AP23" s="442"/>
      <c r="AQ23" s="458" t="str">
        <f ca="1">IF(OR($C$23="", AP16=""), "", IF('Hulp (CAO''s)'!$D$4=TRUE, IFERROR(1000/AQ18,1000/1878), IF('Hulp (CAO''s)'!$D$5=TRUE, SUM(AQ19:AQ22)*0.015, "")))</f>
        <v/>
      </c>
      <c r="AR23" s="442"/>
      <c r="AS23" s="458" t="str">
        <f ca="1">IF(OR($C$23="", AR16=""), "", IF('Hulp (CAO''s)'!$D$4=TRUE, IFERROR(1000/AS18,1000/1878), IF('Hulp (CAO''s)'!$D$5=TRUE, SUM(AS19:AS22)*0.015, "")))</f>
        <v/>
      </c>
      <c r="AT23" s="442"/>
      <c r="AU23" s="458" t="str">
        <f ca="1">IF(OR($C$23="", AT16=""), "", IF('Hulp (CAO''s)'!$D$4=TRUE, IFERROR(1000/AU18,1000/1878), IF('Hulp (CAO''s)'!$D$5=TRUE, SUM(AU19:AU22)*0.015, "")))</f>
        <v/>
      </c>
      <c r="AV23" s="442"/>
      <c r="AW23" s="458" t="str">
        <f ca="1">IF(OR($C$23="", AV16=""), "", IF('Hulp (CAO''s)'!$D$4=TRUE, IFERROR(1000/AW18,1000/1878), IF('Hulp (CAO''s)'!$D$5=TRUE, SUM(AW19:AW22)*0.015, "")))</f>
        <v/>
      </c>
      <c r="AX23" s="442"/>
      <c r="AY23" s="458" t="str">
        <f ca="1">IF(OR($C$23="", AX16=""), "", IF('Hulp (CAO''s)'!$D$4=TRUE, IFERROR(1000/AY18,1000/1878), IF('Hulp (CAO''s)'!$D$5=TRUE, SUM(AY19:AY22)*0.015, "")))</f>
        <v/>
      </c>
      <c r="AZ23" s="442"/>
      <c r="BA23" s="458" t="str">
        <f ca="1">IF(OR($C$23="", AZ16=""), "", IF('Hulp (CAO''s)'!$D$4=TRUE, IFERROR(1000/BA18,1000/1878), IF('Hulp (CAO''s)'!$D$5=TRUE, SUM(BA19:BA22)*0.015, "")))</f>
        <v/>
      </c>
      <c r="BB23" s="442"/>
      <c r="BC23" s="458" t="str">
        <f ca="1">IF(OR($C$23="", BB16=""), "", IF('Hulp (CAO''s)'!$D$4=TRUE, IFERROR(1000/BC18,1000/1878), IF('Hulp (CAO''s)'!$D$5=TRUE, SUM(BC19:BC22)*0.015, "")))</f>
        <v/>
      </c>
      <c r="BD23" s="442"/>
      <c r="BE23" s="458" t="str">
        <f ca="1">IF(OR($C$23="", BD16=""), "", IF('Hulp (CAO''s)'!$D$4=TRUE, IFERROR(1000/BE18,1000/1878), IF('Hulp (CAO''s)'!$D$5=TRUE, SUM(BE19:BE22)*0.015, "")))</f>
        <v/>
      </c>
      <c r="BF23" s="442"/>
      <c r="BG23" s="458" t="str">
        <f ca="1">IF(OR($C$23="", BF16=""), "", IF('Hulp (CAO''s)'!$D$4=TRUE, IFERROR(1000/BG18,1000/1878), IF('Hulp (CAO''s)'!$D$5=TRUE, SUM(BG19:BG22)*0.015, "")))</f>
        <v/>
      </c>
      <c r="BH23" s="442"/>
      <c r="BI23" s="458" t="str">
        <f ca="1">IF(OR($C$23="", BH16=""), "", IF('Hulp (CAO''s)'!$D$4=TRUE, IFERROR(1000/BI18,1000/1878), IF('Hulp (CAO''s)'!$D$5=TRUE, SUM(BI19:BI22)*0.015, "")))</f>
        <v/>
      </c>
      <c r="BJ23" s="442"/>
      <c r="BK23" s="458" t="str">
        <f ca="1">IF(OR($C$23="", BJ16=""), "", IF('Hulp (CAO''s)'!$D$4=TRUE, IFERROR(1000/BK18,1000/1878), IF('Hulp (CAO''s)'!$D$5=TRUE, SUM(BK19:BK22)*0.015, "")))</f>
        <v/>
      </c>
      <c r="BL23" s="442"/>
      <c r="BM23" s="458" t="str">
        <f ca="1">IF(OR($C$23="", BL16=""), "", IF('Hulp (CAO''s)'!$D$4=TRUE, IFERROR(1000/BM18,1000/1878), IF('Hulp (CAO''s)'!$D$5=TRUE, SUM(BM19:BM22)*0.015, "")))</f>
        <v/>
      </c>
      <c r="BN23" s="442"/>
      <c r="BO23" s="458" t="str">
        <f ca="1">IF(OR($C$23="", BN16=""), "", IF('Hulp (CAO''s)'!$D$4=TRUE, IFERROR(1000/BO18,1000/1878), IF('Hulp (CAO''s)'!$D$5=TRUE, SUM(BO19:BO22)*0.015, "")))</f>
        <v/>
      </c>
      <c r="BP23" s="442"/>
      <c r="BQ23" s="458" t="str">
        <f ca="1">IF(OR($C$23="", BP16=""), "", IF('Hulp (CAO''s)'!$D$4=TRUE, IFERROR(1000/BQ18,1000/1878), IF('Hulp (CAO''s)'!$D$5=TRUE, SUM(BQ19:BQ22)*0.015, "")))</f>
        <v/>
      </c>
      <c r="BR23" s="442"/>
      <c r="BS23" s="458" t="str">
        <f ca="1">IF(OR($C$23="", BR16=""), "", IF('Hulp (CAO''s)'!$D$4=TRUE, IFERROR(1000/BS18,1000/1878), IF('Hulp (CAO''s)'!$D$5=TRUE, SUM(BS19:BS22)*0.015, "")))</f>
        <v/>
      </c>
      <c r="BT23" s="442"/>
      <c r="BU23" s="458" t="str">
        <f ca="1">IF(OR($C$23="", BT16=""), "", IF('Hulp (CAO''s)'!$D$4=TRUE, IFERROR(1000/BU18,1000/1878), IF('Hulp (CAO''s)'!$D$5=TRUE, SUM(BU19:BU22)*0.015, "")))</f>
        <v/>
      </c>
      <c r="BV23" s="442"/>
      <c r="BW23" s="458" t="str">
        <f ca="1">IF(OR($C$23="", BV16=""), "", IF('Hulp (CAO''s)'!$D$4=TRUE, IFERROR(1000/BW18,1000/1878), IF('Hulp (CAO''s)'!$D$5=TRUE, SUM(BW19:BW22)*0.015, "")))</f>
        <v/>
      </c>
      <c r="BX23" s="442"/>
      <c r="BY23" s="458" t="str">
        <f ca="1">IF(OR($C$23="", BX16=""), "", IF('Hulp (CAO''s)'!$D$4=TRUE, IFERROR(1000/BY18,1000/1878), IF('Hulp (CAO''s)'!$D$5=TRUE, SUM(BY19:BY22)*0.015, "")))</f>
        <v/>
      </c>
      <c r="BZ23" s="442"/>
      <c r="CA23" s="458" t="str">
        <f ca="1">IF(OR($C$23="", BZ16=""), "", IF('Hulp (CAO''s)'!$D$4=TRUE, IFERROR(1000/CA18,1000/1878), IF('Hulp (CAO''s)'!$D$5=TRUE, SUM(CA19:CA22)*0.015, "")))</f>
        <v/>
      </c>
      <c r="CB23" s="442"/>
      <c r="CC23" s="458" t="str">
        <f ca="1">IF(OR($C$23="", CB16=""), "", IF('Hulp (CAO''s)'!$D$4=TRUE, IFERROR(1000/CC18,1000/1878), IF('Hulp (CAO''s)'!$D$5=TRUE, SUM(CC19:CC22)*0.015, "")))</f>
        <v/>
      </c>
      <c r="CD23" s="442"/>
      <c r="CE23" s="458" t="str">
        <f ca="1">IF(OR($C$23="", CD16=""), "", IF('Hulp (CAO''s)'!$D$4=TRUE, IFERROR(1000/CE18,1000/1878), IF('Hulp (CAO''s)'!$D$5=TRUE, SUM(CE19:CE22)*0.015, "")))</f>
        <v/>
      </c>
      <c r="CF23" s="320"/>
      <c r="CG23" s="289"/>
      <c r="CH23" s="289"/>
      <c r="CI23" s="289"/>
      <c r="CJ23" s="289"/>
      <c r="CK23" s="289"/>
      <c r="CL23" s="289"/>
      <c r="CM23" s="289"/>
      <c r="CN23" s="289"/>
      <c r="CO23" s="289"/>
      <c r="CP23" s="289"/>
      <c r="CQ23" s="289"/>
      <c r="CR23" s="289"/>
      <c r="CS23" s="289"/>
      <c r="CT23" s="289"/>
      <c r="CU23" s="289"/>
      <c r="CV23" s="289"/>
      <c r="CW23" s="289"/>
      <c r="CX23" s="289"/>
      <c r="CY23" s="289"/>
      <c r="CZ23" s="289"/>
    </row>
    <row r="24" spans="1:104" x14ac:dyDescent="0.45">
      <c r="A24" s="289"/>
      <c r="B24" s="392" t="s">
        <v>35</v>
      </c>
      <c r="C24" s="455"/>
      <c r="D24" s="455"/>
      <c r="E24" s="456" t="str">
        <f ca="1">IF(D16="","",SUM(E19:E23))</f>
        <v/>
      </c>
      <c r="F24" s="455"/>
      <c r="G24" s="456" t="str">
        <f ca="1">IF(F16="","",SUM(G19:G23))</f>
        <v/>
      </c>
      <c r="H24" s="455"/>
      <c r="I24" s="456" t="str">
        <f ca="1">IF(H16="","",SUM(I19:I23))</f>
        <v/>
      </c>
      <c r="J24" s="455"/>
      <c r="K24" s="456" t="str">
        <f ca="1">IF(J16="","",SUM(K19:K23))</f>
        <v/>
      </c>
      <c r="L24" s="455"/>
      <c r="M24" s="456" t="str">
        <f ca="1">IF(L16="","",SUM(M19:M23))</f>
        <v/>
      </c>
      <c r="N24" s="455"/>
      <c r="O24" s="456" t="str">
        <f ca="1">IF(N16="","",SUM(O19:O23))</f>
        <v/>
      </c>
      <c r="P24" s="455"/>
      <c r="Q24" s="456" t="str">
        <f ca="1">IF(P16="","",SUM(Q19:Q23))</f>
        <v/>
      </c>
      <c r="R24" s="455"/>
      <c r="S24" s="456" t="str">
        <f ca="1">IF(R16="","",SUM(S19:S23))</f>
        <v/>
      </c>
      <c r="T24" s="455"/>
      <c r="U24" s="456" t="str">
        <f ca="1">IF(T16="","",SUM(U19:U23))</f>
        <v/>
      </c>
      <c r="V24" s="455"/>
      <c r="W24" s="456" t="str">
        <f ca="1">IF(V16="","",SUM(W19:W23))</f>
        <v/>
      </c>
      <c r="X24" s="455"/>
      <c r="Y24" s="456" t="str">
        <f ca="1">IF(X16="","",SUM(Y19:Y23))</f>
        <v/>
      </c>
      <c r="Z24" s="455"/>
      <c r="AA24" s="456" t="str">
        <f ca="1">IF(Z16="","",SUM(AA19:AA23))</f>
        <v/>
      </c>
      <c r="AB24" s="455"/>
      <c r="AC24" s="456" t="str">
        <f ca="1">IF(AB16="","",SUM(AC19:AC23))</f>
        <v/>
      </c>
      <c r="AD24" s="455"/>
      <c r="AE24" s="456" t="str">
        <f ca="1">IF(AD16="","",SUM(AE19:AE23))</f>
        <v/>
      </c>
      <c r="AF24" s="455"/>
      <c r="AG24" s="456" t="str">
        <f ca="1">IF(AF16="","",SUM(AG19:AG23))</f>
        <v/>
      </c>
      <c r="AH24" s="455"/>
      <c r="AI24" s="456" t="str">
        <f ca="1">IF(AH16="","",SUM(AI19:AI23))</f>
        <v/>
      </c>
      <c r="AJ24" s="455"/>
      <c r="AK24" s="456" t="str">
        <f ca="1">IF(AJ16="","",SUM(AK19:AK23))</f>
        <v/>
      </c>
      <c r="AL24" s="455"/>
      <c r="AM24" s="456" t="str">
        <f ca="1">IF(AL16="","",SUM(AM19:AM23))</f>
        <v/>
      </c>
      <c r="AN24" s="455"/>
      <c r="AO24" s="456" t="str">
        <f ca="1">IF(AN16="","",SUM(AO19:AO23))</f>
        <v/>
      </c>
      <c r="AP24" s="455"/>
      <c r="AQ24" s="456" t="str">
        <f ca="1">IF(AP16="","",SUM(AQ19:AQ23))</f>
        <v/>
      </c>
      <c r="AR24" s="455"/>
      <c r="AS24" s="456" t="str">
        <f ca="1">IF(AR16="","",SUM(AS19:AS23))</f>
        <v/>
      </c>
      <c r="AT24" s="455"/>
      <c r="AU24" s="456" t="str">
        <f ca="1">IF(AT16="","",SUM(AU19:AU23))</f>
        <v/>
      </c>
      <c r="AV24" s="455"/>
      <c r="AW24" s="456" t="str">
        <f ca="1">IF(AV16="","",SUM(AW19:AW23))</f>
        <v/>
      </c>
      <c r="AX24" s="455"/>
      <c r="AY24" s="456" t="str">
        <f ca="1">IF(AX16="","",SUM(AY19:AY23))</f>
        <v/>
      </c>
      <c r="AZ24" s="455"/>
      <c r="BA24" s="456" t="str">
        <f ca="1">IF(AZ16="","",SUM(BA19:BA23))</f>
        <v/>
      </c>
      <c r="BB24" s="455"/>
      <c r="BC24" s="456" t="str">
        <f ca="1">IF(BB16="","",SUM(BC19:BC23))</f>
        <v/>
      </c>
      <c r="BD24" s="455"/>
      <c r="BE24" s="456" t="str">
        <f ca="1">IF(BD16="","",SUM(BE19:BE23))</f>
        <v/>
      </c>
      <c r="BF24" s="455"/>
      <c r="BG24" s="456" t="str">
        <f ca="1">IF(BF16="","",SUM(BG19:BG23))</f>
        <v/>
      </c>
      <c r="BH24" s="455"/>
      <c r="BI24" s="456" t="str">
        <f ca="1">IF(BH16="","",SUM(BI19:BI23))</f>
        <v/>
      </c>
      <c r="BJ24" s="455"/>
      <c r="BK24" s="456" t="str">
        <f ca="1">IF(BJ16="","",SUM(BK19:BK23))</f>
        <v/>
      </c>
      <c r="BL24" s="455"/>
      <c r="BM24" s="456" t="str">
        <f ca="1">IF(BL16="","",SUM(BM19:BM23))</f>
        <v/>
      </c>
      <c r="BN24" s="455"/>
      <c r="BO24" s="456" t="str">
        <f ca="1">IF(BN16="","",SUM(BO19:BO23))</f>
        <v/>
      </c>
      <c r="BP24" s="455"/>
      <c r="BQ24" s="456" t="str">
        <f ca="1">IF(BP16="","",SUM(BQ19:BQ23))</f>
        <v/>
      </c>
      <c r="BR24" s="455"/>
      <c r="BS24" s="456" t="str">
        <f ca="1">IF(BR16="","",SUM(BS19:BS23))</f>
        <v/>
      </c>
      <c r="BT24" s="455"/>
      <c r="BU24" s="456" t="str">
        <f ca="1">IF(BT16="","",SUM(BU19:BU23))</f>
        <v/>
      </c>
      <c r="BV24" s="455"/>
      <c r="BW24" s="456" t="str">
        <f ca="1">IF(BV16="","",SUM(BW19:BW23))</f>
        <v/>
      </c>
      <c r="BX24" s="455"/>
      <c r="BY24" s="456" t="str">
        <f ca="1">IF(BX16="","",SUM(BY19:BY23))</f>
        <v/>
      </c>
      <c r="BZ24" s="455"/>
      <c r="CA24" s="456" t="str">
        <f ca="1">IF(BZ16="","",SUM(CA19:CA23))</f>
        <v/>
      </c>
      <c r="CB24" s="455"/>
      <c r="CC24" s="456" t="str">
        <f ca="1">IF(CB16="","",SUM(CC19:CC23))</f>
        <v/>
      </c>
      <c r="CD24" s="455"/>
      <c r="CE24" s="456" t="str">
        <f ca="1">IF(CD16="","",SUM(CE19:CE23))</f>
        <v/>
      </c>
      <c r="CF24" s="320"/>
      <c r="CG24" s="289"/>
      <c r="CH24" s="289"/>
      <c r="CI24" s="289"/>
      <c r="CJ24" s="289"/>
      <c r="CK24" s="289"/>
      <c r="CL24" s="289"/>
      <c r="CM24" s="289"/>
      <c r="CN24" s="289"/>
      <c r="CO24" s="289"/>
      <c r="CP24" s="289"/>
      <c r="CQ24" s="289"/>
      <c r="CR24" s="289"/>
      <c r="CS24" s="289"/>
      <c r="CT24" s="289"/>
      <c r="CU24" s="289"/>
      <c r="CV24" s="289"/>
      <c r="CW24" s="289"/>
      <c r="CX24" s="289"/>
      <c r="CY24" s="289"/>
      <c r="CZ24" s="289"/>
    </row>
    <row r="25" spans="1:104" x14ac:dyDescent="0.45">
      <c r="A25" s="289"/>
      <c r="B25" s="537" t="str">
        <f>HYPERLINK(
  "#'6. Definities'!" &amp;
  INDEX('Hulp (definities)'!E:E,
        MATCH("Totale sociale lasten",'Hulp (definities)'!A:A,0)
  ),
  "Totale sociale lasten"
)</f>
        <v>Totale sociale lasten</v>
      </c>
      <c r="C25" s="457">
        <f>SUM('1a. Input organisatieniveau'!I13:I17)</f>
        <v>6.0999999999999999E-2</v>
      </c>
      <c r="D25" s="442"/>
      <c r="E25" s="458" t="str">
        <f ca="1">IF(D16="","",E24*IF(
  LEN(TRIM(SUBSTITUTE(INDIRECT(ADDRESS(ROW()-9, COLUMN()-1, 4)), CHAR(160), ""))) = 0,
  1,
  INDEX('1c. Input functiemix'!$A:$AAD,
        MATCH( INDIRECT(ADDRESS(ROW()-9, COLUMN()-1, 4)), '1c. Input functiemix'!$B:$B, 0)+3,
        53)
)*$C$25)</f>
        <v/>
      </c>
      <c r="F25" s="442"/>
      <c r="G25" s="458" t="str">
        <f ca="1">IF(F16="","",G24*IF(
  LEN(TRIM(SUBSTITUTE(INDIRECT(ADDRESS(ROW()-9, COLUMN()-1, 4)), CHAR(160), ""))) = 0,
  1,
  INDEX('1c. Input functiemix'!$A:$AAD,
        MATCH( INDIRECT(ADDRESS(ROW()-9, COLUMN()-1, 4)), '1c. Input functiemix'!$B:$B, 0)+3,
        53)
)*$C$25)</f>
        <v/>
      </c>
      <c r="H25" s="442"/>
      <c r="I25" s="458" t="str">
        <f ca="1">IF(H16="","",I24*IF(
  LEN(TRIM(SUBSTITUTE(INDIRECT(ADDRESS(ROW()-9, COLUMN()-1, 4)), CHAR(160), ""))) = 0,
  1,
  INDEX('1c. Input functiemix'!$A:$AAD,
        MATCH( INDIRECT(ADDRESS(ROW()-9, COLUMN()-1, 4)), '1c. Input functiemix'!$B:$B, 0)+3,
        53)
)*$C$25)</f>
        <v/>
      </c>
      <c r="J25" s="442"/>
      <c r="K25" s="458" t="str">
        <f ca="1">IF(J16="","",K24*IF(
  LEN(TRIM(SUBSTITUTE(INDIRECT(ADDRESS(ROW()-9, COLUMN()-1, 4)), CHAR(160), ""))) = 0,
  1,
  INDEX('1c. Input functiemix'!$A:$AAD,
        MATCH( INDIRECT(ADDRESS(ROW()-9, COLUMN()-1, 4)), '1c. Input functiemix'!$B:$B, 0)+3,
        53)
)*$C$25)</f>
        <v/>
      </c>
      <c r="L25" s="442"/>
      <c r="M25" s="458" t="str">
        <f ca="1">IF(L16="","",M24*IF(
  LEN(TRIM(SUBSTITUTE(INDIRECT(ADDRESS(ROW()-9, COLUMN()-1, 4)), CHAR(160), ""))) = 0,
  1,
  INDEX('1c. Input functiemix'!$A:$AAD,
        MATCH( INDIRECT(ADDRESS(ROW()-9, COLUMN()-1, 4)), '1c. Input functiemix'!$B:$B, 0)+3,
        53)
)*$C$25)</f>
        <v/>
      </c>
      <c r="N25" s="442"/>
      <c r="O25" s="458" t="str">
        <f ca="1">IF(N16="","",O24*IF(
  LEN(TRIM(SUBSTITUTE(INDIRECT(ADDRESS(ROW()-9, COLUMN()-1, 4)), CHAR(160), ""))) = 0,
  1,
  INDEX('1c. Input functiemix'!$A:$AAD,
        MATCH( INDIRECT(ADDRESS(ROW()-9, COLUMN()-1, 4)), '1c. Input functiemix'!$B:$B, 0)+3,
        53)
)*$C$25)</f>
        <v/>
      </c>
      <c r="P25" s="442"/>
      <c r="Q25" s="458" t="str">
        <f ca="1">IF(P16="","",Q24*IF(
  LEN(TRIM(SUBSTITUTE(INDIRECT(ADDRESS(ROW()-9, COLUMN()-1, 4)), CHAR(160), ""))) = 0,
  1,
  INDEX('1c. Input functiemix'!$A:$AAD,
        MATCH( INDIRECT(ADDRESS(ROW()-9, COLUMN()-1, 4)), '1c. Input functiemix'!$B:$B, 0)+3,
        53)
)*$C$25)</f>
        <v/>
      </c>
      <c r="R25" s="442"/>
      <c r="S25" s="458" t="str">
        <f ca="1">IF(R16="","",S24*IF(
  LEN(TRIM(SUBSTITUTE(INDIRECT(ADDRESS(ROW()-9, COLUMN()-1, 4)), CHAR(160), ""))) = 0,
  1,
  INDEX('1c. Input functiemix'!$A:$AAD,
        MATCH( INDIRECT(ADDRESS(ROW()-9, COLUMN()-1, 4)), '1c. Input functiemix'!$B:$B, 0)+3,
        53)
)*$C$25)</f>
        <v/>
      </c>
      <c r="T25" s="442"/>
      <c r="U25" s="458" t="str">
        <f ca="1">IF(T16="","",U24*IF(
  LEN(TRIM(SUBSTITUTE(INDIRECT(ADDRESS(ROW()-9, COLUMN()-1, 4)), CHAR(160), ""))) = 0,
  1,
  INDEX('1c. Input functiemix'!$A:$AAD,
        MATCH( INDIRECT(ADDRESS(ROW()-9, COLUMN()-1, 4)), '1c. Input functiemix'!$B:$B, 0)+3,
        53)
)*$C$25)</f>
        <v/>
      </c>
      <c r="V25" s="442"/>
      <c r="W25" s="458" t="str">
        <f ca="1">IF(V16="","",W24*IF(
  LEN(TRIM(SUBSTITUTE(INDIRECT(ADDRESS(ROW()-9, COLUMN()-1, 4)), CHAR(160), ""))) = 0,
  1,
  INDEX('1c. Input functiemix'!$A:$AAD,
        MATCH( INDIRECT(ADDRESS(ROW()-9, COLUMN()-1, 4)), '1c. Input functiemix'!$B:$B, 0)+3,
        53)
)*$C$25)</f>
        <v/>
      </c>
      <c r="X25" s="442"/>
      <c r="Y25" s="458" t="str">
        <f ca="1">IF(X16="","",Y24*IF(
  LEN(TRIM(SUBSTITUTE(INDIRECT(ADDRESS(ROW()-9, COLUMN()-1, 4)), CHAR(160), ""))) = 0,
  1,
  INDEX('1c. Input functiemix'!$A:$AAD,
        MATCH( INDIRECT(ADDRESS(ROW()-9, COLUMN()-1, 4)), '1c. Input functiemix'!$B:$B, 0)+3,
        53)
)*$C$25)</f>
        <v/>
      </c>
      <c r="Z25" s="442"/>
      <c r="AA25" s="458" t="str">
        <f ca="1">IF(Z16="","",AA24*IF(
  LEN(TRIM(SUBSTITUTE(INDIRECT(ADDRESS(ROW()-9, COLUMN()-1, 4)), CHAR(160), ""))) = 0,
  1,
  INDEX('1c. Input functiemix'!$A:$AAD,
        MATCH( INDIRECT(ADDRESS(ROW()-9, COLUMN()-1, 4)), '1c. Input functiemix'!$B:$B, 0)+3,
        53)
)*$C$25)</f>
        <v/>
      </c>
      <c r="AB25" s="442"/>
      <c r="AC25" s="458" t="str">
        <f ca="1">IF(AB16="","",AC24*IF(
  LEN(TRIM(SUBSTITUTE(INDIRECT(ADDRESS(ROW()-9, COLUMN()-1, 4)), CHAR(160), ""))) = 0,
  1,
  INDEX('1c. Input functiemix'!$A:$AAD,
        MATCH( INDIRECT(ADDRESS(ROW()-9, COLUMN()-1, 4)), '1c. Input functiemix'!$B:$B, 0)+3,
        53)
)*$C$25)</f>
        <v/>
      </c>
      <c r="AD25" s="442"/>
      <c r="AE25" s="458" t="str">
        <f ca="1">IF(AD16="","",AE24*IF(
  LEN(TRIM(SUBSTITUTE(INDIRECT(ADDRESS(ROW()-9, COLUMN()-1, 4)), CHAR(160), ""))) = 0,
  1,
  INDEX('1c. Input functiemix'!$A:$AAD,
        MATCH( INDIRECT(ADDRESS(ROW()-9, COLUMN()-1, 4)), '1c. Input functiemix'!$B:$B, 0)+3,
        53)
)*$C$25)</f>
        <v/>
      </c>
      <c r="AF25" s="442"/>
      <c r="AG25" s="458" t="str">
        <f ca="1">IF(AF16="","",AG24*IF(
  LEN(TRIM(SUBSTITUTE(INDIRECT(ADDRESS(ROW()-9, COLUMN()-1, 4)), CHAR(160), ""))) = 0,
  1,
  INDEX('1c. Input functiemix'!$A:$AAD,
        MATCH( INDIRECT(ADDRESS(ROW()-9, COLUMN()-1, 4)), '1c. Input functiemix'!$B:$B, 0)+3,
        53)
)*$C$25)</f>
        <v/>
      </c>
      <c r="AH25" s="442"/>
      <c r="AI25" s="458" t="str">
        <f ca="1">IF(AH16="","",AI24*IF(
  LEN(TRIM(SUBSTITUTE(INDIRECT(ADDRESS(ROW()-9, COLUMN()-1, 4)), CHAR(160), ""))) = 0,
  1,
  INDEX('1c. Input functiemix'!$A:$AAD,
        MATCH( INDIRECT(ADDRESS(ROW()-9, COLUMN()-1, 4)), '1c. Input functiemix'!$B:$B, 0)+3,
        53)
)*$C$25)</f>
        <v/>
      </c>
      <c r="AJ25" s="442"/>
      <c r="AK25" s="458" t="str">
        <f ca="1">IF(AJ16="","",AK24*IF(
  LEN(TRIM(SUBSTITUTE(INDIRECT(ADDRESS(ROW()-9, COLUMN()-1, 4)), CHAR(160), ""))) = 0,
  1,
  INDEX('1c. Input functiemix'!$A:$AAD,
        MATCH( INDIRECT(ADDRESS(ROW()-9, COLUMN()-1, 4)), '1c. Input functiemix'!$B:$B, 0)+3,
        53)
)*$C$25)</f>
        <v/>
      </c>
      <c r="AL25" s="442"/>
      <c r="AM25" s="458" t="str">
        <f ca="1">IF(AL16="","",AM24*IF(
  LEN(TRIM(SUBSTITUTE(INDIRECT(ADDRESS(ROW()-9, COLUMN()-1, 4)), CHAR(160), ""))) = 0,
  1,
  INDEX('1c. Input functiemix'!$A:$AAD,
        MATCH( INDIRECT(ADDRESS(ROW()-9, COLUMN()-1, 4)), '1c. Input functiemix'!$B:$B, 0)+3,
        53)
)*$C$25)</f>
        <v/>
      </c>
      <c r="AN25" s="442"/>
      <c r="AO25" s="458" t="str">
        <f ca="1">IF(AN16="","",AO24*IF(
  LEN(TRIM(SUBSTITUTE(INDIRECT(ADDRESS(ROW()-9, COLUMN()-1, 4)), CHAR(160), ""))) = 0,
  1,
  INDEX('1c. Input functiemix'!$A:$AAD,
        MATCH( INDIRECT(ADDRESS(ROW()-9, COLUMN()-1, 4)), '1c. Input functiemix'!$B:$B, 0)+3,
        53)
)*$C$25)</f>
        <v/>
      </c>
      <c r="AP25" s="442"/>
      <c r="AQ25" s="458" t="str">
        <f ca="1">IF(AP16="","",AQ24*IF(
  LEN(TRIM(SUBSTITUTE(INDIRECT(ADDRESS(ROW()-9, COLUMN()-1, 4)), CHAR(160), ""))) = 0,
  1,
  INDEX('1c. Input functiemix'!$A:$AAD,
        MATCH( INDIRECT(ADDRESS(ROW()-9, COLUMN()-1, 4)), '1c. Input functiemix'!$B:$B, 0)+3,
        53)
)*$C$25)</f>
        <v/>
      </c>
      <c r="AR25" s="442"/>
      <c r="AS25" s="458" t="str">
        <f ca="1">IF(AR16="","",AS24*IF(
  LEN(TRIM(SUBSTITUTE(INDIRECT(ADDRESS(ROW()-9, COLUMN()-1, 4)), CHAR(160), ""))) = 0,
  1,
  INDEX('1c. Input functiemix'!$A:$AAD,
        MATCH( INDIRECT(ADDRESS(ROW()-9, COLUMN()-1, 4)), '1c. Input functiemix'!$B:$B, 0)+3,
        53)
)*$C$25)</f>
        <v/>
      </c>
      <c r="AT25" s="442"/>
      <c r="AU25" s="458" t="str">
        <f ca="1">IF(AT16="","",AU24*IF(
  LEN(TRIM(SUBSTITUTE(INDIRECT(ADDRESS(ROW()-9, COLUMN()-1, 4)), CHAR(160), ""))) = 0,
  1,
  INDEX('1c. Input functiemix'!$A:$AAD,
        MATCH( INDIRECT(ADDRESS(ROW()-9, COLUMN()-1, 4)), '1c. Input functiemix'!$B:$B, 0)+3,
        53)
)*$C$25)</f>
        <v/>
      </c>
      <c r="AV25" s="442"/>
      <c r="AW25" s="458" t="str">
        <f ca="1">IF(AV16="","",AW24*IF(
  LEN(TRIM(SUBSTITUTE(INDIRECT(ADDRESS(ROW()-9, COLUMN()-1, 4)), CHAR(160), ""))) = 0,
  1,
  INDEX('1c. Input functiemix'!$A:$AAD,
        MATCH( INDIRECT(ADDRESS(ROW()-9, COLUMN()-1, 4)), '1c. Input functiemix'!$B:$B, 0)+3,
        53)
)*$C$25)</f>
        <v/>
      </c>
      <c r="AX25" s="442"/>
      <c r="AY25" s="458" t="str">
        <f ca="1">IF(AX16="","",AY24*IF(
  LEN(TRIM(SUBSTITUTE(INDIRECT(ADDRESS(ROW()-9, COLUMN()-1, 4)), CHAR(160), ""))) = 0,
  1,
  INDEX('1c. Input functiemix'!$A:$AAD,
        MATCH( INDIRECT(ADDRESS(ROW()-9, COLUMN()-1, 4)), '1c. Input functiemix'!$B:$B, 0)+3,
        53)
)*$C$25)</f>
        <v/>
      </c>
      <c r="AZ25" s="442"/>
      <c r="BA25" s="458" t="str">
        <f ca="1">IF(AZ16="","",BA24*IF(
  LEN(TRIM(SUBSTITUTE(INDIRECT(ADDRESS(ROW()-9, COLUMN()-1, 4)), CHAR(160), ""))) = 0,
  1,
  INDEX('1c. Input functiemix'!$A:$AAD,
        MATCH( INDIRECT(ADDRESS(ROW()-9, COLUMN()-1, 4)), '1c. Input functiemix'!$B:$B, 0)+3,
        53)
)*$C$25)</f>
        <v/>
      </c>
      <c r="BB25" s="442"/>
      <c r="BC25" s="458" t="str">
        <f ca="1">IF(BB16="","",BC24*IF(
  LEN(TRIM(SUBSTITUTE(INDIRECT(ADDRESS(ROW()-9, COLUMN()-1, 4)), CHAR(160), ""))) = 0,
  1,
  INDEX('1c. Input functiemix'!$A:$AAD,
        MATCH( INDIRECT(ADDRESS(ROW()-9, COLUMN()-1, 4)), '1c. Input functiemix'!$B:$B, 0)+3,
        53)
)*$C$25)</f>
        <v/>
      </c>
      <c r="BD25" s="442"/>
      <c r="BE25" s="458" t="str">
        <f ca="1">IF(BD16="","",BE24*IF(
  LEN(TRIM(SUBSTITUTE(INDIRECT(ADDRESS(ROW()-9, COLUMN()-1, 4)), CHAR(160), ""))) = 0,
  1,
  INDEX('1c. Input functiemix'!$A:$AAD,
        MATCH( INDIRECT(ADDRESS(ROW()-9, COLUMN()-1, 4)), '1c. Input functiemix'!$B:$B, 0)+3,
        53)
)*$C$25)</f>
        <v/>
      </c>
      <c r="BF25" s="442"/>
      <c r="BG25" s="458" t="str">
        <f ca="1">IF(BF16="","",BG24*IF(
  LEN(TRIM(SUBSTITUTE(INDIRECT(ADDRESS(ROW()-9, COLUMN()-1, 4)), CHAR(160), ""))) = 0,
  1,
  INDEX('1c. Input functiemix'!$A:$AAD,
        MATCH( INDIRECT(ADDRESS(ROW()-9, COLUMN()-1, 4)), '1c. Input functiemix'!$B:$B, 0)+3,
        53)
)*$C$25)</f>
        <v/>
      </c>
      <c r="BH25" s="442"/>
      <c r="BI25" s="458" t="str">
        <f ca="1">IF(BH16="","",BI24*IF(
  LEN(TRIM(SUBSTITUTE(INDIRECT(ADDRESS(ROW()-9, COLUMN()-1, 4)), CHAR(160), ""))) = 0,
  1,
  INDEX('1c. Input functiemix'!$A:$AAD,
        MATCH( INDIRECT(ADDRESS(ROW()-9, COLUMN()-1, 4)), '1c. Input functiemix'!$B:$B, 0)+3,
        53)
)*$C$25)</f>
        <v/>
      </c>
      <c r="BJ25" s="442"/>
      <c r="BK25" s="458" t="str">
        <f ca="1">IF(BJ16="","",BK24*IF(
  LEN(TRIM(SUBSTITUTE(INDIRECT(ADDRESS(ROW()-9, COLUMN()-1, 4)), CHAR(160), ""))) = 0,
  1,
  INDEX('1c. Input functiemix'!$A:$AAD,
        MATCH( INDIRECT(ADDRESS(ROW()-9, COLUMN()-1, 4)), '1c. Input functiemix'!$B:$B, 0)+3,
        53)
)*$C$25)</f>
        <v/>
      </c>
      <c r="BL25" s="442"/>
      <c r="BM25" s="458" t="str">
        <f ca="1">IF(BL16="","",BM24*IF(
  LEN(TRIM(SUBSTITUTE(INDIRECT(ADDRESS(ROW()-9, COLUMN()-1, 4)), CHAR(160), ""))) = 0,
  1,
  INDEX('1c. Input functiemix'!$A:$AAD,
        MATCH( INDIRECT(ADDRESS(ROW()-9, COLUMN()-1, 4)), '1c. Input functiemix'!$B:$B, 0)+3,
        53)
)*$C$25)</f>
        <v/>
      </c>
      <c r="BN25" s="442"/>
      <c r="BO25" s="458" t="str">
        <f ca="1">IF(BN16="","",BO24*IF(
  LEN(TRIM(SUBSTITUTE(INDIRECT(ADDRESS(ROW()-9, COLUMN()-1, 4)), CHAR(160), ""))) = 0,
  1,
  INDEX('1c. Input functiemix'!$A:$AAD,
        MATCH( INDIRECT(ADDRESS(ROW()-9, COLUMN()-1, 4)), '1c. Input functiemix'!$B:$B, 0)+3,
        53)
)*$C$25)</f>
        <v/>
      </c>
      <c r="BP25" s="442"/>
      <c r="BQ25" s="458" t="str">
        <f ca="1">IF(BP16="","",BQ24*IF(
  LEN(TRIM(SUBSTITUTE(INDIRECT(ADDRESS(ROW()-9, COLUMN()-1, 4)), CHAR(160), ""))) = 0,
  1,
  INDEX('1c. Input functiemix'!$A:$AAD,
        MATCH( INDIRECT(ADDRESS(ROW()-9, COLUMN()-1, 4)), '1c. Input functiemix'!$B:$B, 0)+3,
        53)
)*$C$25)</f>
        <v/>
      </c>
      <c r="BR25" s="442"/>
      <c r="BS25" s="458" t="str">
        <f ca="1">IF(BR16="","",BS24*IF(
  LEN(TRIM(SUBSTITUTE(INDIRECT(ADDRESS(ROW()-9, COLUMN()-1, 4)), CHAR(160), ""))) = 0,
  1,
  INDEX('1c. Input functiemix'!$A:$AAD,
        MATCH( INDIRECT(ADDRESS(ROW()-9, COLUMN()-1, 4)), '1c. Input functiemix'!$B:$B, 0)+3,
        53)
)*$C$25)</f>
        <v/>
      </c>
      <c r="BT25" s="442"/>
      <c r="BU25" s="458" t="str">
        <f ca="1">IF(BT16="","",BU24*IF(
  LEN(TRIM(SUBSTITUTE(INDIRECT(ADDRESS(ROW()-9, COLUMN()-1, 4)), CHAR(160), ""))) = 0,
  1,
  INDEX('1c. Input functiemix'!$A:$AAD,
        MATCH( INDIRECT(ADDRESS(ROW()-9, COLUMN()-1, 4)), '1c. Input functiemix'!$B:$B, 0)+3,
        53)
)*$C$25)</f>
        <v/>
      </c>
      <c r="BV25" s="442"/>
      <c r="BW25" s="458" t="str">
        <f ca="1">IF(BV16="","",BW24*IF(
  LEN(TRIM(SUBSTITUTE(INDIRECT(ADDRESS(ROW()-9, COLUMN()-1, 4)), CHAR(160), ""))) = 0,
  1,
  INDEX('1c. Input functiemix'!$A:$AAD,
        MATCH( INDIRECT(ADDRESS(ROW()-9, COLUMN()-1, 4)), '1c. Input functiemix'!$B:$B, 0)+3,
        53)
)*$C$25)</f>
        <v/>
      </c>
      <c r="BX25" s="442"/>
      <c r="BY25" s="458" t="str">
        <f ca="1">IF(BX16="","",BY24*IF(
  LEN(TRIM(SUBSTITUTE(INDIRECT(ADDRESS(ROW()-9, COLUMN()-1, 4)), CHAR(160), ""))) = 0,
  1,
  INDEX('1c. Input functiemix'!$A:$AAD,
        MATCH( INDIRECT(ADDRESS(ROW()-9, COLUMN()-1, 4)), '1c. Input functiemix'!$B:$B, 0)+3,
        53)
)*$C$25)</f>
        <v/>
      </c>
      <c r="BZ25" s="442"/>
      <c r="CA25" s="458" t="str">
        <f ca="1">IF(BZ16="","",CA24*IF(
  LEN(TRIM(SUBSTITUTE(INDIRECT(ADDRESS(ROW()-9, COLUMN()-1, 4)), CHAR(160), ""))) = 0,
  1,
  INDEX('1c. Input functiemix'!$A:$AAD,
        MATCH( INDIRECT(ADDRESS(ROW()-9, COLUMN()-1, 4)), '1c. Input functiemix'!$B:$B, 0)+3,
        53)
)*$C$25)</f>
        <v/>
      </c>
      <c r="CB25" s="442"/>
      <c r="CC25" s="458" t="str">
        <f ca="1">IF(CB16="","",CC24*IF(
  LEN(TRIM(SUBSTITUTE(INDIRECT(ADDRESS(ROW()-9, COLUMN()-1, 4)), CHAR(160), ""))) = 0,
  1,
  INDEX('1c. Input functiemix'!$A:$AAD,
        MATCH( INDIRECT(ADDRESS(ROW()-9, COLUMN()-1, 4)), '1c. Input functiemix'!$B:$B, 0)+3,
        53)
)*$C$25)</f>
        <v/>
      </c>
      <c r="CD25" s="442"/>
      <c r="CE25" s="458" t="str">
        <f ca="1">IF(CD16="","",CE24*IF(
  LEN(TRIM(SUBSTITUTE(INDIRECT(ADDRESS(ROW()-9, COLUMN()-1, 4)), CHAR(160), ""))) = 0,
  1,
  INDEX('1c. Input functiemix'!$A:$AAD,
        MATCH( INDIRECT(ADDRESS(ROW()-9, COLUMN()-1, 4)), '1c. Input functiemix'!$B:$B, 0)+3,
        53)
)*$C$25)</f>
        <v/>
      </c>
      <c r="CF25" s="320"/>
      <c r="CG25" s="289"/>
      <c r="CH25" s="289"/>
      <c r="CI25" s="289"/>
      <c r="CJ25" s="289"/>
      <c r="CK25" s="289"/>
      <c r="CL25" s="289"/>
      <c r="CM25" s="289"/>
      <c r="CN25" s="289"/>
      <c r="CO25" s="289"/>
      <c r="CP25" s="289"/>
      <c r="CQ25" s="289"/>
      <c r="CR25" s="289"/>
      <c r="CS25" s="289"/>
      <c r="CT25" s="289"/>
      <c r="CU25" s="289"/>
      <c r="CV25" s="289"/>
      <c r="CW25" s="289"/>
      <c r="CX25" s="289"/>
      <c r="CY25" s="289"/>
      <c r="CZ25" s="289"/>
    </row>
    <row r="26" spans="1:104" x14ac:dyDescent="0.45">
      <c r="A26" s="289"/>
      <c r="B26" s="537" t="str">
        <f>HYPERLINK(
  "#'6. Definities'!" &amp;
  INDEX('Hulp (definities)'!E:E,
        MATCH("Totale pensioenslasten",'Hulp (definities)'!A:A,0)
  ),
  "Totale pensioenslasten"
)</f>
        <v>Totale pensioenslasten</v>
      </c>
      <c r="C26" s="442"/>
      <c r="D26" s="457" t="str">
        <f ca="1">IF(D16="","",E63)</f>
        <v/>
      </c>
      <c r="E26" s="458" t="str">
        <f ca="1">IF(D16="","",E24*D26)</f>
        <v/>
      </c>
      <c r="F26" s="457" t="str">
        <f ca="1">IF(F16="","",G63)</f>
        <v/>
      </c>
      <c r="G26" s="458" t="str">
        <f ca="1">IF(F16="","",G24*F26)</f>
        <v/>
      </c>
      <c r="H26" s="457" t="str">
        <f ca="1">IF(H16="","",I63)</f>
        <v/>
      </c>
      <c r="I26" s="458" t="str">
        <f ca="1">IF(H16="","",I24*H26)</f>
        <v/>
      </c>
      <c r="J26" s="457" t="str">
        <f ca="1">IF(J16="","",K63)</f>
        <v/>
      </c>
      <c r="K26" s="458" t="str">
        <f ca="1">IF(J16="","",K24*J26)</f>
        <v/>
      </c>
      <c r="L26" s="457" t="str">
        <f ca="1">IF(L16="","",M63)</f>
        <v/>
      </c>
      <c r="M26" s="458" t="str">
        <f ca="1">IF(L16="","",M24*L26)</f>
        <v/>
      </c>
      <c r="N26" s="457" t="str">
        <f ca="1">IF(N16="","",O63)</f>
        <v/>
      </c>
      <c r="O26" s="458" t="str">
        <f ca="1">IF(N16="","",O24*N26)</f>
        <v/>
      </c>
      <c r="P26" s="457" t="str">
        <f ca="1">IF(P16="","",Q63)</f>
        <v/>
      </c>
      <c r="Q26" s="458" t="str">
        <f ca="1">IF(P16="","",Q24*P26)</f>
        <v/>
      </c>
      <c r="R26" s="457" t="str">
        <f ca="1">IF(R16="","",S63)</f>
        <v/>
      </c>
      <c r="S26" s="458" t="str">
        <f ca="1">IF(R16="","",S24*R26)</f>
        <v/>
      </c>
      <c r="T26" s="457" t="str">
        <f ca="1">IF(T16="","",U63)</f>
        <v/>
      </c>
      <c r="U26" s="458" t="str">
        <f ca="1">IF(T16="","",U24*T26)</f>
        <v/>
      </c>
      <c r="V26" s="457" t="str">
        <f ca="1">IF(V16="","",W63)</f>
        <v/>
      </c>
      <c r="W26" s="458" t="str">
        <f ca="1">IF(V16="","",W24*V26)</f>
        <v/>
      </c>
      <c r="X26" s="457" t="str">
        <f ca="1">IF(X16="","",Y63)</f>
        <v/>
      </c>
      <c r="Y26" s="458" t="str">
        <f ca="1">IF(X16="","",Y24*X26)</f>
        <v/>
      </c>
      <c r="Z26" s="457" t="str">
        <f ca="1">IF(Z16="","",AA63)</f>
        <v/>
      </c>
      <c r="AA26" s="458" t="str">
        <f ca="1">IF(Z16="","",AA24*Z26)</f>
        <v/>
      </c>
      <c r="AB26" s="457" t="str">
        <f ca="1">IF(AB16="","",AC63)</f>
        <v/>
      </c>
      <c r="AC26" s="458" t="str">
        <f ca="1">IF(AB16="","",AC24*AB26)</f>
        <v/>
      </c>
      <c r="AD26" s="457" t="str">
        <f ca="1">IF(AD16="","",AE63)</f>
        <v/>
      </c>
      <c r="AE26" s="458" t="str">
        <f ca="1">IF(AD16="","",AE24*AD26)</f>
        <v/>
      </c>
      <c r="AF26" s="457" t="str">
        <f ca="1">IF(AF16="","",AG63)</f>
        <v/>
      </c>
      <c r="AG26" s="458" t="str">
        <f ca="1">IF(AF16="","",AG24*AF26)</f>
        <v/>
      </c>
      <c r="AH26" s="457" t="str">
        <f ca="1">IF(AH16="","",AI63)</f>
        <v/>
      </c>
      <c r="AI26" s="458" t="str">
        <f ca="1">IF(AH16="","",AI24*AH26)</f>
        <v/>
      </c>
      <c r="AJ26" s="457" t="str">
        <f ca="1">IF(AJ16="","",AK63)</f>
        <v/>
      </c>
      <c r="AK26" s="458" t="str">
        <f ca="1">IF(AJ16="","",AK24*AJ26)</f>
        <v/>
      </c>
      <c r="AL26" s="457" t="str">
        <f ca="1">IF(AL16="","",AM63)</f>
        <v/>
      </c>
      <c r="AM26" s="458" t="str">
        <f ca="1">IF(AL16="","",AM24*AL26)</f>
        <v/>
      </c>
      <c r="AN26" s="457" t="str">
        <f ca="1">IF(AN16="","",AO63)</f>
        <v/>
      </c>
      <c r="AO26" s="458" t="str">
        <f ca="1">IF(AN16="","",AO24*AN26)</f>
        <v/>
      </c>
      <c r="AP26" s="457" t="str">
        <f ca="1">IF(AP16="","",AQ63)</f>
        <v/>
      </c>
      <c r="AQ26" s="458" t="str">
        <f ca="1">IF(AP16="","",AQ24*AP26)</f>
        <v/>
      </c>
      <c r="AR26" s="457" t="str">
        <f ca="1">IF(AR16="","",AS63)</f>
        <v/>
      </c>
      <c r="AS26" s="458" t="str">
        <f ca="1">IF(AR16="","",AS24*AR26)</f>
        <v/>
      </c>
      <c r="AT26" s="457" t="str">
        <f ca="1">IF(AT16="","",AU63)</f>
        <v/>
      </c>
      <c r="AU26" s="458" t="str">
        <f ca="1">IF(AT16="","",AU24*AT26)</f>
        <v/>
      </c>
      <c r="AV26" s="457" t="str">
        <f ca="1">IF(AV16="","",AW63)</f>
        <v/>
      </c>
      <c r="AW26" s="458" t="str">
        <f ca="1">IF(AV16="","",AW24*AV26)</f>
        <v/>
      </c>
      <c r="AX26" s="457" t="str">
        <f ca="1">IF(AX16="","",AY63)</f>
        <v/>
      </c>
      <c r="AY26" s="458" t="str">
        <f ca="1">IF(AX16="","",AY24*AX26)</f>
        <v/>
      </c>
      <c r="AZ26" s="457" t="str">
        <f ca="1">IF(AZ16="","",BA63)</f>
        <v/>
      </c>
      <c r="BA26" s="458" t="str">
        <f ca="1">IF(AZ16="","",BA24*AZ26)</f>
        <v/>
      </c>
      <c r="BB26" s="457" t="str">
        <f ca="1">IF(BB16="","",BC63)</f>
        <v/>
      </c>
      <c r="BC26" s="458" t="str">
        <f ca="1">IF(BB16="","",BC24*BB26)</f>
        <v/>
      </c>
      <c r="BD26" s="457" t="str">
        <f ca="1">IF(BD16="","",BE63)</f>
        <v/>
      </c>
      <c r="BE26" s="458" t="str">
        <f ca="1">IF(BD16="","",BE24*BD26)</f>
        <v/>
      </c>
      <c r="BF26" s="457" t="str">
        <f ca="1">IF(BF16="","",BG63)</f>
        <v/>
      </c>
      <c r="BG26" s="458" t="str">
        <f ca="1">IF(BF16="","",BG24*BF26)</f>
        <v/>
      </c>
      <c r="BH26" s="457" t="str">
        <f ca="1">IF(BH16="","",BI63)</f>
        <v/>
      </c>
      <c r="BI26" s="458" t="str">
        <f ca="1">IF(BH16="","",BI24*BH26)</f>
        <v/>
      </c>
      <c r="BJ26" s="457" t="str">
        <f ca="1">IF(BJ16="","",BK63)</f>
        <v/>
      </c>
      <c r="BK26" s="458" t="str">
        <f ca="1">IF(BJ16="","",BK24*BJ26)</f>
        <v/>
      </c>
      <c r="BL26" s="457" t="str">
        <f ca="1">IF(BL16="","",BM63)</f>
        <v/>
      </c>
      <c r="BM26" s="458" t="str">
        <f ca="1">IF(BL16="","",BM24*BL26)</f>
        <v/>
      </c>
      <c r="BN26" s="457" t="str">
        <f ca="1">IF(BN16="","",BO63)</f>
        <v/>
      </c>
      <c r="BO26" s="458" t="str">
        <f ca="1">IF(BN16="","",BO24*BN26)</f>
        <v/>
      </c>
      <c r="BP26" s="457" t="str">
        <f ca="1">IF(BP16="","",BQ63)</f>
        <v/>
      </c>
      <c r="BQ26" s="458" t="str">
        <f ca="1">IF(BP16="","",BQ24*BP26)</f>
        <v/>
      </c>
      <c r="BR26" s="457" t="str">
        <f ca="1">IF(BR16="","",BS63)</f>
        <v/>
      </c>
      <c r="BS26" s="458" t="str">
        <f ca="1">IF(BR16="","",BS24*BR26)</f>
        <v/>
      </c>
      <c r="BT26" s="457" t="str">
        <f ca="1">IF(BT16="","",BU63)</f>
        <v/>
      </c>
      <c r="BU26" s="458" t="str">
        <f ca="1">IF(BT16="","",BU24*BT26)</f>
        <v/>
      </c>
      <c r="BV26" s="457" t="str">
        <f ca="1">IF(BV16="","",BW63)</f>
        <v/>
      </c>
      <c r="BW26" s="458" t="str">
        <f ca="1">IF(BV16="","",BW24*BV26)</f>
        <v/>
      </c>
      <c r="BX26" s="457" t="str">
        <f ca="1">IF(BX16="","",BY63)</f>
        <v/>
      </c>
      <c r="BY26" s="458" t="str">
        <f ca="1">IF(BX16="","",BY24*BX26)</f>
        <v/>
      </c>
      <c r="BZ26" s="457" t="str">
        <f ca="1">IF(BZ16="","",CA63)</f>
        <v/>
      </c>
      <c r="CA26" s="458" t="str">
        <f ca="1">IF(BZ16="","",CA24*BZ26)</f>
        <v/>
      </c>
      <c r="CB26" s="457" t="str">
        <f ca="1">IF(CB16="","",CC63)</f>
        <v/>
      </c>
      <c r="CC26" s="458" t="str">
        <f ca="1">IF(CB16="","",CC24*CB26)</f>
        <v/>
      </c>
      <c r="CD26" s="457" t="str">
        <f ca="1">IF(CD16="","",CE63)</f>
        <v/>
      </c>
      <c r="CE26" s="458" t="str">
        <f ca="1">IF(CD16="","",CE24*CD26)</f>
        <v/>
      </c>
      <c r="CF26" s="320"/>
      <c r="CG26" s="289"/>
      <c r="CH26" s="289"/>
      <c r="CI26" s="289"/>
      <c r="CJ26" s="289"/>
      <c r="CK26" s="289"/>
      <c r="CL26" s="289"/>
      <c r="CM26" s="289"/>
      <c r="CN26" s="289"/>
      <c r="CO26" s="289"/>
      <c r="CP26" s="289"/>
      <c r="CQ26" s="289"/>
      <c r="CR26" s="289"/>
      <c r="CS26" s="289"/>
      <c r="CT26" s="289"/>
      <c r="CU26" s="289"/>
      <c r="CV26" s="289"/>
      <c r="CW26" s="289"/>
      <c r="CX26" s="289"/>
      <c r="CY26" s="289"/>
      <c r="CZ26" s="289"/>
    </row>
    <row r="27" spans="1:104" x14ac:dyDescent="0.45">
      <c r="A27" s="289"/>
      <c r="B27" s="392" t="s">
        <v>9</v>
      </c>
      <c r="C27" s="455"/>
      <c r="D27" s="455"/>
      <c r="E27" s="456" t="str">
        <f ca="1">IF(D16="","",SUM(E24:E26))</f>
        <v/>
      </c>
      <c r="F27" s="455"/>
      <c r="G27" s="456" t="str">
        <f ca="1">IF(F16="","",SUM(G24:G26))</f>
        <v/>
      </c>
      <c r="H27" s="455"/>
      <c r="I27" s="456" t="str">
        <f ca="1">IF(H16="","",SUM(I24:I26))</f>
        <v/>
      </c>
      <c r="J27" s="455"/>
      <c r="K27" s="456" t="str">
        <f ca="1">IF(J16="","",SUM(K24:K26))</f>
        <v/>
      </c>
      <c r="L27" s="455"/>
      <c r="M27" s="456" t="str">
        <f ca="1">IF(L16="","",SUM(M24:M26))</f>
        <v/>
      </c>
      <c r="N27" s="455"/>
      <c r="O27" s="456" t="str">
        <f ca="1">IF(N16="","",SUM(O24:O26))</f>
        <v/>
      </c>
      <c r="P27" s="455"/>
      <c r="Q27" s="456" t="str">
        <f ca="1">IF(P16="","",SUM(Q24:Q26))</f>
        <v/>
      </c>
      <c r="R27" s="455"/>
      <c r="S27" s="456" t="str">
        <f ca="1">IF(R16="","",SUM(S24:S26))</f>
        <v/>
      </c>
      <c r="T27" s="455"/>
      <c r="U27" s="456" t="str">
        <f ca="1">IF(T16="","",SUM(U24:U26))</f>
        <v/>
      </c>
      <c r="V27" s="455"/>
      <c r="W27" s="456" t="str">
        <f ca="1">IF(V16="","",SUM(W24:W26))</f>
        <v/>
      </c>
      <c r="X27" s="455"/>
      <c r="Y27" s="456" t="str">
        <f ca="1">IF(X16="","",SUM(Y24:Y26))</f>
        <v/>
      </c>
      <c r="Z27" s="455"/>
      <c r="AA27" s="456" t="str">
        <f ca="1">IF(Z16="","",SUM(AA24:AA26))</f>
        <v/>
      </c>
      <c r="AB27" s="455"/>
      <c r="AC27" s="456" t="str">
        <f ca="1">IF(AB16="","",SUM(AC24:AC26))</f>
        <v/>
      </c>
      <c r="AD27" s="455"/>
      <c r="AE27" s="456" t="str">
        <f ca="1">IF(AD16="","",SUM(AE24:AE26))</f>
        <v/>
      </c>
      <c r="AF27" s="455"/>
      <c r="AG27" s="456" t="str">
        <f ca="1">IF(AF16="","",SUM(AG24:AG26))</f>
        <v/>
      </c>
      <c r="AH27" s="455"/>
      <c r="AI27" s="456" t="str">
        <f ca="1">IF(AH16="","",SUM(AI24:AI26))</f>
        <v/>
      </c>
      <c r="AJ27" s="455"/>
      <c r="AK27" s="456" t="str">
        <f ca="1">IF(AJ16="","",SUM(AK24:AK26))</f>
        <v/>
      </c>
      <c r="AL27" s="455"/>
      <c r="AM27" s="456" t="str">
        <f ca="1">IF(AL16="","",SUM(AM24:AM26))</f>
        <v/>
      </c>
      <c r="AN27" s="455"/>
      <c r="AO27" s="456" t="str">
        <f ca="1">IF(AN16="","",SUM(AO24:AO26))</f>
        <v/>
      </c>
      <c r="AP27" s="455"/>
      <c r="AQ27" s="456" t="str">
        <f ca="1">IF(AP16="","",SUM(AQ24:AQ26))</f>
        <v/>
      </c>
      <c r="AR27" s="455"/>
      <c r="AS27" s="456" t="str">
        <f ca="1">IF(AR16="","",SUM(AS24:AS26))</f>
        <v/>
      </c>
      <c r="AT27" s="455"/>
      <c r="AU27" s="456" t="str">
        <f ca="1">IF(AT16="","",SUM(AU24:AU26))</f>
        <v/>
      </c>
      <c r="AV27" s="455"/>
      <c r="AW27" s="456" t="str">
        <f ca="1">IF(AV16="","",SUM(AW24:AW26))</f>
        <v/>
      </c>
      <c r="AX27" s="455"/>
      <c r="AY27" s="456" t="str">
        <f ca="1">IF(AX16="","",SUM(AY24:AY26))</f>
        <v/>
      </c>
      <c r="AZ27" s="455"/>
      <c r="BA27" s="456" t="str">
        <f ca="1">IF(AZ16="","",SUM(BA24:BA26))</f>
        <v/>
      </c>
      <c r="BB27" s="455"/>
      <c r="BC27" s="456" t="str">
        <f ca="1">IF(BB16="","",SUM(BC24:BC26))</f>
        <v/>
      </c>
      <c r="BD27" s="455"/>
      <c r="BE27" s="456" t="str">
        <f ca="1">IF(BD16="","",SUM(BE24:BE26))</f>
        <v/>
      </c>
      <c r="BF27" s="455"/>
      <c r="BG27" s="456" t="str">
        <f ca="1">IF(BF16="","",SUM(BG24:BG26))</f>
        <v/>
      </c>
      <c r="BH27" s="455"/>
      <c r="BI27" s="456" t="str">
        <f ca="1">IF(BH16="","",SUM(BI24:BI26))</f>
        <v/>
      </c>
      <c r="BJ27" s="455"/>
      <c r="BK27" s="456" t="str">
        <f ca="1">IF(BJ16="","",SUM(BK24:BK26))</f>
        <v/>
      </c>
      <c r="BL27" s="455"/>
      <c r="BM27" s="456" t="str">
        <f ca="1">IF(BL16="","",SUM(BM24:BM26))</f>
        <v/>
      </c>
      <c r="BN27" s="455"/>
      <c r="BO27" s="456" t="str">
        <f ca="1">IF(BN16="","",SUM(BO24:BO26))</f>
        <v/>
      </c>
      <c r="BP27" s="455"/>
      <c r="BQ27" s="456" t="str">
        <f ca="1">IF(BP16="","",SUM(BQ24:BQ26))</f>
        <v/>
      </c>
      <c r="BR27" s="455"/>
      <c r="BS27" s="456" t="str">
        <f ca="1">IF(BR16="","",SUM(BS24:BS26))</f>
        <v/>
      </c>
      <c r="BT27" s="455"/>
      <c r="BU27" s="456" t="str">
        <f ca="1">IF(BT16="","",SUM(BU24:BU26))</f>
        <v/>
      </c>
      <c r="BV27" s="455"/>
      <c r="BW27" s="456" t="str">
        <f ca="1">IF(BV16="","",SUM(BW24:BW26))</f>
        <v/>
      </c>
      <c r="BX27" s="455"/>
      <c r="BY27" s="456" t="str">
        <f ca="1">IF(BX16="","",SUM(BY24:BY26))</f>
        <v/>
      </c>
      <c r="BZ27" s="455"/>
      <c r="CA27" s="456" t="str">
        <f ca="1">IF(BZ16="","",SUM(CA24:CA26))</f>
        <v/>
      </c>
      <c r="CB27" s="455"/>
      <c r="CC27" s="456" t="str">
        <f ca="1">IF(CB16="","",SUM(CC24:CC26))</f>
        <v/>
      </c>
      <c r="CD27" s="455"/>
      <c r="CE27" s="456" t="str">
        <f ca="1">IF(CD16="","",SUM(CE24:CE26))</f>
        <v/>
      </c>
      <c r="CF27" s="320"/>
      <c r="CG27" s="289"/>
      <c r="CH27" s="289"/>
      <c r="CI27" s="289"/>
      <c r="CJ27" s="289"/>
      <c r="CK27" s="289"/>
      <c r="CL27" s="289"/>
      <c r="CM27" s="289"/>
      <c r="CN27" s="289"/>
      <c r="CO27" s="289"/>
      <c r="CP27" s="289"/>
      <c r="CQ27" s="289"/>
      <c r="CR27" s="289"/>
      <c r="CS27" s="289"/>
      <c r="CT27" s="289"/>
      <c r="CU27" s="289"/>
      <c r="CV27" s="289"/>
      <c r="CW27" s="289"/>
      <c r="CX27" s="289"/>
      <c r="CY27" s="289"/>
      <c r="CZ27" s="289"/>
    </row>
    <row r="28" spans="1:104" x14ac:dyDescent="0.45">
      <c r="A28" s="289"/>
      <c r="B28" s="432" t="s">
        <v>67</v>
      </c>
      <c r="C28" s="457" t="str">
        <f>IF('Hulp (control forms)'!$C$12&lt;&gt;TRUE,IF('1a. Input organisatieniveau'!$I29="","",SUM('1a. Input organisatieniveau'!$I29)), "")</f>
        <v/>
      </c>
      <c r="D28" s="459" t="str">
        <f ca="1">IF(D16="","",
IF('Hulp (control forms)'!$C$12=TRUE,
   IF(INDEX('1a. Input organisatieniveau'!$L20:$N20, MATCH(D15, '1a. Input organisatieniveau'!$L6:$N6, 0))="","",
INDEX('1a. Input organisatieniveau'!$L20:$N20, MATCH(D15, '1a. Input organisatieniveau'!$L6:$N6, 0))),
""))</f>
        <v/>
      </c>
      <c r="E28" s="460" t="str">
        <f ca="1">IF(D16="","",E27*IF(D28&lt;&gt;"",D28,$C$28))</f>
        <v/>
      </c>
      <c r="F28" s="459" t="str">
        <f ca="1">IF(F16="","",
IF('Hulp (control forms)'!$C$12=TRUE,
   IF(INDEX('1a. Input organisatieniveau'!$L20:$N20, MATCH(F15, '1a. Input organisatieniveau'!$L6:$N6, 0))="","",
INDEX('1a. Input organisatieniveau'!$L20:$N20, MATCH(F15, '1a. Input organisatieniveau'!$L6:$N6, 0))),
""))</f>
        <v/>
      </c>
      <c r="G28" s="460" t="str">
        <f ca="1">IF(F16="","",G27*IF(F28&lt;&gt;"",F28,$C$28))</f>
        <v/>
      </c>
      <c r="H28" s="459" t="str">
        <f ca="1">IF(H16="","",
IF('Hulp (control forms)'!$C$12=TRUE,
   IF(INDEX('1a. Input organisatieniveau'!$L20:$N20, MATCH(H15, '1a. Input organisatieniveau'!$L6:$N6, 0))="","",
INDEX('1a. Input organisatieniveau'!$L20:$N20, MATCH(H15, '1a. Input organisatieniveau'!$L6:$N6, 0))),
""))</f>
        <v/>
      </c>
      <c r="I28" s="460" t="str">
        <f ca="1">IF(H16="","",I27*IF(H28&lt;&gt;"",H28,$C$28))</f>
        <v/>
      </c>
      <c r="J28" s="459" t="str">
        <f ca="1">IF(J16="","",
IF('Hulp (control forms)'!$C$12=TRUE,
   IF(INDEX('1a. Input organisatieniveau'!$L20:$N20, MATCH(J15, '1a. Input organisatieniveau'!$L6:$N6, 0))="","",
INDEX('1a. Input organisatieniveau'!$L20:$N20, MATCH(J15, '1a. Input organisatieniveau'!$L6:$N6, 0))),
""))</f>
        <v/>
      </c>
      <c r="K28" s="460" t="str">
        <f ca="1">IF(J16="","",K27*IF(J28&lt;&gt;"",J28,$C$28))</f>
        <v/>
      </c>
      <c r="L28" s="459" t="str">
        <f ca="1">IF(L16="","",
IF('Hulp (control forms)'!$C$12=TRUE,
   IF(INDEX('1a. Input organisatieniveau'!$L20:$N20, MATCH(L15, '1a. Input organisatieniveau'!$L6:$N6, 0))="","",
INDEX('1a. Input organisatieniveau'!$L20:$N20, MATCH(L15, '1a. Input organisatieniveau'!$L6:$N6, 0))),
""))</f>
        <v/>
      </c>
      <c r="M28" s="460" t="str">
        <f ca="1">IF(L16="","",M27*IF(L28&lt;&gt;"",L28,$C$28))</f>
        <v/>
      </c>
      <c r="N28" s="459" t="str">
        <f ca="1">IF(N16="","",
IF('Hulp (control forms)'!$C$12=TRUE,
   IF(INDEX('1a. Input organisatieniveau'!$L20:$N20, MATCH(N15, '1a. Input organisatieniveau'!$L6:$N6, 0))="","",
INDEX('1a. Input organisatieniveau'!$L20:$N20, MATCH(N15, '1a. Input organisatieniveau'!$L6:$N6, 0))),
""))</f>
        <v/>
      </c>
      <c r="O28" s="460" t="str">
        <f ca="1">IF(N16="","",O27*IF(N28&lt;&gt;"",N28,$C$28))</f>
        <v/>
      </c>
      <c r="P28" s="459" t="str">
        <f ca="1">IF(P16="","",
IF('Hulp (control forms)'!$C$12=TRUE,
   IF(INDEX('1a. Input organisatieniveau'!$L20:$N20, MATCH(P15, '1a. Input organisatieniveau'!$L6:$N6, 0))="","",
INDEX('1a. Input organisatieniveau'!$L20:$N20, MATCH(P15, '1a. Input organisatieniveau'!$L6:$N6, 0))),
""))</f>
        <v/>
      </c>
      <c r="Q28" s="460" t="str">
        <f ca="1">IF(P16="","",Q27*IF(P28&lt;&gt;"",P28,$C$28))</f>
        <v/>
      </c>
      <c r="R28" s="459" t="str">
        <f ca="1">IF(R16="","",
IF('Hulp (control forms)'!$C$12=TRUE,
   IF(INDEX('1a. Input organisatieniveau'!$L20:$N20, MATCH(R15, '1a. Input organisatieniveau'!$L6:$N6, 0))="","",
INDEX('1a. Input organisatieniveau'!$L20:$N20, MATCH(R15, '1a. Input organisatieniveau'!$L6:$N6, 0))),
""))</f>
        <v/>
      </c>
      <c r="S28" s="460" t="str">
        <f ca="1">IF(R16="","",S27*IF(R28&lt;&gt;"",R28,$C$28))</f>
        <v/>
      </c>
      <c r="T28" s="459" t="str">
        <f ca="1">IF(T16="","",
IF('Hulp (control forms)'!$C$12=TRUE,
   IF(INDEX('1a. Input organisatieniveau'!$L20:$N20, MATCH(T15, '1a. Input organisatieniveau'!$L6:$N6, 0))="","",
INDEX('1a. Input organisatieniveau'!$L20:$N20, MATCH(T15, '1a. Input organisatieniveau'!$L6:$N6, 0))),
""))</f>
        <v/>
      </c>
      <c r="U28" s="460" t="str">
        <f ca="1">IF(T16="","",U27*IF(T28&lt;&gt;"",T28,$C$28))</f>
        <v/>
      </c>
      <c r="V28" s="459" t="str">
        <f ca="1">IF(V16="","",
IF('Hulp (control forms)'!$C$12=TRUE,
   IF(INDEX('1a. Input organisatieniveau'!$L20:$N20, MATCH(V15, '1a. Input organisatieniveau'!$L6:$N6, 0))="","",
INDEX('1a. Input organisatieniveau'!$L20:$N20, MATCH(V15, '1a. Input organisatieniveau'!$L6:$N6, 0))),
""))</f>
        <v/>
      </c>
      <c r="W28" s="460" t="str">
        <f ca="1">IF(V16="","",W27*IF(V28&lt;&gt;"",V28,$C$28))</f>
        <v/>
      </c>
      <c r="X28" s="459" t="str">
        <f ca="1">IF(X16="","",
IF('Hulp (control forms)'!$C$12=TRUE,
   IF(INDEX('1a. Input organisatieniveau'!$L20:$N20, MATCH(X15, '1a. Input organisatieniveau'!$L6:$N6, 0))="","",
INDEX('1a. Input organisatieniveau'!$L20:$N20, MATCH(X15, '1a. Input organisatieniveau'!$L6:$N6, 0))),
""))</f>
        <v/>
      </c>
      <c r="Y28" s="460" t="str">
        <f ca="1">IF(X16="","",Y27*IF(X28&lt;&gt;"",X28,$C$28))</f>
        <v/>
      </c>
      <c r="Z28" s="459" t="str">
        <f ca="1">IF(Z16="","",
IF('Hulp (control forms)'!$C$12=TRUE,
   IF(INDEX('1a. Input organisatieniveau'!$L20:$N20, MATCH(Z15, '1a. Input organisatieniveau'!$L6:$N6, 0))="","",
INDEX('1a. Input organisatieniveau'!$L20:$N20, MATCH(Z15, '1a. Input organisatieniveau'!$L6:$N6, 0))),
""))</f>
        <v/>
      </c>
      <c r="AA28" s="460" t="str">
        <f ca="1">IF(Z16="","",AA27*IF(Z28&lt;&gt;"",Z28,$C$28))</f>
        <v/>
      </c>
      <c r="AB28" s="459" t="str">
        <f ca="1">IF(AB16="","",
IF('Hulp (control forms)'!$C$12=TRUE,
   IF(INDEX('1a. Input organisatieniveau'!$L20:$N20, MATCH(AB15, '1a. Input organisatieniveau'!$L6:$N6, 0))="","",
INDEX('1a. Input organisatieniveau'!$L20:$N20, MATCH(AB15, '1a. Input organisatieniveau'!$L6:$N6, 0))),
""))</f>
        <v/>
      </c>
      <c r="AC28" s="460" t="str">
        <f ca="1">IF(AB16="","",AC27*IF(AB28&lt;&gt;"",AB28,$C$28))</f>
        <v/>
      </c>
      <c r="AD28" s="459" t="str">
        <f ca="1">IF(AD16="","",
IF('Hulp (control forms)'!$C$12=TRUE,
   IF(INDEX('1a. Input organisatieniveau'!$L20:$N20, MATCH(AD15, '1a. Input organisatieniveau'!$L6:$N6, 0))="","",
INDEX('1a. Input organisatieniveau'!$L20:$N20, MATCH(AD15, '1a. Input organisatieniveau'!$L6:$N6, 0))),
""))</f>
        <v/>
      </c>
      <c r="AE28" s="460" t="str">
        <f ca="1">IF(AD16="","",AE27*IF(AD28&lt;&gt;"",AD28,$C$28))</f>
        <v/>
      </c>
      <c r="AF28" s="459" t="str">
        <f ca="1">IF(AF16="","",
IF('Hulp (control forms)'!$C$12=TRUE,
   IF(INDEX('1a. Input organisatieniveau'!$L20:$N20, MATCH(AF15, '1a. Input organisatieniveau'!$L6:$N6, 0))="","",
INDEX('1a. Input organisatieniveau'!$L20:$N20, MATCH(AF15, '1a. Input organisatieniveau'!$L6:$N6, 0))),
""))</f>
        <v/>
      </c>
      <c r="AG28" s="460" t="str">
        <f ca="1">IF(AF16="","",AG27*IF(AF28&lt;&gt;"",AF28,$C$28))</f>
        <v/>
      </c>
      <c r="AH28" s="459" t="str">
        <f ca="1">IF(AH16="","",
IF('Hulp (control forms)'!$C$12=TRUE,
   IF(INDEX('1a. Input organisatieniveau'!$L20:$N20, MATCH(AH15, '1a. Input organisatieniveau'!$L6:$N6, 0))="","",
INDEX('1a. Input organisatieniveau'!$L20:$N20, MATCH(AH15, '1a. Input organisatieniveau'!$L6:$N6, 0))),
""))</f>
        <v/>
      </c>
      <c r="AI28" s="460" t="str">
        <f ca="1">IF(AH16="","",AI27*IF(AH28&lt;&gt;"",AH28,$C$28))</f>
        <v/>
      </c>
      <c r="AJ28" s="459" t="str">
        <f ca="1">IF(AJ16="","",
IF('Hulp (control forms)'!$C$12=TRUE,
   IF(INDEX('1a. Input organisatieniveau'!$L20:$N20, MATCH(AJ15, '1a. Input organisatieniveau'!$L6:$N6, 0))="","",
INDEX('1a. Input organisatieniveau'!$L20:$N20, MATCH(AJ15, '1a. Input organisatieniveau'!$L6:$N6, 0))),
""))</f>
        <v/>
      </c>
      <c r="AK28" s="460" t="str">
        <f ca="1">IF(AJ16="","",AK27*IF(AJ28&lt;&gt;"",AJ28,$C$28))</f>
        <v/>
      </c>
      <c r="AL28" s="459" t="str">
        <f ca="1">IF(AL16="","",
IF('Hulp (control forms)'!$C$12=TRUE,
   IF(INDEX('1a. Input organisatieniveau'!$L20:$N20, MATCH(AL15, '1a. Input organisatieniveau'!$L6:$N6, 0))="","",
INDEX('1a. Input organisatieniveau'!$L20:$N20, MATCH(AL15, '1a. Input organisatieniveau'!$L6:$N6, 0))),
""))</f>
        <v/>
      </c>
      <c r="AM28" s="460" t="str">
        <f ca="1">IF(AL16="","",AM27*IF(AL28&lt;&gt;"",AL28,$C$28))</f>
        <v/>
      </c>
      <c r="AN28" s="459" t="str">
        <f ca="1">IF(AN16="","",
IF('Hulp (control forms)'!$C$12=TRUE,
   IF(INDEX('1a. Input organisatieniveau'!$L20:$N20, MATCH(AN15, '1a. Input organisatieniveau'!$L6:$N6, 0))="","",
INDEX('1a. Input organisatieniveau'!$L20:$N20, MATCH(AN15, '1a. Input organisatieniveau'!$L6:$N6, 0))),
""))</f>
        <v/>
      </c>
      <c r="AO28" s="460" t="str">
        <f ca="1">IF(AN16="","",AO27*IF(AN28&lt;&gt;"",AN28,$C$28))</f>
        <v/>
      </c>
      <c r="AP28" s="459" t="str">
        <f ca="1">IF(AP16="","",
IF('Hulp (control forms)'!$C$12=TRUE,
   IF(INDEX('1a. Input organisatieniveau'!$L20:$N20, MATCH(AP15, '1a. Input organisatieniveau'!$L6:$N6, 0))="","",
INDEX('1a. Input organisatieniveau'!$L20:$N20, MATCH(AP15, '1a. Input organisatieniveau'!$L6:$N6, 0))),
""))</f>
        <v/>
      </c>
      <c r="AQ28" s="460" t="str">
        <f ca="1">IF(AP16="","",AQ27*IF(AP28&lt;&gt;"",AP28,$C$28))</f>
        <v/>
      </c>
      <c r="AR28" s="459" t="str">
        <f ca="1">IF(AR16="","",
IF('Hulp (control forms)'!$C$12=TRUE,
   IF(INDEX('1a. Input organisatieniveau'!$L20:$N20, MATCH(AR15, '1a. Input organisatieniveau'!$L6:$N6, 0))="","",
INDEX('1a. Input organisatieniveau'!$L20:$N20, MATCH(AR15, '1a. Input organisatieniveau'!$L6:$N6, 0))),
""))</f>
        <v/>
      </c>
      <c r="AS28" s="460" t="str">
        <f ca="1">IF(AR16="","",AS27*IF(AR28&lt;&gt;"",AR28,$C$28))</f>
        <v/>
      </c>
      <c r="AT28" s="459" t="str">
        <f ca="1">IF(AT16="","",
IF('Hulp (control forms)'!$C$12=TRUE,
   IF(INDEX('1a. Input organisatieniveau'!$L20:$N20, MATCH(AT15, '1a. Input organisatieniveau'!$L6:$N6, 0))="","",
INDEX('1a. Input organisatieniveau'!$L20:$N20, MATCH(AT15, '1a. Input organisatieniveau'!$L6:$N6, 0))),
""))</f>
        <v/>
      </c>
      <c r="AU28" s="460" t="str">
        <f ca="1">IF(AT16="","",AU27*IF(AT28&lt;&gt;"",AT28,$C$28))</f>
        <v/>
      </c>
      <c r="AV28" s="459" t="str">
        <f ca="1">IF(AV16="","",
IF('Hulp (control forms)'!$C$12=TRUE,
   IF(INDEX('1a. Input organisatieniveau'!$L20:$N20, MATCH(AV15, '1a. Input organisatieniveau'!$L6:$N6, 0))="","",
INDEX('1a. Input organisatieniveau'!$L20:$N20, MATCH(AV15, '1a. Input organisatieniveau'!$L6:$N6, 0))),
""))</f>
        <v/>
      </c>
      <c r="AW28" s="460" t="str">
        <f ca="1">IF(AV16="","",AW27*IF(AV28&lt;&gt;"",AV28,$C$28))</f>
        <v/>
      </c>
      <c r="AX28" s="459" t="str">
        <f ca="1">IF(AX16="","",
IF('Hulp (control forms)'!$C$12=TRUE,
   IF(INDEX('1a. Input organisatieniveau'!$L20:$N20, MATCH(AX15, '1a. Input organisatieniveau'!$L6:$N6, 0))="","",
INDEX('1a. Input organisatieniveau'!$L20:$N20, MATCH(AX15, '1a. Input organisatieniveau'!$L6:$N6, 0))),
""))</f>
        <v/>
      </c>
      <c r="AY28" s="460" t="str">
        <f ca="1">IF(AX16="","",AY27*IF(AX28&lt;&gt;"",AX28,$C$28))</f>
        <v/>
      </c>
      <c r="AZ28" s="459" t="str">
        <f ca="1">IF(AZ16="","",
IF('Hulp (control forms)'!$C$12=TRUE,
   IF(INDEX('1a. Input organisatieniveau'!$L20:$N20, MATCH(AZ15, '1a. Input organisatieniveau'!$L6:$N6, 0))="","",
INDEX('1a. Input organisatieniveau'!$L20:$N20, MATCH(AZ15, '1a. Input organisatieniveau'!$L6:$N6, 0))),
""))</f>
        <v/>
      </c>
      <c r="BA28" s="460" t="str">
        <f ca="1">IF(AZ16="","",BA27*IF(AZ28&lt;&gt;"",AZ28,$C$28))</f>
        <v/>
      </c>
      <c r="BB28" s="459" t="str">
        <f ca="1">IF(BB16="","",
IF('Hulp (control forms)'!$C$12=TRUE,
   IF(INDEX('1a. Input organisatieniveau'!$L20:$N20, MATCH(BB15, '1a. Input organisatieniveau'!$L6:$N6, 0))="","",
INDEX('1a. Input organisatieniveau'!$L20:$N20, MATCH(BB15, '1a. Input organisatieniveau'!$L6:$N6, 0))),
""))</f>
        <v/>
      </c>
      <c r="BC28" s="460" t="str">
        <f ca="1">IF(BB16="","",BC27*IF(BB28&lt;&gt;"",BB28,$C$28))</f>
        <v/>
      </c>
      <c r="BD28" s="459" t="str">
        <f ca="1">IF(BD16="","",
IF('Hulp (control forms)'!$C$12=TRUE,
   IF(INDEX('1a. Input organisatieniveau'!$L20:$N20, MATCH(BD15, '1a. Input organisatieniveau'!$L6:$N6, 0))="","",
INDEX('1a. Input organisatieniveau'!$L20:$N20, MATCH(BD15, '1a. Input organisatieniveau'!$L6:$N6, 0))),
""))</f>
        <v/>
      </c>
      <c r="BE28" s="460" t="str">
        <f ca="1">IF(BD16="","",BE27*IF(BD28&lt;&gt;"",BD28,$C$28))</f>
        <v/>
      </c>
      <c r="BF28" s="459" t="str">
        <f ca="1">IF(BF16="","",
IF('Hulp (control forms)'!$C$12=TRUE,
   IF(INDEX('1a. Input organisatieniveau'!$L20:$N20, MATCH(BF15, '1a. Input organisatieniveau'!$L6:$N6, 0))="","",
INDEX('1a. Input organisatieniveau'!$L20:$N20, MATCH(BF15, '1a. Input organisatieniveau'!$L6:$N6, 0))),
""))</f>
        <v/>
      </c>
      <c r="BG28" s="460" t="str">
        <f ca="1">IF(BF16="","",BG27*IF(BF28&lt;&gt;"",BF28,$C$28))</f>
        <v/>
      </c>
      <c r="BH28" s="459" t="str">
        <f ca="1">IF(BH16="","",
IF('Hulp (control forms)'!$C$12=TRUE,
   IF(INDEX('1a. Input organisatieniveau'!$L20:$N20, MATCH(BH15, '1a. Input organisatieniveau'!$L6:$N6, 0))="","",
INDEX('1a. Input organisatieniveau'!$L20:$N20, MATCH(BH15, '1a. Input organisatieniveau'!$L6:$N6, 0))),
""))</f>
        <v/>
      </c>
      <c r="BI28" s="460" t="str">
        <f ca="1">IF(BH16="","",BI27*IF(BH28&lt;&gt;"",BH28,$C$28))</f>
        <v/>
      </c>
      <c r="BJ28" s="459" t="str">
        <f ca="1">IF(BJ16="","",
IF('Hulp (control forms)'!$C$12=TRUE,
   IF(INDEX('1a. Input organisatieniveau'!$L20:$N20, MATCH(BJ15, '1a. Input organisatieniveau'!$L6:$N6, 0))="","",
INDEX('1a. Input organisatieniveau'!$L20:$N20, MATCH(BJ15, '1a. Input organisatieniveau'!$L6:$N6, 0))),
""))</f>
        <v/>
      </c>
      <c r="BK28" s="460" t="str">
        <f ca="1">IF(BJ16="","",BK27*IF(BJ28&lt;&gt;"",BJ28,$C$28))</f>
        <v/>
      </c>
      <c r="BL28" s="459" t="str">
        <f ca="1">IF(BL16="","",
IF('Hulp (control forms)'!$C$12=TRUE,
   IF(INDEX('1a. Input organisatieniveau'!$L20:$N20, MATCH(BL15, '1a. Input organisatieniveau'!$L6:$N6, 0))="","",
INDEX('1a. Input organisatieniveau'!$L20:$N20, MATCH(BL15, '1a. Input organisatieniveau'!$L6:$N6, 0))),
""))</f>
        <v/>
      </c>
      <c r="BM28" s="460" t="str">
        <f ca="1">IF(BL16="","",BM27*IF(BL28&lt;&gt;"",BL28,$C$28))</f>
        <v/>
      </c>
      <c r="BN28" s="459" t="str">
        <f ca="1">IF(BN16="","",
IF('Hulp (control forms)'!$C$12=TRUE,
   IF(INDEX('1a. Input organisatieniveau'!$L20:$N20, MATCH(BN15, '1a. Input organisatieniveau'!$L6:$N6, 0))="","",
INDEX('1a. Input organisatieniveau'!$L20:$N20, MATCH(BN15, '1a. Input organisatieniveau'!$L6:$N6, 0))),
""))</f>
        <v/>
      </c>
      <c r="BO28" s="460" t="str">
        <f ca="1">IF(BN16="","",BO27*IF(BN28&lt;&gt;"",BN28,$C$28))</f>
        <v/>
      </c>
      <c r="BP28" s="459" t="str">
        <f ca="1">IF(BP16="","",
IF('Hulp (control forms)'!$C$12=TRUE,
   IF(INDEX('1a. Input organisatieniveau'!$L20:$N20, MATCH(BP15, '1a. Input organisatieniveau'!$L6:$N6, 0))="","",
INDEX('1a. Input organisatieniveau'!$L20:$N20, MATCH(BP15, '1a. Input organisatieniveau'!$L6:$N6, 0))),
""))</f>
        <v/>
      </c>
      <c r="BQ28" s="460" t="str">
        <f ca="1">IF(BP16="","",BQ27*IF(BP28&lt;&gt;"",BP28,$C$28))</f>
        <v/>
      </c>
      <c r="BR28" s="459" t="str">
        <f ca="1">IF(BR16="","",
IF('Hulp (control forms)'!$C$12=TRUE,
   IF(INDEX('1a. Input organisatieniveau'!$L20:$N20, MATCH(BR15, '1a. Input organisatieniveau'!$L6:$N6, 0))="","",
INDEX('1a. Input organisatieniveau'!$L20:$N20, MATCH(BR15, '1a. Input organisatieniveau'!$L6:$N6, 0))),
""))</f>
        <v/>
      </c>
      <c r="BS28" s="460" t="str">
        <f ca="1">IF(BR16="","",BS27*IF(BR28&lt;&gt;"",BR28,$C$28))</f>
        <v/>
      </c>
      <c r="BT28" s="459" t="str">
        <f ca="1">IF(BT16="","",
IF('Hulp (control forms)'!$C$12=TRUE,
   IF(INDEX('1a. Input organisatieniveau'!$L20:$N20, MATCH(BT15, '1a. Input organisatieniveau'!$L6:$N6, 0))="","",
INDEX('1a. Input organisatieniveau'!$L20:$N20, MATCH(BT15, '1a. Input organisatieniveau'!$L6:$N6, 0))),
""))</f>
        <v/>
      </c>
      <c r="BU28" s="460" t="str">
        <f ca="1">IF(BT16="","",BU27*IF(BT28&lt;&gt;"",BT28,$C$28))</f>
        <v/>
      </c>
      <c r="BV28" s="459" t="str">
        <f ca="1">IF(BV16="","",
IF('Hulp (control forms)'!$C$12=TRUE,
   IF(INDEX('1a. Input organisatieniveau'!$L20:$N20, MATCH(BV15, '1a. Input organisatieniveau'!$L6:$N6, 0))="","",
INDEX('1a. Input organisatieniveau'!$L20:$N20, MATCH(BV15, '1a. Input organisatieniveau'!$L6:$N6, 0))),
""))</f>
        <v/>
      </c>
      <c r="BW28" s="460" t="str">
        <f ca="1">IF(BV16="","",BW27*IF(BV28&lt;&gt;"",BV28,$C$28))</f>
        <v/>
      </c>
      <c r="BX28" s="459" t="str">
        <f ca="1">IF(BX16="","",
IF('Hulp (control forms)'!$C$12=TRUE,
   IF(INDEX('1a. Input organisatieniveau'!$L20:$N20, MATCH(BX15, '1a. Input organisatieniveau'!$L6:$N6, 0))="","",
INDEX('1a. Input organisatieniveau'!$L20:$N20, MATCH(BX15, '1a. Input organisatieniveau'!$L6:$N6, 0))),
""))</f>
        <v/>
      </c>
      <c r="BY28" s="460" t="str">
        <f ca="1">IF(BX16="","",BY27*IF(BX28&lt;&gt;"",BX28,$C$28))</f>
        <v/>
      </c>
      <c r="BZ28" s="459" t="str">
        <f ca="1">IF(BZ16="","",
IF('Hulp (control forms)'!$C$12=TRUE,
   IF(INDEX('1a. Input organisatieniveau'!$L20:$N20, MATCH(BZ15, '1a. Input organisatieniveau'!$L6:$N6, 0))="","",
INDEX('1a. Input organisatieniveau'!$L20:$N20, MATCH(BZ15, '1a. Input organisatieniveau'!$L6:$N6, 0))),
""))</f>
        <v/>
      </c>
      <c r="CA28" s="460" t="str">
        <f ca="1">IF(BZ16="","",CA27*IF(BZ28&lt;&gt;"",BZ28,$C$28))</f>
        <v/>
      </c>
      <c r="CB28" s="459" t="str">
        <f ca="1">IF(CB16="","",
IF('Hulp (control forms)'!$C$12=TRUE,
   IF(INDEX('1a. Input organisatieniveau'!$L20:$N20, MATCH(CB15, '1a. Input organisatieniveau'!$L6:$N6, 0))="","",
INDEX('1a. Input organisatieniveau'!$L20:$N20, MATCH(CB15, '1a. Input organisatieniveau'!$L6:$N6, 0))),
""))</f>
        <v/>
      </c>
      <c r="CC28" s="460" t="str">
        <f ca="1">IF(CB16="","",CC27*IF(CB28&lt;&gt;"",CB28,$C$28))</f>
        <v/>
      </c>
      <c r="CD28" s="459" t="str">
        <f ca="1">IF(CD16="","",
IF('Hulp (control forms)'!$C$12=TRUE,
   IF(INDEX('1a. Input organisatieniveau'!$L20:$N20, MATCH(CD15, '1a. Input organisatieniveau'!$L6:$N6, 0))="","",
INDEX('1a. Input organisatieniveau'!$L20:$N20, MATCH(CD15, '1a. Input organisatieniveau'!$L6:$N6, 0))),
""))</f>
        <v/>
      </c>
      <c r="CE28" s="460" t="str">
        <f ca="1">IF(CD16="","",CE27*IF(CD28&lt;&gt;"",CD28,$C$28))</f>
        <v/>
      </c>
      <c r="CF28" s="320"/>
      <c r="CG28" s="289"/>
      <c r="CH28" s="289"/>
      <c r="CI28" s="289"/>
      <c r="CJ28" s="289"/>
      <c r="CK28" s="289"/>
      <c r="CL28" s="289"/>
      <c r="CM28" s="289"/>
      <c r="CN28" s="289"/>
      <c r="CO28" s="289"/>
      <c r="CP28" s="289"/>
      <c r="CQ28" s="289"/>
      <c r="CR28" s="289"/>
      <c r="CS28" s="289"/>
      <c r="CT28" s="289"/>
      <c r="CU28" s="289"/>
      <c r="CV28" s="289"/>
      <c r="CW28" s="289"/>
      <c r="CX28" s="289"/>
      <c r="CY28" s="289"/>
      <c r="CZ28" s="289"/>
    </row>
    <row r="29" spans="1:104" x14ac:dyDescent="0.45">
      <c r="A29" s="289"/>
      <c r="B29" s="537" t="str">
        <f>HYPERLINK(
  "#'6. Definities'!" &amp;
  INDEX('Hulp (definities)'!E:E,
        MATCH("Correctie voor productiviteit",'Hulp (definities)'!A:A,0)
  ),
  "Correctie voor productiviteit"
)</f>
        <v>Correctie voor productiviteit</v>
      </c>
      <c r="C29" s="442"/>
      <c r="D29" s="457" t="str">
        <f ca="1">IF(D16="","",E78)</f>
        <v/>
      </c>
      <c r="E29" s="460" t="str">
        <f ca="1">IF(D16="","",SUM(E27:E28)/D29)</f>
        <v/>
      </c>
      <c r="F29" s="457" t="str">
        <f ca="1">IF(F16="","",G78)</f>
        <v/>
      </c>
      <c r="G29" s="460" t="str">
        <f ca="1">IF(F16="","",SUM(G27:G28)/F29)</f>
        <v/>
      </c>
      <c r="H29" s="457" t="str">
        <f ca="1">IF(H16="","",I78)</f>
        <v/>
      </c>
      <c r="I29" s="460" t="str">
        <f ca="1">IF(H16="","",SUM(I27:I28)/H29)</f>
        <v/>
      </c>
      <c r="J29" s="457" t="str">
        <f ca="1">IF(J16="","",K78)</f>
        <v/>
      </c>
      <c r="K29" s="460" t="str">
        <f ca="1">IF(J16="","",SUM(K27:K28)/J29)</f>
        <v/>
      </c>
      <c r="L29" s="457" t="str">
        <f ca="1">IF(L16="","",M78)</f>
        <v/>
      </c>
      <c r="M29" s="460" t="str">
        <f ca="1">IF(L16="","",SUM(M27:M28)/L29)</f>
        <v/>
      </c>
      <c r="N29" s="457" t="str">
        <f ca="1">IF(N16="","",O78)</f>
        <v/>
      </c>
      <c r="O29" s="460" t="str">
        <f ca="1">IF(N16="","",SUM(O27:O28)/N29)</f>
        <v/>
      </c>
      <c r="P29" s="457" t="str">
        <f ca="1">IF(P16="","",Q78)</f>
        <v/>
      </c>
      <c r="Q29" s="460" t="str">
        <f ca="1">IF(P16="","",SUM(Q27:Q28)/P29)</f>
        <v/>
      </c>
      <c r="R29" s="457" t="str">
        <f ca="1">IF(R16="","",S78)</f>
        <v/>
      </c>
      <c r="S29" s="460" t="str">
        <f ca="1">IF(R16="","",SUM(S27:S28)/R29)</f>
        <v/>
      </c>
      <c r="T29" s="457" t="str">
        <f ca="1">IF(T16="","",U78)</f>
        <v/>
      </c>
      <c r="U29" s="460" t="str">
        <f ca="1">IF(T16="","",SUM(U27:U28)/T29)</f>
        <v/>
      </c>
      <c r="V29" s="457" t="str">
        <f ca="1">IF(V16="","",W78)</f>
        <v/>
      </c>
      <c r="W29" s="460" t="str">
        <f ca="1">IF(V16="","",SUM(W27:W28)/V29)</f>
        <v/>
      </c>
      <c r="X29" s="457" t="str">
        <f ca="1">IF(X16="","",Y78)</f>
        <v/>
      </c>
      <c r="Y29" s="460" t="str">
        <f ca="1">IF(X16="","",SUM(Y27:Y28)/X29)</f>
        <v/>
      </c>
      <c r="Z29" s="457" t="str">
        <f ca="1">IF(Z16="","",AA78)</f>
        <v/>
      </c>
      <c r="AA29" s="460" t="str">
        <f ca="1">IF(Z16="","",SUM(AA27:AA28)/Z29)</f>
        <v/>
      </c>
      <c r="AB29" s="457" t="str">
        <f ca="1">IF(AB16="","",AC78)</f>
        <v/>
      </c>
      <c r="AC29" s="460" t="str">
        <f ca="1">IF(AB16="","",SUM(AC27:AC28)/AB29)</f>
        <v/>
      </c>
      <c r="AD29" s="457" t="str">
        <f ca="1">IF(AD16="","",AE78)</f>
        <v/>
      </c>
      <c r="AE29" s="460" t="str">
        <f ca="1">IF(AD16="","",SUM(AE27:AE28)/AD29)</f>
        <v/>
      </c>
      <c r="AF29" s="457" t="str">
        <f ca="1">IF(AF16="","",AG78)</f>
        <v/>
      </c>
      <c r="AG29" s="460" t="str">
        <f ca="1">IF(AF16="","",SUM(AG27:AG28)/AF29)</f>
        <v/>
      </c>
      <c r="AH29" s="457" t="str">
        <f ca="1">IF(AH16="","",AI78)</f>
        <v/>
      </c>
      <c r="AI29" s="460" t="str">
        <f ca="1">IF(AH16="","",SUM(AI27:AI28)/AH29)</f>
        <v/>
      </c>
      <c r="AJ29" s="457" t="str">
        <f ca="1">IF(AJ16="","",AK78)</f>
        <v/>
      </c>
      <c r="AK29" s="460" t="str">
        <f ca="1">IF(AJ16="","",SUM(AK27:AK28)/AJ29)</f>
        <v/>
      </c>
      <c r="AL29" s="457" t="str">
        <f ca="1">IF(AL16="","",AM78)</f>
        <v/>
      </c>
      <c r="AM29" s="460" t="str">
        <f ca="1">IF(AL16="","",SUM(AM27:AM28)/AL29)</f>
        <v/>
      </c>
      <c r="AN29" s="457" t="str">
        <f ca="1">IF(AN16="","",AO78)</f>
        <v/>
      </c>
      <c r="AO29" s="460" t="str">
        <f ca="1">IF(AN16="","",SUM(AO27:AO28)/AN29)</f>
        <v/>
      </c>
      <c r="AP29" s="457" t="str">
        <f ca="1">IF(AP16="","",AQ78)</f>
        <v/>
      </c>
      <c r="AQ29" s="460" t="str">
        <f ca="1">IF(AP16="","",SUM(AQ27:AQ28)/AP29)</f>
        <v/>
      </c>
      <c r="AR29" s="457" t="str">
        <f ca="1">IF(AR16="","",AS78)</f>
        <v/>
      </c>
      <c r="AS29" s="460" t="str">
        <f ca="1">IF(AR16="","",SUM(AS27:AS28)/AR29)</f>
        <v/>
      </c>
      <c r="AT29" s="457" t="str">
        <f ca="1">IF(AT16="","",AU78)</f>
        <v/>
      </c>
      <c r="AU29" s="460" t="str">
        <f ca="1">IF(AT16="","",SUM(AU27:AU28)/AT29)</f>
        <v/>
      </c>
      <c r="AV29" s="457" t="str">
        <f ca="1">IF(AV16="","",AW78)</f>
        <v/>
      </c>
      <c r="AW29" s="460" t="str">
        <f ca="1">IF(AV16="","",SUM(AW27:AW28)/AV29)</f>
        <v/>
      </c>
      <c r="AX29" s="457" t="str">
        <f ca="1">IF(AX16="","",AY78)</f>
        <v/>
      </c>
      <c r="AY29" s="460" t="str">
        <f ca="1">IF(AX16="","",SUM(AY27:AY28)/AX29)</f>
        <v/>
      </c>
      <c r="AZ29" s="457" t="str">
        <f ca="1">IF(AZ16="","",BA78)</f>
        <v/>
      </c>
      <c r="BA29" s="460" t="str">
        <f ca="1">IF(AZ16="","",SUM(BA27:BA28)/AZ29)</f>
        <v/>
      </c>
      <c r="BB29" s="457" t="str">
        <f ca="1">IF(BB16="","",BC78)</f>
        <v/>
      </c>
      <c r="BC29" s="460" t="str">
        <f ca="1">IF(BB16="","",SUM(BC27:BC28)/BB29)</f>
        <v/>
      </c>
      <c r="BD29" s="457" t="str">
        <f ca="1">IF(BD16="","",BE78)</f>
        <v/>
      </c>
      <c r="BE29" s="460" t="str">
        <f ca="1">IF(BD16="","",SUM(BE27:BE28)/BD29)</f>
        <v/>
      </c>
      <c r="BF29" s="457" t="str">
        <f ca="1">IF(BF16="","",BG78)</f>
        <v/>
      </c>
      <c r="BG29" s="460" t="str">
        <f ca="1">IF(BF16="","",SUM(BG27:BG28)/BF29)</f>
        <v/>
      </c>
      <c r="BH29" s="457" t="str">
        <f ca="1">IF(BH16="","",BI78)</f>
        <v/>
      </c>
      <c r="BI29" s="460" t="str">
        <f ca="1">IF(BH16="","",SUM(BI27:BI28)/BH29)</f>
        <v/>
      </c>
      <c r="BJ29" s="457" t="str">
        <f ca="1">IF(BJ16="","",BK78)</f>
        <v/>
      </c>
      <c r="BK29" s="460" t="str">
        <f ca="1">IF(BJ16="","",SUM(BK27:BK28)/BJ29)</f>
        <v/>
      </c>
      <c r="BL29" s="457" t="str">
        <f ca="1">IF(BL16="","",BM78)</f>
        <v/>
      </c>
      <c r="BM29" s="460" t="str">
        <f ca="1">IF(BL16="","",SUM(BM27:BM28)/BL29)</f>
        <v/>
      </c>
      <c r="BN29" s="457" t="str">
        <f ca="1">IF(BN16="","",BO78)</f>
        <v/>
      </c>
      <c r="BO29" s="460" t="str">
        <f ca="1">IF(BN16="","",SUM(BO27:BO28)/BN29)</f>
        <v/>
      </c>
      <c r="BP29" s="457" t="str">
        <f ca="1">IF(BP16="","",BQ78)</f>
        <v/>
      </c>
      <c r="BQ29" s="460" t="str">
        <f ca="1">IF(BP16="","",SUM(BQ27:BQ28)/BP29)</f>
        <v/>
      </c>
      <c r="BR29" s="457" t="str">
        <f ca="1">IF(BR16="","",BS78)</f>
        <v/>
      </c>
      <c r="BS29" s="460" t="str">
        <f ca="1">IF(BR16="","",SUM(BS27:BS28)/BR29)</f>
        <v/>
      </c>
      <c r="BT29" s="457" t="str">
        <f ca="1">IF(BT16="","",BU78)</f>
        <v/>
      </c>
      <c r="BU29" s="460" t="str">
        <f ca="1">IF(BT16="","",SUM(BU27:BU28)/BT29)</f>
        <v/>
      </c>
      <c r="BV29" s="457" t="str">
        <f ca="1">IF(BV16="","",BW78)</f>
        <v/>
      </c>
      <c r="BW29" s="460" t="str">
        <f ca="1">IF(BV16="","",SUM(BW27:BW28)/BV29)</f>
        <v/>
      </c>
      <c r="BX29" s="457" t="str">
        <f ca="1">IF(BX16="","",BY78)</f>
        <v/>
      </c>
      <c r="BY29" s="460" t="str">
        <f ca="1">IF(BX16="","",SUM(BY27:BY28)/BX29)</f>
        <v/>
      </c>
      <c r="BZ29" s="457" t="str">
        <f ca="1">IF(BZ16="","",CA78)</f>
        <v/>
      </c>
      <c r="CA29" s="460" t="str">
        <f ca="1">IF(BZ16="","",SUM(CA27:CA28)/BZ29)</f>
        <v/>
      </c>
      <c r="CB29" s="457" t="str">
        <f ca="1">IF(CB16="","",CC78)</f>
        <v/>
      </c>
      <c r="CC29" s="460" t="str">
        <f ca="1">IF(CB16="","",SUM(CC27:CC28)/CB29)</f>
        <v/>
      </c>
      <c r="CD29" s="457" t="str">
        <f ca="1">IF(CD16="","",CE78)</f>
        <v/>
      </c>
      <c r="CE29" s="460" t="str">
        <f ca="1">IF(CD16="","",SUM(CE27:CE28)/CD29)</f>
        <v/>
      </c>
      <c r="CF29" s="320"/>
      <c r="CG29" s="289"/>
      <c r="CH29" s="289"/>
      <c r="CI29" s="289"/>
      <c r="CJ29" s="289"/>
      <c r="CK29" s="289"/>
      <c r="CL29" s="289"/>
      <c r="CM29" s="289"/>
      <c r="CN29" s="289"/>
      <c r="CO29" s="289"/>
      <c r="CP29" s="289"/>
      <c r="CQ29" s="289"/>
      <c r="CR29" s="289"/>
      <c r="CS29" s="289"/>
      <c r="CT29" s="289"/>
      <c r="CU29" s="289"/>
      <c r="CV29" s="289"/>
      <c r="CW29" s="289"/>
      <c r="CX29" s="289"/>
      <c r="CY29" s="289"/>
      <c r="CZ29" s="289"/>
    </row>
    <row r="30" spans="1:104" x14ac:dyDescent="0.45">
      <c r="A30" s="289"/>
      <c r="B30" s="432" t="s">
        <v>796</v>
      </c>
      <c r="C30" s="442"/>
      <c r="D30" s="461" t="str">
        <f ca="1">IF(D16="","",
IF(D15&lt;&gt;"Ambulant","",
IF(INDEX('1a. Input organisatieniveau'!$L7:$N7, MATCH(D15, '1a. Input organisatieniveau'!$L6:$N6, 0))="","",
INDEX('1a. Input organisatieniveau'!$L7:$N7, MATCH(D15, '1a. Input organisatieniveau'!$L6:$N6, 0)))))</f>
        <v/>
      </c>
      <c r="E30" s="460" t="str">
        <f ca="1">IF(D16="","",IF(D30="","",D30))</f>
        <v/>
      </c>
      <c r="F30" s="461" t="str">
        <f ca="1">IF(F16="","",
IF(F15&lt;&gt;"Ambulant","",
IF(INDEX('1a. Input organisatieniveau'!$L7:$N7, MATCH(F15, '1a. Input organisatieniveau'!$L6:$N6, 0))="","",
INDEX('1a. Input organisatieniveau'!$L7:$N7, MATCH(F15, '1a. Input organisatieniveau'!$L6:$N6, 0)))))</f>
        <v/>
      </c>
      <c r="G30" s="460" t="str">
        <f ca="1">IF(F16="","",IF(F30="","",F30))</f>
        <v/>
      </c>
      <c r="H30" s="461" t="str">
        <f ca="1">IF(H16="","",
IF(H15&lt;&gt;"Ambulant","",
IF(INDEX('1a. Input organisatieniveau'!$L7:$N7, MATCH(H15, '1a. Input organisatieniveau'!$L6:$N6, 0))="","",
INDEX('1a. Input organisatieniveau'!$L7:$N7, MATCH(H15, '1a. Input organisatieniveau'!$L6:$N6, 0)))))</f>
        <v/>
      </c>
      <c r="I30" s="460" t="str">
        <f ca="1">IF(H16="","",IF(H30="","",H30))</f>
        <v/>
      </c>
      <c r="J30" s="461" t="str">
        <f ca="1">IF(J16="","",
IF(J15&lt;&gt;"Ambulant","",
IF(INDEX('1a. Input organisatieniveau'!$L7:$N7, MATCH(J15, '1a. Input organisatieniveau'!$L6:$N6, 0))="","",
INDEX('1a. Input organisatieniveau'!$L7:$N7, MATCH(J15, '1a. Input organisatieniveau'!$L6:$N6, 0)))))</f>
        <v/>
      </c>
      <c r="K30" s="460" t="str">
        <f ca="1">IF(J16="","",IF(J30="","",J30))</f>
        <v/>
      </c>
      <c r="L30" s="461" t="str">
        <f ca="1">IF(L16="","",
IF(L15&lt;&gt;"Ambulant","",
IF(INDEX('1a. Input organisatieniveau'!$L7:$N7, MATCH(L15, '1a. Input organisatieniveau'!$L6:$N6, 0))="","",
INDEX('1a. Input organisatieniveau'!$L7:$N7, MATCH(L15, '1a. Input organisatieniveau'!$L6:$N6, 0)))))</f>
        <v/>
      </c>
      <c r="M30" s="460" t="str">
        <f ca="1">IF(L16="","",IF(L30="","",L30))</f>
        <v/>
      </c>
      <c r="N30" s="461" t="str">
        <f ca="1">IF(N16="","",
IF(N15&lt;&gt;"Ambulant","",
IF(INDEX('1a. Input organisatieniveau'!$L7:$N7, MATCH(N15, '1a. Input organisatieniveau'!$L6:$N6, 0))="","",
INDEX('1a. Input organisatieniveau'!$L7:$N7, MATCH(N15, '1a. Input organisatieniveau'!$L6:$N6, 0)))))</f>
        <v/>
      </c>
      <c r="O30" s="460" t="str">
        <f ca="1">IF(N16="","",IF(N30="","",N30))</f>
        <v/>
      </c>
      <c r="P30" s="461" t="str">
        <f ca="1">IF(P16="","",
IF(P15&lt;&gt;"Ambulant","",
IF(INDEX('1a. Input organisatieniveau'!$L7:$N7, MATCH(P15, '1a. Input organisatieniveau'!$L6:$N6, 0))="","",
INDEX('1a. Input organisatieniveau'!$L7:$N7, MATCH(P15, '1a. Input organisatieniveau'!$L6:$N6, 0)))))</f>
        <v/>
      </c>
      <c r="Q30" s="460" t="str">
        <f ca="1">IF(P16="","",IF(P30="","",P30))</f>
        <v/>
      </c>
      <c r="R30" s="461" t="str">
        <f ca="1">IF(R16="","",
IF(R15&lt;&gt;"Ambulant","",
IF(INDEX('1a. Input organisatieniveau'!$L7:$N7, MATCH(R15, '1a. Input organisatieniveau'!$L6:$N6, 0))="","",
INDEX('1a. Input organisatieniveau'!$L7:$N7, MATCH(R15, '1a. Input organisatieniveau'!$L6:$N6, 0)))))</f>
        <v/>
      </c>
      <c r="S30" s="460" t="str">
        <f ca="1">IF(R16="","",IF(R30="","",R30))</f>
        <v/>
      </c>
      <c r="T30" s="461" t="str">
        <f ca="1">IF(T16="","",
IF(T15&lt;&gt;"Ambulant","",
IF(INDEX('1a. Input organisatieniveau'!$L7:$N7, MATCH(T15, '1a. Input organisatieniveau'!$L6:$N6, 0))="","",
INDEX('1a. Input organisatieniveau'!$L7:$N7, MATCH(T15, '1a. Input organisatieniveau'!$L6:$N6, 0)))))</f>
        <v/>
      </c>
      <c r="U30" s="460" t="str">
        <f ca="1">IF(T16="","",IF(T30="","",T30))</f>
        <v/>
      </c>
      <c r="V30" s="461" t="str">
        <f ca="1">IF(V16="","",
IF(V15&lt;&gt;"Ambulant","",
IF(INDEX('1a. Input organisatieniveau'!$L7:$N7, MATCH(V15, '1a. Input organisatieniveau'!$L6:$N6, 0))="","",
INDEX('1a. Input organisatieniveau'!$L7:$N7, MATCH(V15, '1a. Input organisatieniveau'!$L6:$N6, 0)))))</f>
        <v/>
      </c>
      <c r="W30" s="460" t="str">
        <f ca="1">IF(V16="","",IF(V30="","",V30))</f>
        <v/>
      </c>
      <c r="X30" s="461" t="str">
        <f ca="1">IF(X16="","",
IF(X15&lt;&gt;"Ambulant","",
IF(INDEX('1a. Input organisatieniveau'!$L7:$N7, MATCH(X15, '1a. Input organisatieniveau'!$L6:$N6, 0))="","",
INDEX('1a. Input organisatieniveau'!$L7:$N7, MATCH(X15, '1a. Input organisatieniveau'!$L6:$N6, 0)))))</f>
        <v/>
      </c>
      <c r="Y30" s="460" t="str">
        <f ca="1">IF(X16="","",IF(X30="","",X30))</f>
        <v/>
      </c>
      <c r="Z30" s="461" t="str">
        <f ca="1">IF(Z16="","",
IF(Z15&lt;&gt;"Ambulant","",
IF(INDEX('1a. Input organisatieniveau'!$L7:$N7, MATCH(Z15, '1a. Input organisatieniveau'!$L6:$N6, 0))="","",
INDEX('1a. Input organisatieniveau'!$L7:$N7, MATCH(Z15, '1a. Input organisatieniveau'!$L6:$N6, 0)))))</f>
        <v/>
      </c>
      <c r="AA30" s="460" t="str">
        <f ca="1">IF(Z16="","",IF(Z30="","",Z30))</f>
        <v/>
      </c>
      <c r="AB30" s="461" t="str">
        <f ca="1">IF(AB16="","",
IF(AB15&lt;&gt;"Ambulant","",
IF(INDEX('1a. Input organisatieniveau'!$L7:$N7, MATCH(AB15, '1a. Input organisatieniveau'!$L6:$N6, 0))="","",
INDEX('1a. Input organisatieniveau'!$L7:$N7, MATCH(AB15, '1a. Input organisatieniveau'!$L6:$N6, 0)))))</f>
        <v/>
      </c>
      <c r="AC30" s="460" t="str">
        <f ca="1">IF(AB16="","",IF(AB30="","",AB30))</f>
        <v/>
      </c>
      <c r="AD30" s="461" t="str">
        <f ca="1">IF(AD16="","",
IF(AD15&lt;&gt;"Ambulant","",
IF(INDEX('1a. Input organisatieniveau'!$L7:$N7, MATCH(AD15, '1a. Input organisatieniveau'!$L6:$N6, 0))="","",
INDEX('1a. Input organisatieniveau'!$L7:$N7, MATCH(AD15, '1a. Input organisatieniveau'!$L6:$N6, 0)))))</f>
        <v/>
      </c>
      <c r="AE30" s="460" t="str">
        <f ca="1">IF(AD16="","",IF(AD30="","",AD30))</f>
        <v/>
      </c>
      <c r="AF30" s="461" t="str">
        <f ca="1">IF(AF16="","",
IF(AF15&lt;&gt;"Ambulant","",
IF(INDEX('1a. Input organisatieniveau'!$L7:$N7, MATCH(AF15, '1a. Input organisatieniveau'!$L6:$N6, 0))="","",
INDEX('1a. Input organisatieniveau'!$L7:$N7, MATCH(AF15, '1a. Input organisatieniveau'!$L6:$N6, 0)))))</f>
        <v/>
      </c>
      <c r="AG30" s="460" t="str">
        <f ca="1">IF(AF16="","",IF(AF30="","",AF30))</f>
        <v/>
      </c>
      <c r="AH30" s="461" t="str">
        <f ca="1">IF(AH16="","",
IF(AH15&lt;&gt;"Ambulant","",
IF(INDEX('1a. Input organisatieniveau'!$L7:$N7, MATCH(AH15, '1a. Input organisatieniveau'!$L6:$N6, 0))="","",
INDEX('1a. Input organisatieniveau'!$L7:$N7, MATCH(AH15, '1a. Input organisatieniveau'!$L6:$N6, 0)))))</f>
        <v/>
      </c>
      <c r="AI30" s="460" t="str">
        <f ca="1">IF(AH16="","",IF(AH30="","",AH30))</f>
        <v/>
      </c>
      <c r="AJ30" s="461" t="str">
        <f ca="1">IF(AJ16="","",
IF(AJ15&lt;&gt;"Ambulant","",
IF(INDEX('1a. Input organisatieniveau'!$L7:$N7, MATCH(AJ15, '1a. Input organisatieniveau'!$L6:$N6, 0))="","",
INDEX('1a. Input organisatieniveau'!$L7:$N7, MATCH(AJ15, '1a. Input organisatieniveau'!$L6:$N6, 0)))))</f>
        <v/>
      </c>
      <c r="AK30" s="460" t="str">
        <f ca="1">IF(AJ16="","",IF(AJ30="","",AJ30))</f>
        <v/>
      </c>
      <c r="AL30" s="461" t="str">
        <f ca="1">IF(AL16="","",
IF(AL15&lt;&gt;"Ambulant","",
IF(INDEX('1a. Input organisatieniveau'!$L7:$N7, MATCH(AL15, '1a. Input organisatieniveau'!$L6:$N6, 0))="","",
INDEX('1a. Input organisatieniveau'!$L7:$N7, MATCH(AL15, '1a. Input organisatieniveau'!$L6:$N6, 0)))))</f>
        <v/>
      </c>
      <c r="AM30" s="460" t="str">
        <f ca="1">IF(AL16="","",IF(AL30="","",AL30))</f>
        <v/>
      </c>
      <c r="AN30" s="461" t="str">
        <f ca="1">IF(AN16="","",
IF(AN15&lt;&gt;"Ambulant","",
IF(INDEX('1a. Input organisatieniveau'!$L7:$N7, MATCH(AN15, '1a. Input organisatieniveau'!$L6:$N6, 0))="","",
INDEX('1a. Input organisatieniveau'!$L7:$N7, MATCH(AN15, '1a. Input organisatieniveau'!$L6:$N6, 0)))))</f>
        <v/>
      </c>
      <c r="AO30" s="460" t="str">
        <f ca="1">IF(AN16="","",IF(AN30="","",AN30))</f>
        <v/>
      </c>
      <c r="AP30" s="461" t="str">
        <f ca="1">IF(AP16="","",
IF(AP15&lt;&gt;"Ambulant","",
IF(INDEX('1a. Input organisatieniveau'!$L7:$N7, MATCH(AP15, '1a. Input organisatieniveau'!$L6:$N6, 0))="","",
INDEX('1a. Input organisatieniveau'!$L7:$N7, MATCH(AP15, '1a. Input organisatieniveau'!$L6:$N6, 0)))))</f>
        <v/>
      </c>
      <c r="AQ30" s="460" t="str">
        <f ca="1">IF(AP16="","",IF(AP30="","",AP30))</f>
        <v/>
      </c>
      <c r="AR30" s="461" t="str">
        <f ca="1">IF(AR16="","",
IF(AR15&lt;&gt;"Ambulant","",
IF(INDEX('1a. Input organisatieniveau'!$L7:$N7, MATCH(AR15, '1a. Input organisatieniveau'!$L6:$N6, 0))="","",
INDEX('1a. Input organisatieniveau'!$L7:$N7, MATCH(AR15, '1a. Input organisatieniveau'!$L6:$N6, 0)))))</f>
        <v/>
      </c>
      <c r="AS30" s="460" t="str">
        <f ca="1">IF(AR16="","",IF(AR30="","",AR30))</f>
        <v/>
      </c>
      <c r="AT30" s="461" t="str">
        <f ca="1">IF(AT16="","",
IF(AT15&lt;&gt;"Ambulant","",
IF(INDEX('1a. Input organisatieniveau'!$L7:$N7, MATCH(AT15, '1a. Input organisatieniveau'!$L6:$N6, 0))="","",
INDEX('1a. Input organisatieniveau'!$L7:$N7, MATCH(AT15, '1a. Input organisatieniveau'!$L6:$N6, 0)))))</f>
        <v/>
      </c>
      <c r="AU30" s="460" t="str">
        <f ca="1">IF(AT16="","",IF(AT30="","",AT30))</f>
        <v/>
      </c>
      <c r="AV30" s="461" t="str">
        <f ca="1">IF(AV16="","",
IF(AV15&lt;&gt;"Ambulant","",
IF(INDEX('1a. Input organisatieniveau'!$L7:$N7, MATCH(AV15, '1a. Input organisatieniveau'!$L6:$N6, 0))="","",
INDEX('1a. Input organisatieniveau'!$L7:$N7, MATCH(AV15, '1a. Input organisatieniveau'!$L6:$N6, 0)))))</f>
        <v/>
      </c>
      <c r="AW30" s="460" t="str">
        <f ca="1">IF(AV16="","",IF(AV30="","",AV30))</f>
        <v/>
      </c>
      <c r="AX30" s="461" t="str">
        <f ca="1">IF(AX16="","",
IF(AX15&lt;&gt;"Ambulant","",
IF(INDEX('1a. Input organisatieniveau'!$L7:$N7, MATCH(AX15, '1a. Input organisatieniveau'!$L6:$N6, 0))="","",
INDEX('1a. Input organisatieniveau'!$L7:$N7, MATCH(AX15, '1a. Input organisatieniveau'!$L6:$N6, 0)))))</f>
        <v/>
      </c>
      <c r="AY30" s="460" t="str">
        <f ca="1">IF(AX16="","",IF(AX30="","",AX30))</f>
        <v/>
      </c>
      <c r="AZ30" s="461" t="str">
        <f ca="1">IF(AZ16="","",
IF(AZ15&lt;&gt;"Ambulant","",
IF(INDEX('1a. Input organisatieniveau'!$L7:$N7, MATCH(AZ15, '1a. Input organisatieniveau'!$L6:$N6, 0))="","",
INDEX('1a. Input organisatieniveau'!$L7:$N7, MATCH(AZ15, '1a. Input organisatieniveau'!$L6:$N6, 0)))))</f>
        <v/>
      </c>
      <c r="BA30" s="460" t="str">
        <f ca="1">IF(AZ16="","",IF(AZ30="","",AZ30))</f>
        <v/>
      </c>
      <c r="BB30" s="461" t="str">
        <f ca="1">IF(BB16="","",
IF(BB15&lt;&gt;"Ambulant","",
IF(INDEX('1a. Input organisatieniveau'!$L7:$N7, MATCH(BB15, '1a. Input organisatieniveau'!$L6:$N6, 0))="","",
INDEX('1a. Input organisatieniveau'!$L7:$N7, MATCH(BB15, '1a. Input organisatieniveau'!$L6:$N6, 0)))))</f>
        <v/>
      </c>
      <c r="BC30" s="460" t="str">
        <f ca="1">IF(BB16="","",IF(BB30="","",BB30))</f>
        <v/>
      </c>
      <c r="BD30" s="461" t="str">
        <f ca="1">IF(BD16="","",
IF(BD15&lt;&gt;"Ambulant","",
IF(INDEX('1a. Input organisatieniveau'!$L7:$N7, MATCH(BD15, '1a. Input organisatieniveau'!$L6:$N6, 0))="","",
INDEX('1a. Input organisatieniveau'!$L7:$N7, MATCH(BD15, '1a. Input organisatieniveau'!$L6:$N6, 0)))))</f>
        <v/>
      </c>
      <c r="BE30" s="460" t="str">
        <f ca="1">IF(BD16="","",IF(BD30="","",BD30))</f>
        <v/>
      </c>
      <c r="BF30" s="461" t="str">
        <f ca="1">IF(BF16="","",
IF(BF15&lt;&gt;"Ambulant","",
IF(INDEX('1a. Input organisatieniveau'!$L7:$N7, MATCH(BF15, '1a. Input organisatieniveau'!$L6:$N6, 0))="","",
INDEX('1a. Input organisatieniveau'!$L7:$N7, MATCH(BF15, '1a. Input organisatieniveau'!$L6:$N6, 0)))))</f>
        <v/>
      </c>
      <c r="BG30" s="460" t="str">
        <f ca="1">IF(BF16="","",IF(BF30="","",BF30))</f>
        <v/>
      </c>
      <c r="BH30" s="461" t="str">
        <f ca="1">IF(BH16="","",
IF(BH15&lt;&gt;"Ambulant","",
IF(INDEX('1a. Input organisatieniveau'!$L7:$N7, MATCH(BH15, '1a. Input organisatieniveau'!$L6:$N6, 0))="","",
INDEX('1a. Input organisatieniveau'!$L7:$N7, MATCH(BH15, '1a. Input organisatieniveau'!$L6:$N6, 0)))))</f>
        <v/>
      </c>
      <c r="BI30" s="460" t="str">
        <f ca="1">IF(BH16="","",IF(BH30="","",BH30))</f>
        <v/>
      </c>
      <c r="BJ30" s="461" t="str">
        <f ca="1">IF(BJ16="","",
IF(BJ15&lt;&gt;"Ambulant","",
IF(INDEX('1a. Input organisatieniveau'!$L7:$N7, MATCH(BJ15, '1a. Input organisatieniveau'!$L6:$N6, 0))="","",
INDEX('1a. Input organisatieniveau'!$L7:$N7, MATCH(BJ15, '1a. Input organisatieniveau'!$L6:$N6, 0)))))</f>
        <v/>
      </c>
      <c r="BK30" s="460" t="str">
        <f ca="1">IF(BJ16="","",IF(BJ30="","",BJ30))</f>
        <v/>
      </c>
      <c r="BL30" s="461" t="str">
        <f ca="1">IF(BL16="","",
IF(BL15&lt;&gt;"Ambulant","",
IF(INDEX('1a. Input organisatieniveau'!$L7:$N7, MATCH(BL15, '1a. Input organisatieniveau'!$L6:$N6, 0))="","",
INDEX('1a. Input organisatieniveau'!$L7:$N7, MATCH(BL15, '1a. Input organisatieniveau'!$L6:$N6, 0)))))</f>
        <v/>
      </c>
      <c r="BM30" s="460" t="str">
        <f ca="1">IF(BL16="","",IF(BL30="","",BL30))</f>
        <v/>
      </c>
      <c r="BN30" s="461" t="str">
        <f ca="1">IF(BN16="","",
IF(BN15&lt;&gt;"Ambulant","",
IF(INDEX('1a. Input organisatieniveau'!$L7:$N7, MATCH(BN15, '1a. Input organisatieniveau'!$L6:$N6, 0))="","",
INDEX('1a. Input organisatieniveau'!$L7:$N7, MATCH(BN15, '1a. Input organisatieniveau'!$L6:$N6, 0)))))</f>
        <v/>
      </c>
      <c r="BO30" s="460" t="str">
        <f ca="1">IF(BN16="","",IF(BN30="","",BN30))</f>
        <v/>
      </c>
      <c r="BP30" s="461" t="str">
        <f ca="1">IF(BP16="","",
IF(BP15&lt;&gt;"Ambulant","",
IF(INDEX('1a. Input organisatieniveau'!$L7:$N7, MATCH(BP15, '1a. Input organisatieniveau'!$L6:$N6, 0))="","",
INDEX('1a. Input organisatieniveau'!$L7:$N7, MATCH(BP15, '1a. Input organisatieniveau'!$L6:$N6, 0)))))</f>
        <v/>
      </c>
      <c r="BQ30" s="460" t="str">
        <f ca="1">IF(BP16="","",IF(BP30="","",BP30))</f>
        <v/>
      </c>
      <c r="BR30" s="461" t="str">
        <f ca="1">IF(BR16="","",
IF(BR15&lt;&gt;"Ambulant","",
IF(INDEX('1a. Input organisatieniveau'!$L7:$N7, MATCH(BR15, '1a. Input organisatieniveau'!$L6:$N6, 0))="","",
INDEX('1a. Input organisatieniveau'!$L7:$N7, MATCH(BR15, '1a. Input organisatieniveau'!$L6:$N6, 0)))))</f>
        <v/>
      </c>
      <c r="BS30" s="460" t="str">
        <f ca="1">IF(BR16="","",IF(BR30="","",BR30))</f>
        <v/>
      </c>
      <c r="BT30" s="461" t="str">
        <f ca="1">IF(BT16="","",
IF(BT15&lt;&gt;"Ambulant","",
IF(INDEX('1a. Input organisatieniveau'!$L7:$N7, MATCH(BT15, '1a. Input organisatieniveau'!$L6:$N6, 0))="","",
INDEX('1a. Input organisatieniveau'!$L7:$N7, MATCH(BT15, '1a. Input organisatieniveau'!$L6:$N6, 0)))))</f>
        <v/>
      </c>
      <c r="BU30" s="460" t="str">
        <f ca="1">IF(BT16="","",IF(BT30="","",BT30))</f>
        <v/>
      </c>
      <c r="BV30" s="461" t="str">
        <f ca="1">IF(BV16="","",
IF(BV15&lt;&gt;"Ambulant","",
IF(INDEX('1a. Input organisatieniveau'!$L7:$N7, MATCH(BV15, '1a. Input organisatieniveau'!$L6:$N6, 0))="","",
INDEX('1a. Input organisatieniveau'!$L7:$N7, MATCH(BV15, '1a. Input organisatieniveau'!$L6:$N6, 0)))))</f>
        <v/>
      </c>
      <c r="BW30" s="460" t="str">
        <f ca="1">IF(BV16="","",IF(BV30="","",BV30))</f>
        <v/>
      </c>
      <c r="BX30" s="461" t="str">
        <f ca="1">IF(BX16="","",
IF(BX15&lt;&gt;"Ambulant","",
IF(INDEX('1a. Input organisatieniveau'!$L7:$N7, MATCH(BX15, '1a. Input organisatieniveau'!$L6:$N6, 0))="","",
INDEX('1a. Input organisatieniveau'!$L7:$N7, MATCH(BX15, '1a. Input organisatieniveau'!$L6:$N6, 0)))))</f>
        <v/>
      </c>
      <c r="BY30" s="460" t="str">
        <f ca="1">IF(BX16="","",IF(BX30="","",BX30))</f>
        <v/>
      </c>
      <c r="BZ30" s="461" t="str">
        <f ca="1">IF(BZ16="","",
IF(BZ15&lt;&gt;"Ambulant","",
IF(INDEX('1a. Input organisatieniveau'!$L7:$N7, MATCH(BZ15, '1a. Input organisatieniveau'!$L6:$N6, 0))="","",
INDEX('1a. Input organisatieniveau'!$L7:$N7, MATCH(BZ15, '1a. Input organisatieniveau'!$L6:$N6, 0)))))</f>
        <v/>
      </c>
      <c r="CA30" s="460" t="str">
        <f ca="1">IF(BZ16="","",IF(BZ30="","",BZ30))</f>
        <v/>
      </c>
      <c r="CB30" s="461" t="str">
        <f ca="1">IF(CB16="","",
IF(CB15&lt;&gt;"Ambulant","",
IF(INDEX('1a. Input organisatieniveau'!$L7:$N7, MATCH(CB15, '1a. Input organisatieniveau'!$L6:$N6, 0))="","",
INDEX('1a. Input organisatieniveau'!$L7:$N7, MATCH(CB15, '1a. Input organisatieniveau'!$L6:$N6, 0)))))</f>
        <v/>
      </c>
      <c r="CC30" s="460" t="str">
        <f ca="1">IF(CB16="","",IF(CB30="","",CB30))</f>
        <v/>
      </c>
      <c r="CD30" s="461" t="str">
        <f ca="1">IF(CD16="","",
IF(CD15&lt;&gt;"Ambulant","",
IF(INDEX('1a. Input organisatieniveau'!$L7:$N7, MATCH(CD15, '1a. Input organisatieniveau'!$L6:$N6, 0))="","",
INDEX('1a. Input organisatieniveau'!$L7:$N7, MATCH(CD15, '1a. Input organisatieniveau'!$L6:$N6, 0)))))</f>
        <v/>
      </c>
      <c r="CE30" s="460" t="str">
        <f ca="1">IF(CD16="","",IF(CD30="","",CD30))</f>
        <v/>
      </c>
      <c r="CF30" s="320"/>
      <c r="CG30" s="289"/>
      <c r="CH30" s="289"/>
      <c r="CI30" s="289"/>
      <c r="CJ30" s="289"/>
      <c r="CK30" s="289"/>
      <c r="CL30" s="289"/>
      <c r="CM30" s="289"/>
      <c r="CN30" s="289"/>
      <c r="CO30" s="289"/>
      <c r="CP30" s="289"/>
      <c r="CQ30" s="289"/>
      <c r="CR30" s="289"/>
      <c r="CS30" s="289"/>
      <c r="CT30" s="289"/>
      <c r="CU30" s="289"/>
      <c r="CV30" s="289"/>
      <c r="CW30" s="289"/>
      <c r="CX30" s="289"/>
      <c r="CY30" s="289"/>
      <c r="CZ30" s="289"/>
    </row>
    <row r="31" spans="1:104" x14ac:dyDescent="0.45">
      <c r="A31" s="289"/>
      <c r="B31" s="392" t="s">
        <v>768</v>
      </c>
      <c r="C31" s="455"/>
      <c r="D31" s="455"/>
      <c r="E31" s="456" t="str">
        <f ca="1">IF(D16="","",SUM(E28:E30))</f>
        <v/>
      </c>
      <c r="F31" s="455"/>
      <c r="G31" s="456" t="str">
        <f ca="1">IF(F16="","",SUM(G28:G30))</f>
        <v/>
      </c>
      <c r="H31" s="455"/>
      <c r="I31" s="456" t="str">
        <f ca="1">IF(H16="","",SUM(I28:I30))</f>
        <v/>
      </c>
      <c r="J31" s="455"/>
      <c r="K31" s="456" t="str">
        <f ca="1">IF(J16="","",SUM(K28:K30))</f>
        <v/>
      </c>
      <c r="L31" s="455"/>
      <c r="M31" s="456" t="str">
        <f ca="1">IF(L16="","",SUM(M28:M30))</f>
        <v/>
      </c>
      <c r="N31" s="455"/>
      <c r="O31" s="456" t="str">
        <f ca="1">IF(N16="","",SUM(O28:O30))</f>
        <v/>
      </c>
      <c r="P31" s="455"/>
      <c r="Q31" s="456" t="str">
        <f ca="1">IF(P16="","",SUM(Q28:Q30))</f>
        <v/>
      </c>
      <c r="R31" s="455"/>
      <c r="S31" s="456" t="str">
        <f ca="1">IF(R16="","",SUM(S28:S30))</f>
        <v/>
      </c>
      <c r="T31" s="455"/>
      <c r="U31" s="456" t="str">
        <f ca="1">IF(T16="","",SUM(U28:U30))</f>
        <v/>
      </c>
      <c r="V31" s="455"/>
      <c r="W31" s="456" t="str">
        <f ca="1">IF(V16="","",SUM(W28:W30))</f>
        <v/>
      </c>
      <c r="X31" s="455"/>
      <c r="Y31" s="456" t="str">
        <f ca="1">IF(X16="","",SUM(Y28:Y30))</f>
        <v/>
      </c>
      <c r="Z31" s="455"/>
      <c r="AA31" s="456" t="str">
        <f ca="1">IF(Z16="","",SUM(AA28:AA30))</f>
        <v/>
      </c>
      <c r="AB31" s="455"/>
      <c r="AC31" s="456" t="str">
        <f ca="1">IF(AB16="","",SUM(AC28:AC30))</f>
        <v/>
      </c>
      <c r="AD31" s="455"/>
      <c r="AE31" s="456" t="str">
        <f ca="1">IF(AD16="","",SUM(AE28:AE30))</f>
        <v/>
      </c>
      <c r="AF31" s="455"/>
      <c r="AG31" s="456" t="str">
        <f ca="1">IF(AF16="","",SUM(AG28:AG30))</f>
        <v/>
      </c>
      <c r="AH31" s="455"/>
      <c r="AI31" s="456" t="str">
        <f ca="1">IF(AH16="","",SUM(AI28:AI30))</f>
        <v/>
      </c>
      <c r="AJ31" s="455"/>
      <c r="AK31" s="456" t="str">
        <f ca="1">IF(AJ16="","",SUM(AK28:AK30))</f>
        <v/>
      </c>
      <c r="AL31" s="455"/>
      <c r="AM31" s="456" t="str">
        <f ca="1">IF(AL16="","",SUM(AM28:AM30))</f>
        <v/>
      </c>
      <c r="AN31" s="455"/>
      <c r="AO31" s="456" t="str">
        <f ca="1">IF(AN16="","",SUM(AO28:AO30))</f>
        <v/>
      </c>
      <c r="AP31" s="455"/>
      <c r="AQ31" s="456" t="str">
        <f ca="1">IF(AP16="","",SUM(AQ28:AQ30))</f>
        <v/>
      </c>
      <c r="AR31" s="455"/>
      <c r="AS31" s="456" t="str">
        <f ca="1">IF(AR16="","",SUM(AS28:AS30))</f>
        <v/>
      </c>
      <c r="AT31" s="455"/>
      <c r="AU31" s="456" t="str">
        <f ca="1">IF(AT16="","",SUM(AU28:AU30))</f>
        <v/>
      </c>
      <c r="AV31" s="455"/>
      <c r="AW31" s="456" t="str">
        <f ca="1">IF(AV16="","",SUM(AW28:AW30))</f>
        <v/>
      </c>
      <c r="AX31" s="455"/>
      <c r="AY31" s="456" t="str">
        <f ca="1">IF(AX16="","",SUM(AY28:AY30))</f>
        <v/>
      </c>
      <c r="AZ31" s="455"/>
      <c r="BA31" s="456" t="str">
        <f ca="1">IF(AZ16="","",SUM(BA28:BA30))</f>
        <v/>
      </c>
      <c r="BB31" s="455"/>
      <c r="BC31" s="456" t="str">
        <f ca="1">IF(BB16="","",SUM(BC28:BC30))</f>
        <v/>
      </c>
      <c r="BD31" s="455"/>
      <c r="BE31" s="456" t="str">
        <f ca="1">IF(BD16="","",SUM(BE28:BE30))</f>
        <v/>
      </c>
      <c r="BF31" s="455"/>
      <c r="BG31" s="456" t="str">
        <f ca="1">IF(BF16="","",SUM(BG28:BG30))</f>
        <v/>
      </c>
      <c r="BH31" s="455"/>
      <c r="BI31" s="456" t="str">
        <f ca="1">IF(BH16="","",SUM(BI28:BI30))</f>
        <v/>
      </c>
      <c r="BJ31" s="455"/>
      <c r="BK31" s="456" t="str">
        <f ca="1">IF(BJ16="","",SUM(BK28:BK30))</f>
        <v/>
      </c>
      <c r="BL31" s="455"/>
      <c r="BM31" s="456" t="str">
        <f ca="1">IF(BL16="","",SUM(BM28:BM30))</f>
        <v/>
      </c>
      <c r="BN31" s="455"/>
      <c r="BO31" s="456" t="str">
        <f ca="1">IF(BN16="","",SUM(BO28:BO30))</f>
        <v/>
      </c>
      <c r="BP31" s="455"/>
      <c r="BQ31" s="456" t="str">
        <f ca="1">IF(BP16="","",SUM(BQ28:BQ30))</f>
        <v/>
      </c>
      <c r="BR31" s="455"/>
      <c r="BS31" s="456" t="str">
        <f ca="1">IF(BR16="","",SUM(BS28:BS30))</f>
        <v/>
      </c>
      <c r="BT31" s="455"/>
      <c r="BU31" s="456" t="str">
        <f ca="1">IF(BT16="","",SUM(BU28:BU30))</f>
        <v/>
      </c>
      <c r="BV31" s="455"/>
      <c r="BW31" s="456" t="str">
        <f ca="1">IF(BV16="","",SUM(BW28:BW30))</f>
        <v/>
      </c>
      <c r="BX31" s="455"/>
      <c r="BY31" s="456" t="str">
        <f ca="1">IF(BX16="","",SUM(BY28:BY30))</f>
        <v/>
      </c>
      <c r="BZ31" s="455"/>
      <c r="CA31" s="456" t="str">
        <f ca="1">IF(BZ16="","",SUM(CA28:CA30))</f>
        <v/>
      </c>
      <c r="CB31" s="455"/>
      <c r="CC31" s="456" t="str">
        <f ca="1">IF(CB16="","",SUM(CC28:CC30))</f>
        <v/>
      </c>
      <c r="CD31" s="455"/>
      <c r="CE31" s="456" t="str">
        <f ca="1">IF(CD16="","",SUM(CE28:CE30))</f>
        <v/>
      </c>
      <c r="CF31" s="320"/>
      <c r="CG31" s="289"/>
      <c r="CH31" s="289"/>
      <c r="CI31" s="289"/>
      <c r="CJ31" s="289"/>
      <c r="CK31" s="289"/>
      <c r="CL31" s="289"/>
      <c r="CM31" s="289"/>
      <c r="CN31" s="289"/>
      <c r="CO31" s="289"/>
      <c r="CP31" s="289"/>
      <c r="CQ31" s="289"/>
      <c r="CR31" s="289"/>
      <c r="CS31" s="289"/>
      <c r="CT31" s="289"/>
      <c r="CU31" s="289"/>
      <c r="CV31" s="289"/>
      <c r="CW31" s="289"/>
      <c r="CX31" s="289"/>
      <c r="CY31" s="289"/>
      <c r="CZ31" s="289"/>
    </row>
    <row r="32" spans="1:104" x14ac:dyDescent="0.45">
      <c r="A32" s="289"/>
      <c r="B32" s="432" t="s">
        <v>10</v>
      </c>
      <c r="C32" s="457">
        <f>IF(AND('Hulp (control forms)'!$C$10&lt;&gt;TRUE,'Hulp (control forms)'!$C$11&lt;&gt;TRUE),SUM('1a. Input organisatieniveau'!I23:'1a. Input organisatieniveau'!I25), "")</f>
        <v>0</v>
      </c>
      <c r="D32" s="457" t="str">
        <f ca="1">IF(D16="","",
IF(NOT(AND('Hulp (control forms)'!$C$10&lt;&gt;TRUE,'Hulp (control forms)'!$C$11&lt;&gt;TRUE)),
SUM('1a. Input organisatieniveau'!$I25)+
IF('Hulp (control forms)'!$C$10=TRUE,INDEX('1a. Input organisatieniveau'!$L15:$N15, MATCH(D15, '1a. Input organisatieniveau'!$L6:$N6, 0)), '1a. Input organisatieniveau'!$I$23) +
IF('Hulp (control forms)'!$C$11=TRUE,INDEX('1a. Input organisatieniveau'!$L16:$N16, MATCH(D15, '1a. Input organisatieniveau'!$L6:$N6, 0)), '1a. Input organisatieniveau'!$I$24),""))</f>
        <v/>
      </c>
      <c r="E32" s="460" t="str">
        <f ca="1">IF(D16="","",E31*IF(D32&lt;&gt;"",D32,$C32))</f>
        <v/>
      </c>
      <c r="F32" s="457" t="str">
        <f ca="1">IF(F16="","",
IF(NOT(AND('Hulp (control forms)'!$C$10&lt;&gt;TRUE,'Hulp (control forms)'!$C$11&lt;&gt;TRUE)),
SUM('1a. Input organisatieniveau'!$I25)+
IF('Hulp (control forms)'!$C$10=TRUE,INDEX('1a. Input organisatieniveau'!$L15:$N15, MATCH(F15, '1a. Input organisatieniveau'!$L6:$N6, 0)), '1a. Input organisatieniveau'!$I$23) +
IF('Hulp (control forms)'!$C$11=TRUE,INDEX('1a. Input organisatieniveau'!$L16:$N16, MATCH(F15, '1a. Input organisatieniveau'!$L6:$N6, 0)), '1a. Input organisatieniveau'!$I$24),""))</f>
        <v/>
      </c>
      <c r="G32" s="460" t="str">
        <f ca="1">IF(F16="","",G31*IF(F32&lt;&gt;"",F32,$C32))</f>
        <v/>
      </c>
      <c r="H32" s="457" t="str">
        <f ca="1">IF(H16="","",
IF(NOT(AND('Hulp (control forms)'!$C$10&lt;&gt;TRUE,'Hulp (control forms)'!$C$11&lt;&gt;TRUE)),
SUM('1a. Input organisatieniveau'!$I25)+
IF('Hulp (control forms)'!$C$10=TRUE,INDEX('1a. Input organisatieniveau'!$L15:$N15, MATCH(H15, '1a. Input organisatieniveau'!$L6:$N6, 0)), '1a. Input organisatieniveau'!$I$23) +
IF('Hulp (control forms)'!$C$11=TRUE,INDEX('1a. Input organisatieniveau'!$L16:$N16, MATCH(H15, '1a. Input organisatieniveau'!$L6:$N6, 0)), '1a. Input organisatieniveau'!$I$24),""))</f>
        <v/>
      </c>
      <c r="I32" s="460" t="str">
        <f ca="1">IF(H16="","",I31*IF(H32&lt;&gt;"",H32,$C32))</f>
        <v/>
      </c>
      <c r="J32" s="457" t="str">
        <f ca="1">IF(J16="","",
IF(NOT(AND('Hulp (control forms)'!$C$10&lt;&gt;TRUE,'Hulp (control forms)'!$C$11&lt;&gt;TRUE)),
SUM('1a. Input organisatieniveau'!$I25)+
IF('Hulp (control forms)'!$C$10=TRUE,INDEX('1a. Input organisatieniveau'!$L15:$N15, MATCH(J15, '1a. Input organisatieniveau'!$L6:$N6, 0)), '1a. Input organisatieniveau'!$I$23) +
IF('Hulp (control forms)'!$C$11=TRUE,INDEX('1a. Input organisatieniveau'!$L16:$N16, MATCH(J15, '1a. Input organisatieniveau'!$L6:$N6, 0)), '1a. Input organisatieniveau'!$I$24),""))</f>
        <v/>
      </c>
      <c r="K32" s="460" t="str">
        <f ca="1">IF(J16="","",K31*IF(J32&lt;&gt;"",J32,$C32))</f>
        <v/>
      </c>
      <c r="L32" s="457" t="str">
        <f ca="1">IF(L16="","",
IF(NOT(AND('Hulp (control forms)'!$C$10&lt;&gt;TRUE,'Hulp (control forms)'!$C$11&lt;&gt;TRUE)),
SUM('1a. Input organisatieniveau'!$I25)+
IF('Hulp (control forms)'!$C$10=TRUE,INDEX('1a. Input organisatieniveau'!$L15:$N15, MATCH(L15, '1a. Input organisatieniveau'!$L6:$N6, 0)), '1a. Input organisatieniveau'!$I$23) +
IF('Hulp (control forms)'!$C$11=TRUE,INDEX('1a. Input organisatieniveau'!$L16:$N16, MATCH(L15, '1a. Input organisatieniveau'!$L6:$N6, 0)), '1a. Input organisatieniveau'!$I$24),""))</f>
        <v/>
      </c>
      <c r="M32" s="460" t="str">
        <f ca="1">IF(L16="","",M31*IF(L32&lt;&gt;"",L32,$C32))</f>
        <v/>
      </c>
      <c r="N32" s="457" t="str">
        <f ca="1">IF(N16="","",
IF(NOT(AND('Hulp (control forms)'!$C$10&lt;&gt;TRUE,'Hulp (control forms)'!$C$11&lt;&gt;TRUE)),
SUM('1a. Input organisatieniveau'!$I25)+
IF('Hulp (control forms)'!$C$10=TRUE,INDEX('1a. Input organisatieniveau'!$L15:$N15, MATCH(N15, '1a. Input organisatieniveau'!$L6:$N6, 0)), '1a. Input organisatieniveau'!$I$23) +
IF('Hulp (control forms)'!$C$11=TRUE,INDEX('1a. Input organisatieniveau'!$L16:$N16, MATCH(N15, '1a. Input organisatieniveau'!$L6:$N6, 0)), '1a. Input organisatieniveau'!$I$24),""))</f>
        <v/>
      </c>
      <c r="O32" s="460" t="str">
        <f ca="1">IF(N16="","",O31*IF(N32&lt;&gt;"",N32,$C32))</f>
        <v/>
      </c>
      <c r="P32" s="457" t="str">
        <f ca="1">IF(P16="","",
IF(NOT(AND('Hulp (control forms)'!$C$10&lt;&gt;TRUE,'Hulp (control forms)'!$C$11&lt;&gt;TRUE)),
SUM('1a. Input organisatieniveau'!$I25)+
IF('Hulp (control forms)'!$C$10=TRUE,INDEX('1a. Input organisatieniveau'!$L15:$N15, MATCH(P15, '1a. Input organisatieniveau'!$L6:$N6, 0)), '1a. Input organisatieniveau'!$I$23) +
IF('Hulp (control forms)'!$C$11=TRUE,INDEX('1a. Input organisatieniveau'!$L16:$N16, MATCH(P15, '1a. Input organisatieniveau'!$L6:$N6, 0)), '1a. Input organisatieniveau'!$I$24),""))</f>
        <v/>
      </c>
      <c r="Q32" s="460" t="str">
        <f ca="1">IF(P16="","",Q31*IF(P32&lt;&gt;"",P32,$C32))</f>
        <v/>
      </c>
      <c r="R32" s="457" t="str">
        <f ca="1">IF(R16="","",
IF(NOT(AND('Hulp (control forms)'!$C$10&lt;&gt;TRUE,'Hulp (control forms)'!$C$11&lt;&gt;TRUE)),
SUM('1a. Input organisatieniveau'!$I25)+
IF('Hulp (control forms)'!$C$10=TRUE,INDEX('1a. Input organisatieniveau'!$L15:$N15, MATCH(R15, '1a. Input organisatieniveau'!$L6:$N6, 0)), '1a. Input organisatieniveau'!$I$23) +
IF('Hulp (control forms)'!$C$11=TRUE,INDEX('1a. Input organisatieniveau'!$L16:$N16, MATCH(R15, '1a. Input organisatieniveau'!$L6:$N6, 0)), '1a. Input organisatieniveau'!$I$24),""))</f>
        <v/>
      </c>
      <c r="S32" s="460" t="str">
        <f ca="1">IF(R16="","",S31*IF(R32&lt;&gt;"",R32,$C32))</f>
        <v/>
      </c>
      <c r="T32" s="457" t="str">
        <f ca="1">IF(T16="","",
IF(NOT(AND('Hulp (control forms)'!$C$10&lt;&gt;TRUE,'Hulp (control forms)'!$C$11&lt;&gt;TRUE)),
SUM('1a. Input organisatieniveau'!$I25)+
IF('Hulp (control forms)'!$C$10=TRUE,INDEX('1a. Input organisatieniveau'!$L15:$N15, MATCH(T15, '1a. Input organisatieniveau'!$L6:$N6, 0)), '1a. Input organisatieniveau'!$I$23) +
IF('Hulp (control forms)'!$C$11=TRUE,INDEX('1a. Input organisatieniveau'!$L16:$N16, MATCH(T15, '1a. Input organisatieniveau'!$L6:$N6, 0)), '1a. Input organisatieniveau'!$I$24),""))</f>
        <v/>
      </c>
      <c r="U32" s="460" t="str">
        <f ca="1">IF(T16="","",U31*IF(T32&lt;&gt;"",T32,$C32))</f>
        <v/>
      </c>
      <c r="V32" s="457" t="str">
        <f ca="1">IF(V16="","",
IF(NOT(AND('Hulp (control forms)'!$C$10&lt;&gt;TRUE,'Hulp (control forms)'!$C$11&lt;&gt;TRUE)),
SUM('1a. Input organisatieniveau'!$I25)+
IF('Hulp (control forms)'!$C$10=TRUE,INDEX('1a. Input organisatieniveau'!$L15:$N15, MATCH(V15, '1a. Input organisatieniveau'!$L6:$N6, 0)), '1a. Input organisatieniveau'!$I$23) +
IF('Hulp (control forms)'!$C$11=TRUE,INDEX('1a. Input organisatieniveau'!$L16:$N16, MATCH(V15, '1a. Input organisatieniveau'!$L6:$N6, 0)), '1a. Input organisatieniveau'!$I$24),""))</f>
        <v/>
      </c>
      <c r="W32" s="460" t="str">
        <f ca="1">IF(V16="","",W31*IF(V32&lt;&gt;"",V32,$C32))</f>
        <v/>
      </c>
      <c r="X32" s="457" t="str">
        <f ca="1">IF(X16="","",
IF(NOT(AND('Hulp (control forms)'!$C$10&lt;&gt;TRUE,'Hulp (control forms)'!$C$11&lt;&gt;TRUE)),
SUM('1a. Input organisatieniveau'!$I25)+
IF('Hulp (control forms)'!$C$10=TRUE,INDEX('1a. Input organisatieniveau'!$L15:$N15, MATCH(X15, '1a. Input organisatieniveau'!$L6:$N6, 0)), '1a. Input organisatieniveau'!$I$23) +
IF('Hulp (control forms)'!$C$11=TRUE,INDEX('1a. Input organisatieniveau'!$L16:$N16, MATCH(X15, '1a. Input organisatieniveau'!$L6:$N6, 0)), '1a. Input organisatieniveau'!$I$24),""))</f>
        <v/>
      </c>
      <c r="Y32" s="460" t="str">
        <f ca="1">IF(X16="","",Y31*IF(X32&lt;&gt;"",X32,$C32))</f>
        <v/>
      </c>
      <c r="Z32" s="457" t="str">
        <f ca="1">IF(Z16="","",
IF(NOT(AND('Hulp (control forms)'!$C$10&lt;&gt;TRUE,'Hulp (control forms)'!$C$11&lt;&gt;TRUE)),
SUM('1a. Input organisatieniveau'!$I25)+
IF('Hulp (control forms)'!$C$10=TRUE,INDEX('1a. Input organisatieniveau'!$L15:$N15, MATCH(Z15, '1a. Input organisatieniveau'!$L6:$N6, 0)), '1a. Input organisatieniveau'!$I$23) +
IF('Hulp (control forms)'!$C$11=TRUE,INDEX('1a. Input organisatieniveau'!$L16:$N16, MATCH(Z15, '1a. Input organisatieniveau'!$L6:$N6, 0)), '1a. Input organisatieniveau'!$I$24),""))</f>
        <v/>
      </c>
      <c r="AA32" s="460" t="str">
        <f ca="1">IF(Z16="","",AA31*IF(Z32&lt;&gt;"",Z32,$C32))</f>
        <v/>
      </c>
      <c r="AB32" s="457" t="str">
        <f ca="1">IF(AB16="","",
IF(NOT(AND('Hulp (control forms)'!$C$10&lt;&gt;TRUE,'Hulp (control forms)'!$C$11&lt;&gt;TRUE)),
SUM('1a. Input organisatieniveau'!$I25)+
IF('Hulp (control forms)'!$C$10=TRUE,INDEX('1a. Input organisatieniveau'!$L15:$N15, MATCH(AB15, '1a. Input organisatieniveau'!$L6:$N6, 0)), '1a. Input organisatieniveau'!$I$23) +
IF('Hulp (control forms)'!$C$11=TRUE,INDEX('1a. Input organisatieniveau'!$L16:$N16, MATCH(AB15, '1a. Input organisatieniveau'!$L6:$N6, 0)), '1a. Input organisatieniveau'!$I$24),""))</f>
        <v/>
      </c>
      <c r="AC32" s="460" t="str">
        <f ca="1">IF(AB16="","",AC31*IF(AB32&lt;&gt;"",AB32,$C32))</f>
        <v/>
      </c>
      <c r="AD32" s="457" t="str">
        <f ca="1">IF(AD16="","",
IF(NOT(AND('Hulp (control forms)'!$C$10&lt;&gt;TRUE,'Hulp (control forms)'!$C$11&lt;&gt;TRUE)),
SUM('1a. Input organisatieniveau'!$I25)+
IF('Hulp (control forms)'!$C$10=TRUE,INDEX('1a. Input organisatieniveau'!$L15:$N15, MATCH(AD15, '1a. Input organisatieniveau'!$L6:$N6, 0)), '1a. Input organisatieniveau'!$I$23) +
IF('Hulp (control forms)'!$C$11=TRUE,INDEX('1a. Input organisatieniveau'!$L16:$N16, MATCH(AD15, '1a. Input organisatieniveau'!$L6:$N6, 0)), '1a. Input organisatieniveau'!$I$24),""))</f>
        <v/>
      </c>
      <c r="AE32" s="460" t="str">
        <f ca="1">IF(AD16="","",AE31*IF(AD32&lt;&gt;"",AD32,$C32))</f>
        <v/>
      </c>
      <c r="AF32" s="457" t="str">
        <f ca="1">IF(AF16="","",
IF(NOT(AND('Hulp (control forms)'!$C$10&lt;&gt;TRUE,'Hulp (control forms)'!$C$11&lt;&gt;TRUE)),
SUM('1a. Input organisatieniveau'!$I25)+
IF('Hulp (control forms)'!$C$10=TRUE,INDEX('1a. Input organisatieniveau'!$L15:$N15, MATCH(AF15, '1a. Input organisatieniveau'!$L6:$N6, 0)), '1a. Input organisatieniveau'!$I$23) +
IF('Hulp (control forms)'!$C$11=TRUE,INDEX('1a. Input organisatieniveau'!$L16:$N16, MATCH(AF15, '1a. Input organisatieniveau'!$L6:$N6, 0)), '1a. Input organisatieniveau'!$I$24),""))</f>
        <v/>
      </c>
      <c r="AG32" s="460" t="str">
        <f ca="1">IF(AF16="","",AG31*IF(AF32&lt;&gt;"",AF32,$C32))</f>
        <v/>
      </c>
      <c r="AH32" s="457" t="str">
        <f ca="1">IF(AH16="","",
IF(NOT(AND('Hulp (control forms)'!$C$10&lt;&gt;TRUE,'Hulp (control forms)'!$C$11&lt;&gt;TRUE)),
SUM('1a. Input organisatieniveau'!$I25)+
IF('Hulp (control forms)'!$C$10=TRUE,INDEX('1a. Input organisatieniveau'!$L15:$N15, MATCH(AH15, '1a. Input organisatieniveau'!$L6:$N6, 0)), '1a. Input organisatieniveau'!$I$23) +
IF('Hulp (control forms)'!$C$11=TRUE,INDEX('1a. Input organisatieniveau'!$L16:$N16, MATCH(AH15, '1a. Input organisatieniveau'!$L6:$N6, 0)), '1a. Input organisatieniveau'!$I$24),""))</f>
        <v/>
      </c>
      <c r="AI32" s="460" t="str">
        <f ca="1">IF(AH16="","",AI31*IF(AH32&lt;&gt;"",AH32,$C32))</f>
        <v/>
      </c>
      <c r="AJ32" s="457" t="str">
        <f ca="1">IF(AJ16="","",
IF(NOT(AND('Hulp (control forms)'!$C$10&lt;&gt;TRUE,'Hulp (control forms)'!$C$11&lt;&gt;TRUE)),
SUM('1a. Input organisatieniveau'!$I25)+
IF('Hulp (control forms)'!$C$10=TRUE,INDEX('1a. Input organisatieniveau'!$L15:$N15, MATCH(AJ15, '1a. Input organisatieniveau'!$L6:$N6, 0)), '1a. Input organisatieniveau'!$I$23) +
IF('Hulp (control forms)'!$C$11=TRUE,INDEX('1a. Input organisatieniveau'!$L16:$N16, MATCH(AJ15, '1a. Input organisatieniveau'!$L6:$N6, 0)), '1a. Input organisatieniveau'!$I$24),""))</f>
        <v/>
      </c>
      <c r="AK32" s="460" t="str">
        <f ca="1">IF(AJ16="","",AK31*IF(AJ32&lt;&gt;"",AJ32,$C32))</f>
        <v/>
      </c>
      <c r="AL32" s="457" t="str">
        <f ca="1">IF(AL16="","",
IF(NOT(AND('Hulp (control forms)'!$C$10&lt;&gt;TRUE,'Hulp (control forms)'!$C$11&lt;&gt;TRUE)),
SUM('1a. Input organisatieniveau'!$I25)+
IF('Hulp (control forms)'!$C$10=TRUE,INDEX('1a. Input organisatieniveau'!$L15:$N15, MATCH(AL15, '1a. Input organisatieniveau'!$L6:$N6, 0)), '1a. Input organisatieniveau'!$I$23) +
IF('Hulp (control forms)'!$C$11=TRUE,INDEX('1a. Input organisatieniveau'!$L16:$N16, MATCH(AL15, '1a. Input organisatieniveau'!$L6:$N6, 0)), '1a. Input organisatieniveau'!$I$24),""))</f>
        <v/>
      </c>
      <c r="AM32" s="460" t="str">
        <f ca="1">IF(AL16="","",AM31*IF(AL32&lt;&gt;"",AL32,$C32))</f>
        <v/>
      </c>
      <c r="AN32" s="457" t="str">
        <f ca="1">IF(AN16="","",
IF(NOT(AND('Hulp (control forms)'!$C$10&lt;&gt;TRUE,'Hulp (control forms)'!$C$11&lt;&gt;TRUE)),
SUM('1a. Input organisatieniveau'!$I25)+
IF('Hulp (control forms)'!$C$10=TRUE,INDEX('1a. Input organisatieniveau'!$L15:$N15, MATCH(AN15, '1a. Input organisatieniveau'!$L6:$N6, 0)), '1a. Input organisatieniveau'!$I$23) +
IF('Hulp (control forms)'!$C$11=TRUE,INDEX('1a. Input organisatieniveau'!$L16:$N16, MATCH(AN15, '1a. Input organisatieniveau'!$L6:$N6, 0)), '1a. Input organisatieniveau'!$I$24),""))</f>
        <v/>
      </c>
      <c r="AO32" s="460" t="str">
        <f ca="1">IF(AN16="","",AO31*IF(AN32&lt;&gt;"",AN32,$C32))</f>
        <v/>
      </c>
      <c r="AP32" s="457" t="str">
        <f ca="1">IF(AP16="","",
IF(NOT(AND('Hulp (control forms)'!$C$10&lt;&gt;TRUE,'Hulp (control forms)'!$C$11&lt;&gt;TRUE)),
SUM('1a. Input organisatieniveau'!$I25)+
IF('Hulp (control forms)'!$C$10=TRUE,INDEX('1a. Input organisatieniveau'!$L15:$N15, MATCH(AP15, '1a. Input organisatieniveau'!$L6:$N6, 0)), '1a. Input organisatieniveau'!$I$23) +
IF('Hulp (control forms)'!$C$11=TRUE,INDEX('1a. Input organisatieniveau'!$L16:$N16, MATCH(AP15, '1a. Input organisatieniveau'!$L6:$N6, 0)), '1a. Input organisatieniveau'!$I$24),""))</f>
        <v/>
      </c>
      <c r="AQ32" s="460" t="str">
        <f ca="1">IF(AP16="","",AQ31*IF(AP32&lt;&gt;"",AP32,$C32))</f>
        <v/>
      </c>
      <c r="AR32" s="457" t="str">
        <f ca="1">IF(AR16="","",
IF(NOT(AND('Hulp (control forms)'!$C$10&lt;&gt;TRUE,'Hulp (control forms)'!$C$11&lt;&gt;TRUE)),
SUM('1a. Input organisatieniveau'!$I25)+
IF('Hulp (control forms)'!$C$10=TRUE,INDEX('1a. Input organisatieniveau'!$L15:$N15, MATCH(AR15, '1a. Input organisatieniveau'!$L6:$N6, 0)), '1a. Input organisatieniveau'!$I$23) +
IF('Hulp (control forms)'!$C$11=TRUE,INDEX('1a. Input organisatieniveau'!$L16:$N16, MATCH(AR15, '1a. Input organisatieniveau'!$L6:$N6, 0)), '1a. Input organisatieniveau'!$I$24),""))</f>
        <v/>
      </c>
      <c r="AS32" s="460" t="str">
        <f ca="1">IF(AR16="","",AS31*IF(AR32&lt;&gt;"",AR32,$C32))</f>
        <v/>
      </c>
      <c r="AT32" s="457" t="str">
        <f ca="1">IF(AT16="","",
IF(NOT(AND('Hulp (control forms)'!$C$10&lt;&gt;TRUE,'Hulp (control forms)'!$C$11&lt;&gt;TRUE)),
SUM('1a. Input organisatieniveau'!$I25)+
IF('Hulp (control forms)'!$C$10=TRUE,INDEX('1a. Input organisatieniveau'!$L15:$N15, MATCH(AT15, '1a. Input organisatieniveau'!$L6:$N6, 0)), '1a. Input organisatieniveau'!$I$23) +
IF('Hulp (control forms)'!$C$11=TRUE,INDEX('1a. Input organisatieniveau'!$L16:$N16, MATCH(AT15, '1a. Input organisatieniveau'!$L6:$N6, 0)), '1a. Input organisatieniveau'!$I$24),""))</f>
        <v/>
      </c>
      <c r="AU32" s="460" t="str">
        <f ca="1">IF(AT16="","",AU31*IF(AT32&lt;&gt;"",AT32,$C32))</f>
        <v/>
      </c>
      <c r="AV32" s="457" t="str">
        <f ca="1">IF(AV16="","",
IF(NOT(AND('Hulp (control forms)'!$C$10&lt;&gt;TRUE,'Hulp (control forms)'!$C$11&lt;&gt;TRUE)),
SUM('1a. Input organisatieniveau'!$I25)+
IF('Hulp (control forms)'!$C$10=TRUE,INDEX('1a. Input organisatieniveau'!$L15:$N15, MATCH(AV15, '1a. Input organisatieniveau'!$L6:$N6, 0)), '1a. Input organisatieniveau'!$I$23) +
IF('Hulp (control forms)'!$C$11=TRUE,INDEX('1a. Input organisatieniveau'!$L16:$N16, MATCH(AV15, '1a. Input organisatieniveau'!$L6:$N6, 0)), '1a. Input organisatieniveau'!$I$24),""))</f>
        <v/>
      </c>
      <c r="AW32" s="460" t="str">
        <f ca="1">IF(AV16="","",AW31*IF(AV32&lt;&gt;"",AV32,$C32))</f>
        <v/>
      </c>
      <c r="AX32" s="457" t="str">
        <f ca="1">IF(AX16="","",
IF(NOT(AND('Hulp (control forms)'!$C$10&lt;&gt;TRUE,'Hulp (control forms)'!$C$11&lt;&gt;TRUE)),
SUM('1a. Input organisatieniveau'!$I25)+
IF('Hulp (control forms)'!$C$10=TRUE,INDEX('1a. Input organisatieniveau'!$L15:$N15, MATCH(AX15, '1a. Input organisatieniveau'!$L6:$N6, 0)), '1a. Input organisatieniveau'!$I$23) +
IF('Hulp (control forms)'!$C$11=TRUE,INDEX('1a. Input organisatieniveau'!$L16:$N16, MATCH(AX15, '1a. Input organisatieniveau'!$L6:$N6, 0)), '1a. Input organisatieniveau'!$I$24),""))</f>
        <v/>
      </c>
      <c r="AY32" s="460" t="str">
        <f ca="1">IF(AX16="","",AY31*IF(AX32&lt;&gt;"",AX32,$C32))</f>
        <v/>
      </c>
      <c r="AZ32" s="457" t="str">
        <f ca="1">IF(AZ16="","",
IF(NOT(AND('Hulp (control forms)'!$C$10&lt;&gt;TRUE,'Hulp (control forms)'!$C$11&lt;&gt;TRUE)),
SUM('1a. Input organisatieniveau'!$I25)+
IF('Hulp (control forms)'!$C$10=TRUE,INDEX('1a. Input organisatieniveau'!$L15:$N15, MATCH(AZ15, '1a. Input organisatieniveau'!$L6:$N6, 0)), '1a. Input organisatieniveau'!$I$23) +
IF('Hulp (control forms)'!$C$11=TRUE,INDEX('1a. Input organisatieniveau'!$L16:$N16, MATCH(AZ15, '1a. Input organisatieniveau'!$L6:$N6, 0)), '1a. Input organisatieniveau'!$I$24),""))</f>
        <v/>
      </c>
      <c r="BA32" s="460" t="str">
        <f ca="1">IF(AZ16="","",BA31*IF(AZ32&lt;&gt;"",AZ32,$C32))</f>
        <v/>
      </c>
      <c r="BB32" s="457" t="str">
        <f ca="1">IF(BB16="","",
IF(NOT(AND('Hulp (control forms)'!$C$10&lt;&gt;TRUE,'Hulp (control forms)'!$C$11&lt;&gt;TRUE)),
SUM('1a. Input organisatieniveau'!$I25)+
IF('Hulp (control forms)'!$C$10=TRUE,INDEX('1a. Input organisatieniveau'!$L15:$N15, MATCH(BB15, '1a. Input organisatieniveau'!$L6:$N6, 0)), '1a. Input organisatieniveau'!$I$23) +
IF('Hulp (control forms)'!$C$11=TRUE,INDEX('1a. Input organisatieniveau'!$L16:$N16, MATCH(BB15, '1a. Input organisatieniveau'!$L6:$N6, 0)), '1a. Input organisatieniveau'!$I$24),""))</f>
        <v/>
      </c>
      <c r="BC32" s="460" t="str">
        <f ca="1">IF(BB16="","",BC31*IF(BB32&lt;&gt;"",BB32,$C32))</f>
        <v/>
      </c>
      <c r="BD32" s="457" t="str">
        <f ca="1">IF(BD16="","",
IF(NOT(AND('Hulp (control forms)'!$C$10&lt;&gt;TRUE,'Hulp (control forms)'!$C$11&lt;&gt;TRUE)),
SUM('1a. Input organisatieniveau'!$I25)+
IF('Hulp (control forms)'!$C$10=TRUE,INDEX('1a. Input organisatieniveau'!$L15:$N15, MATCH(BD15, '1a. Input organisatieniveau'!$L6:$N6, 0)), '1a. Input organisatieniveau'!$I$23) +
IF('Hulp (control forms)'!$C$11=TRUE,INDEX('1a. Input organisatieniveau'!$L16:$N16, MATCH(BD15, '1a. Input organisatieniveau'!$L6:$N6, 0)), '1a. Input organisatieniveau'!$I$24),""))</f>
        <v/>
      </c>
      <c r="BE32" s="460" t="str">
        <f ca="1">IF(BD16="","",BE31*IF(BD32&lt;&gt;"",BD32,$C32))</f>
        <v/>
      </c>
      <c r="BF32" s="457" t="str">
        <f ca="1">IF(BF16="","",
IF(NOT(AND('Hulp (control forms)'!$C$10&lt;&gt;TRUE,'Hulp (control forms)'!$C$11&lt;&gt;TRUE)),
SUM('1a. Input organisatieniveau'!$I25)+
IF('Hulp (control forms)'!$C$10=TRUE,INDEX('1a. Input organisatieniveau'!$L15:$N15, MATCH(BF15, '1a. Input organisatieniveau'!$L6:$N6, 0)), '1a. Input organisatieniveau'!$I$23) +
IF('Hulp (control forms)'!$C$11=TRUE,INDEX('1a. Input organisatieniveau'!$L16:$N16, MATCH(BF15, '1a. Input organisatieniveau'!$L6:$N6, 0)), '1a. Input organisatieniveau'!$I$24),""))</f>
        <v/>
      </c>
      <c r="BG32" s="460" t="str">
        <f ca="1">IF(BF16="","",BG31*IF(BF32&lt;&gt;"",BF32,$C32))</f>
        <v/>
      </c>
      <c r="BH32" s="457" t="str">
        <f ca="1">IF(BH16="","",
IF(NOT(AND('Hulp (control forms)'!$C$10&lt;&gt;TRUE,'Hulp (control forms)'!$C$11&lt;&gt;TRUE)),
SUM('1a. Input organisatieniveau'!$I25)+
IF('Hulp (control forms)'!$C$10=TRUE,INDEX('1a. Input organisatieniveau'!$L15:$N15, MATCH(BH15, '1a. Input organisatieniveau'!$L6:$N6, 0)), '1a. Input organisatieniveau'!$I$23) +
IF('Hulp (control forms)'!$C$11=TRUE,INDEX('1a. Input organisatieniveau'!$L16:$N16, MATCH(BH15, '1a. Input organisatieniveau'!$L6:$N6, 0)), '1a. Input organisatieniveau'!$I$24),""))</f>
        <v/>
      </c>
      <c r="BI32" s="460" t="str">
        <f ca="1">IF(BH16="","",BI31*IF(BH32&lt;&gt;"",BH32,$C32))</f>
        <v/>
      </c>
      <c r="BJ32" s="457" t="str">
        <f ca="1">IF(BJ16="","",
IF(NOT(AND('Hulp (control forms)'!$C$10&lt;&gt;TRUE,'Hulp (control forms)'!$C$11&lt;&gt;TRUE)),
SUM('1a. Input organisatieniveau'!$I25)+
IF('Hulp (control forms)'!$C$10=TRUE,INDEX('1a. Input organisatieniveau'!$L15:$N15, MATCH(BJ15, '1a. Input organisatieniveau'!$L6:$N6, 0)), '1a. Input organisatieniveau'!$I$23) +
IF('Hulp (control forms)'!$C$11=TRUE,INDEX('1a. Input organisatieniveau'!$L16:$N16, MATCH(BJ15, '1a. Input organisatieniveau'!$L6:$N6, 0)), '1a. Input organisatieniveau'!$I$24),""))</f>
        <v/>
      </c>
      <c r="BK32" s="460" t="str">
        <f ca="1">IF(BJ16="","",BK31*IF(BJ32&lt;&gt;"",BJ32,$C32))</f>
        <v/>
      </c>
      <c r="BL32" s="457" t="str">
        <f ca="1">IF(BL16="","",
IF(NOT(AND('Hulp (control forms)'!$C$10&lt;&gt;TRUE,'Hulp (control forms)'!$C$11&lt;&gt;TRUE)),
SUM('1a. Input organisatieniveau'!$I25)+
IF('Hulp (control forms)'!$C$10=TRUE,INDEX('1a. Input organisatieniveau'!$L15:$N15, MATCH(BL15, '1a. Input organisatieniveau'!$L6:$N6, 0)), '1a. Input organisatieniveau'!$I$23) +
IF('Hulp (control forms)'!$C$11=TRUE,INDEX('1a. Input organisatieniveau'!$L16:$N16, MATCH(BL15, '1a. Input organisatieniveau'!$L6:$N6, 0)), '1a. Input organisatieniveau'!$I$24),""))</f>
        <v/>
      </c>
      <c r="BM32" s="460" t="str">
        <f ca="1">IF(BL16="","",BM31*IF(BL32&lt;&gt;"",BL32,$C32))</f>
        <v/>
      </c>
      <c r="BN32" s="457" t="str">
        <f ca="1">IF(BN16="","",
IF(NOT(AND('Hulp (control forms)'!$C$10&lt;&gt;TRUE,'Hulp (control forms)'!$C$11&lt;&gt;TRUE)),
SUM('1a. Input organisatieniveau'!$I25)+
IF('Hulp (control forms)'!$C$10=TRUE,INDEX('1a. Input organisatieniveau'!$L15:$N15, MATCH(BN15, '1a. Input organisatieniveau'!$L6:$N6, 0)), '1a. Input organisatieniveau'!$I$23) +
IF('Hulp (control forms)'!$C$11=TRUE,INDEX('1a. Input organisatieniveau'!$L16:$N16, MATCH(BN15, '1a. Input organisatieniveau'!$L6:$N6, 0)), '1a. Input organisatieniveau'!$I$24),""))</f>
        <v/>
      </c>
      <c r="BO32" s="460" t="str">
        <f ca="1">IF(BN16="","",BO31*IF(BN32&lt;&gt;"",BN32,$C32))</f>
        <v/>
      </c>
      <c r="BP32" s="457" t="str">
        <f ca="1">IF(BP16="","",
IF(NOT(AND('Hulp (control forms)'!$C$10&lt;&gt;TRUE,'Hulp (control forms)'!$C$11&lt;&gt;TRUE)),
SUM('1a. Input organisatieniveau'!$I25)+
IF('Hulp (control forms)'!$C$10=TRUE,INDEX('1a. Input organisatieniveau'!$L15:$N15, MATCH(BP15, '1a. Input organisatieniveau'!$L6:$N6, 0)), '1a. Input organisatieniveau'!$I$23) +
IF('Hulp (control forms)'!$C$11=TRUE,INDEX('1a. Input organisatieniveau'!$L16:$N16, MATCH(BP15, '1a. Input organisatieniveau'!$L6:$N6, 0)), '1a. Input organisatieniveau'!$I$24),""))</f>
        <v/>
      </c>
      <c r="BQ32" s="460" t="str">
        <f ca="1">IF(BP16="","",BQ31*IF(BP32&lt;&gt;"",BP32,$C32))</f>
        <v/>
      </c>
      <c r="BR32" s="457" t="str">
        <f ca="1">IF(BR16="","",
IF(NOT(AND('Hulp (control forms)'!$C$10&lt;&gt;TRUE,'Hulp (control forms)'!$C$11&lt;&gt;TRUE)),
SUM('1a. Input organisatieniveau'!$I25)+
IF('Hulp (control forms)'!$C$10=TRUE,INDEX('1a. Input organisatieniveau'!$L15:$N15, MATCH(BR15, '1a. Input organisatieniveau'!$L6:$N6, 0)), '1a. Input organisatieniveau'!$I$23) +
IF('Hulp (control forms)'!$C$11=TRUE,INDEX('1a. Input organisatieniveau'!$L16:$N16, MATCH(BR15, '1a. Input organisatieniveau'!$L6:$N6, 0)), '1a. Input organisatieniveau'!$I$24),""))</f>
        <v/>
      </c>
      <c r="BS32" s="460" t="str">
        <f ca="1">IF(BR16="","",BS31*IF(BR32&lt;&gt;"",BR32,$C32))</f>
        <v/>
      </c>
      <c r="BT32" s="457" t="str">
        <f ca="1">IF(BT16="","",
IF(NOT(AND('Hulp (control forms)'!$C$10&lt;&gt;TRUE,'Hulp (control forms)'!$C$11&lt;&gt;TRUE)),
SUM('1a. Input organisatieniveau'!$I25)+
IF('Hulp (control forms)'!$C$10=TRUE,INDEX('1a. Input organisatieniveau'!$L15:$N15, MATCH(BT15, '1a. Input organisatieniveau'!$L6:$N6, 0)), '1a. Input organisatieniveau'!$I$23) +
IF('Hulp (control forms)'!$C$11=TRUE,INDEX('1a. Input organisatieniveau'!$L16:$N16, MATCH(BT15, '1a. Input organisatieniveau'!$L6:$N6, 0)), '1a. Input organisatieniveau'!$I$24),""))</f>
        <v/>
      </c>
      <c r="BU32" s="460" t="str">
        <f ca="1">IF(BT16="","",BU31*IF(BT32&lt;&gt;"",BT32,$C32))</f>
        <v/>
      </c>
      <c r="BV32" s="457" t="str">
        <f ca="1">IF(BV16="","",
IF(NOT(AND('Hulp (control forms)'!$C$10&lt;&gt;TRUE,'Hulp (control forms)'!$C$11&lt;&gt;TRUE)),
SUM('1a. Input organisatieniveau'!$I25)+
IF('Hulp (control forms)'!$C$10=TRUE,INDEX('1a. Input organisatieniveau'!$L15:$N15, MATCH(BV15, '1a. Input organisatieniveau'!$L6:$N6, 0)), '1a. Input organisatieniveau'!$I$23) +
IF('Hulp (control forms)'!$C$11=TRUE,INDEX('1a. Input organisatieniveau'!$L16:$N16, MATCH(BV15, '1a. Input organisatieniveau'!$L6:$N6, 0)), '1a. Input organisatieniveau'!$I$24),""))</f>
        <v/>
      </c>
      <c r="BW32" s="460" t="str">
        <f ca="1">IF(BV16="","",BW31*IF(BV32&lt;&gt;"",BV32,$C32))</f>
        <v/>
      </c>
      <c r="BX32" s="457" t="str">
        <f ca="1">IF(BX16="","",
IF(NOT(AND('Hulp (control forms)'!$C$10&lt;&gt;TRUE,'Hulp (control forms)'!$C$11&lt;&gt;TRUE)),
SUM('1a. Input organisatieniveau'!$I25)+
IF('Hulp (control forms)'!$C$10=TRUE,INDEX('1a. Input organisatieniveau'!$L15:$N15, MATCH(BX15, '1a. Input organisatieniveau'!$L6:$N6, 0)), '1a. Input organisatieniveau'!$I$23) +
IF('Hulp (control forms)'!$C$11=TRUE,INDEX('1a. Input organisatieniveau'!$L16:$N16, MATCH(BX15, '1a. Input organisatieniveau'!$L6:$N6, 0)), '1a. Input organisatieniveau'!$I$24),""))</f>
        <v/>
      </c>
      <c r="BY32" s="460" t="str">
        <f ca="1">IF(BX16="","",BY31*IF(BX32&lt;&gt;"",BX32,$C32))</f>
        <v/>
      </c>
      <c r="BZ32" s="457" t="str">
        <f ca="1">IF(BZ16="","",
IF(NOT(AND('Hulp (control forms)'!$C$10&lt;&gt;TRUE,'Hulp (control forms)'!$C$11&lt;&gt;TRUE)),
SUM('1a. Input organisatieniveau'!$I25)+
IF('Hulp (control forms)'!$C$10=TRUE,INDEX('1a. Input organisatieniveau'!$L15:$N15, MATCH(BZ15, '1a. Input organisatieniveau'!$L6:$N6, 0)), '1a. Input organisatieniveau'!$I$23) +
IF('Hulp (control forms)'!$C$11=TRUE,INDEX('1a. Input organisatieniveau'!$L16:$N16, MATCH(BZ15, '1a. Input organisatieniveau'!$L6:$N6, 0)), '1a. Input organisatieniveau'!$I$24),""))</f>
        <v/>
      </c>
      <c r="CA32" s="460" t="str">
        <f ca="1">IF(BZ16="","",CA31*IF(BZ32&lt;&gt;"",BZ32,$C32))</f>
        <v/>
      </c>
      <c r="CB32" s="457" t="str">
        <f ca="1">IF(CB16="","",
IF(NOT(AND('Hulp (control forms)'!$C$10&lt;&gt;TRUE,'Hulp (control forms)'!$C$11&lt;&gt;TRUE)),
SUM('1a. Input organisatieniveau'!$I25)+
IF('Hulp (control forms)'!$C$10=TRUE,INDEX('1a. Input organisatieniveau'!$L15:$N15, MATCH(CB15, '1a. Input organisatieniveau'!$L6:$N6, 0)), '1a. Input organisatieniveau'!$I$23) +
IF('Hulp (control forms)'!$C$11=TRUE,INDEX('1a. Input organisatieniveau'!$L16:$N16, MATCH(CB15, '1a. Input organisatieniveau'!$L6:$N6, 0)), '1a. Input organisatieniveau'!$I$24),""))</f>
        <v/>
      </c>
      <c r="CC32" s="460" t="str">
        <f ca="1">IF(CB16="","",CC31*IF(CB32&lt;&gt;"",CB32,$C32))</f>
        <v/>
      </c>
      <c r="CD32" s="457" t="str">
        <f ca="1">IF(CD16="","",
IF(NOT(AND('Hulp (control forms)'!$C$10&lt;&gt;TRUE,'Hulp (control forms)'!$C$11&lt;&gt;TRUE)),
SUM('1a. Input organisatieniveau'!$I25)+
IF('Hulp (control forms)'!$C$10=TRUE,INDEX('1a. Input organisatieniveau'!$L15:$N15, MATCH(CD15, '1a. Input organisatieniveau'!$L6:$N6, 0)), '1a. Input organisatieniveau'!$I$23) +
IF('Hulp (control forms)'!$C$11=TRUE,INDEX('1a. Input organisatieniveau'!$L16:$N16, MATCH(CD15, '1a. Input organisatieniveau'!$L6:$N6, 0)), '1a. Input organisatieniveau'!$I$24),""))</f>
        <v/>
      </c>
      <c r="CE32" s="460" t="str">
        <f ca="1">IF(CD16="","",CE31*IF(CD32&lt;&gt;"",CD32,$C32))</f>
        <v/>
      </c>
      <c r="CF32" s="320"/>
      <c r="CG32" s="289"/>
      <c r="CH32" s="289"/>
      <c r="CI32" s="289"/>
      <c r="CJ32" s="289"/>
      <c r="CK32" s="289"/>
      <c r="CL32" s="289"/>
      <c r="CM32" s="289"/>
      <c r="CN32" s="289"/>
      <c r="CO32" s="289"/>
      <c r="CP32" s="289"/>
      <c r="CQ32" s="289"/>
      <c r="CR32" s="289"/>
      <c r="CS32" s="289"/>
      <c r="CT32" s="289"/>
      <c r="CU32" s="289"/>
      <c r="CV32" s="289"/>
      <c r="CW32" s="289"/>
      <c r="CX32" s="289"/>
      <c r="CY32" s="289"/>
      <c r="CZ32" s="289"/>
    </row>
    <row r="33" spans="1:104" x14ac:dyDescent="0.45">
      <c r="A33" s="289"/>
      <c r="B33" s="432" t="s">
        <v>54</v>
      </c>
      <c r="C33" s="457" t="str">
        <f>IF('Hulp (control forms)'!$C$7&lt;&gt;TRUE,IF('1a. Input organisatieniveau'!I19="","",SUM('1a. Input organisatieniveau'!I19)), "")</f>
        <v/>
      </c>
      <c r="D33" s="462" t="str">
        <f ca="1">IF(D16="","",
IF('Hulp (control forms)'!$C$7=TRUE,IF(INDEX('1a. Input organisatieniveau'!$L11:$N11, MATCH(D15, '1a. Input organisatieniveau'!$L6:$N6, 0))="","",
INDEX('1a. Input organisatieniveau'!$L11:$N11, MATCH(D15, '1a. Input organisatieniveau'!$L6:$N6, 0))),
""))</f>
        <v/>
      </c>
      <c r="E33" s="460" t="str">
        <f ca="1">IF(D16="","",IFERROR(E31*IF(D33&lt;&gt;"",D33,$C33),""))</f>
        <v/>
      </c>
      <c r="F33" s="462" t="str">
        <f ca="1">IF(F16="","",
IF('Hulp (control forms)'!$C$7=TRUE,IF(INDEX('1a. Input organisatieniveau'!$L11:$N11, MATCH(F15, '1a. Input organisatieniveau'!$L6:$N6, 0))="","",
INDEX('1a. Input organisatieniveau'!$L11:$N11, MATCH(F15, '1a. Input organisatieniveau'!$L6:$N6, 0))),
""))</f>
        <v/>
      </c>
      <c r="G33" s="460" t="str">
        <f ca="1">IF(F16="","",IFERROR(G31*IF(F33&lt;&gt;"",F33,$C33),""))</f>
        <v/>
      </c>
      <c r="H33" s="462" t="str">
        <f ca="1">IF(H16="","",
IF('Hulp (control forms)'!$C$7=TRUE,IF(INDEX('1a. Input organisatieniveau'!$L11:$N11, MATCH(H15, '1a. Input organisatieniveau'!$L6:$N6, 0))="","",
INDEX('1a. Input organisatieniveau'!$L11:$N11, MATCH(H15, '1a. Input organisatieniveau'!$L6:$N6, 0))),
""))</f>
        <v/>
      </c>
      <c r="I33" s="460" t="str">
        <f ca="1">IF(H16="","",IFERROR(I31*IF(H33&lt;&gt;"",H33,$C33),""))</f>
        <v/>
      </c>
      <c r="J33" s="462" t="str">
        <f ca="1">IF(J16="","",
IF('Hulp (control forms)'!$C$7=TRUE,IF(INDEX('1a. Input organisatieniveau'!$L11:$N11, MATCH(J15, '1a. Input organisatieniveau'!$L6:$N6, 0))="","",
INDEX('1a. Input organisatieniveau'!$L11:$N11, MATCH(J15, '1a. Input organisatieniveau'!$L6:$N6, 0))),
""))</f>
        <v/>
      </c>
      <c r="K33" s="460" t="str">
        <f ca="1">IF(J16="","",IFERROR(K31*IF(J33&lt;&gt;"",J33,$C33),""))</f>
        <v/>
      </c>
      <c r="L33" s="462" t="str">
        <f ca="1">IF(L16="","",
IF('Hulp (control forms)'!$C$7=TRUE,IF(INDEX('1a. Input organisatieniveau'!$L11:$N11, MATCH(L15, '1a. Input organisatieniveau'!$L6:$N6, 0))="","",
INDEX('1a. Input organisatieniveau'!$L11:$N11, MATCH(L15, '1a. Input organisatieniveau'!$L6:$N6, 0))),
""))</f>
        <v/>
      </c>
      <c r="M33" s="460" t="str">
        <f ca="1">IF(L16="","",IFERROR(M31*IF(L33&lt;&gt;"",L33,$C33),""))</f>
        <v/>
      </c>
      <c r="N33" s="462" t="str">
        <f ca="1">IF(N16="","",
IF('Hulp (control forms)'!$C$7=TRUE,IF(INDEX('1a. Input organisatieniveau'!$L11:$N11, MATCH(N15, '1a. Input organisatieniveau'!$L6:$N6, 0))="","",
INDEX('1a. Input organisatieniveau'!$L11:$N11, MATCH(N15, '1a. Input organisatieniveau'!$L6:$N6, 0))),
""))</f>
        <v/>
      </c>
      <c r="O33" s="460" t="str">
        <f ca="1">IF(N16="","",IFERROR(O31*IF(N33&lt;&gt;"",N33,$C33),""))</f>
        <v/>
      </c>
      <c r="P33" s="462" t="str">
        <f ca="1">IF(P16="","",
IF('Hulp (control forms)'!$C$7=TRUE,IF(INDEX('1a. Input organisatieniveau'!$L11:$N11, MATCH(P15, '1a. Input organisatieniveau'!$L6:$N6, 0))="","",
INDEX('1a. Input organisatieniveau'!$L11:$N11, MATCH(P15, '1a. Input organisatieniveau'!$L6:$N6, 0))),
""))</f>
        <v/>
      </c>
      <c r="Q33" s="460" t="str">
        <f ca="1">IF(P16="","",IFERROR(Q31*IF(P33&lt;&gt;"",P33,$C33),""))</f>
        <v/>
      </c>
      <c r="R33" s="462" t="str">
        <f ca="1">IF(R16="","",
IF('Hulp (control forms)'!$C$7=TRUE,IF(INDEX('1a. Input organisatieniveau'!$L11:$N11, MATCH(R15, '1a. Input organisatieniveau'!$L6:$N6, 0))="","",
INDEX('1a. Input organisatieniveau'!$L11:$N11, MATCH(R15, '1a. Input organisatieniveau'!$L6:$N6, 0))),
""))</f>
        <v/>
      </c>
      <c r="S33" s="460" t="str">
        <f ca="1">IF(R16="","",IFERROR(S31*IF(R33&lt;&gt;"",R33,$C33),""))</f>
        <v/>
      </c>
      <c r="T33" s="462" t="str">
        <f ca="1">IF(T16="","",
IF('Hulp (control forms)'!$C$7=TRUE,IF(INDEX('1a. Input organisatieniveau'!$L11:$N11, MATCH(T15, '1a. Input organisatieniveau'!$L6:$N6, 0))="","",
INDEX('1a. Input organisatieniveau'!$L11:$N11, MATCH(T15, '1a. Input organisatieniveau'!$L6:$N6, 0))),
""))</f>
        <v/>
      </c>
      <c r="U33" s="460" t="str">
        <f ca="1">IF(T16="","",IFERROR(U31*IF(T33&lt;&gt;"",T33,$C33),""))</f>
        <v/>
      </c>
      <c r="V33" s="462" t="str">
        <f ca="1">IF(V16="","",
IF('Hulp (control forms)'!$C$7=TRUE,IF(INDEX('1a. Input organisatieniveau'!$L11:$N11, MATCH(V15, '1a. Input organisatieniveau'!$L6:$N6, 0))="","",
INDEX('1a. Input organisatieniveau'!$L11:$N11, MATCH(V15, '1a. Input organisatieniveau'!$L6:$N6, 0))),
""))</f>
        <v/>
      </c>
      <c r="W33" s="460" t="str">
        <f ca="1">IF(V16="","",IFERROR(W31*IF(V33&lt;&gt;"",V33,$C33),""))</f>
        <v/>
      </c>
      <c r="X33" s="462" t="str">
        <f ca="1">IF(X16="","",
IF('Hulp (control forms)'!$C$7=TRUE,IF(INDEX('1a. Input organisatieniveau'!$L11:$N11, MATCH(X15, '1a. Input organisatieniveau'!$L6:$N6, 0))="","",
INDEX('1a. Input organisatieniveau'!$L11:$N11, MATCH(X15, '1a. Input organisatieniveau'!$L6:$N6, 0))),
""))</f>
        <v/>
      </c>
      <c r="Y33" s="460" t="str">
        <f ca="1">IF(X16="","",IFERROR(Y31*IF(X33&lt;&gt;"",X33,$C33),""))</f>
        <v/>
      </c>
      <c r="Z33" s="462" t="str">
        <f ca="1">IF(Z16="","",
IF('Hulp (control forms)'!$C$7=TRUE,IF(INDEX('1a. Input organisatieniveau'!$L11:$N11, MATCH(Z15, '1a. Input organisatieniveau'!$L6:$N6, 0))="","",
INDEX('1a. Input organisatieniveau'!$L11:$N11, MATCH(Z15, '1a. Input organisatieniveau'!$L6:$N6, 0))),
""))</f>
        <v/>
      </c>
      <c r="AA33" s="460" t="str">
        <f ca="1">IF(Z16="","",IFERROR(AA31*IF(Z33&lt;&gt;"",Z33,$C33),""))</f>
        <v/>
      </c>
      <c r="AB33" s="462" t="str">
        <f ca="1">IF(AB16="","",
IF('Hulp (control forms)'!$C$7=TRUE,IF(INDEX('1a. Input organisatieniveau'!$L11:$N11, MATCH(AB15, '1a. Input organisatieniveau'!$L6:$N6, 0))="","",
INDEX('1a. Input organisatieniveau'!$L11:$N11, MATCH(AB15, '1a. Input organisatieniveau'!$L6:$N6, 0))),
""))</f>
        <v/>
      </c>
      <c r="AC33" s="460" t="str">
        <f ca="1">IF(AB16="","",IFERROR(AC31*IF(AB33&lt;&gt;"",AB33,$C33),""))</f>
        <v/>
      </c>
      <c r="AD33" s="462" t="str">
        <f ca="1">IF(AD16="","",
IF('Hulp (control forms)'!$C$7=TRUE,IF(INDEX('1a. Input organisatieniveau'!$L11:$N11, MATCH(AD15, '1a. Input organisatieniveau'!$L6:$N6, 0))="","",
INDEX('1a. Input organisatieniveau'!$L11:$N11, MATCH(AD15, '1a. Input organisatieniveau'!$L6:$N6, 0))),
""))</f>
        <v/>
      </c>
      <c r="AE33" s="460" t="str">
        <f ca="1">IF(AD16="","",IFERROR(AE31*IF(AD33&lt;&gt;"",AD33,$C33),""))</f>
        <v/>
      </c>
      <c r="AF33" s="462" t="str">
        <f ca="1">IF(AF16="","",
IF('Hulp (control forms)'!$C$7=TRUE,IF(INDEX('1a. Input organisatieniveau'!$L11:$N11, MATCH(AF15, '1a. Input organisatieniveau'!$L6:$N6, 0))="","",
INDEX('1a. Input organisatieniveau'!$L11:$N11, MATCH(AF15, '1a. Input organisatieniveau'!$L6:$N6, 0))),
""))</f>
        <v/>
      </c>
      <c r="AG33" s="460" t="str">
        <f ca="1">IF(AF16="","",IFERROR(AG31*IF(AF33&lt;&gt;"",AF33,$C33),""))</f>
        <v/>
      </c>
      <c r="AH33" s="462" t="str">
        <f ca="1">IF(AH16="","",
IF('Hulp (control forms)'!$C$7=TRUE,IF(INDEX('1a. Input organisatieniveau'!$L11:$N11, MATCH(AH15, '1a. Input organisatieniveau'!$L6:$N6, 0))="","",
INDEX('1a. Input organisatieniveau'!$L11:$N11, MATCH(AH15, '1a. Input organisatieniveau'!$L6:$N6, 0))),
""))</f>
        <v/>
      </c>
      <c r="AI33" s="460" t="str">
        <f ca="1">IF(AH16="","",IFERROR(AI31*IF(AH33&lt;&gt;"",AH33,$C33),""))</f>
        <v/>
      </c>
      <c r="AJ33" s="462" t="str">
        <f ca="1">IF(AJ16="","",
IF('Hulp (control forms)'!$C$7=TRUE,IF(INDEX('1a. Input organisatieniveau'!$L11:$N11, MATCH(AJ15, '1a. Input organisatieniveau'!$L6:$N6, 0))="","",
INDEX('1a. Input organisatieniveau'!$L11:$N11, MATCH(AJ15, '1a. Input organisatieniveau'!$L6:$N6, 0))),
""))</f>
        <v/>
      </c>
      <c r="AK33" s="460" t="str">
        <f ca="1">IF(AJ16="","",IFERROR(AK31*IF(AJ33&lt;&gt;"",AJ33,$C33),""))</f>
        <v/>
      </c>
      <c r="AL33" s="462" t="str">
        <f ca="1">IF(AL16="","",
IF('Hulp (control forms)'!$C$7=TRUE,IF(INDEX('1a. Input organisatieniveau'!$L11:$N11, MATCH(AL15, '1a. Input organisatieniveau'!$L6:$N6, 0))="","",
INDEX('1a. Input organisatieniveau'!$L11:$N11, MATCH(AL15, '1a. Input organisatieniveau'!$L6:$N6, 0))),
""))</f>
        <v/>
      </c>
      <c r="AM33" s="460" t="str">
        <f ca="1">IF(AL16="","",IFERROR(AM31*IF(AL33&lt;&gt;"",AL33,$C33),""))</f>
        <v/>
      </c>
      <c r="AN33" s="462" t="str">
        <f ca="1">IF(AN16="","",
IF('Hulp (control forms)'!$C$7=TRUE,IF(INDEX('1a. Input organisatieniveau'!$L11:$N11, MATCH(AN15, '1a. Input organisatieniveau'!$L6:$N6, 0))="","",
INDEX('1a. Input organisatieniveau'!$L11:$N11, MATCH(AN15, '1a. Input organisatieniveau'!$L6:$N6, 0))),
""))</f>
        <v/>
      </c>
      <c r="AO33" s="460" t="str">
        <f ca="1">IF(AN16="","",IFERROR(AO31*IF(AN33&lt;&gt;"",AN33,$C33),""))</f>
        <v/>
      </c>
      <c r="AP33" s="462" t="str">
        <f ca="1">IF(AP16="","",
IF('Hulp (control forms)'!$C$7=TRUE,IF(INDEX('1a. Input organisatieniveau'!$L11:$N11, MATCH(AP15, '1a. Input organisatieniveau'!$L6:$N6, 0))="","",
INDEX('1a. Input organisatieniveau'!$L11:$N11, MATCH(AP15, '1a. Input organisatieniveau'!$L6:$N6, 0))),
""))</f>
        <v/>
      </c>
      <c r="AQ33" s="460" t="str">
        <f ca="1">IF(AP16="","",IFERROR(AQ31*IF(AP33&lt;&gt;"",AP33,$C33),""))</f>
        <v/>
      </c>
      <c r="AR33" s="462" t="str">
        <f ca="1">IF(AR16="","",
IF('Hulp (control forms)'!$C$7=TRUE,IF(INDEX('1a. Input organisatieniveau'!$L11:$N11, MATCH(AR15, '1a. Input organisatieniveau'!$L6:$N6, 0))="","",
INDEX('1a. Input organisatieniveau'!$L11:$N11, MATCH(AR15, '1a. Input organisatieniveau'!$L6:$N6, 0))),
""))</f>
        <v/>
      </c>
      <c r="AS33" s="460" t="str">
        <f ca="1">IF(AR16="","",IFERROR(AS31*IF(AR33&lt;&gt;"",AR33,$C33),""))</f>
        <v/>
      </c>
      <c r="AT33" s="462" t="str">
        <f ca="1">IF(AT16="","",
IF('Hulp (control forms)'!$C$7=TRUE,IF(INDEX('1a. Input organisatieniveau'!$L11:$N11, MATCH(AT15, '1a. Input organisatieniveau'!$L6:$N6, 0))="","",
INDEX('1a. Input organisatieniveau'!$L11:$N11, MATCH(AT15, '1a. Input organisatieniveau'!$L6:$N6, 0))),
""))</f>
        <v/>
      </c>
      <c r="AU33" s="460" t="str">
        <f ca="1">IF(AT16="","",IFERROR(AU31*IF(AT33&lt;&gt;"",AT33,$C33),""))</f>
        <v/>
      </c>
      <c r="AV33" s="462" t="str">
        <f ca="1">IF(AV16="","",
IF('Hulp (control forms)'!$C$7=TRUE,IF(INDEX('1a. Input organisatieniveau'!$L11:$N11, MATCH(AV15, '1a. Input organisatieniveau'!$L6:$N6, 0))="","",
INDEX('1a. Input organisatieniveau'!$L11:$N11, MATCH(AV15, '1a. Input organisatieniveau'!$L6:$N6, 0))),
""))</f>
        <v/>
      </c>
      <c r="AW33" s="460" t="str">
        <f ca="1">IF(AV16="","",IFERROR(AW31*IF(AV33&lt;&gt;"",AV33,$C33),""))</f>
        <v/>
      </c>
      <c r="AX33" s="462" t="str">
        <f ca="1">IF(AX16="","",
IF('Hulp (control forms)'!$C$7=TRUE,IF(INDEX('1a. Input organisatieniveau'!$L11:$N11, MATCH(AX15, '1a. Input organisatieniveau'!$L6:$N6, 0))="","",
INDEX('1a. Input organisatieniveau'!$L11:$N11, MATCH(AX15, '1a. Input organisatieniveau'!$L6:$N6, 0))),
""))</f>
        <v/>
      </c>
      <c r="AY33" s="460" t="str">
        <f ca="1">IF(AX16="","",IFERROR(AY31*IF(AX33&lt;&gt;"",AX33,$C33),""))</f>
        <v/>
      </c>
      <c r="AZ33" s="462" t="str">
        <f ca="1">IF(AZ16="","",
IF('Hulp (control forms)'!$C$7=TRUE,IF(INDEX('1a. Input organisatieniveau'!$L11:$N11, MATCH(AZ15, '1a. Input organisatieniveau'!$L6:$N6, 0))="","",
INDEX('1a. Input organisatieniveau'!$L11:$N11, MATCH(AZ15, '1a. Input organisatieniveau'!$L6:$N6, 0))),
""))</f>
        <v/>
      </c>
      <c r="BA33" s="460" t="str">
        <f ca="1">IF(AZ16="","",IFERROR(BA31*IF(AZ33&lt;&gt;"",AZ33,$C33),""))</f>
        <v/>
      </c>
      <c r="BB33" s="462" t="str">
        <f ca="1">IF(BB16="","",
IF('Hulp (control forms)'!$C$7=TRUE,IF(INDEX('1a. Input organisatieniveau'!$L11:$N11, MATCH(BB15, '1a. Input organisatieniveau'!$L6:$N6, 0))="","",
INDEX('1a. Input organisatieniveau'!$L11:$N11, MATCH(BB15, '1a. Input organisatieniveau'!$L6:$N6, 0))),
""))</f>
        <v/>
      </c>
      <c r="BC33" s="460" t="str">
        <f ca="1">IF(BB16="","",IFERROR(BC31*IF(BB33&lt;&gt;"",BB33,$C33),""))</f>
        <v/>
      </c>
      <c r="BD33" s="462" t="str">
        <f ca="1">IF(BD16="","",
IF('Hulp (control forms)'!$C$7=TRUE,IF(INDEX('1a. Input organisatieniveau'!$L11:$N11, MATCH(BD15, '1a. Input organisatieniveau'!$L6:$N6, 0))="","",
INDEX('1a. Input organisatieniveau'!$L11:$N11, MATCH(BD15, '1a. Input organisatieniveau'!$L6:$N6, 0))),
""))</f>
        <v/>
      </c>
      <c r="BE33" s="460" t="str">
        <f ca="1">IF(BD16="","",IFERROR(BE31*IF(BD33&lt;&gt;"",BD33,$C33),""))</f>
        <v/>
      </c>
      <c r="BF33" s="462" t="str">
        <f ca="1">IF(BF16="","",
IF('Hulp (control forms)'!$C$7=TRUE,IF(INDEX('1a. Input organisatieniveau'!$L11:$N11, MATCH(BF15, '1a. Input organisatieniveau'!$L6:$N6, 0))="","",
INDEX('1a. Input organisatieniveau'!$L11:$N11, MATCH(BF15, '1a. Input organisatieniveau'!$L6:$N6, 0))),
""))</f>
        <v/>
      </c>
      <c r="BG33" s="460" t="str">
        <f ca="1">IF(BF16="","",IFERROR(BG31*IF(BF33&lt;&gt;"",BF33,$C33),""))</f>
        <v/>
      </c>
      <c r="BH33" s="462" t="str">
        <f ca="1">IF(BH16="","",
IF('Hulp (control forms)'!$C$7=TRUE,IF(INDEX('1a. Input organisatieniveau'!$L11:$N11, MATCH(BH15, '1a. Input organisatieniveau'!$L6:$N6, 0))="","",
INDEX('1a. Input organisatieniveau'!$L11:$N11, MATCH(BH15, '1a. Input organisatieniveau'!$L6:$N6, 0))),
""))</f>
        <v/>
      </c>
      <c r="BI33" s="460" t="str">
        <f ca="1">IF(BH16="","",IFERROR(BI31*IF(BH33&lt;&gt;"",BH33,$C33),""))</f>
        <v/>
      </c>
      <c r="BJ33" s="462" t="str">
        <f ca="1">IF(BJ16="","",
IF('Hulp (control forms)'!$C$7=TRUE,IF(INDEX('1a. Input organisatieniveau'!$L11:$N11, MATCH(BJ15, '1a. Input organisatieniveau'!$L6:$N6, 0))="","",
INDEX('1a. Input organisatieniveau'!$L11:$N11, MATCH(BJ15, '1a. Input organisatieniveau'!$L6:$N6, 0))),
""))</f>
        <v/>
      </c>
      <c r="BK33" s="460" t="str">
        <f ca="1">IF(BJ16="","",IFERROR(BK31*IF(BJ33&lt;&gt;"",BJ33,$C33),""))</f>
        <v/>
      </c>
      <c r="BL33" s="462" t="str">
        <f ca="1">IF(BL16="","",
IF('Hulp (control forms)'!$C$7=TRUE,IF(INDEX('1a. Input organisatieniveau'!$L11:$N11, MATCH(BL15, '1a. Input organisatieniveau'!$L6:$N6, 0))="","",
INDEX('1a. Input organisatieniveau'!$L11:$N11, MATCH(BL15, '1a. Input organisatieniveau'!$L6:$N6, 0))),
""))</f>
        <v/>
      </c>
      <c r="BM33" s="460" t="str">
        <f ca="1">IF(BL16="","",IFERROR(BM31*IF(BL33&lt;&gt;"",BL33,$C33),""))</f>
        <v/>
      </c>
      <c r="BN33" s="462" t="str">
        <f ca="1">IF(BN16="","",
IF('Hulp (control forms)'!$C$7=TRUE,IF(INDEX('1a. Input organisatieniveau'!$L11:$N11, MATCH(BN15, '1a. Input organisatieniveau'!$L6:$N6, 0))="","",
INDEX('1a. Input organisatieniveau'!$L11:$N11, MATCH(BN15, '1a. Input organisatieniveau'!$L6:$N6, 0))),
""))</f>
        <v/>
      </c>
      <c r="BO33" s="460" t="str">
        <f ca="1">IF(BN16="","",IFERROR(BO31*IF(BN33&lt;&gt;"",BN33,$C33),""))</f>
        <v/>
      </c>
      <c r="BP33" s="462" t="str">
        <f ca="1">IF(BP16="","",
IF('Hulp (control forms)'!$C$7=TRUE,IF(INDEX('1a. Input organisatieniveau'!$L11:$N11, MATCH(BP15, '1a. Input organisatieniveau'!$L6:$N6, 0))="","",
INDEX('1a. Input organisatieniveau'!$L11:$N11, MATCH(BP15, '1a. Input organisatieniveau'!$L6:$N6, 0))),
""))</f>
        <v/>
      </c>
      <c r="BQ33" s="460" t="str">
        <f ca="1">IF(BP16="","",IFERROR(BQ31*IF(BP33&lt;&gt;"",BP33,$C33),""))</f>
        <v/>
      </c>
      <c r="BR33" s="462" t="str">
        <f ca="1">IF(BR16="","",
IF('Hulp (control forms)'!$C$7=TRUE,IF(INDEX('1a. Input organisatieniveau'!$L11:$N11, MATCH(BR15, '1a. Input organisatieniveau'!$L6:$N6, 0))="","",
INDEX('1a. Input organisatieniveau'!$L11:$N11, MATCH(BR15, '1a. Input organisatieniveau'!$L6:$N6, 0))),
""))</f>
        <v/>
      </c>
      <c r="BS33" s="460" t="str">
        <f ca="1">IF(BR16="","",IFERROR(BS31*IF(BR33&lt;&gt;"",BR33,$C33),""))</f>
        <v/>
      </c>
      <c r="BT33" s="462" t="str">
        <f ca="1">IF(BT16="","",
IF('Hulp (control forms)'!$C$7=TRUE,IF(INDEX('1a. Input organisatieniveau'!$L11:$N11, MATCH(BT15, '1a. Input organisatieniveau'!$L6:$N6, 0))="","",
INDEX('1a. Input organisatieniveau'!$L11:$N11, MATCH(BT15, '1a. Input organisatieniveau'!$L6:$N6, 0))),
""))</f>
        <v/>
      </c>
      <c r="BU33" s="460" t="str">
        <f ca="1">IF(BT16="","",IFERROR(BU31*IF(BT33&lt;&gt;"",BT33,$C33),""))</f>
        <v/>
      </c>
      <c r="BV33" s="462" t="str">
        <f ca="1">IF(BV16="","",
IF('Hulp (control forms)'!$C$7=TRUE,IF(INDEX('1a. Input organisatieniveau'!$L11:$N11, MATCH(BV15, '1a. Input organisatieniveau'!$L6:$N6, 0))="","",
INDEX('1a. Input organisatieniveau'!$L11:$N11, MATCH(BV15, '1a. Input organisatieniveau'!$L6:$N6, 0))),
""))</f>
        <v/>
      </c>
      <c r="BW33" s="460" t="str">
        <f ca="1">IF(BV16="","",IFERROR(BW31*IF(BV33&lt;&gt;"",BV33,$C33),""))</f>
        <v/>
      </c>
      <c r="BX33" s="462" t="str">
        <f ca="1">IF(BX16="","",
IF('Hulp (control forms)'!$C$7=TRUE,IF(INDEX('1a. Input organisatieniveau'!$L11:$N11, MATCH(BX15, '1a. Input organisatieniveau'!$L6:$N6, 0))="","",
INDEX('1a. Input organisatieniveau'!$L11:$N11, MATCH(BX15, '1a. Input organisatieniveau'!$L6:$N6, 0))),
""))</f>
        <v/>
      </c>
      <c r="BY33" s="460" t="str">
        <f ca="1">IF(BX16="","",IFERROR(BY31*IF(BX33&lt;&gt;"",BX33,$C33),""))</f>
        <v/>
      </c>
      <c r="BZ33" s="462" t="str">
        <f ca="1">IF(BZ16="","",
IF('Hulp (control forms)'!$C$7=TRUE,IF(INDEX('1a. Input organisatieniveau'!$L11:$N11, MATCH(BZ15, '1a. Input organisatieniveau'!$L6:$N6, 0))="","",
INDEX('1a. Input organisatieniveau'!$L11:$N11, MATCH(BZ15, '1a. Input organisatieniveau'!$L6:$N6, 0))),
""))</f>
        <v/>
      </c>
      <c r="CA33" s="460" t="str">
        <f ca="1">IF(BZ16="","",IFERROR(CA31*IF(BZ33&lt;&gt;"",BZ33,$C33),""))</f>
        <v/>
      </c>
      <c r="CB33" s="462" t="str">
        <f ca="1">IF(CB16="","",
IF('Hulp (control forms)'!$C$7=TRUE,IF(INDEX('1a. Input organisatieniveau'!$L11:$N11, MATCH(CB15, '1a. Input organisatieniveau'!$L6:$N6, 0))="","",
INDEX('1a. Input organisatieniveau'!$L11:$N11, MATCH(CB15, '1a. Input organisatieniveau'!$L6:$N6, 0))),
""))</f>
        <v/>
      </c>
      <c r="CC33" s="460" t="str">
        <f ca="1">IF(CB16="","",IFERROR(CC31*IF(CB33&lt;&gt;"",CB33,$C33),""))</f>
        <v/>
      </c>
      <c r="CD33" s="462" t="str">
        <f ca="1">IF(CD16="","",
IF('Hulp (control forms)'!$C$7=TRUE,IF(INDEX('1a. Input organisatieniveau'!$L11:$N11, MATCH(CD15, '1a. Input organisatieniveau'!$L6:$N6, 0))="","",
INDEX('1a. Input organisatieniveau'!$L11:$N11, MATCH(CD15, '1a. Input organisatieniveau'!$L6:$N6, 0))),
""))</f>
        <v/>
      </c>
      <c r="CE33" s="460" t="str">
        <f ca="1">IF(CD16="","",IFERROR(CE31*IF(CD33&lt;&gt;"",CD33,$C33),""))</f>
        <v/>
      </c>
      <c r="CF33" s="320"/>
      <c r="CG33" s="289"/>
      <c r="CH33" s="289"/>
      <c r="CI33" s="289"/>
      <c r="CJ33" s="289"/>
      <c r="CK33" s="289"/>
      <c r="CL33" s="289"/>
      <c r="CM33" s="289"/>
      <c r="CN33" s="289"/>
      <c r="CO33" s="289"/>
      <c r="CP33" s="289"/>
      <c r="CQ33" s="289"/>
      <c r="CR33" s="289"/>
      <c r="CS33" s="289"/>
      <c r="CT33" s="289"/>
      <c r="CU33" s="289"/>
      <c r="CV33" s="289"/>
      <c r="CW33" s="289"/>
      <c r="CX33" s="289"/>
      <c r="CY33" s="289"/>
      <c r="CZ33" s="289"/>
    </row>
    <row r="34" spans="1:104" x14ac:dyDescent="0.45">
      <c r="A34" s="289"/>
      <c r="B34" s="432" t="s">
        <v>55</v>
      </c>
      <c r="C34" s="457" t="str">
        <f>IF('Hulp (control forms)'!$C$8&lt;&gt;TRUE,IF('1a. Input organisatieniveau'!I20="","",SUM('1a. Input organisatieniveau'!I20)), "")</f>
        <v/>
      </c>
      <c r="D34" s="462" t="str">
        <f ca="1">IF(D16="","",
IF('Hulp (control forms)'!$C$8=TRUE,IF(INDEX('1a. Input organisatieniveau'!$L12:$N12, MATCH(D15, '1a. Input organisatieniveau'!$L6:$N6, 0))="","",
INDEX('1a. Input organisatieniveau'!$L12:$N12, MATCH(D15, '1a. Input organisatieniveau'!$L6:$N6, 0))),
""))</f>
        <v/>
      </c>
      <c r="E34" s="460" t="str">
        <f ca="1">IF(D16="","",IFERROR(E31*IF(D34&lt;&gt;"",D34,$C34),""))</f>
        <v/>
      </c>
      <c r="F34" s="462" t="str">
        <f ca="1">IF(F16="","",
IF('Hulp (control forms)'!$C$8=TRUE,IF(INDEX('1a. Input organisatieniveau'!$L12:$N12, MATCH(F15, '1a. Input organisatieniveau'!$L6:$N6, 0))="","",
INDEX('1a. Input organisatieniveau'!$L12:$N12, MATCH(F15, '1a. Input organisatieniveau'!$L6:$N6, 0))),
""))</f>
        <v/>
      </c>
      <c r="G34" s="460" t="str">
        <f ca="1">IF(F16="","",IFERROR(G31*IF(F34&lt;&gt;"",F34,$C34),""))</f>
        <v/>
      </c>
      <c r="H34" s="462" t="str">
        <f ca="1">IF(H16="","",
IF('Hulp (control forms)'!$C$8=TRUE,IF(INDEX('1a. Input organisatieniveau'!$L12:$N12, MATCH(H15, '1a. Input organisatieniveau'!$L6:$N6, 0))="","",
INDEX('1a. Input organisatieniveau'!$L12:$N12, MATCH(H15, '1a. Input organisatieniveau'!$L6:$N6, 0))),
""))</f>
        <v/>
      </c>
      <c r="I34" s="460" t="str">
        <f ca="1">IF(H16="","",IFERROR(I31*IF(H34&lt;&gt;"",H34,$C34),""))</f>
        <v/>
      </c>
      <c r="J34" s="462" t="str">
        <f ca="1">IF(J16="","",
IF('Hulp (control forms)'!$C$8=TRUE,IF(INDEX('1a. Input organisatieniveau'!$L12:$N12, MATCH(J15, '1a. Input organisatieniveau'!$L6:$N6, 0))="","",
INDEX('1a. Input organisatieniveau'!$L12:$N12, MATCH(J15, '1a. Input organisatieniveau'!$L6:$N6, 0))),
""))</f>
        <v/>
      </c>
      <c r="K34" s="460" t="str">
        <f ca="1">IF(J16="","",IFERROR(K31*IF(J34&lt;&gt;"",J34,$C34),""))</f>
        <v/>
      </c>
      <c r="L34" s="462" t="str">
        <f ca="1">IF(L16="","",
IF('Hulp (control forms)'!$C$8=TRUE,IF(INDEX('1a. Input organisatieniveau'!$L12:$N12, MATCH(L15, '1a. Input organisatieniveau'!$L6:$N6, 0))="","",
INDEX('1a. Input organisatieniveau'!$L12:$N12, MATCH(L15, '1a. Input organisatieniveau'!$L6:$N6, 0))),
""))</f>
        <v/>
      </c>
      <c r="M34" s="460" t="str">
        <f ca="1">IF(L16="","",IFERROR(M31*IF(L34&lt;&gt;"",L34,$C34),""))</f>
        <v/>
      </c>
      <c r="N34" s="462" t="str">
        <f ca="1">IF(N16="","",
IF('Hulp (control forms)'!$C$8=TRUE,IF(INDEX('1a. Input organisatieniveau'!$L12:$N12, MATCH(N15, '1a. Input organisatieniveau'!$L6:$N6, 0))="","",
INDEX('1a. Input organisatieniveau'!$L12:$N12, MATCH(N15, '1a. Input organisatieniveau'!$L6:$N6, 0))),
""))</f>
        <v/>
      </c>
      <c r="O34" s="460" t="str">
        <f ca="1">IF(N16="","",IFERROR(O31*IF(N34&lt;&gt;"",N34,$C34),""))</f>
        <v/>
      </c>
      <c r="P34" s="462" t="str">
        <f ca="1">IF(P16="","",
IF('Hulp (control forms)'!$C$8=TRUE,IF(INDEX('1a. Input organisatieniveau'!$L12:$N12, MATCH(P15, '1a. Input organisatieniveau'!$L6:$N6, 0))="","",
INDEX('1a. Input organisatieniveau'!$L12:$N12, MATCH(P15, '1a. Input organisatieniveau'!$L6:$N6, 0))),
""))</f>
        <v/>
      </c>
      <c r="Q34" s="460" t="str">
        <f ca="1">IF(P16="","",IFERROR(Q31*IF(P34&lt;&gt;"",P34,$C34),""))</f>
        <v/>
      </c>
      <c r="R34" s="462" t="str">
        <f ca="1">IF(R16="","",
IF('Hulp (control forms)'!$C$8=TRUE,IF(INDEX('1a. Input organisatieniveau'!$L12:$N12, MATCH(R15, '1a. Input organisatieniveau'!$L6:$N6, 0))="","",
INDEX('1a. Input organisatieniveau'!$L12:$N12, MATCH(R15, '1a. Input organisatieniveau'!$L6:$N6, 0))),
""))</f>
        <v/>
      </c>
      <c r="S34" s="460" t="str">
        <f ca="1">IF(R16="","",IFERROR(S31*IF(R34&lt;&gt;"",R34,$C34),""))</f>
        <v/>
      </c>
      <c r="T34" s="462" t="str">
        <f ca="1">IF(T16="","",
IF('Hulp (control forms)'!$C$8=TRUE,IF(INDEX('1a. Input organisatieniveau'!$L12:$N12, MATCH(T15, '1a. Input organisatieniveau'!$L6:$N6, 0))="","",
INDEX('1a. Input organisatieniveau'!$L12:$N12, MATCH(T15, '1a. Input organisatieniveau'!$L6:$N6, 0))),
""))</f>
        <v/>
      </c>
      <c r="U34" s="460" t="str">
        <f ca="1">IF(T16="","",IFERROR(U31*IF(T34&lt;&gt;"",T34,$C34),""))</f>
        <v/>
      </c>
      <c r="V34" s="462" t="str">
        <f ca="1">IF(V16="","",
IF('Hulp (control forms)'!$C$8=TRUE,IF(INDEX('1a. Input organisatieniveau'!$L12:$N12, MATCH(V15, '1a. Input organisatieniveau'!$L6:$N6, 0))="","",
INDEX('1a. Input organisatieniveau'!$L12:$N12, MATCH(V15, '1a. Input organisatieniveau'!$L6:$N6, 0))),
""))</f>
        <v/>
      </c>
      <c r="W34" s="460" t="str">
        <f ca="1">IF(V16="","",IFERROR(W31*IF(V34&lt;&gt;"",V34,$C34),""))</f>
        <v/>
      </c>
      <c r="X34" s="462" t="str">
        <f ca="1">IF(X16="","",
IF('Hulp (control forms)'!$C$8=TRUE,IF(INDEX('1a. Input organisatieniveau'!$L12:$N12, MATCH(X15, '1a. Input organisatieniveau'!$L6:$N6, 0))="","",
INDEX('1a. Input organisatieniveau'!$L12:$N12, MATCH(X15, '1a. Input organisatieniveau'!$L6:$N6, 0))),
""))</f>
        <v/>
      </c>
      <c r="Y34" s="460" t="str">
        <f ca="1">IF(X16="","",IFERROR(Y31*IF(X34&lt;&gt;"",X34,$C34),""))</f>
        <v/>
      </c>
      <c r="Z34" s="462" t="str">
        <f ca="1">IF(Z16="","",
IF('Hulp (control forms)'!$C$8=TRUE,IF(INDEX('1a. Input organisatieniveau'!$L12:$N12, MATCH(Z15, '1a. Input organisatieniveau'!$L6:$N6, 0))="","",
INDEX('1a. Input organisatieniveau'!$L12:$N12, MATCH(Z15, '1a. Input organisatieniveau'!$L6:$N6, 0))),
""))</f>
        <v/>
      </c>
      <c r="AA34" s="460" t="str">
        <f ca="1">IF(Z16="","",IFERROR(AA31*IF(Z34&lt;&gt;"",Z34,$C34),""))</f>
        <v/>
      </c>
      <c r="AB34" s="462" t="str">
        <f ca="1">IF(AB16="","",
IF('Hulp (control forms)'!$C$8=TRUE,IF(INDEX('1a. Input organisatieniveau'!$L12:$N12, MATCH(AB15, '1a. Input organisatieniveau'!$L6:$N6, 0))="","",
INDEX('1a. Input organisatieniveau'!$L12:$N12, MATCH(AB15, '1a. Input organisatieniveau'!$L6:$N6, 0))),
""))</f>
        <v/>
      </c>
      <c r="AC34" s="460" t="str">
        <f ca="1">IF(AB16="","",IFERROR(AC31*IF(AB34&lt;&gt;"",AB34,$C34),""))</f>
        <v/>
      </c>
      <c r="AD34" s="462" t="str">
        <f ca="1">IF(AD16="","",
IF('Hulp (control forms)'!$C$8=TRUE,IF(INDEX('1a. Input organisatieniveau'!$L12:$N12, MATCH(AD15, '1a. Input organisatieniveau'!$L6:$N6, 0))="","",
INDEX('1a. Input organisatieniveau'!$L12:$N12, MATCH(AD15, '1a. Input organisatieniveau'!$L6:$N6, 0))),
""))</f>
        <v/>
      </c>
      <c r="AE34" s="460" t="str">
        <f ca="1">IF(AD16="","",IFERROR(AE31*IF(AD34&lt;&gt;"",AD34,$C34),""))</f>
        <v/>
      </c>
      <c r="AF34" s="462" t="str">
        <f ca="1">IF(AF16="","",
IF('Hulp (control forms)'!$C$8=TRUE,IF(INDEX('1a. Input organisatieniveau'!$L12:$N12, MATCH(AF15, '1a. Input organisatieniveau'!$L6:$N6, 0))="","",
INDEX('1a. Input organisatieniveau'!$L12:$N12, MATCH(AF15, '1a. Input organisatieniveau'!$L6:$N6, 0))),
""))</f>
        <v/>
      </c>
      <c r="AG34" s="460" t="str">
        <f ca="1">IF(AF16="","",IFERROR(AG31*IF(AF34&lt;&gt;"",AF34,$C34),""))</f>
        <v/>
      </c>
      <c r="AH34" s="462" t="str">
        <f ca="1">IF(AH16="","",
IF('Hulp (control forms)'!$C$8=TRUE,IF(INDEX('1a. Input organisatieniveau'!$L12:$N12, MATCH(AH15, '1a. Input organisatieniveau'!$L6:$N6, 0))="","",
INDEX('1a. Input organisatieniveau'!$L12:$N12, MATCH(AH15, '1a. Input organisatieniveau'!$L6:$N6, 0))),
""))</f>
        <v/>
      </c>
      <c r="AI34" s="460" t="str">
        <f ca="1">IF(AH16="","",IFERROR(AI31*IF(AH34&lt;&gt;"",AH34,$C34),""))</f>
        <v/>
      </c>
      <c r="AJ34" s="462" t="str">
        <f ca="1">IF(AJ16="","",
IF('Hulp (control forms)'!$C$8=TRUE,IF(INDEX('1a. Input organisatieniveau'!$L12:$N12, MATCH(AJ15, '1a. Input organisatieniveau'!$L6:$N6, 0))="","",
INDEX('1a. Input organisatieniveau'!$L12:$N12, MATCH(AJ15, '1a. Input organisatieniveau'!$L6:$N6, 0))),
""))</f>
        <v/>
      </c>
      <c r="AK34" s="460" t="str">
        <f ca="1">IF(AJ16="","",IFERROR(AK31*IF(AJ34&lt;&gt;"",AJ34,$C34),""))</f>
        <v/>
      </c>
      <c r="AL34" s="462" t="str">
        <f ca="1">IF(AL16="","",
IF('Hulp (control forms)'!$C$8=TRUE,IF(INDEX('1a. Input organisatieniveau'!$L12:$N12, MATCH(AL15, '1a. Input organisatieniveau'!$L6:$N6, 0))="","",
INDEX('1a. Input organisatieniveau'!$L12:$N12, MATCH(AL15, '1a. Input organisatieniveau'!$L6:$N6, 0))),
""))</f>
        <v/>
      </c>
      <c r="AM34" s="460" t="str">
        <f ca="1">IF(AL16="","",IFERROR(AM31*IF(AL34&lt;&gt;"",AL34,$C34),""))</f>
        <v/>
      </c>
      <c r="AN34" s="462" t="str">
        <f ca="1">IF(AN16="","",
IF('Hulp (control forms)'!$C$8=TRUE,IF(INDEX('1a. Input organisatieniveau'!$L12:$N12, MATCH(AN15, '1a. Input organisatieniveau'!$L6:$N6, 0))="","",
INDEX('1a. Input organisatieniveau'!$L12:$N12, MATCH(AN15, '1a. Input organisatieniveau'!$L6:$N6, 0))),
""))</f>
        <v/>
      </c>
      <c r="AO34" s="460" t="str">
        <f ca="1">IF(AN16="","",IFERROR(AO31*IF(AN34&lt;&gt;"",AN34,$C34),""))</f>
        <v/>
      </c>
      <c r="AP34" s="462" t="str">
        <f ca="1">IF(AP16="","",
IF('Hulp (control forms)'!$C$8=TRUE,IF(INDEX('1a. Input organisatieniveau'!$L12:$N12, MATCH(AP15, '1a. Input organisatieniveau'!$L6:$N6, 0))="","",
INDEX('1a. Input organisatieniveau'!$L12:$N12, MATCH(AP15, '1a. Input organisatieniveau'!$L6:$N6, 0))),
""))</f>
        <v/>
      </c>
      <c r="AQ34" s="460" t="str">
        <f ca="1">IF(AP16="","",IFERROR(AQ31*IF(AP34&lt;&gt;"",AP34,$C34),""))</f>
        <v/>
      </c>
      <c r="AR34" s="462" t="str">
        <f ca="1">IF(AR16="","",
IF('Hulp (control forms)'!$C$8=TRUE,IF(INDEX('1a. Input organisatieniveau'!$L12:$N12, MATCH(AR15, '1a. Input organisatieniveau'!$L6:$N6, 0))="","",
INDEX('1a. Input organisatieniveau'!$L12:$N12, MATCH(AR15, '1a. Input organisatieniveau'!$L6:$N6, 0))),
""))</f>
        <v/>
      </c>
      <c r="AS34" s="460" t="str">
        <f ca="1">IF(AR16="","",IFERROR(AS31*IF(AR34&lt;&gt;"",AR34,$C34),""))</f>
        <v/>
      </c>
      <c r="AT34" s="462" t="str">
        <f ca="1">IF(AT16="","",
IF('Hulp (control forms)'!$C$8=TRUE,IF(INDEX('1a. Input organisatieniveau'!$L12:$N12, MATCH(AT15, '1a. Input organisatieniveau'!$L6:$N6, 0))="","",
INDEX('1a. Input organisatieniveau'!$L12:$N12, MATCH(AT15, '1a. Input organisatieniveau'!$L6:$N6, 0))),
""))</f>
        <v/>
      </c>
      <c r="AU34" s="460" t="str">
        <f ca="1">IF(AT16="","",IFERROR(AU31*IF(AT34&lt;&gt;"",AT34,$C34),""))</f>
        <v/>
      </c>
      <c r="AV34" s="462" t="str">
        <f ca="1">IF(AV16="","",
IF('Hulp (control forms)'!$C$8=TRUE,IF(INDEX('1a. Input organisatieniveau'!$L12:$N12, MATCH(AV15, '1a. Input organisatieniveau'!$L6:$N6, 0))="","",
INDEX('1a. Input organisatieniveau'!$L12:$N12, MATCH(AV15, '1a. Input organisatieniveau'!$L6:$N6, 0))),
""))</f>
        <v/>
      </c>
      <c r="AW34" s="460" t="str">
        <f ca="1">IF(AV16="","",IFERROR(AW31*IF(AV34&lt;&gt;"",AV34,$C34),""))</f>
        <v/>
      </c>
      <c r="AX34" s="462" t="str">
        <f ca="1">IF(AX16="","",
IF('Hulp (control forms)'!$C$8=TRUE,IF(INDEX('1a. Input organisatieniveau'!$L12:$N12, MATCH(AX15, '1a. Input organisatieniveau'!$L6:$N6, 0))="","",
INDEX('1a. Input organisatieniveau'!$L12:$N12, MATCH(AX15, '1a. Input organisatieniveau'!$L6:$N6, 0))),
""))</f>
        <v/>
      </c>
      <c r="AY34" s="460" t="str">
        <f ca="1">IF(AX16="","",IFERROR(AY31*IF(AX34&lt;&gt;"",AX34,$C34),""))</f>
        <v/>
      </c>
      <c r="AZ34" s="462" t="str">
        <f ca="1">IF(AZ16="","",
IF('Hulp (control forms)'!$C$8=TRUE,IF(INDEX('1a. Input organisatieniveau'!$L12:$N12, MATCH(AZ15, '1a. Input organisatieniveau'!$L6:$N6, 0))="","",
INDEX('1a. Input organisatieniveau'!$L12:$N12, MATCH(AZ15, '1a. Input organisatieniveau'!$L6:$N6, 0))),
""))</f>
        <v/>
      </c>
      <c r="BA34" s="460" t="str">
        <f ca="1">IF(AZ16="","",IFERROR(BA31*IF(AZ34&lt;&gt;"",AZ34,$C34),""))</f>
        <v/>
      </c>
      <c r="BB34" s="462" t="str">
        <f ca="1">IF(BB16="","",
IF('Hulp (control forms)'!$C$8=TRUE,IF(INDEX('1a. Input organisatieniveau'!$L12:$N12, MATCH(BB15, '1a. Input organisatieniveau'!$L6:$N6, 0))="","",
INDEX('1a. Input organisatieniveau'!$L12:$N12, MATCH(BB15, '1a. Input organisatieniveau'!$L6:$N6, 0))),
""))</f>
        <v/>
      </c>
      <c r="BC34" s="460" t="str">
        <f ca="1">IF(BB16="","",IFERROR(BC31*IF(BB34&lt;&gt;"",BB34,$C34),""))</f>
        <v/>
      </c>
      <c r="BD34" s="462" t="str">
        <f ca="1">IF(BD16="","",
IF('Hulp (control forms)'!$C$8=TRUE,IF(INDEX('1a. Input organisatieniveau'!$L12:$N12, MATCH(BD15, '1a. Input organisatieniveau'!$L6:$N6, 0))="","",
INDEX('1a. Input organisatieniveau'!$L12:$N12, MATCH(BD15, '1a. Input organisatieniveau'!$L6:$N6, 0))),
""))</f>
        <v/>
      </c>
      <c r="BE34" s="460" t="str">
        <f ca="1">IF(BD16="","",IFERROR(BE31*IF(BD34&lt;&gt;"",BD34,$C34),""))</f>
        <v/>
      </c>
      <c r="BF34" s="462" t="str">
        <f ca="1">IF(BF16="","",
IF('Hulp (control forms)'!$C$8=TRUE,IF(INDEX('1a. Input organisatieniveau'!$L12:$N12, MATCH(BF15, '1a. Input organisatieniveau'!$L6:$N6, 0))="","",
INDEX('1a. Input organisatieniveau'!$L12:$N12, MATCH(BF15, '1a. Input organisatieniveau'!$L6:$N6, 0))),
""))</f>
        <v/>
      </c>
      <c r="BG34" s="460" t="str">
        <f ca="1">IF(BF16="","",IFERROR(BG31*IF(BF34&lt;&gt;"",BF34,$C34),""))</f>
        <v/>
      </c>
      <c r="BH34" s="462" t="str">
        <f ca="1">IF(BH16="","",
IF('Hulp (control forms)'!$C$8=TRUE,IF(INDEX('1a. Input organisatieniveau'!$L12:$N12, MATCH(BH15, '1a. Input organisatieniveau'!$L6:$N6, 0))="","",
INDEX('1a. Input organisatieniveau'!$L12:$N12, MATCH(BH15, '1a. Input organisatieniveau'!$L6:$N6, 0))),
""))</f>
        <v/>
      </c>
      <c r="BI34" s="460" t="str">
        <f ca="1">IF(BH16="","",IFERROR(BI31*IF(BH34&lt;&gt;"",BH34,$C34),""))</f>
        <v/>
      </c>
      <c r="BJ34" s="462" t="str">
        <f ca="1">IF(BJ16="","",
IF('Hulp (control forms)'!$C$8=TRUE,IF(INDEX('1a. Input organisatieniveau'!$L12:$N12, MATCH(BJ15, '1a. Input organisatieniveau'!$L6:$N6, 0))="","",
INDEX('1a. Input organisatieniveau'!$L12:$N12, MATCH(BJ15, '1a. Input organisatieniveau'!$L6:$N6, 0))),
""))</f>
        <v/>
      </c>
      <c r="BK34" s="460" t="str">
        <f ca="1">IF(BJ16="","",IFERROR(BK31*IF(BJ34&lt;&gt;"",BJ34,$C34),""))</f>
        <v/>
      </c>
      <c r="BL34" s="462" t="str">
        <f ca="1">IF(BL16="","",
IF('Hulp (control forms)'!$C$8=TRUE,IF(INDEX('1a. Input organisatieniveau'!$L12:$N12, MATCH(BL15, '1a. Input organisatieniveau'!$L6:$N6, 0))="","",
INDEX('1a. Input organisatieniveau'!$L12:$N12, MATCH(BL15, '1a. Input organisatieniveau'!$L6:$N6, 0))),
""))</f>
        <v/>
      </c>
      <c r="BM34" s="460" t="str">
        <f ca="1">IF(BL16="","",IFERROR(BM31*IF(BL34&lt;&gt;"",BL34,$C34),""))</f>
        <v/>
      </c>
      <c r="BN34" s="462" t="str">
        <f ca="1">IF(BN16="","",
IF('Hulp (control forms)'!$C$8=TRUE,IF(INDEX('1a. Input organisatieniveau'!$L12:$N12, MATCH(BN15, '1a. Input organisatieniveau'!$L6:$N6, 0))="","",
INDEX('1a. Input organisatieniveau'!$L12:$N12, MATCH(BN15, '1a. Input organisatieniveau'!$L6:$N6, 0))),
""))</f>
        <v/>
      </c>
      <c r="BO34" s="460" t="str">
        <f ca="1">IF(BN16="","",IFERROR(BO31*IF(BN34&lt;&gt;"",BN34,$C34),""))</f>
        <v/>
      </c>
      <c r="BP34" s="462" t="str">
        <f ca="1">IF(BP16="","",
IF('Hulp (control forms)'!$C$8=TRUE,IF(INDEX('1a. Input organisatieniveau'!$L12:$N12, MATCH(BP15, '1a. Input organisatieniveau'!$L6:$N6, 0))="","",
INDEX('1a. Input organisatieniveau'!$L12:$N12, MATCH(BP15, '1a. Input organisatieniveau'!$L6:$N6, 0))),
""))</f>
        <v/>
      </c>
      <c r="BQ34" s="460" t="str">
        <f ca="1">IF(BP16="","",IFERROR(BQ31*IF(BP34&lt;&gt;"",BP34,$C34),""))</f>
        <v/>
      </c>
      <c r="BR34" s="462" t="str">
        <f ca="1">IF(BR16="","",
IF('Hulp (control forms)'!$C$8=TRUE,IF(INDEX('1a. Input organisatieniveau'!$L12:$N12, MATCH(BR15, '1a. Input organisatieniveau'!$L6:$N6, 0))="","",
INDEX('1a. Input organisatieniveau'!$L12:$N12, MATCH(BR15, '1a. Input organisatieniveau'!$L6:$N6, 0))),
""))</f>
        <v/>
      </c>
      <c r="BS34" s="460" t="str">
        <f ca="1">IF(BR16="","",IFERROR(BS31*IF(BR34&lt;&gt;"",BR34,$C34),""))</f>
        <v/>
      </c>
      <c r="BT34" s="462" t="str">
        <f ca="1">IF(BT16="","",
IF('Hulp (control forms)'!$C$8=TRUE,IF(INDEX('1a. Input organisatieniveau'!$L12:$N12, MATCH(BT15, '1a. Input organisatieniveau'!$L6:$N6, 0))="","",
INDEX('1a. Input organisatieniveau'!$L12:$N12, MATCH(BT15, '1a. Input organisatieniveau'!$L6:$N6, 0))),
""))</f>
        <v/>
      </c>
      <c r="BU34" s="460" t="str">
        <f ca="1">IF(BT16="","",IFERROR(BU31*IF(BT34&lt;&gt;"",BT34,$C34),""))</f>
        <v/>
      </c>
      <c r="BV34" s="462" t="str">
        <f ca="1">IF(BV16="","",
IF('Hulp (control forms)'!$C$8=TRUE,IF(INDEX('1a. Input organisatieniveau'!$L12:$N12, MATCH(BV15, '1a. Input organisatieniveau'!$L6:$N6, 0))="","",
INDEX('1a. Input organisatieniveau'!$L12:$N12, MATCH(BV15, '1a. Input organisatieniveau'!$L6:$N6, 0))),
""))</f>
        <v/>
      </c>
      <c r="BW34" s="460" t="str">
        <f ca="1">IF(BV16="","",IFERROR(BW31*IF(BV34&lt;&gt;"",BV34,$C34),""))</f>
        <v/>
      </c>
      <c r="BX34" s="462" t="str">
        <f ca="1">IF(BX16="","",
IF('Hulp (control forms)'!$C$8=TRUE,IF(INDEX('1a. Input organisatieniveau'!$L12:$N12, MATCH(BX15, '1a. Input organisatieniveau'!$L6:$N6, 0))="","",
INDEX('1a. Input organisatieniveau'!$L12:$N12, MATCH(BX15, '1a. Input organisatieniveau'!$L6:$N6, 0))),
""))</f>
        <v/>
      </c>
      <c r="BY34" s="460" t="str">
        <f ca="1">IF(BX16="","",IFERROR(BY31*IF(BX34&lt;&gt;"",BX34,$C34),""))</f>
        <v/>
      </c>
      <c r="BZ34" s="462" t="str">
        <f ca="1">IF(BZ16="","",
IF('Hulp (control forms)'!$C$8=TRUE,IF(INDEX('1a. Input organisatieniveau'!$L12:$N12, MATCH(BZ15, '1a. Input organisatieniveau'!$L6:$N6, 0))="","",
INDEX('1a. Input organisatieniveau'!$L12:$N12, MATCH(BZ15, '1a. Input organisatieniveau'!$L6:$N6, 0))),
""))</f>
        <v/>
      </c>
      <c r="CA34" s="460" t="str">
        <f ca="1">IF(BZ16="","",IFERROR(CA31*IF(BZ34&lt;&gt;"",BZ34,$C34),""))</f>
        <v/>
      </c>
      <c r="CB34" s="462" t="str">
        <f ca="1">IF(CB16="","",
IF('Hulp (control forms)'!$C$8=TRUE,IF(INDEX('1a. Input organisatieniveau'!$L12:$N12, MATCH(CB15, '1a. Input organisatieniveau'!$L6:$N6, 0))="","",
INDEX('1a. Input organisatieniveau'!$L12:$N12, MATCH(CB15, '1a. Input organisatieniveau'!$L6:$N6, 0))),
""))</f>
        <v/>
      </c>
      <c r="CC34" s="460" t="str">
        <f ca="1">IF(CB16="","",IFERROR(CC31*IF(CB34&lt;&gt;"",CB34,$C34),""))</f>
        <v/>
      </c>
      <c r="CD34" s="462" t="str">
        <f ca="1">IF(CD16="","",
IF('Hulp (control forms)'!$C$8=TRUE,IF(INDEX('1a. Input organisatieniveau'!$L12:$N12, MATCH(CD15, '1a. Input organisatieniveau'!$L6:$N6, 0))="","",
INDEX('1a. Input organisatieniveau'!$L12:$N12, MATCH(CD15, '1a. Input organisatieniveau'!$L6:$N6, 0))),
""))</f>
        <v/>
      </c>
      <c r="CE34" s="460" t="str">
        <f ca="1">IF(CD16="","",IFERROR(CE31*IF(CD34&lt;&gt;"",CD34,$C34),""))</f>
        <v/>
      </c>
      <c r="CF34" s="320"/>
      <c r="CG34" s="289"/>
      <c r="CH34" s="289"/>
      <c r="CI34" s="289"/>
      <c r="CJ34" s="289"/>
      <c r="CK34" s="289"/>
      <c r="CL34" s="289"/>
      <c r="CM34" s="289"/>
      <c r="CN34" s="289"/>
      <c r="CO34" s="289"/>
      <c r="CP34" s="289"/>
      <c r="CQ34" s="289"/>
      <c r="CR34" s="289"/>
      <c r="CS34" s="289"/>
      <c r="CT34" s="289"/>
      <c r="CU34" s="289"/>
      <c r="CV34" s="289"/>
      <c r="CW34" s="289"/>
      <c r="CX34" s="289"/>
      <c r="CY34" s="289"/>
      <c r="CZ34" s="289"/>
    </row>
    <row r="35" spans="1:104" x14ac:dyDescent="0.45">
      <c r="A35" s="289"/>
      <c r="B35" s="432" t="s">
        <v>56</v>
      </c>
      <c r="C35" s="457" t="str">
        <f>IF('Hulp (control forms)'!$C$9&lt;&gt;TRUE,IF('1a. Input organisatieniveau'!I21="","",SUM('1a. Input organisatieniveau'!I21)), "")</f>
        <v/>
      </c>
      <c r="D35" s="462" t="str">
        <f ca="1">IF(D16="","",
IF('Hulp (control forms)'!$C$9=TRUE,IF(INDEX('1a. Input organisatieniveau'!$L13:$N13, MATCH(D15, '1a. Input organisatieniveau'!$L6:$N6, 0))="","",
INDEX('1a. Input organisatieniveau'!$L13:$N13, MATCH(D15, '1a. Input organisatieniveau'!$L6:$N6, 0))),
""))</f>
        <v/>
      </c>
      <c r="E35" s="460" t="str">
        <f ca="1">IF(D16="","",IFERROR(E31*IF(D35&lt;&gt;"",D35,$C35),""))</f>
        <v/>
      </c>
      <c r="F35" s="462" t="str">
        <f ca="1">IF(F16="","",
IF('Hulp (control forms)'!$C$9=TRUE,IF(INDEX('1a. Input organisatieniveau'!$L13:$N13, MATCH(F15, '1a. Input organisatieniveau'!$L6:$N6, 0))="","",
INDEX('1a. Input organisatieniveau'!$L13:$N13, MATCH(F15, '1a. Input organisatieniveau'!$L6:$N6, 0))),
""))</f>
        <v/>
      </c>
      <c r="G35" s="460" t="str">
        <f ca="1">IF(F16="","",IFERROR(G31*IF(F35&lt;&gt;"",F35,$C35),""))</f>
        <v/>
      </c>
      <c r="H35" s="462" t="str">
        <f ca="1">IF(H16="","",
IF('Hulp (control forms)'!$C$9=TRUE,IF(INDEX('1a. Input organisatieniveau'!$L13:$N13, MATCH(H15, '1a. Input organisatieniveau'!$L6:$N6, 0))="","",
INDEX('1a. Input organisatieniveau'!$L13:$N13, MATCH(H15, '1a. Input organisatieniveau'!$L6:$N6, 0))),
""))</f>
        <v/>
      </c>
      <c r="I35" s="460" t="str">
        <f ca="1">IF(H16="","",IFERROR(I31*IF(H35&lt;&gt;"",H35,$C35),""))</f>
        <v/>
      </c>
      <c r="J35" s="462" t="str">
        <f ca="1">IF(J16="","",
IF('Hulp (control forms)'!$C$9=TRUE,IF(INDEX('1a. Input organisatieniveau'!$L13:$N13, MATCH(J15, '1a. Input organisatieniveau'!$L6:$N6, 0))="","",
INDEX('1a. Input organisatieniveau'!$L13:$N13, MATCH(J15, '1a. Input organisatieniveau'!$L6:$N6, 0))),
""))</f>
        <v/>
      </c>
      <c r="K35" s="460" t="str">
        <f ca="1">IF(J16="","",IFERROR(K31*IF(J35&lt;&gt;"",J35,$C35),""))</f>
        <v/>
      </c>
      <c r="L35" s="462" t="str">
        <f ca="1">IF(L16="","",
IF('Hulp (control forms)'!$C$9=TRUE,IF(INDEX('1a. Input organisatieniveau'!$L13:$N13, MATCH(L15, '1a. Input organisatieniveau'!$L6:$N6, 0))="","",
INDEX('1a. Input organisatieniveau'!$L13:$N13, MATCH(L15, '1a. Input organisatieniveau'!$L6:$N6, 0))),
""))</f>
        <v/>
      </c>
      <c r="M35" s="460" t="str">
        <f ca="1">IF(L16="","",IFERROR(M31*IF(L35&lt;&gt;"",L35,$C35),""))</f>
        <v/>
      </c>
      <c r="N35" s="462" t="str">
        <f ca="1">IF(N16="","",
IF('Hulp (control forms)'!$C$9=TRUE,IF(INDEX('1a. Input organisatieniveau'!$L13:$N13, MATCH(N15, '1a. Input organisatieniveau'!$L6:$N6, 0))="","",
INDEX('1a. Input organisatieniveau'!$L13:$N13, MATCH(N15, '1a. Input organisatieniveau'!$L6:$N6, 0))),
""))</f>
        <v/>
      </c>
      <c r="O35" s="460" t="str">
        <f ca="1">IF(N16="","",IFERROR(O31*IF(N35&lt;&gt;"",N35,$C35),""))</f>
        <v/>
      </c>
      <c r="P35" s="462" t="str">
        <f ca="1">IF(P16="","",
IF('Hulp (control forms)'!$C$9=TRUE,IF(INDEX('1a. Input organisatieniveau'!$L13:$N13, MATCH(P15, '1a. Input organisatieniveau'!$L6:$N6, 0))="","",
INDEX('1a. Input organisatieniveau'!$L13:$N13, MATCH(P15, '1a. Input organisatieniveau'!$L6:$N6, 0))),
""))</f>
        <v/>
      </c>
      <c r="Q35" s="460" t="str">
        <f ca="1">IF(P16="","",IFERROR(Q31*IF(P35&lt;&gt;"",P35,$C35),""))</f>
        <v/>
      </c>
      <c r="R35" s="462" t="str">
        <f ca="1">IF(R16="","",
IF('Hulp (control forms)'!$C$9=TRUE,IF(INDEX('1a. Input organisatieniveau'!$L13:$N13, MATCH(R15, '1a. Input organisatieniveau'!$L6:$N6, 0))="","",
INDEX('1a. Input organisatieniveau'!$L13:$N13, MATCH(R15, '1a. Input organisatieniveau'!$L6:$N6, 0))),
""))</f>
        <v/>
      </c>
      <c r="S35" s="460" t="str">
        <f ca="1">IF(R16="","",IFERROR(S31*IF(R35&lt;&gt;"",R35,$C35),""))</f>
        <v/>
      </c>
      <c r="T35" s="462" t="str">
        <f ca="1">IF(T16="","",
IF('Hulp (control forms)'!$C$9=TRUE,IF(INDEX('1a. Input organisatieniveau'!$L13:$N13, MATCH(T15, '1a. Input organisatieniveau'!$L6:$N6, 0))="","",
INDEX('1a. Input organisatieniveau'!$L13:$N13, MATCH(T15, '1a. Input organisatieniveau'!$L6:$N6, 0))),
""))</f>
        <v/>
      </c>
      <c r="U35" s="460" t="str">
        <f ca="1">IF(T16="","",IFERROR(U31*IF(T35&lt;&gt;"",T35,$C35),""))</f>
        <v/>
      </c>
      <c r="V35" s="462" t="str">
        <f ca="1">IF(V16="","",
IF('Hulp (control forms)'!$C$9=TRUE,IF(INDEX('1a. Input organisatieniveau'!$L13:$N13, MATCH(V15, '1a. Input organisatieniveau'!$L6:$N6, 0))="","",
INDEX('1a. Input organisatieniveau'!$L13:$N13, MATCH(V15, '1a. Input organisatieniveau'!$L6:$N6, 0))),
""))</f>
        <v/>
      </c>
      <c r="W35" s="460" t="str">
        <f ca="1">IF(V16="","",IFERROR(W31*IF(V35&lt;&gt;"",V35,$C35),""))</f>
        <v/>
      </c>
      <c r="X35" s="462" t="str">
        <f ca="1">IF(X16="","",
IF('Hulp (control forms)'!$C$9=TRUE,IF(INDEX('1a. Input organisatieniveau'!$L13:$N13, MATCH(X15, '1a. Input organisatieniveau'!$L6:$N6, 0))="","",
INDEX('1a. Input organisatieniveau'!$L13:$N13, MATCH(X15, '1a. Input organisatieniveau'!$L6:$N6, 0))),
""))</f>
        <v/>
      </c>
      <c r="Y35" s="460" t="str">
        <f ca="1">IF(X16="","",IFERROR(Y31*IF(X35&lt;&gt;"",X35,$C35),""))</f>
        <v/>
      </c>
      <c r="Z35" s="462" t="str">
        <f ca="1">IF(Z16="","",
IF('Hulp (control forms)'!$C$9=TRUE,IF(INDEX('1a. Input organisatieniveau'!$L13:$N13, MATCH(Z15, '1a. Input organisatieniveau'!$L6:$N6, 0))="","",
INDEX('1a. Input organisatieniveau'!$L13:$N13, MATCH(Z15, '1a. Input organisatieniveau'!$L6:$N6, 0))),
""))</f>
        <v/>
      </c>
      <c r="AA35" s="460" t="str">
        <f ca="1">IF(Z16="","",IFERROR(AA31*IF(Z35&lt;&gt;"",Z35,$C35),""))</f>
        <v/>
      </c>
      <c r="AB35" s="462" t="str">
        <f ca="1">IF(AB16="","",
IF('Hulp (control forms)'!$C$9=TRUE,IF(INDEX('1a. Input organisatieniveau'!$L13:$N13, MATCH(AB15, '1a. Input organisatieniveau'!$L6:$N6, 0))="","",
INDEX('1a. Input organisatieniveau'!$L13:$N13, MATCH(AB15, '1a. Input organisatieniveau'!$L6:$N6, 0))),
""))</f>
        <v/>
      </c>
      <c r="AC35" s="460" t="str">
        <f ca="1">IF(AB16="","",IFERROR(AC31*IF(AB35&lt;&gt;"",AB35,$C35),""))</f>
        <v/>
      </c>
      <c r="AD35" s="462" t="str">
        <f ca="1">IF(AD16="","",
IF('Hulp (control forms)'!$C$9=TRUE,IF(INDEX('1a. Input organisatieniveau'!$L13:$N13, MATCH(AD15, '1a. Input organisatieniveau'!$L6:$N6, 0))="","",
INDEX('1a. Input organisatieniveau'!$L13:$N13, MATCH(AD15, '1a. Input organisatieniveau'!$L6:$N6, 0))),
""))</f>
        <v/>
      </c>
      <c r="AE35" s="460" t="str">
        <f ca="1">IF(AD16="","",IFERROR(AE31*IF(AD35&lt;&gt;"",AD35,$C35),""))</f>
        <v/>
      </c>
      <c r="AF35" s="462" t="str">
        <f ca="1">IF(AF16="","",
IF('Hulp (control forms)'!$C$9=TRUE,IF(INDEX('1a. Input organisatieniveau'!$L13:$N13, MATCH(AF15, '1a. Input organisatieniveau'!$L6:$N6, 0))="","",
INDEX('1a. Input organisatieniveau'!$L13:$N13, MATCH(AF15, '1a. Input organisatieniveau'!$L6:$N6, 0))),
""))</f>
        <v/>
      </c>
      <c r="AG35" s="460" t="str">
        <f ca="1">IF(AF16="","",IFERROR(AG31*IF(AF35&lt;&gt;"",AF35,$C35),""))</f>
        <v/>
      </c>
      <c r="AH35" s="462" t="str">
        <f ca="1">IF(AH16="","",
IF('Hulp (control forms)'!$C$9=TRUE,IF(INDEX('1a. Input organisatieniveau'!$L13:$N13, MATCH(AH15, '1a. Input organisatieniveau'!$L6:$N6, 0))="","",
INDEX('1a. Input organisatieniveau'!$L13:$N13, MATCH(AH15, '1a. Input organisatieniveau'!$L6:$N6, 0))),
""))</f>
        <v/>
      </c>
      <c r="AI35" s="460" t="str">
        <f ca="1">IF(AH16="","",IFERROR(AI31*IF(AH35&lt;&gt;"",AH35,$C35),""))</f>
        <v/>
      </c>
      <c r="AJ35" s="462" t="str">
        <f ca="1">IF(AJ16="","",
IF('Hulp (control forms)'!$C$9=TRUE,IF(INDEX('1a. Input organisatieniveau'!$L13:$N13, MATCH(AJ15, '1a. Input organisatieniveau'!$L6:$N6, 0))="","",
INDEX('1a. Input organisatieniveau'!$L13:$N13, MATCH(AJ15, '1a. Input organisatieniveau'!$L6:$N6, 0))),
""))</f>
        <v/>
      </c>
      <c r="AK35" s="460" t="str">
        <f ca="1">IF(AJ16="","",IFERROR(AK31*IF(AJ35&lt;&gt;"",AJ35,$C35),""))</f>
        <v/>
      </c>
      <c r="AL35" s="462" t="str">
        <f ca="1">IF(AL16="","",
IF('Hulp (control forms)'!$C$9=TRUE,IF(INDEX('1a. Input organisatieniveau'!$L13:$N13, MATCH(AL15, '1a. Input organisatieniveau'!$L6:$N6, 0))="","",
INDEX('1a. Input organisatieniveau'!$L13:$N13, MATCH(AL15, '1a. Input organisatieniveau'!$L6:$N6, 0))),
""))</f>
        <v/>
      </c>
      <c r="AM35" s="460" t="str">
        <f ca="1">IF(AL16="","",IFERROR(AM31*IF(AL35&lt;&gt;"",AL35,$C35),""))</f>
        <v/>
      </c>
      <c r="AN35" s="462" t="str">
        <f ca="1">IF(AN16="","",
IF('Hulp (control forms)'!$C$9=TRUE,IF(INDEX('1a. Input organisatieniveau'!$L13:$N13, MATCH(AN15, '1a. Input organisatieniveau'!$L6:$N6, 0))="","",
INDEX('1a. Input organisatieniveau'!$L13:$N13, MATCH(AN15, '1a. Input organisatieniveau'!$L6:$N6, 0))),
""))</f>
        <v/>
      </c>
      <c r="AO35" s="460" t="str">
        <f ca="1">IF(AN16="","",IFERROR(AO31*IF(AN35&lt;&gt;"",AN35,$C35),""))</f>
        <v/>
      </c>
      <c r="AP35" s="462" t="str">
        <f ca="1">IF(AP16="","",
IF('Hulp (control forms)'!$C$9=TRUE,IF(INDEX('1a. Input organisatieniveau'!$L13:$N13, MATCH(AP15, '1a. Input organisatieniveau'!$L6:$N6, 0))="","",
INDEX('1a. Input organisatieniveau'!$L13:$N13, MATCH(AP15, '1a. Input organisatieniveau'!$L6:$N6, 0))),
""))</f>
        <v/>
      </c>
      <c r="AQ35" s="460" t="str">
        <f ca="1">IF(AP16="","",IFERROR(AQ31*IF(AP35&lt;&gt;"",AP35,$C35),""))</f>
        <v/>
      </c>
      <c r="AR35" s="462" t="str">
        <f ca="1">IF(AR16="","",
IF('Hulp (control forms)'!$C$9=TRUE,IF(INDEX('1a. Input organisatieniveau'!$L13:$N13, MATCH(AR15, '1a. Input organisatieniveau'!$L6:$N6, 0))="","",
INDEX('1a. Input organisatieniveau'!$L13:$N13, MATCH(AR15, '1a. Input organisatieniveau'!$L6:$N6, 0))),
""))</f>
        <v/>
      </c>
      <c r="AS35" s="460" t="str">
        <f ca="1">IF(AR16="","",IFERROR(AS31*IF(AR35&lt;&gt;"",AR35,$C35),""))</f>
        <v/>
      </c>
      <c r="AT35" s="462" t="str">
        <f ca="1">IF(AT16="","",
IF('Hulp (control forms)'!$C$9=TRUE,IF(INDEX('1a. Input organisatieniveau'!$L13:$N13, MATCH(AT15, '1a. Input organisatieniveau'!$L6:$N6, 0))="","",
INDEX('1a. Input organisatieniveau'!$L13:$N13, MATCH(AT15, '1a. Input organisatieniveau'!$L6:$N6, 0))),
""))</f>
        <v/>
      </c>
      <c r="AU35" s="460" t="str">
        <f ca="1">IF(AT16="","",IFERROR(AU31*IF(AT35&lt;&gt;"",AT35,$C35),""))</f>
        <v/>
      </c>
      <c r="AV35" s="462" t="str">
        <f ca="1">IF(AV16="","",
IF('Hulp (control forms)'!$C$9=TRUE,IF(INDEX('1a. Input organisatieniveau'!$L13:$N13, MATCH(AV15, '1a. Input organisatieniveau'!$L6:$N6, 0))="","",
INDEX('1a. Input organisatieniveau'!$L13:$N13, MATCH(AV15, '1a. Input organisatieniveau'!$L6:$N6, 0))),
""))</f>
        <v/>
      </c>
      <c r="AW35" s="460" t="str">
        <f ca="1">IF(AV16="","",IFERROR(AW31*IF(AV35&lt;&gt;"",AV35,$C35),""))</f>
        <v/>
      </c>
      <c r="AX35" s="462" t="str">
        <f ca="1">IF(AX16="","",
IF('Hulp (control forms)'!$C$9=TRUE,IF(INDEX('1a. Input organisatieniveau'!$L13:$N13, MATCH(AX15, '1a. Input organisatieniveau'!$L6:$N6, 0))="","",
INDEX('1a. Input organisatieniveau'!$L13:$N13, MATCH(AX15, '1a. Input organisatieniveau'!$L6:$N6, 0))),
""))</f>
        <v/>
      </c>
      <c r="AY35" s="460" t="str">
        <f ca="1">IF(AX16="","",IFERROR(AY31*IF(AX35&lt;&gt;"",AX35,$C35),""))</f>
        <v/>
      </c>
      <c r="AZ35" s="462" t="str">
        <f ca="1">IF(AZ16="","",
IF('Hulp (control forms)'!$C$9=TRUE,IF(INDEX('1a. Input organisatieniveau'!$L13:$N13, MATCH(AZ15, '1a. Input organisatieniveau'!$L6:$N6, 0))="","",
INDEX('1a. Input organisatieniveau'!$L13:$N13, MATCH(AZ15, '1a. Input organisatieniveau'!$L6:$N6, 0))),
""))</f>
        <v/>
      </c>
      <c r="BA35" s="460" t="str">
        <f ca="1">IF(AZ16="","",IFERROR(BA31*IF(AZ35&lt;&gt;"",AZ35,$C35),""))</f>
        <v/>
      </c>
      <c r="BB35" s="462" t="str">
        <f ca="1">IF(BB16="","",
IF('Hulp (control forms)'!$C$9=TRUE,IF(INDEX('1a. Input organisatieniveau'!$L13:$N13, MATCH(BB15, '1a. Input organisatieniveau'!$L6:$N6, 0))="","",
INDEX('1a. Input organisatieniveau'!$L13:$N13, MATCH(BB15, '1a. Input organisatieniveau'!$L6:$N6, 0))),
""))</f>
        <v/>
      </c>
      <c r="BC35" s="460" t="str">
        <f ca="1">IF(BB16="","",IFERROR(BC31*IF(BB35&lt;&gt;"",BB35,$C35),""))</f>
        <v/>
      </c>
      <c r="BD35" s="462" t="str">
        <f ca="1">IF(BD16="","",
IF('Hulp (control forms)'!$C$9=TRUE,IF(INDEX('1a. Input organisatieniveau'!$L13:$N13, MATCH(BD15, '1a. Input organisatieniveau'!$L6:$N6, 0))="","",
INDEX('1a. Input organisatieniveau'!$L13:$N13, MATCH(BD15, '1a. Input organisatieniveau'!$L6:$N6, 0))),
""))</f>
        <v/>
      </c>
      <c r="BE35" s="460" t="str">
        <f ca="1">IF(BD16="","",IFERROR(BE31*IF(BD35&lt;&gt;"",BD35,$C35),""))</f>
        <v/>
      </c>
      <c r="BF35" s="462" t="str">
        <f ca="1">IF(BF16="","",
IF('Hulp (control forms)'!$C$9=TRUE,IF(INDEX('1a. Input organisatieniveau'!$L13:$N13, MATCH(BF15, '1a. Input organisatieniveau'!$L6:$N6, 0))="","",
INDEX('1a. Input organisatieniveau'!$L13:$N13, MATCH(BF15, '1a. Input organisatieniveau'!$L6:$N6, 0))),
""))</f>
        <v/>
      </c>
      <c r="BG35" s="460" t="str">
        <f ca="1">IF(BF16="","",IFERROR(BG31*IF(BF35&lt;&gt;"",BF35,$C35),""))</f>
        <v/>
      </c>
      <c r="BH35" s="462" t="str">
        <f ca="1">IF(BH16="","",
IF('Hulp (control forms)'!$C$9=TRUE,IF(INDEX('1a. Input organisatieniveau'!$L13:$N13, MATCH(BH15, '1a. Input organisatieniveau'!$L6:$N6, 0))="","",
INDEX('1a. Input organisatieniveau'!$L13:$N13, MATCH(BH15, '1a. Input organisatieniveau'!$L6:$N6, 0))),
""))</f>
        <v/>
      </c>
      <c r="BI35" s="460" t="str">
        <f ca="1">IF(BH16="","",IFERROR(BI31*IF(BH35&lt;&gt;"",BH35,$C35),""))</f>
        <v/>
      </c>
      <c r="BJ35" s="462" t="str">
        <f ca="1">IF(BJ16="","",
IF('Hulp (control forms)'!$C$9=TRUE,IF(INDEX('1a. Input organisatieniveau'!$L13:$N13, MATCH(BJ15, '1a. Input organisatieniveau'!$L6:$N6, 0))="","",
INDEX('1a. Input organisatieniveau'!$L13:$N13, MATCH(BJ15, '1a. Input organisatieniveau'!$L6:$N6, 0))),
""))</f>
        <v/>
      </c>
      <c r="BK35" s="460" t="str">
        <f ca="1">IF(BJ16="","",IFERROR(BK31*IF(BJ35&lt;&gt;"",BJ35,$C35),""))</f>
        <v/>
      </c>
      <c r="BL35" s="462" t="str">
        <f ca="1">IF(BL16="","",
IF('Hulp (control forms)'!$C$9=TRUE,IF(INDEX('1a. Input organisatieniveau'!$L13:$N13, MATCH(BL15, '1a. Input organisatieniveau'!$L6:$N6, 0))="","",
INDEX('1a. Input organisatieniveau'!$L13:$N13, MATCH(BL15, '1a. Input organisatieniveau'!$L6:$N6, 0))),
""))</f>
        <v/>
      </c>
      <c r="BM35" s="460" t="str">
        <f ca="1">IF(BL16="","",IFERROR(BM31*IF(BL35&lt;&gt;"",BL35,$C35),""))</f>
        <v/>
      </c>
      <c r="BN35" s="462" t="str">
        <f ca="1">IF(BN16="","",
IF('Hulp (control forms)'!$C$9=TRUE,IF(INDEX('1a. Input organisatieniveau'!$L13:$N13, MATCH(BN15, '1a. Input organisatieniveau'!$L6:$N6, 0))="","",
INDEX('1a. Input organisatieniveau'!$L13:$N13, MATCH(BN15, '1a. Input organisatieniveau'!$L6:$N6, 0))),
""))</f>
        <v/>
      </c>
      <c r="BO35" s="460" t="str">
        <f ca="1">IF(BN16="","",IFERROR(BO31*IF(BN35&lt;&gt;"",BN35,$C35),""))</f>
        <v/>
      </c>
      <c r="BP35" s="462" t="str">
        <f ca="1">IF(BP16="","",
IF('Hulp (control forms)'!$C$9=TRUE,IF(INDEX('1a. Input organisatieniveau'!$L13:$N13, MATCH(BP15, '1a. Input organisatieniveau'!$L6:$N6, 0))="","",
INDEX('1a. Input organisatieniveau'!$L13:$N13, MATCH(BP15, '1a. Input organisatieniveau'!$L6:$N6, 0))),
""))</f>
        <v/>
      </c>
      <c r="BQ35" s="460" t="str">
        <f ca="1">IF(BP16="","",IFERROR(BQ31*IF(BP35&lt;&gt;"",BP35,$C35),""))</f>
        <v/>
      </c>
      <c r="BR35" s="462" t="str">
        <f ca="1">IF(BR16="","",
IF('Hulp (control forms)'!$C$9=TRUE,IF(INDEX('1a. Input organisatieniveau'!$L13:$N13, MATCH(BR15, '1a. Input organisatieniveau'!$L6:$N6, 0))="","",
INDEX('1a. Input organisatieniveau'!$L13:$N13, MATCH(BR15, '1a. Input organisatieniveau'!$L6:$N6, 0))),
""))</f>
        <v/>
      </c>
      <c r="BS35" s="460" t="str">
        <f ca="1">IF(BR16="","",IFERROR(BS31*IF(BR35&lt;&gt;"",BR35,$C35),""))</f>
        <v/>
      </c>
      <c r="BT35" s="462" t="str">
        <f ca="1">IF(BT16="","",
IF('Hulp (control forms)'!$C$9=TRUE,IF(INDEX('1a. Input organisatieniveau'!$L13:$N13, MATCH(BT15, '1a. Input organisatieniveau'!$L6:$N6, 0))="","",
INDEX('1a. Input organisatieniveau'!$L13:$N13, MATCH(BT15, '1a. Input organisatieniveau'!$L6:$N6, 0))),
""))</f>
        <v/>
      </c>
      <c r="BU35" s="460" t="str">
        <f ca="1">IF(BT16="","",IFERROR(BU31*IF(BT35&lt;&gt;"",BT35,$C35),""))</f>
        <v/>
      </c>
      <c r="BV35" s="462" t="str">
        <f ca="1">IF(BV16="","",
IF('Hulp (control forms)'!$C$9=TRUE,IF(INDEX('1a. Input organisatieniveau'!$L13:$N13, MATCH(BV15, '1a. Input organisatieniveau'!$L6:$N6, 0))="","",
INDEX('1a. Input organisatieniveau'!$L13:$N13, MATCH(BV15, '1a. Input organisatieniveau'!$L6:$N6, 0))),
""))</f>
        <v/>
      </c>
      <c r="BW35" s="460" t="str">
        <f ca="1">IF(BV16="","",IFERROR(BW31*IF(BV35&lt;&gt;"",BV35,$C35),""))</f>
        <v/>
      </c>
      <c r="BX35" s="462" t="str">
        <f ca="1">IF(BX16="","",
IF('Hulp (control forms)'!$C$9=TRUE,IF(INDEX('1a. Input organisatieniveau'!$L13:$N13, MATCH(BX15, '1a. Input organisatieniveau'!$L6:$N6, 0))="","",
INDEX('1a. Input organisatieniveau'!$L13:$N13, MATCH(BX15, '1a. Input organisatieniveau'!$L6:$N6, 0))),
""))</f>
        <v/>
      </c>
      <c r="BY35" s="460" t="str">
        <f ca="1">IF(BX16="","",IFERROR(BY31*IF(BX35&lt;&gt;"",BX35,$C35),""))</f>
        <v/>
      </c>
      <c r="BZ35" s="462" t="str">
        <f ca="1">IF(BZ16="","",
IF('Hulp (control forms)'!$C$9=TRUE,IF(INDEX('1a. Input organisatieniveau'!$L13:$N13, MATCH(BZ15, '1a. Input organisatieniveau'!$L6:$N6, 0))="","",
INDEX('1a. Input organisatieniveau'!$L13:$N13, MATCH(BZ15, '1a. Input organisatieniveau'!$L6:$N6, 0))),
""))</f>
        <v/>
      </c>
      <c r="CA35" s="460" t="str">
        <f ca="1">IF(BZ16="","",IFERROR(CA31*IF(BZ35&lt;&gt;"",BZ35,$C35),""))</f>
        <v/>
      </c>
      <c r="CB35" s="462" t="str">
        <f ca="1">IF(CB16="","",
IF('Hulp (control forms)'!$C$9=TRUE,IF(INDEX('1a. Input organisatieniveau'!$L13:$N13, MATCH(CB15, '1a. Input organisatieniveau'!$L6:$N6, 0))="","",
INDEX('1a. Input organisatieniveau'!$L13:$N13, MATCH(CB15, '1a. Input organisatieniveau'!$L6:$N6, 0))),
""))</f>
        <v/>
      </c>
      <c r="CC35" s="460" t="str">
        <f ca="1">IF(CB16="","",IFERROR(CC31*IF(CB35&lt;&gt;"",CB35,$C35),""))</f>
        <v/>
      </c>
      <c r="CD35" s="462" t="str">
        <f ca="1">IF(CD16="","",
IF('Hulp (control forms)'!$C$9=TRUE,IF(INDEX('1a. Input organisatieniveau'!$L13:$N13, MATCH(CD15, '1a. Input organisatieniveau'!$L6:$N6, 0))="","",
INDEX('1a. Input organisatieniveau'!$L13:$N13, MATCH(CD15, '1a. Input organisatieniveau'!$L6:$N6, 0))),
""))</f>
        <v/>
      </c>
      <c r="CE35" s="460" t="str">
        <f ca="1">IF(CD16="","",IFERROR(CE31*IF(CD35&lt;&gt;"",CD35,$C35),""))</f>
        <v/>
      </c>
      <c r="CF35" s="320"/>
      <c r="CG35" s="289"/>
      <c r="CH35" s="289"/>
      <c r="CI35" s="289"/>
      <c r="CJ35" s="289"/>
      <c r="CK35" s="289"/>
      <c r="CL35" s="289"/>
      <c r="CM35" s="289"/>
      <c r="CN35" s="289"/>
      <c r="CO35" s="289"/>
      <c r="CP35" s="289"/>
      <c r="CQ35" s="289"/>
      <c r="CR35" s="289"/>
      <c r="CS35" s="289"/>
      <c r="CT35" s="289"/>
      <c r="CU35" s="289"/>
      <c r="CV35" s="289"/>
      <c r="CW35" s="289"/>
      <c r="CX35" s="289"/>
      <c r="CY35" s="289"/>
      <c r="CZ35" s="289"/>
    </row>
    <row r="36" spans="1:104" x14ac:dyDescent="0.45">
      <c r="A36" s="289"/>
      <c r="B36" s="392" t="s">
        <v>57</v>
      </c>
      <c r="C36" s="455"/>
      <c r="D36" s="455"/>
      <c r="E36" s="463" t="str">
        <f ca="1">IF(D16="","",SUM(E32:E35))</f>
        <v/>
      </c>
      <c r="F36" s="455"/>
      <c r="G36" s="463" t="str">
        <f ca="1">IF(F16="","",SUM(G32:G35))</f>
        <v/>
      </c>
      <c r="H36" s="455"/>
      <c r="I36" s="463" t="str">
        <f ca="1">IF(H16="","",SUM(I32:I35))</f>
        <v/>
      </c>
      <c r="J36" s="455"/>
      <c r="K36" s="463" t="str">
        <f ca="1">IF(J16="","",SUM(K32:K35))</f>
        <v/>
      </c>
      <c r="L36" s="455"/>
      <c r="M36" s="463" t="str">
        <f ca="1">IF(L16="","",SUM(M32:M35))</f>
        <v/>
      </c>
      <c r="N36" s="455"/>
      <c r="O36" s="463" t="str">
        <f ca="1">IF(N16="","",SUM(O32:O35))</f>
        <v/>
      </c>
      <c r="P36" s="455"/>
      <c r="Q36" s="463" t="str">
        <f ca="1">IF(P16="","",SUM(Q32:Q35))</f>
        <v/>
      </c>
      <c r="R36" s="455"/>
      <c r="S36" s="463" t="str">
        <f ca="1">IF(R16="","",SUM(S32:S35))</f>
        <v/>
      </c>
      <c r="T36" s="455"/>
      <c r="U36" s="463" t="str">
        <f ca="1">IF(T16="","",SUM(U32:U35))</f>
        <v/>
      </c>
      <c r="V36" s="455"/>
      <c r="W36" s="463" t="str">
        <f ca="1">IF(V16="","",SUM(W32:W35))</f>
        <v/>
      </c>
      <c r="X36" s="455"/>
      <c r="Y36" s="463" t="str">
        <f ca="1">IF(X16="","",SUM(Y32:Y35))</f>
        <v/>
      </c>
      <c r="Z36" s="455"/>
      <c r="AA36" s="463" t="str">
        <f ca="1">IF(Z16="","",SUM(AA32:AA35))</f>
        <v/>
      </c>
      <c r="AB36" s="455"/>
      <c r="AC36" s="463" t="str">
        <f ca="1">IF(AB16="","",SUM(AC32:AC35))</f>
        <v/>
      </c>
      <c r="AD36" s="455"/>
      <c r="AE36" s="463" t="str">
        <f ca="1">IF(AD16="","",SUM(AE32:AE35))</f>
        <v/>
      </c>
      <c r="AF36" s="455"/>
      <c r="AG36" s="463" t="str">
        <f ca="1">IF(AF16="","",SUM(AG32:AG35))</f>
        <v/>
      </c>
      <c r="AH36" s="455"/>
      <c r="AI36" s="463" t="str">
        <f ca="1">IF(AH16="","",SUM(AI32:AI35))</f>
        <v/>
      </c>
      <c r="AJ36" s="455"/>
      <c r="AK36" s="463" t="str">
        <f ca="1">IF(AJ16="","",SUM(AK32:AK35))</f>
        <v/>
      </c>
      <c r="AL36" s="455"/>
      <c r="AM36" s="463" t="str">
        <f ca="1">IF(AL16="","",SUM(AM32:AM35))</f>
        <v/>
      </c>
      <c r="AN36" s="455"/>
      <c r="AO36" s="463" t="str">
        <f ca="1">IF(AN16="","",SUM(AO32:AO35))</f>
        <v/>
      </c>
      <c r="AP36" s="455"/>
      <c r="AQ36" s="463" t="str">
        <f ca="1">IF(AP16="","",SUM(AQ32:AQ35))</f>
        <v/>
      </c>
      <c r="AR36" s="455"/>
      <c r="AS36" s="463" t="str">
        <f ca="1">IF(AR16="","",SUM(AS32:AS35))</f>
        <v/>
      </c>
      <c r="AT36" s="455"/>
      <c r="AU36" s="463" t="str">
        <f ca="1">IF(AT16="","",SUM(AU32:AU35))</f>
        <v/>
      </c>
      <c r="AV36" s="455"/>
      <c r="AW36" s="463" t="str">
        <f ca="1">IF(AV16="","",SUM(AW32:AW35))</f>
        <v/>
      </c>
      <c r="AX36" s="455"/>
      <c r="AY36" s="463" t="str">
        <f ca="1">IF(AX16="","",SUM(AY32:AY35))</f>
        <v/>
      </c>
      <c r="AZ36" s="455"/>
      <c r="BA36" s="463" t="str">
        <f ca="1">IF(AZ16="","",SUM(BA32:BA35))</f>
        <v/>
      </c>
      <c r="BB36" s="455"/>
      <c r="BC36" s="463" t="str">
        <f ca="1">IF(BB16="","",SUM(BC32:BC35))</f>
        <v/>
      </c>
      <c r="BD36" s="455"/>
      <c r="BE36" s="463" t="str">
        <f ca="1">IF(BD16="","",SUM(BE32:BE35))</f>
        <v/>
      </c>
      <c r="BF36" s="455"/>
      <c r="BG36" s="463" t="str">
        <f ca="1">IF(BF16="","",SUM(BG32:BG35))</f>
        <v/>
      </c>
      <c r="BH36" s="455"/>
      <c r="BI36" s="463" t="str">
        <f ca="1">IF(BH16="","",SUM(BI32:BI35))</f>
        <v/>
      </c>
      <c r="BJ36" s="455"/>
      <c r="BK36" s="463" t="str">
        <f ca="1">IF(BJ16="","",SUM(BK32:BK35))</f>
        <v/>
      </c>
      <c r="BL36" s="455"/>
      <c r="BM36" s="463" t="str">
        <f ca="1">IF(BL16="","",SUM(BM32:BM35))</f>
        <v/>
      </c>
      <c r="BN36" s="455"/>
      <c r="BO36" s="463" t="str">
        <f ca="1">IF(BN16="","",SUM(BO32:BO35))</f>
        <v/>
      </c>
      <c r="BP36" s="455"/>
      <c r="BQ36" s="463" t="str">
        <f ca="1">IF(BP16="","",SUM(BQ32:BQ35))</f>
        <v/>
      </c>
      <c r="BR36" s="455"/>
      <c r="BS36" s="463" t="str">
        <f ca="1">IF(BR16="","",SUM(BS32:BS35))</f>
        <v/>
      </c>
      <c r="BT36" s="455"/>
      <c r="BU36" s="463" t="str">
        <f ca="1">IF(BT16="","",SUM(BU32:BU35))</f>
        <v/>
      </c>
      <c r="BV36" s="455"/>
      <c r="BW36" s="463" t="str">
        <f ca="1">IF(BV16="","",SUM(BW32:BW35))</f>
        <v/>
      </c>
      <c r="BX36" s="455"/>
      <c r="BY36" s="463" t="str">
        <f ca="1">IF(BX16="","",SUM(BY32:BY35))</f>
        <v/>
      </c>
      <c r="BZ36" s="455"/>
      <c r="CA36" s="463" t="str">
        <f ca="1">IF(BZ16="","",SUM(CA32:CA35))</f>
        <v/>
      </c>
      <c r="CB36" s="455"/>
      <c r="CC36" s="463" t="str">
        <f ca="1">IF(CB16="","",SUM(CC32:CC35))</f>
        <v/>
      </c>
      <c r="CD36" s="455"/>
      <c r="CE36" s="463" t="str">
        <f ca="1">IF(CD16="","",SUM(CE32:CE35))</f>
        <v/>
      </c>
      <c r="CF36" s="320"/>
      <c r="CG36" s="289"/>
      <c r="CH36" s="289"/>
      <c r="CI36" s="289"/>
      <c r="CJ36" s="289"/>
      <c r="CK36" s="289"/>
      <c r="CL36" s="289"/>
      <c r="CM36" s="289"/>
      <c r="CN36" s="289"/>
      <c r="CO36" s="289"/>
      <c r="CP36" s="289"/>
      <c r="CQ36" s="289"/>
      <c r="CR36" s="289"/>
      <c r="CS36" s="289"/>
      <c r="CT36" s="289"/>
      <c r="CU36" s="289"/>
      <c r="CV36" s="289"/>
      <c r="CW36" s="289"/>
      <c r="CX36" s="289"/>
      <c r="CY36" s="289"/>
      <c r="CZ36" s="289"/>
    </row>
    <row r="37" spans="1:104" x14ac:dyDescent="0.45">
      <c r="A37" s="289"/>
      <c r="B37" s="392" t="s">
        <v>797</v>
      </c>
      <c r="C37" s="455"/>
      <c r="D37" s="455"/>
      <c r="E37" s="456" t="str">
        <f ca="1">IF(D16="","",SUM(E31,E36))</f>
        <v/>
      </c>
      <c r="F37" s="455"/>
      <c r="G37" s="456" t="str">
        <f ca="1">IF(F16="","",SUM(G31,G36))</f>
        <v/>
      </c>
      <c r="H37" s="455"/>
      <c r="I37" s="456" t="str">
        <f ca="1">IF(H16="","",SUM(I31,I36))</f>
        <v/>
      </c>
      <c r="J37" s="455"/>
      <c r="K37" s="456" t="str">
        <f ca="1">IF(J16="","",SUM(K31,K36))</f>
        <v/>
      </c>
      <c r="L37" s="455"/>
      <c r="M37" s="456" t="str">
        <f ca="1">IF(L16="","",SUM(M31,M36))</f>
        <v/>
      </c>
      <c r="N37" s="455"/>
      <c r="O37" s="456" t="str">
        <f ca="1">IF(N16="","",SUM(O31,O36))</f>
        <v/>
      </c>
      <c r="P37" s="455"/>
      <c r="Q37" s="456" t="str">
        <f ca="1">IF(P16="","",SUM(Q31,Q36))</f>
        <v/>
      </c>
      <c r="R37" s="455"/>
      <c r="S37" s="456" t="str">
        <f ca="1">IF(R16="","",SUM(S31,S36))</f>
        <v/>
      </c>
      <c r="T37" s="455"/>
      <c r="U37" s="456" t="str">
        <f ca="1">IF(T16="","",SUM(U31,U36))</f>
        <v/>
      </c>
      <c r="V37" s="455"/>
      <c r="W37" s="456" t="str">
        <f ca="1">IF(V16="","",SUM(W31,W36))</f>
        <v/>
      </c>
      <c r="X37" s="455"/>
      <c r="Y37" s="456" t="str">
        <f ca="1">IF(X16="","",SUM(Y31,Y36))</f>
        <v/>
      </c>
      <c r="Z37" s="455"/>
      <c r="AA37" s="456" t="str">
        <f ca="1">IF(Z16="","",SUM(AA31,AA36))</f>
        <v/>
      </c>
      <c r="AB37" s="455"/>
      <c r="AC37" s="456" t="str">
        <f ca="1">IF(AB16="","",SUM(AC31,AC36))</f>
        <v/>
      </c>
      <c r="AD37" s="455"/>
      <c r="AE37" s="456" t="str">
        <f ca="1">IF(AD16="","",SUM(AE31,AE36))</f>
        <v/>
      </c>
      <c r="AF37" s="455"/>
      <c r="AG37" s="456" t="str">
        <f ca="1">IF(AF16="","",SUM(AG31,AG36))</f>
        <v/>
      </c>
      <c r="AH37" s="455"/>
      <c r="AI37" s="456" t="str">
        <f ca="1">IF(AH16="","",SUM(AI31,AI36))</f>
        <v/>
      </c>
      <c r="AJ37" s="455"/>
      <c r="AK37" s="456" t="str">
        <f ca="1">IF(AJ16="","",SUM(AK31,AK36))</f>
        <v/>
      </c>
      <c r="AL37" s="455"/>
      <c r="AM37" s="456" t="str">
        <f ca="1">IF(AL16="","",SUM(AM31,AM36))</f>
        <v/>
      </c>
      <c r="AN37" s="455"/>
      <c r="AO37" s="456" t="str">
        <f ca="1">IF(AN16="","",SUM(AO31,AO36))</f>
        <v/>
      </c>
      <c r="AP37" s="455"/>
      <c r="AQ37" s="456" t="str">
        <f ca="1">IF(AP16="","",SUM(AQ31,AQ36))</f>
        <v/>
      </c>
      <c r="AR37" s="455"/>
      <c r="AS37" s="456" t="str">
        <f ca="1">IF(AR16="","",SUM(AS31,AS36))</f>
        <v/>
      </c>
      <c r="AT37" s="455"/>
      <c r="AU37" s="456" t="str">
        <f ca="1">IF(AT16="","",SUM(AU31,AU36))</f>
        <v/>
      </c>
      <c r="AV37" s="455"/>
      <c r="AW37" s="456" t="str">
        <f ca="1">IF(AV16="","",SUM(AW31,AW36))</f>
        <v/>
      </c>
      <c r="AX37" s="455"/>
      <c r="AY37" s="456" t="str">
        <f ca="1">IF(AX16="","",SUM(AY31,AY36))</f>
        <v/>
      </c>
      <c r="AZ37" s="455"/>
      <c r="BA37" s="456" t="str">
        <f ca="1">IF(AZ16="","",SUM(BA31,BA36))</f>
        <v/>
      </c>
      <c r="BB37" s="455"/>
      <c r="BC37" s="456" t="str">
        <f ca="1">IF(BB16="","",SUM(BC31,BC36))</f>
        <v/>
      </c>
      <c r="BD37" s="455"/>
      <c r="BE37" s="456" t="str">
        <f ca="1">IF(BD16="","",SUM(BE31,BE36))</f>
        <v/>
      </c>
      <c r="BF37" s="455"/>
      <c r="BG37" s="456" t="str">
        <f ca="1">IF(BF16="","",SUM(BG31,BG36))</f>
        <v/>
      </c>
      <c r="BH37" s="455"/>
      <c r="BI37" s="456" t="str">
        <f ca="1">IF(BH16="","",SUM(BI31,BI36))</f>
        <v/>
      </c>
      <c r="BJ37" s="455"/>
      <c r="BK37" s="456" t="str">
        <f ca="1">IF(BJ16="","",SUM(BK31,BK36))</f>
        <v/>
      </c>
      <c r="BL37" s="455"/>
      <c r="BM37" s="456" t="str">
        <f ca="1">IF(BL16="","",SUM(BM31,BM36))</f>
        <v/>
      </c>
      <c r="BN37" s="455"/>
      <c r="BO37" s="456" t="str">
        <f ca="1">IF(BN16="","",SUM(BO31,BO36))</f>
        <v/>
      </c>
      <c r="BP37" s="455"/>
      <c r="BQ37" s="456" t="str">
        <f ca="1">IF(BP16="","",SUM(BQ31,BQ36))</f>
        <v/>
      </c>
      <c r="BR37" s="455"/>
      <c r="BS37" s="456" t="str">
        <f ca="1">IF(BR16="","",SUM(BS31,BS36))</f>
        <v/>
      </c>
      <c r="BT37" s="455"/>
      <c r="BU37" s="456" t="str">
        <f ca="1">IF(BT16="","",SUM(BU31,BU36))</f>
        <v/>
      </c>
      <c r="BV37" s="455"/>
      <c r="BW37" s="456" t="str">
        <f ca="1">IF(BV16="","",SUM(BW31,BW36))</f>
        <v/>
      </c>
      <c r="BX37" s="455"/>
      <c r="BY37" s="456" t="str">
        <f ca="1">IF(BX16="","",SUM(BY31,BY36))</f>
        <v/>
      </c>
      <c r="BZ37" s="455"/>
      <c r="CA37" s="456" t="str">
        <f ca="1">IF(BZ16="","",SUM(CA31,CA36))</f>
        <v/>
      </c>
      <c r="CB37" s="455"/>
      <c r="CC37" s="456" t="str">
        <f ca="1">IF(CB16="","",SUM(CC31,CC36))</f>
        <v/>
      </c>
      <c r="CD37" s="455"/>
      <c r="CE37" s="456" t="str">
        <f ca="1">IF(CD16="","",SUM(CE31,CE36))</f>
        <v/>
      </c>
      <c r="CF37" s="320"/>
      <c r="CG37" s="289"/>
      <c r="CH37" s="289"/>
      <c r="CI37" s="289"/>
      <c r="CJ37" s="289"/>
      <c r="CK37" s="289"/>
      <c r="CL37" s="289"/>
      <c r="CM37" s="289"/>
      <c r="CN37" s="289"/>
      <c r="CO37" s="289"/>
      <c r="CP37" s="289"/>
      <c r="CQ37" s="289"/>
      <c r="CR37" s="289"/>
      <c r="CS37" s="289"/>
      <c r="CT37" s="289"/>
      <c r="CU37" s="289"/>
      <c r="CV37" s="289"/>
      <c r="CW37" s="289"/>
      <c r="CX37" s="289"/>
      <c r="CY37" s="289"/>
      <c r="CZ37" s="289"/>
    </row>
    <row r="38" spans="1:104" x14ac:dyDescent="0.45">
      <c r="A38" s="289"/>
      <c r="B38" s="545" t="str">
        <f>HYPERLINK(
  "#'6. Definities'!" &amp;
  INDEX('Hulp (definities)'!E:E,
        MATCH("Correctie bezettingsgraad",'Hulp (definities)'!A:A,0)
  ),
  "Correctie bezettingsgraad"
)</f>
        <v>Correctie bezettingsgraad</v>
      </c>
      <c r="C38" s="442"/>
      <c r="D38" s="464" t="str">
        <f ca="1">IF(D16="","",
   IF(D15&lt;&gt;"Verblijf","",
IFERROR(
      IF(
         INDEX('1b. Input productniveau'!$E:$E, 9+ ((COLUMN()-COLUMN($D$76))/2)*7) = "",
         "",
         INDEX('1b. Input productniveau'!$E:$E, 9 + ((COLUMN()-COLUMN($D$76))/2)*7)
      ),
   ""))
)</f>
        <v/>
      </c>
      <c r="E38" s="465" t="str">
        <f ca="1">IF(D16="","",IF(D38="","",SUM(E37)/D38))</f>
        <v/>
      </c>
      <c r="F38" s="464" t="str">
        <f ca="1">IF(F16="","",
   IF(F15&lt;&gt;"Verblijf","",
IFERROR(
      IF(
         INDEX('1b. Input productniveau'!$E:$E, 9+ ((COLUMN()-COLUMN($D$76))/2)*7) = "",
         "",
         INDEX('1b. Input productniveau'!$E:$E, 9 + ((COLUMN()-COLUMN($D$76))/2)*7)
      ),
   ""))
)</f>
        <v/>
      </c>
      <c r="G38" s="465" t="str">
        <f ca="1">IF(F16="","",IF(F38="","",SUM(G37)/F38))</f>
        <v/>
      </c>
      <c r="H38" s="464" t="str">
        <f ca="1">IF(H16="","",
   IF(H15&lt;&gt;"Verblijf","",
IFERROR(
      IF(
         INDEX('1b. Input productniveau'!$E:$E, 9+ ((COLUMN()-COLUMN($D$76))/2)*7) = "",
         "",
         INDEX('1b. Input productniveau'!$E:$E, 9 + ((COLUMN()-COLUMN($D$76))/2)*7)
      ),
   ""))
)</f>
        <v/>
      </c>
      <c r="I38" s="465" t="str">
        <f ca="1">IF(H16="","",IF(H38="","",SUM(I37)/H38))</f>
        <v/>
      </c>
      <c r="J38" s="464" t="str">
        <f ca="1">IF(J16="","",
   IF(J15&lt;&gt;"Verblijf","",
IFERROR(
      IF(
         INDEX('1b. Input productniveau'!$E:$E, 9+ ((COLUMN()-COLUMN($D$76))/2)*7) = "",
         "",
         INDEX('1b. Input productniveau'!$E:$E, 9 + ((COLUMN()-COLUMN($D$76))/2)*7)
      ),
   ""))
)</f>
        <v/>
      </c>
      <c r="K38" s="465" t="str">
        <f ca="1">IF(J16="","",IF(J38="","",SUM(K37)/J38))</f>
        <v/>
      </c>
      <c r="L38" s="464" t="str">
        <f ca="1">IF(L16="","",
   IF(L15&lt;&gt;"Verblijf","",
IFERROR(
      IF(
         INDEX('1b. Input productniveau'!$E:$E, 9+ ((COLUMN()-COLUMN($D$76))/2)*7) = "",
         "",
         INDEX('1b. Input productniveau'!$E:$E, 9 + ((COLUMN()-COLUMN($D$76))/2)*7)
      ),
   ""))
)</f>
        <v/>
      </c>
      <c r="M38" s="465" t="str">
        <f ca="1">IF(L16="","",IF(L38="","",SUM(M37)/L38))</f>
        <v/>
      </c>
      <c r="N38" s="464" t="str">
        <f ca="1">IF(N16="","",
   IF(N15&lt;&gt;"Verblijf","",
IFERROR(
      IF(
         INDEX('1b. Input productniveau'!$E:$E, 9+ ((COLUMN()-COLUMN($D$76))/2)*7) = "",
         "",
         INDEX('1b. Input productniveau'!$E:$E, 9 + ((COLUMN()-COLUMN($D$76))/2)*7)
      ),
   ""))
)</f>
        <v/>
      </c>
      <c r="O38" s="465" t="str">
        <f ca="1">IF(N16="","",IF(N38="","",SUM(O37)/N38))</f>
        <v/>
      </c>
      <c r="P38" s="464" t="str">
        <f ca="1">IF(P16="","",
   IF(P15&lt;&gt;"Verblijf","",
IFERROR(
      IF(
         INDEX('1b. Input productniveau'!$E:$E, 9+ ((COLUMN()-COLUMN($D$76))/2)*7) = "",
         "",
         INDEX('1b. Input productniveau'!$E:$E, 9 + ((COLUMN()-COLUMN($D$76))/2)*7)
      ),
   ""))
)</f>
        <v/>
      </c>
      <c r="Q38" s="465" t="str">
        <f ca="1">IF(P16="","",IF(P38="","",SUM(Q37)/P38))</f>
        <v/>
      </c>
      <c r="R38" s="464" t="str">
        <f ca="1">IF(R16="","",
   IF(R15&lt;&gt;"Verblijf","",
IFERROR(
      IF(
         INDEX('1b. Input productniveau'!$E:$E, 9+ ((COLUMN()-COLUMN($D$76))/2)*7) = "",
         "",
         INDEX('1b. Input productniveau'!$E:$E, 9 + ((COLUMN()-COLUMN($D$76))/2)*7)
      ),
   ""))
)</f>
        <v/>
      </c>
      <c r="S38" s="465" t="str">
        <f ca="1">IF(R16="","",IF(R38="","",SUM(S37)/R38))</f>
        <v/>
      </c>
      <c r="T38" s="464" t="str">
        <f ca="1">IF(T16="","",
   IF(T15&lt;&gt;"Verblijf","",
IFERROR(
      IF(
         INDEX('1b. Input productniveau'!$E:$E, 9+ ((COLUMN()-COLUMN($D$76))/2)*7) = "",
         "",
         INDEX('1b. Input productniveau'!$E:$E, 9 + ((COLUMN()-COLUMN($D$76))/2)*7)
      ),
   ""))
)</f>
        <v/>
      </c>
      <c r="U38" s="465" t="str">
        <f ca="1">IF(T16="","",IF(T38="","",SUM(U37)/T38))</f>
        <v/>
      </c>
      <c r="V38" s="464" t="str">
        <f ca="1">IF(V16="","",
   IF(V15&lt;&gt;"Verblijf","",
IFERROR(
      IF(
         INDEX('1b. Input productniveau'!$E:$E, 9+ ((COLUMN()-COLUMN($D$76))/2)*7) = "",
         "",
         INDEX('1b. Input productniveau'!$E:$E, 9 + ((COLUMN()-COLUMN($D$76))/2)*7)
      ),
   ""))
)</f>
        <v/>
      </c>
      <c r="W38" s="465" t="str">
        <f ca="1">IF(V16="","",IF(V38="","",SUM(W37)/V38))</f>
        <v/>
      </c>
      <c r="X38" s="464" t="str">
        <f ca="1">IF(X16="","",
   IF(X15&lt;&gt;"Verblijf","",
IFERROR(
      IF(
         INDEX('1b. Input productniveau'!$E:$E, 9+ ((COLUMN()-COLUMN($D$76))/2)*7) = "",
         "",
         INDEX('1b. Input productniveau'!$E:$E, 9 + ((COLUMN()-COLUMN($D$76))/2)*7)
      ),
   ""))
)</f>
        <v/>
      </c>
      <c r="Y38" s="465" t="str">
        <f ca="1">IF(X16="","",IF(X38="","",SUM(Y37)/X38))</f>
        <v/>
      </c>
      <c r="Z38" s="464" t="str">
        <f ca="1">IF(Z16="","",
   IF(Z15&lt;&gt;"Verblijf","",
IFERROR(
      IF(
         INDEX('1b. Input productniveau'!$E:$E, 9+ ((COLUMN()-COLUMN($D$76))/2)*7) = "",
         "",
         INDEX('1b. Input productniveau'!$E:$E, 9 + ((COLUMN()-COLUMN($D$76))/2)*7)
      ),
   ""))
)</f>
        <v/>
      </c>
      <c r="AA38" s="465" t="str">
        <f ca="1">IF(Z16="","",IF(Z38="","",SUM(AA37)/Z38))</f>
        <v/>
      </c>
      <c r="AB38" s="464" t="str">
        <f ca="1">IF(AB16="","",
   IF(AB15&lt;&gt;"Verblijf","",
IFERROR(
      IF(
         INDEX('1b. Input productniveau'!$E:$E, 9+ ((COLUMN()-COLUMN($D$76))/2)*7) = "",
         "",
         INDEX('1b. Input productniveau'!$E:$E, 9 + ((COLUMN()-COLUMN($D$76))/2)*7)
      ),
   ""))
)</f>
        <v/>
      </c>
      <c r="AC38" s="465" t="str">
        <f ca="1">IF(AB16="","",IF(AB38="","",SUM(AC37)/AB38))</f>
        <v/>
      </c>
      <c r="AD38" s="464" t="str">
        <f ca="1">IF(AD16="","",
   IF(AD15&lt;&gt;"Verblijf","",
IFERROR(
      IF(
         INDEX('1b. Input productniveau'!$E:$E, 9+ ((COLUMN()-COLUMN($D$76))/2)*7) = "",
         "",
         INDEX('1b. Input productniveau'!$E:$E, 9 + ((COLUMN()-COLUMN($D$76))/2)*7)
      ),
   ""))
)</f>
        <v/>
      </c>
      <c r="AE38" s="465" t="str">
        <f ca="1">IF(AD16="","",IF(AD38="","",SUM(AE37)/AD38))</f>
        <v/>
      </c>
      <c r="AF38" s="464" t="str">
        <f ca="1">IF(AF16="","",
   IF(AF15&lt;&gt;"Verblijf","",
IFERROR(
      IF(
         INDEX('1b. Input productniveau'!$E:$E, 9+ ((COLUMN()-COLUMN($D$76))/2)*7) = "",
         "",
         INDEX('1b. Input productniveau'!$E:$E, 9 + ((COLUMN()-COLUMN($D$76))/2)*7)
      ),
   ""))
)</f>
        <v/>
      </c>
      <c r="AG38" s="465" t="str">
        <f ca="1">IF(AF16="","",IF(AF38="","",SUM(AG37)/AF38))</f>
        <v/>
      </c>
      <c r="AH38" s="464" t="str">
        <f ca="1">IF(AH16="","",
   IF(AH15&lt;&gt;"Verblijf","",
IFERROR(
      IF(
         INDEX('1b. Input productniveau'!$E:$E, 9+ ((COLUMN()-COLUMN($D$76))/2)*7) = "",
         "",
         INDEX('1b. Input productniveau'!$E:$E, 9 + ((COLUMN()-COLUMN($D$76))/2)*7)
      ),
   ""))
)</f>
        <v/>
      </c>
      <c r="AI38" s="465" t="str">
        <f ca="1">IF(AH16="","",IF(AH38="","",SUM(AI37)/AH38))</f>
        <v/>
      </c>
      <c r="AJ38" s="464" t="str">
        <f ca="1">IF(AJ16="","",
   IF(AJ15&lt;&gt;"Verblijf","",
IFERROR(
      IF(
         INDEX('1b. Input productniveau'!$E:$E, 9+ ((COLUMN()-COLUMN($D$76))/2)*7) = "",
         "",
         INDEX('1b. Input productniveau'!$E:$E, 9 + ((COLUMN()-COLUMN($D$76))/2)*7)
      ),
   ""))
)</f>
        <v/>
      </c>
      <c r="AK38" s="465" t="str">
        <f ca="1">IF(AJ16="","",IF(AJ38="","",SUM(AK37)/AJ38))</f>
        <v/>
      </c>
      <c r="AL38" s="464" t="str">
        <f ca="1">IF(AL16="","",
   IF(AL15&lt;&gt;"Verblijf","",
IFERROR(
      IF(
         INDEX('1b. Input productniveau'!$E:$E, 9+ ((COLUMN()-COLUMN($D$76))/2)*7) = "",
         "",
         INDEX('1b. Input productniveau'!$E:$E, 9 + ((COLUMN()-COLUMN($D$76))/2)*7)
      ),
   ""))
)</f>
        <v/>
      </c>
      <c r="AM38" s="465" t="str">
        <f ca="1">IF(AL16="","",IF(AL38="","",SUM(AM37)/AL38))</f>
        <v/>
      </c>
      <c r="AN38" s="464" t="str">
        <f ca="1">IF(AN16="","",
   IF(AN15&lt;&gt;"Verblijf","",
IFERROR(
      IF(
         INDEX('1b. Input productniveau'!$E:$E, 9+ ((COLUMN()-COLUMN($D$76))/2)*7) = "",
         "",
         INDEX('1b. Input productniveau'!$E:$E, 9 + ((COLUMN()-COLUMN($D$76))/2)*7)
      ),
   ""))
)</f>
        <v/>
      </c>
      <c r="AO38" s="465" t="str">
        <f ca="1">IF(AN16="","",IF(AN38="","",SUM(AO37)/AN38))</f>
        <v/>
      </c>
      <c r="AP38" s="464" t="str">
        <f ca="1">IF(AP16="","",
   IF(AP15&lt;&gt;"Verblijf","",
IFERROR(
      IF(
         INDEX('1b. Input productniveau'!$E:$E, 9+ ((COLUMN()-COLUMN($D$76))/2)*7) = "",
         "",
         INDEX('1b. Input productniveau'!$E:$E, 9 + ((COLUMN()-COLUMN($D$76))/2)*7)
      ),
   ""))
)</f>
        <v/>
      </c>
      <c r="AQ38" s="465" t="str">
        <f ca="1">IF(AP16="","",IF(AP38="","",SUM(AQ37)/AP38))</f>
        <v/>
      </c>
      <c r="AR38" s="464" t="str">
        <f ca="1">IF(AR16="","",
   IF(AR15&lt;&gt;"Verblijf","",
IFERROR(
      IF(
         INDEX('1b. Input productniveau'!$E:$E, 9+ ((COLUMN()-COLUMN($D$76))/2)*7) = "",
         "",
         INDEX('1b. Input productniveau'!$E:$E, 9 + ((COLUMN()-COLUMN($D$76))/2)*7)
      ),
   ""))
)</f>
        <v/>
      </c>
      <c r="AS38" s="465" t="str">
        <f ca="1">IF(AR16="","",IF(AR38="","",SUM(AS37)/AR38))</f>
        <v/>
      </c>
      <c r="AT38" s="464" t="str">
        <f ca="1">IF(AT16="","",
   IF(AT15&lt;&gt;"Verblijf","",
IFERROR(
      IF(
         INDEX('1b. Input productniveau'!$E:$E, 9+ ((COLUMN()-COLUMN($D$76))/2)*7) = "",
         "",
         INDEX('1b. Input productniveau'!$E:$E, 9 + ((COLUMN()-COLUMN($D$76))/2)*7)
      ),
   ""))
)</f>
        <v/>
      </c>
      <c r="AU38" s="465" t="str">
        <f ca="1">IF(AT16="","",IF(AT38="","",SUM(AU37)/AT38))</f>
        <v/>
      </c>
      <c r="AV38" s="464" t="str">
        <f ca="1">IF(AV16="","",
   IF(AV15&lt;&gt;"Verblijf","",
IFERROR(
      IF(
         INDEX('1b. Input productniveau'!$E:$E, 9+ ((COLUMN()-COLUMN($D$76))/2)*7) = "",
         "",
         INDEX('1b. Input productniveau'!$E:$E, 9 + ((COLUMN()-COLUMN($D$76))/2)*7)
      ),
   ""))
)</f>
        <v/>
      </c>
      <c r="AW38" s="465" t="str">
        <f ca="1">IF(AV16="","",IF(AV38="","",SUM(AW37)/AV38))</f>
        <v/>
      </c>
      <c r="AX38" s="464" t="str">
        <f ca="1">IF(AX16="","",
   IF(AX15&lt;&gt;"Verblijf","",
IFERROR(
      IF(
         INDEX('1b. Input productniveau'!$E:$E, 9+ ((COLUMN()-COLUMN($D$76))/2)*7) = "",
         "",
         INDEX('1b. Input productniveau'!$E:$E, 9 + ((COLUMN()-COLUMN($D$76))/2)*7)
      ),
   ""))
)</f>
        <v/>
      </c>
      <c r="AY38" s="465" t="str">
        <f ca="1">IF(AX16="","",IF(AX38="","",SUM(AY37)/AX38))</f>
        <v/>
      </c>
      <c r="AZ38" s="464" t="str">
        <f ca="1">IF(AZ16="","",
   IF(AZ15&lt;&gt;"Verblijf","",
IFERROR(
      IF(
         INDEX('1b. Input productniveau'!$E:$E, 9+ ((COLUMN()-COLUMN($D$76))/2)*7) = "",
         "",
         INDEX('1b. Input productniveau'!$E:$E, 9 + ((COLUMN()-COLUMN($D$76))/2)*7)
      ),
   ""))
)</f>
        <v/>
      </c>
      <c r="BA38" s="465" t="str">
        <f ca="1">IF(AZ16="","",IF(AZ38="","",SUM(BA37)/AZ38))</f>
        <v/>
      </c>
      <c r="BB38" s="464" t="str">
        <f ca="1">IF(BB16="","",
   IF(BB15&lt;&gt;"Verblijf","",
IFERROR(
      IF(
         INDEX('1b. Input productniveau'!$E:$E, 9+ ((COLUMN()-COLUMN($D$76))/2)*7) = "",
         "",
         INDEX('1b. Input productniveau'!$E:$E, 9 + ((COLUMN()-COLUMN($D$76))/2)*7)
      ),
   ""))
)</f>
        <v/>
      </c>
      <c r="BC38" s="465" t="str">
        <f ca="1">IF(BB16="","",IF(BB38="","",SUM(BC37)/BB38))</f>
        <v/>
      </c>
      <c r="BD38" s="464" t="str">
        <f ca="1">IF(BD16="","",
   IF(BD15&lt;&gt;"Verblijf","",
IFERROR(
      IF(
         INDEX('1b. Input productniveau'!$E:$E, 9+ ((COLUMN()-COLUMN($D$76))/2)*7) = "",
         "",
         INDEX('1b. Input productniveau'!$E:$E, 9 + ((COLUMN()-COLUMN($D$76))/2)*7)
      ),
   ""))
)</f>
        <v/>
      </c>
      <c r="BE38" s="465" t="str">
        <f ca="1">IF(BD16="","",IF(BD38="","",SUM(BE37)/BD38))</f>
        <v/>
      </c>
      <c r="BF38" s="464" t="str">
        <f ca="1">IF(BF16="","",
   IF(BF15&lt;&gt;"Verblijf","",
IFERROR(
      IF(
         INDEX('1b. Input productniveau'!$E:$E, 9+ ((COLUMN()-COLUMN($D$76))/2)*7) = "",
         "",
         INDEX('1b. Input productniveau'!$E:$E, 9 + ((COLUMN()-COLUMN($D$76))/2)*7)
      ),
   ""))
)</f>
        <v/>
      </c>
      <c r="BG38" s="465" t="str">
        <f ca="1">IF(BF16="","",IF(BF38="","",SUM(BG37)/BF38))</f>
        <v/>
      </c>
      <c r="BH38" s="464" t="str">
        <f ca="1">IF(BH16="","",
   IF(BH15&lt;&gt;"Verblijf","",
IFERROR(
      IF(
         INDEX('1b. Input productniveau'!$E:$E, 9+ ((COLUMN()-COLUMN($D$76))/2)*7) = "",
         "",
         INDEX('1b. Input productniveau'!$E:$E, 9 + ((COLUMN()-COLUMN($D$76))/2)*7)
      ),
   ""))
)</f>
        <v/>
      </c>
      <c r="BI38" s="465" t="str">
        <f ca="1">IF(BH16="","",IF(BH38="","",SUM(BI37)/BH38))</f>
        <v/>
      </c>
      <c r="BJ38" s="464" t="str">
        <f ca="1">IF(BJ16="","",
   IF(BJ15&lt;&gt;"Verblijf","",
IFERROR(
      IF(
         INDEX('1b. Input productniveau'!$E:$E, 9+ ((COLUMN()-COLUMN($D$76))/2)*7) = "",
         "",
         INDEX('1b. Input productniveau'!$E:$E, 9 + ((COLUMN()-COLUMN($D$76))/2)*7)
      ),
   ""))
)</f>
        <v/>
      </c>
      <c r="BK38" s="465" t="str">
        <f ca="1">IF(BJ16="","",IF(BJ38="","",SUM(BK37)/BJ38))</f>
        <v/>
      </c>
      <c r="BL38" s="464" t="str">
        <f ca="1">IF(BL16="","",
   IF(BL15&lt;&gt;"Verblijf","",
IFERROR(
      IF(
         INDEX('1b. Input productniveau'!$E:$E, 9+ ((COLUMN()-COLUMN($D$76))/2)*7) = "",
         "",
         INDEX('1b. Input productniveau'!$E:$E, 9 + ((COLUMN()-COLUMN($D$76))/2)*7)
      ),
   ""))
)</f>
        <v/>
      </c>
      <c r="BM38" s="465" t="str">
        <f ca="1">IF(BL16="","",IF(BL38="","",SUM(BM37)/BL38))</f>
        <v/>
      </c>
      <c r="BN38" s="464" t="str">
        <f ca="1">IF(BN16="","",
   IF(BN15&lt;&gt;"Verblijf","",
IFERROR(
      IF(
         INDEX('1b. Input productniveau'!$E:$E, 9+ ((COLUMN()-COLUMN($D$76))/2)*7) = "",
         "",
         INDEX('1b. Input productniveau'!$E:$E, 9 + ((COLUMN()-COLUMN($D$76))/2)*7)
      ),
   ""))
)</f>
        <v/>
      </c>
      <c r="BO38" s="465" t="str">
        <f ca="1">IF(BN16="","",IF(BN38="","",SUM(BO37)/BN38))</f>
        <v/>
      </c>
      <c r="BP38" s="464" t="str">
        <f ca="1">IF(BP16="","",
   IF(BP15&lt;&gt;"Verblijf","",
IFERROR(
      IF(
         INDEX('1b. Input productniveau'!$E:$E, 9+ ((COLUMN()-COLUMN($D$76))/2)*7) = "",
         "",
         INDEX('1b. Input productniveau'!$E:$E, 9 + ((COLUMN()-COLUMN($D$76))/2)*7)
      ),
   ""))
)</f>
        <v/>
      </c>
      <c r="BQ38" s="465" t="str">
        <f ca="1">IF(BP16="","",IF(BP38="","",SUM(BQ37)/BP38))</f>
        <v/>
      </c>
      <c r="BR38" s="464" t="str">
        <f ca="1">IF(BR16="","",
   IF(BR15&lt;&gt;"Verblijf","",
IFERROR(
      IF(
         INDEX('1b. Input productniveau'!$E:$E, 9+ ((COLUMN()-COLUMN($D$76))/2)*7) = "",
         "",
         INDEX('1b. Input productniveau'!$E:$E, 9 + ((COLUMN()-COLUMN($D$76))/2)*7)
      ),
   ""))
)</f>
        <v/>
      </c>
      <c r="BS38" s="465" t="str">
        <f ca="1">IF(BR16="","",IF(BR38="","",SUM(BS37)/BR38))</f>
        <v/>
      </c>
      <c r="BT38" s="464" t="str">
        <f ca="1">IF(BT16="","",
   IF(BT15&lt;&gt;"Verblijf","",
IFERROR(
      IF(
         INDEX('1b. Input productniveau'!$E:$E, 9+ ((COLUMN()-COLUMN($D$76))/2)*7) = "",
         "",
         INDEX('1b. Input productniveau'!$E:$E, 9 + ((COLUMN()-COLUMN($D$76))/2)*7)
      ),
   ""))
)</f>
        <v/>
      </c>
      <c r="BU38" s="465" t="str">
        <f ca="1">IF(BT16="","",IF(BT38="","",SUM(BU37)/BT38))</f>
        <v/>
      </c>
      <c r="BV38" s="464" t="str">
        <f ca="1">IF(BV16="","",
   IF(BV15&lt;&gt;"Verblijf","",
IFERROR(
      IF(
         INDEX('1b. Input productniveau'!$E:$E, 9+ ((COLUMN()-COLUMN($D$76))/2)*7) = "",
         "",
         INDEX('1b. Input productniveau'!$E:$E, 9 + ((COLUMN()-COLUMN($D$76))/2)*7)
      ),
   ""))
)</f>
        <v/>
      </c>
      <c r="BW38" s="465" t="str">
        <f ca="1">IF(BV16="","",IF(BV38="","",SUM(BW37)/BV38))</f>
        <v/>
      </c>
      <c r="BX38" s="464" t="str">
        <f ca="1">IF(BX16="","",
   IF(BX15&lt;&gt;"Verblijf","",
IFERROR(
      IF(
         INDEX('1b. Input productniveau'!$E:$E, 9+ ((COLUMN()-COLUMN($D$76))/2)*7) = "",
         "",
         INDEX('1b. Input productniveau'!$E:$E, 9 + ((COLUMN()-COLUMN($D$76))/2)*7)
      ),
   ""))
)</f>
        <v/>
      </c>
      <c r="BY38" s="465" t="str">
        <f ca="1">IF(BX16="","",IF(BX38="","",SUM(BY37)/BX38))</f>
        <v/>
      </c>
      <c r="BZ38" s="464" t="str">
        <f ca="1">IF(BZ16="","",
   IF(BZ15&lt;&gt;"Verblijf","",
IFERROR(
      IF(
         INDEX('1b. Input productniveau'!$E:$E, 9+ ((COLUMN()-COLUMN($D$76))/2)*7) = "",
         "",
         INDEX('1b. Input productniveau'!$E:$E, 9 + ((COLUMN()-COLUMN($D$76))/2)*7)
      ),
   ""))
)</f>
        <v/>
      </c>
      <c r="CA38" s="465" t="str">
        <f ca="1">IF(BZ16="","",IF(BZ38="","",SUM(CA37)/BZ38))</f>
        <v/>
      </c>
      <c r="CB38" s="464" t="str">
        <f ca="1">IF(CB16="","",
   IF(CB15&lt;&gt;"Verblijf","",
IFERROR(
      IF(
         INDEX('1b. Input productniveau'!$E:$E, 9+ ((COLUMN()-COLUMN($D$76))/2)*7) = "",
         "",
         INDEX('1b. Input productniveau'!$E:$E, 9 + ((COLUMN()-COLUMN($D$76))/2)*7)
      ),
   ""))
)</f>
        <v/>
      </c>
      <c r="CC38" s="465" t="str">
        <f ca="1">IF(CB16="","",IF(CB38="","",SUM(CC37)/CB38))</f>
        <v/>
      </c>
      <c r="CD38" s="464" t="str">
        <f ca="1">IF(CD16="","",
   IF(CD15&lt;&gt;"Verblijf","",
IFERROR(
      IF(
         INDEX('1b. Input productniveau'!$E:$E, 9+ ((COLUMN()-COLUMN($D$76))/2)*7) = "",
         "",
         INDEX('1b. Input productniveau'!$E:$E, 9 + ((COLUMN()-COLUMN($D$76))/2)*7)
      ),
   ""))
)</f>
        <v/>
      </c>
      <c r="CE38" s="465" t="str">
        <f ca="1">IF(CD16="","",IF(CD38="","",SUM(CE37)/CD38))</f>
        <v/>
      </c>
      <c r="CF38" s="320"/>
      <c r="CG38" s="289"/>
      <c r="CH38" s="289"/>
      <c r="CI38" s="289"/>
      <c r="CJ38" s="289"/>
      <c r="CK38" s="289"/>
      <c r="CL38" s="289"/>
      <c r="CM38" s="289"/>
      <c r="CN38" s="289"/>
      <c r="CO38" s="289"/>
      <c r="CP38" s="289"/>
      <c r="CQ38" s="289"/>
      <c r="CR38" s="289"/>
      <c r="CS38" s="289"/>
      <c r="CT38" s="289"/>
      <c r="CU38" s="289"/>
      <c r="CV38" s="289"/>
      <c r="CW38" s="289"/>
      <c r="CX38" s="289"/>
      <c r="CY38" s="289"/>
      <c r="CZ38" s="289"/>
    </row>
    <row r="39" spans="1:104" x14ac:dyDescent="0.45">
      <c r="A39" s="289"/>
      <c r="B39" s="392" t="s">
        <v>769</v>
      </c>
      <c r="C39" s="442"/>
      <c r="D39" s="466"/>
      <c r="E39" s="456" t="str">
        <f ca="1">IF(D16="","",
MAX(E37:E38))</f>
        <v/>
      </c>
      <c r="F39" s="466"/>
      <c r="G39" s="456" t="str">
        <f ca="1">IF(F16="","",
MAX(G37:G38))</f>
        <v/>
      </c>
      <c r="H39" s="466"/>
      <c r="I39" s="456" t="str">
        <f ca="1">IF(H16="","",
MAX(I37:I38))</f>
        <v/>
      </c>
      <c r="J39" s="466"/>
      <c r="K39" s="456" t="str">
        <f ca="1">IF(J16="","",
MAX(K37:K38))</f>
        <v/>
      </c>
      <c r="L39" s="466"/>
      <c r="M39" s="456" t="str">
        <f ca="1">IF(L16="","",
MAX(M37:M38))</f>
        <v/>
      </c>
      <c r="N39" s="466"/>
      <c r="O39" s="456" t="str">
        <f ca="1">IF(N16="","",
MAX(O37:O38))</f>
        <v/>
      </c>
      <c r="P39" s="466"/>
      <c r="Q39" s="456" t="str">
        <f ca="1">IF(P16="","",
MAX(Q37:Q38))</f>
        <v/>
      </c>
      <c r="R39" s="466"/>
      <c r="S39" s="456" t="str">
        <f ca="1">IF(R16="","",
MAX(S37:S38))</f>
        <v/>
      </c>
      <c r="T39" s="466"/>
      <c r="U39" s="456" t="str">
        <f ca="1">IF(T16="","",
MAX(U37:U38))</f>
        <v/>
      </c>
      <c r="V39" s="466"/>
      <c r="W39" s="456" t="str">
        <f ca="1">IF(V16="","",
MAX(W37:W38))</f>
        <v/>
      </c>
      <c r="X39" s="466"/>
      <c r="Y39" s="456" t="str">
        <f ca="1">IF(X16="","",
MAX(Y37:Y38))</f>
        <v/>
      </c>
      <c r="Z39" s="466"/>
      <c r="AA39" s="456" t="str">
        <f ca="1">IF(Z16="","",
MAX(AA37:AA38))</f>
        <v/>
      </c>
      <c r="AB39" s="466"/>
      <c r="AC39" s="456" t="str">
        <f ca="1">IF(AB16="","",
MAX(AC37:AC38))</f>
        <v/>
      </c>
      <c r="AD39" s="466"/>
      <c r="AE39" s="456" t="str">
        <f ca="1">IF(AD16="","",
MAX(AE37:AE38))</f>
        <v/>
      </c>
      <c r="AF39" s="466"/>
      <c r="AG39" s="456" t="str">
        <f ca="1">IF(AF16="","",
MAX(AG37:AG38))</f>
        <v/>
      </c>
      <c r="AH39" s="466"/>
      <c r="AI39" s="456" t="str">
        <f ca="1">IF(AH16="","",
MAX(AI37:AI38))</f>
        <v/>
      </c>
      <c r="AJ39" s="466"/>
      <c r="AK39" s="456" t="str">
        <f ca="1">IF(AJ16="","",
MAX(AK37:AK38))</f>
        <v/>
      </c>
      <c r="AL39" s="466"/>
      <c r="AM39" s="456" t="str">
        <f ca="1">IF(AL16="","",
MAX(AM37:AM38))</f>
        <v/>
      </c>
      <c r="AN39" s="466"/>
      <c r="AO39" s="456" t="str">
        <f ca="1">IF(AN16="","",
MAX(AO37:AO38))</f>
        <v/>
      </c>
      <c r="AP39" s="466"/>
      <c r="AQ39" s="456" t="str">
        <f ca="1">IF(AP16="","",
MAX(AQ37:AQ38))</f>
        <v/>
      </c>
      <c r="AR39" s="466"/>
      <c r="AS39" s="456" t="str">
        <f ca="1">IF(AR16="","",
MAX(AS37:AS38))</f>
        <v/>
      </c>
      <c r="AT39" s="466"/>
      <c r="AU39" s="456" t="str">
        <f ca="1">IF(AT16="","",
MAX(AU37:AU38))</f>
        <v/>
      </c>
      <c r="AV39" s="466"/>
      <c r="AW39" s="456" t="str">
        <f ca="1">IF(AV16="","",
MAX(AW37:AW38))</f>
        <v/>
      </c>
      <c r="AX39" s="466"/>
      <c r="AY39" s="456" t="str">
        <f ca="1">IF(AX16="","",
MAX(AY37:AY38))</f>
        <v/>
      </c>
      <c r="AZ39" s="466"/>
      <c r="BA39" s="456" t="str">
        <f ca="1">IF(AZ16="","",
MAX(BA37:BA38))</f>
        <v/>
      </c>
      <c r="BB39" s="466"/>
      <c r="BC39" s="456" t="str">
        <f ca="1">IF(BB16="","",
MAX(BC37:BC38))</f>
        <v/>
      </c>
      <c r="BD39" s="466"/>
      <c r="BE39" s="456" t="str">
        <f ca="1">IF(BD16="","",
MAX(BE37:BE38))</f>
        <v/>
      </c>
      <c r="BF39" s="466"/>
      <c r="BG39" s="456" t="str">
        <f ca="1">IF(BF16="","",
MAX(BG37:BG38))</f>
        <v/>
      </c>
      <c r="BH39" s="466"/>
      <c r="BI39" s="456" t="str">
        <f ca="1">IF(BH16="","",
MAX(BI37:BI38))</f>
        <v/>
      </c>
      <c r="BJ39" s="466"/>
      <c r="BK39" s="456" t="str">
        <f ca="1">IF(BJ16="","",
MAX(BK37:BK38))</f>
        <v/>
      </c>
      <c r="BL39" s="466"/>
      <c r="BM39" s="456" t="str">
        <f ca="1">IF(BL16="","",
MAX(BM37:BM38))</f>
        <v/>
      </c>
      <c r="BN39" s="466"/>
      <c r="BO39" s="456" t="str">
        <f ca="1">IF(BN16="","",
MAX(BO37:BO38))</f>
        <v/>
      </c>
      <c r="BP39" s="466"/>
      <c r="BQ39" s="456" t="str">
        <f ca="1">IF(BP16="","",
MAX(BQ37:BQ38))</f>
        <v/>
      </c>
      <c r="BR39" s="466"/>
      <c r="BS39" s="456" t="str">
        <f ca="1">IF(BR16="","",
MAX(BS37:BS38))</f>
        <v/>
      </c>
      <c r="BT39" s="466"/>
      <c r="BU39" s="456" t="str">
        <f ca="1">IF(BT16="","",
MAX(BU37:BU38))</f>
        <v/>
      </c>
      <c r="BV39" s="466"/>
      <c r="BW39" s="456" t="str">
        <f ca="1">IF(BV16="","",
MAX(BW37:BW38))</f>
        <v/>
      </c>
      <c r="BX39" s="466"/>
      <c r="BY39" s="456" t="str">
        <f ca="1">IF(BX16="","",
MAX(BY37:BY38))</f>
        <v/>
      </c>
      <c r="BZ39" s="466"/>
      <c r="CA39" s="456" t="str">
        <f ca="1">IF(BZ16="","",
MAX(CA37:CA38))</f>
        <v/>
      </c>
      <c r="CB39" s="466"/>
      <c r="CC39" s="456" t="str">
        <f ca="1">IF(CB16="","",
MAX(CC37:CC38))</f>
        <v/>
      </c>
      <c r="CD39" s="466"/>
      <c r="CE39" s="456" t="str">
        <f ca="1">IF(CD16="","",
MAX(CE37:CE38))</f>
        <v/>
      </c>
      <c r="CF39" s="320"/>
      <c r="CG39" s="289"/>
      <c r="CH39" s="289"/>
      <c r="CI39" s="289"/>
      <c r="CJ39" s="289"/>
      <c r="CK39" s="289"/>
      <c r="CL39" s="289"/>
      <c r="CM39" s="289"/>
      <c r="CN39" s="289"/>
      <c r="CO39" s="289"/>
      <c r="CP39" s="289"/>
      <c r="CQ39" s="289"/>
      <c r="CR39" s="289"/>
      <c r="CS39" s="289"/>
      <c r="CT39" s="289"/>
      <c r="CU39" s="289"/>
      <c r="CV39" s="289"/>
      <c r="CW39" s="289"/>
      <c r="CX39" s="289"/>
      <c r="CY39" s="289"/>
      <c r="CZ39" s="289"/>
    </row>
    <row r="40" spans="1:104" x14ac:dyDescent="0.45">
      <c r="A40" s="289"/>
      <c r="B40" s="392"/>
      <c r="C40" s="442"/>
      <c r="D40" s="466"/>
      <c r="E40" s="460"/>
      <c r="F40" s="466"/>
      <c r="G40" s="460"/>
      <c r="H40" s="466"/>
      <c r="I40" s="460"/>
      <c r="J40" s="466"/>
      <c r="K40" s="460"/>
      <c r="L40" s="466"/>
      <c r="M40" s="460"/>
      <c r="N40" s="466"/>
      <c r="O40" s="460"/>
      <c r="P40" s="466"/>
      <c r="Q40" s="460"/>
      <c r="R40" s="466"/>
      <c r="S40" s="460"/>
      <c r="T40" s="466"/>
      <c r="U40" s="460"/>
      <c r="V40" s="466"/>
      <c r="W40" s="460"/>
      <c r="X40" s="466"/>
      <c r="Y40" s="460"/>
      <c r="Z40" s="466"/>
      <c r="AA40" s="460"/>
      <c r="AB40" s="466"/>
      <c r="AC40" s="460"/>
      <c r="AD40" s="466"/>
      <c r="AE40" s="460"/>
      <c r="AF40" s="466"/>
      <c r="AG40" s="460"/>
      <c r="AH40" s="466"/>
      <c r="AI40" s="460"/>
      <c r="AJ40" s="466"/>
      <c r="AK40" s="460"/>
      <c r="AL40" s="466"/>
      <c r="AM40" s="460"/>
      <c r="AN40" s="466"/>
      <c r="AO40" s="460"/>
      <c r="AP40" s="466"/>
      <c r="AQ40" s="460"/>
      <c r="AR40" s="466"/>
      <c r="AS40" s="460"/>
      <c r="AT40" s="466"/>
      <c r="AU40" s="460"/>
      <c r="AV40" s="466"/>
      <c r="AW40" s="460"/>
      <c r="AX40" s="466"/>
      <c r="AY40" s="460"/>
      <c r="AZ40" s="466"/>
      <c r="BA40" s="460"/>
      <c r="BB40" s="466"/>
      <c r="BC40" s="460"/>
      <c r="BD40" s="466"/>
      <c r="BE40" s="460"/>
      <c r="BF40" s="466"/>
      <c r="BG40" s="460"/>
      <c r="BH40" s="466"/>
      <c r="BI40" s="460"/>
      <c r="BJ40" s="466"/>
      <c r="BK40" s="460"/>
      <c r="BL40" s="466"/>
      <c r="BM40" s="460"/>
      <c r="BN40" s="466"/>
      <c r="BO40" s="460"/>
      <c r="BP40" s="466"/>
      <c r="BQ40" s="460"/>
      <c r="BR40" s="466"/>
      <c r="BS40" s="460"/>
      <c r="BT40" s="466"/>
      <c r="BU40" s="460"/>
      <c r="BV40" s="466"/>
      <c r="BW40" s="460"/>
      <c r="BX40" s="466"/>
      <c r="BY40" s="460"/>
      <c r="BZ40" s="466"/>
      <c r="CA40" s="460"/>
      <c r="CB40" s="466"/>
      <c r="CC40" s="460"/>
      <c r="CD40" s="466"/>
      <c r="CE40" s="460"/>
      <c r="CF40" s="320"/>
      <c r="CG40" s="289"/>
      <c r="CH40" s="289"/>
      <c r="CI40" s="289"/>
      <c r="CJ40" s="289"/>
      <c r="CK40" s="289"/>
      <c r="CL40" s="289"/>
      <c r="CM40" s="289"/>
      <c r="CN40" s="289"/>
      <c r="CO40" s="289"/>
      <c r="CP40" s="289"/>
      <c r="CQ40" s="289"/>
      <c r="CR40" s="289"/>
      <c r="CS40" s="289"/>
      <c r="CT40" s="289"/>
      <c r="CU40" s="289"/>
      <c r="CV40" s="289"/>
      <c r="CW40" s="289"/>
      <c r="CX40" s="289"/>
      <c r="CY40" s="289"/>
      <c r="CZ40" s="289"/>
    </row>
    <row r="41" spans="1:104" x14ac:dyDescent="0.45">
      <c r="A41" s="289"/>
      <c r="B41" s="432" t="s">
        <v>1235</v>
      </c>
      <c r="C41" s="442"/>
      <c r="D41" s="442" t="str">
        <f ca="1">IF(D16="","",
   IF(D15="Ambulant","",
IFERROR(
      IF(
         INDEX('1b. Input productniveau'!$H:$H, 6 + (COLUMN()-COLUMN($D$41))*3.5) = "",
         "",
         INDEX('1b. Input productniveau'!$H:$H, 6 + (COLUMN()-COLUMN($D$41))*3.5)
      ),
   ""))
)</f>
        <v/>
      </c>
      <c r="E41" s="454" t="str">
        <f ca="1">IF(D16="","",IF(D41="","",D41))</f>
        <v/>
      </c>
      <c r="F41" s="442" t="str">
        <f ca="1">IF(F16="","",
   IF(F15="Ambulant","",
IFERROR(
      IF(
         INDEX('1b. Input productniveau'!$H:$H, 6 + (COLUMN()-COLUMN($D$41))*3.5) = "",
         "",
         INDEX('1b. Input productniveau'!$H:$H, 6 + (COLUMN()-COLUMN($D$41))*3.5)
      ),
   ""))
)</f>
        <v/>
      </c>
      <c r="G41" s="454" t="str">
        <f ca="1">IF(F16="","",IF(F41="","",F41))</f>
        <v/>
      </c>
      <c r="H41" s="442" t="str">
        <f ca="1">IF(H16="","",
   IF(H15="Ambulant","",
IFERROR(
      IF(
         INDEX('1b. Input productniveau'!$H:$H, 6 + (COLUMN()-COLUMN($D$41))*3.5) = "",
         "",
         INDEX('1b. Input productniveau'!$H:$H, 6 + (COLUMN()-COLUMN($D$41))*3.5)
      ),
   ""))
)</f>
        <v/>
      </c>
      <c r="I41" s="454" t="str">
        <f ca="1">IF(H16="","",IF(H41="","",H41))</f>
        <v/>
      </c>
      <c r="J41" s="442" t="str">
        <f ca="1">IF(J16="","",
   IF(J15="Ambulant","",
IFERROR(
      IF(
         INDEX('1b. Input productniveau'!$H:$H, 6 + (COLUMN()-COLUMN($D$41))*3.5) = "",
         "",
         INDEX('1b. Input productniveau'!$H:$H, 6 + (COLUMN()-COLUMN($D$41))*3.5)
      ),
   ""))
)</f>
        <v/>
      </c>
      <c r="K41" s="454" t="str">
        <f ca="1">IF(J16="","",IF(J41="","",J41))</f>
        <v/>
      </c>
      <c r="L41" s="442" t="str">
        <f ca="1">IF(L16="","",
   IF(L15="Ambulant","",
IFERROR(
      IF(
         INDEX('1b. Input productniveau'!$H:$H, 6 + (COLUMN()-COLUMN($D$41))*3.5) = "",
         "",
         INDEX('1b. Input productniveau'!$H:$H, 6 + (COLUMN()-COLUMN($D$41))*3.5)
      ),
   ""))
)</f>
        <v/>
      </c>
      <c r="M41" s="454" t="str">
        <f ca="1">IF(L16="","",IF(L41="","",L41))</f>
        <v/>
      </c>
      <c r="N41" s="442" t="str">
        <f ca="1">IF(N16="","",
   IF(N15="Ambulant","",
IFERROR(
      IF(
         INDEX('1b. Input productniveau'!$H:$H, 6 + (COLUMN()-COLUMN($D$41))*3.5) = "",
         "",
         INDEX('1b. Input productniveau'!$H:$H, 6 + (COLUMN()-COLUMN($D$41))*3.5)
      ),
   ""))
)</f>
        <v/>
      </c>
      <c r="O41" s="454" t="str">
        <f ca="1">IF(N16="","",IF(N41="","",N41))</f>
        <v/>
      </c>
      <c r="P41" s="442" t="str">
        <f ca="1">IF(P16="","",
   IF(P15="Ambulant","",
IFERROR(
      IF(
         INDEX('1b. Input productniveau'!$H:$H, 6 + (COLUMN()-COLUMN($D$41))*3.5) = "",
         "",
         INDEX('1b. Input productniveau'!$H:$H, 6 + (COLUMN()-COLUMN($D$41))*3.5)
      ),
   ""))
)</f>
        <v/>
      </c>
      <c r="Q41" s="454" t="str">
        <f ca="1">IF(P16="","",IF(P41="","",P41))</f>
        <v/>
      </c>
      <c r="R41" s="442" t="str">
        <f ca="1">IF(R16="","",
   IF(R15="Ambulant","",
IFERROR(
      IF(
         INDEX('1b. Input productniveau'!$H:$H, 6 + (COLUMN()-COLUMN($D$41))*3.5) = "",
         "",
         INDEX('1b. Input productniveau'!$H:$H, 6 + (COLUMN()-COLUMN($D$41))*3.5)
      ),
   ""))
)</f>
        <v/>
      </c>
      <c r="S41" s="454" t="str">
        <f ca="1">IF(R16="","",IF(R41="","",R41))</f>
        <v/>
      </c>
      <c r="T41" s="442" t="str">
        <f ca="1">IF(T16="","",
   IF(T15="Ambulant","",
IFERROR(
      IF(
         INDEX('1b. Input productniveau'!$H:$H, 6 + (COLUMN()-COLUMN($D$41))*3.5) = "",
         "",
         INDEX('1b. Input productniveau'!$H:$H, 6 + (COLUMN()-COLUMN($D$41))*3.5)
      ),
   ""))
)</f>
        <v/>
      </c>
      <c r="U41" s="454" t="str">
        <f ca="1">IF(T16="","",IF(T41="","",T41))</f>
        <v/>
      </c>
      <c r="V41" s="442" t="str">
        <f ca="1">IF(V16="","",
   IF(V15="Ambulant","",
IFERROR(
      IF(
         INDEX('1b. Input productniveau'!$H:$H, 6 + (COLUMN()-COLUMN($D$41))*3.5) = "",
         "",
         INDEX('1b. Input productniveau'!$H:$H, 6 + (COLUMN()-COLUMN($D$41))*3.5)
      ),
   ""))
)</f>
        <v/>
      </c>
      <c r="W41" s="454" t="str">
        <f ca="1">IF(V16="","",IF(V41="","",V41))</f>
        <v/>
      </c>
      <c r="X41" s="442" t="str">
        <f ca="1">IF(X16="","",
   IF(X15="Ambulant","",
IFERROR(
      IF(
         INDEX('1b. Input productniveau'!$H:$H, 6 + (COLUMN()-COLUMN($D$41))*3.5) = "",
         "",
         INDEX('1b. Input productniveau'!$H:$H, 6 + (COLUMN()-COLUMN($D$41))*3.5)
      ),
   ""))
)</f>
        <v/>
      </c>
      <c r="Y41" s="454" t="str">
        <f ca="1">IF(X16="","",IF(X41="","",X41))</f>
        <v/>
      </c>
      <c r="Z41" s="442" t="str">
        <f ca="1">IF(Z16="","",
   IF(Z15="Ambulant","",
IFERROR(
      IF(
         INDEX('1b. Input productniveau'!$H:$H, 6 + (COLUMN()-COLUMN($D$41))*3.5) = "",
         "",
         INDEX('1b. Input productniveau'!$H:$H, 6 + (COLUMN()-COLUMN($D$41))*3.5)
      ),
   ""))
)</f>
        <v/>
      </c>
      <c r="AA41" s="454" t="str">
        <f ca="1">IF(Z16="","",IF(Z41="","",Z41))</f>
        <v/>
      </c>
      <c r="AB41" s="442" t="str">
        <f ca="1">IF(AB16="","",
   IF(AB15="Ambulant","",
IFERROR(
      IF(
         INDEX('1b. Input productniveau'!$H:$H, 6 + (COLUMN()-COLUMN($D$41))*3.5) = "",
         "",
         INDEX('1b. Input productniveau'!$H:$H, 6 + (COLUMN()-COLUMN($D$41))*3.5)
      ),
   ""))
)</f>
        <v/>
      </c>
      <c r="AC41" s="454" t="str">
        <f ca="1">IF(AB16="","",IF(AB41="","",AB41))</f>
        <v/>
      </c>
      <c r="AD41" s="442" t="str">
        <f ca="1">IF(AD16="","",
   IF(AD15="Ambulant","",
IFERROR(
      IF(
         INDEX('1b. Input productniveau'!$H:$H, 6 + (COLUMN()-COLUMN($D$41))*3.5) = "",
         "",
         INDEX('1b. Input productniveau'!$H:$H, 6 + (COLUMN()-COLUMN($D$41))*3.5)
      ),
   ""))
)</f>
        <v/>
      </c>
      <c r="AE41" s="454" t="str">
        <f ca="1">IF(AD16="","",IF(AD41="","",AD41))</f>
        <v/>
      </c>
      <c r="AF41" s="442" t="str">
        <f ca="1">IF(AF16="","",
   IF(AF15="Ambulant","",
IFERROR(
      IF(
         INDEX('1b. Input productniveau'!$H:$H, 6 + (COLUMN()-COLUMN($D$41))*3.5) = "",
         "",
         INDEX('1b. Input productniveau'!$H:$H, 6 + (COLUMN()-COLUMN($D$41))*3.5)
      ),
   ""))
)</f>
        <v/>
      </c>
      <c r="AG41" s="454" t="str">
        <f ca="1">IF(AF16="","",IF(AF41="","",AF41))</f>
        <v/>
      </c>
      <c r="AH41" s="442" t="str">
        <f ca="1">IF(AH16="","",
   IF(AH15="Ambulant","",
IFERROR(
      IF(
         INDEX('1b. Input productniveau'!$H:$H, 6 + (COLUMN()-COLUMN($D$41))*3.5) = "",
         "",
         INDEX('1b. Input productniveau'!$H:$H, 6 + (COLUMN()-COLUMN($D$41))*3.5)
      ),
   ""))
)</f>
        <v/>
      </c>
      <c r="AI41" s="454" t="str">
        <f ca="1">IF(AH16="","",IF(AH41="","",AH41))</f>
        <v/>
      </c>
      <c r="AJ41" s="442" t="str">
        <f ca="1">IF(AJ16="","",
   IF(AJ15="Ambulant","",
IFERROR(
      IF(
         INDEX('1b. Input productniveau'!$H:$H, 6 + (COLUMN()-COLUMN($D$41))*3.5) = "",
         "",
         INDEX('1b. Input productniveau'!$H:$H, 6 + (COLUMN()-COLUMN($D$41))*3.5)
      ),
   ""))
)</f>
        <v/>
      </c>
      <c r="AK41" s="454" t="str">
        <f ca="1">IF(AJ16="","",IF(AJ41="","",AJ41))</f>
        <v/>
      </c>
      <c r="AL41" s="442" t="str">
        <f ca="1">IF(AL16="","",
   IF(AL15="Ambulant","",
IFERROR(
      IF(
         INDEX('1b. Input productniveau'!$H:$H, 6 + (COLUMN()-COLUMN($D$41))*3.5) = "",
         "",
         INDEX('1b. Input productniveau'!$H:$H, 6 + (COLUMN()-COLUMN($D$41))*3.5)
      ),
   ""))
)</f>
        <v/>
      </c>
      <c r="AM41" s="454" t="str">
        <f ca="1">IF(AL16="","",IF(AL41="","",AL41))</f>
        <v/>
      </c>
      <c r="AN41" s="442" t="str">
        <f ca="1">IF(AN16="","",
   IF(AN15="Ambulant","",
IFERROR(
      IF(
         INDEX('1b. Input productniveau'!$H:$H, 6 + (COLUMN()-COLUMN($D$41))*3.5) = "",
         "",
         INDEX('1b. Input productniveau'!$H:$H, 6 + (COLUMN()-COLUMN($D$41))*3.5)
      ),
   ""))
)</f>
        <v/>
      </c>
      <c r="AO41" s="454" t="str">
        <f ca="1">IF(AN16="","",IF(AN41="","",AN41))</f>
        <v/>
      </c>
      <c r="AP41" s="442" t="str">
        <f ca="1">IF(AP16="","",
   IF(AP15="Ambulant","",
IFERROR(
      IF(
         INDEX('1b. Input productniveau'!$H:$H, 6 + (COLUMN()-COLUMN($D$41))*3.5) = "",
         "",
         INDEX('1b. Input productniveau'!$H:$H, 6 + (COLUMN()-COLUMN($D$41))*3.5)
      ),
   ""))
)</f>
        <v/>
      </c>
      <c r="AQ41" s="454" t="str">
        <f ca="1">IF(AP16="","",IF(AP41="","",AP41))</f>
        <v/>
      </c>
      <c r="AR41" s="442" t="str">
        <f ca="1">IF(AR16="","",
   IF(AR15="Ambulant","",
IFERROR(
      IF(
         INDEX('1b. Input productniveau'!$H:$H, 6 + (COLUMN()-COLUMN($D$41))*3.5) = "",
         "",
         INDEX('1b. Input productniveau'!$H:$H, 6 + (COLUMN()-COLUMN($D$41))*3.5)
      ),
   ""))
)</f>
        <v/>
      </c>
      <c r="AS41" s="454" t="str">
        <f ca="1">IF(AR16="","",IF(AR41="","",AR41))</f>
        <v/>
      </c>
      <c r="AT41" s="442" t="str">
        <f ca="1">IF(AT16="","",
   IF(AT15="Ambulant","",
IFERROR(
      IF(
         INDEX('1b. Input productniveau'!$H:$H, 6 + (COLUMN()-COLUMN($D$41))*3.5) = "",
         "",
         INDEX('1b. Input productniveau'!$H:$H, 6 + (COLUMN()-COLUMN($D$41))*3.5)
      ),
   ""))
)</f>
        <v/>
      </c>
      <c r="AU41" s="454" t="str">
        <f ca="1">IF(AT16="","",IF(AT41="","",AT41))</f>
        <v/>
      </c>
      <c r="AV41" s="442" t="str">
        <f ca="1">IF(AV16="","",
   IF(AV15="Ambulant","",
IFERROR(
      IF(
         INDEX('1b. Input productniveau'!$H:$H, 6 + (COLUMN()-COLUMN($D$41))*3.5) = "",
         "",
         INDEX('1b. Input productniveau'!$H:$H, 6 + (COLUMN()-COLUMN($D$41))*3.5)
      ),
   ""))
)</f>
        <v/>
      </c>
      <c r="AW41" s="454" t="str">
        <f ca="1">IF(AV16="","",IF(AV41="","",AV41))</f>
        <v/>
      </c>
      <c r="AX41" s="442" t="str">
        <f ca="1">IF(AX16="","",
   IF(AX15="Ambulant","",
IFERROR(
      IF(
         INDEX('1b. Input productniveau'!$H:$H, 6 + (COLUMN()-COLUMN($D$41))*3.5) = "",
         "",
         INDEX('1b. Input productniveau'!$H:$H, 6 + (COLUMN()-COLUMN($D$41))*3.5)
      ),
   ""))
)</f>
        <v/>
      </c>
      <c r="AY41" s="454" t="str">
        <f ca="1">IF(AX16="","",IF(AX41="","",AX41))</f>
        <v/>
      </c>
      <c r="AZ41" s="442" t="str">
        <f ca="1">IF(AZ16="","",
   IF(AZ15="Ambulant","",
IFERROR(
      IF(
         INDEX('1b. Input productniveau'!$H:$H, 6 + (COLUMN()-COLUMN($D$41))*3.5) = "",
         "",
         INDEX('1b. Input productniveau'!$H:$H, 6 + (COLUMN()-COLUMN($D$41))*3.5)
      ),
   ""))
)</f>
        <v/>
      </c>
      <c r="BA41" s="454" t="str">
        <f ca="1">IF(AZ16="","",IF(AZ41="","",AZ41))</f>
        <v/>
      </c>
      <c r="BB41" s="442" t="str">
        <f ca="1">IF(BB16="","",
   IF(BB15="Ambulant","",
IFERROR(
      IF(
         INDEX('1b. Input productniveau'!$H:$H, 6 + (COLUMN()-COLUMN($D$41))*3.5) = "",
         "",
         INDEX('1b. Input productniveau'!$H:$H, 6 + (COLUMN()-COLUMN($D$41))*3.5)
      ),
   ""))
)</f>
        <v/>
      </c>
      <c r="BC41" s="454" t="str">
        <f ca="1">IF(BB16="","",IF(BB41="","",BB41))</f>
        <v/>
      </c>
      <c r="BD41" s="442" t="str">
        <f ca="1">IF(BD16="","",
   IF(BD15="Ambulant","",
IFERROR(
      IF(
         INDEX('1b. Input productniveau'!$H:$H, 6 + (COLUMN()-COLUMN($D$41))*3.5) = "",
         "",
         INDEX('1b. Input productniveau'!$H:$H, 6 + (COLUMN()-COLUMN($D$41))*3.5)
      ),
   ""))
)</f>
        <v/>
      </c>
      <c r="BE41" s="454" t="str">
        <f ca="1">IF(BD16="","",IF(BD41="","",BD41))</f>
        <v/>
      </c>
      <c r="BF41" s="442" t="str">
        <f ca="1">IF(BF16="","",
   IF(BF15="Ambulant","",
IFERROR(
      IF(
         INDEX('1b. Input productniveau'!$H:$H, 6 + (COLUMN()-COLUMN($D$41))*3.5) = "",
         "",
         INDEX('1b. Input productniveau'!$H:$H, 6 + (COLUMN()-COLUMN($D$41))*3.5)
      ),
   ""))
)</f>
        <v/>
      </c>
      <c r="BG41" s="454" t="str">
        <f ca="1">IF(BF16="","",IF(BF41="","",BF41))</f>
        <v/>
      </c>
      <c r="BH41" s="442" t="str">
        <f ca="1">IF(BH16="","",
   IF(BH15="Ambulant","",
IFERROR(
      IF(
         INDEX('1b. Input productniveau'!$H:$H, 6 + (COLUMN()-COLUMN($D$41))*3.5) = "",
         "",
         INDEX('1b. Input productniveau'!$H:$H, 6 + (COLUMN()-COLUMN($D$41))*3.5)
      ),
   ""))
)</f>
        <v/>
      </c>
      <c r="BI41" s="454" t="str">
        <f ca="1">IF(BH16="","",IF(BH41="","",BH41))</f>
        <v/>
      </c>
      <c r="BJ41" s="442" t="str">
        <f ca="1">IF(BJ16="","",
   IF(BJ15="Ambulant","",
IFERROR(
      IF(
         INDEX('1b. Input productniveau'!$H:$H, 6 + (COLUMN()-COLUMN($D$41))*3.5) = "",
         "",
         INDEX('1b. Input productniveau'!$H:$H, 6 + (COLUMN()-COLUMN($D$41))*3.5)
      ),
   ""))
)</f>
        <v/>
      </c>
      <c r="BK41" s="454" t="str">
        <f ca="1">IF(BJ16="","",IF(BJ41="","",BJ41))</f>
        <v/>
      </c>
      <c r="BL41" s="442" t="str">
        <f ca="1">IF(BL16="","",
   IF(BL15="Ambulant","",
IFERROR(
      IF(
         INDEX('1b. Input productniveau'!$H:$H, 6 + (COLUMN()-COLUMN($D$41))*3.5) = "",
         "",
         INDEX('1b. Input productniveau'!$H:$H, 6 + (COLUMN()-COLUMN($D$41))*3.5)
      ),
   ""))
)</f>
        <v/>
      </c>
      <c r="BM41" s="454" t="str">
        <f ca="1">IF(BL16="","",IF(BL41="","",BL41))</f>
        <v/>
      </c>
      <c r="BN41" s="442" t="str">
        <f ca="1">IF(BN16="","",
   IF(BN15="Ambulant","",
IFERROR(
      IF(
         INDEX('1b. Input productniveau'!$H:$H, 6 + (COLUMN()-COLUMN($D$41))*3.5) = "",
         "",
         INDEX('1b. Input productniveau'!$H:$H, 6 + (COLUMN()-COLUMN($D$41))*3.5)
      ),
   ""))
)</f>
        <v/>
      </c>
      <c r="BO41" s="454" t="str">
        <f ca="1">IF(BN16="","",IF(BN41="","",BN41))</f>
        <v/>
      </c>
      <c r="BP41" s="442" t="str">
        <f ca="1">IF(BP16="","",
   IF(BP15="Ambulant","",
IFERROR(
      IF(
         INDEX('1b. Input productniveau'!$H:$H, 6 + (COLUMN()-COLUMN($D$41))*3.5) = "",
         "",
         INDEX('1b. Input productniveau'!$H:$H, 6 + (COLUMN()-COLUMN($D$41))*3.5)
      ),
   ""))
)</f>
        <v/>
      </c>
      <c r="BQ41" s="454" t="str">
        <f ca="1">IF(BP16="","",IF(BP41="","",BP41))</f>
        <v/>
      </c>
      <c r="BR41" s="442" t="str">
        <f ca="1">IF(BR16="","",
   IF(BR15="Ambulant","",
IFERROR(
      IF(
         INDEX('1b. Input productniveau'!$H:$H, 6 + (COLUMN()-COLUMN($D$41))*3.5) = "",
         "",
         INDEX('1b. Input productniveau'!$H:$H, 6 + (COLUMN()-COLUMN($D$41))*3.5)
      ),
   ""))
)</f>
        <v/>
      </c>
      <c r="BS41" s="454" t="str">
        <f ca="1">IF(BR16="","",IF(BR41="","",BR41))</f>
        <v/>
      </c>
      <c r="BT41" s="442" t="str">
        <f ca="1">IF(BT16="","",
   IF(BT15="Ambulant","",
IFERROR(
      IF(
         INDEX('1b. Input productniveau'!$H:$H, 6 + (COLUMN()-COLUMN($D$41))*3.5) = "",
         "",
         INDEX('1b. Input productniveau'!$H:$H, 6 + (COLUMN()-COLUMN($D$41))*3.5)
      ),
   ""))
)</f>
        <v/>
      </c>
      <c r="BU41" s="454" t="str">
        <f ca="1">IF(BT16="","",IF(BT41="","",BT41))</f>
        <v/>
      </c>
      <c r="BV41" s="442" t="str">
        <f ca="1">IF(BV16="","",
   IF(BV15="Ambulant","",
IFERROR(
      IF(
         INDEX('1b. Input productniveau'!$H:$H, 6 + (COLUMN()-COLUMN($D$41))*3.5) = "",
         "",
         INDEX('1b. Input productniveau'!$H:$H, 6 + (COLUMN()-COLUMN($D$41))*3.5)
      ),
   ""))
)</f>
        <v/>
      </c>
      <c r="BW41" s="454" t="str">
        <f ca="1">IF(BV16="","",IF(BV41="","",BV41))</f>
        <v/>
      </c>
      <c r="BX41" s="442" t="str">
        <f ca="1">IF(BX16="","",
   IF(BX15="Ambulant","",
IFERROR(
      IF(
         INDEX('1b. Input productniveau'!$H:$H, 6 + (COLUMN()-COLUMN($D$41))*3.5) = "",
         "",
         INDEX('1b. Input productniveau'!$H:$H, 6 + (COLUMN()-COLUMN($D$41))*3.5)
      ),
   ""))
)</f>
        <v/>
      </c>
      <c r="BY41" s="454" t="str">
        <f ca="1">IF(BX16="","",IF(BX41="","",BX41))</f>
        <v/>
      </c>
      <c r="BZ41" s="442" t="str">
        <f ca="1">IF(BZ16="","",
   IF(BZ15="Ambulant","",
IFERROR(
      IF(
         INDEX('1b. Input productniveau'!$H:$H, 6 + (COLUMN()-COLUMN($D$41))*3.5) = "",
         "",
         INDEX('1b. Input productniveau'!$H:$H, 6 + (COLUMN()-COLUMN($D$41))*3.5)
      ),
   ""))
)</f>
        <v/>
      </c>
      <c r="CA41" s="454" t="str">
        <f ca="1">IF(BZ16="","",IF(BZ41="","",BZ41))</f>
        <v/>
      </c>
      <c r="CB41" s="442" t="str">
        <f ca="1">IF(CB16="","",
   IF(CB15="Ambulant","",
IFERROR(
      IF(
         INDEX('1b. Input productniveau'!$H:$H, 6 + (COLUMN()-COLUMN($D$41))*3.5) = "",
         "",
         INDEX('1b. Input productniveau'!$H:$H, 6 + (COLUMN()-COLUMN($D$41))*3.5)
      ),
   ""))
)</f>
        <v/>
      </c>
      <c r="CC41" s="454" t="str">
        <f ca="1">IF(CB16="","",IF(CB41="","",CB41))</f>
        <v/>
      </c>
      <c r="CD41" s="442" t="str">
        <f ca="1">IF(CD16="","",
   IF(CD15="Ambulant","",
IFERROR(
      IF(
         INDEX('1b. Input productniveau'!$H:$H, 6 + (COLUMN()-COLUMN($D$41))*3.5) = "",
         "",
         INDEX('1b. Input productniveau'!$H:$H, 6 + (COLUMN()-COLUMN($D$41))*3.5)
      ),
   ""))
)</f>
        <v/>
      </c>
      <c r="CE41" s="454" t="str">
        <f ca="1">IF(CD16="","",IF(CD41="","",CD41))</f>
        <v/>
      </c>
      <c r="CF41" s="320"/>
      <c r="CG41" s="289"/>
      <c r="CH41" s="289"/>
      <c r="CI41" s="289"/>
      <c r="CJ41" s="289"/>
      <c r="CK41" s="289"/>
      <c r="CL41" s="289"/>
      <c r="CM41" s="289"/>
      <c r="CN41" s="289"/>
      <c r="CO41" s="289"/>
      <c r="CP41" s="289"/>
      <c r="CQ41" s="289"/>
      <c r="CR41" s="289"/>
      <c r="CS41" s="289"/>
      <c r="CT41" s="289"/>
      <c r="CU41" s="289"/>
      <c r="CV41" s="289"/>
      <c r="CW41" s="289"/>
      <c r="CX41" s="289"/>
      <c r="CY41" s="289"/>
      <c r="CZ41" s="289"/>
    </row>
    <row r="42" spans="1:104" x14ac:dyDescent="0.45">
      <c r="A42" s="289"/>
      <c r="B42" s="545" t="str">
        <f>HYPERLINK(
  "#'6. Definities'!" &amp;
  INDEX('Hulp (definities)'!E:E,
        MATCH("Groepsgrootte (output)",'Hulp (definities)'!A:A,0)
  ),
  "Groepsgrootte"
)</f>
        <v>Groepsgrootte</v>
      </c>
      <c r="C42" s="442"/>
      <c r="D42" s="442" t="str">
        <f ca="1">IF(D16="","",
   IF(D15="Ambulant","",
IFERROR(
      IF(
         INDEX('1b. Input productniveau'!$H:$H, 7 + (COLUMN()-COLUMN($D$42))*3.5) = "",
         "",
         INDEX('1b. Input productniveau'!$H:$H, 7 + (COLUMN()-COLUMN($D$42))*3.5)
      ),
   ""))
)</f>
        <v/>
      </c>
      <c r="E42" s="454" t="str">
        <f ca="1">IF(D16="","",IF(D42="","",D42))</f>
        <v/>
      </c>
      <c r="F42" s="442" t="str">
        <f ca="1">IF(F16="","",
   IF(F15="Ambulant","",
IFERROR(
      IF(
         INDEX('1b. Input productniveau'!$H:$H, 7 + (COLUMN()-COLUMN($D$42))*3.5) = "",
         "",
         INDEX('1b. Input productniveau'!$H:$H, 7 + (COLUMN()-COLUMN($D$42))*3.5)
      ),
   ""))
)</f>
        <v/>
      </c>
      <c r="G42" s="454" t="str">
        <f ca="1">IF(F16="","",IF(F42="","",F42))</f>
        <v/>
      </c>
      <c r="H42" s="442" t="str">
        <f ca="1">IF(H16="","",
   IF(H15="Ambulant","",
IFERROR(
      IF(
         INDEX('1b. Input productniveau'!$H:$H, 7 + (COLUMN()-COLUMN($D$42))*3.5) = "",
         "",
         INDEX('1b. Input productniveau'!$H:$H, 7 + (COLUMN()-COLUMN($D$42))*3.5)
      ),
   ""))
)</f>
        <v/>
      </c>
      <c r="I42" s="454" t="str">
        <f ca="1">IF(H16="","",IF(H42="","",H42))</f>
        <v/>
      </c>
      <c r="J42" s="442" t="str">
        <f ca="1">IF(J16="","",
   IF(J15="Ambulant","",
IFERROR(
      IF(
         INDEX('1b. Input productniveau'!$H:$H, 7 + (COLUMN()-COLUMN($D$42))*3.5) = "",
         "",
         INDEX('1b. Input productniveau'!$H:$H, 7 + (COLUMN()-COLUMN($D$42))*3.5)
      ),
   ""))
)</f>
        <v/>
      </c>
      <c r="K42" s="454" t="str">
        <f ca="1">IF(J16="","",IF(J42="","",J42))</f>
        <v/>
      </c>
      <c r="L42" s="442" t="str">
        <f ca="1">IF(L16="","",
   IF(L15="Ambulant","",
IFERROR(
      IF(
         INDEX('1b. Input productniveau'!$H:$H, 7 + (COLUMN()-COLUMN($D$42))*3.5) = "",
         "",
         INDEX('1b. Input productniveau'!$H:$H, 7 + (COLUMN()-COLUMN($D$42))*3.5)
      ),
   ""))
)</f>
        <v/>
      </c>
      <c r="M42" s="454" t="str">
        <f ca="1">IF(L16="","",IF(L42="","",L42))</f>
        <v/>
      </c>
      <c r="N42" s="442" t="str">
        <f ca="1">IF(N16="","",
   IF(N15="Ambulant","",
IFERROR(
      IF(
         INDEX('1b. Input productniveau'!$H:$H, 7 + (COLUMN()-COLUMN($D$42))*3.5) = "",
         "",
         INDEX('1b. Input productniveau'!$H:$H, 7 + (COLUMN()-COLUMN($D$42))*3.5)
      ),
   ""))
)</f>
        <v/>
      </c>
      <c r="O42" s="454" t="str">
        <f ca="1">IF(N16="","",IF(N42="","",N42))</f>
        <v/>
      </c>
      <c r="P42" s="442" t="str">
        <f ca="1">IF(P16="","",
   IF(P15="Ambulant","",
IFERROR(
      IF(
         INDEX('1b. Input productniveau'!$H:$H, 7 + (COLUMN()-COLUMN($D$42))*3.5) = "",
         "",
         INDEX('1b. Input productniveau'!$H:$H, 7 + (COLUMN()-COLUMN($D$42))*3.5)
      ),
   ""))
)</f>
        <v/>
      </c>
      <c r="Q42" s="454" t="str">
        <f ca="1">IF(P16="","",IF(P42="","",P42))</f>
        <v/>
      </c>
      <c r="R42" s="442" t="str">
        <f ca="1">IF(R16="","",
   IF(R15="Ambulant","",
IFERROR(
      IF(
         INDEX('1b. Input productniveau'!$H:$H, 7 + (COLUMN()-COLUMN($D$42))*3.5) = "",
         "",
         INDEX('1b. Input productniveau'!$H:$H, 7 + (COLUMN()-COLUMN($D$42))*3.5)
      ),
   ""))
)</f>
        <v/>
      </c>
      <c r="S42" s="454" t="str">
        <f ca="1">IF(R16="","",IF(R42="","",R42))</f>
        <v/>
      </c>
      <c r="T42" s="442" t="str">
        <f ca="1">IF(T16="","",
   IF(T15="Ambulant","",
IFERROR(
      IF(
         INDEX('1b. Input productniveau'!$H:$H, 7 + (COLUMN()-COLUMN($D$42))*3.5) = "",
         "",
         INDEX('1b. Input productniveau'!$H:$H, 7 + (COLUMN()-COLUMN($D$42))*3.5)
      ),
   ""))
)</f>
        <v/>
      </c>
      <c r="U42" s="454" t="str">
        <f ca="1">IF(T16="","",IF(T42="","",T42))</f>
        <v/>
      </c>
      <c r="V42" s="442" t="str">
        <f ca="1">IF(V16="","",
   IF(V15="Ambulant","",
IFERROR(
      IF(
         INDEX('1b. Input productniveau'!$H:$H, 7 + (COLUMN()-COLUMN($D$42))*3.5) = "",
         "",
         INDEX('1b. Input productniveau'!$H:$H, 7 + (COLUMN()-COLUMN($D$42))*3.5)
      ),
   ""))
)</f>
        <v/>
      </c>
      <c r="W42" s="454" t="str">
        <f ca="1">IF(V16="","",IF(V42="","",V42))</f>
        <v/>
      </c>
      <c r="X42" s="442" t="str">
        <f ca="1">IF(X16="","",
   IF(X15="Ambulant","",
IFERROR(
      IF(
         INDEX('1b. Input productniveau'!$H:$H, 7 + (COLUMN()-COLUMN($D$42))*3.5) = "",
         "",
         INDEX('1b. Input productniveau'!$H:$H, 7 + (COLUMN()-COLUMN($D$42))*3.5)
      ),
   ""))
)</f>
        <v/>
      </c>
      <c r="Y42" s="454" t="str">
        <f ca="1">IF(X16="","",IF(X42="","",X42))</f>
        <v/>
      </c>
      <c r="Z42" s="442" t="str">
        <f ca="1">IF(Z16="","",
   IF(Z15="Ambulant","",
IFERROR(
      IF(
         INDEX('1b. Input productniveau'!$H:$H, 7 + (COLUMN()-COLUMN($D$42))*3.5) = "",
         "",
         INDEX('1b. Input productniveau'!$H:$H, 7 + (COLUMN()-COLUMN($D$42))*3.5)
      ),
   ""))
)</f>
        <v/>
      </c>
      <c r="AA42" s="454" t="str">
        <f ca="1">IF(Z16="","",IF(Z42="","",Z42))</f>
        <v/>
      </c>
      <c r="AB42" s="442" t="str">
        <f ca="1">IF(AB16="","",
   IF(AB15="Ambulant","",
IFERROR(
      IF(
         INDEX('1b. Input productniveau'!$H:$H, 7 + (COLUMN()-COLUMN($D$42))*3.5) = "",
         "",
         INDEX('1b. Input productniveau'!$H:$H, 7 + (COLUMN()-COLUMN($D$42))*3.5)
      ),
   ""))
)</f>
        <v/>
      </c>
      <c r="AC42" s="454" t="str">
        <f ca="1">IF(AB16="","",IF(AB42="","",AB42))</f>
        <v/>
      </c>
      <c r="AD42" s="442" t="str">
        <f ca="1">IF(AD16="","",
   IF(AD15="Ambulant","",
IFERROR(
      IF(
         INDEX('1b. Input productniveau'!$H:$H, 7 + (COLUMN()-COLUMN($D$42))*3.5) = "",
         "",
         INDEX('1b. Input productniveau'!$H:$H, 7 + (COLUMN()-COLUMN($D$42))*3.5)
      ),
   ""))
)</f>
        <v/>
      </c>
      <c r="AE42" s="454" t="str">
        <f ca="1">IF(AD16="","",IF(AD42="","",AD42))</f>
        <v/>
      </c>
      <c r="AF42" s="442" t="str">
        <f ca="1">IF(AF16="","",
   IF(AF15="Ambulant","",
IFERROR(
      IF(
         INDEX('1b. Input productniveau'!$H:$H, 7 + (COLUMN()-COLUMN($D$42))*3.5) = "",
         "",
         INDEX('1b. Input productniveau'!$H:$H, 7 + (COLUMN()-COLUMN($D$42))*3.5)
      ),
   ""))
)</f>
        <v/>
      </c>
      <c r="AG42" s="454" t="str">
        <f ca="1">IF(AF16="","",IF(AF42="","",AF42))</f>
        <v/>
      </c>
      <c r="AH42" s="442" t="str">
        <f ca="1">IF(AH16="","",
   IF(AH15="Ambulant","",
IFERROR(
      IF(
         INDEX('1b. Input productniveau'!$H:$H, 7 + (COLUMN()-COLUMN($D$42))*3.5) = "",
         "",
         INDEX('1b. Input productniveau'!$H:$H, 7 + (COLUMN()-COLUMN($D$42))*3.5)
      ),
   ""))
)</f>
        <v/>
      </c>
      <c r="AI42" s="454" t="str">
        <f ca="1">IF(AH16="","",IF(AH42="","",AH42))</f>
        <v/>
      </c>
      <c r="AJ42" s="442" t="str">
        <f ca="1">IF(AJ16="","",
   IF(AJ15="Ambulant","",
IFERROR(
      IF(
         INDEX('1b. Input productniveau'!$H:$H, 7 + (COLUMN()-COLUMN($D$42))*3.5) = "",
         "",
         INDEX('1b. Input productniveau'!$H:$H, 7 + (COLUMN()-COLUMN($D$42))*3.5)
      ),
   ""))
)</f>
        <v/>
      </c>
      <c r="AK42" s="454" t="str">
        <f ca="1">IF(AJ16="","",IF(AJ42="","",AJ42))</f>
        <v/>
      </c>
      <c r="AL42" s="442" t="str">
        <f ca="1">IF(AL16="","",
   IF(AL15="Ambulant","",
IFERROR(
      IF(
         INDEX('1b. Input productniveau'!$H:$H, 7 + (COLUMN()-COLUMN($D$42))*3.5) = "",
         "",
         INDEX('1b. Input productniveau'!$H:$H, 7 + (COLUMN()-COLUMN($D$42))*3.5)
      ),
   ""))
)</f>
        <v/>
      </c>
      <c r="AM42" s="454" t="str">
        <f ca="1">IF(AL16="","",IF(AL42="","",AL42))</f>
        <v/>
      </c>
      <c r="AN42" s="442" t="str">
        <f ca="1">IF(AN16="","",
   IF(AN15="Ambulant","",
IFERROR(
      IF(
         INDEX('1b. Input productniveau'!$H:$H, 7 + (COLUMN()-COLUMN($D$42))*3.5) = "",
         "",
         INDEX('1b. Input productniveau'!$H:$H, 7 + (COLUMN()-COLUMN($D$42))*3.5)
      ),
   ""))
)</f>
        <v/>
      </c>
      <c r="AO42" s="454" t="str">
        <f ca="1">IF(AN16="","",IF(AN42="","",AN42))</f>
        <v/>
      </c>
      <c r="AP42" s="442" t="str">
        <f ca="1">IF(AP16="","",
   IF(AP15="Ambulant","",
IFERROR(
      IF(
         INDEX('1b. Input productniveau'!$H:$H, 7 + (COLUMN()-COLUMN($D$42))*3.5) = "",
         "",
         INDEX('1b. Input productniveau'!$H:$H, 7 + (COLUMN()-COLUMN($D$42))*3.5)
      ),
   ""))
)</f>
        <v/>
      </c>
      <c r="AQ42" s="454" t="str">
        <f ca="1">IF(AP16="","",IF(AP42="","",AP42))</f>
        <v/>
      </c>
      <c r="AR42" s="442" t="str">
        <f ca="1">IF(AR16="","",
   IF(AR15="Ambulant","",
IFERROR(
      IF(
         INDEX('1b. Input productniveau'!$H:$H, 7 + (COLUMN()-COLUMN($D$42))*3.5) = "",
         "",
         INDEX('1b. Input productniveau'!$H:$H, 7 + (COLUMN()-COLUMN($D$42))*3.5)
      ),
   ""))
)</f>
        <v/>
      </c>
      <c r="AS42" s="454" t="str">
        <f ca="1">IF(AR16="","",IF(AR42="","",AR42))</f>
        <v/>
      </c>
      <c r="AT42" s="442" t="str">
        <f ca="1">IF(AT16="","",
   IF(AT15="Ambulant","",
IFERROR(
      IF(
         INDEX('1b. Input productniveau'!$H:$H, 7 + (COLUMN()-COLUMN($D$42))*3.5) = "",
         "",
         INDEX('1b. Input productniveau'!$H:$H, 7 + (COLUMN()-COLUMN($D$42))*3.5)
      ),
   ""))
)</f>
        <v/>
      </c>
      <c r="AU42" s="454" t="str">
        <f ca="1">IF(AT16="","",IF(AT42="","",AT42))</f>
        <v/>
      </c>
      <c r="AV42" s="442" t="str">
        <f ca="1">IF(AV16="","",
   IF(AV15="Ambulant","",
IFERROR(
      IF(
         INDEX('1b. Input productniveau'!$H:$H, 7 + (COLUMN()-COLUMN($D$42))*3.5) = "",
         "",
         INDEX('1b. Input productniveau'!$H:$H, 7 + (COLUMN()-COLUMN($D$42))*3.5)
      ),
   ""))
)</f>
        <v/>
      </c>
      <c r="AW42" s="454" t="str">
        <f ca="1">IF(AV16="","",IF(AV42="","",AV42))</f>
        <v/>
      </c>
      <c r="AX42" s="442" t="str">
        <f ca="1">IF(AX16="","",
   IF(AX15="Ambulant","",
IFERROR(
      IF(
         INDEX('1b. Input productniveau'!$H:$H, 7 + (COLUMN()-COLUMN($D$42))*3.5) = "",
         "",
         INDEX('1b. Input productniveau'!$H:$H, 7 + (COLUMN()-COLUMN($D$42))*3.5)
      ),
   ""))
)</f>
        <v/>
      </c>
      <c r="AY42" s="454" t="str">
        <f ca="1">IF(AX16="","",IF(AX42="","",AX42))</f>
        <v/>
      </c>
      <c r="AZ42" s="442" t="str">
        <f ca="1">IF(AZ16="","",
   IF(AZ15="Ambulant","",
IFERROR(
      IF(
         INDEX('1b. Input productniveau'!$H:$H, 7 + (COLUMN()-COLUMN($D$42))*3.5) = "",
         "",
         INDEX('1b. Input productniveau'!$H:$H, 7 + (COLUMN()-COLUMN($D$42))*3.5)
      ),
   ""))
)</f>
        <v/>
      </c>
      <c r="BA42" s="454" t="str">
        <f ca="1">IF(AZ16="","",IF(AZ42="","",AZ42))</f>
        <v/>
      </c>
      <c r="BB42" s="442" t="str">
        <f ca="1">IF(BB16="","",
   IF(BB15="Ambulant","",
IFERROR(
      IF(
         INDEX('1b. Input productniveau'!$H:$H, 7 + (COLUMN()-COLUMN($D$42))*3.5) = "",
         "",
         INDEX('1b. Input productniveau'!$H:$H, 7 + (COLUMN()-COLUMN($D$42))*3.5)
      ),
   ""))
)</f>
        <v/>
      </c>
      <c r="BC42" s="454" t="str">
        <f ca="1">IF(BB16="","",IF(BB42="","",BB42))</f>
        <v/>
      </c>
      <c r="BD42" s="442" t="str">
        <f ca="1">IF(BD16="","",
   IF(BD15="Ambulant","",
IFERROR(
      IF(
         INDEX('1b. Input productniveau'!$H:$H, 7 + (COLUMN()-COLUMN($D$42))*3.5) = "",
         "",
         INDEX('1b. Input productniveau'!$H:$H, 7 + (COLUMN()-COLUMN($D$42))*3.5)
      ),
   ""))
)</f>
        <v/>
      </c>
      <c r="BE42" s="454" t="str">
        <f ca="1">IF(BD16="","",IF(BD42="","",BD42))</f>
        <v/>
      </c>
      <c r="BF42" s="442" t="str">
        <f ca="1">IF(BF16="","",
   IF(BF15="Ambulant","",
IFERROR(
      IF(
         INDEX('1b. Input productniveau'!$H:$H, 7 + (COLUMN()-COLUMN($D$42))*3.5) = "",
         "",
         INDEX('1b. Input productniveau'!$H:$H, 7 + (COLUMN()-COLUMN($D$42))*3.5)
      ),
   ""))
)</f>
        <v/>
      </c>
      <c r="BG42" s="454" t="str">
        <f ca="1">IF(BF16="","",IF(BF42="","",BF42))</f>
        <v/>
      </c>
      <c r="BH42" s="442" t="str">
        <f ca="1">IF(BH16="","",
   IF(BH15="Ambulant","",
IFERROR(
      IF(
         INDEX('1b. Input productniveau'!$H:$H, 7 + (COLUMN()-COLUMN($D$42))*3.5) = "",
         "",
         INDEX('1b. Input productniveau'!$H:$H, 7 + (COLUMN()-COLUMN($D$42))*3.5)
      ),
   ""))
)</f>
        <v/>
      </c>
      <c r="BI42" s="454" t="str">
        <f ca="1">IF(BH16="","",IF(BH42="","",BH42))</f>
        <v/>
      </c>
      <c r="BJ42" s="442" t="str">
        <f ca="1">IF(BJ16="","",
   IF(BJ15="Ambulant","",
IFERROR(
      IF(
         INDEX('1b. Input productniveau'!$H:$H, 7 + (COLUMN()-COLUMN($D$42))*3.5) = "",
         "",
         INDEX('1b. Input productniveau'!$H:$H, 7 + (COLUMN()-COLUMN($D$42))*3.5)
      ),
   ""))
)</f>
        <v/>
      </c>
      <c r="BK42" s="454" t="str">
        <f ca="1">IF(BJ16="","",IF(BJ42="","",BJ42))</f>
        <v/>
      </c>
      <c r="BL42" s="442" t="str">
        <f ca="1">IF(BL16="","",
   IF(BL15="Ambulant","",
IFERROR(
      IF(
         INDEX('1b. Input productniveau'!$H:$H, 7 + (COLUMN()-COLUMN($D$42))*3.5) = "",
         "",
         INDEX('1b. Input productniveau'!$H:$H, 7 + (COLUMN()-COLUMN($D$42))*3.5)
      ),
   ""))
)</f>
        <v/>
      </c>
      <c r="BM42" s="454" t="str">
        <f ca="1">IF(BL16="","",IF(BL42="","",BL42))</f>
        <v/>
      </c>
      <c r="BN42" s="442" t="str">
        <f ca="1">IF(BN16="","",
   IF(BN15="Ambulant","",
IFERROR(
      IF(
         INDEX('1b. Input productniveau'!$H:$H, 7 + (COLUMN()-COLUMN($D$42))*3.5) = "",
         "",
         INDEX('1b. Input productniveau'!$H:$H, 7 + (COLUMN()-COLUMN($D$42))*3.5)
      ),
   ""))
)</f>
        <v/>
      </c>
      <c r="BO42" s="454" t="str">
        <f ca="1">IF(BN16="","",IF(BN42="","",BN42))</f>
        <v/>
      </c>
      <c r="BP42" s="442" t="str">
        <f ca="1">IF(BP16="","",
   IF(BP15="Ambulant","",
IFERROR(
      IF(
         INDEX('1b. Input productniveau'!$H:$H, 7 + (COLUMN()-COLUMN($D$42))*3.5) = "",
         "",
         INDEX('1b. Input productniveau'!$H:$H, 7 + (COLUMN()-COLUMN($D$42))*3.5)
      ),
   ""))
)</f>
        <v/>
      </c>
      <c r="BQ42" s="454" t="str">
        <f ca="1">IF(BP16="","",IF(BP42="","",BP42))</f>
        <v/>
      </c>
      <c r="BR42" s="442" t="str">
        <f ca="1">IF(BR16="","",
   IF(BR15="Ambulant","",
IFERROR(
      IF(
         INDEX('1b. Input productniveau'!$H:$H, 7 + (COLUMN()-COLUMN($D$42))*3.5) = "",
         "",
         INDEX('1b. Input productniveau'!$H:$H, 7 + (COLUMN()-COLUMN($D$42))*3.5)
      ),
   ""))
)</f>
        <v/>
      </c>
      <c r="BS42" s="454" t="str">
        <f ca="1">IF(BR16="","",IF(BR42="","",BR42))</f>
        <v/>
      </c>
      <c r="BT42" s="442" t="str">
        <f ca="1">IF(BT16="","",
   IF(BT15="Ambulant","",
IFERROR(
      IF(
         INDEX('1b. Input productniveau'!$H:$H, 7 + (COLUMN()-COLUMN($D$42))*3.5) = "",
         "",
         INDEX('1b. Input productniveau'!$H:$H, 7 + (COLUMN()-COLUMN($D$42))*3.5)
      ),
   ""))
)</f>
        <v/>
      </c>
      <c r="BU42" s="454" t="str">
        <f ca="1">IF(BT16="","",IF(BT42="","",BT42))</f>
        <v/>
      </c>
      <c r="BV42" s="442" t="str">
        <f ca="1">IF(BV16="","",
   IF(BV15="Ambulant","",
IFERROR(
      IF(
         INDEX('1b. Input productniveau'!$H:$H, 7 + (COLUMN()-COLUMN($D$42))*3.5) = "",
         "",
         INDEX('1b. Input productniveau'!$H:$H, 7 + (COLUMN()-COLUMN($D$42))*3.5)
      ),
   ""))
)</f>
        <v/>
      </c>
      <c r="BW42" s="454" t="str">
        <f ca="1">IF(BV16="","",IF(BV42="","",BV42))</f>
        <v/>
      </c>
      <c r="BX42" s="442" t="str">
        <f ca="1">IF(BX16="","",
   IF(BX15="Ambulant","",
IFERROR(
      IF(
         INDEX('1b. Input productniveau'!$H:$H, 7 + (COLUMN()-COLUMN($D$42))*3.5) = "",
         "",
         INDEX('1b. Input productniveau'!$H:$H, 7 + (COLUMN()-COLUMN($D$42))*3.5)
      ),
   ""))
)</f>
        <v/>
      </c>
      <c r="BY42" s="454" t="str">
        <f ca="1">IF(BX16="","",IF(BX42="","",BX42))</f>
        <v/>
      </c>
      <c r="BZ42" s="442" t="str">
        <f ca="1">IF(BZ16="","",
   IF(BZ15="Ambulant","",
IFERROR(
      IF(
         INDEX('1b. Input productniveau'!$H:$H, 7 + (COLUMN()-COLUMN($D$42))*3.5) = "",
         "",
         INDEX('1b. Input productniveau'!$H:$H, 7 + (COLUMN()-COLUMN($D$42))*3.5)
      ),
   ""))
)</f>
        <v/>
      </c>
      <c r="CA42" s="454" t="str">
        <f ca="1">IF(BZ16="","",IF(BZ42="","",BZ42))</f>
        <v/>
      </c>
      <c r="CB42" s="442" t="str">
        <f ca="1">IF(CB16="","",
   IF(CB15="Ambulant","",
IFERROR(
      IF(
         INDEX('1b. Input productniveau'!$H:$H, 7 + (COLUMN()-COLUMN($D$42))*3.5) = "",
         "",
         INDEX('1b. Input productniveau'!$H:$H, 7 + (COLUMN()-COLUMN($D$42))*3.5)
      ),
   ""))
)</f>
        <v/>
      </c>
      <c r="CC42" s="454" t="str">
        <f ca="1">IF(CB16="","",IF(CB42="","",CB42))</f>
        <v/>
      </c>
      <c r="CD42" s="442" t="str">
        <f ca="1">IF(CD16="","",
   IF(CD15="Ambulant","",
IFERROR(
      IF(
         INDEX('1b. Input productniveau'!$H:$H, 7 + (COLUMN()-COLUMN($D$42))*3.5) = "",
         "",
         INDEX('1b. Input productniveau'!$H:$H, 7 + (COLUMN()-COLUMN($D$42))*3.5)
      ),
   ""))
)</f>
        <v/>
      </c>
      <c r="CE42" s="454" t="str">
        <f ca="1">IF(CD16="","",IF(CD42="","",CD42))</f>
        <v/>
      </c>
      <c r="CF42" s="320"/>
      <c r="CG42" s="289"/>
      <c r="CH42" s="289"/>
      <c r="CI42" s="289"/>
      <c r="CJ42" s="289"/>
      <c r="CK42" s="289"/>
      <c r="CL42" s="289"/>
      <c r="CM42" s="289"/>
      <c r="CN42" s="289"/>
      <c r="CO42" s="289"/>
      <c r="CP42" s="289"/>
      <c r="CQ42" s="289"/>
      <c r="CR42" s="289"/>
      <c r="CS42" s="289"/>
      <c r="CT42" s="289"/>
      <c r="CU42" s="289"/>
      <c r="CV42" s="289"/>
      <c r="CW42" s="289"/>
      <c r="CX42" s="289"/>
      <c r="CY42" s="289"/>
      <c r="CZ42" s="289"/>
    </row>
    <row r="43" spans="1:104" x14ac:dyDescent="0.45">
      <c r="A43" s="289"/>
      <c r="B43" s="545" t="str">
        <f>HYPERLINK(
  "#'6. Definities'!" &amp;
  INDEX('Hulp (definities)'!E:E,
        MATCH("Effectieve groepsgrootte",'Hulp (definities)'!A:A,0)
  ),
  "Effectieve groepsgrootte"
)</f>
        <v>Effectieve groepsgrootte</v>
      </c>
      <c r="C43" s="442"/>
      <c r="D43" s="459" t="str">
        <f ca="1">IF(D16="","",
   IF(D15&lt;&gt;"Daghulp","",
IFERROR(
      IF(
         INDEX('1b. Input productniveau'!$E:$E, 9+ ((COLUMN()-COLUMN($D$76))/2)*7) = "",
         "",
         INDEX('1b. Input productniveau'!$E:$E, 9 + ((COLUMN()-COLUMN($D$76))/2)*7)
      ),
   ""))
)</f>
        <v/>
      </c>
      <c r="E43" s="467" t="str">
        <f ca="1">IF(D16="","",
IF(OR(E42="",D43=""),"",
E42*(1-D43)))</f>
        <v/>
      </c>
      <c r="F43" s="459" t="str">
        <f ca="1">IF(F16="","",
   IF(F15&lt;&gt;"Daghulp","",
IFERROR(
      IF(
         INDEX('1b. Input productniveau'!$E:$E, 9+ ((COLUMN()-COLUMN($D$76))/2)*7) = "",
         "",
         INDEX('1b. Input productniveau'!$E:$E, 9 + ((COLUMN()-COLUMN($D$76))/2)*7)
      ),
   ""))
)</f>
        <v/>
      </c>
      <c r="G43" s="467" t="str">
        <f ca="1">IF(F16="","",
IF(OR(G42="",F43=""),"",
G42*(1-F43)))</f>
        <v/>
      </c>
      <c r="H43" s="459" t="str">
        <f ca="1">IF(H16="","",
   IF(H15&lt;&gt;"Daghulp","",
IFERROR(
      IF(
         INDEX('1b. Input productniveau'!$E:$E, 9+ ((COLUMN()-COLUMN($D$76))/2)*7) = "",
         "",
         INDEX('1b. Input productniveau'!$E:$E, 9 + ((COLUMN()-COLUMN($D$76))/2)*7)
      ),
   ""))
)</f>
        <v/>
      </c>
      <c r="I43" s="467" t="str">
        <f ca="1">IF(H16="","",
IF(OR(I42="",H43=""),"",
I42*(1-H43)))</f>
        <v/>
      </c>
      <c r="J43" s="459" t="str">
        <f ca="1">IF(J16="","",
   IF(J15&lt;&gt;"Daghulp","",
IFERROR(
      IF(
         INDEX('1b. Input productniveau'!$E:$E, 9+ ((COLUMN()-COLUMN($D$76))/2)*7) = "",
         "",
         INDEX('1b. Input productniveau'!$E:$E, 9 + ((COLUMN()-COLUMN($D$76))/2)*7)
      ),
   ""))
)</f>
        <v/>
      </c>
      <c r="K43" s="467" t="str">
        <f ca="1">IF(J16="","",
IF(OR(K42="",J43=""),"",
K42*(1-J43)))</f>
        <v/>
      </c>
      <c r="L43" s="459" t="str">
        <f ca="1">IF(L16="","",
   IF(L15&lt;&gt;"Daghulp","",
IFERROR(
      IF(
         INDEX('1b. Input productniveau'!$E:$E, 9+ ((COLUMN()-COLUMN($D$76))/2)*7) = "",
         "",
         INDEX('1b. Input productniveau'!$E:$E, 9 + ((COLUMN()-COLUMN($D$76))/2)*7)
      ),
   ""))
)</f>
        <v/>
      </c>
      <c r="M43" s="467" t="str">
        <f ca="1">IF(L16="","",
IF(OR(M42="",L43=""),"",
M42*(1-L43)))</f>
        <v/>
      </c>
      <c r="N43" s="459" t="str">
        <f ca="1">IF(N16="","",
   IF(N15&lt;&gt;"Daghulp","",
IFERROR(
      IF(
         INDEX('1b. Input productniveau'!$E:$E, 9+ ((COLUMN()-COLUMN($D$76))/2)*7) = "",
         "",
         INDEX('1b. Input productniveau'!$E:$E, 9 + ((COLUMN()-COLUMN($D$76))/2)*7)
      ),
   ""))
)</f>
        <v/>
      </c>
      <c r="O43" s="467" t="str">
        <f ca="1">IF(N16="","",
IF(OR(O42="",N43=""),"",
O42*(1-N43)))</f>
        <v/>
      </c>
      <c r="P43" s="459" t="str">
        <f ca="1">IF(P16="","",
   IF(P15&lt;&gt;"Daghulp","",
IFERROR(
      IF(
         INDEX('1b. Input productniveau'!$E:$E, 9+ ((COLUMN()-COLUMN($D$76))/2)*7) = "",
         "",
         INDEX('1b. Input productniveau'!$E:$E, 9 + ((COLUMN()-COLUMN($D$76))/2)*7)
      ),
   ""))
)</f>
        <v/>
      </c>
      <c r="Q43" s="467" t="str">
        <f ca="1">IF(P16="","",
IF(OR(Q42="",P43=""),"",
Q42*(1-P43)))</f>
        <v/>
      </c>
      <c r="R43" s="459" t="str">
        <f ca="1">IF(R16="","",
   IF(R15&lt;&gt;"Daghulp","",
IFERROR(
      IF(
         INDEX('1b. Input productniveau'!$E:$E, 9+ ((COLUMN()-COLUMN($D$76))/2)*7) = "",
         "",
         INDEX('1b. Input productniveau'!$E:$E, 9 + ((COLUMN()-COLUMN($D$76))/2)*7)
      ),
   ""))
)</f>
        <v/>
      </c>
      <c r="S43" s="467" t="str">
        <f ca="1">IF(R16="","",
IF(OR(S42="",R43=""),"",
S42*(1-R43)))</f>
        <v/>
      </c>
      <c r="T43" s="459" t="str">
        <f ca="1">IF(T16="","",
   IF(T15&lt;&gt;"Daghulp","",
IFERROR(
      IF(
         INDEX('1b. Input productniveau'!$E:$E, 9+ ((COLUMN()-COLUMN($D$76))/2)*7) = "",
         "",
         INDEX('1b. Input productniveau'!$E:$E, 9 + ((COLUMN()-COLUMN($D$76))/2)*7)
      ),
   ""))
)</f>
        <v/>
      </c>
      <c r="U43" s="467" t="str">
        <f ca="1">IF(T16="","",
IF(OR(U42="",T43=""),"",
U42*(1-T43)))</f>
        <v/>
      </c>
      <c r="V43" s="459" t="str">
        <f ca="1">IF(V16="","",
   IF(V15&lt;&gt;"Daghulp","",
IFERROR(
      IF(
         INDEX('1b. Input productniveau'!$E:$E, 9+ ((COLUMN()-COLUMN($D$76))/2)*7) = "",
         "",
         INDEX('1b. Input productniveau'!$E:$E, 9 + ((COLUMN()-COLUMN($D$76))/2)*7)
      ),
   ""))
)</f>
        <v/>
      </c>
      <c r="W43" s="467" t="str">
        <f ca="1">IF(V16="","",
IF(OR(W42="",V43=""),"",
W42*(1-V43)))</f>
        <v/>
      </c>
      <c r="X43" s="459" t="str">
        <f ca="1">IF(X16="","",
   IF(X15&lt;&gt;"Daghulp","",
IFERROR(
      IF(
         INDEX('1b. Input productniveau'!$E:$E, 9+ ((COLUMN()-COLUMN($D$76))/2)*7) = "",
         "",
         INDEX('1b. Input productniveau'!$E:$E, 9 + ((COLUMN()-COLUMN($D$76))/2)*7)
      ),
   ""))
)</f>
        <v/>
      </c>
      <c r="Y43" s="467" t="str">
        <f ca="1">IF(X16="","",
IF(OR(Y42="",X43=""),"",
Y42*(1-X43)))</f>
        <v/>
      </c>
      <c r="Z43" s="459" t="str">
        <f ca="1">IF(Z16="","",
   IF(Z15&lt;&gt;"Daghulp","",
IFERROR(
      IF(
         INDEX('1b. Input productniveau'!$E:$E, 9+ ((COLUMN()-COLUMN($D$76))/2)*7) = "",
         "",
         INDEX('1b. Input productniveau'!$E:$E, 9 + ((COLUMN()-COLUMN($D$76))/2)*7)
      ),
   ""))
)</f>
        <v/>
      </c>
      <c r="AA43" s="467" t="str">
        <f ca="1">IF(Z16="","",
IF(OR(AA42="",Z43=""),"",
AA42*(1-Z43)))</f>
        <v/>
      </c>
      <c r="AB43" s="459" t="str">
        <f ca="1">IF(AB16="","",
   IF(AB15&lt;&gt;"Daghulp","",
IFERROR(
      IF(
         INDEX('1b. Input productniveau'!$E:$E, 9+ ((COLUMN()-COLUMN($D$76))/2)*7) = "",
         "",
         INDEX('1b. Input productniveau'!$E:$E, 9 + ((COLUMN()-COLUMN($D$76))/2)*7)
      ),
   ""))
)</f>
        <v/>
      </c>
      <c r="AC43" s="467" t="str">
        <f ca="1">IF(AB16="","",
IF(OR(AC42="",AB43=""),"",
AC42*(1-AB43)))</f>
        <v/>
      </c>
      <c r="AD43" s="459" t="str">
        <f ca="1">IF(AD16="","",
   IF(AD15&lt;&gt;"Daghulp","",
IFERROR(
      IF(
         INDEX('1b. Input productniveau'!$E:$E, 9+ ((COLUMN()-COLUMN($D$76))/2)*7) = "",
         "",
         INDEX('1b. Input productniveau'!$E:$E, 9 + ((COLUMN()-COLUMN($D$76))/2)*7)
      ),
   ""))
)</f>
        <v/>
      </c>
      <c r="AE43" s="467" t="str">
        <f ca="1">IF(AD16="","",
IF(OR(AE42="",AD43=""),"",
AE42*(1-AD43)))</f>
        <v/>
      </c>
      <c r="AF43" s="459" t="str">
        <f ca="1">IF(AF16="","",
   IF(AF15&lt;&gt;"Daghulp","",
IFERROR(
      IF(
         INDEX('1b. Input productniveau'!$E:$E, 9+ ((COLUMN()-COLUMN($D$76))/2)*7) = "",
         "",
         INDEX('1b. Input productniveau'!$E:$E, 9 + ((COLUMN()-COLUMN($D$76))/2)*7)
      ),
   ""))
)</f>
        <v/>
      </c>
      <c r="AG43" s="467" t="str">
        <f ca="1">IF(AF16="","",
IF(OR(AG42="",AF43=""),"",
AG42*(1-AF43)))</f>
        <v/>
      </c>
      <c r="AH43" s="459" t="str">
        <f ca="1">IF(AH16="","",
   IF(AH15&lt;&gt;"Daghulp","",
IFERROR(
      IF(
         INDEX('1b. Input productniveau'!$E:$E, 9+ ((COLUMN()-COLUMN($D$76))/2)*7) = "",
         "",
         INDEX('1b. Input productniveau'!$E:$E, 9 + ((COLUMN()-COLUMN($D$76))/2)*7)
      ),
   ""))
)</f>
        <v/>
      </c>
      <c r="AI43" s="467" t="str">
        <f ca="1">IF(AH16="","",
IF(OR(AI42="",AH43=""),"",
AI42*(1-AH43)))</f>
        <v/>
      </c>
      <c r="AJ43" s="459" t="str">
        <f ca="1">IF(AJ16="","",
   IF(AJ15&lt;&gt;"Daghulp","",
IFERROR(
      IF(
         INDEX('1b. Input productniveau'!$E:$E, 9+ ((COLUMN()-COLUMN($D$76))/2)*7) = "",
         "",
         INDEX('1b. Input productniveau'!$E:$E, 9 + ((COLUMN()-COLUMN($D$76))/2)*7)
      ),
   ""))
)</f>
        <v/>
      </c>
      <c r="AK43" s="467" t="str">
        <f ca="1">IF(AJ16="","",
IF(OR(AK42="",AJ43=""),"",
AK42*(1-AJ43)))</f>
        <v/>
      </c>
      <c r="AL43" s="459" t="str">
        <f ca="1">IF(AL16="","",
   IF(AL15&lt;&gt;"Daghulp","",
IFERROR(
      IF(
         INDEX('1b. Input productniveau'!$E:$E, 9+ ((COLUMN()-COLUMN($D$76))/2)*7) = "",
         "",
         INDEX('1b. Input productniveau'!$E:$E, 9 + ((COLUMN()-COLUMN($D$76))/2)*7)
      ),
   ""))
)</f>
        <v/>
      </c>
      <c r="AM43" s="467" t="str">
        <f ca="1">IF(AL16="","",
IF(OR(AM42="",AL43=""),"",
AM42*(1-AL43)))</f>
        <v/>
      </c>
      <c r="AN43" s="459" t="str">
        <f ca="1">IF(AN16="","",
   IF(AN15&lt;&gt;"Daghulp","",
IFERROR(
      IF(
         INDEX('1b. Input productniveau'!$E:$E, 9+ ((COLUMN()-COLUMN($D$76))/2)*7) = "",
         "",
         INDEX('1b. Input productniveau'!$E:$E, 9 + ((COLUMN()-COLUMN($D$76))/2)*7)
      ),
   ""))
)</f>
        <v/>
      </c>
      <c r="AO43" s="467" t="str">
        <f ca="1">IF(AN16="","",
IF(OR(AO42="",AN43=""),"",
AO42*(1-AN43)))</f>
        <v/>
      </c>
      <c r="AP43" s="459" t="str">
        <f ca="1">IF(AP16="","",
   IF(AP15&lt;&gt;"Daghulp","",
IFERROR(
      IF(
         INDEX('1b. Input productniveau'!$E:$E, 9+ ((COLUMN()-COLUMN($D$76))/2)*7) = "",
         "",
         INDEX('1b. Input productniveau'!$E:$E, 9 + ((COLUMN()-COLUMN($D$76))/2)*7)
      ),
   ""))
)</f>
        <v/>
      </c>
      <c r="AQ43" s="467" t="str">
        <f ca="1">IF(AP16="","",
IF(OR(AQ42="",AP43=""),"",
AQ42*(1-AP43)))</f>
        <v/>
      </c>
      <c r="AR43" s="459" t="str">
        <f ca="1">IF(AR16="","",
   IF(AR15&lt;&gt;"Daghulp","",
IFERROR(
      IF(
         INDEX('1b. Input productniveau'!$E:$E, 9+ ((COLUMN()-COLUMN($D$76))/2)*7) = "",
         "",
         INDEX('1b. Input productniveau'!$E:$E, 9 + ((COLUMN()-COLUMN($D$76))/2)*7)
      ),
   ""))
)</f>
        <v/>
      </c>
      <c r="AS43" s="467" t="str">
        <f ca="1">IF(AR16="","",
IF(OR(AS42="",AR43=""),"",
AS42*(1-AR43)))</f>
        <v/>
      </c>
      <c r="AT43" s="459" t="str">
        <f ca="1">IF(AT16="","",
   IF(AT15&lt;&gt;"Daghulp","",
IFERROR(
      IF(
         INDEX('1b. Input productniveau'!$E:$E, 9+ ((COLUMN()-COLUMN($D$76))/2)*7) = "",
         "",
         INDEX('1b. Input productniveau'!$E:$E, 9 + ((COLUMN()-COLUMN($D$76))/2)*7)
      ),
   ""))
)</f>
        <v/>
      </c>
      <c r="AU43" s="467" t="str">
        <f ca="1">IF(AT16="","",
IF(OR(AU42="",AT43=""),"",
AU42*(1-AT43)))</f>
        <v/>
      </c>
      <c r="AV43" s="459" t="str">
        <f ca="1">IF(AV16="","",
   IF(AV15&lt;&gt;"Daghulp","",
IFERROR(
      IF(
         INDEX('1b. Input productniveau'!$E:$E, 9+ ((COLUMN()-COLUMN($D$76))/2)*7) = "",
         "",
         INDEX('1b. Input productniveau'!$E:$E, 9 + ((COLUMN()-COLUMN($D$76))/2)*7)
      ),
   ""))
)</f>
        <v/>
      </c>
      <c r="AW43" s="467" t="str">
        <f ca="1">IF(AV16="","",
IF(OR(AW42="",AV43=""),"",
AW42*(1-AV43)))</f>
        <v/>
      </c>
      <c r="AX43" s="459" t="str">
        <f ca="1">IF(AX16="","",
   IF(AX15&lt;&gt;"Daghulp","",
IFERROR(
      IF(
         INDEX('1b. Input productniveau'!$E:$E, 9+ ((COLUMN()-COLUMN($D$76))/2)*7) = "",
         "",
         INDEX('1b. Input productniveau'!$E:$E, 9 + ((COLUMN()-COLUMN($D$76))/2)*7)
      ),
   ""))
)</f>
        <v/>
      </c>
      <c r="AY43" s="467" t="str">
        <f ca="1">IF(AX16="","",
IF(OR(AY42="",AX43=""),"",
AY42*(1-AX43)))</f>
        <v/>
      </c>
      <c r="AZ43" s="459" t="str">
        <f ca="1">IF(AZ16="","",
   IF(AZ15&lt;&gt;"Daghulp","",
IFERROR(
      IF(
         INDEX('1b. Input productniveau'!$E:$E, 9+ ((COLUMN()-COLUMN($D$76))/2)*7) = "",
         "",
         INDEX('1b. Input productniveau'!$E:$E, 9 + ((COLUMN()-COLUMN($D$76))/2)*7)
      ),
   ""))
)</f>
        <v/>
      </c>
      <c r="BA43" s="467" t="str">
        <f ca="1">IF(AZ16="","",
IF(OR(BA42="",AZ43=""),"",
BA42*(1-AZ43)))</f>
        <v/>
      </c>
      <c r="BB43" s="459" t="str">
        <f ca="1">IF(BB16="","",
   IF(BB15&lt;&gt;"Daghulp","",
IFERROR(
      IF(
         INDEX('1b. Input productniveau'!$E:$E, 9+ ((COLUMN()-COLUMN($D$76))/2)*7) = "",
         "",
         INDEX('1b. Input productniveau'!$E:$E, 9 + ((COLUMN()-COLUMN($D$76))/2)*7)
      ),
   ""))
)</f>
        <v/>
      </c>
      <c r="BC43" s="467" t="str">
        <f ca="1">IF(BB16="","",
IF(OR(BC42="",BB43=""),"",
BC42*(1-BB43)))</f>
        <v/>
      </c>
      <c r="BD43" s="459" t="str">
        <f ca="1">IF(BD16="","",
   IF(BD15&lt;&gt;"Daghulp","",
IFERROR(
      IF(
         INDEX('1b. Input productniveau'!$E:$E, 9+ ((COLUMN()-COLUMN($D$76))/2)*7) = "",
         "",
         INDEX('1b. Input productniveau'!$E:$E, 9 + ((COLUMN()-COLUMN($D$76))/2)*7)
      ),
   ""))
)</f>
        <v/>
      </c>
      <c r="BE43" s="467" t="str">
        <f ca="1">IF(BD16="","",
IF(OR(BE42="",BD43=""),"",
BE42*(1-BD43)))</f>
        <v/>
      </c>
      <c r="BF43" s="459" t="str">
        <f ca="1">IF(BF16="","",
   IF(BF15&lt;&gt;"Daghulp","",
IFERROR(
      IF(
         INDEX('1b. Input productniveau'!$E:$E, 9+ ((COLUMN()-COLUMN($D$76))/2)*7) = "",
         "",
         INDEX('1b. Input productniveau'!$E:$E, 9 + ((COLUMN()-COLUMN($D$76))/2)*7)
      ),
   ""))
)</f>
        <v/>
      </c>
      <c r="BG43" s="467" t="str">
        <f ca="1">IF(BF16="","",
IF(OR(BG42="",BF43=""),"",
BG42*(1-BF43)))</f>
        <v/>
      </c>
      <c r="BH43" s="459" t="str">
        <f ca="1">IF(BH16="","",
   IF(BH15&lt;&gt;"Daghulp","",
IFERROR(
      IF(
         INDEX('1b. Input productniveau'!$E:$E, 9+ ((COLUMN()-COLUMN($D$76))/2)*7) = "",
         "",
         INDEX('1b. Input productniveau'!$E:$E, 9 + ((COLUMN()-COLUMN($D$76))/2)*7)
      ),
   ""))
)</f>
        <v/>
      </c>
      <c r="BI43" s="467" t="str">
        <f ca="1">IF(BH16="","",
IF(OR(BI42="",BH43=""),"",
BI42*(1-BH43)))</f>
        <v/>
      </c>
      <c r="BJ43" s="459" t="str">
        <f ca="1">IF(BJ16="","",
   IF(BJ15&lt;&gt;"Daghulp","",
IFERROR(
      IF(
         INDEX('1b. Input productniveau'!$E:$E, 9+ ((COLUMN()-COLUMN($D$76))/2)*7) = "",
         "",
         INDEX('1b. Input productniveau'!$E:$E, 9 + ((COLUMN()-COLUMN($D$76))/2)*7)
      ),
   ""))
)</f>
        <v/>
      </c>
      <c r="BK43" s="467" t="str">
        <f ca="1">IF(BJ16="","",
IF(OR(BK42="",BJ43=""),"",
BK42*(1-BJ43)))</f>
        <v/>
      </c>
      <c r="BL43" s="459" t="str">
        <f ca="1">IF(BL16="","",
   IF(BL15&lt;&gt;"Daghulp","",
IFERROR(
      IF(
         INDEX('1b. Input productniveau'!$E:$E, 9+ ((COLUMN()-COLUMN($D$76))/2)*7) = "",
         "",
         INDEX('1b. Input productniveau'!$E:$E, 9 + ((COLUMN()-COLUMN($D$76))/2)*7)
      ),
   ""))
)</f>
        <v/>
      </c>
      <c r="BM43" s="467" t="str">
        <f ca="1">IF(BL16="","",
IF(OR(BM42="",BL43=""),"",
BM42*(1-BL43)))</f>
        <v/>
      </c>
      <c r="BN43" s="459" t="str">
        <f ca="1">IF(BN16="","",
   IF(BN15&lt;&gt;"Daghulp","",
IFERROR(
      IF(
         INDEX('1b. Input productniveau'!$E:$E, 9+ ((COLUMN()-COLUMN($D$76))/2)*7) = "",
         "",
         INDEX('1b. Input productniveau'!$E:$E, 9 + ((COLUMN()-COLUMN($D$76))/2)*7)
      ),
   ""))
)</f>
        <v/>
      </c>
      <c r="BO43" s="467" t="str">
        <f ca="1">IF(BN16="","",
IF(OR(BO42="",BN43=""),"",
BO42*(1-BN43)))</f>
        <v/>
      </c>
      <c r="BP43" s="459" t="str">
        <f ca="1">IF(BP16="","",
   IF(BP15&lt;&gt;"Daghulp","",
IFERROR(
      IF(
         INDEX('1b. Input productniveau'!$E:$E, 9+ ((COLUMN()-COLUMN($D$76))/2)*7) = "",
         "",
         INDEX('1b. Input productniveau'!$E:$E, 9 + ((COLUMN()-COLUMN($D$76))/2)*7)
      ),
   ""))
)</f>
        <v/>
      </c>
      <c r="BQ43" s="467" t="str">
        <f ca="1">IF(BP16="","",
IF(OR(BQ42="",BP43=""),"",
BQ42*(1-BP43)))</f>
        <v/>
      </c>
      <c r="BR43" s="459" t="str">
        <f ca="1">IF(BR16="","",
   IF(BR15&lt;&gt;"Daghulp","",
IFERROR(
      IF(
         INDEX('1b. Input productniveau'!$E:$E, 9+ ((COLUMN()-COLUMN($D$76))/2)*7) = "",
         "",
         INDEX('1b. Input productniveau'!$E:$E, 9 + ((COLUMN()-COLUMN($D$76))/2)*7)
      ),
   ""))
)</f>
        <v/>
      </c>
      <c r="BS43" s="467" t="str">
        <f ca="1">IF(BR16="","",
IF(OR(BS42="",BR43=""),"",
BS42*(1-BR43)))</f>
        <v/>
      </c>
      <c r="BT43" s="459" t="str">
        <f ca="1">IF(BT16="","",
   IF(BT15&lt;&gt;"Daghulp","",
IFERROR(
      IF(
         INDEX('1b. Input productniveau'!$E:$E, 9+ ((COLUMN()-COLUMN($D$76))/2)*7) = "",
         "",
         INDEX('1b. Input productniveau'!$E:$E, 9 + ((COLUMN()-COLUMN($D$76))/2)*7)
      ),
   ""))
)</f>
        <v/>
      </c>
      <c r="BU43" s="467" t="str">
        <f ca="1">IF(BT16="","",
IF(OR(BU42="",BT43=""),"",
BU42*(1-BT43)))</f>
        <v/>
      </c>
      <c r="BV43" s="459" t="str">
        <f ca="1">IF(BV16="","",
   IF(BV15&lt;&gt;"Daghulp","",
IFERROR(
      IF(
         INDEX('1b. Input productniveau'!$E:$E, 9+ ((COLUMN()-COLUMN($D$76))/2)*7) = "",
         "",
         INDEX('1b. Input productniveau'!$E:$E, 9 + ((COLUMN()-COLUMN($D$76))/2)*7)
      ),
   ""))
)</f>
        <v/>
      </c>
      <c r="BW43" s="467" t="str">
        <f ca="1">IF(BV16="","",
IF(OR(BW42="",BV43=""),"",
BW42*(1-BV43)))</f>
        <v/>
      </c>
      <c r="BX43" s="459" t="str">
        <f ca="1">IF(BX16="","",
   IF(BX15&lt;&gt;"Daghulp","",
IFERROR(
      IF(
         INDEX('1b. Input productniveau'!$E:$E, 9+ ((COLUMN()-COLUMN($D$76))/2)*7) = "",
         "",
         INDEX('1b. Input productniveau'!$E:$E, 9 + ((COLUMN()-COLUMN($D$76))/2)*7)
      ),
   ""))
)</f>
        <v/>
      </c>
      <c r="BY43" s="467" t="str">
        <f ca="1">IF(BX16="","",
IF(OR(BY42="",BX43=""),"",
BY42*(1-BX43)))</f>
        <v/>
      </c>
      <c r="BZ43" s="459" t="str">
        <f ca="1">IF(BZ16="","",
   IF(BZ15&lt;&gt;"Daghulp","",
IFERROR(
      IF(
         INDEX('1b. Input productniveau'!$E:$E, 9+ ((COLUMN()-COLUMN($D$76))/2)*7) = "",
         "",
         INDEX('1b. Input productniveau'!$E:$E, 9 + ((COLUMN()-COLUMN($D$76))/2)*7)
      ),
   ""))
)</f>
        <v/>
      </c>
      <c r="CA43" s="467" t="str">
        <f ca="1">IF(BZ16="","",
IF(OR(CA42="",BZ43=""),"",
CA42*(1-BZ43)))</f>
        <v/>
      </c>
      <c r="CB43" s="459" t="str">
        <f ca="1">IF(CB16="","",
   IF(CB15&lt;&gt;"Daghulp","",
IFERROR(
      IF(
         INDEX('1b. Input productniveau'!$E:$E, 9+ ((COLUMN()-COLUMN($D$76))/2)*7) = "",
         "",
         INDEX('1b. Input productniveau'!$E:$E, 9 + ((COLUMN()-COLUMN($D$76))/2)*7)
      ),
   ""))
)</f>
        <v/>
      </c>
      <c r="CC43" s="467" t="str">
        <f ca="1">IF(CB16="","",
IF(OR(CC42="",CB43=""),"",
CC42*(1-CB43)))</f>
        <v/>
      </c>
      <c r="CD43" s="459" t="str">
        <f ca="1">IF(CD16="","",
   IF(CD15&lt;&gt;"Daghulp","",
IFERROR(
      IF(
         INDEX('1b. Input productniveau'!$E:$E, 9+ ((COLUMN()-COLUMN($D$76))/2)*7) = "",
         "",
         INDEX('1b. Input productniveau'!$E:$E, 9 + ((COLUMN()-COLUMN($D$76))/2)*7)
      ),
   ""))
)</f>
        <v/>
      </c>
      <c r="CE43" s="467" t="str">
        <f ca="1">IF(CD16="","",
IF(OR(CE42="",CD43=""),"",
CE42*(1-CD43)))</f>
        <v/>
      </c>
      <c r="CF43" s="320"/>
      <c r="CG43" s="289"/>
      <c r="CH43" s="289"/>
      <c r="CI43" s="289"/>
      <c r="CJ43" s="289"/>
      <c r="CK43" s="289"/>
      <c r="CL43" s="289"/>
      <c r="CM43" s="289"/>
      <c r="CN43" s="289"/>
      <c r="CO43" s="289"/>
      <c r="CP43" s="289"/>
      <c r="CQ43" s="289"/>
      <c r="CR43" s="289"/>
      <c r="CS43" s="289"/>
      <c r="CT43" s="289"/>
      <c r="CU43" s="289"/>
      <c r="CV43" s="289"/>
      <c r="CW43" s="289"/>
      <c r="CX43" s="289"/>
      <c r="CY43" s="289"/>
      <c r="CZ43" s="289"/>
    </row>
    <row r="44" spans="1:104" x14ac:dyDescent="0.45">
      <c r="A44" s="289"/>
      <c r="B44" s="432" t="s">
        <v>73</v>
      </c>
      <c r="C44" s="442"/>
      <c r="D44" s="468" t="str">
        <f ca="1">IF(D16="","",
   IF(D15="Ambulant","",
IF(AND(
         ISNUMBER(INDEX('1b. Input productniveau'!$H:$H, 8 + (COLUMN()-COLUMN($D$44))*3.5)),
         ISNUMBER(INDEX('1b. Input productniveau'!$H:$H, 9 + (COLUMN()-COLUMN($D$44))*3.5))
      ),
      INDEX('1b. Input productniveau'!$H:$H, 8 + (COLUMN()-COLUMN($D$44))*3.5)
      +
      INDEX('1b. Input productniveau'!$H:$H, 9 + (COLUMN()-COLUMN($D$44))*3.5),
   ""))
)</f>
        <v/>
      </c>
      <c r="E44" s="469" t="str">
        <f ca="1">IF(D16="","",IF(D44="","",D44))</f>
        <v/>
      </c>
      <c r="F44" s="468" t="str">
        <f ca="1">IF(F16="","",
   IF(F15="Ambulant","",
IF(AND(
         ISNUMBER(INDEX('1b. Input productniveau'!$H:$H, 8 + (COLUMN()-COLUMN($D$44))*3.5)),
         ISNUMBER(INDEX('1b. Input productniveau'!$H:$H, 9 + (COLUMN()-COLUMN($D$44))*3.5))
      ),
      INDEX('1b. Input productniveau'!$H:$H, 8 + (COLUMN()-COLUMN($D$44))*3.5)
      +
      INDEX('1b. Input productniveau'!$H:$H, 9 + (COLUMN()-COLUMN($D$44))*3.5),
   ""))
)</f>
        <v/>
      </c>
      <c r="G44" s="469" t="str">
        <f ca="1">IF(F16="","",IF(F44="","",F44))</f>
        <v/>
      </c>
      <c r="H44" s="468" t="str">
        <f ca="1">IF(H16="","",
   IF(H15="Ambulant","",
IF(AND(
         ISNUMBER(INDEX('1b. Input productniveau'!$H:$H, 8 + (COLUMN()-COLUMN($D$44))*3.5)),
         ISNUMBER(INDEX('1b. Input productniveau'!$H:$H, 9 + (COLUMN()-COLUMN($D$44))*3.5))
      ),
      INDEX('1b. Input productniveau'!$H:$H, 8 + (COLUMN()-COLUMN($D$44))*3.5)
      +
      INDEX('1b. Input productniveau'!$H:$H, 9 + (COLUMN()-COLUMN($D$44))*3.5),
   ""))
)</f>
        <v/>
      </c>
      <c r="I44" s="469" t="str">
        <f ca="1">IF(H16="","",IF(H44="","",H44))</f>
        <v/>
      </c>
      <c r="J44" s="468" t="str">
        <f ca="1">IF(J16="","",
   IF(J15="Ambulant","",
IF(AND(
         ISNUMBER(INDEX('1b. Input productniveau'!$H:$H, 8 + (COLUMN()-COLUMN($D$44))*3.5)),
         ISNUMBER(INDEX('1b. Input productniveau'!$H:$H, 9 + (COLUMN()-COLUMN($D$44))*3.5))
      ),
      INDEX('1b. Input productniveau'!$H:$H, 8 + (COLUMN()-COLUMN($D$44))*3.5)
      +
      INDEX('1b. Input productniveau'!$H:$H, 9 + (COLUMN()-COLUMN($D$44))*3.5),
   ""))
)</f>
        <v/>
      </c>
      <c r="K44" s="469" t="str">
        <f ca="1">IF(J16="","",IF(J44="","",J44))</f>
        <v/>
      </c>
      <c r="L44" s="468" t="str">
        <f ca="1">IF(L16="","",
   IF(L15="Ambulant","",
IF(AND(
         ISNUMBER(INDEX('1b. Input productniveau'!$H:$H, 8 + (COLUMN()-COLUMN($D$44))*3.5)),
         ISNUMBER(INDEX('1b. Input productniveau'!$H:$H, 9 + (COLUMN()-COLUMN($D$44))*3.5))
      ),
      INDEX('1b. Input productniveau'!$H:$H, 8 + (COLUMN()-COLUMN($D$44))*3.5)
      +
      INDEX('1b. Input productniveau'!$H:$H, 9 + (COLUMN()-COLUMN($D$44))*3.5),
   ""))
)</f>
        <v/>
      </c>
      <c r="M44" s="469" t="str">
        <f ca="1">IF(L16="","",IF(L44="","",L44))</f>
        <v/>
      </c>
      <c r="N44" s="468" t="str">
        <f ca="1">IF(N16="","",
   IF(N15="Ambulant","",
IF(AND(
         ISNUMBER(INDEX('1b. Input productniveau'!$H:$H, 8 + (COLUMN()-COLUMN($D$44))*3.5)),
         ISNUMBER(INDEX('1b. Input productniveau'!$H:$H, 9 + (COLUMN()-COLUMN($D$44))*3.5))
      ),
      INDEX('1b. Input productniveau'!$H:$H, 8 + (COLUMN()-COLUMN($D$44))*3.5)
      +
      INDEX('1b. Input productniveau'!$H:$H, 9 + (COLUMN()-COLUMN($D$44))*3.5),
   ""))
)</f>
        <v/>
      </c>
      <c r="O44" s="469" t="str">
        <f ca="1">IF(N16="","",IF(N44="","",N44))</f>
        <v/>
      </c>
      <c r="P44" s="468" t="str">
        <f ca="1">IF(P16="","",
   IF(P15="Ambulant","",
IF(AND(
         ISNUMBER(INDEX('1b. Input productniveau'!$H:$H, 8 + (COLUMN()-COLUMN($D$44))*3.5)),
         ISNUMBER(INDEX('1b. Input productniveau'!$H:$H, 9 + (COLUMN()-COLUMN($D$44))*3.5))
      ),
      INDEX('1b. Input productniveau'!$H:$H, 8 + (COLUMN()-COLUMN($D$44))*3.5)
      +
      INDEX('1b. Input productniveau'!$H:$H, 9 + (COLUMN()-COLUMN($D$44))*3.5),
   ""))
)</f>
        <v/>
      </c>
      <c r="Q44" s="469" t="str">
        <f ca="1">IF(P16="","",IF(P44="","",P44))</f>
        <v/>
      </c>
      <c r="R44" s="468" t="str">
        <f ca="1">IF(R16="","",
   IF(R15="Ambulant","",
IF(AND(
         ISNUMBER(INDEX('1b. Input productniveau'!$H:$H, 8 + (COLUMN()-COLUMN($D$44))*3.5)),
         ISNUMBER(INDEX('1b. Input productniveau'!$H:$H, 9 + (COLUMN()-COLUMN($D$44))*3.5))
      ),
      INDEX('1b. Input productniveau'!$H:$H, 8 + (COLUMN()-COLUMN($D$44))*3.5)
      +
      INDEX('1b. Input productniveau'!$H:$H, 9 + (COLUMN()-COLUMN($D$44))*3.5),
   ""))
)</f>
        <v/>
      </c>
      <c r="S44" s="469" t="str">
        <f ca="1">IF(R16="","",IF(R44="","",R44))</f>
        <v/>
      </c>
      <c r="T44" s="468" t="str">
        <f ca="1">IF(T16="","",
   IF(T15="Ambulant","",
IF(AND(
         ISNUMBER(INDEX('1b. Input productniveau'!$H:$H, 8 + (COLUMN()-COLUMN($D$44))*3.5)),
         ISNUMBER(INDEX('1b. Input productniveau'!$H:$H, 9 + (COLUMN()-COLUMN($D$44))*3.5))
      ),
      INDEX('1b. Input productniveau'!$H:$H, 8 + (COLUMN()-COLUMN($D$44))*3.5)
      +
      INDEX('1b. Input productniveau'!$H:$H, 9 + (COLUMN()-COLUMN($D$44))*3.5),
   ""))
)</f>
        <v/>
      </c>
      <c r="U44" s="469" t="str">
        <f ca="1">IF(T16="","",IF(T44="","",T44))</f>
        <v/>
      </c>
      <c r="V44" s="468" t="str">
        <f ca="1">IF(V16="","",
   IF(V15="Ambulant","",
IF(AND(
         ISNUMBER(INDEX('1b. Input productniveau'!$H:$H, 8 + (COLUMN()-COLUMN($D$44))*3.5)),
         ISNUMBER(INDEX('1b. Input productniveau'!$H:$H, 9 + (COLUMN()-COLUMN($D$44))*3.5))
      ),
      INDEX('1b. Input productniveau'!$H:$H, 8 + (COLUMN()-COLUMN($D$44))*3.5)
      +
      INDEX('1b. Input productniveau'!$H:$H, 9 + (COLUMN()-COLUMN($D$44))*3.5),
   ""))
)</f>
        <v/>
      </c>
      <c r="W44" s="469" t="str">
        <f ca="1">IF(V16="","",IF(V44="","",V44))</f>
        <v/>
      </c>
      <c r="X44" s="468" t="str">
        <f ca="1">IF(X16="","",
   IF(X15="Ambulant","",
IF(AND(
         ISNUMBER(INDEX('1b. Input productniveau'!$H:$H, 8 + (COLUMN()-COLUMN($D$44))*3.5)),
         ISNUMBER(INDEX('1b. Input productniveau'!$H:$H, 9 + (COLUMN()-COLUMN($D$44))*3.5))
      ),
      INDEX('1b. Input productniveau'!$H:$H, 8 + (COLUMN()-COLUMN($D$44))*3.5)
      +
      INDEX('1b. Input productniveau'!$H:$H, 9 + (COLUMN()-COLUMN($D$44))*3.5),
   ""))
)</f>
        <v/>
      </c>
      <c r="Y44" s="469" t="str">
        <f ca="1">IF(X16="","",IF(X44="","",X44))</f>
        <v/>
      </c>
      <c r="Z44" s="468" t="str">
        <f ca="1">IF(Z16="","",
   IF(Z15="Ambulant","",
IF(AND(
         ISNUMBER(INDEX('1b. Input productniveau'!$H:$H, 8 + (COLUMN()-COLUMN($D$44))*3.5)),
         ISNUMBER(INDEX('1b. Input productniveau'!$H:$H, 9 + (COLUMN()-COLUMN($D$44))*3.5))
      ),
      INDEX('1b. Input productniveau'!$H:$H, 8 + (COLUMN()-COLUMN($D$44))*3.5)
      +
      INDEX('1b. Input productniveau'!$H:$H, 9 + (COLUMN()-COLUMN($D$44))*3.5),
   ""))
)</f>
        <v/>
      </c>
      <c r="AA44" s="469" t="str">
        <f ca="1">IF(Z16="","",IF(Z44="","",Z44))</f>
        <v/>
      </c>
      <c r="AB44" s="468" t="str">
        <f ca="1">IF(AB16="","",
   IF(AB15="Ambulant","",
IF(AND(
         ISNUMBER(INDEX('1b. Input productniveau'!$H:$H, 8 + (COLUMN()-COLUMN($D$44))*3.5)),
         ISNUMBER(INDEX('1b. Input productniveau'!$H:$H, 9 + (COLUMN()-COLUMN($D$44))*3.5))
      ),
      INDEX('1b. Input productniveau'!$H:$H, 8 + (COLUMN()-COLUMN($D$44))*3.5)
      +
      INDEX('1b. Input productniveau'!$H:$H, 9 + (COLUMN()-COLUMN($D$44))*3.5),
   ""))
)</f>
        <v/>
      </c>
      <c r="AC44" s="469" t="str">
        <f ca="1">IF(AB16="","",IF(AB44="","",AB44))</f>
        <v/>
      </c>
      <c r="AD44" s="468" t="str">
        <f ca="1">IF(AD16="","",
   IF(AD15="Ambulant","",
IF(AND(
         ISNUMBER(INDEX('1b. Input productniveau'!$H:$H, 8 + (COLUMN()-COLUMN($D$44))*3.5)),
         ISNUMBER(INDEX('1b. Input productniveau'!$H:$H, 9 + (COLUMN()-COLUMN($D$44))*3.5))
      ),
      INDEX('1b. Input productniveau'!$H:$H, 8 + (COLUMN()-COLUMN($D$44))*3.5)
      +
      INDEX('1b. Input productniveau'!$H:$H, 9 + (COLUMN()-COLUMN($D$44))*3.5),
   ""))
)</f>
        <v/>
      </c>
      <c r="AE44" s="469" t="str">
        <f ca="1">IF(AD16="","",IF(AD44="","",AD44))</f>
        <v/>
      </c>
      <c r="AF44" s="468" t="str">
        <f ca="1">IF(AF16="","",
   IF(AF15="Ambulant","",
IF(AND(
         ISNUMBER(INDEX('1b. Input productniveau'!$H:$H, 8 + (COLUMN()-COLUMN($D$44))*3.5)),
         ISNUMBER(INDEX('1b. Input productniveau'!$H:$H, 9 + (COLUMN()-COLUMN($D$44))*3.5))
      ),
      INDEX('1b. Input productniveau'!$H:$H, 8 + (COLUMN()-COLUMN($D$44))*3.5)
      +
      INDEX('1b. Input productniveau'!$H:$H, 9 + (COLUMN()-COLUMN($D$44))*3.5),
   ""))
)</f>
        <v/>
      </c>
      <c r="AG44" s="469" t="str">
        <f ca="1">IF(AF16="","",IF(AF44="","",AF44))</f>
        <v/>
      </c>
      <c r="AH44" s="468" t="str">
        <f ca="1">IF(AH16="","",
   IF(AH15="Ambulant","",
IF(AND(
         ISNUMBER(INDEX('1b. Input productniveau'!$H:$H, 8 + (COLUMN()-COLUMN($D$44))*3.5)),
         ISNUMBER(INDEX('1b. Input productniveau'!$H:$H, 9 + (COLUMN()-COLUMN($D$44))*3.5))
      ),
      INDEX('1b. Input productniveau'!$H:$H, 8 + (COLUMN()-COLUMN($D$44))*3.5)
      +
      INDEX('1b. Input productniveau'!$H:$H, 9 + (COLUMN()-COLUMN($D$44))*3.5),
   ""))
)</f>
        <v/>
      </c>
      <c r="AI44" s="469" t="str">
        <f ca="1">IF(AH16="","",IF(AH44="","",AH44))</f>
        <v/>
      </c>
      <c r="AJ44" s="468" t="str">
        <f ca="1">IF(AJ16="","",
   IF(AJ15="Ambulant","",
IF(AND(
         ISNUMBER(INDEX('1b. Input productniveau'!$H:$H, 8 + (COLUMN()-COLUMN($D$44))*3.5)),
         ISNUMBER(INDEX('1b. Input productniveau'!$H:$H, 9 + (COLUMN()-COLUMN($D$44))*3.5))
      ),
      INDEX('1b. Input productniveau'!$H:$H, 8 + (COLUMN()-COLUMN($D$44))*3.5)
      +
      INDEX('1b. Input productniveau'!$H:$H, 9 + (COLUMN()-COLUMN($D$44))*3.5),
   ""))
)</f>
        <v/>
      </c>
      <c r="AK44" s="469" t="str">
        <f ca="1">IF(AJ16="","",IF(AJ44="","",AJ44))</f>
        <v/>
      </c>
      <c r="AL44" s="468" t="str">
        <f ca="1">IF(AL16="","",
   IF(AL15="Ambulant","",
IF(AND(
         ISNUMBER(INDEX('1b. Input productniveau'!$H:$H, 8 + (COLUMN()-COLUMN($D$44))*3.5)),
         ISNUMBER(INDEX('1b. Input productniveau'!$H:$H, 9 + (COLUMN()-COLUMN($D$44))*3.5))
      ),
      INDEX('1b. Input productniveau'!$H:$H, 8 + (COLUMN()-COLUMN($D$44))*3.5)
      +
      INDEX('1b. Input productniveau'!$H:$H, 9 + (COLUMN()-COLUMN($D$44))*3.5),
   ""))
)</f>
        <v/>
      </c>
      <c r="AM44" s="469" t="str">
        <f ca="1">IF(AL16="","",IF(AL44="","",AL44))</f>
        <v/>
      </c>
      <c r="AN44" s="468" t="str">
        <f ca="1">IF(AN16="","",
   IF(AN15="Ambulant","",
IF(AND(
         ISNUMBER(INDEX('1b. Input productniveau'!$H:$H, 8 + (COLUMN()-COLUMN($D$44))*3.5)),
         ISNUMBER(INDEX('1b. Input productniveau'!$H:$H, 9 + (COLUMN()-COLUMN($D$44))*3.5))
      ),
      INDEX('1b. Input productniveau'!$H:$H, 8 + (COLUMN()-COLUMN($D$44))*3.5)
      +
      INDEX('1b. Input productniveau'!$H:$H, 9 + (COLUMN()-COLUMN($D$44))*3.5),
   ""))
)</f>
        <v/>
      </c>
      <c r="AO44" s="469" t="str">
        <f ca="1">IF(AN16="","",IF(AN44="","",AN44))</f>
        <v/>
      </c>
      <c r="AP44" s="468" t="str">
        <f ca="1">IF(AP16="","",
   IF(AP15="Ambulant","",
IF(AND(
         ISNUMBER(INDEX('1b. Input productniveau'!$H:$H, 8 + (COLUMN()-COLUMN($D$44))*3.5)),
         ISNUMBER(INDEX('1b. Input productniveau'!$H:$H, 9 + (COLUMN()-COLUMN($D$44))*3.5))
      ),
      INDEX('1b. Input productniveau'!$H:$H, 8 + (COLUMN()-COLUMN($D$44))*3.5)
      +
      INDEX('1b. Input productniveau'!$H:$H, 9 + (COLUMN()-COLUMN($D$44))*3.5),
   ""))
)</f>
        <v/>
      </c>
      <c r="AQ44" s="469" t="str">
        <f ca="1">IF(AP16="","",IF(AP44="","",AP44))</f>
        <v/>
      </c>
      <c r="AR44" s="468" t="str">
        <f ca="1">IF(AR16="","",
   IF(AR15="Ambulant","",
IF(AND(
         ISNUMBER(INDEX('1b. Input productniveau'!$H:$H, 8 + (COLUMN()-COLUMN($D$44))*3.5)),
         ISNUMBER(INDEX('1b. Input productniveau'!$H:$H, 9 + (COLUMN()-COLUMN($D$44))*3.5))
      ),
      INDEX('1b. Input productniveau'!$H:$H, 8 + (COLUMN()-COLUMN($D$44))*3.5)
      +
      INDEX('1b. Input productniveau'!$H:$H, 9 + (COLUMN()-COLUMN($D$44))*3.5),
   ""))
)</f>
        <v/>
      </c>
      <c r="AS44" s="469" t="str">
        <f ca="1">IF(AR16="","",IF(AR44="","",AR44))</f>
        <v/>
      </c>
      <c r="AT44" s="468" t="str">
        <f ca="1">IF(AT16="","",
   IF(AT15="Ambulant","",
IF(AND(
         ISNUMBER(INDEX('1b. Input productniveau'!$H:$H, 8 + (COLUMN()-COLUMN($D$44))*3.5)),
         ISNUMBER(INDEX('1b. Input productniveau'!$H:$H, 9 + (COLUMN()-COLUMN($D$44))*3.5))
      ),
      INDEX('1b. Input productniveau'!$H:$H, 8 + (COLUMN()-COLUMN($D$44))*3.5)
      +
      INDEX('1b. Input productniveau'!$H:$H, 9 + (COLUMN()-COLUMN($D$44))*3.5),
   ""))
)</f>
        <v/>
      </c>
      <c r="AU44" s="469" t="str">
        <f ca="1">IF(AT16="","",IF(AT44="","",AT44))</f>
        <v/>
      </c>
      <c r="AV44" s="468" t="str">
        <f ca="1">IF(AV16="","",
   IF(AV15="Ambulant","",
IF(AND(
         ISNUMBER(INDEX('1b. Input productniveau'!$H:$H, 8 + (COLUMN()-COLUMN($D$44))*3.5)),
         ISNUMBER(INDEX('1b. Input productniveau'!$H:$H, 9 + (COLUMN()-COLUMN($D$44))*3.5))
      ),
      INDEX('1b. Input productniveau'!$H:$H, 8 + (COLUMN()-COLUMN($D$44))*3.5)
      +
      INDEX('1b. Input productniveau'!$H:$H, 9 + (COLUMN()-COLUMN($D$44))*3.5),
   ""))
)</f>
        <v/>
      </c>
      <c r="AW44" s="469" t="str">
        <f ca="1">IF(AV16="","",IF(AV44="","",AV44))</f>
        <v/>
      </c>
      <c r="AX44" s="468" t="str">
        <f ca="1">IF(AX16="","",
   IF(AX15="Ambulant","",
IF(AND(
         ISNUMBER(INDEX('1b. Input productniveau'!$H:$H, 8 + (COLUMN()-COLUMN($D$44))*3.5)),
         ISNUMBER(INDEX('1b. Input productniveau'!$H:$H, 9 + (COLUMN()-COLUMN($D$44))*3.5))
      ),
      INDEX('1b. Input productniveau'!$H:$H, 8 + (COLUMN()-COLUMN($D$44))*3.5)
      +
      INDEX('1b. Input productniveau'!$H:$H, 9 + (COLUMN()-COLUMN($D$44))*3.5),
   ""))
)</f>
        <v/>
      </c>
      <c r="AY44" s="469" t="str">
        <f ca="1">IF(AX16="","",IF(AX44="","",AX44))</f>
        <v/>
      </c>
      <c r="AZ44" s="468" t="str">
        <f ca="1">IF(AZ16="","",
   IF(AZ15="Ambulant","",
IF(AND(
         ISNUMBER(INDEX('1b. Input productniveau'!$H:$H, 8 + (COLUMN()-COLUMN($D$44))*3.5)),
         ISNUMBER(INDEX('1b. Input productniveau'!$H:$H, 9 + (COLUMN()-COLUMN($D$44))*3.5))
      ),
      INDEX('1b. Input productniveau'!$H:$H, 8 + (COLUMN()-COLUMN($D$44))*3.5)
      +
      INDEX('1b. Input productniveau'!$H:$H, 9 + (COLUMN()-COLUMN($D$44))*3.5),
   ""))
)</f>
        <v/>
      </c>
      <c r="BA44" s="469" t="str">
        <f ca="1">IF(AZ16="","",IF(AZ44="","",AZ44))</f>
        <v/>
      </c>
      <c r="BB44" s="468" t="str">
        <f ca="1">IF(BB16="","",
   IF(BB15="Ambulant","",
IF(AND(
         ISNUMBER(INDEX('1b. Input productniveau'!$H:$H, 8 + (COLUMN()-COLUMN($D$44))*3.5)),
         ISNUMBER(INDEX('1b. Input productniveau'!$H:$H, 9 + (COLUMN()-COLUMN($D$44))*3.5))
      ),
      INDEX('1b. Input productniveau'!$H:$H, 8 + (COLUMN()-COLUMN($D$44))*3.5)
      +
      INDEX('1b. Input productniveau'!$H:$H, 9 + (COLUMN()-COLUMN($D$44))*3.5),
   ""))
)</f>
        <v/>
      </c>
      <c r="BC44" s="469" t="str">
        <f ca="1">IF(BB16="","",IF(BB44="","",BB44))</f>
        <v/>
      </c>
      <c r="BD44" s="468" t="str">
        <f ca="1">IF(BD16="","",
   IF(BD15="Ambulant","",
IF(AND(
         ISNUMBER(INDEX('1b. Input productniveau'!$H:$H, 8 + (COLUMN()-COLUMN($D$44))*3.5)),
         ISNUMBER(INDEX('1b. Input productniveau'!$H:$H, 9 + (COLUMN()-COLUMN($D$44))*3.5))
      ),
      INDEX('1b. Input productniveau'!$H:$H, 8 + (COLUMN()-COLUMN($D$44))*3.5)
      +
      INDEX('1b. Input productniveau'!$H:$H, 9 + (COLUMN()-COLUMN($D$44))*3.5),
   ""))
)</f>
        <v/>
      </c>
      <c r="BE44" s="469" t="str">
        <f ca="1">IF(BD16="","",IF(BD44="","",BD44))</f>
        <v/>
      </c>
      <c r="BF44" s="468" t="str">
        <f ca="1">IF(BF16="","",
   IF(BF15="Ambulant","",
IF(AND(
         ISNUMBER(INDEX('1b. Input productniveau'!$H:$H, 8 + (COLUMN()-COLUMN($D$44))*3.5)),
         ISNUMBER(INDEX('1b. Input productniveau'!$H:$H, 9 + (COLUMN()-COLUMN($D$44))*3.5))
      ),
      INDEX('1b. Input productniveau'!$H:$H, 8 + (COLUMN()-COLUMN($D$44))*3.5)
      +
      INDEX('1b. Input productniveau'!$H:$H, 9 + (COLUMN()-COLUMN($D$44))*3.5),
   ""))
)</f>
        <v/>
      </c>
      <c r="BG44" s="469" t="str">
        <f ca="1">IF(BF16="","",IF(BF44="","",BF44))</f>
        <v/>
      </c>
      <c r="BH44" s="468" t="str">
        <f ca="1">IF(BH16="","",
   IF(BH15="Ambulant","",
IF(AND(
         ISNUMBER(INDEX('1b. Input productniveau'!$H:$H, 8 + (COLUMN()-COLUMN($D$44))*3.5)),
         ISNUMBER(INDEX('1b. Input productniveau'!$H:$H, 9 + (COLUMN()-COLUMN($D$44))*3.5))
      ),
      INDEX('1b. Input productniveau'!$H:$H, 8 + (COLUMN()-COLUMN($D$44))*3.5)
      +
      INDEX('1b. Input productniveau'!$H:$H, 9 + (COLUMN()-COLUMN($D$44))*3.5),
   ""))
)</f>
        <v/>
      </c>
      <c r="BI44" s="469" t="str">
        <f ca="1">IF(BH16="","",IF(BH44="","",BH44))</f>
        <v/>
      </c>
      <c r="BJ44" s="468" t="str">
        <f ca="1">IF(BJ16="","",
   IF(BJ15="Ambulant","",
IF(AND(
         ISNUMBER(INDEX('1b. Input productniveau'!$H:$H, 8 + (COLUMN()-COLUMN($D$44))*3.5)),
         ISNUMBER(INDEX('1b. Input productniveau'!$H:$H, 9 + (COLUMN()-COLUMN($D$44))*3.5))
      ),
      INDEX('1b. Input productniveau'!$H:$H, 8 + (COLUMN()-COLUMN($D$44))*3.5)
      +
      INDEX('1b. Input productniveau'!$H:$H, 9 + (COLUMN()-COLUMN($D$44))*3.5),
   ""))
)</f>
        <v/>
      </c>
      <c r="BK44" s="469" t="str">
        <f ca="1">IF(BJ16="","",IF(BJ44="","",BJ44))</f>
        <v/>
      </c>
      <c r="BL44" s="468" t="str">
        <f ca="1">IF(BL16="","",
   IF(BL15="Ambulant","",
IF(AND(
         ISNUMBER(INDEX('1b. Input productniveau'!$H:$H, 8 + (COLUMN()-COLUMN($D$44))*3.5)),
         ISNUMBER(INDEX('1b. Input productniveau'!$H:$H, 9 + (COLUMN()-COLUMN($D$44))*3.5))
      ),
      INDEX('1b. Input productniveau'!$H:$H, 8 + (COLUMN()-COLUMN($D$44))*3.5)
      +
      INDEX('1b. Input productniveau'!$H:$H, 9 + (COLUMN()-COLUMN($D$44))*3.5),
   ""))
)</f>
        <v/>
      </c>
      <c r="BM44" s="469" t="str">
        <f ca="1">IF(BL16="","",IF(BL44="","",BL44))</f>
        <v/>
      </c>
      <c r="BN44" s="468" t="str">
        <f ca="1">IF(BN16="","",
   IF(BN15="Ambulant","",
IF(AND(
         ISNUMBER(INDEX('1b. Input productniveau'!$H:$H, 8 + (COLUMN()-COLUMN($D$44))*3.5)),
         ISNUMBER(INDEX('1b. Input productniveau'!$H:$H, 9 + (COLUMN()-COLUMN($D$44))*3.5))
      ),
      INDEX('1b. Input productniveau'!$H:$H, 8 + (COLUMN()-COLUMN($D$44))*3.5)
      +
      INDEX('1b. Input productniveau'!$H:$H, 9 + (COLUMN()-COLUMN($D$44))*3.5),
   ""))
)</f>
        <v/>
      </c>
      <c r="BO44" s="469" t="str">
        <f ca="1">IF(BN16="","",IF(BN44="","",BN44))</f>
        <v/>
      </c>
      <c r="BP44" s="468" t="str">
        <f ca="1">IF(BP16="","",
   IF(BP15="Ambulant","",
IF(AND(
         ISNUMBER(INDEX('1b. Input productniveau'!$H:$H, 8 + (COLUMN()-COLUMN($D$44))*3.5)),
         ISNUMBER(INDEX('1b. Input productniveau'!$H:$H, 9 + (COLUMN()-COLUMN($D$44))*3.5))
      ),
      INDEX('1b. Input productniveau'!$H:$H, 8 + (COLUMN()-COLUMN($D$44))*3.5)
      +
      INDEX('1b. Input productniveau'!$H:$H, 9 + (COLUMN()-COLUMN($D$44))*3.5),
   ""))
)</f>
        <v/>
      </c>
      <c r="BQ44" s="469" t="str">
        <f ca="1">IF(BP16="","",IF(BP44="","",BP44))</f>
        <v/>
      </c>
      <c r="BR44" s="468" t="str">
        <f ca="1">IF(BR16="","",
   IF(BR15="Ambulant","",
IF(AND(
         ISNUMBER(INDEX('1b. Input productniveau'!$H:$H, 8 + (COLUMN()-COLUMN($D$44))*3.5)),
         ISNUMBER(INDEX('1b. Input productniveau'!$H:$H, 9 + (COLUMN()-COLUMN($D$44))*3.5))
      ),
      INDEX('1b. Input productniveau'!$H:$H, 8 + (COLUMN()-COLUMN($D$44))*3.5)
      +
      INDEX('1b. Input productniveau'!$H:$H, 9 + (COLUMN()-COLUMN($D$44))*3.5),
   ""))
)</f>
        <v/>
      </c>
      <c r="BS44" s="469" t="str">
        <f ca="1">IF(BR16="","",IF(BR44="","",BR44))</f>
        <v/>
      </c>
      <c r="BT44" s="468" t="str">
        <f ca="1">IF(BT16="","",
   IF(BT15="Ambulant","",
IF(AND(
         ISNUMBER(INDEX('1b. Input productniveau'!$H:$H, 8 + (COLUMN()-COLUMN($D$44))*3.5)),
         ISNUMBER(INDEX('1b. Input productniveau'!$H:$H, 9 + (COLUMN()-COLUMN($D$44))*3.5))
      ),
      INDEX('1b. Input productniveau'!$H:$H, 8 + (COLUMN()-COLUMN($D$44))*3.5)
      +
      INDEX('1b. Input productniveau'!$H:$H, 9 + (COLUMN()-COLUMN($D$44))*3.5),
   ""))
)</f>
        <v/>
      </c>
      <c r="BU44" s="469" t="str">
        <f ca="1">IF(BT16="","",IF(BT44="","",BT44))</f>
        <v/>
      </c>
      <c r="BV44" s="468" t="str">
        <f ca="1">IF(BV16="","",
   IF(BV15="Ambulant","",
IF(AND(
         ISNUMBER(INDEX('1b. Input productniveau'!$H:$H, 8 + (COLUMN()-COLUMN($D$44))*3.5)),
         ISNUMBER(INDEX('1b. Input productniveau'!$H:$H, 9 + (COLUMN()-COLUMN($D$44))*3.5))
      ),
      INDEX('1b. Input productniveau'!$H:$H, 8 + (COLUMN()-COLUMN($D$44))*3.5)
      +
      INDEX('1b. Input productniveau'!$H:$H, 9 + (COLUMN()-COLUMN($D$44))*3.5),
   ""))
)</f>
        <v/>
      </c>
      <c r="BW44" s="469" t="str">
        <f ca="1">IF(BV16="","",IF(BV44="","",BV44))</f>
        <v/>
      </c>
      <c r="BX44" s="468" t="str">
        <f ca="1">IF(BX16="","",
   IF(BX15="Ambulant","",
IF(AND(
         ISNUMBER(INDEX('1b. Input productniveau'!$H:$H, 8 + (COLUMN()-COLUMN($D$44))*3.5)),
         ISNUMBER(INDEX('1b. Input productniveau'!$H:$H, 9 + (COLUMN()-COLUMN($D$44))*3.5))
      ),
      INDEX('1b. Input productniveau'!$H:$H, 8 + (COLUMN()-COLUMN($D$44))*3.5)
      +
      INDEX('1b. Input productniveau'!$H:$H, 9 + (COLUMN()-COLUMN($D$44))*3.5),
   ""))
)</f>
        <v/>
      </c>
      <c r="BY44" s="469" t="str">
        <f ca="1">IF(BX16="","",IF(BX44="","",BX44))</f>
        <v/>
      </c>
      <c r="BZ44" s="468" t="str">
        <f ca="1">IF(BZ16="","",
   IF(BZ15="Ambulant","",
IF(AND(
         ISNUMBER(INDEX('1b. Input productniveau'!$H:$H, 8 + (COLUMN()-COLUMN($D$44))*3.5)),
         ISNUMBER(INDEX('1b. Input productniveau'!$H:$H, 9 + (COLUMN()-COLUMN($D$44))*3.5))
      ),
      INDEX('1b. Input productniveau'!$H:$H, 8 + (COLUMN()-COLUMN($D$44))*3.5)
      +
      INDEX('1b. Input productniveau'!$H:$H, 9 + (COLUMN()-COLUMN($D$44))*3.5),
   ""))
)</f>
        <v/>
      </c>
      <c r="CA44" s="469" t="str">
        <f ca="1">IF(BZ16="","",IF(BZ44="","",BZ44))</f>
        <v/>
      </c>
      <c r="CB44" s="468" t="str">
        <f ca="1">IF(CB16="","",
   IF(CB15="Ambulant","",
IF(AND(
         ISNUMBER(INDEX('1b. Input productniveau'!$H:$H, 8 + (COLUMN()-COLUMN($D$44))*3.5)),
         ISNUMBER(INDEX('1b. Input productniveau'!$H:$H, 9 + (COLUMN()-COLUMN($D$44))*3.5))
      ),
      INDEX('1b. Input productniveau'!$H:$H, 8 + (COLUMN()-COLUMN($D$44))*3.5)
      +
      INDEX('1b. Input productniveau'!$H:$H, 9 + (COLUMN()-COLUMN($D$44))*3.5),
   ""))
)</f>
        <v/>
      </c>
      <c r="CC44" s="469" t="str">
        <f ca="1">IF(CB16="","",IF(CB44="","",CB44))</f>
        <v/>
      </c>
      <c r="CD44" s="468" t="str">
        <f ca="1">IF(CD16="","",
   IF(CD15="Ambulant","",
IF(AND(
         ISNUMBER(INDEX('1b. Input productniveau'!$H:$H, 8 + (COLUMN()-COLUMN($D$44))*3.5)),
         ISNUMBER(INDEX('1b. Input productniveau'!$H:$H, 9 + (COLUMN()-COLUMN($D$44))*3.5))
      ),
      INDEX('1b. Input productniveau'!$H:$H, 8 + (COLUMN()-COLUMN($D$44))*3.5)
      +
      INDEX('1b. Input productniveau'!$H:$H, 9 + (COLUMN()-COLUMN($D$44))*3.5),
   ""))
)</f>
        <v/>
      </c>
      <c r="CE44" s="469" t="str">
        <f ca="1">IF(CD16="","",IF(CD44="","",CD44))</f>
        <v/>
      </c>
      <c r="CF44" s="320"/>
      <c r="CG44" s="289"/>
      <c r="CH44" s="289"/>
      <c r="CI44" s="289"/>
      <c r="CJ44" s="289"/>
      <c r="CK44" s="289"/>
      <c r="CL44" s="289"/>
      <c r="CM44" s="289"/>
      <c r="CN44" s="289"/>
      <c r="CO44" s="289"/>
      <c r="CP44" s="289"/>
      <c r="CQ44" s="289"/>
      <c r="CR44" s="289"/>
      <c r="CS44" s="289"/>
      <c r="CT44" s="289"/>
      <c r="CU44" s="289"/>
      <c r="CV44" s="289"/>
      <c r="CW44" s="289"/>
      <c r="CX44" s="289"/>
      <c r="CY44" s="289"/>
      <c r="CZ44" s="289"/>
    </row>
    <row r="45" spans="1:104" x14ac:dyDescent="0.45">
      <c r="A45" s="289"/>
      <c r="B45" s="392"/>
      <c r="C45" s="442"/>
      <c r="D45" s="470"/>
      <c r="E45" s="471"/>
      <c r="F45" s="470"/>
      <c r="G45" s="471"/>
      <c r="H45" s="470"/>
      <c r="I45" s="471"/>
      <c r="J45" s="470"/>
      <c r="K45" s="471"/>
      <c r="L45" s="470"/>
      <c r="M45" s="471"/>
      <c r="N45" s="470"/>
      <c r="O45" s="471"/>
      <c r="P45" s="470"/>
      <c r="Q45" s="471"/>
      <c r="R45" s="470"/>
      <c r="S45" s="471"/>
      <c r="T45" s="470"/>
      <c r="U45" s="471"/>
      <c r="V45" s="470"/>
      <c r="W45" s="471"/>
      <c r="X45" s="470"/>
      <c r="Y45" s="471"/>
      <c r="Z45" s="470"/>
      <c r="AA45" s="471"/>
      <c r="AB45" s="470"/>
      <c r="AC45" s="471"/>
      <c r="AD45" s="470"/>
      <c r="AE45" s="471"/>
      <c r="AF45" s="470"/>
      <c r="AG45" s="471"/>
      <c r="AH45" s="470"/>
      <c r="AI45" s="471"/>
      <c r="AJ45" s="470"/>
      <c r="AK45" s="471"/>
      <c r="AL45" s="470"/>
      <c r="AM45" s="471"/>
      <c r="AN45" s="470"/>
      <c r="AO45" s="471"/>
      <c r="AP45" s="470"/>
      <c r="AQ45" s="471"/>
      <c r="AR45" s="470"/>
      <c r="AS45" s="471"/>
      <c r="AT45" s="470"/>
      <c r="AU45" s="471"/>
      <c r="AV45" s="470"/>
      <c r="AW45" s="471"/>
      <c r="AX45" s="470"/>
      <c r="AY45" s="471"/>
      <c r="AZ45" s="470"/>
      <c r="BA45" s="471"/>
      <c r="BB45" s="470"/>
      <c r="BC45" s="471"/>
      <c r="BD45" s="470"/>
      <c r="BE45" s="471"/>
      <c r="BF45" s="470"/>
      <c r="BG45" s="471"/>
      <c r="BH45" s="470"/>
      <c r="BI45" s="471"/>
      <c r="BJ45" s="470"/>
      <c r="BK45" s="471"/>
      <c r="BL45" s="470"/>
      <c r="BM45" s="471"/>
      <c r="BN45" s="470"/>
      <c r="BO45" s="471"/>
      <c r="BP45" s="470"/>
      <c r="BQ45" s="471"/>
      <c r="BR45" s="470"/>
      <c r="BS45" s="471"/>
      <c r="BT45" s="470"/>
      <c r="BU45" s="471"/>
      <c r="BV45" s="470"/>
      <c r="BW45" s="471"/>
      <c r="BX45" s="470"/>
      <c r="BY45" s="471"/>
      <c r="BZ45" s="470"/>
      <c r="CA45" s="471"/>
      <c r="CB45" s="470"/>
      <c r="CC45" s="471"/>
      <c r="CD45" s="470"/>
      <c r="CE45" s="471"/>
      <c r="CF45" s="320"/>
      <c r="CG45" s="289"/>
      <c r="CH45" s="289"/>
      <c r="CI45" s="289"/>
      <c r="CJ45" s="289"/>
      <c r="CK45" s="289"/>
      <c r="CL45" s="289"/>
      <c r="CM45" s="289"/>
      <c r="CN45" s="289"/>
      <c r="CO45" s="289"/>
      <c r="CP45" s="289"/>
      <c r="CQ45" s="289"/>
      <c r="CR45" s="289"/>
      <c r="CS45" s="289"/>
      <c r="CT45" s="289"/>
      <c r="CU45" s="289"/>
      <c r="CV45" s="289"/>
      <c r="CW45" s="289"/>
      <c r="CX45" s="289"/>
      <c r="CY45" s="289"/>
      <c r="CZ45" s="289"/>
    </row>
    <row r="46" spans="1:104" ht="25.05" customHeight="1" x14ac:dyDescent="0.45">
      <c r="A46" s="289"/>
      <c r="B46" s="360" t="s">
        <v>725</v>
      </c>
      <c r="C46" s="449"/>
      <c r="D46" s="798" t="str">
        <f ca="1">IF(D16="","","Kostprijs "&amp;LOWER(IF(
  OR(
    INDEX('1a. Input organisatieniveau'!$AB:$AB, 7 + (COLUMN(A13) - 1)*0.5) = "",
    INDEX('1a. Input organisatieniveau'!$AB:$AB, 7 + (COLUMN(A13) - 1)*0.5) = 0
  ),
  "",
  INDEX('1a. Input organisatieniveau'!$AB:$AB, 7 + (COLUMN(A13) - 1)*0.5)
))&amp;", per cliënt")</f>
        <v/>
      </c>
      <c r="E46" s="799"/>
      <c r="F46" s="798" t="str">
        <f ca="1">IF(F16="","","Kostprijs "&amp;LOWER(IF(
  OR(
    INDEX('1a. Input organisatieniveau'!$AB:$AB, 7 + (COLUMN(C13) - 1)*0.5) = "",
    INDEX('1a. Input organisatieniveau'!$AB:$AB, 7 + (COLUMN(C13) - 1)*0.5) = 0
  ),
  "",
  INDEX('1a. Input organisatieniveau'!$AB:$AB, 7 + (COLUMN(C13) - 1)*0.5)
))&amp;", per cliënt")</f>
        <v/>
      </c>
      <c r="G46" s="799"/>
      <c r="H46" s="798" t="str">
        <f ca="1">IF(H16="","","Kostprijs "&amp;LOWER(IF(
  OR(
    INDEX('1a. Input organisatieniveau'!$AB:$AB, 7 + (COLUMN(E13) - 1)*0.5) = "",
    INDEX('1a. Input organisatieniveau'!$AB:$AB, 7 + (COLUMN(E13) - 1)*0.5) = 0
  ),
  "",
  INDEX('1a. Input organisatieniveau'!$AB:$AB, 7 + (COLUMN(E13) - 1)*0.5)
))&amp;", per cliënt")</f>
        <v/>
      </c>
      <c r="I46" s="799"/>
      <c r="J46" s="798" t="str">
        <f ca="1">IF(J16="","","Kostprijs "&amp;LOWER(IF(
  OR(
    INDEX('1a. Input organisatieniveau'!$AB:$AB, 7 + (COLUMN(G13) - 1)*0.5) = "",
    INDEX('1a. Input organisatieniveau'!$AB:$AB, 7 + (COLUMN(G13) - 1)*0.5) = 0
  ),
  "",
  INDEX('1a. Input organisatieniveau'!$AB:$AB, 7 + (COLUMN(G13) - 1)*0.5)
))&amp;", per cliënt")</f>
        <v/>
      </c>
      <c r="K46" s="799"/>
      <c r="L46" s="798" t="str">
        <f ca="1">IF(L16="","","Kostprijs "&amp;LOWER(IF(
  OR(
    INDEX('1a. Input organisatieniveau'!$AB:$AB, 7 + (COLUMN(I13) - 1)*0.5) = "",
    INDEX('1a. Input organisatieniveau'!$AB:$AB, 7 + (COLUMN(I13) - 1)*0.5) = 0
  ),
  "",
  INDEX('1a. Input organisatieniveau'!$AB:$AB, 7 + (COLUMN(I13) - 1)*0.5)
))&amp;", per cliënt")</f>
        <v/>
      </c>
      <c r="M46" s="799"/>
      <c r="N46" s="798" t="str">
        <f ca="1">IF(N16="","","Kostprijs "&amp;LOWER(IF(
  OR(
    INDEX('1a. Input organisatieniveau'!$AB:$AB, 7 + (COLUMN(K13) - 1)*0.5) = "",
    INDEX('1a. Input organisatieniveau'!$AB:$AB, 7 + (COLUMN(K13) - 1)*0.5) = 0
  ),
  "",
  INDEX('1a. Input organisatieniveau'!$AB:$AB, 7 + (COLUMN(K13) - 1)*0.5)
))&amp;", per cliënt")</f>
        <v/>
      </c>
      <c r="O46" s="799"/>
      <c r="P46" s="798" t="str">
        <f ca="1">IF(P16="","","Kostprijs "&amp;LOWER(IF(
  OR(
    INDEX('1a. Input organisatieniveau'!$AB:$AB, 7 + (COLUMN(M13) - 1)*0.5) = "",
    INDEX('1a. Input organisatieniveau'!$AB:$AB, 7 + (COLUMN(M13) - 1)*0.5) = 0
  ),
  "",
  INDEX('1a. Input organisatieniveau'!$AB:$AB, 7 + (COLUMN(M13) - 1)*0.5)
))&amp;", per cliënt")</f>
        <v/>
      </c>
      <c r="Q46" s="799"/>
      <c r="R46" s="798" t="str">
        <f ca="1">IF(R16="","","Kostprijs "&amp;LOWER(IF(
  OR(
    INDEX('1a. Input organisatieniveau'!$AB:$AB, 7 + (COLUMN(O13) - 1)*0.5) = "",
    INDEX('1a. Input organisatieniveau'!$AB:$AB, 7 + (COLUMN(O13) - 1)*0.5) = 0
  ),
  "",
  INDEX('1a. Input organisatieniveau'!$AB:$AB, 7 + (COLUMN(O13) - 1)*0.5)
))&amp;", per cliënt")</f>
        <v/>
      </c>
      <c r="S46" s="799"/>
      <c r="T46" s="798" t="str">
        <f ca="1">IF(T16="","","Kostprijs "&amp;LOWER(IF(
  OR(
    INDEX('1a. Input organisatieniveau'!$AB:$AB, 7 + (COLUMN(Q13) - 1)*0.5) = "",
    INDEX('1a. Input organisatieniveau'!$AB:$AB, 7 + (COLUMN(Q13) - 1)*0.5) = 0
  ),
  "",
  INDEX('1a. Input organisatieniveau'!$AB:$AB, 7 + (COLUMN(Q13) - 1)*0.5)
))&amp;", per cliënt")</f>
        <v/>
      </c>
      <c r="U46" s="799"/>
      <c r="V46" s="798" t="str">
        <f ca="1">IF(V16="","","Kostprijs "&amp;LOWER(IF(
  OR(
    INDEX('1a. Input organisatieniveau'!$AB:$AB, 7 + (COLUMN(S13) - 1)*0.5) = "",
    INDEX('1a. Input organisatieniveau'!$AB:$AB, 7 + (COLUMN(S13) - 1)*0.5) = 0
  ),
  "",
  INDEX('1a. Input organisatieniveau'!$AB:$AB, 7 + (COLUMN(S13) - 1)*0.5)
))&amp;", per cliënt")</f>
        <v/>
      </c>
      <c r="W46" s="799"/>
      <c r="X46" s="798" t="str">
        <f ca="1">IF(X16="","","Kostprijs "&amp;LOWER(IF(
  OR(
    INDEX('1a. Input organisatieniveau'!$AB:$AB, 7 + (COLUMN(U13) - 1)*0.5) = "",
    INDEX('1a. Input organisatieniveau'!$AB:$AB, 7 + (COLUMN(U13) - 1)*0.5) = 0
  ),
  "",
  INDEX('1a. Input organisatieniveau'!$AB:$AB, 7 + (COLUMN(U13) - 1)*0.5)
))&amp;", per cliënt")</f>
        <v/>
      </c>
      <c r="Y46" s="799"/>
      <c r="Z46" s="798" t="str">
        <f ca="1">IF(Z16="","","Kostprijs "&amp;LOWER(IF(
  OR(
    INDEX('1a. Input organisatieniveau'!$AB:$AB, 7 + (COLUMN(W13) - 1)*0.5) = "",
    INDEX('1a. Input organisatieniveau'!$AB:$AB, 7 + (COLUMN(W13) - 1)*0.5) = 0
  ),
  "",
  INDEX('1a. Input organisatieniveau'!$AB:$AB, 7 + (COLUMN(W13) - 1)*0.5)
))&amp;", per cliënt")</f>
        <v/>
      </c>
      <c r="AA46" s="799"/>
      <c r="AB46" s="798" t="str">
        <f ca="1">IF(AB16="","","Kostprijs "&amp;LOWER(IF(
  OR(
    INDEX('1a. Input organisatieniveau'!$AB:$AB, 7 + (COLUMN(Y13) - 1)*0.5) = "",
    INDEX('1a. Input organisatieniveau'!$AB:$AB, 7 + (COLUMN(Y13) - 1)*0.5) = 0
  ),
  "",
  INDEX('1a. Input organisatieniveau'!$AB:$AB, 7 + (COLUMN(Y13) - 1)*0.5)
))&amp;", per cliënt")</f>
        <v/>
      </c>
      <c r="AC46" s="799"/>
      <c r="AD46" s="798" t="str">
        <f ca="1">IF(AD16="","","Kostprijs "&amp;LOWER(IF(
  OR(
    INDEX('1a. Input organisatieniveau'!$AB:$AB, 7 + (COLUMN(AA13) - 1)*0.5) = "",
    INDEX('1a. Input organisatieniveau'!$AB:$AB, 7 + (COLUMN(AA13) - 1)*0.5) = 0
  ),
  "",
  INDEX('1a. Input organisatieniveau'!$AB:$AB, 7 + (COLUMN(AA13) - 1)*0.5)
))&amp;", per cliënt")</f>
        <v/>
      </c>
      <c r="AE46" s="799"/>
      <c r="AF46" s="798" t="str">
        <f ca="1">IF(AF16="","","Kostprijs "&amp;LOWER(IF(
  OR(
    INDEX('1a. Input organisatieniveau'!$AB:$AB, 7 + (COLUMN(AC13) - 1)*0.5) = "",
    INDEX('1a. Input organisatieniveau'!$AB:$AB, 7 + (COLUMN(AC13) - 1)*0.5) = 0
  ),
  "",
  INDEX('1a. Input organisatieniveau'!$AB:$AB, 7 + (COLUMN(AC13) - 1)*0.5)
))&amp;", per cliënt")</f>
        <v/>
      </c>
      <c r="AG46" s="799"/>
      <c r="AH46" s="798" t="str">
        <f ca="1">IF(AH16="","","Kostprijs "&amp;LOWER(IF(
  OR(
    INDEX('1a. Input organisatieniveau'!$AB:$AB, 7 + (COLUMN(AE13) - 1)*0.5) = "",
    INDEX('1a. Input organisatieniveau'!$AB:$AB, 7 + (COLUMN(AE13) - 1)*0.5) = 0
  ),
  "",
  INDEX('1a. Input organisatieniveau'!$AB:$AB, 7 + (COLUMN(AE13) - 1)*0.5)
))&amp;", per cliënt")</f>
        <v/>
      </c>
      <c r="AI46" s="799"/>
      <c r="AJ46" s="798" t="str">
        <f ca="1">IF(AJ16="","","Kostprijs "&amp;LOWER(IF(
  OR(
    INDEX('1a. Input organisatieniveau'!$AB:$AB, 7 + (COLUMN(AG13) - 1)*0.5) = "",
    INDEX('1a. Input organisatieniveau'!$AB:$AB, 7 + (COLUMN(AG13) - 1)*0.5) = 0
  ),
  "",
  INDEX('1a. Input organisatieniveau'!$AB:$AB, 7 + (COLUMN(AG13) - 1)*0.5)
))&amp;", per cliënt")</f>
        <v/>
      </c>
      <c r="AK46" s="799"/>
      <c r="AL46" s="798" t="str">
        <f ca="1">IF(AL16="","","Kostprijs "&amp;LOWER(IF(
  OR(
    INDEX('1a. Input organisatieniveau'!$AB:$AB, 7 + (COLUMN(AI13) - 1)*0.5) = "",
    INDEX('1a. Input organisatieniveau'!$AB:$AB, 7 + (COLUMN(AI13) - 1)*0.5) = 0
  ),
  "",
  INDEX('1a. Input organisatieniveau'!$AB:$AB, 7 + (COLUMN(AI13) - 1)*0.5)
))&amp;", per cliënt")</f>
        <v/>
      </c>
      <c r="AM46" s="799"/>
      <c r="AN46" s="798" t="str">
        <f ca="1">IF(AN16="","","Kostprijs "&amp;LOWER(IF(
  OR(
    INDEX('1a. Input organisatieniveau'!$AB:$AB, 7 + (COLUMN(AK13) - 1)*0.5) = "",
    INDEX('1a. Input organisatieniveau'!$AB:$AB, 7 + (COLUMN(AK13) - 1)*0.5) = 0
  ),
  "",
  INDEX('1a. Input organisatieniveau'!$AB:$AB, 7 + (COLUMN(AK13) - 1)*0.5)
))&amp;", per cliënt")</f>
        <v/>
      </c>
      <c r="AO46" s="799"/>
      <c r="AP46" s="798" t="str">
        <f ca="1">IF(AP16="","","Kostprijs "&amp;LOWER(IF(
  OR(
    INDEX('1a. Input organisatieniveau'!$AB:$AB, 7 + (COLUMN(AM13) - 1)*0.5) = "",
    INDEX('1a. Input organisatieniveau'!$AB:$AB, 7 + (COLUMN(AM13) - 1)*0.5) = 0
  ),
  "",
  INDEX('1a. Input organisatieniveau'!$AB:$AB, 7 + (COLUMN(AM13) - 1)*0.5)
))&amp;", per cliënt")</f>
        <v/>
      </c>
      <c r="AQ46" s="799"/>
      <c r="AR46" s="798" t="str">
        <f ca="1">IF(AR16="","","Kostprijs "&amp;LOWER(IF(
  OR(
    INDEX('1a. Input organisatieniveau'!$AB:$AB, 7 + (COLUMN(AO13) - 1)*0.5) = "",
    INDEX('1a. Input organisatieniveau'!$AB:$AB, 7 + (COLUMN(AO13) - 1)*0.5) = 0
  ),
  "",
  INDEX('1a. Input organisatieniveau'!$AB:$AB, 7 + (COLUMN(AO13) - 1)*0.5)
))&amp;", per cliënt")</f>
        <v/>
      </c>
      <c r="AS46" s="799"/>
      <c r="AT46" s="798" t="str">
        <f ca="1">IF(AT16="","","Kostprijs "&amp;LOWER(IF(
  OR(
    INDEX('1a. Input organisatieniveau'!$AB:$AB, 7 + (COLUMN(AQ13) - 1)*0.5) = "",
    INDEX('1a. Input organisatieniveau'!$AB:$AB, 7 + (COLUMN(AQ13) - 1)*0.5) = 0
  ),
  "",
  INDEX('1a. Input organisatieniveau'!$AB:$AB, 7 + (COLUMN(AQ13) - 1)*0.5)
))&amp;", per cliënt")</f>
        <v/>
      </c>
      <c r="AU46" s="799"/>
      <c r="AV46" s="798" t="str">
        <f ca="1">IF(AV16="","","Kostprijs "&amp;LOWER(IF(
  OR(
    INDEX('1a. Input organisatieniveau'!$AB:$AB, 7 + (COLUMN(AS13) - 1)*0.5) = "",
    INDEX('1a. Input organisatieniveau'!$AB:$AB, 7 + (COLUMN(AS13) - 1)*0.5) = 0
  ),
  "",
  INDEX('1a. Input organisatieniveau'!$AB:$AB, 7 + (COLUMN(AS13) - 1)*0.5)
))&amp;", per cliënt")</f>
        <v/>
      </c>
      <c r="AW46" s="799"/>
      <c r="AX46" s="798" t="str">
        <f ca="1">IF(AX16="","","Kostprijs "&amp;LOWER(IF(
  OR(
    INDEX('1a. Input organisatieniveau'!$AB:$AB, 7 + (COLUMN(AU13) - 1)*0.5) = "",
    INDEX('1a. Input organisatieniveau'!$AB:$AB, 7 + (COLUMN(AU13) - 1)*0.5) = 0
  ),
  "",
  INDEX('1a. Input organisatieniveau'!$AB:$AB, 7 + (COLUMN(AU13) - 1)*0.5)
))&amp;", per cliënt")</f>
        <v/>
      </c>
      <c r="AY46" s="799"/>
      <c r="AZ46" s="798" t="str">
        <f ca="1">IF(AZ16="","","Kostprijs "&amp;LOWER(IF(
  OR(
    INDEX('1a. Input organisatieniveau'!$AB:$AB, 7 + (COLUMN(AW13) - 1)*0.5) = "",
    INDEX('1a. Input organisatieniveau'!$AB:$AB, 7 + (COLUMN(AW13) - 1)*0.5) = 0
  ),
  "",
  INDEX('1a. Input organisatieniveau'!$AB:$AB, 7 + (COLUMN(AW13) - 1)*0.5)
))&amp;", per cliënt")</f>
        <v/>
      </c>
      <c r="BA46" s="799"/>
      <c r="BB46" s="798" t="str">
        <f ca="1">IF(BB16="","","Kostprijs "&amp;LOWER(IF(
  OR(
    INDEX('1a. Input organisatieniveau'!$AB:$AB, 7 + (COLUMN(AY13) - 1)*0.5) = "",
    INDEX('1a. Input organisatieniveau'!$AB:$AB, 7 + (COLUMN(AY13) - 1)*0.5) = 0
  ),
  "",
  INDEX('1a. Input organisatieniveau'!$AB:$AB, 7 + (COLUMN(AY13) - 1)*0.5)
))&amp;", per cliënt")</f>
        <v/>
      </c>
      <c r="BC46" s="799"/>
      <c r="BD46" s="798" t="str">
        <f ca="1">IF(BD16="","","Kostprijs "&amp;LOWER(IF(
  OR(
    INDEX('1a. Input organisatieniveau'!$AB:$AB, 7 + (COLUMN(BA13) - 1)*0.5) = "",
    INDEX('1a. Input organisatieniveau'!$AB:$AB, 7 + (COLUMN(BA13) - 1)*0.5) = 0
  ),
  "",
  INDEX('1a. Input organisatieniveau'!$AB:$AB, 7 + (COLUMN(BA13) - 1)*0.5)
))&amp;", per cliënt")</f>
        <v/>
      </c>
      <c r="BE46" s="799"/>
      <c r="BF46" s="798" t="str">
        <f ca="1">IF(BF16="","","Kostprijs "&amp;LOWER(IF(
  OR(
    INDEX('1a. Input organisatieniveau'!$AB:$AB, 7 + (COLUMN(BC13) - 1)*0.5) = "",
    INDEX('1a. Input organisatieniveau'!$AB:$AB, 7 + (COLUMN(BC13) - 1)*0.5) = 0
  ),
  "",
  INDEX('1a. Input organisatieniveau'!$AB:$AB, 7 + (COLUMN(BC13) - 1)*0.5)
))&amp;", per cliënt")</f>
        <v/>
      </c>
      <c r="BG46" s="799"/>
      <c r="BH46" s="798" t="str">
        <f ca="1">IF(BH16="","","Kostprijs "&amp;LOWER(IF(
  OR(
    INDEX('1a. Input organisatieniveau'!$AB:$AB, 7 + (COLUMN(BE13) - 1)*0.5) = "",
    INDEX('1a. Input organisatieniveau'!$AB:$AB, 7 + (COLUMN(BE13) - 1)*0.5) = 0
  ),
  "",
  INDEX('1a. Input organisatieniveau'!$AB:$AB, 7 + (COLUMN(BE13) - 1)*0.5)
))&amp;", per cliënt")</f>
        <v/>
      </c>
      <c r="BI46" s="799"/>
      <c r="BJ46" s="798" t="str">
        <f ca="1">IF(BJ16="","","Kostprijs "&amp;LOWER(IF(
  OR(
    INDEX('1a. Input organisatieniveau'!$AB:$AB, 7 + (COLUMN(BG13) - 1)*0.5) = "",
    INDEX('1a. Input organisatieniveau'!$AB:$AB, 7 + (COLUMN(BG13) - 1)*0.5) = 0
  ),
  "",
  INDEX('1a. Input organisatieniveau'!$AB:$AB, 7 + (COLUMN(BG13) - 1)*0.5)
))&amp;", per cliënt")</f>
        <v/>
      </c>
      <c r="BK46" s="799"/>
      <c r="BL46" s="798" t="str">
        <f ca="1">IF(BL16="","","Kostprijs "&amp;LOWER(IF(
  OR(
    INDEX('1a. Input organisatieniveau'!$AB:$AB, 7 + (COLUMN(BI13) - 1)*0.5) = "",
    INDEX('1a. Input organisatieniveau'!$AB:$AB, 7 + (COLUMN(BI13) - 1)*0.5) = 0
  ),
  "",
  INDEX('1a. Input organisatieniveau'!$AB:$AB, 7 + (COLUMN(BI13) - 1)*0.5)
))&amp;", per cliënt")</f>
        <v/>
      </c>
      <c r="BM46" s="799"/>
      <c r="BN46" s="798" t="str">
        <f ca="1">IF(BN16="","","Kostprijs "&amp;LOWER(IF(
  OR(
    INDEX('1a. Input organisatieniveau'!$AB:$AB, 7 + (COLUMN(BK13) - 1)*0.5) = "",
    INDEX('1a. Input organisatieniveau'!$AB:$AB, 7 + (COLUMN(BK13) - 1)*0.5) = 0
  ),
  "",
  INDEX('1a. Input organisatieniveau'!$AB:$AB, 7 + (COLUMN(BK13) - 1)*0.5)
))&amp;", per cliënt")</f>
        <v/>
      </c>
      <c r="BO46" s="799"/>
      <c r="BP46" s="798" t="str">
        <f ca="1">IF(BP16="","","Kostprijs "&amp;LOWER(IF(
  OR(
    INDEX('1a. Input organisatieniveau'!$AB:$AB, 7 + (COLUMN(BM13) - 1)*0.5) = "",
    INDEX('1a. Input organisatieniveau'!$AB:$AB, 7 + (COLUMN(BM13) - 1)*0.5) = 0
  ),
  "",
  INDEX('1a. Input organisatieniveau'!$AB:$AB, 7 + (COLUMN(BM13) - 1)*0.5)
))&amp;", per cliënt")</f>
        <v/>
      </c>
      <c r="BQ46" s="799"/>
      <c r="BR46" s="798" t="str">
        <f ca="1">IF(BR16="","","Kostprijs "&amp;LOWER(IF(
  OR(
    INDEX('1a. Input organisatieniveau'!$AB:$AB, 7 + (COLUMN(BO13) - 1)*0.5) = "",
    INDEX('1a. Input organisatieniveau'!$AB:$AB, 7 + (COLUMN(BO13) - 1)*0.5) = 0
  ),
  "",
  INDEX('1a. Input organisatieniveau'!$AB:$AB, 7 + (COLUMN(BO13) - 1)*0.5)
))&amp;", per cliënt")</f>
        <v/>
      </c>
      <c r="BS46" s="799"/>
      <c r="BT46" s="798" t="str">
        <f ca="1">IF(BT16="","","Kostprijs "&amp;LOWER(IF(
  OR(
    INDEX('1a. Input organisatieniveau'!$AB:$AB, 7 + (COLUMN(BQ13) - 1)*0.5) = "",
    INDEX('1a. Input organisatieniveau'!$AB:$AB, 7 + (COLUMN(BQ13) - 1)*0.5) = 0
  ),
  "",
  INDEX('1a. Input organisatieniveau'!$AB:$AB, 7 + (COLUMN(BQ13) - 1)*0.5)
))&amp;", per cliënt")</f>
        <v/>
      </c>
      <c r="BU46" s="799"/>
      <c r="BV46" s="798" t="str">
        <f ca="1">IF(BV16="","","Kostprijs "&amp;LOWER(IF(
  OR(
    INDEX('1a. Input organisatieniveau'!$AB:$AB, 7 + (COLUMN(BS13) - 1)*0.5) = "",
    INDEX('1a. Input organisatieniveau'!$AB:$AB, 7 + (COLUMN(BS13) - 1)*0.5) = 0
  ),
  "",
  INDEX('1a. Input organisatieniveau'!$AB:$AB, 7 + (COLUMN(BS13) - 1)*0.5)
))&amp;", per cliënt")</f>
        <v/>
      </c>
      <c r="BW46" s="799"/>
      <c r="BX46" s="798" t="str">
        <f ca="1">IF(BX16="","","Kostprijs "&amp;LOWER(IF(
  OR(
    INDEX('1a. Input organisatieniveau'!$AB:$AB, 7 + (COLUMN(BU13) - 1)*0.5) = "",
    INDEX('1a. Input organisatieniveau'!$AB:$AB, 7 + (COLUMN(BU13) - 1)*0.5) = 0
  ),
  "",
  INDEX('1a. Input organisatieniveau'!$AB:$AB, 7 + (COLUMN(BU13) - 1)*0.5)
))&amp;", per cliënt")</f>
        <v/>
      </c>
      <c r="BY46" s="799"/>
      <c r="BZ46" s="798" t="str">
        <f ca="1">IF(BZ16="","","Kostprijs "&amp;LOWER(IF(
  OR(
    INDEX('1a. Input organisatieniveau'!$AB:$AB, 7 + (COLUMN(BW13) - 1)*0.5) = "",
    INDEX('1a. Input organisatieniveau'!$AB:$AB, 7 + (COLUMN(BW13) - 1)*0.5) = 0
  ),
  "",
  INDEX('1a. Input organisatieniveau'!$AB:$AB, 7 + (COLUMN(BW13) - 1)*0.5)
))&amp;", per cliënt")</f>
        <v/>
      </c>
      <c r="CA46" s="799"/>
      <c r="CB46" s="798" t="str">
        <f ca="1">IF(CB16="","","Kostprijs "&amp;LOWER(IF(
  OR(
    INDEX('1a. Input organisatieniveau'!$AB:$AB, 7 + (COLUMN(BY13) - 1)*0.5) = "",
    INDEX('1a. Input organisatieniveau'!$AB:$AB, 7 + (COLUMN(BY13) - 1)*0.5) = 0
  ),
  "",
  INDEX('1a. Input organisatieniveau'!$AB:$AB, 7 + (COLUMN(BY13) - 1)*0.5)
))&amp;", per cliënt")</f>
        <v/>
      </c>
      <c r="CC46" s="799"/>
      <c r="CD46" s="798" t="str">
        <f ca="1">IF(CD16="","","Kostprijs "&amp;LOWER(IF(
  OR(
    INDEX('1a. Input organisatieniveau'!$AB:$AB, 7 + (COLUMN(CA13) - 1)*0.5) = "",
    INDEX('1a. Input organisatieniveau'!$AB:$AB, 7 + (COLUMN(CA13) - 1)*0.5) = 0
  ),
  "",
  INDEX('1a. Input organisatieniveau'!$AB:$AB, 7 + (COLUMN(CA13) - 1)*0.5)
))&amp;", per cliënt")</f>
        <v/>
      </c>
      <c r="CE46" s="799"/>
      <c r="CF46" s="320"/>
      <c r="CG46" s="289"/>
      <c r="CH46" s="289"/>
      <c r="CI46" s="289"/>
      <c r="CJ46" s="289"/>
      <c r="CK46" s="289"/>
      <c r="CL46" s="289"/>
      <c r="CM46" s="289"/>
      <c r="CN46" s="289"/>
      <c r="CO46" s="289"/>
      <c r="CP46" s="289"/>
      <c r="CQ46" s="289"/>
      <c r="CR46" s="289"/>
      <c r="CS46" s="289"/>
      <c r="CT46" s="289"/>
      <c r="CU46" s="289"/>
      <c r="CV46" s="289"/>
      <c r="CW46" s="289"/>
      <c r="CX46" s="289"/>
      <c r="CY46" s="289"/>
      <c r="CZ46" s="289"/>
    </row>
    <row r="47" spans="1:104" ht="25.05" customHeight="1" x14ac:dyDescent="0.45">
      <c r="A47" s="289"/>
      <c r="B47" s="392" t="s">
        <v>783</v>
      </c>
      <c r="C47" s="472"/>
      <c r="D47" s="796" t="str">
        <f ca="1">IF(
    D16="",
    "",
    IF(
        D15="Ambulant",E39/60,
        IF(OR(E41="", E42="", E44=""),"",
            (E39*E41 + IF(E43&lt;&gt;"",E43,E42)*E44) / IF(E43&lt;&gt;"",E43,E42)
        )
    )
)</f>
        <v/>
      </c>
      <c r="E47" s="797"/>
      <c r="F47" s="796" t="str">
        <f ca="1">IF(
    F16="",
    "",
    IF(
        F15="Ambulant",G39/60,
        IF(OR(G41="", G42="", G44=""),"",
            (G39*G41 + IF(G43&lt;&gt;"",G43,G42)*G44) / IF(G43&lt;&gt;"",G43,G42)
        )
    )
)</f>
        <v/>
      </c>
      <c r="G47" s="797"/>
      <c r="H47" s="796" t="str">
        <f ca="1">IF(
    H16="",
    "",
    IF(
        H15="Ambulant",I39/60,
        IF(OR(I41="", I42="", I44=""),"",
            (I39*I41 + IF(I43&lt;&gt;"",I43,I42)*I44) / IF(I43&lt;&gt;"",I43,I42)
        )
    )
)</f>
        <v/>
      </c>
      <c r="I47" s="797"/>
      <c r="J47" s="796" t="str">
        <f ca="1">IF(
    J16="",
    "",
    IF(
        J15="Ambulant",K39/60,
        IF(OR(K41="", K42="", K44=""),"",
            (K39*K41 + IF(K43&lt;&gt;"",K43,K42)*K44) / IF(K43&lt;&gt;"",K43,K42)
        )
    )
)</f>
        <v/>
      </c>
      <c r="K47" s="797"/>
      <c r="L47" s="796" t="str">
        <f ca="1">IF(
    L16="",
    "",
    IF(
        L15="Ambulant",M39/60,
        IF(OR(M41="", M42="", M44=""),"",
            (M39*M41 + IF(M43&lt;&gt;"",M43,M42)*M44) / IF(M43&lt;&gt;"",M43,M42)
        )
    )
)</f>
        <v/>
      </c>
      <c r="M47" s="797"/>
      <c r="N47" s="796" t="str">
        <f ca="1">IF(
    N16="",
    "",
    IF(
        N15="Ambulant",O39/60,
        IF(OR(O41="", O42="", O44=""),"",
            (O39*O41 + IF(O43&lt;&gt;"",O43,O42)*O44) / IF(O43&lt;&gt;"",O43,O42)
        )
    )
)</f>
        <v/>
      </c>
      <c r="O47" s="797"/>
      <c r="P47" s="796" t="str">
        <f ca="1">IF(
    P16="",
    "",
    IF(
        P15="Ambulant",Q39/60,
        IF(OR(Q41="", Q42="", Q44=""),"",
            (Q39*Q41 + IF(Q43&lt;&gt;"",Q43,Q42)*Q44) / IF(Q43&lt;&gt;"",Q43,Q42)
        )
    )
)</f>
        <v/>
      </c>
      <c r="Q47" s="797"/>
      <c r="R47" s="796" t="str">
        <f ca="1">IF(
    R16="",
    "",
    IF(
        R15="Ambulant",S39/60,
        IF(OR(S41="", S42="", S44=""),"",
            (S39*S41 + IF(S43&lt;&gt;"",S43,S42)*S44) / IF(S43&lt;&gt;"",S43,S42)
        )
    )
)</f>
        <v/>
      </c>
      <c r="S47" s="797"/>
      <c r="T47" s="796" t="str">
        <f ca="1">IF(
    T16="",
    "",
    IF(
        T15="Ambulant",U39/60,
        IF(OR(U41="", U42="", U44=""),"",
            (U39*U41 + IF(U43&lt;&gt;"",U43,U42)*U44) / IF(U43&lt;&gt;"",U43,U42)
        )
    )
)</f>
        <v/>
      </c>
      <c r="U47" s="797"/>
      <c r="V47" s="796" t="str">
        <f ca="1">IF(
    V16="",
    "",
    IF(
        V15="Ambulant",W39/60,
        IF(OR(W41="", W42="", W44=""),"",
            (W39*W41 + IF(W43&lt;&gt;"",W43,W42)*W44) / IF(W43&lt;&gt;"",W43,W42)
        )
    )
)</f>
        <v/>
      </c>
      <c r="W47" s="797"/>
      <c r="X47" s="796" t="str">
        <f ca="1">IF(
    X16="",
    "",
    IF(
        X15="Ambulant",Y39/60,
        IF(OR(Y41="", Y42="", Y44=""),"",
            (Y39*Y41 + IF(Y43&lt;&gt;"",Y43,Y42)*Y44) / IF(Y43&lt;&gt;"",Y43,Y42)
        )
    )
)</f>
        <v/>
      </c>
      <c r="Y47" s="797"/>
      <c r="Z47" s="796" t="str">
        <f ca="1">IF(
    Z16="",
    "",
    IF(
        Z15="Ambulant",AA39/60,
        IF(OR(AA41="", AA42="", AA44=""),"",
            (AA39*AA41 + IF(AA43&lt;&gt;"",AA43,AA42)*AA44) / IF(AA43&lt;&gt;"",AA43,AA42)
        )
    )
)</f>
        <v/>
      </c>
      <c r="AA47" s="797"/>
      <c r="AB47" s="796" t="str">
        <f ca="1">IF(
    AB16="",
    "",
    IF(
        AB15="Ambulant",AC39/60,
        IF(OR(AC41="", AC42="", AC44=""),"",
            (AC39*AC41 + IF(AC43&lt;&gt;"",AC43,AC42)*AC44) / IF(AC43&lt;&gt;"",AC43,AC42)
        )
    )
)</f>
        <v/>
      </c>
      <c r="AC47" s="797"/>
      <c r="AD47" s="796" t="str">
        <f ca="1">IF(
    AD16="",
    "",
    IF(
        AD15="Ambulant",AE39/60,
        IF(OR(AE41="", AE42="", AE44=""),"",
            (AE39*AE41 + IF(AE43&lt;&gt;"",AE43,AE42)*AE44) / IF(AE43&lt;&gt;"",AE43,AE42)
        )
    )
)</f>
        <v/>
      </c>
      <c r="AE47" s="797"/>
      <c r="AF47" s="796" t="str">
        <f ca="1">IF(
    AF16="",
    "",
    IF(
        AF15="Ambulant",AG39/60,
        IF(OR(AG41="", AG42="", AG44=""),"",
            (AG39*AG41 + IF(AG43&lt;&gt;"",AG43,AG42)*AG44) / IF(AG43&lt;&gt;"",AG43,AG42)
        )
    )
)</f>
        <v/>
      </c>
      <c r="AG47" s="797"/>
      <c r="AH47" s="796" t="str">
        <f ca="1">IF(
    AH16="",
    "",
    IF(
        AH15="Ambulant",AI39/60,
        IF(OR(AI41="", AI42="", AI44=""),"",
            (AI39*AI41 + IF(AI43&lt;&gt;"",AI43,AI42)*AI44) / IF(AI43&lt;&gt;"",AI43,AI42)
        )
    )
)</f>
        <v/>
      </c>
      <c r="AI47" s="797"/>
      <c r="AJ47" s="796" t="str">
        <f ca="1">IF(
    AJ16="",
    "",
    IF(
        AJ15="Ambulant",AK39/60,
        IF(OR(AK41="", AK42="", AK44=""),"",
            (AK39*AK41 + IF(AK43&lt;&gt;"",AK43,AK42)*AK44) / IF(AK43&lt;&gt;"",AK43,AK42)
        )
    )
)</f>
        <v/>
      </c>
      <c r="AK47" s="797"/>
      <c r="AL47" s="796" t="str">
        <f ca="1">IF(
    AL16="",
    "",
    IF(
        AL15="Ambulant",AM39/60,
        IF(OR(AM41="", AM42="", AM44=""),"",
            (AM39*AM41 + IF(AM43&lt;&gt;"",AM43,AM42)*AM44) / IF(AM43&lt;&gt;"",AM43,AM42)
        )
    )
)</f>
        <v/>
      </c>
      <c r="AM47" s="797"/>
      <c r="AN47" s="796" t="str">
        <f ca="1">IF(
    AN16="",
    "",
    IF(
        AN15="Ambulant",AO39/60,
        IF(OR(AO41="", AO42="", AO44=""),"",
            (AO39*AO41 + IF(AO43&lt;&gt;"",AO43,AO42)*AO44) / IF(AO43&lt;&gt;"",AO43,AO42)
        )
    )
)</f>
        <v/>
      </c>
      <c r="AO47" s="797"/>
      <c r="AP47" s="796" t="str">
        <f ca="1">IF(
    AP16="",
    "",
    IF(
        AP15="Ambulant",AQ39/60,
        IF(OR(AQ41="", AQ42="", AQ44=""),"",
            (AQ39*AQ41 + IF(AQ43&lt;&gt;"",AQ43,AQ42)*AQ44) / IF(AQ43&lt;&gt;"",AQ43,AQ42)
        )
    )
)</f>
        <v/>
      </c>
      <c r="AQ47" s="797"/>
      <c r="AR47" s="796" t="str">
        <f ca="1">IF(
    AR16="",
    "",
    IF(
        AR15="Ambulant",AS39/60,
        IF(OR(AS41="", AS42="", AS44=""),"",
            (AS39*AS41 + IF(AS43&lt;&gt;"",AS43,AS42)*AS44) / IF(AS43&lt;&gt;"",AS43,AS42)
        )
    )
)</f>
        <v/>
      </c>
      <c r="AS47" s="797"/>
      <c r="AT47" s="796" t="str">
        <f ca="1">IF(
    AT16="",
    "",
    IF(
        AT15="Ambulant",AU39/60,
        IF(OR(AU41="", AU42="", AU44=""),"",
            (AU39*AU41 + IF(AU43&lt;&gt;"",AU43,AU42)*AU44) / IF(AU43&lt;&gt;"",AU43,AU42)
        )
    )
)</f>
        <v/>
      </c>
      <c r="AU47" s="797"/>
      <c r="AV47" s="796" t="str">
        <f ca="1">IF(
    AV16="",
    "",
    IF(
        AV15="Ambulant",AW39/60,
        IF(OR(AW41="", AW42="", AW44=""),"",
            (AW39*AW41 + IF(AW43&lt;&gt;"",AW43,AW42)*AW44) / IF(AW43&lt;&gt;"",AW43,AW42)
        )
    )
)</f>
        <v/>
      </c>
      <c r="AW47" s="797"/>
      <c r="AX47" s="796" t="str">
        <f ca="1">IF(
    AX16="",
    "",
    IF(
        AX15="Ambulant",AY39/60,
        IF(OR(AY41="", AY42="", AY44=""),"",
            (AY39*AY41 + IF(AY43&lt;&gt;"",AY43,AY42)*AY44) / IF(AY43&lt;&gt;"",AY43,AY42)
        )
    )
)</f>
        <v/>
      </c>
      <c r="AY47" s="797"/>
      <c r="AZ47" s="796" t="str">
        <f ca="1">IF(
    AZ16="",
    "",
    IF(
        AZ15="Ambulant",BA39/60,
        IF(OR(BA41="", BA42="", BA44=""),"",
            (BA39*BA41 + IF(BA43&lt;&gt;"",BA43,BA42)*BA44) / IF(BA43&lt;&gt;"",BA43,BA42)
        )
    )
)</f>
        <v/>
      </c>
      <c r="BA47" s="797"/>
      <c r="BB47" s="796" t="str">
        <f ca="1">IF(
    BB16="",
    "",
    IF(
        BB15="Ambulant",BC39/60,
        IF(OR(BC41="", BC42="", BC44=""),"",
            (BC39*BC41 + IF(BC43&lt;&gt;"",BC43,BC42)*BC44) / IF(BC43&lt;&gt;"",BC43,BC42)
        )
    )
)</f>
        <v/>
      </c>
      <c r="BC47" s="797"/>
      <c r="BD47" s="796" t="str">
        <f ca="1">IF(
    BD16="",
    "",
    IF(
        BD15="Ambulant",BE39/60,
        IF(OR(BE41="", BE42="", BE44=""),"",
            (BE39*BE41 + IF(BE43&lt;&gt;"",BE43,BE42)*BE44) / IF(BE43&lt;&gt;"",BE43,BE42)
        )
    )
)</f>
        <v/>
      </c>
      <c r="BE47" s="797"/>
      <c r="BF47" s="796" t="str">
        <f ca="1">IF(
    BF16="",
    "",
    IF(
        BF15="Ambulant",BG39/60,
        IF(OR(BG41="", BG42="", BG44=""),"",
            (BG39*BG41 + IF(BG43&lt;&gt;"",BG43,BG42)*BG44) / IF(BG43&lt;&gt;"",BG43,BG42)
        )
    )
)</f>
        <v/>
      </c>
      <c r="BG47" s="797"/>
      <c r="BH47" s="796" t="str">
        <f ca="1">IF(
    BH16="",
    "",
    IF(
        BH15="Ambulant",BI39/60,
        IF(OR(BI41="", BI42="", BI44=""),"",
            (BI39*BI41 + IF(BI43&lt;&gt;"",BI43,BI42)*BI44) / IF(BI43&lt;&gt;"",BI43,BI42)
        )
    )
)</f>
        <v/>
      </c>
      <c r="BI47" s="797"/>
      <c r="BJ47" s="796" t="str">
        <f ca="1">IF(
    BJ16="",
    "",
    IF(
        BJ15="Ambulant",BK39/60,
        IF(OR(BK41="", BK42="", BK44=""),"",
            (BK39*BK41 + IF(BK43&lt;&gt;"",BK43,BK42)*BK44) / IF(BK43&lt;&gt;"",BK43,BK42)
        )
    )
)</f>
        <v/>
      </c>
      <c r="BK47" s="797"/>
      <c r="BL47" s="796" t="str">
        <f ca="1">IF(
    BL16="",
    "",
    IF(
        BL15="Ambulant",BM39/60,
        IF(OR(BM41="", BM42="", BM44=""),"",
            (BM39*BM41 + IF(BM43&lt;&gt;"",BM43,BM42)*BM44) / IF(BM43&lt;&gt;"",BM43,BM42)
        )
    )
)</f>
        <v/>
      </c>
      <c r="BM47" s="797"/>
      <c r="BN47" s="796" t="str">
        <f ca="1">IF(
    BN16="",
    "",
    IF(
        BN15="Ambulant",BO39/60,
        IF(OR(BO41="", BO42="", BO44=""),"",
            (BO39*BO41 + IF(BO43&lt;&gt;"",BO43,BO42)*BO44) / IF(BO43&lt;&gt;"",BO43,BO42)
        )
    )
)</f>
        <v/>
      </c>
      <c r="BO47" s="797"/>
      <c r="BP47" s="796" t="str">
        <f ca="1">IF(
    BP16="",
    "",
    IF(
        BP15="Ambulant",BQ39/60,
        IF(OR(BQ41="", BQ42="", BQ44=""),"",
            (BQ39*BQ41 + IF(BQ43&lt;&gt;"",BQ43,BQ42)*BQ44) / IF(BQ43&lt;&gt;"",BQ43,BQ42)
        )
    )
)</f>
        <v/>
      </c>
      <c r="BQ47" s="797"/>
      <c r="BR47" s="796" t="str">
        <f ca="1">IF(
    BR16="",
    "",
    IF(
        BR15="Ambulant",BS39/60,
        IF(OR(BS41="", BS42="", BS44=""),"",
            (BS39*BS41 + IF(BS43&lt;&gt;"",BS43,BS42)*BS44) / IF(BS43&lt;&gt;"",BS43,BS42)
        )
    )
)</f>
        <v/>
      </c>
      <c r="BS47" s="797"/>
      <c r="BT47" s="796" t="str">
        <f ca="1">IF(
    BT16="",
    "",
    IF(
        BT15="Ambulant",BU39/60,
        IF(OR(BU41="", BU42="", BU44=""),"",
            (BU39*BU41 + IF(BU43&lt;&gt;"",BU43,BU42)*BU44) / IF(BU43&lt;&gt;"",BU43,BU42)
        )
    )
)</f>
        <v/>
      </c>
      <c r="BU47" s="797"/>
      <c r="BV47" s="796" t="str">
        <f ca="1">IF(
    BV16="",
    "",
    IF(
        BV15="Ambulant",BW39/60,
        IF(OR(BW41="", BW42="", BW44=""),"",
            (BW39*BW41 + IF(BW43&lt;&gt;"",BW43,BW42)*BW44) / IF(BW43&lt;&gt;"",BW43,BW42)
        )
    )
)</f>
        <v/>
      </c>
      <c r="BW47" s="797"/>
      <c r="BX47" s="796" t="str">
        <f ca="1">IF(
    BX16="",
    "",
    IF(
        BX15="Ambulant",BY39/60,
        IF(OR(BY41="", BY42="", BY44=""),"",
            (BY39*BY41 + IF(BY43&lt;&gt;"",BY43,BY42)*BY44) / IF(BY43&lt;&gt;"",BY43,BY42)
        )
    )
)</f>
        <v/>
      </c>
      <c r="BY47" s="797"/>
      <c r="BZ47" s="796" t="str">
        <f ca="1">IF(
    BZ16="",
    "",
    IF(
        BZ15="Ambulant",CA39/60,
        IF(OR(CA41="", CA42="", CA44=""),"",
            (CA39*CA41 + IF(CA43&lt;&gt;"",CA43,CA42)*CA44) / IF(CA43&lt;&gt;"",CA43,CA42)
        )
    )
)</f>
        <v/>
      </c>
      <c r="CA47" s="797"/>
      <c r="CB47" s="796" t="str">
        <f ca="1">IF(
    CB16="",
    "",
    IF(
        CB15="Ambulant",CC39/60,
        IF(OR(CC41="", CC42="", CC44=""),"",
            (CC39*CC41 + IF(CC43&lt;&gt;"",CC43,CC42)*CC44) / IF(CC43&lt;&gt;"",CC43,CC42)
        )
    )
)</f>
        <v/>
      </c>
      <c r="CC47" s="797"/>
      <c r="CD47" s="796" t="str">
        <f ca="1">IF(
    CD16="",
    "",
    IF(
        CD15="Ambulant",CE39/60,
        IF(OR(CE41="", CE42="", CE44=""),"",
            (CE39*CE41 + IF(CE43&lt;&gt;"",CE43,CE42)*CE44) / IF(CE43&lt;&gt;"",CE43,CE42)
        )
    )
)</f>
        <v/>
      </c>
      <c r="CE47" s="797"/>
      <c r="CF47" s="320"/>
      <c r="CG47" s="289"/>
      <c r="CH47" s="289"/>
      <c r="CI47" s="289"/>
      <c r="CJ47" s="289"/>
      <c r="CK47" s="289"/>
      <c r="CL47" s="289"/>
      <c r="CM47" s="289"/>
      <c r="CN47" s="289"/>
      <c r="CO47" s="289"/>
      <c r="CP47" s="289"/>
      <c r="CQ47" s="289"/>
      <c r="CR47" s="289"/>
      <c r="CS47" s="289"/>
      <c r="CT47" s="289"/>
      <c r="CU47" s="289"/>
      <c r="CV47" s="289"/>
      <c r="CW47" s="289"/>
      <c r="CX47" s="289"/>
      <c r="CY47" s="289"/>
      <c r="CZ47" s="289"/>
    </row>
    <row r="48" spans="1:104" ht="19.05" customHeight="1" thickBot="1" x14ac:dyDescent="0.5">
      <c r="A48" s="289"/>
      <c r="B48" s="206" t="s">
        <v>1234</v>
      </c>
      <c r="C48" s="473"/>
      <c r="D48" s="802" t="str">
        <f ca="1">IF(D16="","",
IF(D15="Ambulant", D47*60,
IF(D15="Daghulp", D47/IFERROR(E41, 4),
IF(D15="Verblijf", D47/24, ""))))</f>
        <v/>
      </c>
      <c r="E48" s="803"/>
      <c r="F48" s="802" t="str">
        <f ca="1">IF(F16="","",
IF(F15="Ambulant", F47*60,
IF(F15="Daghulp", F47/IFERROR(G41, 4),
IF(F15="Verblijf", F47/24, ""))))</f>
        <v/>
      </c>
      <c r="G48" s="803"/>
      <c r="H48" s="802" t="str">
        <f ca="1">IF(H16="","",
IF(H15="Ambulant", H47*60,
IF(H15="Daghulp", H47/IFERROR(I41, 4),
IF(H15="Verblijf", H47/24, ""))))</f>
        <v/>
      </c>
      <c r="I48" s="803"/>
      <c r="J48" s="802" t="str">
        <f ca="1">IF(J16="","",
IF(J15="Ambulant", J47*60,
IF(J15="Daghulp", J47/IFERROR(K41, 4),
IF(J15="Verblijf", J47/24, ""))))</f>
        <v/>
      </c>
      <c r="K48" s="803"/>
      <c r="L48" s="802" t="str">
        <f ca="1">IF(L16="","",
IF(L15="Ambulant", L47*60,
IF(L15="Daghulp", L47/IFERROR(M41, 4),
IF(L15="Verblijf", L47/24, ""))))</f>
        <v/>
      </c>
      <c r="M48" s="803"/>
      <c r="N48" s="802" t="str">
        <f ca="1">IF(N16="","",
IF(N15="Ambulant", N47*60,
IF(N15="Daghulp", N47/IFERROR(O41, 4),
IF(N15="Verblijf", N47/24, ""))))</f>
        <v/>
      </c>
      <c r="O48" s="803"/>
      <c r="P48" s="802" t="str">
        <f ca="1">IF(P16="","",
IF(P15="Ambulant", P47*60,
IF(P15="Daghulp", P47/IFERROR(Q41, 4),
IF(P15="Verblijf", P47/24, ""))))</f>
        <v/>
      </c>
      <c r="Q48" s="803"/>
      <c r="R48" s="802" t="str">
        <f ca="1">IF(R16="","",
IF(R15="Ambulant", R47*60,
IF(R15="Daghulp", R47/IFERROR(S41, 4),
IF(R15="Verblijf", R47/24, ""))))</f>
        <v/>
      </c>
      <c r="S48" s="803"/>
      <c r="T48" s="802" t="str">
        <f ca="1">IF(T16="","",
IF(T15="Ambulant", T47*60,
IF(T15="Daghulp", T47/IFERROR(U41, 4),
IF(T15="Verblijf", T47/24, ""))))</f>
        <v/>
      </c>
      <c r="U48" s="803"/>
      <c r="V48" s="802" t="str">
        <f ca="1">IF(V16="","",
IF(V15="Ambulant", V47*60,
IF(V15="Daghulp", V47/IFERROR(W41, 4),
IF(V15="Verblijf", V47/24, ""))))</f>
        <v/>
      </c>
      <c r="W48" s="803"/>
      <c r="X48" s="802" t="str">
        <f ca="1">IF(X16="","",
IF(X15="Ambulant", X47*60,
IF(X15="Daghulp", X47/IFERROR(Y41, 4),
IF(X15="Verblijf", X47/24, ""))))</f>
        <v/>
      </c>
      <c r="Y48" s="803"/>
      <c r="Z48" s="802" t="str">
        <f ca="1">IF(Z16="","",
IF(Z15="Ambulant", Z47*60,
IF(Z15="Daghulp", Z47/IFERROR(AA41, 4),
IF(Z15="Verblijf", Z47/24, ""))))</f>
        <v/>
      </c>
      <c r="AA48" s="803"/>
      <c r="AB48" s="802" t="str">
        <f ca="1">IF(AB16="","",
IF(AB15="Ambulant", AB47*60,
IF(AB15="Daghulp", AB47/IFERROR(AC41, 4),
IF(AB15="Verblijf", AB47/24, ""))))</f>
        <v/>
      </c>
      <c r="AC48" s="803"/>
      <c r="AD48" s="802" t="str">
        <f ca="1">IF(AD16="","",
IF(AD15="Ambulant", AD47*60,
IF(AD15="Daghulp", AD47/IFERROR(AE41, 4),
IF(AD15="Verblijf", AD47/24, ""))))</f>
        <v/>
      </c>
      <c r="AE48" s="803"/>
      <c r="AF48" s="802" t="str">
        <f ca="1">IF(AF16="","",
IF(AF15="Ambulant", AF47*60,
IF(AF15="Daghulp", AF47/IFERROR(AG41, 4),
IF(AF15="Verblijf", AF47/24, ""))))</f>
        <v/>
      </c>
      <c r="AG48" s="803"/>
      <c r="AH48" s="802" t="str">
        <f ca="1">IF(AH16="","",
IF(AH15="Ambulant", AH47*60,
IF(AH15="Daghulp", AH47/IFERROR(AI41, 4),
IF(AH15="Verblijf", AH47/24, ""))))</f>
        <v/>
      </c>
      <c r="AI48" s="803"/>
      <c r="AJ48" s="802" t="str">
        <f ca="1">IF(AJ16="","",
IF(AJ15="Ambulant", AJ47*60,
IF(AJ15="Daghulp", AJ47/IFERROR(AK41, 4),
IF(AJ15="Verblijf", AJ47/24, ""))))</f>
        <v/>
      </c>
      <c r="AK48" s="803"/>
      <c r="AL48" s="802" t="str">
        <f ca="1">IF(AL16="","",
IF(AL15="Ambulant", AL47*60,
IF(AL15="Daghulp", AL47/IFERROR(AM41, 4),
IF(AL15="Verblijf", AL47/24, ""))))</f>
        <v/>
      </c>
      <c r="AM48" s="803"/>
      <c r="AN48" s="802" t="str">
        <f ca="1">IF(AN16="","",
IF(AN15="Ambulant", AN47*60,
IF(AN15="Daghulp", AN47/IFERROR(AO41, 4),
IF(AN15="Verblijf", AN47/24, ""))))</f>
        <v/>
      </c>
      <c r="AO48" s="803"/>
      <c r="AP48" s="802" t="str">
        <f ca="1">IF(AP16="","",
IF(AP15="Ambulant", AP47*60,
IF(AP15="Daghulp", AP47/IFERROR(AQ41, 4),
IF(AP15="Verblijf", AP47/24, ""))))</f>
        <v/>
      </c>
      <c r="AQ48" s="803"/>
      <c r="AR48" s="802" t="str">
        <f ca="1">IF(AR16="","",
IF(AR15="Ambulant", AR47*60,
IF(AR15="Daghulp", AR47/IFERROR(AS41, 4),
IF(AR15="Verblijf", AR47/24, ""))))</f>
        <v/>
      </c>
      <c r="AS48" s="803"/>
      <c r="AT48" s="802" t="str">
        <f ca="1">IF(AT16="","",
IF(AT15="Ambulant", AT47*60,
IF(AT15="Daghulp", AT47/IFERROR(AU41, 4),
IF(AT15="Verblijf", AT47/24, ""))))</f>
        <v/>
      </c>
      <c r="AU48" s="803"/>
      <c r="AV48" s="802" t="str">
        <f ca="1">IF(AV16="","",
IF(AV15="Ambulant", AV47*60,
IF(AV15="Daghulp", AV47/IFERROR(AW41, 4),
IF(AV15="Verblijf", AV47/24, ""))))</f>
        <v/>
      </c>
      <c r="AW48" s="803"/>
      <c r="AX48" s="802" t="str">
        <f ca="1">IF(AX16="","",
IF(AX15="Ambulant", AX47*60,
IF(AX15="Daghulp", AX47/IFERROR(AY41, 4),
IF(AX15="Verblijf", AX47/24, ""))))</f>
        <v/>
      </c>
      <c r="AY48" s="803"/>
      <c r="AZ48" s="802" t="str">
        <f ca="1">IF(AZ16="","",
IF(AZ15="Ambulant", AZ47*60,
IF(AZ15="Daghulp", AZ47/IFERROR(BA41, 4),
IF(AZ15="Verblijf", AZ47/24, ""))))</f>
        <v/>
      </c>
      <c r="BA48" s="803"/>
      <c r="BB48" s="802" t="str">
        <f ca="1">IF(BB16="","",
IF(BB15="Ambulant", BB47*60,
IF(BB15="Daghulp", BB47/IFERROR(BC41, 4),
IF(BB15="Verblijf", BB47/24, ""))))</f>
        <v/>
      </c>
      <c r="BC48" s="803"/>
      <c r="BD48" s="802" t="str">
        <f ca="1">IF(BD16="","",
IF(BD15="Ambulant", BD47*60,
IF(BD15="Daghulp", BD47/IFERROR(BE41, 4),
IF(BD15="Verblijf", BD47/24, ""))))</f>
        <v/>
      </c>
      <c r="BE48" s="803"/>
      <c r="BF48" s="802" t="str">
        <f ca="1">IF(BF16="","",
IF(BF15="Ambulant", BF47*60,
IF(BF15="Daghulp", BF47/IFERROR(BG41, 4),
IF(BF15="Verblijf", BF47/24, ""))))</f>
        <v/>
      </c>
      <c r="BG48" s="803"/>
      <c r="BH48" s="802" t="str">
        <f ca="1">IF(BH16="","",
IF(BH15="Ambulant", BH47*60,
IF(BH15="Daghulp", BH47/IFERROR(BI41, 4),
IF(BH15="Verblijf", BH47/24, ""))))</f>
        <v/>
      </c>
      <c r="BI48" s="803"/>
      <c r="BJ48" s="802" t="str">
        <f ca="1">IF(BJ16="","",
IF(BJ15="Ambulant", BJ47*60,
IF(BJ15="Daghulp", BJ47/IFERROR(BK41, 4),
IF(BJ15="Verblijf", BJ47/24, ""))))</f>
        <v/>
      </c>
      <c r="BK48" s="803"/>
      <c r="BL48" s="802" t="str">
        <f ca="1">IF(BL16="","",
IF(BL15="Ambulant", BL47*60,
IF(BL15="Daghulp", BL47/IFERROR(BM41, 4),
IF(BL15="Verblijf", BL47/24, ""))))</f>
        <v/>
      </c>
      <c r="BM48" s="803"/>
      <c r="BN48" s="802" t="str">
        <f ca="1">IF(BN16="","",
IF(BN15="Ambulant", BN47*60,
IF(BN15="Daghulp", BN47/IFERROR(BO41, 4),
IF(BN15="Verblijf", BN47/24, ""))))</f>
        <v/>
      </c>
      <c r="BO48" s="803"/>
      <c r="BP48" s="802" t="str">
        <f ca="1">IF(BP16="","",
IF(BP15="Ambulant", BP47*60,
IF(BP15="Daghulp", BP47/IFERROR(BQ41, 4),
IF(BP15="Verblijf", BP47/24, ""))))</f>
        <v/>
      </c>
      <c r="BQ48" s="803"/>
      <c r="BR48" s="802" t="str">
        <f ca="1">IF(BR16="","",
IF(BR15="Ambulant", BR47*60,
IF(BR15="Daghulp", BR47/IFERROR(BS41, 4),
IF(BR15="Verblijf", BR47/24, ""))))</f>
        <v/>
      </c>
      <c r="BS48" s="803"/>
      <c r="BT48" s="802" t="str">
        <f ca="1">IF(BT16="","",
IF(BT15="Ambulant", BT47*60,
IF(BT15="Daghulp", BT47/IFERROR(BU41, 4),
IF(BT15="Verblijf", BT47/24, ""))))</f>
        <v/>
      </c>
      <c r="BU48" s="803"/>
      <c r="BV48" s="802" t="str">
        <f ca="1">IF(BV16="","",
IF(BV15="Ambulant", BV47*60,
IF(BV15="Daghulp", BV47/IFERROR(BW41, 4),
IF(BV15="Verblijf", BV47/24, ""))))</f>
        <v/>
      </c>
      <c r="BW48" s="803"/>
      <c r="BX48" s="802" t="str">
        <f ca="1">IF(BX16="","",
IF(BX15="Ambulant", BX47*60,
IF(BX15="Daghulp", BX47/IFERROR(BY41, 4),
IF(BX15="Verblijf", BX47/24, ""))))</f>
        <v/>
      </c>
      <c r="BY48" s="803"/>
      <c r="BZ48" s="802" t="str">
        <f ca="1">IF(BZ16="","",
IF(BZ15="Ambulant", BZ47*60,
IF(BZ15="Daghulp", BZ47/IFERROR(CA41, 4),
IF(BZ15="Verblijf", BZ47/24, ""))))</f>
        <v/>
      </c>
      <c r="CA48" s="803"/>
      <c r="CB48" s="802" t="str">
        <f ca="1">IF(CB16="","",
IF(CB15="Ambulant", CB47*60,
IF(CB15="Daghulp", CB47/IFERROR(CC41, 4),
IF(CB15="Verblijf", CB47/24, ""))))</f>
        <v/>
      </c>
      <c r="CC48" s="803"/>
      <c r="CD48" s="802" t="str">
        <f ca="1">IF(CD16="","",
IF(CD15="Ambulant", CD47*60,
IF(CD15="Daghulp", CD47/IFERROR(CE41, 4),
IF(CD15="Verblijf", CD47/24, ""))))</f>
        <v/>
      </c>
      <c r="CE48" s="803"/>
      <c r="CF48" s="320"/>
      <c r="CG48" s="289"/>
      <c r="CH48" s="289"/>
      <c r="CI48" s="289"/>
      <c r="CJ48" s="289"/>
      <c r="CK48" s="289"/>
      <c r="CL48" s="289"/>
      <c r="CM48" s="289"/>
      <c r="CN48" s="289"/>
      <c r="CO48" s="289"/>
      <c r="CP48" s="289"/>
      <c r="CQ48" s="289"/>
      <c r="CR48" s="289"/>
      <c r="CS48" s="289"/>
      <c r="CT48" s="289"/>
      <c r="CU48" s="289"/>
      <c r="CV48" s="289"/>
      <c r="CW48" s="289"/>
      <c r="CX48" s="289"/>
      <c r="CY48" s="289"/>
      <c r="CZ48" s="289"/>
    </row>
    <row r="49" spans="1:104" ht="37.049999999999997" customHeight="1" x14ac:dyDescent="0.45">
      <c r="A49" s="289"/>
      <c r="B49" s="294"/>
      <c r="C49" s="445"/>
      <c r="D49" s="793" t="str" cm="1">
        <f t="array" aca="1" ref="D49" ca="1">IF(D16&lt;&gt;"",
   IF(SUMPRODUCT(--(MOD(COLUMN(F16:CD16),2)=0),--(F16:CD16&lt;&gt;""))=0,
      "© 2026 VNG / PPRC B.V. / AEPB Onderzoek en Advies B.V. Alle rechten voorbehouden.",
      ""
   ),
   ""
)</f>
        <v/>
      </c>
      <c r="E49" s="793"/>
      <c r="F49" s="793" t="str" cm="1">
        <f t="array" aca="1" ref="F49" ca="1">IF(F16&lt;&gt;"",
   IF(SUMPRODUCT(--(MOD(COLUMN(H16:CF16),2)=0),--(H16:CF16&lt;&gt;""))=0,
      "© 2026 VNG / PPRC B.V. / AEPB Onderzoek en Advies B.V. Alle rechten voorbehouden.",
      ""
   ),
   ""
)</f>
        <v/>
      </c>
      <c r="G49" s="793"/>
      <c r="H49" s="793" t="str" cm="1">
        <f t="array" aca="1" ref="H49" ca="1">IF(H16&lt;&gt;"",
   IF(SUMPRODUCT(--(MOD(COLUMN(J16:CH16),2)=0),--(J16:CH16&lt;&gt;""))=0,
      "© 2026 VNG / PPRC B.V. / AEPB Onderzoek en Advies B.V. Alle rechten voorbehouden.",
      ""
   ),
   ""
)</f>
        <v/>
      </c>
      <c r="I49" s="793"/>
      <c r="J49" s="793" t="str" cm="1">
        <f t="array" aca="1" ref="J49" ca="1">IF(J16&lt;&gt;"",
   IF(SUMPRODUCT(--(MOD(COLUMN(L16:CJ16),2)=0),--(L16:CJ16&lt;&gt;""))=0,
      "© 2026 VNG / PPRC B.V. / AEPB Onderzoek en Advies B.V. Alle rechten voorbehouden.",
      ""
   ),
   ""
)</f>
        <v/>
      </c>
      <c r="K49" s="793"/>
      <c r="L49" s="793" t="str" cm="1">
        <f t="array" aca="1" ref="L49" ca="1">IF(L16&lt;&gt;"",
   IF(SUMPRODUCT(--(MOD(COLUMN(N16:CL16),2)=0),--(N16:CL16&lt;&gt;""))=0,
      "© 2026 VNG / PPRC B.V. / AEPB Onderzoek en Advies B.V. Alle rechten voorbehouden.",
      ""
   ),
   ""
)</f>
        <v/>
      </c>
      <c r="M49" s="793"/>
      <c r="N49" s="793" t="str" cm="1">
        <f t="array" aca="1" ref="N49" ca="1">IF(N16&lt;&gt;"",
   IF(SUMPRODUCT(--(MOD(COLUMN(P16:CN16),2)=0),--(P16:CN16&lt;&gt;""))=0,
      "© 2026 VNG / PPRC B.V. / AEPB Onderzoek en Advies B.V. Alle rechten voorbehouden.",
      ""
   ),
   ""
)</f>
        <v/>
      </c>
      <c r="O49" s="793"/>
      <c r="P49" s="793" t="str" cm="1">
        <f t="array" aca="1" ref="P49" ca="1">IF(P16&lt;&gt;"",
   IF(SUMPRODUCT(--(MOD(COLUMN(R16:CP16),2)=0),--(R16:CP16&lt;&gt;""))=0,
      "© 2026 VNG / PPRC B.V. / AEPB Onderzoek en Advies B.V. Alle rechten voorbehouden.",
      ""
   ),
   ""
)</f>
        <v/>
      </c>
      <c r="Q49" s="793"/>
      <c r="R49" s="793" t="str" cm="1">
        <f t="array" aca="1" ref="R49" ca="1">IF(R16&lt;&gt;"",
   IF(SUMPRODUCT(--(MOD(COLUMN(T16:CR16),2)=0),--(T16:CR16&lt;&gt;""))=0,
      "© 2026 VNG / PPRC B.V. / AEPB Onderzoek en Advies B.V. Alle rechten voorbehouden.",
      ""
   ),
   ""
)</f>
        <v/>
      </c>
      <c r="S49" s="793"/>
      <c r="T49" s="793" t="str" cm="1">
        <f t="array" aca="1" ref="T49" ca="1">IF(T16&lt;&gt;"",
   IF(SUMPRODUCT(--(MOD(COLUMN(V16:CT16),2)=0),--(V16:CT16&lt;&gt;""))=0,
      "© 2026 VNG / PPRC B.V. / AEPB Onderzoek en Advies B.V. Alle rechten voorbehouden.",
      ""
   ),
   ""
)</f>
        <v/>
      </c>
      <c r="U49" s="793"/>
      <c r="V49" s="793" t="str" cm="1">
        <f t="array" aca="1" ref="V49" ca="1">IF(V16&lt;&gt;"",
   IF(SUMPRODUCT(--(MOD(COLUMN(X16:CV16),2)=0),--(X16:CV16&lt;&gt;""))=0,
      "© 2026 VNG / PPRC B.V. / AEPB Onderzoek en Advies B.V. Alle rechten voorbehouden.",
      ""
   ),
   ""
)</f>
        <v/>
      </c>
      <c r="W49" s="793"/>
      <c r="X49" s="793" t="str" cm="1">
        <f t="array" aca="1" ref="X49" ca="1">IF(X16&lt;&gt;"",
   IF(SUMPRODUCT(--(MOD(COLUMN(Z16:CX16),2)=0),--(Z16:CX16&lt;&gt;""))=0,
      "© 2026 VNG / PPRC B.V. / AEPB Onderzoek en Advies B.V. Alle rechten voorbehouden.",
      ""
   ),
   ""
)</f>
        <v/>
      </c>
      <c r="Y49" s="793"/>
      <c r="Z49" s="793" t="str" cm="1">
        <f t="array" aca="1" ref="Z49" ca="1">IF(Z16&lt;&gt;"",
   IF(SUMPRODUCT(--(MOD(COLUMN(AB16:CZ16),2)=0),--(AB16:CZ16&lt;&gt;""))=0,
      "© 2026 VNG / PPRC B.V. / AEPB Onderzoek en Advies B.V. Alle rechten voorbehouden.",
      ""
   ),
   ""
)</f>
        <v/>
      </c>
      <c r="AA49" s="793"/>
      <c r="AB49" s="793" t="str" cm="1">
        <f t="array" aca="1" ref="AB49" ca="1">IF(AB16&lt;&gt;"",
   IF(SUMPRODUCT(--(MOD(COLUMN(AD16:DB16),2)=0),--(AD16:DB16&lt;&gt;""))=0,
      "© 2026 VNG / PPRC B.V. / AEPB Onderzoek en Advies B.V. Alle rechten voorbehouden.",
      ""
   ),
   ""
)</f>
        <v/>
      </c>
      <c r="AC49" s="793"/>
      <c r="AD49" s="793" t="str" cm="1">
        <f t="array" aca="1" ref="AD49" ca="1">IF(AD16&lt;&gt;"",
   IF(SUMPRODUCT(--(MOD(COLUMN(AF16:DD16),2)=0),--(AF16:DD16&lt;&gt;""))=0,
      "© 2026 VNG / PPRC B.V. / AEPB Onderzoek en Advies B.V. Alle rechten voorbehouden.",
      ""
   ),
   ""
)</f>
        <v/>
      </c>
      <c r="AE49" s="793"/>
      <c r="AF49" s="793" t="str" cm="1">
        <f t="array" aca="1" ref="AF49" ca="1">IF(AF16&lt;&gt;"",
   IF(SUMPRODUCT(--(MOD(COLUMN(AH16:DF16),2)=0),--(AH16:DF16&lt;&gt;""))=0,
      "© 2026 VNG / PPRC B.V. / AEPB Onderzoek en Advies B.V. Alle rechten voorbehouden.",
      ""
   ),
   ""
)</f>
        <v/>
      </c>
      <c r="AG49" s="793"/>
      <c r="AH49" s="793" t="str" cm="1">
        <f t="array" aca="1" ref="AH49" ca="1">IF(AH16&lt;&gt;"",
   IF(SUMPRODUCT(--(MOD(COLUMN(AJ16:DH16),2)=0),--(AJ16:DH16&lt;&gt;""))=0,
      "© 2026 VNG / PPRC B.V. / AEPB Onderzoek en Advies B.V. Alle rechten voorbehouden.",
      ""
   ),
   ""
)</f>
        <v/>
      </c>
      <c r="AI49" s="793"/>
      <c r="AJ49" s="793" t="str" cm="1">
        <f t="array" aca="1" ref="AJ49" ca="1">IF(AJ16&lt;&gt;"",
   IF(SUMPRODUCT(--(MOD(COLUMN(AL16:DJ16),2)=0),--(AL16:DJ16&lt;&gt;""))=0,
      "© 2026 VNG / PPRC B.V. / AEPB Onderzoek en Advies B.V. Alle rechten voorbehouden.",
      ""
   ),
   ""
)</f>
        <v/>
      </c>
      <c r="AK49" s="793"/>
      <c r="AL49" s="793" t="str" cm="1">
        <f t="array" aca="1" ref="AL49" ca="1">IF(AL16&lt;&gt;"",
   IF(SUMPRODUCT(--(MOD(COLUMN(AN16:DL16),2)=0),--(AN16:DL16&lt;&gt;""))=0,
      "© 2026 VNG / PPRC B.V. / AEPB Onderzoek en Advies B.V. Alle rechten voorbehouden.",
      ""
   ),
   ""
)</f>
        <v/>
      </c>
      <c r="AM49" s="793"/>
      <c r="AN49" s="793" t="str" cm="1">
        <f t="array" aca="1" ref="AN49" ca="1">IF(AN16&lt;&gt;"",
   IF(SUMPRODUCT(--(MOD(COLUMN(AP16:DN16),2)=0),--(AP16:DN16&lt;&gt;""))=0,
      "© 2026 VNG / PPRC B.V. / AEPB Onderzoek en Advies B.V. Alle rechten voorbehouden.",
      ""
   ),
   ""
)</f>
        <v/>
      </c>
      <c r="AO49" s="793"/>
      <c r="AP49" s="793" t="str" cm="1">
        <f t="array" aca="1" ref="AP49" ca="1">IF(AP16&lt;&gt;"",
   IF(SUMPRODUCT(--(MOD(COLUMN(AR16:DP16),2)=0),--(AR16:DP16&lt;&gt;""))=0,
      "© 2026 VNG / PPRC B.V. / AEPB Onderzoek en Advies B.V. Alle rechten voorbehouden.",
      ""
   ),
   ""
)</f>
        <v/>
      </c>
      <c r="AQ49" s="793"/>
      <c r="AR49" s="793" t="str" cm="1">
        <f t="array" aca="1" ref="AR49" ca="1">IF(AR16&lt;&gt;"",
   IF(SUMPRODUCT(--(MOD(COLUMN(AT16:DR16),2)=0),--(AT16:DR16&lt;&gt;""))=0,
      "© 2026 VNG / PPRC B.V. / AEPB Onderzoek en Advies B.V. Alle rechten voorbehouden.",
      ""
   ),
   ""
)</f>
        <v/>
      </c>
      <c r="AS49" s="793"/>
      <c r="AT49" s="793" t="str" cm="1">
        <f t="array" aca="1" ref="AT49" ca="1">IF(AT16&lt;&gt;"",
   IF(SUMPRODUCT(--(MOD(COLUMN(AV16:DT16),2)=0),--(AV16:DT16&lt;&gt;""))=0,
      "© 2026 VNG / PPRC B.V. / AEPB Onderzoek en Advies B.V. Alle rechten voorbehouden.",
      ""
   ),
   ""
)</f>
        <v/>
      </c>
      <c r="AU49" s="793"/>
      <c r="AV49" s="793" t="str" cm="1">
        <f t="array" aca="1" ref="AV49" ca="1">IF(AV16&lt;&gt;"",
   IF(SUMPRODUCT(--(MOD(COLUMN(AX16:DV16),2)=0),--(AX16:DV16&lt;&gt;""))=0,
      "© 2026 VNG / PPRC B.V. / AEPB Onderzoek en Advies B.V. Alle rechten voorbehouden.",
      ""
   ),
   ""
)</f>
        <v/>
      </c>
      <c r="AW49" s="793"/>
      <c r="AX49" s="793" t="str" cm="1">
        <f t="array" aca="1" ref="AX49" ca="1">IF(AX16&lt;&gt;"",
   IF(SUMPRODUCT(--(MOD(COLUMN(AZ16:DX16),2)=0),--(AZ16:DX16&lt;&gt;""))=0,
      "© 2026 VNG / PPRC B.V. / AEPB Onderzoek en Advies B.V. Alle rechten voorbehouden.",
      ""
   ),
   ""
)</f>
        <v/>
      </c>
      <c r="AY49" s="793"/>
      <c r="AZ49" s="793" t="str" cm="1">
        <f t="array" aca="1" ref="AZ49" ca="1">IF(AZ16&lt;&gt;"",
   IF(SUMPRODUCT(--(MOD(COLUMN(BB16:DZ16),2)=0),--(BB16:DZ16&lt;&gt;""))=0,
      "© 2026 VNG / PPRC B.V. / AEPB Onderzoek en Advies B.V. Alle rechten voorbehouden.",
      ""
   ),
   ""
)</f>
        <v/>
      </c>
      <c r="BA49" s="793"/>
      <c r="BB49" s="793" t="str" cm="1">
        <f t="array" aca="1" ref="BB49" ca="1">IF(BB16&lt;&gt;"",
   IF(SUMPRODUCT(--(MOD(COLUMN(BD16:EB16),2)=0),--(BD16:EB16&lt;&gt;""))=0,
      "© 2026 VNG / PPRC B.V. / AEPB Onderzoek en Advies B.V. Alle rechten voorbehouden.",
      ""
   ),
   ""
)</f>
        <v/>
      </c>
      <c r="BC49" s="793"/>
      <c r="BD49" s="793" t="str" cm="1">
        <f t="array" aca="1" ref="BD49" ca="1">IF(BD16&lt;&gt;"",
   IF(SUMPRODUCT(--(MOD(COLUMN(BF16:ED16),2)=0),--(BF16:ED16&lt;&gt;""))=0,
      "© 2026 VNG / PPRC B.V. / AEPB Onderzoek en Advies B.V. Alle rechten voorbehouden.",
      ""
   ),
   ""
)</f>
        <v/>
      </c>
      <c r="BE49" s="793"/>
      <c r="BF49" s="793" t="str" cm="1">
        <f t="array" aca="1" ref="BF49" ca="1">IF(BF16&lt;&gt;"",
   IF(SUMPRODUCT(--(MOD(COLUMN(BH16:EF16),2)=0),--(BH16:EF16&lt;&gt;""))=0,
      "© 2026 VNG / PPRC B.V. / AEPB Onderzoek en Advies B.V. Alle rechten voorbehouden.",
      ""
   ),
   ""
)</f>
        <v/>
      </c>
      <c r="BG49" s="793"/>
      <c r="BH49" s="793" t="str" cm="1">
        <f t="array" aca="1" ref="BH49" ca="1">IF(BH16&lt;&gt;"",
   IF(SUMPRODUCT(--(MOD(COLUMN(BJ16:EH16),2)=0),--(BJ16:EH16&lt;&gt;""))=0,
      "© 2026 VNG / PPRC B.V. / AEPB Onderzoek en Advies B.V. Alle rechten voorbehouden.",
      ""
   ),
   ""
)</f>
        <v/>
      </c>
      <c r="BI49" s="793"/>
      <c r="BJ49" s="793" t="str" cm="1">
        <f t="array" aca="1" ref="BJ49" ca="1">IF(BJ16&lt;&gt;"",
   IF(SUMPRODUCT(--(MOD(COLUMN(BL16:EJ16),2)=0),--(BL16:EJ16&lt;&gt;""))=0,
      "© 2026 VNG / PPRC B.V. / AEPB Onderzoek en Advies B.V. Alle rechten voorbehouden.",
      ""
   ),
   ""
)</f>
        <v/>
      </c>
      <c r="BK49" s="793"/>
      <c r="BL49" s="793" t="str" cm="1">
        <f t="array" aca="1" ref="BL49" ca="1">IF(BL16&lt;&gt;"",
   IF(SUMPRODUCT(--(MOD(COLUMN(BN16:EL16),2)=0),--(BN16:EL16&lt;&gt;""))=0,
      "© 2026 VNG / PPRC B.V. / AEPB Onderzoek en Advies B.V. Alle rechten voorbehouden.",
      ""
   ),
   ""
)</f>
        <v/>
      </c>
      <c r="BM49" s="793"/>
      <c r="BN49" s="793" t="str" cm="1">
        <f t="array" aca="1" ref="BN49" ca="1">IF(BN16&lt;&gt;"",
   IF(SUMPRODUCT(--(MOD(COLUMN(BP16:EN16),2)=0),--(BP16:EN16&lt;&gt;""))=0,
      "© 2026 VNG / PPRC B.V. / AEPB Onderzoek en Advies B.V. Alle rechten voorbehouden.",
      ""
   ),
   ""
)</f>
        <v/>
      </c>
      <c r="BO49" s="793"/>
      <c r="BP49" s="793" t="str" cm="1">
        <f t="array" aca="1" ref="BP49" ca="1">IF(BP16&lt;&gt;"",
   IF(SUMPRODUCT(--(MOD(COLUMN(BR16:EP16),2)=0),--(BR16:EP16&lt;&gt;""))=0,
      "© 2026 VNG / PPRC B.V. / AEPB Onderzoek en Advies B.V. Alle rechten voorbehouden.",
      ""
   ),
   ""
)</f>
        <v/>
      </c>
      <c r="BQ49" s="793"/>
      <c r="BR49" s="793" t="str" cm="1">
        <f t="array" aca="1" ref="BR49" ca="1">IF(BR16&lt;&gt;"",
   IF(SUMPRODUCT(--(MOD(COLUMN(BT16:ER16),2)=0),--(BT16:ER16&lt;&gt;""))=0,
      "© 2026 VNG / PPRC B.V. / AEPB Onderzoek en Advies B.V. Alle rechten voorbehouden.",
      ""
   ),
   ""
)</f>
        <v/>
      </c>
      <c r="BS49" s="793"/>
      <c r="BT49" s="793" t="str" cm="1">
        <f t="array" aca="1" ref="BT49" ca="1">IF(BT16&lt;&gt;"",
   IF(SUMPRODUCT(--(MOD(COLUMN(BV16:ET16),2)=0),--(BV16:ET16&lt;&gt;""))=0,
      "© 2026 VNG / PPRC B.V. / AEPB Onderzoek en Advies B.V. Alle rechten voorbehouden.",
      ""
   ),
   ""
)</f>
        <v/>
      </c>
      <c r="BU49" s="793"/>
      <c r="BV49" s="793" t="str" cm="1">
        <f t="array" aca="1" ref="BV49" ca="1">IF(BV16&lt;&gt;"",
   IF(SUMPRODUCT(--(MOD(COLUMN(BX16:EV16),2)=0),--(BX16:EV16&lt;&gt;""))=0,
      "© 2026 VNG / PPRC B.V. / AEPB Onderzoek en Advies B.V. Alle rechten voorbehouden.",
      ""
   ),
   ""
)</f>
        <v/>
      </c>
      <c r="BW49" s="793"/>
      <c r="BX49" s="793" t="str" cm="1">
        <f t="array" aca="1" ref="BX49" ca="1">IF(BX16&lt;&gt;"",
   IF(SUMPRODUCT(--(MOD(COLUMN(BZ16:EX16),2)=0),--(BZ16:EX16&lt;&gt;""))=0,
      "© 2026 VNG / PPRC B.V. / AEPB Onderzoek en Advies B.V. Alle rechten voorbehouden.",
      ""
   ),
   ""
)</f>
        <v/>
      </c>
      <c r="BY49" s="793"/>
      <c r="BZ49" s="793" t="str" cm="1">
        <f t="array" aca="1" ref="BZ49" ca="1">IF(BZ16&lt;&gt;"",
   IF(SUMPRODUCT(--(MOD(COLUMN(CB16:EZ16),2)=0),--(CB16:EZ16&lt;&gt;""))=0,
      "© 2026 VNG / PPRC B.V. / AEPB Onderzoek en Advies B.V. Alle rechten voorbehouden.",
      ""
   ),
   ""
)</f>
        <v/>
      </c>
      <c r="CA49" s="793"/>
      <c r="CB49" s="793" t="str" cm="1">
        <f t="array" aca="1" ref="CB49" ca="1">IF(CB16&lt;&gt;"",
   IF(SUMPRODUCT(--(MOD(COLUMN(CD16:FB16),2)=0),--(CD16:FB16&lt;&gt;""))=0,
      "© 2026 VNG / PPRC B.V. / AEPB Onderzoek en Advies B.V. Alle rechten voorbehouden.",
      ""
   ),
   ""
)</f>
        <v/>
      </c>
      <c r="CC49" s="793"/>
      <c r="CD49" s="793" t="str" cm="1">
        <f t="array" aca="1" ref="CD49" ca="1">IF(CD16&lt;&gt;"",
   IF(SUMPRODUCT(--(MOD(COLUMN(CF16:FD16),2)=0),--(CF16:FD16&lt;&gt;""))=0,
      "© 2026 VNG / PPRC B.V. / AEPB Onderzoek en Advies B.V. Alle rechten voorbehouden.",
      ""
   ),
   ""
)</f>
        <v/>
      </c>
      <c r="CE49" s="793"/>
      <c r="CF49" s="289"/>
      <c r="CG49" s="289"/>
      <c r="CH49" s="289"/>
      <c r="CI49" s="289"/>
      <c r="CJ49" s="289"/>
      <c r="CK49" s="289"/>
      <c r="CL49" s="289"/>
      <c r="CM49" s="289"/>
      <c r="CN49" s="289"/>
      <c r="CO49" s="289"/>
      <c r="CP49" s="289"/>
      <c r="CQ49" s="289"/>
      <c r="CR49" s="289"/>
      <c r="CS49" s="289"/>
      <c r="CT49" s="289"/>
      <c r="CU49" s="289"/>
      <c r="CV49" s="289"/>
      <c r="CW49" s="289"/>
      <c r="CX49" s="289"/>
      <c r="CY49" s="289"/>
      <c r="CZ49" s="289"/>
    </row>
    <row r="50" spans="1:104" x14ac:dyDescent="0.45">
      <c r="A50" s="289"/>
      <c r="B50" s="294"/>
      <c r="C50" s="445"/>
      <c r="D50" s="445"/>
      <c r="E50" s="445"/>
      <c r="F50" s="445"/>
      <c r="G50" s="689"/>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c r="BF50" s="445"/>
      <c r="BG50" s="445"/>
      <c r="BH50" s="445"/>
      <c r="BI50" s="445"/>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289"/>
      <c r="CG50" s="289"/>
      <c r="CH50" s="289"/>
      <c r="CI50" s="289"/>
      <c r="CJ50" s="289"/>
      <c r="CK50" s="289"/>
      <c r="CL50" s="289"/>
      <c r="CM50" s="289"/>
      <c r="CN50" s="289"/>
      <c r="CO50" s="289"/>
      <c r="CP50" s="289"/>
      <c r="CQ50" s="289"/>
      <c r="CR50" s="289"/>
      <c r="CS50" s="289"/>
      <c r="CT50" s="289"/>
      <c r="CU50" s="289"/>
      <c r="CV50" s="289"/>
      <c r="CW50" s="289"/>
      <c r="CX50" s="289"/>
      <c r="CY50" s="289"/>
      <c r="CZ50" s="289"/>
    </row>
    <row r="51" spans="1:104" ht="18" x14ac:dyDescent="0.45">
      <c r="A51" s="289"/>
      <c r="B51" s="414" t="s">
        <v>62</v>
      </c>
      <c r="C51" s="445"/>
      <c r="D51" s="445"/>
      <c r="E51" s="445"/>
      <c r="F51" s="445"/>
      <c r="G51" s="689"/>
      <c r="H51" s="445"/>
      <c r="I51" s="689"/>
      <c r="J51" s="445"/>
      <c r="K51" s="689"/>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289"/>
      <c r="CG51" s="289"/>
      <c r="CH51" s="289"/>
      <c r="CI51" s="289"/>
      <c r="CJ51" s="289"/>
      <c r="CK51" s="289"/>
      <c r="CL51" s="289"/>
      <c r="CM51" s="289"/>
      <c r="CN51" s="289"/>
      <c r="CO51" s="289"/>
      <c r="CP51" s="289"/>
      <c r="CQ51" s="289"/>
      <c r="CR51" s="289"/>
      <c r="CS51" s="289"/>
      <c r="CT51" s="289"/>
      <c r="CU51" s="289"/>
      <c r="CV51" s="289"/>
      <c r="CW51" s="289"/>
      <c r="CX51" s="289"/>
      <c r="CY51" s="289"/>
      <c r="CZ51" s="289"/>
    </row>
    <row r="52" spans="1:104" ht="14.65" thickBot="1" x14ac:dyDescent="0.5">
      <c r="A52" s="289"/>
      <c r="B52" s="294"/>
      <c r="C52" s="445"/>
      <c r="D52" s="474"/>
      <c r="E52" s="445"/>
      <c r="F52" s="474"/>
      <c r="G52" s="445"/>
      <c r="H52" s="474"/>
      <c r="I52" s="445"/>
      <c r="J52" s="474"/>
      <c r="K52" s="445"/>
      <c r="L52" s="474"/>
      <c r="M52" s="445"/>
      <c r="N52" s="474"/>
      <c r="O52" s="445"/>
      <c r="P52" s="474"/>
      <c r="Q52" s="445"/>
      <c r="R52" s="474"/>
      <c r="S52" s="445"/>
      <c r="T52" s="474"/>
      <c r="U52" s="445"/>
      <c r="V52" s="474"/>
      <c r="W52" s="445"/>
      <c r="X52" s="474"/>
      <c r="Y52" s="445"/>
      <c r="Z52" s="474"/>
      <c r="AA52" s="445"/>
      <c r="AB52" s="474"/>
      <c r="AC52" s="445"/>
      <c r="AD52" s="474"/>
      <c r="AE52" s="445"/>
      <c r="AF52" s="474"/>
      <c r="AG52" s="445"/>
      <c r="AH52" s="474"/>
      <c r="AI52" s="445"/>
      <c r="AJ52" s="474"/>
      <c r="AK52" s="445"/>
      <c r="AL52" s="474"/>
      <c r="AM52" s="445"/>
      <c r="AN52" s="474"/>
      <c r="AO52" s="445"/>
      <c r="AP52" s="474"/>
      <c r="AQ52" s="445"/>
      <c r="AR52" s="474"/>
      <c r="AS52" s="445"/>
      <c r="AT52" s="474"/>
      <c r="AU52" s="445"/>
      <c r="AV52" s="474"/>
      <c r="AW52" s="445"/>
      <c r="AX52" s="474"/>
      <c r="AY52" s="445"/>
      <c r="AZ52" s="474"/>
      <c r="BA52" s="445"/>
      <c r="BB52" s="474"/>
      <c r="BC52" s="445"/>
      <c r="BD52" s="474"/>
      <c r="BE52" s="445"/>
      <c r="BF52" s="474"/>
      <c r="BG52" s="445"/>
      <c r="BH52" s="474"/>
      <c r="BI52" s="445"/>
      <c r="BJ52" s="474"/>
      <c r="BK52" s="445"/>
      <c r="BL52" s="474"/>
      <c r="BM52" s="445"/>
      <c r="BN52" s="474"/>
      <c r="BO52" s="445"/>
      <c r="BP52" s="474"/>
      <c r="BQ52" s="445"/>
      <c r="BR52" s="474"/>
      <c r="BS52" s="445"/>
      <c r="BT52" s="474"/>
      <c r="BU52" s="445"/>
      <c r="BV52" s="474"/>
      <c r="BW52" s="445"/>
      <c r="BX52" s="474"/>
      <c r="BY52" s="445"/>
      <c r="BZ52" s="474"/>
      <c r="CA52" s="445"/>
      <c r="CB52" s="474"/>
      <c r="CC52" s="445"/>
      <c r="CD52" s="474"/>
      <c r="CE52" s="445"/>
      <c r="CF52" s="289"/>
      <c r="CG52" s="289"/>
      <c r="CH52" s="289"/>
      <c r="CI52" s="289"/>
      <c r="CJ52" s="289"/>
      <c r="CK52" s="289"/>
      <c r="CL52" s="289"/>
      <c r="CM52" s="289"/>
      <c r="CN52" s="289"/>
      <c r="CO52" s="289"/>
      <c r="CP52" s="289"/>
      <c r="CQ52" s="289"/>
      <c r="CR52" s="289"/>
      <c r="CS52" s="289"/>
      <c r="CT52" s="289"/>
      <c r="CU52" s="289"/>
      <c r="CV52" s="289"/>
      <c r="CW52" s="289"/>
      <c r="CX52" s="289"/>
      <c r="CY52" s="289"/>
      <c r="CZ52" s="289"/>
    </row>
    <row r="53" spans="1:104" ht="23.55" customHeight="1" x14ac:dyDescent="0.45">
      <c r="A53" s="289"/>
      <c r="B53" s="365" t="s">
        <v>5</v>
      </c>
      <c r="C53" s="475"/>
      <c r="D53" s="804" t="str">
        <f ca="1">IF(D16="","",D16)</f>
        <v/>
      </c>
      <c r="E53" s="805"/>
      <c r="F53" s="804" t="str">
        <f ca="1">IF(F16="","",F16)</f>
        <v/>
      </c>
      <c r="G53" s="805"/>
      <c r="H53" s="804" t="str">
        <f ca="1">IF(H16="","",H16)</f>
        <v/>
      </c>
      <c r="I53" s="805"/>
      <c r="J53" s="804" t="str">
        <f ca="1">IF(J16="","",J16)</f>
        <v/>
      </c>
      <c r="K53" s="805"/>
      <c r="L53" s="804" t="str">
        <f ca="1">IF(L16="","",L16)</f>
        <v/>
      </c>
      <c r="M53" s="805"/>
      <c r="N53" s="804" t="str">
        <f ca="1">IF(N16="","",N16)</f>
        <v/>
      </c>
      <c r="O53" s="805"/>
      <c r="P53" s="804" t="str">
        <f ca="1">IF(P16="","",P16)</f>
        <v/>
      </c>
      <c r="Q53" s="805"/>
      <c r="R53" s="804" t="str">
        <f ca="1">IF(R16="","",R16)</f>
        <v/>
      </c>
      <c r="S53" s="805"/>
      <c r="T53" s="804" t="str">
        <f ca="1">IF(T16="","",T16)</f>
        <v/>
      </c>
      <c r="U53" s="805"/>
      <c r="V53" s="804" t="str">
        <f ca="1">IF(V16="","",V16)</f>
        <v/>
      </c>
      <c r="W53" s="805"/>
      <c r="X53" s="804" t="str">
        <f ca="1">IF(X16="","",X16)</f>
        <v/>
      </c>
      <c r="Y53" s="805"/>
      <c r="Z53" s="804" t="str">
        <f ca="1">IF(Z16="","",Z16)</f>
        <v/>
      </c>
      <c r="AA53" s="805"/>
      <c r="AB53" s="804" t="str">
        <f ca="1">IF(AB16="","",AB16)</f>
        <v/>
      </c>
      <c r="AC53" s="805"/>
      <c r="AD53" s="804" t="str">
        <f ca="1">IF(AD16="","",AD16)</f>
        <v/>
      </c>
      <c r="AE53" s="805"/>
      <c r="AF53" s="804" t="str">
        <f ca="1">IF(AF16="","",AF16)</f>
        <v/>
      </c>
      <c r="AG53" s="805"/>
      <c r="AH53" s="804" t="str">
        <f ca="1">IF(AH16="","",AH16)</f>
        <v/>
      </c>
      <c r="AI53" s="805"/>
      <c r="AJ53" s="804" t="str">
        <f ca="1">IF(AJ16="","",AJ16)</f>
        <v/>
      </c>
      <c r="AK53" s="805"/>
      <c r="AL53" s="804" t="str">
        <f ca="1">IF(AL16="","",AL16)</f>
        <v/>
      </c>
      <c r="AM53" s="805"/>
      <c r="AN53" s="804" t="str">
        <f ca="1">IF(AN16="","",AN16)</f>
        <v/>
      </c>
      <c r="AO53" s="805"/>
      <c r="AP53" s="804" t="str">
        <f ca="1">IF(AP16="","",AP16)</f>
        <v/>
      </c>
      <c r="AQ53" s="805"/>
      <c r="AR53" s="804" t="str">
        <f ca="1">IF(AR16="","",AR16)</f>
        <v/>
      </c>
      <c r="AS53" s="805"/>
      <c r="AT53" s="804" t="str">
        <f ca="1">IF(AT16="","",AT16)</f>
        <v/>
      </c>
      <c r="AU53" s="805"/>
      <c r="AV53" s="804" t="str">
        <f ca="1">IF(AV16="","",AV16)</f>
        <v/>
      </c>
      <c r="AW53" s="805"/>
      <c r="AX53" s="804" t="str">
        <f ca="1">IF(AX16="","",AX16)</f>
        <v/>
      </c>
      <c r="AY53" s="805"/>
      <c r="AZ53" s="804" t="str">
        <f ca="1">IF(AZ16="","",AZ16)</f>
        <v/>
      </c>
      <c r="BA53" s="805"/>
      <c r="BB53" s="804" t="str">
        <f ca="1">IF(BB16="","",BB16)</f>
        <v/>
      </c>
      <c r="BC53" s="805"/>
      <c r="BD53" s="804" t="str">
        <f ca="1">IF(BD16="","",BD16)</f>
        <v/>
      </c>
      <c r="BE53" s="805"/>
      <c r="BF53" s="804" t="str">
        <f ca="1">IF(BF16="","",BF16)</f>
        <v/>
      </c>
      <c r="BG53" s="805"/>
      <c r="BH53" s="804" t="str">
        <f ca="1">IF(BH16="","",BH16)</f>
        <v/>
      </c>
      <c r="BI53" s="805"/>
      <c r="BJ53" s="804" t="str">
        <f ca="1">IF(BJ16="","",BJ16)</f>
        <v/>
      </c>
      <c r="BK53" s="805"/>
      <c r="BL53" s="804" t="str">
        <f ca="1">IF(BL16="","",BL16)</f>
        <v/>
      </c>
      <c r="BM53" s="805"/>
      <c r="BN53" s="804" t="str">
        <f ca="1">IF(BN16="","",BN16)</f>
        <v/>
      </c>
      <c r="BO53" s="805"/>
      <c r="BP53" s="804" t="str">
        <f ca="1">IF(BP16="","",BP16)</f>
        <v/>
      </c>
      <c r="BQ53" s="805"/>
      <c r="BR53" s="804" t="str">
        <f ca="1">IF(BR16="","",BR16)</f>
        <v/>
      </c>
      <c r="BS53" s="805"/>
      <c r="BT53" s="804" t="str">
        <f ca="1">IF(BT16="","",BT16)</f>
        <v/>
      </c>
      <c r="BU53" s="805"/>
      <c r="BV53" s="804" t="str">
        <f ca="1">IF(BV16="","",BV16)</f>
        <v/>
      </c>
      <c r="BW53" s="805"/>
      <c r="BX53" s="804" t="str">
        <f ca="1">IF(BX16="","",BX16)</f>
        <v/>
      </c>
      <c r="BY53" s="805"/>
      <c r="BZ53" s="804" t="str">
        <f ca="1">IF(BZ16="","",BZ16)</f>
        <v/>
      </c>
      <c r="CA53" s="805"/>
      <c r="CB53" s="804" t="str">
        <f ca="1">IF(CB16="","",CB16)</f>
        <v/>
      </c>
      <c r="CC53" s="805"/>
      <c r="CD53" s="804" t="str">
        <f ca="1">IF(CD16="","",CD16)</f>
        <v/>
      </c>
      <c r="CE53" s="805"/>
      <c r="CF53" s="320"/>
      <c r="CG53" s="289"/>
      <c r="CH53" s="289"/>
      <c r="CI53" s="289"/>
      <c r="CJ53" s="289"/>
      <c r="CK53" s="289"/>
      <c r="CL53" s="289"/>
      <c r="CM53" s="289"/>
      <c r="CN53" s="289"/>
      <c r="CO53" s="289"/>
      <c r="CP53" s="289"/>
      <c r="CQ53" s="289"/>
      <c r="CR53" s="289"/>
      <c r="CS53" s="289"/>
      <c r="CT53" s="289"/>
      <c r="CU53" s="289"/>
      <c r="CV53" s="289"/>
      <c r="CW53" s="289"/>
      <c r="CX53" s="289"/>
      <c r="CY53" s="289"/>
      <c r="CZ53" s="289"/>
    </row>
    <row r="54" spans="1:104" x14ac:dyDescent="0.45">
      <c r="A54" s="289"/>
      <c r="B54" s="392" t="s">
        <v>1895</v>
      </c>
      <c r="D54" s="476"/>
      <c r="E54" s="477" t="str">
        <f ca="1">IF(D16="","",E18*E24)</f>
        <v/>
      </c>
      <c r="F54" s="476"/>
      <c r="G54" s="477" t="str">
        <f ca="1">IF(F16="","",G18*G24)</f>
        <v/>
      </c>
      <c r="H54" s="476"/>
      <c r="I54" s="477" t="str">
        <f ca="1">IF(H16="","",I18*I24)</f>
        <v/>
      </c>
      <c r="J54" s="476"/>
      <c r="K54" s="477" t="str">
        <f ca="1">IF(J16="","",K18*K24)</f>
        <v/>
      </c>
      <c r="L54" s="476"/>
      <c r="M54" s="477" t="str">
        <f ca="1">IF(L16="","",M18*M24)</f>
        <v/>
      </c>
      <c r="N54" s="476"/>
      <c r="O54" s="477" t="str">
        <f ca="1">IF(N16="","",O18*O24)</f>
        <v/>
      </c>
      <c r="P54" s="476"/>
      <c r="Q54" s="477" t="str">
        <f ca="1">IF(P16="","",Q18*Q24)</f>
        <v/>
      </c>
      <c r="R54" s="476"/>
      <c r="S54" s="477" t="str">
        <f ca="1">IF(R16="","",S18*S24)</f>
        <v/>
      </c>
      <c r="T54" s="476"/>
      <c r="U54" s="477" t="str">
        <f ca="1">IF(T16="","",U18*U24)</f>
        <v/>
      </c>
      <c r="V54" s="476"/>
      <c r="W54" s="477" t="str">
        <f ca="1">IF(V16="","",W18*W24)</f>
        <v/>
      </c>
      <c r="X54" s="476"/>
      <c r="Y54" s="477" t="str">
        <f ca="1">IF(X16="","",Y18*Y24)</f>
        <v/>
      </c>
      <c r="Z54" s="476"/>
      <c r="AA54" s="477" t="str">
        <f ca="1">IF(Z16="","",AA18*AA24)</f>
        <v/>
      </c>
      <c r="AB54" s="476"/>
      <c r="AC54" s="477" t="str">
        <f ca="1">IF(AB16="","",AC18*AC24)</f>
        <v/>
      </c>
      <c r="AD54" s="476"/>
      <c r="AE54" s="477" t="str">
        <f ca="1">IF(AD16="","",AE18*AE24)</f>
        <v/>
      </c>
      <c r="AF54" s="476"/>
      <c r="AG54" s="477" t="str">
        <f ca="1">IF(AF16="","",AG18*AG24)</f>
        <v/>
      </c>
      <c r="AH54" s="476"/>
      <c r="AI54" s="477" t="str">
        <f ca="1">IF(AH16="","",AI18*AI24)</f>
        <v/>
      </c>
      <c r="AJ54" s="476"/>
      <c r="AK54" s="477" t="str">
        <f ca="1">IF(AJ16="","",AK18*AK24)</f>
        <v/>
      </c>
      <c r="AL54" s="476"/>
      <c r="AM54" s="477" t="str">
        <f ca="1">IF(AL16="","",AM18*AM24)</f>
        <v/>
      </c>
      <c r="AN54" s="476"/>
      <c r="AO54" s="477" t="str">
        <f ca="1">IF(AN16="","",AO18*AO24)</f>
        <v/>
      </c>
      <c r="AP54" s="476"/>
      <c r="AQ54" s="477" t="str">
        <f ca="1">IF(AP16="","",AQ18*AQ24)</f>
        <v/>
      </c>
      <c r="AR54" s="476"/>
      <c r="AS54" s="477" t="str">
        <f ca="1">IF(AR16="","",AS18*AS24)</f>
        <v/>
      </c>
      <c r="AT54" s="476"/>
      <c r="AU54" s="477" t="str">
        <f ca="1">IF(AT16="","",AU18*AU24)</f>
        <v/>
      </c>
      <c r="AV54" s="476"/>
      <c r="AW54" s="477" t="str">
        <f ca="1">IF(AV16="","",AW18*AW24)</f>
        <v/>
      </c>
      <c r="AX54" s="476"/>
      <c r="AY54" s="477" t="str">
        <f ca="1">IF(AX16="","",AY18*AY24)</f>
        <v/>
      </c>
      <c r="AZ54" s="476"/>
      <c r="BA54" s="477" t="str">
        <f ca="1">IF(AZ16="","",BA18*BA24)</f>
        <v/>
      </c>
      <c r="BB54" s="476"/>
      <c r="BC54" s="477" t="str">
        <f ca="1">IF(BB16="","",BC18*BC24)</f>
        <v/>
      </c>
      <c r="BD54" s="476"/>
      <c r="BE54" s="477" t="str">
        <f ca="1">IF(BD16="","",BE18*BE24)</f>
        <v/>
      </c>
      <c r="BF54" s="476"/>
      <c r="BG54" s="477" t="str">
        <f ca="1">IF(BF16="","",BG18*BG24)</f>
        <v/>
      </c>
      <c r="BH54" s="476"/>
      <c r="BI54" s="477" t="str">
        <f ca="1">IF(BH16="","",BI18*BI24)</f>
        <v/>
      </c>
      <c r="BJ54" s="476"/>
      <c r="BK54" s="477" t="str">
        <f ca="1">IF(BJ16="","",BK18*BK24)</f>
        <v/>
      </c>
      <c r="BL54" s="476"/>
      <c r="BM54" s="477" t="str">
        <f ca="1">IF(BL16="","",BM18*BM24)</f>
        <v/>
      </c>
      <c r="BN54" s="476"/>
      <c r="BO54" s="477" t="str">
        <f ca="1">IF(BN16="","",BO18*BO24)</f>
        <v/>
      </c>
      <c r="BP54" s="476"/>
      <c r="BQ54" s="477" t="str">
        <f ca="1">IF(BP16="","",BQ18*BQ24)</f>
        <v/>
      </c>
      <c r="BR54" s="476"/>
      <c r="BS54" s="477" t="str">
        <f ca="1">IF(BR16="","",BS18*BS24)</f>
        <v/>
      </c>
      <c r="BT54" s="476"/>
      <c r="BU54" s="477" t="str">
        <f ca="1">IF(BT16="","",BU18*BU24)</f>
        <v/>
      </c>
      <c r="BV54" s="476"/>
      <c r="BW54" s="477" t="str">
        <f ca="1">IF(BV16="","",BW18*BW24)</f>
        <v/>
      </c>
      <c r="BX54" s="476"/>
      <c r="BY54" s="477" t="str">
        <f ca="1">IF(BX16="","",BY18*BY24)</f>
        <v/>
      </c>
      <c r="BZ54" s="476"/>
      <c r="CA54" s="477" t="str">
        <f ca="1">IF(BZ16="","",CA18*CA24)</f>
        <v/>
      </c>
      <c r="CB54" s="476"/>
      <c r="CC54" s="477" t="str">
        <f ca="1">IF(CB16="","",CC18*CC24)</f>
        <v/>
      </c>
      <c r="CD54" s="476"/>
      <c r="CE54" s="477" t="str">
        <f ca="1">IF(CD16="","",CE18*CE24)</f>
        <v/>
      </c>
      <c r="CF54" s="320"/>
      <c r="CG54" s="289"/>
      <c r="CH54" s="289"/>
      <c r="CI54" s="289"/>
      <c r="CJ54" s="289"/>
      <c r="CK54" s="289"/>
      <c r="CL54" s="289"/>
      <c r="CM54" s="289"/>
      <c r="CN54" s="289"/>
      <c r="CO54" s="289"/>
      <c r="CP54" s="289"/>
      <c r="CQ54" s="289"/>
      <c r="CR54" s="289"/>
      <c r="CS54" s="289"/>
      <c r="CT54" s="289"/>
      <c r="CU54" s="289"/>
      <c r="CV54" s="289"/>
      <c r="CW54" s="289"/>
      <c r="CX54" s="289"/>
      <c r="CY54" s="289"/>
      <c r="CZ54" s="289"/>
    </row>
    <row r="55" spans="1:104" x14ac:dyDescent="0.45">
      <c r="A55" s="289"/>
      <c r="B55" s="384" t="s">
        <v>784</v>
      </c>
      <c r="C55" s="478">
        <f>IFERROR(
   'Hulp (overig)'!$C$20,
  ""
)</f>
        <v>0.25900000000000001</v>
      </c>
      <c r="E55" s="479" t="str">
        <f ca="1">IF(D16="","",$C55)</f>
        <v/>
      </c>
      <c r="G55" s="479" t="str">
        <f ca="1">IF(F16="","",$C55)</f>
        <v/>
      </c>
      <c r="I55" s="479" t="str">
        <f ca="1">IF(H16="","",$C55)</f>
        <v/>
      </c>
      <c r="K55" s="479" t="str">
        <f ca="1">IF(J16="","",$C55)</f>
        <v/>
      </c>
      <c r="M55" s="479" t="str">
        <f ca="1">IF(L16="","",$C55)</f>
        <v/>
      </c>
      <c r="O55" s="479" t="str">
        <f ca="1">IF(N16="","",$C55)</f>
        <v/>
      </c>
      <c r="Q55" s="479" t="str">
        <f ca="1">IF(P16="","",$C55)</f>
        <v/>
      </c>
      <c r="S55" s="479" t="str">
        <f ca="1">IF(R16="","",$C55)</f>
        <v/>
      </c>
      <c r="U55" s="479" t="str">
        <f ca="1">IF(T16="","",$C55)</f>
        <v/>
      </c>
      <c r="W55" s="479" t="str">
        <f ca="1">IF(V16="","",$C55)</f>
        <v/>
      </c>
      <c r="Y55" s="479" t="str">
        <f ca="1">IF(X16="","",$C55)</f>
        <v/>
      </c>
      <c r="AA55" s="479" t="str">
        <f ca="1">IF(Z16="","",$C55)</f>
        <v/>
      </c>
      <c r="AC55" s="479" t="str">
        <f ca="1">IF(AB16="","",$C55)</f>
        <v/>
      </c>
      <c r="AE55" s="479" t="str">
        <f ca="1">IF(AD16="","",$C55)</f>
        <v/>
      </c>
      <c r="AG55" s="479" t="str">
        <f ca="1">IF(AF16="","",$C55)</f>
        <v/>
      </c>
      <c r="AI55" s="479" t="str">
        <f ca="1">IF(AH16="","",$C55)</f>
        <v/>
      </c>
      <c r="AK55" s="479" t="str">
        <f ca="1">IF(AJ16="","",$C55)</f>
        <v/>
      </c>
      <c r="AM55" s="479" t="str">
        <f ca="1">IF(AL16="","",$C55)</f>
        <v/>
      </c>
      <c r="AO55" s="479" t="str">
        <f ca="1">IF(AN16="","",$C55)</f>
        <v/>
      </c>
      <c r="AQ55" s="479" t="str">
        <f ca="1">IF(AP16="","",$C55)</f>
        <v/>
      </c>
      <c r="AS55" s="479" t="str">
        <f ca="1">IF(AR16="","",$C55)</f>
        <v/>
      </c>
      <c r="AU55" s="479" t="str">
        <f ca="1">IF(AT16="","",$C55)</f>
        <v/>
      </c>
      <c r="AW55" s="479" t="str">
        <f ca="1">IF(AV16="","",$C55)</f>
        <v/>
      </c>
      <c r="AY55" s="479" t="str">
        <f ca="1">IF(AX16="","",$C55)</f>
        <v/>
      </c>
      <c r="BA55" s="479" t="str">
        <f ca="1">IF(AZ16="","",$C55)</f>
        <v/>
      </c>
      <c r="BC55" s="479" t="str">
        <f ca="1">IF(BB16="","",$C55)</f>
        <v/>
      </c>
      <c r="BE55" s="479" t="str">
        <f ca="1">IF(BD16="","",$C55)</f>
        <v/>
      </c>
      <c r="BG55" s="479" t="str">
        <f ca="1">IF(BF16="","",$C55)</f>
        <v/>
      </c>
      <c r="BI55" s="479" t="str">
        <f ca="1">IF(BH16="","",$C55)</f>
        <v/>
      </c>
      <c r="BK55" s="479" t="str">
        <f ca="1">IF(BJ16="","",$C55)</f>
        <v/>
      </c>
      <c r="BM55" s="479" t="str">
        <f ca="1">IF(BL16="","",$C55)</f>
        <v/>
      </c>
      <c r="BO55" s="479" t="str">
        <f ca="1">IF(BN16="","",$C55)</f>
        <v/>
      </c>
      <c r="BQ55" s="479" t="str">
        <f ca="1">IF(BP16="","",$C55)</f>
        <v/>
      </c>
      <c r="BS55" s="479" t="str">
        <f ca="1">IF(BR16="","",$C55)</f>
        <v/>
      </c>
      <c r="BU55" s="479" t="str">
        <f ca="1">IF(BT16="","",$C55)</f>
        <v/>
      </c>
      <c r="BW55" s="479" t="str">
        <f ca="1">IF(BV16="","",$C55)</f>
        <v/>
      </c>
      <c r="BY55" s="479" t="str">
        <f ca="1">IF(BX16="","",$C55)</f>
        <v/>
      </c>
      <c r="CA55" s="479" t="str">
        <f ca="1">IF(BZ16="","",$C55)</f>
        <v/>
      </c>
      <c r="CC55" s="479" t="str">
        <f ca="1">IF(CB16="","",$C55)</f>
        <v/>
      </c>
      <c r="CE55" s="479" t="str">
        <f ca="1">IF(CD16="","",$C55)</f>
        <v/>
      </c>
      <c r="CF55" s="320"/>
      <c r="CG55" s="289"/>
      <c r="CH55" s="289"/>
      <c r="CI55" s="289"/>
      <c r="CJ55" s="289"/>
      <c r="CK55" s="289"/>
      <c r="CL55" s="289"/>
      <c r="CM55" s="289"/>
      <c r="CN55" s="289"/>
      <c r="CO55" s="289"/>
      <c r="CP55" s="289"/>
      <c r="CQ55" s="289"/>
      <c r="CR55" s="289"/>
      <c r="CS55" s="289"/>
      <c r="CT55" s="289"/>
      <c r="CU55" s="289"/>
      <c r="CV55" s="289"/>
      <c r="CW55" s="289"/>
      <c r="CX55" s="289"/>
      <c r="CY55" s="289"/>
      <c r="CZ55" s="289"/>
    </row>
    <row r="56" spans="1:104" x14ac:dyDescent="0.45">
      <c r="A56" s="289"/>
      <c r="B56" s="432" t="s">
        <v>1060</v>
      </c>
      <c r="C56" s="480">
        <f>IFERROR(
   'Hulp (overig)'!C8,
  ""
)</f>
        <v>17283</v>
      </c>
      <c r="D56" s="476"/>
      <c r="E56" s="481" t="str">
        <f ca="1">IF(D16="","",$C56)</f>
        <v/>
      </c>
      <c r="F56" s="476"/>
      <c r="G56" s="481" t="str">
        <f ca="1">IF(F16="","",$C56)</f>
        <v/>
      </c>
      <c r="H56" s="476"/>
      <c r="I56" s="481" t="str">
        <f ca="1">IF(H16="","",$C56)</f>
        <v/>
      </c>
      <c r="J56" s="476"/>
      <c r="K56" s="481" t="str">
        <f ca="1">IF(J16="","",$C56)</f>
        <v/>
      </c>
      <c r="L56" s="476"/>
      <c r="M56" s="481" t="str">
        <f ca="1">IF(L16="","",$C56)</f>
        <v/>
      </c>
      <c r="N56" s="476"/>
      <c r="O56" s="481" t="str">
        <f ca="1">IF(N16="","",$C56)</f>
        <v/>
      </c>
      <c r="P56" s="476"/>
      <c r="Q56" s="481" t="str">
        <f ca="1">IF(P16="","",$C56)</f>
        <v/>
      </c>
      <c r="R56" s="476"/>
      <c r="S56" s="481" t="str">
        <f ca="1">IF(R16="","",$C56)</f>
        <v/>
      </c>
      <c r="T56" s="476"/>
      <c r="U56" s="481" t="str">
        <f ca="1">IF(T16="","",$C56)</f>
        <v/>
      </c>
      <c r="V56" s="476"/>
      <c r="W56" s="481" t="str">
        <f ca="1">IF(V16="","",$C56)</f>
        <v/>
      </c>
      <c r="X56" s="476"/>
      <c r="Y56" s="481" t="str">
        <f ca="1">IF(X16="","",$C56)</f>
        <v/>
      </c>
      <c r="Z56" s="476"/>
      <c r="AA56" s="481" t="str">
        <f ca="1">IF(Z16="","",$C56)</f>
        <v/>
      </c>
      <c r="AB56" s="476"/>
      <c r="AC56" s="481" t="str">
        <f ca="1">IF(AB16="","",$C56)</f>
        <v/>
      </c>
      <c r="AD56" s="476"/>
      <c r="AE56" s="481" t="str">
        <f ca="1">IF(AD16="","",$C56)</f>
        <v/>
      </c>
      <c r="AF56" s="476"/>
      <c r="AG56" s="481" t="str">
        <f ca="1">IF(AF16="","",$C56)</f>
        <v/>
      </c>
      <c r="AH56" s="476"/>
      <c r="AI56" s="481" t="str">
        <f ca="1">IF(AH16="","",$C56)</f>
        <v/>
      </c>
      <c r="AJ56" s="476"/>
      <c r="AK56" s="481" t="str">
        <f ca="1">IF(AJ16="","",$C56)</f>
        <v/>
      </c>
      <c r="AL56" s="476"/>
      <c r="AM56" s="481" t="str">
        <f ca="1">IF(AL16="","",$C56)</f>
        <v/>
      </c>
      <c r="AN56" s="476"/>
      <c r="AO56" s="481" t="str">
        <f ca="1">IF(AN16="","",$C56)</f>
        <v/>
      </c>
      <c r="AP56" s="476"/>
      <c r="AQ56" s="481" t="str">
        <f ca="1">IF(AP16="","",$C56)</f>
        <v/>
      </c>
      <c r="AR56" s="476"/>
      <c r="AS56" s="481" t="str">
        <f ca="1">IF(AR16="","",$C56)</f>
        <v/>
      </c>
      <c r="AT56" s="476"/>
      <c r="AU56" s="481" t="str">
        <f ca="1">IF(AT16="","",$C56)</f>
        <v/>
      </c>
      <c r="AV56" s="476"/>
      <c r="AW56" s="481" t="str">
        <f ca="1">IF(AV16="","",$C56)</f>
        <v/>
      </c>
      <c r="AX56" s="476"/>
      <c r="AY56" s="481" t="str">
        <f ca="1">IF(AX16="","",$C56)</f>
        <v/>
      </c>
      <c r="AZ56" s="476"/>
      <c r="BA56" s="481" t="str">
        <f ca="1">IF(AZ16="","",$C56)</f>
        <v/>
      </c>
      <c r="BB56" s="476"/>
      <c r="BC56" s="481" t="str">
        <f ca="1">IF(BB16="","",$C56)</f>
        <v/>
      </c>
      <c r="BD56" s="476"/>
      <c r="BE56" s="481" t="str">
        <f ca="1">IF(BD16="","",$C56)</f>
        <v/>
      </c>
      <c r="BF56" s="476"/>
      <c r="BG56" s="481" t="str">
        <f ca="1">IF(BF16="","",$C56)</f>
        <v/>
      </c>
      <c r="BH56" s="476"/>
      <c r="BI56" s="481" t="str">
        <f ca="1">IF(BH16="","",$C56)</f>
        <v/>
      </c>
      <c r="BJ56" s="476"/>
      <c r="BK56" s="481" t="str">
        <f ca="1">IF(BJ16="","",$C56)</f>
        <v/>
      </c>
      <c r="BL56" s="476"/>
      <c r="BM56" s="481" t="str">
        <f ca="1">IF(BL16="","",$C56)</f>
        <v/>
      </c>
      <c r="BN56" s="476"/>
      <c r="BO56" s="481" t="str">
        <f ca="1">IF(BN16="","",$C56)</f>
        <v/>
      </c>
      <c r="BP56" s="476"/>
      <c r="BQ56" s="481" t="str">
        <f ca="1">IF(BP16="","",$C56)</f>
        <v/>
      </c>
      <c r="BR56" s="476"/>
      <c r="BS56" s="481" t="str">
        <f ca="1">IF(BR16="","",$C56)</f>
        <v/>
      </c>
      <c r="BT56" s="476"/>
      <c r="BU56" s="481" t="str">
        <f ca="1">IF(BT16="","",$C56)</f>
        <v/>
      </c>
      <c r="BV56" s="476"/>
      <c r="BW56" s="481" t="str">
        <f ca="1">IF(BV16="","",$C56)</f>
        <v/>
      </c>
      <c r="BX56" s="476"/>
      <c r="BY56" s="481" t="str">
        <f ca="1">IF(BX16="","",$C56)</f>
        <v/>
      </c>
      <c r="BZ56" s="476"/>
      <c r="CA56" s="481" t="str">
        <f ca="1">IF(BZ16="","",$C56)</f>
        <v/>
      </c>
      <c r="CB56" s="476"/>
      <c r="CC56" s="481" t="str">
        <f ca="1">IF(CB16="","",$C56)</f>
        <v/>
      </c>
      <c r="CD56" s="476"/>
      <c r="CE56" s="481" t="str">
        <f ca="1">IF(CD16="","",$C56)</f>
        <v/>
      </c>
      <c r="CF56" s="320"/>
      <c r="CG56" s="289"/>
      <c r="CH56" s="289"/>
      <c r="CI56" s="289"/>
      <c r="CJ56" s="289"/>
      <c r="CK56" s="289"/>
      <c r="CL56" s="289"/>
      <c r="CM56" s="289"/>
      <c r="CN56" s="289"/>
      <c r="CO56" s="289"/>
      <c r="CP56" s="289"/>
      <c r="CQ56" s="289"/>
      <c r="CR56" s="289"/>
      <c r="CS56" s="289"/>
      <c r="CT56" s="289"/>
      <c r="CU56" s="289"/>
      <c r="CV56" s="289"/>
      <c r="CW56" s="289"/>
      <c r="CX56" s="289"/>
      <c r="CY56" s="289"/>
      <c r="CZ56" s="289"/>
    </row>
    <row r="57" spans="1:104" x14ac:dyDescent="0.45">
      <c r="A57" s="289"/>
      <c r="B57" s="432" t="s">
        <v>1889</v>
      </c>
      <c r="D57" s="476"/>
      <c r="E57" s="481" t="str" cm="1">
        <f t="array" aca="1" ref="E57" ca="1">IF(
  D16="",
  "",
    (IFERROR(
        INDEX(
          '1c. Input functiemix'!$A:$AAD,
          MATCH(
            INDIRECT(ADDRESS(ROW()-4, COLUMN()-1, 4)),
            '1c. Input functiemix'!$B:$B,
            0
          ) + 3,
          54
        ),
        1
      ) - E56)
  * E55
)</f>
        <v/>
      </c>
      <c r="F57" s="476"/>
      <c r="G57" s="481" t="str" cm="1">
        <f t="array" aca="1" ref="G57" ca="1">IF(
  F16="",
  "",
    (IFERROR(
        INDEX(
          '1c. Input functiemix'!$A:$AAD,
          MATCH(
            INDIRECT(ADDRESS(ROW()-4, COLUMN()-1, 4)),
            '1c. Input functiemix'!$B:$B,
            0
          ) + 3,
          54
        ),
        1
      ) - G56)
  * G55
)</f>
        <v/>
      </c>
      <c r="H57" s="476"/>
      <c r="I57" s="481" t="str" cm="1">
        <f t="array" aca="1" ref="I57" ca="1">IF(
  H16="",
  "",
    (IFERROR(
        INDEX(
          '1c. Input functiemix'!$A:$AAD,
          MATCH(
            INDIRECT(ADDRESS(ROW()-4, COLUMN()-1, 4)),
            '1c. Input functiemix'!$B:$B,
            0
          ) + 3,
          54
        ),
        1
      ) - I56)
  * I55
)</f>
        <v/>
      </c>
      <c r="J57" s="476"/>
      <c r="K57" s="481" t="str" cm="1">
        <f t="array" aca="1" ref="K57" ca="1">IF(
  J16="",
  "",
    (IFERROR(
        INDEX(
          '1c. Input functiemix'!$A:$AAD,
          MATCH(
            INDIRECT(ADDRESS(ROW()-4, COLUMN()-1, 4)),
            '1c. Input functiemix'!$B:$B,
            0
          ) + 3,
          54
        ),
        1
      ) - K56)
  * K55
)</f>
        <v/>
      </c>
      <c r="L57" s="476"/>
      <c r="M57" s="481" t="str" cm="1">
        <f t="array" aca="1" ref="M57" ca="1">IF(
  L16="",
  "",
    (IFERROR(
        INDEX(
          '1c. Input functiemix'!$A:$AAD,
          MATCH(
            INDIRECT(ADDRESS(ROW()-4, COLUMN()-1, 4)),
            '1c. Input functiemix'!$B:$B,
            0
          ) + 3,
          54
        ),
        1
      ) - M56)
  * M55
)</f>
        <v/>
      </c>
      <c r="N57" s="476"/>
      <c r="O57" s="481" t="str" cm="1">
        <f t="array" aca="1" ref="O57" ca="1">IF(
  N16="",
  "",
    (IFERROR(
        INDEX(
          '1c. Input functiemix'!$A:$AAD,
          MATCH(
            INDIRECT(ADDRESS(ROW()-4, COLUMN()-1, 4)),
            '1c. Input functiemix'!$B:$B,
            0
          ) + 3,
          54
        ),
        1
      ) - O56)
  * O55
)</f>
        <v/>
      </c>
      <c r="P57" s="476"/>
      <c r="Q57" s="481" t="str" cm="1">
        <f t="array" aca="1" ref="Q57" ca="1">IF(
  P16="",
  "",
    (IFERROR(
        INDEX(
          '1c. Input functiemix'!$A:$AAD,
          MATCH(
            INDIRECT(ADDRESS(ROW()-4, COLUMN()-1, 4)),
            '1c. Input functiemix'!$B:$B,
            0
          ) + 3,
          54
        ),
        1
      ) - Q56)
  * Q55
)</f>
        <v/>
      </c>
      <c r="R57" s="476"/>
      <c r="S57" s="481" t="str" cm="1">
        <f t="array" aca="1" ref="S57" ca="1">IF(
  R16="",
  "",
    (IFERROR(
        INDEX(
          '1c. Input functiemix'!$A:$AAD,
          MATCH(
            INDIRECT(ADDRESS(ROW()-4, COLUMN()-1, 4)),
            '1c. Input functiemix'!$B:$B,
            0
          ) + 3,
          54
        ),
        1
      ) - S56)
  * S55
)</f>
        <v/>
      </c>
      <c r="T57" s="476"/>
      <c r="U57" s="481" t="str" cm="1">
        <f t="array" aca="1" ref="U57" ca="1">IF(
  T16="",
  "",
    (IFERROR(
        INDEX(
          '1c. Input functiemix'!$A:$AAD,
          MATCH(
            INDIRECT(ADDRESS(ROW()-4, COLUMN()-1, 4)),
            '1c. Input functiemix'!$B:$B,
            0
          ) + 3,
          54
        ),
        1
      ) - U56)
  * U55
)</f>
        <v/>
      </c>
      <c r="V57" s="476"/>
      <c r="W57" s="481" t="str" cm="1">
        <f t="array" aca="1" ref="W57" ca="1">IF(
  V16="",
  "",
    (IFERROR(
        INDEX(
          '1c. Input functiemix'!$A:$AAD,
          MATCH(
            INDIRECT(ADDRESS(ROW()-4, COLUMN()-1, 4)),
            '1c. Input functiemix'!$B:$B,
            0
          ) + 3,
          54
        ),
        1
      ) - W56)
  * W55
)</f>
        <v/>
      </c>
      <c r="X57" s="476"/>
      <c r="Y57" s="481" t="str" cm="1">
        <f t="array" aca="1" ref="Y57" ca="1">IF(
  X16="",
  "",
    (IFERROR(
        INDEX(
          '1c. Input functiemix'!$A:$AAD,
          MATCH(
            INDIRECT(ADDRESS(ROW()-4, COLUMN()-1, 4)),
            '1c. Input functiemix'!$B:$B,
            0
          ) + 3,
          54
        ),
        1
      ) - Y56)
  * Y55
)</f>
        <v/>
      </c>
      <c r="Z57" s="476"/>
      <c r="AA57" s="481" t="str" cm="1">
        <f t="array" aca="1" ref="AA57" ca="1">IF(
  Z16="",
  "",
    (IFERROR(
        INDEX(
          '1c. Input functiemix'!$A:$AAD,
          MATCH(
            INDIRECT(ADDRESS(ROW()-4, COLUMN()-1, 4)),
            '1c. Input functiemix'!$B:$B,
            0
          ) + 3,
          54
        ),
        1
      ) - AA56)
  * AA55
)</f>
        <v/>
      </c>
      <c r="AB57" s="476"/>
      <c r="AC57" s="481" t="str" cm="1">
        <f t="array" aca="1" ref="AC57" ca="1">IF(
  AB16="",
  "",
    (IFERROR(
        INDEX(
          '1c. Input functiemix'!$A:$AAD,
          MATCH(
            INDIRECT(ADDRESS(ROW()-4, COLUMN()-1, 4)),
            '1c. Input functiemix'!$B:$B,
            0
          ) + 3,
          54
        ),
        1
      ) - AC56)
  * AC55
)</f>
        <v/>
      </c>
      <c r="AD57" s="476"/>
      <c r="AE57" s="481" t="str" cm="1">
        <f t="array" aca="1" ref="AE57" ca="1">IF(
  AD16="",
  "",
    (IFERROR(
        INDEX(
          '1c. Input functiemix'!$A:$AAD,
          MATCH(
            INDIRECT(ADDRESS(ROW()-4, COLUMN()-1, 4)),
            '1c. Input functiemix'!$B:$B,
            0
          ) + 3,
          54
        ),
        1
      ) - AE56)
  * AE55
)</f>
        <v/>
      </c>
      <c r="AF57" s="476"/>
      <c r="AG57" s="481" t="str" cm="1">
        <f t="array" aca="1" ref="AG57" ca="1">IF(
  AF16="",
  "",
    (IFERROR(
        INDEX(
          '1c. Input functiemix'!$A:$AAD,
          MATCH(
            INDIRECT(ADDRESS(ROW()-4, COLUMN()-1, 4)),
            '1c. Input functiemix'!$B:$B,
            0
          ) + 3,
          54
        ),
        1
      ) - AG56)
  * AG55
)</f>
        <v/>
      </c>
      <c r="AH57" s="476"/>
      <c r="AI57" s="481" t="str" cm="1">
        <f t="array" aca="1" ref="AI57" ca="1">IF(
  AH16="",
  "",
    (IFERROR(
        INDEX(
          '1c. Input functiemix'!$A:$AAD,
          MATCH(
            INDIRECT(ADDRESS(ROW()-4, COLUMN()-1, 4)),
            '1c. Input functiemix'!$B:$B,
            0
          ) + 3,
          54
        ),
        1
      ) - AI56)
  * AI55
)</f>
        <v/>
      </c>
      <c r="AJ57" s="476"/>
      <c r="AK57" s="481" t="str" cm="1">
        <f t="array" aca="1" ref="AK57" ca="1">IF(
  AJ16="",
  "",
    (IFERROR(
        INDEX(
          '1c. Input functiemix'!$A:$AAD,
          MATCH(
            INDIRECT(ADDRESS(ROW()-4, COLUMN()-1, 4)),
            '1c. Input functiemix'!$B:$B,
            0
          ) + 3,
          54
        ),
        1
      ) - AK56)
  * AK55
)</f>
        <v/>
      </c>
      <c r="AL57" s="476"/>
      <c r="AM57" s="481" t="str" cm="1">
        <f t="array" aca="1" ref="AM57" ca="1">IF(
  AL16="",
  "",
    (IFERROR(
        INDEX(
          '1c. Input functiemix'!$A:$AAD,
          MATCH(
            INDIRECT(ADDRESS(ROW()-4, COLUMN()-1, 4)),
            '1c. Input functiemix'!$B:$B,
            0
          ) + 3,
          54
        ),
        1
      ) - AM56)
  * AM55
)</f>
        <v/>
      </c>
      <c r="AN57" s="476"/>
      <c r="AO57" s="481" t="str" cm="1">
        <f t="array" aca="1" ref="AO57" ca="1">IF(
  AN16="",
  "",
    (IFERROR(
        INDEX(
          '1c. Input functiemix'!$A:$AAD,
          MATCH(
            INDIRECT(ADDRESS(ROW()-4, COLUMN()-1, 4)),
            '1c. Input functiemix'!$B:$B,
            0
          ) + 3,
          54
        ),
        1
      ) - AO56)
  * AO55
)</f>
        <v/>
      </c>
      <c r="AP57" s="476"/>
      <c r="AQ57" s="481" t="str" cm="1">
        <f t="array" aca="1" ref="AQ57" ca="1">IF(
  AP16="",
  "",
    (IFERROR(
        INDEX(
          '1c. Input functiemix'!$A:$AAD,
          MATCH(
            INDIRECT(ADDRESS(ROW()-4, COLUMN()-1, 4)),
            '1c. Input functiemix'!$B:$B,
            0
          ) + 3,
          54
        ),
        1
      ) - AQ56)
  * AQ55
)</f>
        <v/>
      </c>
      <c r="AR57" s="476"/>
      <c r="AS57" s="481" t="str" cm="1">
        <f t="array" aca="1" ref="AS57" ca="1">IF(
  AR16="",
  "",
    (IFERROR(
        INDEX(
          '1c. Input functiemix'!$A:$AAD,
          MATCH(
            INDIRECT(ADDRESS(ROW()-4, COLUMN()-1, 4)),
            '1c. Input functiemix'!$B:$B,
            0
          ) + 3,
          54
        ),
        1
      ) - AS56)
  * AS55
)</f>
        <v/>
      </c>
      <c r="AT57" s="476"/>
      <c r="AU57" s="481" t="str" cm="1">
        <f t="array" aca="1" ref="AU57" ca="1">IF(
  AT16="",
  "",
    (IFERROR(
        INDEX(
          '1c. Input functiemix'!$A:$AAD,
          MATCH(
            INDIRECT(ADDRESS(ROW()-4, COLUMN()-1, 4)),
            '1c. Input functiemix'!$B:$B,
            0
          ) + 3,
          54
        ),
        1
      ) - AU56)
  * AU55
)</f>
        <v/>
      </c>
      <c r="AV57" s="476"/>
      <c r="AW57" s="481" t="str" cm="1">
        <f t="array" aca="1" ref="AW57" ca="1">IF(
  AV16="",
  "",
    (IFERROR(
        INDEX(
          '1c. Input functiemix'!$A:$AAD,
          MATCH(
            INDIRECT(ADDRESS(ROW()-4, COLUMN()-1, 4)),
            '1c. Input functiemix'!$B:$B,
            0
          ) + 3,
          54
        ),
        1
      ) - AW56)
  * AW55
)</f>
        <v/>
      </c>
      <c r="AX57" s="476"/>
      <c r="AY57" s="481" t="str" cm="1">
        <f t="array" aca="1" ref="AY57" ca="1">IF(
  AX16="",
  "",
    (IFERROR(
        INDEX(
          '1c. Input functiemix'!$A:$AAD,
          MATCH(
            INDIRECT(ADDRESS(ROW()-4, COLUMN()-1, 4)),
            '1c. Input functiemix'!$B:$B,
            0
          ) + 3,
          54
        ),
        1
      ) - AY56)
  * AY55
)</f>
        <v/>
      </c>
      <c r="AZ57" s="476"/>
      <c r="BA57" s="481" t="str" cm="1">
        <f t="array" aca="1" ref="BA57" ca="1">IF(
  AZ16="",
  "",
    (IFERROR(
        INDEX(
          '1c. Input functiemix'!$A:$AAD,
          MATCH(
            INDIRECT(ADDRESS(ROW()-4, COLUMN()-1, 4)),
            '1c. Input functiemix'!$B:$B,
            0
          ) + 3,
          54
        ),
        1
      ) - BA56)
  * BA55
)</f>
        <v/>
      </c>
      <c r="BB57" s="476"/>
      <c r="BC57" s="481" t="str" cm="1">
        <f t="array" aca="1" ref="BC57" ca="1">IF(
  BB16="",
  "",
    (IFERROR(
        INDEX(
          '1c. Input functiemix'!$A:$AAD,
          MATCH(
            INDIRECT(ADDRESS(ROW()-4, COLUMN()-1, 4)),
            '1c. Input functiemix'!$B:$B,
            0
          ) + 3,
          54
        ),
        1
      ) - BC56)
  * BC55
)</f>
        <v/>
      </c>
      <c r="BD57" s="476"/>
      <c r="BE57" s="481" t="str" cm="1">
        <f t="array" aca="1" ref="BE57" ca="1">IF(
  BD16="",
  "",
    (IFERROR(
        INDEX(
          '1c. Input functiemix'!$A:$AAD,
          MATCH(
            INDIRECT(ADDRESS(ROW()-4, COLUMN()-1, 4)),
            '1c. Input functiemix'!$B:$B,
            0
          ) + 3,
          54
        ),
        1
      ) - BE56)
  * BE55
)</f>
        <v/>
      </c>
      <c r="BF57" s="476"/>
      <c r="BG57" s="481" t="str" cm="1">
        <f t="array" aca="1" ref="BG57" ca="1">IF(
  BF16="",
  "",
    (IFERROR(
        INDEX(
          '1c. Input functiemix'!$A:$AAD,
          MATCH(
            INDIRECT(ADDRESS(ROW()-4, COLUMN()-1, 4)),
            '1c. Input functiemix'!$B:$B,
            0
          ) + 3,
          54
        ),
        1
      ) - BG56)
  * BG55
)</f>
        <v/>
      </c>
      <c r="BH57" s="476"/>
      <c r="BI57" s="481" t="str" cm="1">
        <f t="array" aca="1" ref="BI57" ca="1">IF(
  BH16="",
  "",
    (IFERROR(
        INDEX(
          '1c. Input functiemix'!$A:$AAD,
          MATCH(
            INDIRECT(ADDRESS(ROW()-4, COLUMN()-1, 4)),
            '1c. Input functiemix'!$B:$B,
            0
          ) + 3,
          54
        ),
        1
      ) - BI56)
  * BI55
)</f>
        <v/>
      </c>
      <c r="BJ57" s="476"/>
      <c r="BK57" s="481" t="str" cm="1">
        <f t="array" aca="1" ref="BK57" ca="1">IF(
  BJ16="",
  "",
    (IFERROR(
        INDEX(
          '1c. Input functiemix'!$A:$AAD,
          MATCH(
            INDIRECT(ADDRESS(ROW()-4, COLUMN()-1, 4)),
            '1c. Input functiemix'!$B:$B,
            0
          ) + 3,
          54
        ),
        1
      ) - BK56)
  * BK55
)</f>
        <v/>
      </c>
      <c r="BL57" s="476"/>
      <c r="BM57" s="481" t="str" cm="1">
        <f t="array" aca="1" ref="BM57" ca="1">IF(
  BL16="",
  "",
    (IFERROR(
        INDEX(
          '1c. Input functiemix'!$A:$AAD,
          MATCH(
            INDIRECT(ADDRESS(ROW()-4, COLUMN()-1, 4)),
            '1c. Input functiemix'!$B:$B,
            0
          ) + 3,
          54
        ),
        1
      ) - BM56)
  * BM55
)</f>
        <v/>
      </c>
      <c r="BN57" s="476"/>
      <c r="BO57" s="481" t="str" cm="1">
        <f t="array" aca="1" ref="BO57" ca="1">IF(
  BN16="",
  "",
    (IFERROR(
        INDEX(
          '1c. Input functiemix'!$A:$AAD,
          MATCH(
            INDIRECT(ADDRESS(ROW()-4, COLUMN()-1, 4)),
            '1c. Input functiemix'!$B:$B,
            0
          ) + 3,
          54
        ),
        1
      ) - BO56)
  * BO55
)</f>
        <v/>
      </c>
      <c r="BP57" s="476"/>
      <c r="BQ57" s="481" t="str" cm="1">
        <f t="array" aca="1" ref="BQ57" ca="1">IF(
  BP16="",
  "",
    (IFERROR(
        INDEX(
          '1c. Input functiemix'!$A:$AAD,
          MATCH(
            INDIRECT(ADDRESS(ROW()-4, COLUMN()-1, 4)),
            '1c. Input functiemix'!$B:$B,
            0
          ) + 3,
          54
        ),
        1
      ) - BQ56)
  * BQ55
)</f>
        <v/>
      </c>
      <c r="BR57" s="476"/>
      <c r="BS57" s="481" t="str" cm="1">
        <f t="array" aca="1" ref="BS57" ca="1">IF(
  BR16="",
  "",
    (IFERROR(
        INDEX(
          '1c. Input functiemix'!$A:$AAD,
          MATCH(
            INDIRECT(ADDRESS(ROW()-4, COLUMN()-1, 4)),
            '1c. Input functiemix'!$B:$B,
            0
          ) + 3,
          54
        ),
        1
      ) - BS56)
  * BS55
)</f>
        <v/>
      </c>
      <c r="BT57" s="476"/>
      <c r="BU57" s="481" t="str" cm="1">
        <f t="array" aca="1" ref="BU57" ca="1">IF(
  BT16="",
  "",
    (IFERROR(
        INDEX(
          '1c. Input functiemix'!$A:$AAD,
          MATCH(
            INDIRECT(ADDRESS(ROW()-4, COLUMN()-1, 4)),
            '1c. Input functiemix'!$B:$B,
            0
          ) + 3,
          54
        ),
        1
      ) - BU56)
  * BU55
)</f>
        <v/>
      </c>
      <c r="BV57" s="476"/>
      <c r="BW57" s="481" t="str" cm="1">
        <f t="array" aca="1" ref="BW57" ca="1">IF(
  BV16="",
  "",
    (IFERROR(
        INDEX(
          '1c. Input functiemix'!$A:$AAD,
          MATCH(
            INDIRECT(ADDRESS(ROW()-4, COLUMN()-1, 4)),
            '1c. Input functiemix'!$B:$B,
            0
          ) + 3,
          54
        ),
        1
      ) - BW56)
  * BW55
)</f>
        <v/>
      </c>
      <c r="BX57" s="476"/>
      <c r="BY57" s="481" t="str" cm="1">
        <f t="array" aca="1" ref="BY57" ca="1">IF(
  BX16="",
  "",
    (IFERROR(
        INDEX(
          '1c. Input functiemix'!$A:$AAD,
          MATCH(
            INDIRECT(ADDRESS(ROW()-4, COLUMN()-1, 4)),
            '1c. Input functiemix'!$B:$B,
            0
          ) + 3,
          54
        ),
        1
      ) - BY56)
  * BY55
)</f>
        <v/>
      </c>
      <c r="BZ57" s="476"/>
      <c r="CA57" s="481" t="str" cm="1">
        <f t="array" aca="1" ref="CA57" ca="1">IF(
  BZ16="",
  "",
    (IFERROR(
        INDEX(
          '1c. Input functiemix'!$A:$AAD,
          MATCH(
            INDIRECT(ADDRESS(ROW()-4, COLUMN()-1, 4)),
            '1c. Input functiemix'!$B:$B,
            0
          ) + 3,
          54
        ),
        1
      ) - CA56)
  * CA55
)</f>
        <v/>
      </c>
      <c r="CB57" s="476"/>
      <c r="CC57" s="481" t="str" cm="1">
        <f t="array" aca="1" ref="CC57" ca="1">IF(
  CB16="",
  "",
    (IFERROR(
        INDEX(
          '1c. Input functiemix'!$A:$AAD,
          MATCH(
            INDIRECT(ADDRESS(ROW()-4, COLUMN()-1, 4)),
            '1c. Input functiemix'!$B:$B,
            0
          ) + 3,
          54
        ),
        1
      ) - CC56)
  * CC55
)</f>
        <v/>
      </c>
      <c r="CD57" s="476"/>
      <c r="CE57" s="481" t="str" cm="1">
        <f t="array" aca="1" ref="CE57" ca="1">IF(
  CD16="",
  "",
    (IFERROR(
        INDEX(
          '1c. Input functiemix'!$A:$AAD,
          MATCH(
            INDIRECT(ADDRESS(ROW()-4, COLUMN()-1, 4)),
            '1c. Input functiemix'!$B:$B,
            0
          ) + 3,
          54
        ),
        1
      ) - CE56)
  * CE55
)</f>
        <v/>
      </c>
      <c r="CF57" s="320"/>
      <c r="CG57" s="289"/>
      <c r="CH57" s="289"/>
      <c r="CI57" s="289"/>
      <c r="CJ57" s="289"/>
      <c r="CK57" s="289"/>
      <c r="CL57" s="289"/>
      <c r="CM57" s="289"/>
      <c r="CN57" s="289"/>
      <c r="CO57" s="289"/>
      <c r="CP57" s="289"/>
      <c r="CQ57" s="289"/>
      <c r="CR57" s="289"/>
      <c r="CS57" s="289"/>
      <c r="CT57" s="289"/>
      <c r="CU57" s="289"/>
      <c r="CV57" s="289"/>
      <c r="CW57" s="289"/>
      <c r="CX57" s="289"/>
      <c r="CY57" s="289"/>
      <c r="CZ57" s="289"/>
    </row>
    <row r="58" spans="1:104" x14ac:dyDescent="0.45">
      <c r="A58" s="289"/>
      <c r="B58" s="392" t="s">
        <v>38</v>
      </c>
      <c r="C58" s="457">
        <f>IFERROR(
  'Hulp (overig)'!$C$21,
  ""
)</f>
        <v>0.5</v>
      </c>
      <c r="D58" s="442"/>
      <c r="E58" s="482" t="str">
        <f ca="1">IF(D16="","",(E57*$C58)/E54)</f>
        <v/>
      </c>
      <c r="F58" s="442"/>
      <c r="G58" s="482" t="str">
        <f ca="1">IF(F16="","",(G57*$C58)/G54)</f>
        <v/>
      </c>
      <c r="H58" s="442"/>
      <c r="I58" s="482" t="str">
        <f ca="1">IF(H16="","",(I57*$C58)/I54)</f>
        <v/>
      </c>
      <c r="J58" s="442"/>
      <c r="K58" s="482" t="str">
        <f ca="1">IF(J16="","",(K57*$C58)/K54)</f>
        <v/>
      </c>
      <c r="L58" s="442"/>
      <c r="M58" s="482" t="str">
        <f ca="1">IF(L16="","",(M57*$C58)/M54)</f>
        <v/>
      </c>
      <c r="N58" s="442"/>
      <c r="O58" s="482" t="str">
        <f ca="1">IF(N16="","",(O57*$C58)/O54)</f>
        <v/>
      </c>
      <c r="P58" s="442"/>
      <c r="Q58" s="482" t="str">
        <f ca="1">IF(P16="","",(Q57*$C58)/Q54)</f>
        <v/>
      </c>
      <c r="R58" s="442"/>
      <c r="S58" s="482" t="str">
        <f ca="1">IF(R16="","",(S57*$C58)/S54)</f>
        <v/>
      </c>
      <c r="T58" s="442"/>
      <c r="U58" s="482" t="str">
        <f ca="1">IF(T16="","",(U57*$C58)/U54)</f>
        <v/>
      </c>
      <c r="V58" s="442"/>
      <c r="W58" s="482" t="str">
        <f ca="1">IF(V16="","",(W57*$C58)/W54)</f>
        <v/>
      </c>
      <c r="X58" s="442"/>
      <c r="Y58" s="482" t="str">
        <f ca="1">IF(X16="","",(Y57*$C58)/Y54)</f>
        <v/>
      </c>
      <c r="Z58" s="442"/>
      <c r="AA58" s="482" t="str">
        <f ca="1">IF(Z16="","",(AA57*$C58)/AA54)</f>
        <v/>
      </c>
      <c r="AB58" s="442"/>
      <c r="AC58" s="482" t="str">
        <f ca="1">IF(AB16="","",(AC57*$C58)/AC54)</f>
        <v/>
      </c>
      <c r="AD58" s="442"/>
      <c r="AE58" s="482" t="str">
        <f ca="1">IF(AD16="","",(AE57*$C58)/AE54)</f>
        <v/>
      </c>
      <c r="AF58" s="442"/>
      <c r="AG58" s="482" t="str">
        <f ca="1">IF(AF16="","",(AG57*$C58)/AG54)</f>
        <v/>
      </c>
      <c r="AH58" s="442"/>
      <c r="AI58" s="482" t="str">
        <f ca="1">IF(AH16="","",(AI57*$C58)/AI54)</f>
        <v/>
      </c>
      <c r="AJ58" s="442"/>
      <c r="AK58" s="482" t="str">
        <f ca="1">IF(AJ16="","",(AK57*$C58)/AK54)</f>
        <v/>
      </c>
      <c r="AL58" s="442"/>
      <c r="AM58" s="482" t="str">
        <f ca="1">IF(AL16="","",(AM57*$C58)/AM54)</f>
        <v/>
      </c>
      <c r="AN58" s="442"/>
      <c r="AO58" s="482" t="str">
        <f ca="1">IF(AN16="","",(AO57*$C58)/AO54)</f>
        <v/>
      </c>
      <c r="AP58" s="442"/>
      <c r="AQ58" s="482" t="str">
        <f ca="1">IF(AP16="","",(AQ57*$C58)/AQ54)</f>
        <v/>
      </c>
      <c r="AR58" s="442"/>
      <c r="AS58" s="482" t="str">
        <f ca="1">IF(AR16="","",(AS57*$C58)/AS54)</f>
        <v/>
      </c>
      <c r="AT58" s="442"/>
      <c r="AU58" s="482" t="str">
        <f ca="1">IF(AT16="","",(AU57*$C58)/AU54)</f>
        <v/>
      </c>
      <c r="AV58" s="442"/>
      <c r="AW58" s="482" t="str">
        <f ca="1">IF(AV16="","",(AW57*$C58)/AW54)</f>
        <v/>
      </c>
      <c r="AX58" s="442"/>
      <c r="AY58" s="482" t="str">
        <f ca="1">IF(AX16="","",(AY57*$C58)/AY54)</f>
        <v/>
      </c>
      <c r="AZ58" s="442"/>
      <c r="BA58" s="482" t="str">
        <f ca="1">IF(AZ16="","",(BA57*$C58)/BA54)</f>
        <v/>
      </c>
      <c r="BB58" s="442"/>
      <c r="BC58" s="482" t="str">
        <f ca="1">IF(BB16="","",(BC57*$C58)/BC54)</f>
        <v/>
      </c>
      <c r="BD58" s="442"/>
      <c r="BE58" s="482" t="str">
        <f ca="1">IF(BD16="","",(BE57*$C58)/BE54)</f>
        <v/>
      </c>
      <c r="BF58" s="442"/>
      <c r="BG58" s="482" t="str">
        <f ca="1">IF(BF16="","",(BG57*$C58)/BG54)</f>
        <v/>
      </c>
      <c r="BH58" s="442"/>
      <c r="BI58" s="482" t="str">
        <f ca="1">IF(BH16="","",(BI57*$C58)/BI54)</f>
        <v/>
      </c>
      <c r="BJ58" s="442"/>
      <c r="BK58" s="482" t="str">
        <f ca="1">IF(BJ16="","",(BK57*$C58)/BK54)</f>
        <v/>
      </c>
      <c r="BL58" s="442"/>
      <c r="BM58" s="482" t="str">
        <f ca="1">IF(BL16="","",(BM57*$C58)/BM54)</f>
        <v/>
      </c>
      <c r="BN58" s="442"/>
      <c r="BO58" s="482" t="str">
        <f ca="1">IF(BN16="","",(BO57*$C58)/BO54)</f>
        <v/>
      </c>
      <c r="BP58" s="442"/>
      <c r="BQ58" s="482" t="str">
        <f ca="1">IF(BP16="","",(BQ57*$C58)/BQ54)</f>
        <v/>
      </c>
      <c r="BR58" s="442"/>
      <c r="BS58" s="482" t="str">
        <f ca="1">IF(BR16="","",(BS57*$C58)/BS54)</f>
        <v/>
      </c>
      <c r="BT58" s="442"/>
      <c r="BU58" s="482" t="str">
        <f ca="1">IF(BT16="","",(BU57*$C58)/BU54)</f>
        <v/>
      </c>
      <c r="BV58" s="442"/>
      <c r="BW58" s="482" t="str">
        <f ca="1">IF(BV16="","",(BW57*$C58)/BW54)</f>
        <v/>
      </c>
      <c r="BX58" s="442"/>
      <c r="BY58" s="482" t="str">
        <f ca="1">IF(BX16="","",(BY57*$C58)/BY54)</f>
        <v/>
      </c>
      <c r="BZ58" s="442"/>
      <c r="CA58" s="482" t="str">
        <f ca="1">IF(BZ16="","",(CA57*$C58)/CA54)</f>
        <v/>
      </c>
      <c r="CB58" s="442"/>
      <c r="CC58" s="482" t="str">
        <f ca="1">IF(CB16="","",(CC57*$C58)/CC54)</f>
        <v/>
      </c>
      <c r="CD58" s="442"/>
      <c r="CE58" s="482" t="str">
        <f ca="1">IF(CD16="","",(CE57*$C58)/CE54)</f>
        <v/>
      </c>
      <c r="CF58" s="320"/>
      <c r="CG58" s="289"/>
      <c r="CH58" s="289"/>
      <c r="CI58" s="289"/>
      <c r="CJ58" s="289"/>
      <c r="CK58" s="289"/>
      <c r="CL58" s="289"/>
      <c r="CM58" s="289"/>
      <c r="CN58" s="289"/>
      <c r="CO58" s="289"/>
      <c r="CP58" s="289"/>
      <c r="CQ58" s="289"/>
      <c r="CR58" s="289"/>
      <c r="CS58" s="289"/>
      <c r="CT58" s="289"/>
      <c r="CU58" s="289"/>
      <c r="CV58" s="289"/>
      <c r="CW58" s="289"/>
      <c r="CX58" s="289"/>
      <c r="CY58" s="289"/>
      <c r="CZ58" s="289"/>
    </row>
    <row r="59" spans="1:104" x14ac:dyDescent="0.45">
      <c r="A59" s="289"/>
      <c r="B59" s="432" t="s">
        <v>785</v>
      </c>
      <c r="C59" s="457">
        <f>IFERROR(
  'Hulp (overig)'!$C$22,
  ""
)</f>
        <v>0</v>
      </c>
      <c r="D59" s="442"/>
      <c r="E59" s="479" t="str">
        <f ca="1">IF(D16="","",$C59)</f>
        <v/>
      </c>
      <c r="F59" s="442"/>
      <c r="G59" s="479" t="str">
        <f ca="1">IF(F16="","",$C59)</f>
        <v/>
      </c>
      <c r="H59" s="442"/>
      <c r="I59" s="479" t="str">
        <f ca="1">IF(H16="","",$C59)</f>
        <v/>
      </c>
      <c r="J59" s="442"/>
      <c r="K59" s="479" t="str">
        <f ca="1">IF(J16="","",$C59)</f>
        <v/>
      </c>
      <c r="L59" s="442"/>
      <c r="M59" s="479" t="str">
        <f ca="1">IF(L16="","",$C59)</f>
        <v/>
      </c>
      <c r="N59" s="442"/>
      <c r="O59" s="479" t="str">
        <f ca="1">IF(N16="","",$C59)</f>
        <v/>
      </c>
      <c r="P59" s="442"/>
      <c r="Q59" s="479" t="str">
        <f ca="1">IF(P16="","",$C59)</f>
        <v/>
      </c>
      <c r="R59" s="442"/>
      <c r="S59" s="479" t="str">
        <f ca="1">IF(R16="","",$C59)</f>
        <v/>
      </c>
      <c r="T59" s="442"/>
      <c r="U59" s="479" t="str">
        <f ca="1">IF(T16="","",$C59)</f>
        <v/>
      </c>
      <c r="V59" s="442"/>
      <c r="W59" s="479" t="str">
        <f ca="1">IF(V16="","",$C59)</f>
        <v/>
      </c>
      <c r="X59" s="442"/>
      <c r="Y59" s="479" t="str">
        <f ca="1">IF(X16="","",$C59)</f>
        <v/>
      </c>
      <c r="Z59" s="442"/>
      <c r="AA59" s="479" t="str">
        <f ca="1">IF(Z16="","",$C59)</f>
        <v/>
      </c>
      <c r="AB59" s="442"/>
      <c r="AC59" s="479" t="str">
        <f ca="1">IF(AB16="","",$C59)</f>
        <v/>
      </c>
      <c r="AD59" s="442"/>
      <c r="AE59" s="479" t="str">
        <f ca="1">IF(AD16="","",$C59)</f>
        <v/>
      </c>
      <c r="AF59" s="442"/>
      <c r="AG59" s="479" t="str">
        <f ca="1">IF(AF16="","",$C59)</f>
        <v/>
      </c>
      <c r="AH59" s="442"/>
      <c r="AI59" s="479" t="str">
        <f ca="1">IF(AH16="","",$C59)</f>
        <v/>
      </c>
      <c r="AJ59" s="442"/>
      <c r="AK59" s="479" t="str">
        <f ca="1">IF(AJ16="","",$C59)</f>
        <v/>
      </c>
      <c r="AL59" s="442"/>
      <c r="AM59" s="479" t="str">
        <f ca="1">IF(AL16="","",$C59)</f>
        <v/>
      </c>
      <c r="AN59" s="442"/>
      <c r="AO59" s="479" t="str">
        <f ca="1">IF(AN16="","",$C59)</f>
        <v/>
      </c>
      <c r="AP59" s="442"/>
      <c r="AQ59" s="479" t="str">
        <f ca="1">IF(AP16="","",$C59)</f>
        <v/>
      </c>
      <c r="AR59" s="442"/>
      <c r="AS59" s="479" t="str">
        <f ca="1">IF(AR16="","",$C59)</f>
        <v/>
      </c>
      <c r="AT59" s="442"/>
      <c r="AU59" s="479" t="str">
        <f ca="1">IF(AT16="","",$C59)</f>
        <v/>
      </c>
      <c r="AV59" s="442"/>
      <c r="AW59" s="479" t="str">
        <f ca="1">IF(AV16="","",$C59)</f>
        <v/>
      </c>
      <c r="AX59" s="442"/>
      <c r="AY59" s="479" t="str">
        <f ca="1">IF(AX16="","",$C59)</f>
        <v/>
      </c>
      <c r="AZ59" s="442"/>
      <c r="BA59" s="479" t="str">
        <f ca="1">IF(AZ16="","",$C59)</f>
        <v/>
      </c>
      <c r="BB59" s="442"/>
      <c r="BC59" s="479" t="str">
        <f ca="1">IF(BB16="","",$C59)</f>
        <v/>
      </c>
      <c r="BD59" s="442"/>
      <c r="BE59" s="479" t="str">
        <f ca="1">IF(BD16="","",$C59)</f>
        <v/>
      </c>
      <c r="BF59" s="442"/>
      <c r="BG59" s="479" t="str">
        <f ca="1">IF(BF16="","",$C59)</f>
        <v/>
      </c>
      <c r="BH59" s="442"/>
      <c r="BI59" s="479" t="str">
        <f ca="1">IF(BH16="","",$C59)</f>
        <v/>
      </c>
      <c r="BJ59" s="442"/>
      <c r="BK59" s="479" t="str">
        <f ca="1">IF(BJ16="","",$C59)</f>
        <v/>
      </c>
      <c r="BL59" s="442"/>
      <c r="BM59" s="479" t="str">
        <f ca="1">IF(BL16="","",$C59)</f>
        <v/>
      </c>
      <c r="BN59" s="442"/>
      <c r="BO59" s="479" t="str">
        <f ca="1">IF(BN16="","",$C59)</f>
        <v/>
      </c>
      <c r="BP59" s="442"/>
      <c r="BQ59" s="479" t="str">
        <f ca="1">IF(BP16="","",$C59)</f>
        <v/>
      </c>
      <c r="BR59" s="442"/>
      <c r="BS59" s="479" t="str">
        <f ca="1">IF(BR16="","",$C59)</f>
        <v/>
      </c>
      <c r="BT59" s="442"/>
      <c r="BU59" s="479" t="str">
        <f ca="1">IF(BT16="","",$C59)</f>
        <v/>
      </c>
      <c r="BV59" s="442"/>
      <c r="BW59" s="479" t="str">
        <f ca="1">IF(BV16="","",$C59)</f>
        <v/>
      </c>
      <c r="BX59" s="442"/>
      <c r="BY59" s="479" t="str">
        <f ca="1">IF(BX16="","",$C59)</f>
        <v/>
      </c>
      <c r="BZ59" s="442"/>
      <c r="CA59" s="479" t="str">
        <f ca="1">IF(BZ16="","",$C59)</f>
        <v/>
      </c>
      <c r="CB59" s="442"/>
      <c r="CC59" s="479" t="str">
        <f ca="1">IF(CB16="","",$C59)</f>
        <v/>
      </c>
      <c r="CD59" s="442"/>
      <c r="CE59" s="479" t="str">
        <f ca="1">IF(CD16="","",$C59)</f>
        <v/>
      </c>
      <c r="CF59" s="320"/>
      <c r="CG59" s="289"/>
      <c r="CH59" s="289"/>
      <c r="CI59" s="289"/>
      <c r="CJ59" s="289"/>
      <c r="CK59" s="289"/>
      <c r="CL59" s="289"/>
      <c r="CM59" s="289"/>
      <c r="CN59" s="289"/>
      <c r="CO59" s="289"/>
      <c r="CP59" s="289"/>
      <c r="CQ59" s="289"/>
      <c r="CR59" s="289"/>
      <c r="CS59" s="289"/>
      <c r="CT59" s="289"/>
      <c r="CU59" s="289"/>
      <c r="CV59" s="289"/>
      <c r="CW59" s="289"/>
      <c r="CX59" s="289"/>
      <c r="CY59" s="289"/>
      <c r="CZ59" s="289"/>
    </row>
    <row r="60" spans="1:104" x14ac:dyDescent="0.45">
      <c r="A60" s="289"/>
      <c r="B60" s="432" t="s">
        <v>1061</v>
      </c>
      <c r="C60" s="480">
        <f>IFERROR(
  'Hulp (overig)'!C9,
  ""
)</f>
        <v>28405</v>
      </c>
      <c r="D60" s="476"/>
      <c r="E60" s="481" t="str">
        <f ca="1">IF(D16="","",$C60)</f>
        <v/>
      </c>
      <c r="F60" s="476"/>
      <c r="G60" s="481" t="str">
        <f ca="1">IF(F16="","",$C60)</f>
        <v/>
      </c>
      <c r="H60" s="476"/>
      <c r="I60" s="481" t="str">
        <f ca="1">IF(H16="","",$C60)</f>
        <v/>
      </c>
      <c r="J60" s="476"/>
      <c r="K60" s="481" t="str">
        <f ca="1">IF(J16="","",$C60)</f>
        <v/>
      </c>
      <c r="L60" s="476"/>
      <c r="M60" s="481" t="str">
        <f ca="1">IF(L16="","",$C60)</f>
        <v/>
      </c>
      <c r="N60" s="476"/>
      <c r="O60" s="481" t="str">
        <f ca="1">IF(N16="","",$C60)</f>
        <v/>
      </c>
      <c r="P60" s="476"/>
      <c r="Q60" s="481" t="str">
        <f ca="1">IF(P16="","",$C60)</f>
        <v/>
      </c>
      <c r="R60" s="476"/>
      <c r="S60" s="481" t="str">
        <f ca="1">IF(R16="","",$C60)</f>
        <v/>
      </c>
      <c r="T60" s="476"/>
      <c r="U60" s="481" t="str">
        <f ca="1">IF(T16="","",$C60)</f>
        <v/>
      </c>
      <c r="V60" s="476"/>
      <c r="W60" s="481" t="str">
        <f ca="1">IF(V16="","",$C60)</f>
        <v/>
      </c>
      <c r="X60" s="476"/>
      <c r="Y60" s="481" t="str">
        <f ca="1">IF(X16="","",$C60)</f>
        <v/>
      </c>
      <c r="Z60" s="476"/>
      <c r="AA60" s="481" t="str">
        <f ca="1">IF(Z16="","",$C60)</f>
        <v/>
      </c>
      <c r="AB60" s="476"/>
      <c r="AC60" s="481" t="str">
        <f ca="1">IF(AB16="","",$C60)</f>
        <v/>
      </c>
      <c r="AD60" s="476"/>
      <c r="AE60" s="481" t="str">
        <f ca="1">IF(AD16="","",$C60)</f>
        <v/>
      </c>
      <c r="AF60" s="476"/>
      <c r="AG60" s="481" t="str">
        <f ca="1">IF(AF16="","",$C60)</f>
        <v/>
      </c>
      <c r="AH60" s="476"/>
      <c r="AI60" s="481" t="str">
        <f ca="1">IF(AH16="","",$C60)</f>
        <v/>
      </c>
      <c r="AJ60" s="476"/>
      <c r="AK60" s="481" t="str">
        <f ca="1">IF(AJ16="","",$C60)</f>
        <v/>
      </c>
      <c r="AL60" s="476"/>
      <c r="AM60" s="481" t="str">
        <f ca="1">IF(AL16="","",$C60)</f>
        <v/>
      </c>
      <c r="AN60" s="476"/>
      <c r="AO60" s="481" t="str">
        <f ca="1">IF(AN16="","",$C60)</f>
        <v/>
      </c>
      <c r="AP60" s="476"/>
      <c r="AQ60" s="481" t="str">
        <f ca="1">IF(AP16="","",$C60)</f>
        <v/>
      </c>
      <c r="AR60" s="476"/>
      <c r="AS60" s="481" t="str">
        <f ca="1">IF(AR16="","",$C60)</f>
        <v/>
      </c>
      <c r="AT60" s="476"/>
      <c r="AU60" s="481" t="str">
        <f ca="1">IF(AT16="","",$C60)</f>
        <v/>
      </c>
      <c r="AV60" s="476"/>
      <c r="AW60" s="481" t="str">
        <f ca="1">IF(AV16="","",$C60)</f>
        <v/>
      </c>
      <c r="AX60" s="476"/>
      <c r="AY60" s="481" t="str">
        <f ca="1">IF(AX16="","",$C60)</f>
        <v/>
      </c>
      <c r="AZ60" s="476"/>
      <c r="BA60" s="481" t="str">
        <f ca="1">IF(AZ16="","",$C60)</f>
        <v/>
      </c>
      <c r="BB60" s="476"/>
      <c r="BC60" s="481" t="str">
        <f ca="1">IF(BB16="","",$C60)</f>
        <v/>
      </c>
      <c r="BD60" s="476"/>
      <c r="BE60" s="481" t="str">
        <f ca="1">IF(BD16="","",$C60)</f>
        <v/>
      </c>
      <c r="BF60" s="476"/>
      <c r="BG60" s="481" t="str">
        <f ca="1">IF(BF16="","",$C60)</f>
        <v/>
      </c>
      <c r="BH60" s="476"/>
      <c r="BI60" s="481" t="str">
        <f ca="1">IF(BH16="","",$C60)</f>
        <v/>
      </c>
      <c r="BJ60" s="476"/>
      <c r="BK60" s="481" t="str">
        <f ca="1">IF(BJ16="","",$C60)</f>
        <v/>
      </c>
      <c r="BL60" s="476"/>
      <c r="BM60" s="481" t="str">
        <f ca="1">IF(BL16="","",$C60)</f>
        <v/>
      </c>
      <c r="BN60" s="476"/>
      <c r="BO60" s="481" t="str">
        <f ca="1">IF(BN16="","",$C60)</f>
        <v/>
      </c>
      <c r="BP60" s="476"/>
      <c r="BQ60" s="481" t="str">
        <f ca="1">IF(BP16="","",$C60)</f>
        <v/>
      </c>
      <c r="BR60" s="476"/>
      <c r="BS60" s="481" t="str">
        <f ca="1">IF(BR16="","",$C60)</f>
        <v/>
      </c>
      <c r="BT60" s="476"/>
      <c r="BU60" s="481" t="str">
        <f ca="1">IF(BT16="","",$C60)</f>
        <v/>
      </c>
      <c r="BV60" s="476"/>
      <c r="BW60" s="481" t="str">
        <f ca="1">IF(BV16="","",$C60)</f>
        <v/>
      </c>
      <c r="BX60" s="476"/>
      <c r="BY60" s="481" t="str">
        <f ca="1">IF(BX16="","",$C60)</f>
        <v/>
      </c>
      <c r="BZ60" s="476"/>
      <c r="CA60" s="481" t="str">
        <f ca="1">IF(BZ16="","",$C60)</f>
        <v/>
      </c>
      <c r="CB60" s="476"/>
      <c r="CC60" s="481" t="str">
        <f ca="1">IF(CB16="","",$C60)</f>
        <v/>
      </c>
      <c r="CD60" s="476"/>
      <c r="CE60" s="481" t="str">
        <f ca="1">IF(CD16="","",$C60)</f>
        <v/>
      </c>
      <c r="CF60" s="320"/>
      <c r="CG60" s="289"/>
      <c r="CH60" s="289"/>
      <c r="CI60" s="289"/>
      <c r="CJ60" s="289"/>
      <c r="CK60" s="289"/>
      <c r="CL60" s="289"/>
      <c r="CM60" s="289"/>
      <c r="CN60" s="289"/>
      <c r="CO60" s="289"/>
      <c r="CP60" s="289"/>
      <c r="CQ60" s="289"/>
      <c r="CR60" s="289"/>
      <c r="CS60" s="289"/>
      <c r="CT60" s="289"/>
      <c r="CU60" s="289"/>
      <c r="CV60" s="289"/>
      <c r="CW60" s="289"/>
      <c r="CX60" s="289"/>
      <c r="CY60" s="289"/>
      <c r="CZ60" s="289"/>
    </row>
    <row r="61" spans="1:104" x14ac:dyDescent="0.45">
      <c r="A61" s="289"/>
      <c r="B61" s="432" t="s">
        <v>40</v>
      </c>
      <c r="D61" s="461"/>
      <c r="E61" s="483" t="str">
        <f ca="1">IF(D16="","",(E54-E60)*E59)</f>
        <v/>
      </c>
      <c r="F61" s="461"/>
      <c r="G61" s="483" t="str">
        <f ca="1">IF(F16="","",(G54-G60)*G59)</f>
        <v/>
      </c>
      <c r="H61" s="461"/>
      <c r="I61" s="483" t="str">
        <f ca="1">IF(H16="","",(I54-I60)*I59)</f>
        <v/>
      </c>
      <c r="J61" s="461"/>
      <c r="K61" s="483" t="str">
        <f ca="1">IF(J16="","",(K54-K60)*K59)</f>
        <v/>
      </c>
      <c r="L61" s="461"/>
      <c r="M61" s="483" t="str">
        <f ca="1">IF(L16="","",(M54-M60)*M59)</f>
        <v/>
      </c>
      <c r="N61" s="461"/>
      <c r="O61" s="483" t="str">
        <f ca="1">IF(N16="","",(O54-O60)*O59)</f>
        <v/>
      </c>
      <c r="P61" s="461"/>
      <c r="Q61" s="483" t="str">
        <f ca="1">IF(P16="","",(Q54-Q60)*Q59)</f>
        <v/>
      </c>
      <c r="R61" s="461"/>
      <c r="S61" s="483" t="str">
        <f ca="1">IF(R16="","",(S54-S60)*S59)</f>
        <v/>
      </c>
      <c r="T61" s="461"/>
      <c r="U61" s="483" t="str">
        <f ca="1">IF(T16="","",(U54-U60)*U59)</f>
        <v/>
      </c>
      <c r="V61" s="461"/>
      <c r="W61" s="483" t="str">
        <f ca="1">IF(V16="","",(W54-W60)*W59)</f>
        <v/>
      </c>
      <c r="X61" s="461"/>
      <c r="Y61" s="483" t="str">
        <f ca="1">IF(X16="","",(Y54-Y60)*Y59)</f>
        <v/>
      </c>
      <c r="Z61" s="461"/>
      <c r="AA61" s="483" t="str">
        <f ca="1">IF(Z16="","",(AA54-AA60)*AA59)</f>
        <v/>
      </c>
      <c r="AB61" s="461"/>
      <c r="AC61" s="483" t="str">
        <f ca="1">IF(AB16="","",(AC54-AC60)*AC59)</f>
        <v/>
      </c>
      <c r="AD61" s="461"/>
      <c r="AE61" s="483" t="str">
        <f ca="1">IF(AD16="","",(AE54-AE60)*AE59)</f>
        <v/>
      </c>
      <c r="AF61" s="461"/>
      <c r="AG61" s="483" t="str">
        <f ca="1">IF(AF16="","",(AG54-AG60)*AG59)</f>
        <v/>
      </c>
      <c r="AH61" s="461"/>
      <c r="AI61" s="483" t="str">
        <f ca="1">IF(AH16="","",(AI54-AI60)*AI59)</f>
        <v/>
      </c>
      <c r="AJ61" s="461"/>
      <c r="AK61" s="483" t="str">
        <f ca="1">IF(AJ16="","",(AK54-AK60)*AK59)</f>
        <v/>
      </c>
      <c r="AL61" s="461"/>
      <c r="AM61" s="483" t="str">
        <f ca="1">IF(AL16="","",(AM54-AM60)*AM59)</f>
        <v/>
      </c>
      <c r="AN61" s="461"/>
      <c r="AO61" s="483" t="str">
        <f ca="1">IF(AN16="","",(AO54-AO60)*AO59)</f>
        <v/>
      </c>
      <c r="AP61" s="461"/>
      <c r="AQ61" s="483" t="str">
        <f ca="1">IF(AP16="","",(AQ54-AQ60)*AQ59)</f>
        <v/>
      </c>
      <c r="AR61" s="461"/>
      <c r="AS61" s="483" t="str">
        <f ca="1">IF(AR16="","",(AS54-AS60)*AS59)</f>
        <v/>
      </c>
      <c r="AT61" s="461"/>
      <c r="AU61" s="483" t="str">
        <f ca="1">IF(AT16="","",(AU54-AU60)*AU59)</f>
        <v/>
      </c>
      <c r="AV61" s="461"/>
      <c r="AW61" s="483" t="str">
        <f ca="1">IF(AV16="","",(AW54-AW60)*AW59)</f>
        <v/>
      </c>
      <c r="AX61" s="461"/>
      <c r="AY61" s="483" t="str">
        <f ca="1">IF(AX16="","",(AY54-AY60)*AY59)</f>
        <v/>
      </c>
      <c r="AZ61" s="461"/>
      <c r="BA61" s="483" t="str">
        <f ca="1">IF(AZ16="","",(BA54-BA60)*BA59)</f>
        <v/>
      </c>
      <c r="BB61" s="461"/>
      <c r="BC61" s="483" t="str">
        <f ca="1">IF(BB16="","",(BC54-BC60)*BC59)</f>
        <v/>
      </c>
      <c r="BD61" s="461"/>
      <c r="BE61" s="483" t="str">
        <f ca="1">IF(BD16="","",(BE54-BE60)*BE59)</f>
        <v/>
      </c>
      <c r="BF61" s="461"/>
      <c r="BG61" s="483" t="str">
        <f ca="1">IF(BF16="","",(BG54-BG60)*BG59)</f>
        <v/>
      </c>
      <c r="BH61" s="461"/>
      <c r="BI61" s="483" t="str">
        <f ca="1">IF(BH16="","",(BI54-BI60)*BI59)</f>
        <v/>
      </c>
      <c r="BJ61" s="461"/>
      <c r="BK61" s="483" t="str">
        <f ca="1">IF(BJ16="","",(BK54-BK60)*BK59)</f>
        <v/>
      </c>
      <c r="BL61" s="461"/>
      <c r="BM61" s="483" t="str">
        <f ca="1">IF(BL16="","",(BM54-BM60)*BM59)</f>
        <v/>
      </c>
      <c r="BN61" s="461"/>
      <c r="BO61" s="483" t="str">
        <f ca="1">IF(BN16="","",(BO54-BO60)*BO59)</f>
        <v/>
      </c>
      <c r="BP61" s="461"/>
      <c r="BQ61" s="483" t="str">
        <f ca="1">IF(BP16="","",(BQ54-BQ60)*BQ59)</f>
        <v/>
      </c>
      <c r="BR61" s="461"/>
      <c r="BS61" s="483" t="str">
        <f ca="1">IF(BR16="","",(BS54-BS60)*BS59)</f>
        <v/>
      </c>
      <c r="BT61" s="461"/>
      <c r="BU61" s="483" t="str">
        <f ca="1">IF(BT16="","",(BU54-BU60)*BU59)</f>
        <v/>
      </c>
      <c r="BV61" s="461"/>
      <c r="BW61" s="483" t="str">
        <f ca="1">IF(BV16="","",(BW54-BW60)*BW59)</f>
        <v/>
      </c>
      <c r="BX61" s="461"/>
      <c r="BY61" s="483" t="str">
        <f ca="1">IF(BX16="","",(BY54-BY60)*BY59)</f>
        <v/>
      </c>
      <c r="BZ61" s="461"/>
      <c r="CA61" s="483" t="str">
        <f ca="1">IF(BZ16="","",(CA54-CA60)*CA59)</f>
        <v/>
      </c>
      <c r="CB61" s="461"/>
      <c r="CC61" s="483" t="str">
        <f ca="1">IF(CB16="","",(CC54-CC60)*CC59)</f>
        <v/>
      </c>
      <c r="CD61" s="461"/>
      <c r="CE61" s="483" t="str">
        <f ca="1">IF(CD16="","",(CE54-CE60)*CE59)</f>
        <v/>
      </c>
      <c r="CF61" s="320"/>
      <c r="CG61" s="289"/>
      <c r="CH61" s="289"/>
      <c r="CI61" s="289"/>
      <c r="CJ61" s="289"/>
      <c r="CK61" s="289"/>
      <c r="CL61" s="289"/>
      <c r="CM61" s="289"/>
      <c r="CN61" s="289"/>
      <c r="CO61" s="289"/>
      <c r="CP61" s="289"/>
      <c r="CQ61" s="289"/>
      <c r="CR61" s="289"/>
      <c r="CS61" s="289"/>
      <c r="CT61" s="289"/>
      <c r="CU61" s="289"/>
      <c r="CV61" s="289"/>
      <c r="CW61" s="289"/>
      <c r="CX61" s="289"/>
      <c r="CY61" s="289"/>
      <c r="CZ61" s="289"/>
    </row>
    <row r="62" spans="1:104" x14ac:dyDescent="0.45">
      <c r="A62" s="289"/>
      <c r="B62" s="392" t="s">
        <v>41</v>
      </c>
      <c r="C62" s="457">
        <f>IFERROR(
  'Hulp (overig)'!$C$23,
  ""
)</f>
        <v>0</v>
      </c>
      <c r="D62" s="442"/>
      <c r="E62" s="482" t="str">
        <f ca="1">IF(D16="","",(E61*$C62)/E54)</f>
        <v/>
      </c>
      <c r="F62" s="442"/>
      <c r="G62" s="482" t="str">
        <f ca="1">IF(F16="","",(G61*$C62)/G54)</f>
        <v/>
      </c>
      <c r="H62" s="442"/>
      <c r="I62" s="482" t="str">
        <f ca="1">IF(H16="","",(I61*$C62)/I54)</f>
        <v/>
      </c>
      <c r="J62" s="442"/>
      <c r="K62" s="482" t="str">
        <f ca="1">IF(J16="","",(K61*$C62)/K54)</f>
        <v/>
      </c>
      <c r="L62" s="442"/>
      <c r="M62" s="482" t="str">
        <f ca="1">IF(L16="","",(M61*$C62)/M54)</f>
        <v/>
      </c>
      <c r="N62" s="442"/>
      <c r="O62" s="482" t="str">
        <f ca="1">IF(N16="","",(O61*$C62)/O54)</f>
        <v/>
      </c>
      <c r="P62" s="442"/>
      <c r="Q62" s="482" t="str">
        <f ca="1">IF(P16="","",(Q61*$C62)/Q54)</f>
        <v/>
      </c>
      <c r="R62" s="442"/>
      <c r="S62" s="482" t="str">
        <f ca="1">IF(R16="","",(S61*$C62)/S54)</f>
        <v/>
      </c>
      <c r="T62" s="442"/>
      <c r="U62" s="482" t="str">
        <f ca="1">IF(T16="","",(U61*$C62)/U54)</f>
        <v/>
      </c>
      <c r="V62" s="442"/>
      <c r="W62" s="482" t="str">
        <f ca="1">IF(V16="","",(W61*$C62)/W54)</f>
        <v/>
      </c>
      <c r="X62" s="442"/>
      <c r="Y62" s="482" t="str">
        <f ca="1">IF(X16="","",(Y61*$C62)/Y54)</f>
        <v/>
      </c>
      <c r="Z62" s="442"/>
      <c r="AA62" s="482" t="str">
        <f ca="1">IF(Z16="","",(AA61*$C62)/AA54)</f>
        <v/>
      </c>
      <c r="AB62" s="442"/>
      <c r="AC62" s="482" t="str">
        <f ca="1">IF(AB16="","",(AC61*$C62)/AC54)</f>
        <v/>
      </c>
      <c r="AD62" s="442"/>
      <c r="AE62" s="482" t="str">
        <f ca="1">IF(AD16="","",(AE61*$C62)/AE54)</f>
        <v/>
      </c>
      <c r="AF62" s="442"/>
      <c r="AG62" s="482" t="str">
        <f ca="1">IF(AF16="","",(AG61*$C62)/AG54)</f>
        <v/>
      </c>
      <c r="AH62" s="442"/>
      <c r="AI62" s="482" t="str">
        <f ca="1">IF(AH16="","",(AI61*$C62)/AI54)</f>
        <v/>
      </c>
      <c r="AJ62" s="442"/>
      <c r="AK62" s="482" t="str">
        <f ca="1">IF(AJ16="","",(AK61*$C62)/AK54)</f>
        <v/>
      </c>
      <c r="AL62" s="442"/>
      <c r="AM62" s="482" t="str">
        <f ca="1">IF(AL16="","",(AM61*$C62)/AM54)</f>
        <v/>
      </c>
      <c r="AN62" s="442"/>
      <c r="AO62" s="482" t="str">
        <f ca="1">IF(AN16="","",(AO61*$C62)/AO54)</f>
        <v/>
      </c>
      <c r="AP62" s="442"/>
      <c r="AQ62" s="482" t="str">
        <f ca="1">IF(AP16="","",(AQ61*$C62)/AQ54)</f>
        <v/>
      </c>
      <c r="AR62" s="442"/>
      <c r="AS62" s="482" t="str">
        <f ca="1">IF(AR16="","",(AS61*$C62)/AS54)</f>
        <v/>
      </c>
      <c r="AT62" s="442"/>
      <c r="AU62" s="482" t="str">
        <f ca="1">IF(AT16="","",(AU61*$C62)/AU54)</f>
        <v/>
      </c>
      <c r="AV62" s="442"/>
      <c r="AW62" s="482" t="str">
        <f ca="1">IF(AV16="","",(AW61*$C62)/AW54)</f>
        <v/>
      </c>
      <c r="AX62" s="442"/>
      <c r="AY62" s="482" t="str">
        <f ca="1">IF(AX16="","",(AY61*$C62)/AY54)</f>
        <v/>
      </c>
      <c r="AZ62" s="442"/>
      <c r="BA62" s="482" t="str">
        <f ca="1">IF(AZ16="","",(BA61*$C62)/BA54)</f>
        <v/>
      </c>
      <c r="BB62" s="442"/>
      <c r="BC62" s="482" t="str">
        <f ca="1">IF(BB16="","",(BC61*$C62)/BC54)</f>
        <v/>
      </c>
      <c r="BD62" s="442"/>
      <c r="BE62" s="482" t="str">
        <f ca="1">IF(BD16="","",(BE61*$C62)/BE54)</f>
        <v/>
      </c>
      <c r="BF62" s="442"/>
      <c r="BG62" s="482" t="str">
        <f ca="1">IF(BF16="","",(BG61*$C62)/BG54)</f>
        <v/>
      </c>
      <c r="BH62" s="442"/>
      <c r="BI62" s="482" t="str">
        <f ca="1">IF(BH16="","",(BI61*$C62)/BI54)</f>
        <v/>
      </c>
      <c r="BJ62" s="442"/>
      <c r="BK62" s="482" t="str">
        <f ca="1">IF(BJ16="","",(BK61*$C62)/BK54)</f>
        <v/>
      </c>
      <c r="BL62" s="442"/>
      <c r="BM62" s="482" t="str">
        <f ca="1">IF(BL16="","",(BM61*$C62)/BM54)</f>
        <v/>
      </c>
      <c r="BN62" s="442"/>
      <c r="BO62" s="482" t="str">
        <f ca="1">IF(BN16="","",(BO61*$C62)/BO54)</f>
        <v/>
      </c>
      <c r="BP62" s="442"/>
      <c r="BQ62" s="482" t="str">
        <f ca="1">IF(BP16="","",(BQ61*$C62)/BQ54)</f>
        <v/>
      </c>
      <c r="BR62" s="442"/>
      <c r="BS62" s="482" t="str">
        <f ca="1">IF(BR16="","",(BS61*$C62)/BS54)</f>
        <v/>
      </c>
      <c r="BT62" s="442"/>
      <c r="BU62" s="482" t="str">
        <f ca="1">IF(BT16="","",(BU61*$C62)/BU54)</f>
        <v/>
      </c>
      <c r="BV62" s="442"/>
      <c r="BW62" s="482" t="str">
        <f ca="1">IF(BV16="","",(BW61*$C62)/BW54)</f>
        <v/>
      </c>
      <c r="BX62" s="442"/>
      <c r="BY62" s="482" t="str">
        <f ca="1">IF(BX16="","",(BY61*$C62)/BY54)</f>
        <v/>
      </c>
      <c r="BZ62" s="442"/>
      <c r="CA62" s="482" t="str">
        <f ca="1">IF(BZ16="","",(CA61*$C62)/CA54)</f>
        <v/>
      </c>
      <c r="CB62" s="442"/>
      <c r="CC62" s="482" t="str">
        <f ca="1">IF(CB16="","",(CC61*$C62)/CC54)</f>
        <v/>
      </c>
      <c r="CD62" s="442"/>
      <c r="CE62" s="482" t="str">
        <f ca="1">IF(CD16="","",(CE61*$C62)/CE54)</f>
        <v/>
      </c>
      <c r="CF62" s="320"/>
      <c r="CG62" s="289"/>
      <c r="CH62" s="289"/>
      <c r="CI62" s="289"/>
      <c r="CJ62" s="289"/>
      <c r="CK62" s="289"/>
      <c r="CL62" s="289"/>
      <c r="CM62" s="289"/>
      <c r="CN62" s="289"/>
      <c r="CO62" s="289"/>
      <c r="CP62" s="289"/>
      <c r="CQ62" s="289"/>
      <c r="CR62" s="289"/>
      <c r="CS62" s="289"/>
      <c r="CT62" s="289"/>
      <c r="CU62" s="289"/>
      <c r="CV62" s="289"/>
      <c r="CW62" s="289"/>
      <c r="CX62" s="289"/>
      <c r="CY62" s="289"/>
      <c r="CZ62" s="289"/>
    </row>
    <row r="63" spans="1:104" ht="14.65" thickBot="1" x14ac:dyDescent="0.5">
      <c r="A63" s="289"/>
      <c r="B63" s="587" t="s">
        <v>42</v>
      </c>
      <c r="C63" s="484"/>
      <c r="D63" s="473"/>
      <c r="E63" s="485" t="str">
        <f ca="1">IF(D16="","",SUM(E62,E58))</f>
        <v/>
      </c>
      <c r="F63" s="473"/>
      <c r="G63" s="485" t="str">
        <f ca="1">IF(F16="","",SUM(G62,G58))</f>
        <v/>
      </c>
      <c r="H63" s="473"/>
      <c r="I63" s="485" t="str">
        <f ca="1">IF(H16="","",SUM(I62,I58))</f>
        <v/>
      </c>
      <c r="J63" s="473"/>
      <c r="K63" s="485" t="str">
        <f ca="1">IF(J16="","",SUM(K62,K58))</f>
        <v/>
      </c>
      <c r="L63" s="473"/>
      <c r="M63" s="485" t="str">
        <f ca="1">IF(L16="","",SUM(M62,M58))</f>
        <v/>
      </c>
      <c r="N63" s="473"/>
      <c r="O63" s="485" t="str">
        <f ca="1">IF(N16="","",SUM(O62,O58))</f>
        <v/>
      </c>
      <c r="P63" s="473"/>
      <c r="Q63" s="485" t="str">
        <f ca="1">IF(P16="","",SUM(Q62,Q58))</f>
        <v/>
      </c>
      <c r="R63" s="473"/>
      <c r="S63" s="485" t="str">
        <f ca="1">IF(R16="","",SUM(S62,S58))</f>
        <v/>
      </c>
      <c r="T63" s="473"/>
      <c r="U63" s="485" t="str">
        <f ca="1">IF(T16="","",SUM(U62,U58))</f>
        <v/>
      </c>
      <c r="V63" s="473"/>
      <c r="W63" s="485" t="str">
        <f ca="1">IF(V16="","",SUM(W62,W58))</f>
        <v/>
      </c>
      <c r="X63" s="473"/>
      <c r="Y63" s="485" t="str">
        <f ca="1">IF(X16="","",SUM(Y62,Y58))</f>
        <v/>
      </c>
      <c r="Z63" s="473"/>
      <c r="AA63" s="485" t="str">
        <f ca="1">IF(Z16="","",SUM(AA62,AA58))</f>
        <v/>
      </c>
      <c r="AB63" s="473"/>
      <c r="AC63" s="485" t="str">
        <f ca="1">IF(AB16="","",SUM(AC62,AC58))</f>
        <v/>
      </c>
      <c r="AD63" s="473"/>
      <c r="AE63" s="485" t="str">
        <f ca="1">IF(AD16="","",SUM(AE62,AE58))</f>
        <v/>
      </c>
      <c r="AF63" s="473"/>
      <c r="AG63" s="485" t="str">
        <f ca="1">IF(AF16="","",SUM(AG62,AG58))</f>
        <v/>
      </c>
      <c r="AH63" s="473"/>
      <c r="AI63" s="485" t="str">
        <f ca="1">IF(AH16="","",SUM(AI62,AI58))</f>
        <v/>
      </c>
      <c r="AJ63" s="473"/>
      <c r="AK63" s="485" t="str">
        <f ca="1">IF(AJ16="","",SUM(AK62,AK58))</f>
        <v/>
      </c>
      <c r="AL63" s="473"/>
      <c r="AM63" s="485" t="str">
        <f ca="1">IF(AL16="","",SUM(AM62,AM58))</f>
        <v/>
      </c>
      <c r="AN63" s="473"/>
      <c r="AO63" s="485" t="str">
        <f ca="1">IF(AN16="","",SUM(AO62,AO58))</f>
        <v/>
      </c>
      <c r="AP63" s="473"/>
      <c r="AQ63" s="485" t="str">
        <f ca="1">IF(AP16="","",SUM(AQ62,AQ58))</f>
        <v/>
      </c>
      <c r="AR63" s="473"/>
      <c r="AS63" s="485" t="str">
        <f ca="1">IF(AR16="","",SUM(AS62,AS58))</f>
        <v/>
      </c>
      <c r="AT63" s="473"/>
      <c r="AU63" s="485" t="str">
        <f ca="1">IF(AT16="","",SUM(AU62,AU58))</f>
        <v/>
      </c>
      <c r="AV63" s="473"/>
      <c r="AW63" s="485" t="str">
        <f ca="1">IF(AV16="","",SUM(AW62,AW58))</f>
        <v/>
      </c>
      <c r="AX63" s="473"/>
      <c r="AY63" s="485" t="str">
        <f ca="1">IF(AX16="","",SUM(AY62,AY58))</f>
        <v/>
      </c>
      <c r="AZ63" s="473"/>
      <c r="BA63" s="485" t="str">
        <f ca="1">IF(AZ16="","",SUM(BA62,BA58))</f>
        <v/>
      </c>
      <c r="BB63" s="473"/>
      <c r="BC63" s="485" t="str">
        <f ca="1">IF(BB16="","",SUM(BC62,BC58))</f>
        <v/>
      </c>
      <c r="BD63" s="473"/>
      <c r="BE63" s="485" t="str">
        <f ca="1">IF(BD16="","",SUM(BE62,BE58))</f>
        <v/>
      </c>
      <c r="BF63" s="473"/>
      <c r="BG63" s="485" t="str">
        <f ca="1">IF(BF16="","",SUM(BG62,BG58))</f>
        <v/>
      </c>
      <c r="BH63" s="473"/>
      <c r="BI63" s="485" t="str">
        <f ca="1">IF(BH16="","",SUM(BI62,BI58))</f>
        <v/>
      </c>
      <c r="BJ63" s="473"/>
      <c r="BK63" s="485" t="str">
        <f ca="1">IF(BJ16="","",SUM(BK62,BK58))</f>
        <v/>
      </c>
      <c r="BL63" s="473"/>
      <c r="BM63" s="485" t="str">
        <f ca="1">IF(BL16="","",SUM(BM62,BM58))</f>
        <v/>
      </c>
      <c r="BN63" s="473"/>
      <c r="BO63" s="485" t="str">
        <f ca="1">IF(BN16="","",SUM(BO62,BO58))</f>
        <v/>
      </c>
      <c r="BP63" s="473"/>
      <c r="BQ63" s="485" t="str">
        <f ca="1">IF(BP16="","",SUM(BQ62,BQ58))</f>
        <v/>
      </c>
      <c r="BR63" s="473"/>
      <c r="BS63" s="485" t="str">
        <f ca="1">IF(BR16="","",SUM(BS62,BS58))</f>
        <v/>
      </c>
      <c r="BT63" s="473"/>
      <c r="BU63" s="485" t="str">
        <f ca="1">IF(BT16="","",SUM(BU62,BU58))</f>
        <v/>
      </c>
      <c r="BV63" s="473"/>
      <c r="BW63" s="485" t="str">
        <f ca="1">IF(BV16="","",SUM(BW62,BW58))</f>
        <v/>
      </c>
      <c r="BX63" s="473"/>
      <c r="BY63" s="485" t="str">
        <f ca="1">IF(BX16="","",SUM(BY62,BY58))</f>
        <v/>
      </c>
      <c r="BZ63" s="473"/>
      <c r="CA63" s="485" t="str">
        <f ca="1">IF(BZ16="","",SUM(CA62,CA58))</f>
        <v/>
      </c>
      <c r="CB63" s="473"/>
      <c r="CC63" s="485" t="str">
        <f ca="1">IF(CB16="","",SUM(CC62,CC58))</f>
        <v/>
      </c>
      <c r="CD63" s="473"/>
      <c r="CE63" s="485" t="str">
        <f ca="1">IF(CD16="","",SUM(CE62,CE58))</f>
        <v/>
      </c>
      <c r="CF63" s="320"/>
      <c r="CG63" s="289"/>
      <c r="CH63" s="289"/>
      <c r="CI63" s="289"/>
      <c r="CJ63" s="289"/>
      <c r="CK63" s="289"/>
      <c r="CL63" s="289"/>
      <c r="CM63" s="289"/>
      <c r="CN63" s="289"/>
      <c r="CO63" s="289"/>
      <c r="CP63" s="289"/>
      <c r="CQ63" s="289"/>
      <c r="CR63" s="289"/>
      <c r="CS63" s="289"/>
      <c r="CT63" s="289"/>
      <c r="CU63" s="289"/>
      <c r="CV63" s="289"/>
      <c r="CW63" s="289"/>
      <c r="CX63" s="289"/>
      <c r="CY63" s="289"/>
      <c r="CZ63" s="289"/>
    </row>
    <row r="64" spans="1:104" ht="37.049999999999997" customHeight="1" x14ac:dyDescent="0.45">
      <c r="A64" s="289"/>
      <c r="B64" s="294"/>
      <c r="C64" s="445"/>
      <c r="D64" s="793" t="str" cm="1">
        <f t="array" aca="1" ref="D64" ca="1">IF(D16&lt;&gt;"",
   IF(SUMPRODUCT(--(MOD(COLUMN(F16:CD16),2)=0),--(F16:CD16&lt;&gt;""))=0,
      "© 2026 VNG / PPRC B.V. / AEPB Onderzoek en Advies B.V. Alle rechten voorbehouden.",
      ""
   ),
   ""
)</f>
        <v/>
      </c>
      <c r="E64" s="793"/>
      <c r="F64" s="793" t="str" cm="1">
        <f t="array" aca="1" ref="F64" ca="1">IF(F16&lt;&gt;"",
   IF(SUMPRODUCT(--(MOD(COLUMN(H16:CF16),2)=0),--(H16:CF16&lt;&gt;""))=0,
      "© 2026 VNG / PPRC B.V. / AEPB Onderzoek en Advies B.V. Alle rechten voorbehouden.",
      ""
   ),
   ""
)</f>
        <v/>
      </c>
      <c r="G64" s="793"/>
      <c r="H64" s="793" t="str" cm="1">
        <f t="array" aca="1" ref="H64" ca="1">IF(H16&lt;&gt;"",
   IF(SUMPRODUCT(--(MOD(COLUMN(J16:CH16),2)=0),--(J16:CH16&lt;&gt;""))=0,
      "© 2026 VNG / PPRC B.V. / AEPB Onderzoek en Advies B.V. Alle rechten voorbehouden.",
      ""
   ),
   ""
)</f>
        <v/>
      </c>
      <c r="I64" s="793"/>
      <c r="J64" s="793" t="str" cm="1">
        <f t="array" aca="1" ref="J64" ca="1">IF(J16&lt;&gt;"",
   IF(SUMPRODUCT(--(MOD(COLUMN(L16:CJ16),2)=0),--(L16:CJ16&lt;&gt;""))=0,
      "© 2026 VNG / PPRC B.V. / AEPB Onderzoek en Advies B.V. Alle rechten voorbehouden.",
      ""
   ),
   ""
)</f>
        <v/>
      </c>
      <c r="K64" s="793"/>
      <c r="L64" s="793" t="str" cm="1">
        <f t="array" aca="1" ref="L64" ca="1">IF(L16&lt;&gt;"",
   IF(SUMPRODUCT(--(MOD(COLUMN(N16:CL16),2)=0),--(N16:CL16&lt;&gt;""))=0,
      "© 2026 VNG / PPRC B.V. / AEPB Onderzoek en Advies B.V. Alle rechten voorbehouden.",
      ""
   ),
   ""
)</f>
        <v/>
      </c>
      <c r="M64" s="793"/>
      <c r="N64" s="793" t="str" cm="1">
        <f t="array" aca="1" ref="N64" ca="1">IF(N16&lt;&gt;"",
   IF(SUMPRODUCT(--(MOD(COLUMN(P16:CN16),2)=0),--(P16:CN16&lt;&gt;""))=0,
      "© 2026 VNG / PPRC B.V. / AEPB Onderzoek en Advies B.V. Alle rechten voorbehouden.",
      ""
   ),
   ""
)</f>
        <v/>
      </c>
      <c r="O64" s="793"/>
      <c r="P64" s="793" t="str" cm="1">
        <f t="array" aca="1" ref="P64" ca="1">IF(P16&lt;&gt;"",
   IF(SUMPRODUCT(--(MOD(COLUMN(R16:CP16),2)=0),--(R16:CP16&lt;&gt;""))=0,
      "© 2026 VNG / PPRC B.V. / AEPB Onderzoek en Advies B.V. Alle rechten voorbehouden.",
      ""
   ),
   ""
)</f>
        <v/>
      </c>
      <c r="Q64" s="793"/>
      <c r="R64" s="793" t="str" cm="1">
        <f t="array" aca="1" ref="R64" ca="1">IF(R16&lt;&gt;"",
   IF(SUMPRODUCT(--(MOD(COLUMN(T16:CR16),2)=0),--(T16:CR16&lt;&gt;""))=0,
      "© 2026 VNG / PPRC B.V. / AEPB Onderzoek en Advies B.V. Alle rechten voorbehouden.",
      ""
   ),
   ""
)</f>
        <v/>
      </c>
      <c r="S64" s="793"/>
      <c r="T64" s="793" t="str" cm="1">
        <f t="array" aca="1" ref="T64" ca="1">IF(T16&lt;&gt;"",
   IF(SUMPRODUCT(--(MOD(COLUMN(V16:CT16),2)=0),--(V16:CT16&lt;&gt;""))=0,
      "© 2026 VNG / PPRC B.V. / AEPB Onderzoek en Advies B.V. Alle rechten voorbehouden.",
      ""
   ),
   ""
)</f>
        <v/>
      </c>
      <c r="U64" s="793"/>
      <c r="V64" s="793" t="str" cm="1">
        <f t="array" aca="1" ref="V64" ca="1">IF(V16&lt;&gt;"",
   IF(SUMPRODUCT(--(MOD(COLUMN(X16:CV16),2)=0),--(X16:CV16&lt;&gt;""))=0,
      "© 2026 VNG / PPRC B.V. / AEPB Onderzoek en Advies B.V. Alle rechten voorbehouden.",
      ""
   ),
   ""
)</f>
        <v/>
      </c>
      <c r="W64" s="793"/>
      <c r="X64" s="793" t="str" cm="1">
        <f t="array" aca="1" ref="X64" ca="1">IF(X16&lt;&gt;"",
   IF(SUMPRODUCT(--(MOD(COLUMN(Z16:CX16),2)=0),--(Z16:CX16&lt;&gt;""))=0,
      "© 2026 VNG / PPRC B.V. / AEPB Onderzoek en Advies B.V. Alle rechten voorbehouden.",
      ""
   ),
   ""
)</f>
        <v/>
      </c>
      <c r="Y64" s="793"/>
      <c r="Z64" s="793" t="str" cm="1">
        <f t="array" aca="1" ref="Z64" ca="1">IF(Z16&lt;&gt;"",
   IF(SUMPRODUCT(--(MOD(COLUMN(AB16:CZ16),2)=0),--(AB16:CZ16&lt;&gt;""))=0,
      "© 2026 VNG / PPRC B.V. / AEPB Onderzoek en Advies B.V. Alle rechten voorbehouden.",
      ""
   ),
   ""
)</f>
        <v/>
      </c>
      <c r="AA64" s="793"/>
      <c r="AB64" s="793" t="str" cm="1">
        <f t="array" aca="1" ref="AB64" ca="1">IF(AB16&lt;&gt;"",
   IF(SUMPRODUCT(--(MOD(COLUMN(AD16:DB16),2)=0),--(AD16:DB16&lt;&gt;""))=0,
      "© 2026 VNG / PPRC B.V. / AEPB Onderzoek en Advies B.V. Alle rechten voorbehouden.",
      ""
   ),
   ""
)</f>
        <v/>
      </c>
      <c r="AC64" s="793"/>
      <c r="AD64" s="793" t="str" cm="1">
        <f t="array" aca="1" ref="AD64" ca="1">IF(AD16&lt;&gt;"",
   IF(SUMPRODUCT(--(MOD(COLUMN(AF16:DD16),2)=0),--(AF16:DD16&lt;&gt;""))=0,
      "© 2026 VNG / PPRC B.V. / AEPB Onderzoek en Advies B.V. Alle rechten voorbehouden.",
      ""
   ),
   ""
)</f>
        <v/>
      </c>
      <c r="AE64" s="793"/>
      <c r="AF64" s="793" t="str" cm="1">
        <f t="array" aca="1" ref="AF64" ca="1">IF(AF16&lt;&gt;"",
   IF(SUMPRODUCT(--(MOD(COLUMN(AH16:DF16),2)=0),--(AH16:DF16&lt;&gt;""))=0,
      "© 2026 VNG / PPRC B.V. / AEPB Onderzoek en Advies B.V. Alle rechten voorbehouden.",
      ""
   ),
   ""
)</f>
        <v/>
      </c>
      <c r="AG64" s="793"/>
      <c r="AH64" s="793" t="str" cm="1">
        <f t="array" aca="1" ref="AH64" ca="1">IF(AH16&lt;&gt;"",
   IF(SUMPRODUCT(--(MOD(COLUMN(AJ16:DH16),2)=0),--(AJ16:DH16&lt;&gt;""))=0,
      "© 2026 VNG / PPRC B.V. / AEPB Onderzoek en Advies B.V. Alle rechten voorbehouden.",
      ""
   ),
   ""
)</f>
        <v/>
      </c>
      <c r="AI64" s="793"/>
      <c r="AJ64" s="793" t="str" cm="1">
        <f t="array" aca="1" ref="AJ64" ca="1">IF(AJ16&lt;&gt;"",
   IF(SUMPRODUCT(--(MOD(COLUMN(AL16:DJ16),2)=0),--(AL16:DJ16&lt;&gt;""))=0,
      "© 2026 VNG / PPRC B.V. / AEPB Onderzoek en Advies B.V. Alle rechten voorbehouden.",
      ""
   ),
   ""
)</f>
        <v/>
      </c>
      <c r="AK64" s="793"/>
      <c r="AL64" s="793" t="str" cm="1">
        <f t="array" aca="1" ref="AL64" ca="1">IF(AL16&lt;&gt;"",
   IF(SUMPRODUCT(--(MOD(COLUMN(AN16:DL16),2)=0),--(AN16:DL16&lt;&gt;""))=0,
      "© 2026 VNG / PPRC B.V. / AEPB Onderzoek en Advies B.V. Alle rechten voorbehouden.",
      ""
   ),
   ""
)</f>
        <v/>
      </c>
      <c r="AM64" s="793"/>
      <c r="AN64" s="793" t="str" cm="1">
        <f t="array" aca="1" ref="AN64" ca="1">IF(AN16&lt;&gt;"",
   IF(SUMPRODUCT(--(MOD(COLUMN(AP16:DN16),2)=0),--(AP16:DN16&lt;&gt;""))=0,
      "© 2026 VNG / PPRC B.V. / AEPB Onderzoek en Advies B.V. Alle rechten voorbehouden.",
      ""
   ),
   ""
)</f>
        <v/>
      </c>
      <c r="AO64" s="793"/>
      <c r="AP64" s="793" t="str" cm="1">
        <f t="array" aca="1" ref="AP64" ca="1">IF(AP16&lt;&gt;"",
   IF(SUMPRODUCT(--(MOD(COLUMN(AR16:DP16),2)=0),--(AR16:DP16&lt;&gt;""))=0,
      "© 2026 VNG / PPRC B.V. / AEPB Onderzoek en Advies B.V. Alle rechten voorbehouden.",
      ""
   ),
   ""
)</f>
        <v/>
      </c>
      <c r="AQ64" s="793"/>
      <c r="AR64" s="793" t="str" cm="1">
        <f t="array" aca="1" ref="AR64" ca="1">IF(AR16&lt;&gt;"",
   IF(SUMPRODUCT(--(MOD(COLUMN(AT16:DR16),2)=0),--(AT16:DR16&lt;&gt;""))=0,
      "© 2026 VNG / PPRC B.V. / AEPB Onderzoek en Advies B.V. Alle rechten voorbehouden.",
      ""
   ),
   ""
)</f>
        <v/>
      </c>
      <c r="AS64" s="793"/>
      <c r="AT64" s="793" t="str" cm="1">
        <f t="array" aca="1" ref="AT64" ca="1">IF(AT16&lt;&gt;"",
   IF(SUMPRODUCT(--(MOD(COLUMN(AV16:DT16),2)=0),--(AV16:DT16&lt;&gt;""))=0,
      "© 2026 VNG / PPRC B.V. / AEPB Onderzoek en Advies B.V. Alle rechten voorbehouden.",
      ""
   ),
   ""
)</f>
        <v/>
      </c>
      <c r="AU64" s="793"/>
      <c r="AV64" s="793" t="str" cm="1">
        <f t="array" aca="1" ref="AV64" ca="1">IF(AV16&lt;&gt;"",
   IF(SUMPRODUCT(--(MOD(COLUMN(AX16:DV16),2)=0),--(AX16:DV16&lt;&gt;""))=0,
      "© 2026 VNG / PPRC B.V. / AEPB Onderzoek en Advies B.V. Alle rechten voorbehouden.",
      ""
   ),
   ""
)</f>
        <v/>
      </c>
      <c r="AW64" s="793"/>
      <c r="AX64" s="793" t="str" cm="1">
        <f t="array" aca="1" ref="AX64" ca="1">IF(AX16&lt;&gt;"",
   IF(SUMPRODUCT(--(MOD(COLUMN(AZ16:DX16),2)=0),--(AZ16:DX16&lt;&gt;""))=0,
      "© 2026 VNG / PPRC B.V. / AEPB Onderzoek en Advies B.V. Alle rechten voorbehouden.",
      ""
   ),
   ""
)</f>
        <v/>
      </c>
      <c r="AY64" s="793"/>
      <c r="AZ64" s="793" t="str" cm="1">
        <f t="array" aca="1" ref="AZ64" ca="1">IF(AZ16&lt;&gt;"",
   IF(SUMPRODUCT(--(MOD(COLUMN(BB16:DZ16),2)=0),--(BB16:DZ16&lt;&gt;""))=0,
      "© 2026 VNG / PPRC B.V. / AEPB Onderzoek en Advies B.V. Alle rechten voorbehouden.",
      ""
   ),
   ""
)</f>
        <v/>
      </c>
      <c r="BA64" s="793"/>
      <c r="BB64" s="793" t="str" cm="1">
        <f t="array" aca="1" ref="BB64" ca="1">IF(BB16&lt;&gt;"",
   IF(SUMPRODUCT(--(MOD(COLUMN(BD16:EB16),2)=0),--(BD16:EB16&lt;&gt;""))=0,
      "© 2026 VNG / PPRC B.V. / AEPB Onderzoek en Advies B.V. Alle rechten voorbehouden.",
      ""
   ),
   ""
)</f>
        <v/>
      </c>
      <c r="BC64" s="793"/>
      <c r="BD64" s="793" t="str" cm="1">
        <f t="array" aca="1" ref="BD64" ca="1">IF(BD16&lt;&gt;"",
   IF(SUMPRODUCT(--(MOD(COLUMN(BF16:ED16),2)=0),--(BF16:ED16&lt;&gt;""))=0,
      "© 2026 VNG / PPRC B.V. / AEPB Onderzoek en Advies B.V. Alle rechten voorbehouden.",
      ""
   ),
   ""
)</f>
        <v/>
      </c>
      <c r="BE64" s="793"/>
      <c r="BF64" s="793" t="str" cm="1">
        <f t="array" aca="1" ref="BF64" ca="1">IF(BF16&lt;&gt;"",
   IF(SUMPRODUCT(--(MOD(COLUMN(BH16:EF16),2)=0),--(BH16:EF16&lt;&gt;""))=0,
      "© 2026 VNG / PPRC B.V. / AEPB Onderzoek en Advies B.V. Alle rechten voorbehouden.",
      ""
   ),
   ""
)</f>
        <v/>
      </c>
      <c r="BG64" s="793"/>
      <c r="BH64" s="793" t="str" cm="1">
        <f t="array" aca="1" ref="BH64" ca="1">IF(BH16&lt;&gt;"",
   IF(SUMPRODUCT(--(MOD(COLUMN(BJ16:EH16),2)=0),--(BJ16:EH16&lt;&gt;""))=0,
      "© 2026 VNG / PPRC B.V. / AEPB Onderzoek en Advies B.V. Alle rechten voorbehouden.",
      ""
   ),
   ""
)</f>
        <v/>
      </c>
      <c r="BI64" s="793"/>
      <c r="BJ64" s="793" t="str" cm="1">
        <f t="array" aca="1" ref="BJ64" ca="1">IF(BJ16&lt;&gt;"",
   IF(SUMPRODUCT(--(MOD(COLUMN(BL16:EJ16),2)=0),--(BL16:EJ16&lt;&gt;""))=0,
      "© 2026 VNG / PPRC B.V. / AEPB Onderzoek en Advies B.V. Alle rechten voorbehouden.",
      ""
   ),
   ""
)</f>
        <v/>
      </c>
      <c r="BK64" s="793"/>
      <c r="BL64" s="793" t="str" cm="1">
        <f t="array" aca="1" ref="BL64" ca="1">IF(BL16&lt;&gt;"",
   IF(SUMPRODUCT(--(MOD(COLUMN(BN16:EL16),2)=0),--(BN16:EL16&lt;&gt;""))=0,
      "© 2026 VNG / PPRC B.V. / AEPB Onderzoek en Advies B.V. Alle rechten voorbehouden.",
      ""
   ),
   ""
)</f>
        <v/>
      </c>
      <c r="BM64" s="793"/>
      <c r="BN64" s="793" t="str" cm="1">
        <f t="array" aca="1" ref="BN64" ca="1">IF(BN16&lt;&gt;"",
   IF(SUMPRODUCT(--(MOD(COLUMN(BP16:EN16),2)=0),--(BP16:EN16&lt;&gt;""))=0,
      "© 2026 VNG / PPRC B.V. / AEPB Onderzoek en Advies B.V. Alle rechten voorbehouden.",
      ""
   ),
   ""
)</f>
        <v/>
      </c>
      <c r="BO64" s="793"/>
      <c r="BP64" s="793" t="str" cm="1">
        <f t="array" aca="1" ref="BP64" ca="1">IF(BP16&lt;&gt;"",
   IF(SUMPRODUCT(--(MOD(COLUMN(BR16:EP16),2)=0),--(BR16:EP16&lt;&gt;""))=0,
      "© 2026 VNG / PPRC B.V. / AEPB Onderzoek en Advies B.V. Alle rechten voorbehouden.",
      ""
   ),
   ""
)</f>
        <v/>
      </c>
      <c r="BQ64" s="793"/>
      <c r="BR64" s="793" t="str" cm="1">
        <f t="array" aca="1" ref="BR64" ca="1">IF(BR16&lt;&gt;"",
   IF(SUMPRODUCT(--(MOD(COLUMN(BT16:ER16),2)=0),--(BT16:ER16&lt;&gt;""))=0,
      "© 2026 VNG / PPRC B.V. / AEPB Onderzoek en Advies B.V. Alle rechten voorbehouden.",
      ""
   ),
   ""
)</f>
        <v/>
      </c>
      <c r="BS64" s="793"/>
      <c r="BT64" s="793" t="str" cm="1">
        <f t="array" aca="1" ref="BT64" ca="1">IF(BT16&lt;&gt;"",
   IF(SUMPRODUCT(--(MOD(COLUMN(BV16:ET16),2)=0),--(BV16:ET16&lt;&gt;""))=0,
      "© 2026 VNG / PPRC B.V. / AEPB Onderzoek en Advies B.V. Alle rechten voorbehouden.",
      ""
   ),
   ""
)</f>
        <v/>
      </c>
      <c r="BU64" s="793"/>
      <c r="BV64" s="793" t="str" cm="1">
        <f t="array" aca="1" ref="BV64" ca="1">IF(BV16&lt;&gt;"",
   IF(SUMPRODUCT(--(MOD(COLUMN(BX16:EV16),2)=0),--(BX16:EV16&lt;&gt;""))=0,
      "© 2026 VNG / PPRC B.V. / AEPB Onderzoek en Advies B.V. Alle rechten voorbehouden.",
      ""
   ),
   ""
)</f>
        <v/>
      </c>
      <c r="BW64" s="793"/>
      <c r="BX64" s="793" t="str" cm="1">
        <f t="array" aca="1" ref="BX64" ca="1">IF(BX16&lt;&gt;"",
   IF(SUMPRODUCT(--(MOD(COLUMN(BZ16:EX16),2)=0),--(BZ16:EX16&lt;&gt;""))=0,
      "© 2026 VNG / PPRC B.V. / AEPB Onderzoek en Advies B.V. Alle rechten voorbehouden.",
      ""
   ),
   ""
)</f>
        <v/>
      </c>
      <c r="BY64" s="793"/>
      <c r="BZ64" s="793" t="str" cm="1">
        <f t="array" aca="1" ref="BZ64" ca="1">IF(BZ16&lt;&gt;"",
   IF(SUMPRODUCT(--(MOD(COLUMN(CB16:EZ16),2)=0),--(CB16:EZ16&lt;&gt;""))=0,
      "© 2026 VNG / PPRC B.V. / AEPB Onderzoek en Advies B.V. Alle rechten voorbehouden.",
      ""
   ),
   ""
)</f>
        <v/>
      </c>
      <c r="CA64" s="793"/>
      <c r="CB64" s="793" t="str" cm="1">
        <f t="array" aca="1" ref="CB64" ca="1">IF(CB16&lt;&gt;"",
   IF(SUMPRODUCT(--(MOD(COLUMN(CD16:FB16),2)=0),--(CD16:FB16&lt;&gt;""))=0,
      "© 2026 VNG / PPRC B.V. / AEPB Onderzoek en Advies B.V. Alle rechten voorbehouden.",
      ""
   ),
   ""
)</f>
        <v/>
      </c>
      <c r="CC64" s="793"/>
      <c r="CD64" s="793" t="str" cm="1">
        <f t="array" aca="1" ref="CD64" ca="1">IF(CD16&lt;&gt;"",
   IF(SUMPRODUCT(--(MOD(COLUMN(CF16:FD16),2)=0),--(CF16:FD16&lt;&gt;""))=0,
      "© 2026 VNG / PPRC B.V. / AEPB Onderzoek en Advies B.V. Alle rechten voorbehouden.",
      ""
   ),
   ""
)</f>
        <v/>
      </c>
      <c r="CE64" s="793"/>
      <c r="CF64" s="289"/>
      <c r="CG64" s="289"/>
      <c r="CH64" s="289"/>
      <c r="CI64" s="289"/>
      <c r="CJ64" s="289"/>
      <c r="CK64" s="289"/>
      <c r="CL64" s="289"/>
      <c r="CM64" s="289"/>
      <c r="CN64" s="289"/>
      <c r="CO64" s="289"/>
      <c r="CP64" s="289"/>
      <c r="CQ64" s="289"/>
      <c r="CR64" s="289"/>
      <c r="CS64" s="289"/>
      <c r="CT64" s="289"/>
      <c r="CU64" s="289"/>
      <c r="CV64" s="289"/>
      <c r="CW64" s="289"/>
      <c r="CX64" s="289"/>
      <c r="CY64" s="289"/>
      <c r="CZ64" s="289"/>
    </row>
    <row r="65" spans="1:104" x14ac:dyDescent="0.45">
      <c r="A65" s="289"/>
      <c r="B65" s="294"/>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289"/>
      <c r="CG65" s="289"/>
      <c r="CH65" s="289"/>
      <c r="CI65" s="289"/>
      <c r="CJ65" s="289"/>
      <c r="CK65" s="289"/>
      <c r="CL65" s="289"/>
      <c r="CM65" s="289"/>
      <c r="CN65" s="289"/>
      <c r="CO65" s="289"/>
      <c r="CP65" s="289"/>
      <c r="CQ65" s="289"/>
      <c r="CR65" s="289"/>
      <c r="CS65" s="289"/>
      <c r="CT65" s="289"/>
      <c r="CU65" s="289"/>
      <c r="CV65" s="289"/>
      <c r="CW65" s="289"/>
      <c r="CX65" s="289"/>
      <c r="CY65" s="289"/>
      <c r="CZ65" s="289"/>
    </row>
    <row r="66" spans="1:104" ht="18" x14ac:dyDescent="0.45">
      <c r="A66" s="289"/>
      <c r="B66" s="414" t="s">
        <v>63</v>
      </c>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5"/>
      <c r="AG66" s="445"/>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445"/>
      <c r="BV66" s="445"/>
      <c r="BW66" s="445"/>
      <c r="BX66" s="445"/>
      <c r="BY66" s="445"/>
      <c r="BZ66" s="445"/>
      <c r="CA66" s="445"/>
      <c r="CB66" s="445"/>
      <c r="CC66" s="445"/>
      <c r="CD66" s="445"/>
      <c r="CE66" s="445"/>
      <c r="CF66" s="289"/>
      <c r="CG66" s="289"/>
      <c r="CH66" s="289"/>
      <c r="CI66" s="289"/>
      <c r="CJ66" s="289"/>
      <c r="CK66" s="289"/>
      <c r="CL66" s="289"/>
      <c r="CM66" s="289"/>
      <c r="CN66" s="289"/>
      <c r="CO66" s="289"/>
      <c r="CP66" s="289"/>
      <c r="CQ66" s="289"/>
      <c r="CR66" s="289"/>
      <c r="CS66" s="289"/>
      <c r="CT66" s="289"/>
      <c r="CU66" s="289"/>
      <c r="CV66" s="289"/>
      <c r="CW66" s="289"/>
      <c r="CX66" s="289"/>
      <c r="CY66" s="289"/>
      <c r="CZ66" s="289"/>
    </row>
    <row r="67" spans="1:104" ht="14.65" thickBot="1" x14ac:dyDescent="0.5">
      <c r="A67" s="289"/>
      <c r="B67" s="294"/>
      <c r="C67" s="445"/>
      <c r="D67" s="474"/>
      <c r="E67" s="445"/>
      <c r="F67" s="474"/>
      <c r="G67" s="445"/>
      <c r="H67" s="474"/>
      <c r="I67" s="445"/>
      <c r="J67" s="474"/>
      <c r="K67" s="445"/>
      <c r="L67" s="474"/>
      <c r="M67" s="445"/>
      <c r="N67" s="474"/>
      <c r="O67" s="445"/>
      <c r="P67" s="474"/>
      <c r="Q67" s="445"/>
      <c r="R67" s="474"/>
      <c r="S67" s="445"/>
      <c r="T67" s="474"/>
      <c r="U67" s="445"/>
      <c r="V67" s="474"/>
      <c r="W67" s="445"/>
      <c r="X67" s="474"/>
      <c r="Y67" s="445"/>
      <c r="Z67" s="474"/>
      <c r="AA67" s="445"/>
      <c r="AB67" s="474"/>
      <c r="AC67" s="445"/>
      <c r="AD67" s="474"/>
      <c r="AE67" s="445"/>
      <c r="AF67" s="474"/>
      <c r="AG67" s="445"/>
      <c r="AH67" s="474"/>
      <c r="AI67" s="445"/>
      <c r="AJ67" s="474"/>
      <c r="AK67" s="445"/>
      <c r="AL67" s="474"/>
      <c r="AM67" s="445"/>
      <c r="AN67" s="474"/>
      <c r="AO67" s="445"/>
      <c r="AP67" s="474"/>
      <c r="AQ67" s="445"/>
      <c r="AR67" s="474"/>
      <c r="AS67" s="445"/>
      <c r="AT67" s="474"/>
      <c r="AU67" s="445"/>
      <c r="AV67" s="474"/>
      <c r="AW67" s="445"/>
      <c r="AX67" s="474"/>
      <c r="AY67" s="445"/>
      <c r="AZ67" s="474"/>
      <c r="BA67" s="445"/>
      <c r="BB67" s="474"/>
      <c r="BC67" s="445"/>
      <c r="BD67" s="474"/>
      <c r="BE67" s="445"/>
      <c r="BF67" s="474"/>
      <c r="BG67" s="445"/>
      <c r="BH67" s="474"/>
      <c r="BI67" s="445"/>
      <c r="BJ67" s="474"/>
      <c r="BK67" s="445"/>
      <c r="BL67" s="474"/>
      <c r="BM67" s="445"/>
      <c r="BN67" s="474"/>
      <c r="BO67" s="445"/>
      <c r="BP67" s="474"/>
      <c r="BQ67" s="445"/>
      <c r="BR67" s="474"/>
      <c r="BS67" s="445"/>
      <c r="BT67" s="474"/>
      <c r="BU67" s="445"/>
      <c r="BV67" s="474"/>
      <c r="BW67" s="445"/>
      <c r="BX67" s="474"/>
      <c r="BY67" s="445"/>
      <c r="BZ67" s="474"/>
      <c r="CA67" s="445"/>
      <c r="CB67" s="474"/>
      <c r="CC67" s="445"/>
      <c r="CD67" s="474"/>
      <c r="CE67" s="445"/>
      <c r="CF67" s="289"/>
      <c r="CG67" s="289"/>
      <c r="CH67" s="289"/>
      <c r="CI67" s="289"/>
      <c r="CJ67" s="289"/>
      <c r="CK67" s="289"/>
      <c r="CL67" s="289"/>
      <c r="CM67" s="289"/>
      <c r="CN67" s="289"/>
      <c r="CO67" s="289"/>
      <c r="CP67" s="289"/>
      <c r="CQ67" s="289"/>
      <c r="CR67" s="289"/>
      <c r="CS67" s="289"/>
      <c r="CT67" s="289"/>
      <c r="CU67" s="289"/>
      <c r="CV67" s="289"/>
      <c r="CW67" s="289"/>
      <c r="CX67" s="289"/>
      <c r="CY67" s="289"/>
      <c r="CZ67" s="289"/>
    </row>
    <row r="68" spans="1:104" ht="23.55" customHeight="1" x14ac:dyDescent="0.45">
      <c r="A68" s="289"/>
      <c r="B68" s="365" t="s">
        <v>5</v>
      </c>
      <c r="C68" s="451"/>
      <c r="D68" s="804" t="str">
        <f ca="1">IF(
  OR(
    '1a. Input organisatieniveau'!$AE$7&lt;&gt;TRUE,
    INDEX('1b. Input productniveau'!$AE:$AE, 6 + 7/2 * (COLUMN(A13)-1))&lt;&gt;TRUE,
    INDEX('1a. Input organisatieniveau'!$AA:$AA, 7 + (COLUMN(A13) - 1)*0.5) = "",
    INDEX('1a. Input organisatieniveau'!$AA:$AA, 7 + (COLUMN(A13) - 1)*0.5) = 0
  ),
  "",
  INDEX('1a. Input organisatieniveau'!$AA:$AA, 7 + (COLUMN(A13) - 1)*0.5)
)</f>
        <v/>
      </c>
      <c r="E68" s="805"/>
      <c r="F68" s="804" t="str">
        <f ca="1">IF(
  OR(
    '1a. Input organisatieniveau'!$AE$7&lt;&gt;TRUE,
    INDEX('1b. Input productniveau'!$AE:$AE, 6 + 7/2 * (COLUMN(C13)-1))&lt;&gt;TRUE,
    INDEX('1a. Input organisatieniveau'!$AA:$AA, 7 + (COLUMN(C13) - 1)*0.5) = "",
    INDEX('1a. Input organisatieniveau'!$AA:$AA, 7 + (COLUMN(C13) - 1)*0.5) = 0
  ),
  "",
  INDEX('1a. Input organisatieniveau'!$AA:$AA, 7 + (COLUMN(C13) - 1)*0.5)
)</f>
        <v/>
      </c>
      <c r="G68" s="805"/>
      <c r="H68" s="804" t="str">
        <f ca="1">IF(
  OR(
    '1a. Input organisatieniveau'!$AE$7&lt;&gt;TRUE,
    INDEX('1b. Input productniveau'!$AE:$AE, 6 + 7/2 * (COLUMN(E13)-1))&lt;&gt;TRUE,
    INDEX('1a. Input organisatieniveau'!$AA:$AA, 7 + (COLUMN(E13) - 1)*0.5) = "",
    INDEX('1a. Input organisatieniveau'!$AA:$AA, 7 + (COLUMN(E13) - 1)*0.5) = 0
  ),
  "",
  INDEX('1a. Input organisatieniveau'!$AA:$AA, 7 + (COLUMN(E13) - 1)*0.5)
)</f>
        <v/>
      </c>
      <c r="I68" s="805"/>
      <c r="J68" s="804" t="str">
        <f ca="1">IF(
  OR(
    '1a. Input organisatieniveau'!$AE$7&lt;&gt;TRUE,
    INDEX('1b. Input productniveau'!$AE:$AE, 6 + 7/2 * (COLUMN(G13)-1))&lt;&gt;TRUE,
    INDEX('1a. Input organisatieniveau'!$AA:$AA, 7 + (COLUMN(G13) - 1)*0.5) = "",
    INDEX('1a. Input organisatieniveau'!$AA:$AA, 7 + (COLUMN(G13) - 1)*0.5) = 0
  ),
  "",
  INDEX('1a. Input organisatieniveau'!$AA:$AA, 7 + (COLUMN(G13) - 1)*0.5)
)</f>
        <v/>
      </c>
      <c r="K68" s="805"/>
      <c r="L68" s="804" t="str">
        <f ca="1">IF(
  OR(
    '1a. Input organisatieniveau'!$AE$7&lt;&gt;TRUE,
    INDEX('1b. Input productniveau'!$AE:$AE, 6 + 7/2 * (COLUMN(I13)-1))&lt;&gt;TRUE,
    INDEX('1a. Input organisatieniveau'!$AA:$AA, 7 + (COLUMN(I13) - 1)*0.5) = "",
    INDEX('1a. Input organisatieniveau'!$AA:$AA, 7 + (COLUMN(I13) - 1)*0.5) = 0
  ),
  "",
  INDEX('1a. Input organisatieniveau'!$AA:$AA, 7 + (COLUMN(I13) - 1)*0.5)
)</f>
        <v/>
      </c>
      <c r="M68" s="805"/>
      <c r="N68" s="804" t="str">
        <f ca="1">IF(
  OR(
    '1a. Input organisatieniveau'!$AE$7&lt;&gt;TRUE,
    INDEX('1b. Input productniveau'!$AE:$AE, 6 + 7/2 * (COLUMN(K13)-1))&lt;&gt;TRUE,
    INDEX('1a. Input organisatieniveau'!$AA:$AA, 7 + (COLUMN(K13) - 1)*0.5) = "",
    INDEX('1a. Input organisatieniveau'!$AA:$AA, 7 + (COLUMN(K13) - 1)*0.5) = 0
  ),
  "",
  INDEX('1a. Input organisatieniveau'!$AA:$AA, 7 + (COLUMN(K13) - 1)*0.5)
)</f>
        <v/>
      </c>
      <c r="O68" s="805"/>
      <c r="P68" s="804" t="str">
        <f ca="1">IF(
  OR(
    '1a. Input organisatieniveau'!$AE$7&lt;&gt;TRUE,
    INDEX('1b. Input productniveau'!$AE:$AE, 6 + 7/2 * (COLUMN(M13)-1))&lt;&gt;TRUE,
    INDEX('1a. Input organisatieniveau'!$AA:$AA, 7 + (COLUMN(M13) - 1)*0.5) = "",
    INDEX('1a. Input organisatieniveau'!$AA:$AA, 7 + (COLUMN(M13) - 1)*0.5) = 0
  ),
  "",
  INDEX('1a. Input organisatieniveau'!$AA:$AA, 7 + (COLUMN(M13) - 1)*0.5)
)</f>
        <v/>
      </c>
      <c r="Q68" s="805"/>
      <c r="R68" s="804" t="str">
        <f ca="1">IF(
  OR(
    '1a. Input organisatieniveau'!$AE$7&lt;&gt;TRUE,
    INDEX('1b. Input productniveau'!$AE:$AE, 6 + 7/2 * (COLUMN(O13)-1))&lt;&gt;TRUE,
    INDEX('1a. Input organisatieniveau'!$AA:$AA, 7 + (COLUMN(O13) - 1)*0.5) = "",
    INDEX('1a. Input organisatieniveau'!$AA:$AA, 7 + (COLUMN(O13) - 1)*0.5) = 0
  ),
  "",
  INDEX('1a. Input organisatieniveau'!$AA:$AA, 7 + (COLUMN(O13) - 1)*0.5)
)</f>
        <v/>
      </c>
      <c r="S68" s="805"/>
      <c r="T68" s="804" t="str">
        <f ca="1">IF(
  OR(
    '1a. Input organisatieniveau'!$AE$7&lt;&gt;TRUE,
    INDEX('1b. Input productniveau'!$AE:$AE, 6 + 7/2 * (COLUMN(Q13)-1))&lt;&gt;TRUE,
    INDEX('1a. Input organisatieniveau'!$AA:$AA, 7 + (COLUMN(Q13) - 1)*0.5) = "",
    INDEX('1a. Input organisatieniveau'!$AA:$AA, 7 + (COLUMN(Q13) - 1)*0.5) = 0
  ),
  "",
  INDEX('1a. Input organisatieniveau'!$AA:$AA, 7 + (COLUMN(Q13) - 1)*0.5)
)</f>
        <v/>
      </c>
      <c r="U68" s="805"/>
      <c r="V68" s="804" t="str">
        <f ca="1">IF(
  OR(
    '1a. Input organisatieniveau'!$AE$7&lt;&gt;TRUE,
    INDEX('1b. Input productniveau'!$AE:$AE, 6 + 7/2 * (COLUMN(S13)-1))&lt;&gt;TRUE,
    INDEX('1a. Input organisatieniveau'!$AA:$AA, 7 + (COLUMN(S13) - 1)*0.5) = "",
    INDEX('1a. Input organisatieniveau'!$AA:$AA, 7 + (COLUMN(S13) - 1)*0.5) = 0
  ),
  "",
  INDEX('1a. Input organisatieniveau'!$AA:$AA, 7 + (COLUMN(S13) - 1)*0.5)
)</f>
        <v/>
      </c>
      <c r="W68" s="805"/>
      <c r="X68" s="804" t="str">
        <f ca="1">IF(
  OR(
    '1a. Input organisatieniveau'!$AE$7&lt;&gt;TRUE,
    INDEX('1b. Input productniveau'!$AE:$AE, 6 + 7/2 * (COLUMN(U13)-1))&lt;&gt;TRUE,
    INDEX('1a. Input organisatieniveau'!$AA:$AA, 7 + (COLUMN(U13) - 1)*0.5) = "",
    INDEX('1a. Input organisatieniveau'!$AA:$AA, 7 + (COLUMN(U13) - 1)*0.5) = 0
  ),
  "",
  INDEX('1a. Input organisatieniveau'!$AA:$AA, 7 + (COLUMN(U13) - 1)*0.5)
)</f>
        <v/>
      </c>
      <c r="Y68" s="805"/>
      <c r="Z68" s="804" t="str">
        <f ca="1">IF(
  OR(
    '1a. Input organisatieniveau'!$AE$7&lt;&gt;TRUE,
    INDEX('1b. Input productniveau'!$AE:$AE, 6 + 7/2 * (COLUMN(W13)-1))&lt;&gt;TRUE,
    INDEX('1a. Input organisatieniveau'!$AA:$AA, 7 + (COLUMN(W13) - 1)*0.5) = "",
    INDEX('1a. Input organisatieniveau'!$AA:$AA, 7 + (COLUMN(W13) - 1)*0.5) = 0
  ),
  "",
  INDEX('1a. Input organisatieniveau'!$AA:$AA, 7 + (COLUMN(W13) - 1)*0.5)
)</f>
        <v/>
      </c>
      <c r="AA68" s="805"/>
      <c r="AB68" s="804" t="str">
        <f ca="1">IF(
  OR(
    '1a. Input organisatieniveau'!$AE$7&lt;&gt;TRUE,
    INDEX('1b. Input productniveau'!$AE:$AE, 6 + 7/2 * (COLUMN(Y13)-1))&lt;&gt;TRUE,
    INDEX('1a. Input organisatieniveau'!$AA:$AA, 7 + (COLUMN(Y13) - 1)*0.5) = "",
    INDEX('1a. Input organisatieniveau'!$AA:$AA, 7 + (COLUMN(Y13) - 1)*0.5) = 0
  ),
  "",
  INDEX('1a. Input organisatieniveau'!$AA:$AA, 7 + (COLUMN(Y13) - 1)*0.5)
)</f>
        <v/>
      </c>
      <c r="AC68" s="805"/>
      <c r="AD68" s="804" t="str">
        <f ca="1">IF(
  OR(
    '1a. Input organisatieniveau'!$AE$7&lt;&gt;TRUE,
    INDEX('1b. Input productniveau'!$AE:$AE, 6 + 7/2 * (COLUMN(AA13)-1))&lt;&gt;TRUE,
    INDEX('1a. Input organisatieniveau'!$AA:$AA, 7 + (COLUMN(AA13) - 1)*0.5) = "",
    INDEX('1a. Input organisatieniveau'!$AA:$AA, 7 + (COLUMN(AA13) - 1)*0.5) = 0
  ),
  "",
  INDEX('1a. Input organisatieniveau'!$AA:$AA, 7 + (COLUMN(AA13) - 1)*0.5)
)</f>
        <v/>
      </c>
      <c r="AE68" s="805"/>
      <c r="AF68" s="804" t="str">
        <f ca="1">IF(
  OR(
    '1a. Input organisatieniveau'!$AE$7&lt;&gt;TRUE,
    INDEX('1b. Input productniveau'!$AE:$AE, 6 + 7/2 * (COLUMN(AC13)-1))&lt;&gt;TRUE,
    INDEX('1a. Input organisatieniveau'!$AA:$AA, 7 + (COLUMN(AC13) - 1)*0.5) = "",
    INDEX('1a. Input organisatieniveau'!$AA:$AA, 7 + (COLUMN(AC13) - 1)*0.5) = 0
  ),
  "",
  INDEX('1a. Input organisatieniveau'!$AA:$AA, 7 + (COLUMN(AC13) - 1)*0.5)
)</f>
        <v/>
      </c>
      <c r="AG68" s="805"/>
      <c r="AH68" s="804" t="str">
        <f ca="1">IF(
  OR(
    '1a. Input organisatieniveau'!$AE$7&lt;&gt;TRUE,
    INDEX('1b. Input productniveau'!$AE:$AE, 6 + 7/2 * (COLUMN(AE13)-1))&lt;&gt;TRUE,
    INDEX('1a. Input organisatieniveau'!$AA:$AA, 7 + (COLUMN(AE13) - 1)*0.5) = "",
    INDEX('1a. Input organisatieniveau'!$AA:$AA, 7 + (COLUMN(AE13) - 1)*0.5) = 0
  ),
  "",
  INDEX('1a. Input organisatieniveau'!$AA:$AA, 7 + (COLUMN(AE13) - 1)*0.5)
)</f>
        <v/>
      </c>
      <c r="AI68" s="805"/>
      <c r="AJ68" s="804" t="str">
        <f ca="1">IF(
  OR(
    '1a. Input organisatieniveau'!$AE$7&lt;&gt;TRUE,
    INDEX('1b. Input productniveau'!$AE:$AE, 6 + 7/2 * (COLUMN(AG13)-1))&lt;&gt;TRUE,
    INDEX('1a. Input organisatieniveau'!$AA:$AA, 7 + (COLUMN(AG13) - 1)*0.5) = "",
    INDEX('1a. Input organisatieniveau'!$AA:$AA, 7 + (COLUMN(AG13) - 1)*0.5) = 0
  ),
  "",
  INDEX('1a. Input organisatieniveau'!$AA:$AA, 7 + (COLUMN(AG13) - 1)*0.5)
)</f>
        <v/>
      </c>
      <c r="AK68" s="805"/>
      <c r="AL68" s="804" t="str">
        <f ca="1">IF(
  OR(
    '1a. Input organisatieniveau'!$AE$7&lt;&gt;TRUE,
    INDEX('1b. Input productniveau'!$AE:$AE, 6 + 7/2 * (COLUMN(AI13)-1))&lt;&gt;TRUE,
    INDEX('1a. Input organisatieniveau'!$AA:$AA, 7 + (COLUMN(AI13) - 1)*0.5) = "",
    INDEX('1a. Input organisatieniveau'!$AA:$AA, 7 + (COLUMN(AI13) - 1)*0.5) = 0
  ),
  "",
  INDEX('1a. Input organisatieniveau'!$AA:$AA, 7 + (COLUMN(AI13) - 1)*0.5)
)</f>
        <v/>
      </c>
      <c r="AM68" s="805"/>
      <c r="AN68" s="804" t="str">
        <f ca="1">IF(
  OR(
    '1a. Input organisatieniveau'!$AE$7&lt;&gt;TRUE,
    INDEX('1b. Input productniveau'!$AE:$AE, 6 + 7/2 * (COLUMN(AK13)-1))&lt;&gt;TRUE,
    INDEX('1a. Input organisatieniveau'!$AA:$AA, 7 + (COLUMN(AK13) - 1)*0.5) = "",
    INDEX('1a. Input organisatieniveau'!$AA:$AA, 7 + (COLUMN(AK13) - 1)*0.5) = 0
  ),
  "",
  INDEX('1a. Input organisatieniveau'!$AA:$AA, 7 + (COLUMN(AK13) - 1)*0.5)
)</f>
        <v/>
      </c>
      <c r="AO68" s="805"/>
      <c r="AP68" s="804" t="str">
        <f ca="1">IF(
  OR(
    '1a. Input organisatieniveau'!$AE$7&lt;&gt;TRUE,
    INDEX('1b. Input productniveau'!$AE:$AE, 6 + 7/2 * (COLUMN(AM13)-1))&lt;&gt;TRUE,
    INDEX('1a. Input organisatieniveau'!$AA:$AA, 7 + (COLUMN(AM13) - 1)*0.5) = "",
    INDEX('1a. Input organisatieniveau'!$AA:$AA, 7 + (COLUMN(AM13) - 1)*0.5) = 0
  ),
  "",
  INDEX('1a. Input organisatieniveau'!$AA:$AA, 7 + (COLUMN(AM13) - 1)*0.5)
)</f>
        <v/>
      </c>
      <c r="AQ68" s="805"/>
      <c r="AR68" s="804" t="str">
        <f ca="1">IF(
  OR(
    '1a. Input organisatieniveau'!$AE$7&lt;&gt;TRUE,
    INDEX('1b. Input productniveau'!$AE:$AE, 6 + 7/2 * (COLUMN(AO13)-1))&lt;&gt;TRUE,
    INDEX('1a. Input organisatieniveau'!$AA:$AA, 7 + (COLUMN(AO13) - 1)*0.5) = "",
    INDEX('1a. Input organisatieniveau'!$AA:$AA, 7 + (COLUMN(AO13) - 1)*0.5) = 0
  ),
  "",
  INDEX('1a. Input organisatieniveau'!$AA:$AA, 7 + (COLUMN(AO13) - 1)*0.5)
)</f>
        <v/>
      </c>
      <c r="AS68" s="805"/>
      <c r="AT68" s="804" t="str">
        <f ca="1">IF(
  OR(
    '1a. Input organisatieniveau'!$AE$7&lt;&gt;TRUE,
    INDEX('1b. Input productniveau'!$AE:$AE, 6 + 7/2 * (COLUMN(AQ13)-1))&lt;&gt;TRUE,
    INDEX('1a. Input organisatieniveau'!$AA:$AA, 7 + (COLUMN(AQ13) - 1)*0.5) = "",
    INDEX('1a. Input organisatieniveau'!$AA:$AA, 7 + (COLUMN(AQ13) - 1)*0.5) = 0
  ),
  "",
  INDEX('1a. Input organisatieniveau'!$AA:$AA, 7 + (COLUMN(AQ13) - 1)*0.5)
)</f>
        <v/>
      </c>
      <c r="AU68" s="805"/>
      <c r="AV68" s="804" t="str">
        <f ca="1">IF(
  OR(
    '1a. Input organisatieniveau'!$AE$7&lt;&gt;TRUE,
    INDEX('1b. Input productniveau'!$AE:$AE, 6 + 7/2 * (COLUMN(AS13)-1))&lt;&gt;TRUE,
    INDEX('1a. Input organisatieniveau'!$AA:$AA, 7 + (COLUMN(AS13) - 1)*0.5) = "",
    INDEX('1a. Input organisatieniveau'!$AA:$AA, 7 + (COLUMN(AS13) - 1)*0.5) = 0
  ),
  "",
  INDEX('1a. Input organisatieniveau'!$AA:$AA, 7 + (COLUMN(AS13) - 1)*0.5)
)</f>
        <v/>
      </c>
      <c r="AW68" s="805"/>
      <c r="AX68" s="804" t="str">
        <f ca="1">IF(
  OR(
    '1a. Input organisatieniveau'!$AE$7&lt;&gt;TRUE,
    INDEX('1b. Input productniveau'!$AE:$AE, 6 + 7/2 * (COLUMN(AU13)-1))&lt;&gt;TRUE,
    INDEX('1a. Input organisatieniveau'!$AA:$AA, 7 + (COLUMN(AU13) - 1)*0.5) = "",
    INDEX('1a. Input organisatieniveau'!$AA:$AA, 7 + (COLUMN(AU13) - 1)*0.5) = 0
  ),
  "",
  INDEX('1a. Input organisatieniveau'!$AA:$AA, 7 + (COLUMN(AU13) - 1)*0.5)
)</f>
        <v/>
      </c>
      <c r="AY68" s="805"/>
      <c r="AZ68" s="804" t="str">
        <f ca="1">IF(
  OR(
    '1a. Input organisatieniveau'!$AE$7&lt;&gt;TRUE,
    INDEX('1b. Input productniveau'!$AE:$AE, 6 + 7/2 * (COLUMN(AW13)-1))&lt;&gt;TRUE,
    INDEX('1a. Input organisatieniveau'!$AA:$AA, 7 + (COLUMN(AW13) - 1)*0.5) = "",
    INDEX('1a. Input organisatieniveau'!$AA:$AA, 7 + (COLUMN(AW13) - 1)*0.5) = 0
  ),
  "",
  INDEX('1a. Input organisatieniveau'!$AA:$AA, 7 + (COLUMN(AW13) - 1)*0.5)
)</f>
        <v/>
      </c>
      <c r="BA68" s="805"/>
      <c r="BB68" s="804" t="str">
        <f ca="1">IF(
  OR(
    '1a. Input organisatieniveau'!$AE$7&lt;&gt;TRUE,
    INDEX('1b. Input productniveau'!$AE:$AE, 6 + 7/2 * (COLUMN(AY13)-1))&lt;&gt;TRUE,
    INDEX('1a. Input organisatieniveau'!$AA:$AA, 7 + (COLUMN(AY13) - 1)*0.5) = "",
    INDEX('1a. Input organisatieniveau'!$AA:$AA, 7 + (COLUMN(AY13) - 1)*0.5) = 0
  ),
  "",
  INDEX('1a. Input organisatieniveau'!$AA:$AA, 7 + (COLUMN(AY13) - 1)*0.5)
)</f>
        <v/>
      </c>
      <c r="BC68" s="805"/>
      <c r="BD68" s="804" t="str">
        <f ca="1">IF(
  OR(
    '1a. Input organisatieniveau'!$AE$7&lt;&gt;TRUE,
    INDEX('1b. Input productniveau'!$AE:$AE, 6 + 7/2 * (COLUMN(BA13)-1))&lt;&gt;TRUE,
    INDEX('1a. Input organisatieniveau'!$AA:$AA, 7 + (COLUMN(BA13) - 1)*0.5) = "",
    INDEX('1a. Input organisatieniveau'!$AA:$AA, 7 + (COLUMN(BA13) - 1)*0.5) = 0
  ),
  "",
  INDEX('1a. Input organisatieniveau'!$AA:$AA, 7 + (COLUMN(BA13) - 1)*0.5)
)</f>
        <v/>
      </c>
      <c r="BE68" s="805"/>
      <c r="BF68" s="804" t="str">
        <f ca="1">IF(
  OR(
    '1a. Input organisatieniveau'!$AE$7&lt;&gt;TRUE,
    INDEX('1b. Input productniveau'!$AE:$AE, 6 + 7/2 * (COLUMN(BC13)-1))&lt;&gt;TRUE,
    INDEX('1a. Input organisatieniveau'!$AA:$AA, 7 + (COLUMN(BC13) - 1)*0.5) = "",
    INDEX('1a. Input organisatieniveau'!$AA:$AA, 7 + (COLUMN(BC13) - 1)*0.5) = 0
  ),
  "",
  INDEX('1a. Input organisatieniveau'!$AA:$AA, 7 + (COLUMN(BC13) - 1)*0.5)
)</f>
        <v/>
      </c>
      <c r="BG68" s="805"/>
      <c r="BH68" s="804" t="str">
        <f ca="1">IF(
  OR(
    '1a. Input organisatieniveau'!$AE$7&lt;&gt;TRUE,
    INDEX('1b. Input productniveau'!$AE:$AE, 6 + 7/2 * (COLUMN(BE13)-1))&lt;&gt;TRUE,
    INDEX('1a. Input organisatieniveau'!$AA:$AA, 7 + (COLUMN(BE13) - 1)*0.5) = "",
    INDEX('1a. Input organisatieniveau'!$AA:$AA, 7 + (COLUMN(BE13) - 1)*0.5) = 0
  ),
  "",
  INDEX('1a. Input organisatieniveau'!$AA:$AA, 7 + (COLUMN(BE13) - 1)*0.5)
)</f>
        <v/>
      </c>
      <c r="BI68" s="805"/>
      <c r="BJ68" s="804" t="str">
        <f ca="1">IF(
  OR(
    '1a. Input organisatieniveau'!$AE$7&lt;&gt;TRUE,
    INDEX('1b. Input productniveau'!$AE:$AE, 6 + 7/2 * (COLUMN(BG13)-1))&lt;&gt;TRUE,
    INDEX('1a. Input organisatieniveau'!$AA:$AA, 7 + (COLUMN(BG13) - 1)*0.5) = "",
    INDEX('1a. Input organisatieniveau'!$AA:$AA, 7 + (COLUMN(BG13) - 1)*0.5) = 0
  ),
  "",
  INDEX('1a. Input organisatieniveau'!$AA:$AA, 7 + (COLUMN(BG13) - 1)*0.5)
)</f>
        <v/>
      </c>
      <c r="BK68" s="805"/>
      <c r="BL68" s="804" t="str">
        <f ca="1">IF(
  OR(
    '1a. Input organisatieniveau'!$AE$7&lt;&gt;TRUE,
    INDEX('1b. Input productniveau'!$AE:$AE, 6 + 7/2 * (COLUMN(BI13)-1))&lt;&gt;TRUE,
    INDEX('1a. Input organisatieniveau'!$AA:$AA, 7 + (COLUMN(BI13) - 1)*0.5) = "",
    INDEX('1a. Input organisatieniveau'!$AA:$AA, 7 + (COLUMN(BI13) - 1)*0.5) = 0
  ),
  "",
  INDEX('1a. Input organisatieniveau'!$AA:$AA, 7 + (COLUMN(BI13) - 1)*0.5)
)</f>
        <v/>
      </c>
      <c r="BM68" s="805"/>
      <c r="BN68" s="804" t="str">
        <f ca="1">IF(
  OR(
    '1a. Input organisatieniveau'!$AE$7&lt;&gt;TRUE,
    INDEX('1b. Input productniveau'!$AE:$AE, 6 + 7/2 * (COLUMN(BK13)-1))&lt;&gt;TRUE,
    INDEX('1a. Input organisatieniveau'!$AA:$AA, 7 + (COLUMN(BK13) - 1)*0.5) = "",
    INDEX('1a. Input organisatieniveau'!$AA:$AA, 7 + (COLUMN(BK13) - 1)*0.5) = 0
  ),
  "",
  INDEX('1a. Input organisatieniveau'!$AA:$AA, 7 + (COLUMN(BK13) - 1)*0.5)
)</f>
        <v/>
      </c>
      <c r="BO68" s="805"/>
      <c r="BP68" s="804" t="str">
        <f ca="1">IF(
  OR(
    '1a. Input organisatieniveau'!$AE$7&lt;&gt;TRUE,
    INDEX('1b. Input productniveau'!$AE:$AE, 6 + 7/2 * (COLUMN(BM13)-1))&lt;&gt;TRUE,
    INDEX('1a. Input organisatieniveau'!$AA:$AA, 7 + (COLUMN(BM13) - 1)*0.5) = "",
    INDEX('1a. Input organisatieniveau'!$AA:$AA, 7 + (COLUMN(BM13) - 1)*0.5) = 0
  ),
  "",
  INDEX('1a. Input organisatieniveau'!$AA:$AA, 7 + (COLUMN(BM13) - 1)*0.5)
)</f>
        <v/>
      </c>
      <c r="BQ68" s="805"/>
      <c r="BR68" s="804" t="str">
        <f ca="1">IF(
  OR(
    '1a. Input organisatieniveau'!$AE$7&lt;&gt;TRUE,
    INDEX('1b. Input productniveau'!$AE:$AE, 6 + 7/2 * (COLUMN(BO13)-1))&lt;&gt;TRUE,
    INDEX('1a. Input organisatieniveau'!$AA:$AA, 7 + (COLUMN(BO13) - 1)*0.5) = "",
    INDEX('1a. Input organisatieniveau'!$AA:$AA, 7 + (COLUMN(BO13) - 1)*0.5) = 0
  ),
  "",
  INDEX('1a. Input organisatieniveau'!$AA:$AA, 7 + (COLUMN(BO13) - 1)*0.5)
)</f>
        <v/>
      </c>
      <c r="BS68" s="805"/>
      <c r="BT68" s="804" t="str">
        <f ca="1">IF(
  OR(
    '1a. Input organisatieniveau'!$AE$7&lt;&gt;TRUE,
    INDEX('1b. Input productniveau'!$AE:$AE, 6 + 7/2 * (COLUMN(BQ13)-1))&lt;&gt;TRUE,
    INDEX('1a. Input organisatieniveau'!$AA:$AA, 7 + (COLUMN(BQ13) - 1)*0.5) = "",
    INDEX('1a. Input organisatieniveau'!$AA:$AA, 7 + (COLUMN(BQ13) - 1)*0.5) = 0
  ),
  "",
  INDEX('1a. Input organisatieniveau'!$AA:$AA, 7 + (COLUMN(BQ13) - 1)*0.5)
)</f>
        <v/>
      </c>
      <c r="BU68" s="805"/>
      <c r="BV68" s="804" t="str">
        <f ca="1">IF(
  OR(
    '1a. Input organisatieniveau'!$AE$7&lt;&gt;TRUE,
    INDEX('1b. Input productniveau'!$AE:$AE, 6 + 7/2 * (COLUMN(BS13)-1))&lt;&gt;TRUE,
    INDEX('1a. Input organisatieniveau'!$AA:$AA, 7 + (COLUMN(BS13) - 1)*0.5) = "",
    INDEX('1a. Input organisatieniveau'!$AA:$AA, 7 + (COLUMN(BS13) - 1)*0.5) = 0
  ),
  "",
  INDEX('1a. Input organisatieniveau'!$AA:$AA, 7 + (COLUMN(BS13) - 1)*0.5)
)</f>
        <v/>
      </c>
      <c r="BW68" s="805"/>
      <c r="BX68" s="804" t="str">
        <f ca="1">IF(
  OR(
    '1a. Input organisatieniveau'!$AE$7&lt;&gt;TRUE,
    INDEX('1b. Input productniveau'!$AE:$AE, 6 + 7/2 * (COLUMN(BU13)-1))&lt;&gt;TRUE,
    INDEX('1a. Input organisatieniveau'!$AA:$AA, 7 + (COLUMN(BU13) - 1)*0.5) = "",
    INDEX('1a. Input organisatieniveau'!$AA:$AA, 7 + (COLUMN(BU13) - 1)*0.5) = 0
  ),
  "",
  INDEX('1a. Input organisatieniveau'!$AA:$AA, 7 + (COLUMN(BU13) - 1)*0.5)
)</f>
        <v/>
      </c>
      <c r="BY68" s="805"/>
      <c r="BZ68" s="804" t="str">
        <f ca="1">IF(
  OR(
    '1a. Input organisatieniveau'!$AE$7&lt;&gt;TRUE,
    INDEX('1b. Input productniveau'!$AE:$AE, 6 + 7/2 * (COLUMN(BW13)-1))&lt;&gt;TRUE,
    INDEX('1a. Input organisatieniveau'!$AA:$AA, 7 + (COLUMN(BW13) - 1)*0.5) = "",
    INDEX('1a. Input organisatieniveau'!$AA:$AA, 7 + (COLUMN(BW13) - 1)*0.5) = 0
  ),
  "",
  INDEX('1a. Input organisatieniveau'!$AA:$AA, 7 + (COLUMN(BW13) - 1)*0.5)
)</f>
        <v/>
      </c>
      <c r="CA68" s="805"/>
      <c r="CB68" s="804" t="str">
        <f ca="1">IF(
  OR(
    '1a. Input organisatieniveau'!$AE$7&lt;&gt;TRUE,
    INDEX('1b. Input productniveau'!$AE:$AE, 6 + 7/2 * (COLUMN(BY13)-1))&lt;&gt;TRUE,
    INDEX('1a. Input organisatieniveau'!$AA:$AA, 7 + (COLUMN(BY13) - 1)*0.5) = "",
    INDEX('1a. Input organisatieniveau'!$AA:$AA, 7 + (COLUMN(BY13) - 1)*0.5) = 0
  ),
  "",
  INDEX('1a. Input organisatieniveau'!$AA:$AA, 7 + (COLUMN(BY13) - 1)*0.5)
)</f>
        <v/>
      </c>
      <c r="CC68" s="805"/>
      <c r="CD68" s="804" t="str">
        <f ca="1">IF(
  OR(
    '1a. Input organisatieniveau'!$AE$7&lt;&gt;TRUE,
    INDEX('1b. Input productniveau'!$AE:$AE, 6 + 7/2 * (COLUMN(CA13)-1))&lt;&gt;TRUE,
    INDEX('1a. Input organisatieniveau'!$AA:$AA, 7 + (COLUMN(CA13) - 1)*0.5) = "",
    INDEX('1a. Input organisatieniveau'!$AA:$AA, 7 + (COLUMN(CA13) - 1)*0.5) = 0
  ),
  "",
  INDEX('1a. Input organisatieniveau'!$AA:$AA, 7 + (COLUMN(CA13) - 1)*0.5)
)</f>
        <v/>
      </c>
      <c r="CE68" s="805"/>
      <c r="CF68" s="320"/>
      <c r="CG68" s="289"/>
      <c r="CH68" s="289"/>
      <c r="CI68" s="289"/>
      <c r="CJ68" s="289"/>
      <c r="CK68" s="289"/>
      <c r="CL68" s="289"/>
      <c r="CM68" s="289"/>
      <c r="CN68" s="289"/>
      <c r="CO68" s="289"/>
      <c r="CP68" s="289"/>
      <c r="CQ68" s="289"/>
      <c r="CR68" s="289"/>
      <c r="CS68" s="289"/>
      <c r="CT68" s="289"/>
      <c r="CU68" s="289"/>
      <c r="CV68" s="289"/>
      <c r="CW68" s="289"/>
      <c r="CX68" s="289"/>
      <c r="CY68" s="289"/>
      <c r="CZ68" s="289"/>
    </row>
    <row r="69" spans="1:104" x14ac:dyDescent="0.45">
      <c r="A69" s="289"/>
      <c r="B69" s="392" t="s">
        <v>50</v>
      </c>
      <c r="C69" s="472"/>
      <c r="D69" s="455"/>
      <c r="E69" s="486" t="str">
        <f ca="1">IF(D68="","",IFERROR($C18,1878))</f>
        <v/>
      </c>
      <c r="F69" s="455"/>
      <c r="G69" s="486" t="str">
        <f ca="1">IF(F68="","",IFERROR($C18,1878))</f>
        <v/>
      </c>
      <c r="H69" s="455"/>
      <c r="I69" s="486" t="str">
        <f ca="1">IF(H68="","",IFERROR($C18,1878))</f>
        <v/>
      </c>
      <c r="J69" s="455"/>
      <c r="K69" s="486" t="str">
        <f ca="1">IF(J68="","",IFERROR($C18,1878))</f>
        <v/>
      </c>
      <c r="L69" s="455"/>
      <c r="M69" s="486" t="str">
        <f ca="1">IF(L68="","",IFERROR($C18,1878))</f>
        <v/>
      </c>
      <c r="N69" s="455"/>
      <c r="O69" s="486" t="str">
        <f ca="1">IF(N68="","",IFERROR($C18,1878))</f>
        <v/>
      </c>
      <c r="P69" s="455"/>
      <c r="Q69" s="486" t="str">
        <f ca="1">IF(P68="","",IFERROR($C18,1878))</f>
        <v/>
      </c>
      <c r="R69" s="455"/>
      <c r="S69" s="486" t="str">
        <f ca="1">IF(R68="","",IFERROR($C18,1878))</f>
        <v/>
      </c>
      <c r="T69" s="455"/>
      <c r="U69" s="486" t="str">
        <f ca="1">IF(T68="","",IFERROR($C18,1878))</f>
        <v/>
      </c>
      <c r="V69" s="455"/>
      <c r="W69" s="486" t="str">
        <f ca="1">IF(V68="","",IFERROR($C18,1878))</f>
        <v/>
      </c>
      <c r="X69" s="455"/>
      <c r="Y69" s="486" t="str">
        <f ca="1">IF(X68="","",IFERROR($C18,1878))</f>
        <v/>
      </c>
      <c r="Z69" s="455"/>
      <c r="AA69" s="486" t="str">
        <f ca="1">IF(Z68="","",IFERROR($C18,1878))</f>
        <v/>
      </c>
      <c r="AB69" s="455"/>
      <c r="AC69" s="486" t="str">
        <f ca="1">IF(AB68="","",IFERROR($C18,1878))</f>
        <v/>
      </c>
      <c r="AD69" s="455"/>
      <c r="AE69" s="486" t="str">
        <f ca="1">IF(AD68="","",IFERROR($C18,1878))</f>
        <v/>
      </c>
      <c r="AF69" s="455"/>
      <c r="AG69" s="486" t="str">
        <f ca="1">IF(AF68="","",IFERROR($C18,1878))</f>
        <v/>
      </c>
      <c r="AH69" s="455"/>
      <c r="AI69" s="486" t="str">
        <f ca="1">IF(AH68="","",IFERROR($C18,1878))</f>
        <v/>
      </c>
      <c r="AJ69" s="455"/>
      <c r="AK69" s="486" t="str">
        <f ca="1">IF(AJ68="","",IFERROR($C18,1878))</f>
        <v/>
      </c>
      <c r="AL69" s="455"/>
      <c r="AM69" s="486" t="str">
        <f ca="1">IF(AL68="","",IFERROR($C18,1878))</f>
        <v/>
      </c>
      <c r="AN69" s="455"/>
      <c r="AO69" s="486" t="str">
        <f ca="1">IF(AN68="","",IFERROR($C18,1878))</f>
        <v/>
      </c>
      <c r="AP69" s="455"/>
      <c r="AQ69" s="486" t="str">
        <f ca="1">IF(AP68="","",IFERROR($C18,1878))</f>
        <v/>
      </c>
      <c r="AR69" s="455"/>
      <c r="AS69" s="486" t="str">
        <f ca="1">IF(AR68="","",IFERROR($C18,1878))</f>
        <v/>
      </c>
      <c r="AT69" s="455"/>
      <c r="AU69" s="486" t="str">
        <f ca="1">IF(AT68="","",IFERROR($C18,1878))</f>
        <v/>
      </c>
      <c r="AV69" s="455"/>
      <c r="AW69" s="486" t="str">
        <f ca="1">IF(AV68="","",IFERROR($C18,1878))</f>
        <v/>
      </c>
      <c r="AX69" s="455"/>
      <c r="AY69" s="486" t="str">
        <f ca="1">IF(AX68="","",IFERROR($C18,1878))</f>
        <v/>
      </c>
      <c r="AZ69" s="455"/>
      <c r="BA69" s="486" t="str">
        <f ca="1">IF(AZ68="","",IFERROR($C18,1878))</f>
        <v/>
      </c>
      <c r="BB69" s="455"/>
      <c r="BC69" s="486" t="str">
        <f ca="1">IF(BB68="","",IFERROR($C18,1878))</f>
        <v/>
      </c>
      <c r="BD69" s="455"/>
      <c r="BE69" s="486" t="str">
        <f ca="1">IF(BD68="","",IFERROR($C18,1878))</f>
        <v/>
      </c>
      <c r="BF69" s="455"/>
      <c r="BG69" s="486" t="str">
        <f ca="1">IF(BF68="","",IFERROR($C18,1878))</f>
        <v/>
      </c>
      <c r="BH69" s="455"/>
      <c r="BI69" s="486" t="str">
        <f ca="1">IF(BH68="","",IFERROR($C18,1878))</f>
        <v/>
      </c>
      <c r="BJ69" s="455"/>
      <c r="BK69" s="486" t="str">
        <f ca="1">IF(BJ68="","",IFERROR($C18,1878))</f>
        <v/>
      </c>
      <c r="BL69" s="455"/>
      <c r="BM69" s="486" t="str">
        <f ca="1">IF(BL68="","",IFERROR($C18,1878))</f>
        <v/>
      </c>
      <c r="BN69" s="455"/>
      <c r="BO69" s="486" t="str">
        <f ca="1">IF(BN68="","",IFERROR($C18,1878))</f>
        <v/>
      </c>
      <c r="BP69" s="455"/>
      <c r="BQ69" s="486" t="str">
        <f ca="1">IF(BP68="","",IFERROR($C18,1878))</f>
        <v/>
      </c>
      <c r="BR69" s="455"/>
      <c r="BS69" s="486" t="str">
        <f ca="1">IF(BR68="","",IFERROR($C18,1878))</f>
        <v/>
      </c>
      <c r="BT69" s="455"/>
      <c r="BU69" s="486" t="str">
        <f ca="1">IF(BT68="","",IFERROR($C18,1878))</f>
        <v/>
      </c>
      <c r="BV69" s="455"/>
      <c r="BW69" s="486" t="str">
        <f ca="1">IF(BV68="","",IFERROR($C18,1878))</f>
        <v/>
      </c>
      <c r="BX69" s="455"/>
      <c r="BY69" s="486" t="str">
        <f ca="1">IF(BX68="","",IFERROR($C18,1878))</f>
        <v/>
      </c>
      <c r="BZ69" s="455"/>
      <c r="CA69" s="486" t="str">
        <f ca="1">IF(BZ68="","",IFERROR($C18,1878))</f>
        <v/>
      </c>
      <c r="CB69" s="455"/>
      <c r="CC69" s="486" t="str">
        <f ca="1">IF(CB68="","",IFERROR($C18,1878))</f>
        <v/>
      </c>
      <c r="CD69" s="455"/>
      <c r="CE69" s="486" t="str">
        <f ca="1">IF(CD68="","",IFERROR($C18,1878))</f>
        <v/>
      </c>
      <c r="CF69" s="320"/>
      <c r="CG69" s="289"/>
      <c r="CH69" s="289"/>
      <c r="CI69" s="289"/>
      <c r="CJ69" s="289"/>
      <c r="CK69" s="289"/>
      <c r="CL69" s="289"/>
      <c r="CM69" s="289"/>
      <c r="CN69" s="289"/>
      <c r="CO69" s="289"/>
      <c r="CP69" s="289"/>
      <c r="CQ69" s="289"/>
      <c r="CR69" s="289"/>
      <c r="CS69" s="289"/>
      <c r="CT69" s="289"/>
      <c r="CU69" s="289"/>
      <c r="CV69" s="289"/>
      <c r="CW69" s="289"/>
      <c r="CX69" s="289"/>
      <c r="CY69" s="289"/>
      <c r="CZ69" s="289"/>
    </row>
    <row r="70" spans="1:104" x14ac:dyDescent="0.45">
      <c r="A70" s="289"/>
      <c r="B70" s="432" t="s">
        <v>4</v>
      </c>
      <c r="C70" s="487" t="str">
        <f>IFERROR(IF('1a. Input organisatieniveau'!$I10="", "", '1a. Input organisatieniveau'!$I10), "")</f>
        <v/>
      </c>
      <c r="D70" s="442"/>
      <c r="E70" s="488" t="str">
        <f ca="1">IF(D68="","",IFERROR($C70,""))</f>
        <v/>
      </c>
      <c r="F70" s="442"/>
      <c r="G70" s="488" t="str">
        <f ca="1">IF(F68="","",IFERROR($C70,""))</f>
        <v/>
      </c>
      <c r="H70" s="442"/>
      <c r="I70" s="488" t="str">
        <f ca="1">IF(H68="","",IFERROR($C70,""))</f>
        <v/>
      </c>
      <c r="J70" s="442"/>
      <c r="K70" s="488" t="str">
        <f ca="1">IF(J68="","",IFERROR($C70,""))</f>
        <v/>
      </c>
      <c r="L70" s="442"/>
      <c r="M70" s="488" t="str">
        <f ca="1">IF(L68="","",IFERROR($C70,""))</f>
        <v/>
      </c>
      <c r="N70" s="442"/>
      <c r="O70" s="488" t="str">
        <f ca="1">IF(N68="","",IFERROR($C70,""))</f>
        <v/>
      </c>
      <c r="P70" s="442"/>
      <c r="Q70" s="488" t="str">
        <f ca="1">IF(P68="","",IFERROR($C70,""))</f>
        <v/>
      </c>
      <c r="R70" s="442"/>
      <c r="S70" s="488" t="str">
        <f ca="1">IF(R68="","",IFERROR($C70,""))</f>
        <v/>
      </c>
      <c r="T70" s="442"/>
      <c r="U70" s="488" t="str">
        <f ca="1">IF(T68="","",IFERROR($C70,""))</f>
        <v/>
      </c>
      <c r="V70" s="442"/>
      <c r="W70" s="488" t="str">
        <f ca="1">IF(V68="","",IFERROR($C70,""))</f>
        <v/>
      </c>
      <c r="X70" s="442"/>
      <c r="Y70" s="488" t="str">
        <f ca="1">IF(X68="","",IFERROR($C70,""))</f>
        <v/>
      </c>
      <c r="Z70" s="442"/>
      <c r="AA70" s="488" t="str">
        <f ca="1">IF(Z68="","",IFERROR($C70,""))</f>
        <v/>
      </c>
      <c r="AB70" s="442"/>
      <c r="AC70" s="488" t="str">
        <f ca="1">IF(AB68="","",IFERROR($C70,""))</f>
        <v/>
      </c>
      <c r="AD70" s="442"/>
      <c r="AE70" s="488" t="str">
        <f ca="1">IF(AD68="","",IFERROR($C70,""))</f>
        <v/>
      </c>
      <c r="AF70" s="442"/>
      <c r="AG70" s="488" t="str">
        <f ca="1">IF(AF68="","",IFERROR($C70,""))</f>
        <v/>
      </c>
      <c r="AH70" s="442"/>
      <c r="AI70" s="488" t="str">
        <f ca="1">IF(AH68="","",IFERROR($C70,""))</f>
        <v/>
      </c>
      <c r="AJ70" s="442"/>
      <c r="AK70" s="488" t="str">
        <f ca="1">IF(AJ68="","",IFERROR($C70,""))</f>
        <v/>
      </c>
      <c r="AL70" s="442"/>
      <c r="AM70" s="488" t="str">
        <f ca="1">IF(AL68="","",IFERROR($C70,""))</f>
        <v/>
      </c>
      <c r="AN70" s="442"/>
      <c r="AO70" s="488" t="str">
        <f ca="1">IF(AN68="","",IFERROR($C70,""))</f>
        <v/>
      </c>
      <c r="AP70" s="442"/>
      <c r="AQ70" s="488" t="str">
        <f ca="1">IF(AP68="","",IFERROR($C70,""))</f>
        <v/>
      </c>
      <c r="AR70" s="442"/>
      <c r="AS70" s="488" t="str">
        <f ca="1">IF(AR68="","",IFERROR($C70,""))</f>
        <v/>
      </c>
      <c r="AT70" s="442"/>
      <c r="AU70" s="488" t="str">
        <f ca="1">IF(AT68="","",IFERROR($C70,""))</f>
        <v/>
      </c>
      <c r="AV70" s="442"/>
      <c r="AW70" s="488" t="str">
        <f ca="1">IF(AV68="","",IFERROR($C70,""))</f>
        <v/>
      </c>
      <c r="AX70" s="442"/>
      <c r="AY70" s="488" t="str">
        <f ca="1">IF(AX68="","",IFERROR($C70,""))</f>
        <v/>
      </c>
      <c r="AZ70" s="442"/>
      <c r="BA70" s="488" t="str">
        <f ca="1">IF(AZ68="","",IFERROR($C70,""))</f>
        <v/>
      </c>
      <c r="BB70" s="442"/>
      <c r="BC70" s="488" t="str">
        <f ca="1">IF(BB68="","",IFERROR($C70,""))</f>
        <v/>
      </c>
      <c r="BD70" s="442"/>
      <c r="BE70" s="488" t="str">
        <f ca="1">IF(BD68="","",IFERROR($C70,""))</f>
        <v/>
      </c>
      <c r="BF70" s="442"/>
      <c r="BG70" s="488" t="str">
        <f ca="1">IF(BF68="","",IFERROR($C70,""))</f>
        <v/>
      </c>
      <c r="BH70" s="442"/>
      <c r="BI70" s="488" t="str">
        <f ca="1">IF(BH68="","",IFERROR($C70,""))</f>
        <v/>
      </c>
      <c r="BJ70" s="442"/>
      <c r="BK70" s="488" t="str">
        <f ca="1">IF(BJ68="","",IFERROR($C70,""))</f>
        <v/>
      </c>
      <c r="BL70" s="442"/>
      <c r="BM70" s="488" t="str">
        <f ca="1">IF(BL68="","",IFERROR($C70,""))</f>
        <v/>
      </c>
      <c r="BN70" s="442"/>
      <c r="BO70" s="488" t="str">
        <f ca="1">IF(BN68="","",IFERROR($C70,""))</f>
        <v/>
      </c>
      <c r="BP70" s="442"/>
      <c r="BQ70" s="488" t="str">
        <f ca="1">IF(BP68="","",IFERROR($C70,""))</f>
        <v/>
      </c>
      <c r="BR70" s="442"/>
      <c r="BS70" s="488" t="str">
        <f ca="1">IF(BR68="","",IFERROR($C70,""))</f>
        <v/>
      </c>
      <c r="BT70" s="442"/>
      <c r="BU70" s="488" t="str">
        <f ca="1">IF(BT68="","",IFERROR($C70,""))</f>
        <v/>
      </c>
      <c r="BV70" s="442"/>
      <c r="BW70" s="488" t="str">
        <f ca="1">IF(BV68="","",IFERROR($C70,""))</f>
        <v/>
      </c>
      <c r="BX70" s="442"/>
      <c r="BY70" s="488" t="str">
        <f ca="1">IF(BX68="","",IFERROR($C70,""))</f>
        <v/>
      </c>
      <c r="BZ70" s="442"/>
      <c r="CA70" s="488" t="str">
        <f ca="1">IF(BZ68="","",IFERROR($C70,""))</f>
        <v/>
      </c>
      <c r="CB70" s="442"/>
      <c r="CC70" s="488" t="str">
        <f ca="1">IF(CB68="","",IFERROR($C70,""))</f>
        <v/>
      </c>
      <c r="CD70" s="442"/>
      <c r="CE70" s="488" t="str">
        <f ca="1">IF(CD68="","",IFERROR($C70,""))</f>
        <v/>
      </c>
      <c r="CF70" s="320"/>
      <c r="CG70" s="289"/>
      <c r="CH70" s="289"/>
      <c r="CI70" s="289"/>
      <c r="CJ70" s="289"/>
      <c r="CK70" s="289"/>
      <c r="CL70" s="289"/>
      <c r="CM70" s="289"/>
      <c r="CN70" s="289"/>
      <c r="CO70" s="289"/>
      <c r="CP70" s="289"/>
      <c r="CQ70" s="289"/>
      <c r="CR70" s="289"/>
      <c r="CS70" s="289"/>
      <c r="CT70" s="289"/>
      <c r="CU70" s="289"/>
      <c r="CV70" s="289"/>
      <c r="CW70" s="289"/>
      <c r="CX70" s="289"/>
      <c r="CY70" s="289"/>
      <c r="CZ70" s="289"/>
    </row>
    <row r="71" spans="1:104" x14ac:dyDescent="0.45">
      <c r="A71" s="289"/>
      <c r="B71" s="432" t="s">
        <v>17</v>
      </c>
      <c r="C71" s="457" t="str">
        <f>IF('Hulp (control forms)'!$C$6&lt;&gt;TRUE,IF('1a. Input organisatieniveau'!$I11="","",SUM('1a. Input organisatieniveau'!$I11)), "")</f>
        <v/>
      </c>
      <c r="D71" s="457" t="str" cm="1">
        <f t="array" aca="1" ref="D71" ca="1">IF(D68="","",
IF('Hulp (control forms)'!$C$6=TRUE,
   IF(INDEX('1a. Input organisatieniveau'!$L9:$N9, MATCH(INDEX('1a. Input organisatieniveau'!$AC:$AC, 7 + (COLUMN(A13) - 1)*0.5), '1a. Input organisatieniveau'!$L6:$N6, 0))="","",
INDEX('1a. Input organisatieniveau'!$L9:$N9, MATCH(INDEX('1a. Input organisatieniveau'!$AC:$AC, 7 + (COLUMN(A13) - 1)*0.5), '1a. Input organisatieniveau'!$L6:$N6, 0))),
""))</f>
        <v/>
      </c>
      <c r="E71" s="489" t="str">
        <f ca="1">IF(D68="","",IFERROR(E69*IF(D71&lt;&gt;"",D71,$C71),""))</f>
        <v/>
      </c>
      <c r="F71" s="457" t="str" cm="1">
        <f t="array" aca="1" ref="F71" ca="1">IF(F68="","",
IF('Hulp (control forms)'!$C$6=TRUE,
   IF(INDEX('1a. Input organisatieniveau'!$L9:$N9, MATCH(INDEX('1a. Input organisatieniveau'!$AC:$AC, 7 + (COLUMN(C13) - 1)*0.5), '1a. Input organisatieniveau'!$L6:$N6, 0))="","",
INDEX('1a. Input organisatieniveau'!$L9:$N9, MATCH(INDEX('1a. Input organisatieniveau'!$AC:$AC, 7 + (COLUMN(C13) - 1)*0.5), '1a. Input organisatieniveau'!$L6:$N6, 0))),
""))</f>
        <v/>
      </c>
      <c r="G71" s="489" t="str">
        <f ca="1">IF(F68="","",IFERROR(G69*IF(F71&lt;&gt;"",F71,$C71),""))</f>
        <v/>
      </c>
      <c r="H71" s="457" t="str" cm="1">
        <f t="array" aca="1" ref="H71" ca="1">IF(H68="","",
IF('Hulp (control forms)'!$C$6=TRUE,
   IF(INDEX('1a. Input organisatieniveau'!$L9:$N9, MATCH(INDEX('1a. Input organisatieniveau'!$AC:$AC, 7 + (COLUMN(E13) - 1)*0.5), '1a. Input organisatieniveau'!$L6:$N6, 0))="","",
INDEX('1a. Input organisatieniveau'!$L9:$N9, MATCH(INDEX('1a. Input organisatieniveau'!$AC:$AC, 7 + (COLUMN(E13) - 1)*0.5), '1a. Input organisatieniveau'!$L6:$N6, 0))),
""))</f>
        <v/>
      </c>
      <c r="I71" s="489" t="str">
        <f ca="1">IF(H68="","",IFERROR(I69*IF(H71&lt;&gt;"",H71,$C71),""))</f>
        <v/>
      </c>
      <c r="J71" s="457" t="str" cm="1">
        <f t="array" aca="1" ref="J71" ca="1">IF(J68="","",
IF('Hulp (control forms)'!$C$6=TRUE,
   IF(INDEX('1a. Input organisatieniveau'!$L9:$N9, MATCH(INDEX('1a. Input organisatieniveau'!$AC:$AC, 7 + (COLUMN(G13) - 1)*0.5), '1a. Input organisatieniveau'!$L6:$N6, 0))="","",
INDEX('1a. Input organisatieniveau'!$L9:$N9, MATCH(INDEX('1a. Input organisatieniveau'!$AC:$AC, 7 + (COLUMN(G13) - 1)*0.5), '1a. Input organisatieniveau'!$L6:$N6, 0))),
""))</f>
        <v/>
      </c>
      <c r="K71" s="489" t="str">
        <f ca="1">IF(J68="","",IFERROR(K69*IF(J71&lt;&gt;"",J71,$C71),""))</f>
        <v/>
      </c>
      <c r="L71" s="457" t="str" cm="1">
        <f t="array" aca="1" ref="L71" ca="1">IF(L68="","",
IF('Hulp (control forms)'!$C$6=TRUE,
   IF(INDEX('1a. Input organisatieniveau'!$L9:$N9, MATCH(INDEX('1a. Input organisatieniveau'!$AC:$AC, 7 + (COLUMN(I13) - 1)*0.5), '1a. Input organisatieniveau'!$L6:$N6, 0))="","",
INDEX('1a. Input organisatieniveau'!$L9:$N9, MATCH(INDEX('1a. Input organisatieniveau'!$AC:$AC, 7 + (COLUMN(I13) - 1)*0.5), '1a. Input organisatieniveau'!$L6:$N6, 0))),
""))</f>
        <v/>
      </c>
      <c r="M71" s="489" t="str">
        <f ca="1">IF(L68="","",IFERROR(M69*IF(L71&lt;&gt;"",L71,$C71),""))</f>
        <v/>
      </c>
      <c r="N71" s="457" t="str" cm="1">
        <f t="array" aca="1" ref="N71" ca="1">IF(N68="","",
IF('Hulp (control forms)'!$C$6=TRUE,
   IF(INDEX('1a. Input organisatieniveau'!$L9:$N9, MATCH(INDEX('1a. Input organisatieniveau'!$AC:$AC, 7 + (COLUMN(K13) - 1)*0.5), '1a. Input organisatieniveau'!$L6:$N6, 0))="","",
INDEX('1a. Input organisatieniveau'!$L9:$N9, MATCH(INDEX('1a. Input organisatieniveau'!$AC:$AC, 7 + (COLUMN(K13) - 1)*0.5), '1a. Input organisatieniveau'!$L6:$N6, 0))),
""))</f>
        <v/>
      </c>
      <c r="O71" s="489" t="str">
        <f ca="1">IF(N68="","",IFERROR(O69*IF(N71&lt;&gt;"",N71,$C71),""))</f>
        <v/>
      </c>
      <c r="P71" s="457" t="str" cm="1">
        <f t="array" aca="1" ref="P71" ca="1">IF(P68="","",
IF('Hulp (control forms)'!$C$6=TRUE,
   IF(INDEX('1a. Input organisatieniveau'!$L9:$N9, MATCH(INDEX('1a. Input organisatieniveau'!$AC:$AC, 7 + (COLUMN(M13) - 1)*0.5), '1a. Input organisatieniveau'!$L6:$N6, 0))="","",
INDEX('1a. Input organisatieniveau'!$L9:$N9, MATCH(INDEX('1a. Input organisatieniveau'!$AC:$AC, 7 + (COLUMN(M13) - 1)*0.5), '1a. Input organisatieniveau'!$L6:$N6, 0))),
""))</f>
        <v/>
      </c>
      <c r="Q71" s="489" t="str">
        <f ca="1">IF(P68="","",IFERROR(Q69*IF(P71&lt;&gt;"",P71,$C71),""))</f>
        <v/>
      </c>
      <c r="R71" s="457" t="str" cm="1">
        <f t="array" aca="1" ref="R71" ca="1">IF(R68="","",
IF('Hulp (control forms)'!$C$6=TRUE,
   IF(INDEX('1a. Input organisatieniveau'!$L9:$N9, MATCH(INDEX('1a. Input organisatieniveau'!$AC:$AC, 7 + (COLUMN(O13) - 1)*0.5), '1a. Input organisatieniveau'!$L6:$N6, 0))="","",
INDEX('1a. Input organisatieniveau'!$L9:$N9, MATCH(INDEX('1a. Input organisatieniveau'!$AC:$AC, 7 + (COLUMN(O13) - 1)*0.5), '1a. Input organisatieniveau'!$L6:$N6, 0))),
""))</f>
        <v/>
      </c>
      <c r="S71" s="489" t="str">
        <f ca="1">IF(R68="","",IFERROR(S69*IF(R71&lt;&gt;"",R71,$C71),""))</f>
        <v/>
      </c>
      <c r="T71" s="457" t="str" cm="1">
        <f t="array" aca="1" ref="T71" ca="1">IF(T68="","",
IF('Hulp (control forms)'!$C$6=TRUE,
   IF(INDEX('1a. Input organisatieniveau'!$L9:$N9, MATCH(INDEX('1a. Input organisatieniveau'!$AC:$AC, 7 + (COLUMN(Q13) - 1)*0.5), '1a. Input organisatieniveau'!$L6:$N6, 0))="","",
INDEX('1a. Input organisatieniveau'!$L9:$N9, MATCH(INDEX('1a. Input organisatieniveau'!$AC:$AC, 7 + (COLUMN(Q13) - 1)*0.5), '1a. Input organisatieniveau'!$L6:$N6, 0))),
""))</f>
        <v/>
      </c>
      <c r="U71" s="489" t="str">
        <f ca="1">IF(T68="","",IFERROR(U69*IF(T71&lt;&gt;"",T71,$C71),""))</f>
        <v/>
      </c>
      <c r="V71" s="457" t="str" cm="1">
        <f t="array" aca="1" ref="V71" ca="1">IF(V68="","",
IF('Hulp (control forms)'!$C$6=TRUE,
   IF(INDEX('1a. Input organisatieniveau'!$L9:$N9, MATCH(INDEX('1a. Input organisatieniveau'!$AC:$AC, 7 + (COLUMN(S13) - 1)*0.5), '1a. Input organisatieniveau'!$L6:$N6, 0))="","",
INDEX('1a. Input organisatieniveau'!$L9:$N9, MATCH(INDEX('1a. Input organisatieniveau'!$AC:$AC, 7 + (COLUMN(S13) - 1)*0.5), '1a. Input organisatieniveau'!$L6:$N6, 0))),
""))</f>
        <v/>
      </c>
      <c r="W71" s="489" t="str">
        <f ca="1">IF(V68="","",IFERROR(W69*IF(V71&lt;&gt;"",V71,$C71),""))</f>
        <v/>
      </c>
      <c r="X71" s="457" t="str" cm="1">
        <f t="array" aca="1" ref="X71" ca="1">IF(X68="","",
IF('Hulp (control forms)'!$C$6=TRUE,
   IF(INDEX('1a. Input organisatieniveau'!$L9:$N9, MATCH(INDEX('1a. Input organisatieniveau'!$AC:$AC, 7 + (COLUMN(U13) - 1)*0.5), '1a. Input organisatieniveau'!$L6:$N6, 0))="","",
INDEX('1a. Input organisatieniveau'!$L9:$N9, MATCH(INDEX('1a. Input organisatieniveau'!$AC:$AC, 7 + (COLUMN(U13) - 1)*0.5), '1a. Input organisatieniveau'!$L6:$N6, 0))),
""))</f>
        <v/>
      </c>
      <c r="Y71" s="489" t="str">
        <f ca="1">IF(X68="","",IFERROR(Y69*IF(X71&lt;&gt;"",X71,$C71),""))</f>
        <v/>
      </c>
      <c r="Z71" s="457" t="str" cm="1">
        <f t="array" aca="1" ref="Z71" ca="1">IF(Z68="","",
IF('Hulp (control forms)'!$C$6=TRUE,
   IF(INDEX('1a. Input organisatieniveau'!$L9:$N9, MATCH(INDEX('1a. Input organisatieniveau'!$AC:$AC, 7 + (COLUMN(W13) - 1)*0.5), '1a. Input organisatieniveau'!$L6:$N6, 0))="","",
INDEX('1a. Input organisatieniveau'!$L9:$N9, MATCH(INDEX('1a. Input organisatieniveau'!$AC:$AC, 7 + (COLUMN(W13) - 1)*0.5), '1a. Input organisatieniveau'!$L6:$N6, 0))),
""))</f>
        <v/>
      </c>
      <c r="AA71" s="489" t="str">
        <f ca="1">IF(Z68="","",IFERROR(AA69*IF(Z71&lt;&gt;"",Z71,$C71),""))</f>
        <v/>
      </c>
      <c r="AB71" s="457" t="str" cm="1">
        <f t="array" aca="1" ref="AB71" ca="1">IF(AB68="","",
IF('Hulp (control forms)'!$C$6=TRUE,
   IF(INDEX('1a. Input organisatieniveau'!$L9:$N9, MATCH(INDEX('1a. Input organisatieniveau'!$AC:$AC, 7 + (COLUMN(Y13) - 1)*0.5), '1a. Input organisatieniveau'!$L6:$N6, 0))="","",
INDEX('1a. Input organisatieniveau'!$L9:$N9, MATCH(INDEX('1a. Input organisatieniveau'!$AC:$AC, 7 + (COLUMN(Y13) - 1)*0.5), '1a. Input organisatieniveau'!$L6:$N6, 0))),
""))</f>
        <v/>
      </c>
      <c r="AC71" s="489" t="str">
        <f ca="1">IF(AB68="","",IFERROR(AC69*IF(AB71&lt;&gt;"",AB71,$C71),""))</f>
        <v/>
      </c>
      <c r="AD71" s="457" t="str" cm="1">
        <f t="array" aca="1" ref="AD71" ca="1">IF(AD68="","",
IF('Hulp (control forms)'!$C$6=TRUE,
   IF(INDEX('1a. Input organisatieniveau'!$L9:$N9, MATCH(INDEX('1a. Input organisatieniveau'!$AC:$AC, 7 + (COLUMN(AA13) - 1)*0.5), '1a. Input organisatieniveau'!$L6:$N6, 0))="","",
INDEX('1a. Input organisatieniveau'!$L9:$N9, MATCH(INDEX('1a. Input organisatieniveau'!$AC:$AC, 7 + (COLUMN(AA13) - 1)*0.5), '1a. Input organisatieniveau'!$L6:$N6, 0))),
""))</f>
        <v/>
      </c>
      <c r="AE71" s="489" t="str">
        <f ca="1">IF(AD68="","",IFERROR(AE69*IF(AD71&lt;&gt;"",AD71,$C71),""))</f>
        <v/>
      </c>
      <c r="AF71" s="457" t="str" cm="1">
        <f t="array" aca="1" ref="AF71" ca="1">IF(AF68="","",
IF('Hulp (control forms)'!$C$6=TRUE,
   IF(INDEX('1a. Input organisatieniveau'!$L9:$N9, MATCH(INDEX('1a. Input organisatieniveau'!$AC:$AC, 7 + (COLUMN(AC13) - 1)*0.5), '1a. Input organisatieniveau'!$L6:$N6, 0))="","",
INDEX('1a. Input organisatieniveau'!$L9:$N9, MATCH(INDEX('1a. Input organisatieniveau'!$AC:$AC, 7 + (COLUMN(AC13) - 1)*0.5), '1a. Input organisatieniveau'!$L6:$N6, 0))),
""))</f>
        <v/>
      </c>
      <c r="AG71" s="489" t="str">
        <f ca="1">IF(AF68="","",IFERROR(AG69*IF(AF71&lt;&gt;"",AF71,$C71),""))</f>
        <v/>
      </c>
      <c r="AH71" s="457" t="str" cm="1">
        <f t="array" aca="1" ref="AH71" ca="1">IF(AH68="","",
IF('Hulp (control forms)'!$C$6=TRUE,
   IF(INDEX('1a. Input organisatieniveau'!$L9:$N9, MATCH(INDEX('1a. Input organisatieniveau'!$AC:$AC, 7 + (COLUMN(AE13) - 1)*0.5), '1a. Input organisatieniveau'!$L6:$N6, 0))="","",
INDEX('1a. Input organisatieniveau'!$L9:$N9, MATCH(INDEX('1a. Input organisatieniveau'!$AC:$AC, 7 + (COLUMN(AE13) - 1)*0.5), '1a. Input organisatieniveau'!$L6:$N6, 0))),
""))</f>
        <v/>
      </c>
      <c r="AI71" s="489" t="str">
        <f ca="1">IF(AH68="","",IFERROR(AI69*IF(AH71&lt;&gt;"",AH71,$C71),""))</f>
        <v/>
      </c>
      <c r="AJ71" s="457" t="str" cm="1">
        <f t="array" aca="1" ref="AJ71" ca="1">IF(AJ68="","",
IF('Hulp (control forms)'!$C$6=TRUE,
   IF(INDEX('1a. Input organisatieniveau'!$L9:$N9, MATCH(INDEX('1a. Input organisatieniveau'!$AC:$AC, 7 + (COLUMN(AG13) - 1)*0.5), '1a. Input organisatieniveau'!$L6:$N6, 0))="","",
INDEX('1a. Input organisatieniveau'!$L9:$N9, MATCH(INDEX('1a. Input organisatieniveau'!$AC:$AC, 7 + (COLUMN(AG13) - 1)*0.5), '1a. Input organisatieniveau'!$L6:$N6, 0))),
""))</f>
        <v/>
      </c>
      <c r="AK71" s="489" t="str">
        <f ca="1">IF(AJ68="","",IFERROR(AK69*IF(AJ71&lt;&gt;"",AJ71,$C71),""))</f>
        <v/>
      </c>
      <c r="AL71" s="457" t="str" cm="1">
        <f t="array" aca="1" ref="AL71" ca="1">IF(AL68="","",
IF('Hulp (control forms)'!$C$6=TRUE,
   IF(INDEX('1a. Input organisatieniveau'!$L9:$N9, MATCH(INDEX('1a. Input organisatieniveau'!$AC:$AC, 7 + (COLUMN(AI13) - 1)*0.5), '1a. Input organisatieniveau'!$L6:$N6, 0))="","",
INDEX('1a. Input organisatieniveau'!$L9:$N9, MATCH(INDEX('1a. Input organisatieniveau'!$AC:$AC, 7 + (COLUMN(AI13) - 1)*0.5), '1a. Input organisatieniveau'!$L6:$N6, 0))),
""))</f>
        <v/>
      </c>
      <c r="AM71" s="489" t="str">
        <f ca="1">IF(AL68="","",IFERROR(AM69*IF(AL71&lt;&gt;"",AL71,$C71),""))</f>
        <v/>
      </c>
      <c r="AN71" s="457" t="str" cm="1">
        <f t="array" aca="1" ref="AN71" ca="1">IF(AN68="","",
IF('Hulp (control forms)'!$C$6=TRUE,
   IF(INDEX('1a. Input organisatieniveau'!$L9:$N9, MATCH(INDEX('1a. Input organisatieniveau'!$AC:$AC, 7 + (COLUMN(AK13) - 1)*0.5), '1a. Input organisatieniveau'!$L6:$N6, 0))="","",
INDEX('1a. Input organisatieniveau'!$L9:$N9, MATCH(INDEX('1a. Input organisatieniveau'!$AC:$AC, 7 + (COLUMN(AK13) - 1)*0.5), '1a. Input organisatieniveau'!$L6:$N6, 0))),
""))</f>
        <v/>
      </c>
      <c r="AO71" s="489" t="str">
        <f ca="1">IF(AN68="","",IFERROR(AO69*IF(AN71&lt;&gt;"",AN71,$C71),""))</f>
        <v/>
      </c>
      <c r="AP71" s="457" t="str" cm="1">
        <f t="array" aca="1" ref="AP71" ca="1">IF(AP68="","",
IF('Hulp (control forms)'!$C$6=TRUE,
   IF(INDEX('1a. Input organisatieniveau'!$L9:$N9, MATCH(INDEX('1a. Input organisatieniveau'!$AC:$AC, 7 + (COLUMN(AM13) - 1)*0.5), '1a. Input organisatieniveau'!$L6:$N6, 0))="","",
INDEX('1a. Input organisatieniveau'!$L9:$N9, MATCH(INDEX('1a. Input organisatieniveau'!$AC:$AC, 7 + (COLUMN(AM13) - 1)*0.5), '1a. Input organisatieniveau'!$L6:$N6, 0))),
""))</f>
        <v/>
      </c>
      <c r="AQ71" s="489" t="str">
        <f ca="1">IF(AP68="","",IFERROR(AQ69*IF(AP71&lt;&gt;"",AP71,$C71),""))</f>
        <v/>
      </c>
      <c r="AR71" s="457" t="str" cm="1">
        <f t="array" aca="1" ref="AR71" ca="1">IF(AR68="","",
IF('Hulp (control forms)'!$C$6=TRUE,
   IF(INDEX('1a. Input organisatieniveau'!$L9:$N9, MATCH(INDEX('1a. Input organisatieniveau'!$AC:$AC, 7 + (COLUMN(AO13) - 1)*0.5), '1a. Input organisatieniveau'!$L6:$N6, 0))="","",
INDEX('1a. Input organisatieniveau'!$L9:$N9, MATCH(INDEX('1a. Input organisatieniveau'!$AC:$AC, 7 + (COLUMN(AO13) - 1)*0.5), '1a. Input organisatieniveau'!$L6:$N6, 0))),
""))</f>
        <v/>
      </c>
      <c r="AS71" s="489" t="str">
        <f ca="1">IF(AR68="","",IFERROR(AS69*IF(AR71&lt;&gt;"",AR71,$C71),""))</f>
        <v/>
      </c>
      <c r="AT71" s="457" t="str" cm="1">
        <f t="array" aca="1" ref="AT71" ca="1">IF(AT68="","",
IF('Hulp (control forms)'!$C$6=TRUE,
   IF(INDEX('1a. Input organisatieniveau'!$L9:$N9, MATCH(INDEX('1a. Input organisatieniveau'!$AC:$AC, 7 + (COLUMN(AQ13) - 1)*0.5), '1a. Input organisatieniveau'!$L6:$N6, 0))="","",
INDEX('1a. Input organisatieniveau'!$L9:$N9, MATCH(INDEX('1a. Input organisatieniveau'!$AC:$AC, 7 + (COLUMN(AQ13) - 1)*0.5), '1a. Input organisatieniveau'!$L6:$N6, 0))),
""))</f>
        <v/>
      </c>
      <c r="AU71" s="489" t="str">
        <f ca="1">IF(AT68="","",IFERROR(AU69*IF(AT71&lt;&gt;"",AT71,$C71),""))</f>
        <v/>
      </c>
      <c r="AV71" s="457" t="str" cm="1">
        <f t="array" aca="1" ref="AV71" ca="1">IF(AV68="","",
IF('Hulp (control forms)'!$C$6=TRUE,
   IF(INDEX('1a. Input organisatieniveau'!$L9:$N9, MATCH(INDEX('1a. Input organisatieniveau'!$AC:$AC, 7 + (COLUMN(AS13) - 1)*0.5), '1a. Input organisatieniveau'!$L6:$N6, 0))="","",
INDEX('1a. Input organisatieniveau'!$L9:$N9, MATCH(INDEX('1a. Input organisatieniveau'!$AC:$AC, 7 + (COLUMN(AS13) - 1)*0.5), '1a. Input organisatieniveau'!$L6:$N6, 0))),
""))</f>
        <v/>
      </c>
      <c r="AW71" s="489" t="str">
        <f ca="1">IF(AV68="","",IFERROR(AW69*IF(AV71&lt;&gt;"",AV71,$C71),""))</f>
        <v/>
      </c>
      <c r="AX71" s="457" t="str" cm="1">
        <f t="array" aca="1" ref="AX71" ca="1">IF(AX68="","",
IF('Hulp (control forms)'!$C$6=TRUE,
   IF(INDEX('1a. Input organisatieniveau'!$L9:$N9, MATCH(INDEX('1a. Input organisatieniveau'!$AC:$AC, 7 + (COLUMN(AU13) - 1)*0.5), '1a. Input organisatieniveau'!$L6:$N6, 0))="","",
INDEX('1a. Input organisatieniveau'!$L9:$N9, MATCH(INDEX('1a. Input organisatieniveau'!$AC:$AC, 7 + (COLUMN(AU13) - 1)*0.5), '1a. Input organisatieniveau'!$L6:$N6, 0))),
""))</f>
        <v/>
      </c>
      <c r="AY71" s="489" t="str">
        <f ca="1">IF(AX68="","",IFERROR(AY69*IF(AX71&lt;&gt;"",AX71,$C71),""))</f>
        <v/>
      </c>
      <c r="AZ71" s="457" t="str" cm="1">
        <f t="array" aca="1" ref="AZ71" ca="1">IF(AZ68="","",
IF('Hulp (control forms)'!$C$6=TRUE,
   IF(INDEX('1a. Input organisatieniveau'!$L9:$N9, MATCH(INDEX('1a. Input organisatieniveau'!$AC:$AC, 7 + (COLUMN(AW13) - 1)*0.5), '1a. Input organisatieniveau'!$L6:$N6, 0))="","",
INDEX('1a. Input organisatieniveau'!$L9:$N9, MATCH(INDEX('1a. Input organisatieniveau'!$AC:$AC, 7 + (COLUMN(AW13) - 1)*0.5), '1a. Input organisatieniveau'!$L6:$N6, 0))),
""))</f>
        <v/>
      </c>
      <c r="BA71" s="489" t="str">
        <f ca="1">IF(AZ68="","",IFERROR(BA69*IF(AZ71&lt;&gt;"",AZ71,$C71),""))</f>
        <v/>
      </c>
      <c r="BB71" s="457" t="str" cm="1">
        <f t="array" aca="1" ref="BB71" ca="1">IF(BB68="","",
IF('Hulp (control forms)'!$C$6=TRUE,
   IF(INDEX('1a. Input organisatieniveau'!$L9:$N9, MATCH(INDEX('1a. Input organisatieniveau'!$AC:$AC, 7 + (COLUMN(AY13) - 1)*0.5), '1a. Input organisatieniveau'!$L6:$N6, 0))="","",
INDEX('1a. Input organisatieniveau'!$L9:$N9, MATCH(INDEX('1a. Input organisatieniveau'!$AC:$AC, 7 + (COLUMN(AY13) - 1)*0.5), '1a. Input organisatieniveau'!$L6:$N6, 0))),
""))</f>
        <v/>
      </c>
      <c r="BC71" s="489" t="str">
        <f ca="1">IF(BB68="","",IFERROR(BC69*IF(BB71&lt;&gt;"",BB71,$C71),""))</f>
        <v/>
      </c>
      <c r="BD71" s="457" t="str" cm="1">
        <f t="array" aca="1" ref="BD71" ca="1">IF(BD68="","",
IF('Hulp (control forms)'!$C$6=TRUE,
   IF(INDEX('1a. Input organisatieniveau'!$L9:$N9, MATCH(INDEX('1a. Input organisatieniveau'!$AC:$AC, 7 + (COLUMN(BA13) - 1)*0.5), '1a. Input organisatieniveau'!$L6:$N6, 0))="","",
INDEX('1a. Input organisatieniveau'!$L9:$N9, MATCH(INDEX('1a. Input organisatieniveau'!$AC:$AC, 7 + (COLUMN(BA13) - 1)*0.5), '1a. Input organisatieniveau'!$L6:$N6, 0))),
""))</f>
        <v/>
      </c>
      <c r="BE71" s="489" t="str">
        <f ca="1">IF(BD68="","",IFERROR(BE69*IF(BD71&lt;&gt;"",BD71,$C71),""))</f>
        <v/>
      </c>
      <c r="BF71" s="457" t="str" cm="1">
        <f t="array" aca="1" ref="BF71" ca="1">IF(BF68="","",
IF('Hulp (control forms)'!$C$6=TRUE,
   IF(INDEX('1a. Input organisatieniveau'!$L9:$N9, MATCH(INDEX('1a. Input organisatieniveau'!$AC:$AC, 7 + (COLUMN(BC13) - 1)*0.5), '1a. Input organisatieniveau'!$L6:$N6, 0))="","",
INDEX('1a. Input organisatieniveau'!$L9:$N9, MATCH(INDEX('1a. Input organisatieniveau'!$AC:$AC, 7 + (COLUMN(BC13) - 1)*0.5), '1a. Input organisatieniveau'!$L6:$N6, 0))),
""))</f>
        <v/>
      </c>
      <c r="BG71" s="489" t="str">
        <f ca="1">IF(BF68="","",IFERROR(BG69*IF(BF71&lt;&gt;"",BF71,$C71),""))</f>
        <v/>
      </c>
      <c r="BH71" s="457" t="str" cm="1">
        <f t="array" aca="1" ref="BH71" ca="1">IF(BH68="","",
IF('Hulp (control forms)'!$C$6=TRUE,
   IF(INDEX('1a. Input organisatieniveau'!$L9:$N9, MATCH(INDEX('1a. Input organisatieniveau'!$AC:$AC, 7 + (COLUMN(BE13) - 1)*0.5), '1a. Input organisatieniveau'!$L6:$N6, 0))="","",
INDEX('1a. Input organisatieniveau'!$L9:$N9, MATCH(INDEX('1a. Input organisatieniveau'!$AC:$AC, 7 + (COLUMN(BE13) - 1)*0.5), '1a. Input organisatieniveau'!$L6:$N6, 0))),
""))</f>
        <v/>
      </c>
      <c r="BI71" s="489" t="str">
        <f ca="1">IF(BH68="","",IFERROR(BI69*IF(BH71&lt;&gt;"",BH71,$C71),""))</f>
        <v/>
      </c>
      <c r="BJ71" s="457" t="str" cm="1">
        <f t="array" aca="1" ref="BJ71" ca="1">IF(BJ68="","",
IF('Hulp (control forms)'!$C$6=TRUE,
   IF(INDEX('1a. Input organisatieniveau'!$L9:$N9, MATCH(INDEX('1a. Input organisatieniveau'!$AC:$AC, 7 + (COLUMN(BG13) - 1)*0.5), '1a. Input organisatieniveau'!$L6:$N6, 0))="","",
INDEX('1a. Input organisatieniveau'!$L9:$N9, MATCH(INDEX('1a. Input organisatieniveau'!$AC:$AC, 7 + (COLUMN(BG13) - 1)*0.5), '1a. Input organisatieniveau'!$L6:$N6, 0))),
""))</f>
        <v/>
      </c>
      <c r="BK71" s="489" t="str">
        <f ca="1">IF(BJ68="","",IFERROR(BK69*IF(BJ71&lt;&gt;"",BJ71,$C71),""))</f>
        <v/>
      </c>
      <c r="BL71" s="457" t="str" cm="1">
        <f t="array" aca="1" ref="BL71" ca="1">IF(BL68="","",
IF('Hulp (control forms)'!$C$6=TRUE,
   IF(INDEX('1a. Input organisatieniveau'!$L9:$N9, MATCH(INDEX('1a. Input organisatieniveau'!$AC:$AC, 7 + (COLUMN(BI13) - 1)*0.5), '1a. Input organisatieniveau'!$L6:$N6, 0))="","",
INDEX('1a. Input organisatieniveau'!$L9:$N9, MATCH(INDEX('1a. Input organisatieniveau'!$AC:$AC, 7 + (COLUMN(BI13) - 1)*0.5), '1a. Input organisatieniveau'!$L6:$N6, 0))),
""))</f>
        <v/>
      </c>
      <c r="BM71" s="489" t="str">
        <f ca="1">IF(BL68="","",IFERROR(BM69*IF(BL71&lt;&gt;"",BL71,$C71),""))</f>
        <v/>
      </c>
      <c r="BN71" s="457" t="str" cm="1">
        <f t="array" aca="1" ref="BN71" ca="1">IF(BN68="","",
IF('Hulp (control forms)'!$C$6=TRUE,
   IF(INDEX('1a. Input organisatieniveau'!$L9:$N9, MATCH(INDEX('1a. Input organisatieniveau'!$AC:$AC, 7 + (COLUMN(BK13) - 1)*0.5), '1a. Input organisatieniveau'!$L6:$N6, 0))="","",
INDEX('1a. Input organisatieniveau'!$L9:$N9, MATCH(INDEX('1a. Input organisatieniveau'!$AC:$AC, 7 + (COLUMN(BK13) - 1)*0.5), '1a. Input organisatieniveau'!$L6:$N6, 0))),
""))</f>
        <v/>
      </c>
      <c r="BO71" s="489" t="str">
        <f ca="1">IF(BN68="","",IFERROR(BO69*IF(BN71&lt;&gt;"",BN71,$C71),""))</f>
        <v/>
      </c>
      <c r="BP71" s="457" t="str" cm="1">
        <f t="array" aca="1" ref="BP71" ca="1">IF(BP68="","",
IF('Hulp (control forms)'!$C$6=TRUE,
   IF(INDEX('1a. Input organisatieniveau'!$L9:$N9, MATCH(INDEX('1a. Input organisatieniveau'!$AC:$AC, 7 + (COLUMN(BM13) - 1)*0.5), '1a. Input organisatieniveau'!$L6:$N6, 0))="","",
INDEX('1a. Input organisatieniveau'!$L9:$N9, MATCH(INDEX('1a. Input organisatieniveau'!$AC:$AC, 7 + (COLUMN(BM13) - 1)*0.5), '1a. Input organisatieniveau'!$L6:$N6, 0))),
""))</f>
        <v/>
      </c>
      <c r="BQ71" s="489" t="str">
        <f ca="1">IF(BP68="","",IFERROR(BQ69*IF(BP71&lt;&gt;"",BP71,$C71),""))</f>
        <v/>
      </c>
      <c r="BR71" s="457" t="str" cm="1">
        <f t="array" aca="1" ref="BR71" ca="1">IF(BR68="","",
IF('Hulp (control forms)'!$C$6=TRUE,
   IF(INDEX('1a. Input organisatieniveau'!$L9:$N9, MATCH(INDEX('1a. Input organisatieniveau'!$AC:$AC, 7 + (COLUMN(BO13) - 1)*0.5), '1a. Input organisatieniveau'!$L6:$N6, 0))="","",
INDEX('1a. Input organisatieniveau'!$L9:$N9, MATCH(INDEX('1a. Input organisatieniveau'!$AC:$AC, 7 + (COLUMN(BO13) - 1)*0.5), '1a. Input organisatieniveau'!$L6:$N6, 0))),
""))</f>
        <v/>
      </c>
      <c r="BS71" s="489" t="str">
        <f ca="1">IF(BR68="","",IFERROR(BS69*IF(BR71&lt;&gt;"",BR71,$C71),""))</f>
        <v/>
      </c>
      <c r="BT71" s="457" t="str" cm="1">
        <f t="array" aca="1" ref="BT71" ca="1">IF(BT68="","",
IF('Hulp (control forms)'!$C$6=TRUE,
   IF(INDEX('1a. Input organisatieniveau'!$L9:$N9, MATCH(INDEX('1a. Input organisatieniveau'!$AC:$AC, 7 + (COLUMN(BQ13) - 1)*0.5), '1a. Input organisatieniveau'!$L6:$N6, 0))="","",
INDEX('1a. Input organisatieniveau'!$L9:$N9, MATCH(INDEX('1a. Input organisatieniveau'!$AC:$AC, 7 + (COLUMN(BQ13) - 1)*0.5), '1a. Input organisatieniveau'!$L6:$N6, 0))),
""))</f>
        <v/>
      </c>
      <c r="BU71" s="489" t="str">
        <f ca="1">IF(BT68="","",IFERROR(BU69*IF(BT71&lt;&gt;"",BT71,$C71),""))</f>
        <v/>
      </c>
      <c r="BV71" s="457" t="str" cm="1">
        <f t="array" aca="1" ref="BV71" ca="1">IF(BV68="","",
IF('Hulp (control forms)'!$C$6=TRUE,
   IF(INDEX('1a. Input organisatieniveau'!$L9:$N9, MATCH(INDEX('1a. Input organisatieniveau'!$AC:$AC, 7 + (COLUMN(BS13) - 1)*0.5), '1a. Input organisatieniveau'!$L6:$N6, 0))="","",
INDEX('1a. Input organisatieniveau'!$L9:$N9, MATCH(INDEX('1a. Input organisatieniveau'!$AC:$AC, 7 + (COLUMN(BS13) - 1)*0.5), '1a. Input organisatieniveau'!$L6:$N6, 0))),
""))</f>
        <v/>
      </c>
      <c r="BW71" s="489" t="str">
        <f ca="1">IF(BV68="","",IFERROR(BW69*IF(BV71&lt;&gt;"",BV71,$C71),""))</f>
        <v/>
      </c>
      <c r="BX71" s="457" t="str" cm="1">
        <f t="array" aca="1" ref="BX71" ca="1">IF(BX68="","",
IF('Hulp (control forms)'!$C$6=TRUE,
   IF(INDEX('1a. Input organisatieniveau'!$L9:$N9, MATCH(INDEX('1a. Input organisatieniveau'!$AC:$AC, 7 + (COLUMN(BU13) - 1)*0.5), '1a. Input organisatieniveau'!$L6:$N6, 0))="","",
INDEX('1a. Input organisatieniveau'!$L9:$N9, MATCH(INDEX('1a. Input organisatieniveau'!$AC:$AC, 7 + (COLUMN(BU13) - 1)*0.5), '1a. Input organisatieniveau'!$L6:$N6, 0))),
""))</f>
        <v/>
      </c>
      <c r="BY71" s="489" t="str">
        <f ca="1">IF(BX68="","",IFERROR(BY69*IF(BX71&lt;&gt;"",BX71,$C71),""))</f>
        <v/>
      </c>
      <c r="BZ71" s="457" t="str" cm="1">
        <f t="array" aca="1" ref="BZ71" ca="1">IF(BZ68="","",
IF('Hulp (control forms)'!$C$6=TRUE,
   IF(INDEX('1a. Input organisatieniveau'!$L9:$N9, MATCH(INDEX('1a. Input organisatieniveau'!$AC:$AC, 7 + (COLUMN(BW13) - 1)*0.5), '1a. Input organisatieniveau'!$L6:$N6, 0))="","",
INDEX('1a. Input organisatieniveau'!$L9:$N9, MATCH(INDEX('1a. Input organisatieniveau'!$AC:$AC, 7 + (COLUMN(BW13) - 1)*0.5), '1a. Input organisatieniveau'!$L6:$N6, 0))),
""))</f>
        <v/>
      </c>
      <c r="CA71" s="489" t="str">
        <f ca="1">IF(BZ68="","",IFERROR(CA69*IF(BZ71&lt;&gt;"",BZ71,$C71),""))</f>
        <v/>
      </c>
      <c r="CB71" s="457" t="str" cm="1">
        <f t="array" aca="1" ref="CB71" ca="1">IF(CB68="","",
IF('Hulp (control forms)'!$C$6=TRUE,
   IF(INDEX('1a. Input organisatieniveau'!$L9:$N9, MATCH(INDEX('1a. Input organisatieniveau'!$AC:$AC, 7 + (COLUMN(BY13) - 1)*0.5), '1a. Input organisatieniveau'!$L6:$N6, 0))="","",
INDEX('1a. Input organisatieniveau'!$L9:$N9, MATCH(INDEX('1a. Input organisatieniveau'!$AC:$AC, 7 + (COLUMN(BY13) - 1)*0.5), '1a. Input organisatieniveau'!$L6:$N6, 0))),
""))</f>
        <v/>
      </c>
      <c r="CC71" s="489" t="str">
        <f ca="1">IF(CB68="","",IFERROR(CC69*IF(CB71&lt;&gt;"",CB71,$C71),""))</f>
        <v/>
      </c>
      <c r="CD71" s="457" t="str" cm="1">
        <f t="array" aca="1" ref="CD71" ca="1">IF(CD68="","",
IF('Hulp (control forms)'!$C$6=TRUE,
   IF(INDEX('1a. Input organisatieniveau'!$L9:$N9, MATCH(INDEX('1a. Input organisatieniveau'!$AC:$AC, 7 + (COLUMN(CA13) - 1)*0.5), '1a. Input organisatieniveau'!$L6:$N6, 0))="","",
INDEX('1a. Input organisatieniveau'!$L9:$N9, MATCH(INDEX('1a. Input organisatieniveau'!$AC:$AC, 7 + (COLUMN(CA13) - 1)*0.5), '1a. Input organisatieniveau'!$L6:$N6, 0))),
""))</f>
        <v/>
      </c>
      <c r="CE71" s="489" t="str">
        <f ca="1">IF(CD68="","",IFERROR(CE69*IF(CD71&lt;&gt;"",CD71,$C71),""))</f>
        <v/>
      </c>
      <c r="CF71" s="320"/>
      <c r="CG71" s="289"/>
      <c r="CH71" s="289"/>
      <c r="CI71" s="289"/>
      <c r="CJ71" s="289"/>
      <c r="CK71" s="289"/>
      <c r="CL71" s="289"/>
      <c r="CM71" s="289"/>
      <c r="CN71" s="289"/>
      <c r="CO71" s="289"/>
      <c r="CP71" s="289"/>
      <c r="CQ71" s="289"/>
      <c r="CR71" s="289"/>
      <c r="CS71" s="289"/>
      <c r="CT71" s="289"/>
      <c r="CU71" s="289"/>
      <c r="CV71" s="289"/>
      <c r="CW71" s="289"/>
      <c r="CX71" s="289"/>
      <c r="CY71" s="289"/>
      <c r="CZ71" s="289"/>
    </row>
    <row r="72" spans="1:104" x14ac:dyDescent="0.45">
      <c r="A72" s="289"/>
      <c r="B72" s="432" t="s">
        <v>45</v>
      </c>
      <c r="C72" s="448"/>
      <c r="D72" s="442" t="str">
        <f ca="1">IF(D68="","",
   IFERROR(
      IF(
         INDEX('1b. Input productniveau'!$E:$E, 5 + ((COLUMN()-COLUMN($D$72))/2)*7) = "",
         "",
         INDEX('1b. Input productniveau'!$E:$E, 5 + ((COLUMN()-COLUMN($D$72))/2)*7)
      ),
   "")
)</f>
        <v/>
      </c>
      <c r="E72" s="488" t="str">
        <f ca="1">IF(D68="","",IFERROR(D72,""))</f>
        <v/>
      </c>
      <c r="F72" s="442" t="str">
        <f ca="1">IF(F68="","",
   IFERROR(
      IF(
         INDEX('1b. Input productniveau'!$E:$E, 5 + ((COLUMN()-COLUMN($D$72))/2)*7) = "",
         "",
         INDEX('1b. Input productniveau'!$E:$E, 5 + ((COLUMN()-COLUMN($D$72))/2)*7)
      ),
   "")
)</f>
        <v/>
      </c>
      <c r="G72" s="488" t="str">
        <f ca="1">IF(F68="","",IFERROR(F72,""))</f>
        <v/>
      </c>
      <c r="H72" s="442" t="str">
        <f ca="1">IF(H68="","",
   IFERROR(
      IF(
         INDEX('1b. Input productniveau'!$E:$E, 5 + ((COLUMN()-COLUMN($D$72))/2)*7) = "",
         "",
         INDEX('1b. Input productniveau'!$E:$E, 5 + ((COLUMN()-COLUMN($D$72))/2)*7)
      ),
   "")
)</f>
        <v/>
      </c>
      <c r="I72" s="488" t="str">
        <f ca="1">IF(H68="","",IFERROR(H72,""))</f>
        <v/>
      </c>
      <c r="J72" s="442" t="str">
        <f ca="1">IF(J68="","",
   IFERROR(
      IF(
         INDEX('1b. Input productniveau'!$E:$E, 5 + ((COLUMN()-COLUMN($D$72))/2)*7) = "",
         "",
         INDEX('1b. Input productniveau'!$E:$E, 5 + ((COLUMN()-COLUMN($D$72))/2)*7)
      ),
   "")
)</f>
        <v/>
      </c>
      <c r="K72" s="488" t="str">
        <f ca="1">IF(J68="","",IFERROR(J72,""))</f>
        <v/>
      </c>
      <c r="L72" s="442" t="str">
        <f ca="1">IF(L68="","",
   IFERROR(
      IF(
         INDEX('1b. Input productniveau'!$E:$E, 5 + ((COLUMN()-COLUMN($D$72))/2)*7) = "",
         "",
         INDEX('1b. Input productniveau'!$E:$E, 5 + ((COLUMN()-COLUMN($D$72))/2)*7)
      ),
   "")
)</f>
        <v/>
      </c>
      <c r="M72" s="488" t="str">
        <f ca="1">IF(L68="","",IFERROR(L72,""))</f>
        <v/>
      </c>
      <c r="N72" s="442" t="str">
        <f ca="1">IF(N68="","",
   IFERROR(
      IF(
         INDEX('1b. Input productniveau'!$E:$E, 5 + ((COLUMN()-COLUMN($D$72))/2)*7) = "",
         "",
         INDEX('1b. Input productniveau'!$E:$E, 5 + ((COLUMN()-COLUMN($D$72))/2)*7)
      ),
   "")
)</f>
        <v/>
      </c>
      <c r="O72" s="488" t="str">
        <f ca="1">IF(N68="","",IFERROR(N72,""))</f>
        <v/>
      </c>
      <c r="P72" s="442" t="str">
        <f ca="1">IF(P68="","",
   IFERROR(
      IF(
         INDEX('1b. Input productniveau'!$E:$E, 5 + ((COLUMN()-COLUMN($D$72))/2)*7) = "",
         "",
         INDEX('1b. Input productniveau'!$E:$E, 5 + ((COLUMN()-COLUMN($D$72))/2)*7)
      ),
   "")
)</f>
        <v/>
      </c>
      <c r="Q72" s="488" t="str">
        <f ca="1">IF(P68="","",IFERROR(P72,""))</f>
        <v/>
      </c>
      <c r="R72" s="442" t="str">
        <f ca="1">IF(R68="","",
   IFERROR(
      IF(
         INDEX('1b. Input productniveau'!$E:$E, 5 + ((COLUMN()-COLUMN($D$72))/2)*7) = "",
         "",
         INDEX('1b. Input productniveau'!$E:$E, 5 + ((COLUMN()-COLUMN($D$72))/2)*7)
      ),
   "")
)</f>
        <v/>
      </c>
      <c r="S72" s="488" t="str">
        <f ca="1">IF(R68="","",IFERROR(R72,""))</f>
        <v/>
      </c>
      <c r="T72" s="442" t="str">
        <f ca="1">IF(T68="","",
   IFERROR(
      IF(
         INDEX('1b. Input productniveau'!$E:$E, 5 + ((COLUMN()-COLUMN($D$72))/2)*7) = "",
         "",
         INDEX('1b. Input productniveau'!$E:$E, 5 + ((COLUMN()-COLUMN($D$72))/2)*7)
      ),
   "")
)</f>
        <v/>
      </c>
      <c r="U72" s="488" t="str">
        <f ca="1">IF(T68="","",IFERROR(T72,""))</f>
        <v/>
      </c>
      <c r="V72" s="442" t="str">
        <f ca="1">IF(V68="","",
   IFERROR(
      IF(
         INDEX('1b. Input productniveau'!$E:$E, 5 + ((COLUMN()-COLUMN($D$72))/2)*7) = "",
         "",
         INDEX('1b. Input productniveau'!$E:$E, 5 + ((COLUMN()-COLUMN($D$72))/2)*7)
      ),
   "")
)</f>
        <v/>
      </c>
      <c r="W72" s="488" t="str">
        <f ca="1">IF(V68="","",IFERROR(V72,""))</f>
        <v/>
      </c>
      <c r="X72" s="442" t="str">
        <f ca="1">IF(X68="","",
   IFERROR(
      IF(
         INDEX('1b. Input productniveau'!$E:$E, 5 + ((COLUMN()-COLUMN($D$72))/2)*7) = "",
         "",
         INDEX('1b. Input productniveau'!$E:$E, 5 + ((COLUMN()-COLUMN($D$72))/2)*7)
      ),
   "")
)</f>
        <v/>
      </c>
      <c r="Y72" s="488" t="str">
        <f ca="1">IF(X68="","",IFERROR(X72,""))</f>
        <v/>
      </c>
      <c r="Z72" s="442" t="str">
        <f ca="1">IF(Z68="","",
   IFERROR(
      IF(
         INDEX('1b. Input productniveau'!$E:$E, 5 + ((COLUMN()-COLUMN($D$72))/2)*7) = "",
         "",
         INDEX('1b. Input productniveau'!$E:$E, 5 + ((COLUMN()-COLUMN($D$72))/2)*7)
      ),
   "")
)</f>
        <v/>
      </c>
      <c r="AA72" s="488" t="str">
        <f ca="1">IF(Z68="","",IFERROR(Z72,""))</f>
        <v/>
      </c>
      <c r="AB72" s="442" t="str">
        <f ca="1">IF(AB68="","",
   IFERROR(
      IF(
         INDEX('1b. Input productniveau'!$E:$E, 5 + ((COLUMN()-COLUMN($D$72))/2)*7) = "",
         "",
         INDEX('1b. Input productniveau'!$E:$E, 5 + ((COLUMN()-COLUMN($D$72))/2)*7)
      ),
   "")
)</f>
        <v/>
      </c>
      <c r="AC72" s="488" t="str">
        <f ca="1">IF(AB68="","",IFERROR(AB72,""))</f>
        <v/>
      </c>
      <c r="AD72" s="442" t="str">
        <f ca="1">IF(AD68="","",
   IFERROR(
      IF(
         INDEX('1b. Input productniveau'!$E:$E, 5 + ((COLUMN()-COLUMN($D$72))/2)*7) = "",
         "",
         INDEX('1b. Input productniveau'!$E:$E, 5 + ((COLUMN()-COLUMN($D$72))/2)*7)
      ),
   "")
)</f>
        <v/>
      </c>
      <c r="AE72" s="488" t="str">
        <f ca="1">IF(AD68="","",IFERROR(AD72,""))</f>
        <v/>
      </c>
      <c r="AF72" s="442" t="str">
        <f ca="1">IF(AF68="","",
   IFERROR(
      IF(
         INDEX('1b. Input productniveau'!$E:$E, 5 + ((COLUMN()-COLUMN($D$72))/2)*7) = "",
         "",
         INDEX('1b. Input productniveau'!$E:$E, 5 + ((COLUMN()-COLUMN($D$72))/2)*7)
      ),
   "")
)</f>
        <v/>
      </c>
      <c r="AG72" s="488" t="str">
        <f ca="1">IF(AF68="","",IFERROR(AF72,""))</f>
        <v/>
      </c>
      <c r="AH72" s="442" t="str">
        <f ca="1">IF(AH68="","",
   IFERROR(
      IF(
         INDEX('1b. Input productniveau'!$E:$E, 5 + ((COLUMN()-COLUMN($D$72))/2)*7) = "",
         "",
         INDEX('1b. Input productniveau'!$E:$E, 5 + ((COLUMN()-COLUMN($D$72))/2)*7)
      ),
   "")
)</f>
        <v/>
      </c>
      <c r="AI72" s="488" t="str">
        <f ca="1">IF(AH68="","",IFERROR(AH72,""))</f>
        <v/>
      </c>
      <c r="AJ72" s="442" t="str">
        <f ca="1">IF(AJ68="","",
   IFERROR(
      IF(
         INDEX('1b. Input productniveau'!$E:$E, 5 + ((COLUMN()-COLUMN($D$72))/2)*7) = "",
         "",
         INDEX('1b. Input productniveau'!$E:$E, 5 + ((COLUMN()-COLUMN($D$72))/2)*7)
      ),
   "")
)</f>
        <v/>
      </c>
      <c r="AK72" s="488" t="str">
        <f ca="1">IF(AJ68="","",IFERROR(AJ72,""))</f>
        <v/>
      </c>
      <c r="AL72" s="442" t="str">
        <f ca="1">IF(AL68="","",
   IFERROR(
      IF(
         INDEX('1b. Input productniveau'!$E:$E, 5 + ((COLUMN()-COLUMN($D$72))/2)*7) = "",
         "",
         INDEX('1b. Input productniveau'!$E:$E, 5 + ((COLUMN()-COLUMN($D$72))/2)*7)
      ),
   "")
)</f>
        <v/>
      </c>
      <c r="AM72" s="488" t="str">
        <f ca="1">IF(AL68="","",IFERROR(AL72,""))</f>
        <v/>
      </c>
      <c r="AN72" s="442" t="str">
        <f ca="1">IF(AN68="","",
   IFERROR(
      IF(
         INDEX('1b. Input productniveau'!$E:$E, 5 + ((COLUMN()-COLUMN($D$72))/2)*7) = "",
         "",
         INDEX('1b. Input productniveau'!$E:$E, 5 + ((COLUMN()-COLUMN($D$72))/2)*7)
      ),
   "")
)</f>
        <v/>
      </c>
      <c r="AO72" s="488" t="str">
        <f ca="1">IF(AN68="","",IFERROR(AN72,""))</f>
        <v/>
      </c>
      <c r="AP72" s="442" t="str">
        <f ca="1">IF(AP68="","",
   IFERROR(
      IF(
         INDEX('1b. Input productniveau'!$E:$E, 5 + ((COLUMN()-COLUMN($D$72))/2)*7) = "",
         "",
         INDEX('1b. Input productniveau'!$E:$E, 5 + ((COLUMN()-COLUMN($D$72))/2)*7)
      ),
   "")
)</f>
        <v/>
      </c>
      <c r="AQ72" s="488" t="str">
        <f ca="1">IF(AP68="","",IFERROR(AP72,""))</f>
        <v/>
      </c>
      <c r="AR72" s="442" t="str">
        <f ca="1">IF(AR68="","",
   IFERROR(
      IF(
         INDEX('1b. Input productniveau'!$E:$E, 5 + ((COLUMN()-COLUMN($D$72))/2)*7) = "",
         "",
         INDEX('1b. Input productniveau'!$E:$E, 5 + ((COLUMN()-COLUMN($D$72))/2)*7)
      ),
   "")
)</f>
        <v/>
      </c>
      <c r="AS72" s="488" t="str">
        <f ca="1">IF(AR68="","",IFERROR(AR72,""))</f>
        <v/>
      </c>
      <c r="AT72" s="442" t="str">
        <f ca="1">IF(AT68="","",
   IFERROR(
      IF(
         INDEX('1b. Input productniveau'!$E:$E, 5 + ((COLUMN()-COLUMN($D$72))/2)*7) = "",
         "",
         INDEX('1b. Input productniveau'!$E:$E, 5 + ((COLUMN()-COLUMN($D$72))/2)*7)
      ),
   "")
)</f>
        <v/>
      </c>
      <c r="AU72" s="488" t="str">
        <f ca="1">IF(AT68="","",IFERROR(AT72,""))</f>
        <v/>
      </c>
      <c r="AV72" s="442" t="str">
        <f ca="1">IF(AV68="","",
   IFERROR(
      IF(
         INDEX('1b. Input productniveau'!$E:$E, 5 + ((COLUMN()-COLUMN($D$72))/2)*7) = "",
         "",
         INDEX('1b. Input productniveau'!$E:$E, 5 + ((COLUMN()-COLUMN($D$72))/2)*7)
      ),
   "")
)</f>
        <v/>
      </c>
      <c r="AW72" s="488" t="str">
        <f ca="1">IF(AV68="","",IFERROR(AV72,""))</f>
        <v/>
      </c>
      <c r="AX72" s="442" t="str">
        <f ca="1">IF(AX68="","",
   IFERROR(
      IF(
         INDEX('1b. Input productniveau'!$E:$E, 5 + ((COLUMN()-COLUMN($D$72))/2)*7) = "",
         "",
         INDEX('1b. Input productniveau'!$E:$E, 5 + ((COLUMN()-COLUMN($D$72))/2)*7)
      ),
   "")
)</f>
        <v/>
      </c>
      <c r="AY72" s="488" t="str">
        <f ca="1">IF(AX68="","",IFERROR(AX72,""))</f>
        <v/>
      </c>
      <c r="AZ72" s="442" t="str">
        <f ca="1">IF(AZ68="","",
   IFERROR(
      IF(
         INDEX('1b. Input productniveau'!$E:$E, 5 + ((COLUMN()-COLUMN($D$72))/2)*7) = "",
         "",
         INDEX('1b. Input productniveau'!$E:$E, 5 + ((COLUMN()-COLUMN($D$72))/2)*7)
      ),
   "")
)</f>
        <v/>
      </c>
      <c r="BA72" s="488" t="str">
        <f ca="1">IF(AZ68="","",IFERROR(AZ72,""))</f>
        <v/>
      </c>
      <c r="BB72" s="442" t="str">
        <f ca="1">IF(BB68="","",
   IFERROR(
      IF(
         INDEX('1b. Input productniveau'!$E:$E, 5 + ((COLUMN()-COLUMN($D$72))/2)*7) = "",
         "",
         INDEX('1b. Input productniveau'!$E:$E, 5 + ((COLUMN()-COLUMN($D$72))/2)*7)
      ),
   "")
)</f>
        <v/>
      </c>
      <c r="BC72" s="488" t="str">
        <f ca="1">IF(BB68="","",IFERROR(BB72,""))</f>
        <v/>
      </c>
      <c r="BD72" s="442" t="str">
        <f ca="1">IF(BD68="","",
   IFERROR(
      IF(
         INDEX('1b. Input productniveau'!$E:$E, 5 + ((COLUMN()-COLUMN($D$72))/2)*7) = "",
         "",
         INDEX('1b. Input productniveau'!$E:$E, 5 + ((COLUMN()-COLUMN($D$72))/2)*7)
      ),
   "")
)</f>
        <v/>
      </c>
      <c r="BE72" s="488" t="str">
        <f ca="1">IF(BD68="","",IFERROR(BD72,""))</f>
        <v/>
      </c>
      <c r="BF72" s="442" t="str">
        <f ca="1">IF(BF68="","",
   IFERROR(
      IF(
         INDEX('1b. Input productniveau'!$E:$E, 5 + ((COLUMN()-COLUMN($D$72))/2)*7) = "",
         "",
         INDEX('1b. Input productniveau'!$E:$E, 5 + ((COLUMN()-COLUMN($D$72))/2)*7)
      ),
   "")
)</f>
        <v/>
      </c>
      <c r="BG72" s="488" t="str">
        <f ca="1">IF(BF68="","",IFERROR(BF72,""))</f>
        <v/>
      </c>
      <c r="BH72" s="442" t="str">
        <f ca="1">IF(BH68="","",
   IFERROR(
      IF(
         INDEX('1b. Input productniveau'!$E:$E, 5 + ((COLUMN()-COLUMN($D$72))/2)*7) = "",
         "",
         INDEX('1b. Input productniveau'!$E:$E, 5 + ((COLUMN()-COLUMN($D$72))/2)*7)
      ),
   "")
)</f>
        <v/>
      </c>
      <c r="BI72" s="488" t="str">
        <f ca="1">IF(BH68="","",IFERROR(BH72,""))</f>
        <v/>
      </c>
      <c r="BJ72" s="442" t="str">
        <f ca="1">IF(BJ68="","",
   IFERROR(
      IF(
         INDEX('1b. Input productniveau'!$E:$E, 5 + ((COLUMN()-COLUMN($D$72))/2)*7) = "",
         "",
         INDEX('1b. Input productniveau'!$E:$E, 5 + ((COLUMN()-COLUMN($D$72))/2)*7)
      ),
   "")
)</f>
        <v/>
      </c>
      <c r="BK72" s="488" t="str">
        <f ca="1">IF(BJ68="","",IFERROR(BJ72,""))</f>
        <v/>
      </c>
      <c r="BL72" s="442" t="str">
        <f ca="1">IF(BL68="","",
   IFERROR(
      IF(
         INDEX('1b. Input productniveau'!$E:$E, 5 + ((COLUMN()-COLUMN($D$72))/2)*7) = "",
         "",
         INDEX('1b. Input productniveau'!$E:$E, 5 + ((COLUMN()-COLUMN($D$72))/2)*7)
      ),
   "")
)</f>
        <v/>
      </c>
      <c r="BM72" s="488" t="str">
        <f ca="1">IF(BL68="","",IFERROR(BL72,""))</f>
        <v/>
      </c>
      <c r="BN72" s="442" t="str">
        <f ca="1">IF(BN68="","",
   IFERROR(
      IF(
         INDEX('1b. Input productniveau'!$E:$E, 5 + ((COLUMN()-COLUMN($D$72))/2)*7) = "",
         "",
         INDEX('1b. Input productniveau'!$E:$E, 5 + ((COLUMN()-COLUMN($D$72))/2)*7)
      ),
   "")
)</f>
        <v/>
      </c>
      <c r="BO72" s="488" t="str">
        <f ca="1">IF(BN68="","",IFERROR(BN72,""))</f>
        <v/>
      </c>
      <c r="BP72" s="442" t="str">
        <f ca="1">IF(BP68="","",
   IFERROR(
      IF(
         INDEX('1b. Input productniveau'!$E:$E, 5 + ((COLUMN()-COLUMN($D$72))/2)*7) = "",
         "",
         INDEX('1b. Input productniveau'!$E:$E, 5 + ((COLUMN()-COLUMN($D$72))/2)*7)
      ),
   "")
)</f>
        <v/>
      </c>
      <c r="BQ72" s="488" t="str">
        <f ca="1">IF(BP68="","",IFERROR(BP72,""))</f>
        <v/>
      </c>
      <c r="BR72" s="442" t="str">
        <f ca="1">IF(BR68="","",
   IFERROR(
      IF(
         INDEX('1b. Input productniveau'!$E:$E, 5 + ((COLUMN()-COLUMN($D$72))/2)*7) = "",
         "",
         INDEX('1b. Input productniveau'!$E:$E, 5 + ((COLUMN()-COLUMN($D$72))/2)*7)
      ),
   "")
)</f>
        <v/>
      </c>
      <c r="BS72" s="488" t="str">
        <f ca="1">IF(BR68="","",IFERROR(BR72,""))</f>
        <v/>
      </c>
      <c r="BT72" s="442" t="str">
        <f ca="1">IF(BT68="","",
   IFERROR(
      IF(
         INDEX('1b. Input productniveau'!$E:$E, 5 + ((COLUMN()-COLUMN($D$72))/2)*7) = "",
         "",
         INDEX('1b. Input productniveau'!$E:$E, 5 + ((COLUMN()-COLUMN($D$72))/2)*7)
      ),
   "")
)</f>
        <v/>
      </c>
      <c r="BU72" s="488" t="str">
        <f ca="1">IF(BT68="","",IFERROR(BT72,""))</f>
        <v/>
      </c>
      <c r="BV72" s="442" t="str">
        <f ca="1">IF(BV68="","",
   IFERROR(
      IF(
         INDEX('1b. Input productniveau'!$E:$E, 5 + ((COLUMN()-COLUMN($D$72))/2)*7) = "",
         "",
         INDEX('1b. Input productniveau'!$E:$E, 5 + ((COLUMN()-COLUMN($D$72))/2)*7)
      ),
   "")
)</f>
        <v/>
      </c>
      <c r="BW72" s="488" t="str">
        <f ca="1">IF(BV68="","",IFERROR(BV72,""))</f>
        <v/>
      </c>
      <c r="BX72" s="442" t="str">
        <f ca="1">IF(BX68="","",
   IFERROR(
      IF(
         INDEX('1b. Input productniveau'!$E:$E, 5 + ((COLUMN()-COLUMN($D$72))/2)*7) = "",
         "",
         INDEX('1b. Input productniveau'!$E:$E, 5 + ((COLUMN()-COLUMN($D$72))/2)*7)
      ),
   "")
)</f>
        <v/>
      </c>
      <c r="BY72" s="488" t="str">
        <f ca="1">IF(BX68="","",IFERROR(BX72,""))</f>
        <v/>
      </c>
      <c r="BZ72" s="442" t="str">
        <f ca="1">IF(BZ68="","",
   IFERROR(
      IF(
         INDEX('1b. Input productniveau'!$E:$E, 5 + ((COLUMN()-COLUMN($D$72))/2)*7) = "",
         "",
         INDEX('1b. Input productniveau'!$E:$E, 5 + ((COLUMN()-COLUMN($D$72))/2)*7)
      ),
   "")
)</f>
        <v/>
      </c>
      <c r="CA72" s="488" t="str">
        <f ca="1">IF(BZ68="","",IFERROR(BZ72,""))</f>
        <v/>
      </c>
      <c r="CB72" s="442" t="str">
        <f ca="1">IF(CB68="","",
   IFERROR(
      IF(
         INDEX('1b. Input productniveau'!$E:$E, 5 + ((COLUMN()-COLUMN($D$72))/2)*7) = "",
         "",
         INDEX('1b. Input productniveau'!$E:$E, 5 + ((COLUMN()-COLUMN($D$72))/2)*7)
      ),
   "")
)</f>
        <v/>
      </c>
      <c r="CC72" s="488" t="str">
        <f ca="1">IF(CB68="","",IFERROR(CB72,""))</f>
        <v/>
      </c>
      <c r="CD72" s="442" t="str">
        <f ca="1">IF(CD68="","",
   IFERROR(
      IF(
         INDEX('1b. Input productniveau'!$E:$E, 5 + ((COLUMN()-COLUMN($D$72))/2)*7) = "",
         "",
         INDEX('1b. Input productniveau'!$E:$E, 5 + ((COLUMN()-COLUMN($D$72))/2)*7)
      ),
   "")
)</f>
        <v/>
      </c>
      <c r="CE72" s="488" t="str">
        <f ca="1">IF(CD68="","",IFERROR(CD72,""))</f>
        <v/>
      </c>
      <c r="CF72" s="320"/>
      <c r="CG72" s="289"/>
      <c r="CH72" s="289"/>
      <c r="CI72" s="289"/>
      <c r="CJ72" s="289"/>
      <c r="CK72" s="289"/>
      <c r="CL72" s="289"/>
      <c r="CM72" s="289"/>
      <c r="CN72" s="289"/>
      <c r="CO72" s="289"/>
      <c r="CP72" s="289"/>
      <c r="CQ72" s="289"/>
      <c r="CR72" s="289"/>
      <c r="CS72" s="289"/>
      <c r="CT72" s="289"/>
      <c r="CU72" s="289"/>
      <c r="CV72" s="289"/>
      <c r="CW72" s="289"/>
      <c r="CX72" s="289"/>
      <c r="CY72" s="289"/>
      <c r="CZ72" s="289"/>
    </row>
    <row r="73" spans="1:104" x14ac:dyDescent="0.45">
      <c r="A73" s="289"/>
      <c r="B73" s="432" t="s">
        <v>46</v>
      </c>
      <c r="C73" s="448"/>
      <c r="D73" s="457" t="str">
        <f ca="1">IF(D68="","",
   IF(IF(
  OR(
    INDEX('1a. Input organisatieniveau'!$AC:$AC, 7+ (COLUMN(A13) - 1)*0.5) = "",
    INDEX('1a. Input organisatieniveau'!$AC:$AC, 7 + (COLUMN(A13) - 1)*0.5) = 0
  ),
  "",
  INDEX('1a. Input organisatieniveau'!$AC:$AC, 7 + (COLUMN(A13) - 1)*0.5)
)&lt;&gt;"Ambulant","",
IFERROR(
      IF(
         INDEX('1b. Input productniveau'!$E:$E, 6 + ((COLUMN()-COLUMN($D$73))/2)*7) = "",
         "",
         INDEX('1b. Input productniveau'!$E:$E, 6 + ((COLUMN()-COLUMN($D$73))/2)*7)
      ),
   ""))
)</f>
        <v/>
      </c>
      <c r="E73" s="490" t="str">
        <f ca="1">IF(D68="","",IFERROR(E69*D73,""))</f>
        <v/>
      </c>
      <c r="F73" s="457" t="str">
        <f ca="1">IF(F68="","",
   IF(IF(
  OR(
    INDEX('1a. Input organisatieniveau'!$AC:$AC, 7+ (COLUMN(C13) - 1)*0.5) = "",
    INDEX('1a. Input organisatieniveau'!$AC:$AC, 7 + (COLUMN(C13) - 1)*0.5) = 0
  ),
  "",
  INDEX('1a. Input organisatieniveau'!$AC:$AC, 7 + (COLUMN(C13) - 1)*0.5)
)&lt;&gt;"Ambulant","",
IFERROR(
      IF(
         INDEX('1b. Input productniveau'!$E:$E, 6 + ((COLUMN()-COLUMN($D$73))/2)*7) = "",
         "",
         INDEX('1b. Input productniveau'!$E:$E, 6 + ((COLUMN()-COLUMN($D$73))/2)*7)
      ),
   ""))
)</f>
        <v/>
      </c>
      <c r="G73" s="490" t="str">
        <f ca="1">IF(F68="","",IFERROR(G69*F73,""))</f>
        <v/>
      </c>
      <c r="H73" s="457" t="str">
        <f ca="1">IF(H68="","",
   IF(IF(
  OR(
    INDEX('1a. Input organisatieniveau'!$AC:$AC, 7+ (COLUMN(E13) - 1)*0.5) = "",
    INDEX('1a. Input organisatieniveau'!$AC:$AC, 7 + (COLUMN(E13) - 1)*0.5) = 0
  ),
  "",
  INDEX('1a. Input organisatieniveau'!$AC:$AC, 7 + (COLUMN(E13) - 1)*0.5)
)&lt;&gt;"Ambulant","",
IFERROR(
      IF(
         INDEX('1b. Input productniveau'!$E:$E, 6 + ((COLUMN()-COLUMN($D$73))/2)*7) = "",
         "",
         INDEX('1b. Input productniveau'!$E:$E, 6 + ((COLUMN()-COLUMN($D$73))/2)*7)
      ),
   ""))
)</f>
        <v/>
      </c>
      <c r="I73" s="490" t="str">
        <f ca="1">IF(H68="","",IFERROR(I69*H73,""))</f>
        <v/>
      </c>
      <c r="J73" s="457" t="str">
        <f ca="1">IF(J68="","",
   IF(IF(
  OR(
    INDEX('1a. Input organisatieniveau'!$AC:$AC, 7+ (COLUMN(G13) - 1)*0.5) = "",
    INDEX('1a. Input organisatieniveau'!$AC:$AC, 7 + (COLUMN(G13) - 1)*0.5) = 0
  ),
  "",
  INDEX('1a. Input organisatieniveau'!$AC:$AC, 7 + (COLUMN(G13) - 1)*0.5)
)&lt;&gt;"Ambulant","",
IFERROR(
      IF(
         INDEX('1b. Input productniveau'!$E:$E, 6 + ((COLUMN()-COLUMN($D$73))/2)*7) = "",
         "",
         INDEX('1b. Input productniveau'!$E:$E, 6 + ((COLUMN()-COLUMN($D$73))/2)*7)
      ),
   ""))
)</f>
        <v/>
      </c>
      <c r="K73" s="490" t="str">
        <f ca="1">IF(J68="","",IFERROR(K69*J73,""))</f>
        <v/>
      </c>
      <c r="L73" s="457" t="str">
        <f ca="1">IF(L68="","",
   IF(IF(
  OR(
    INDEX('1a. Input organisatieniveau'!$AC:$AC, 7+ (COLUMN(I13) - 1)*0.5) = "",
    INDEX('1a. Input organisatieniveau'!$AC:$AC, 7 + (COLUMN(I13) - 1)*0.5) = 0
  ),
  "",
  INDEX('1a. Input organisatieniveau'!$AC:$AC, 7 + (COLUMN(I13) - 1)*0.5)
)&lt;&gt;"Ambulant","",
IFERROR(
      IF(
         INDEX('1b. Input productniveau'!$E:$E, 6 + ((COLUMN()-COLUMN($D$73))/2)*7) = "",
         "",
         INDEX('1b. Input productniveau'!$E:$E, 6 + ((COLUMN()-COLUMN($D$73))/2)*7)
      ),
   ""))
)</f>
        <v/>
      </c>
      <c r="M73" s="490" t="str">
        <f ca="1">IF(L68="","",IFERROR(M69*L73,""))</f>
        <v/>
      </c>
      <c r="N73" s="457" t="str">
        <f ca="1">IF(N68="","",
   IF(IF(
  OR(
    INDEX('1a. Input organisatieniveau'!$AC:$AC, 7+ (COLUMN(K13) - 1)*0.5) = "",
    INDEX('1a. Input organisatieniveau'!$AC:$AC, 7 + (COLUMN(K13) - 1)*0.5) = 0
  ),
  "",
  INDEX('1a. Input organisatieniveau'!$AC:$AC, 7 + (COLUMN(K13) - 1)*0.5)
)&lt;&gt;"Ambulant","",
IFERROR(
      IF(
         INDEX('1b. Input productniveau'!$E:$E, 6 + ((COLUMN()-COLUMN($D$73))/2)*7) = "",
         "",
         INDEX('1b. Input productniveau'!$E:$E, 6 + ((COLUMN()-COLUMN($D$73))/2)*7)
      ),
   ""))
)</f>
        <v/>
      </c>
      <c r="O73" s="490" t="str">
        <f ca="1">IF(N68="","",IFERROR(O69*N73,""))</f>
        <v/>
      </c>
      <c r="P73" s="457" t="str">
        <f ca="1">IF(P68="","",
   IF(IF(
  OR(
    INDEX('1a. Input organisatieniveau'!$AC:$AC, 7+ (COLUMN(M13) - 1)*0.5) = "",
    INDEX('1a. Input organisatieniveau'!$AC:$AC, 7 + (COLUMN(M13) - 1)*0.5) = 0
  ),
  "",
  INDEX('1a. Input organisatieniveau'!$AC:$AC, 7 + (COLUMN(M13) - 1)*0.5)
)&lt;&gt;"Ambulant","",
IFERROR(
      IF(
         INDEX('1b. Input productniveau'!$E:$E, 6 + ((COLUMN()-COLUMN($D$73))/2)*7) = "",
         "",
         INDEX('1b. Input productniveau'!$E:$E, 6 + ((COLUMN()-COLUMN($D$73))/2)*7)
      ),
   ""))
)</f>
        <v/>
      </c>
      <c r="Q73" s="490" t="str">
        <f ca="1">IF(P68="","",IFERROR(Q69*P73,""))</f>
        <v/>
      </c>
      <c r="R73" s="457" t="str">
        <f ca="1">IF(R68="","",
   IF(IF(
  OR(
    INDEX('1a. Input organisatieniveau'!$AC:$AC, 7+ (COLUMN(O13) - 1)*0.5) = "",
    INDEX('1a. Input organisatieniveau'!$AC:$AC, 7 + (COLUMN(O13) - 1)*0.5) = 0
  ),
  "",
  INDEX('1a. Input organisatieniveau'!$AC:$AC, 7 + (COLUMN(O13) - 1)*0.5)
)&lt;&gt;"Ambulant","",
IFERROR(
      IF(
         INDEX('1b. Input productniveau'!$E:$E, 6 + ((COLUMN()-COLUMN($D$73))/2)*7) = "",
         "",
         INDEX('1b. Input productniveau'!$E:$E, 6 + ((COLUMN()-COLUMN($D$73))/2)*7)
      ),
   ""))
)</f>
        <v/>
      </c>
      <c r="S73" s="490" t="str">
        <f ca="1">IF(R68="","",IFERROR(S69*R73,""))</f>
        <v/>
      </c>
      <c r="T73" s="457" t="str">
        <f ca="1">IF(T68="","",
   IF(IF(
  OR(
    INDEX('1a. Input organisatieniveau'!$AC:$AC, 7+ (COLUMN(Q13) - 1)*0.5) = "",
    INDEX('1a. Input organisatieniveau'!$AC:$AC, 7 + (COLUMN(Q13) - 1)*0.5) = 0
  ),
  "",
  INDEX('1a. Input organisatieniveau'!$AC:$AC, 7 + (COLUMN(Q13) - 1)*0.5)
)&lt;&gt;"Ambulant","",
IFERROR(
      IF(
         INDEX('1b. Input productniveau'!$E:$E, 6 + ((COLUMN()-COLUMN($D$73))/2)*7) = "",
         "",
         INDEX('1b. Input productniveau'!$E:$E, 6 + ((COLUMN()-COLUMN($D$73))/2)*7)
      ),
   ""))
)</f>
        <v/>
      </c>
      <c r="U73" s="490" t="str">
        <f ca="1">IF(T68="","",IFERROR(U69*T73,""))</f>
        <v/>
      </c>
      <c r="V73" s="457" t="str">
        <f ca="1">IF(V68="","",
   IF(IF(
  OR(
    INDEX('1a. Input organisatieniveau'!$AC:$AC, 7+ (COLUMN(S13) - 1)*0.5) = "",
    INDEX('1a. Input organisatieniveau'!$AC:$AC, 7 + (COLUMN(S13) - 1)*0.5) = 0
  ),
  "",
  INDEX('1a. Input organisatieniveau'!$AC:$AC, 7 + (COLUMN(S13) - 1)*0.5)
)&lt;&gt;"Ambulant","",
IFERROR(
      IF(
         INDEX('1b. Input productniveau'!$E:$E, 6 + ((COLUMN()-COLUMN($D$73))/2)*7) = "",
         "",
         INDEX('1b. Input productniveau'!$E:$E, 6 + ((COLUMN()-COLUMN($D$73))/2)*7)
      ),
   ""))
)</f>
        <v/>
      </c>
      <c r="W73" s="490" t="str">
        <f ca="1">IF(V68="","",IFERROR(W69*V73,""))</f>
        <v/>
      </c>
      <c r="X73" s="457" t="str">
        <f ca="1">IF(X68="","",
   IF(IF(
  OR(
    INDEX('1a. Input organisatieniveau'!$AC:$AC, 7+ (COLUMN(U13) - 1)*0.5) = "",
    INDEX('1a. Input organisatieniveau'!$AC:$AC, 7 + (COLUMN(U13) - 1)*0.5) = 0
  ),
  "",
  INDEX('1a. Input organisatieniveau'!$AC:$AC, 7 + (COLUMN(U13) - 1)*0.5)
)&lt;&gt;"Ambulant","",
IFERROR(
      IF(
         INDEX('1b. Input productniveau'!$E:$E, 6 + ((COLUMN()-COLUMN($D$73))/2)*7) = "",
         "",
         INDEX('1b. Input productniveau'!$E:$E, 6 + ((COLUMN()-COLUMN($D$73))/2)*7)
      ),
   ""))
)</f>
        <v/>
      </c>
      <c r="Y73" s="490" t="str">
        <f ca="1">IF(X68="","",IFERROR(Y69*X73,""))</f>
        <v/>
      </c>
      <c r="Z73" s="457" t="str">
        <f ca="1">IF(Z68="","",
   IF(IF(
  OR(
    INDEX('1a. Input organisatieniveau'!$AC:$AC, 7+ (COLUMN(W13) - 1)*0.5) = "",
    INDEX('1a. Input organisatieniveau'!$AC:$AC, 7 + (COLUMN(W13) - 1)*0.5) = 0
  ),
  "",
  INDEX('1a. Input organisatieniveau'!$AC:$AC, 7 + (COLUMN(W13) - 1)*0.5)
)&lt;&gt;"Ambulant","",
IFERROR(
      IF(
         INDEX('1b. Input productniveau'!$E:$E, 6 + ((COLUMN()-COLUMN($D$73))/2)*7) = "",
         "",
         INDEX('1b. Input productniveau'!$E:$E, 6 + ((COLUMN()-COLUMN($D$73))/2)*7)
      ),
   ""))
)</f>
        <v/>
      </c>
      <c r="AA73" s="490" t="str">
        <f ca="1">IF(Z68="","",IFERROR(AA69*Z73,""))</f>
        <v/>
      </c>
      <c r="AB73" s="457" t="str">
        <f ca="1">IF(AB68="","",
   IF(IF(
  OR(
    INDEX('1a. Input organisatieniveau'!$AC:$AC, 7+ (COLUMN(Y13) - 1)*0.5) = "",
    INDEX('1a. Input organisatieniveau'!$AC:$AC, 7 + (COLUMN(Y13) - 1)*0.5) = 0
  ),
  "",
  INDEX('1a. Input organisatieniveau'!$AC:$AC, 7 + (COLUMN(Y13) - 1)*0.5)
)&lt;&gt;"Ambulant","",
IFERROR(
      IF(
         INDEX('1b. Input productniveau'!$E:$E, 6 + ((COLUMN()-COLUMN($D$73))/2)*7) = "",
         "",
         INDEX('1b. Input productniveau'!$E:$E, 6 + ((COLUMN()-COLUMN($D$73))/2)*7)
      ),
   ""))
)</f>
        <v/>
      </c>
      <c r="AC73" s="490" t="str">
        <f ca="1">IF(AB68="","",IFERROR(AC69*AB73,""))</f>
        <v/>
      </c>
      <c r="AD73" s="457" t="str">
        <f ca="1">IF(AD68="","",
   IF(IF(
  OR(
    INDEX('1a. Input organisatieniveau'!$AC:$AC, 7+ (COLUMN(AA13) - 1)*0.5) = "",
    INDEX('1a. Input organisatieniveau'!$AC:$AC, 7 + (COLUMN(AA13) - 1)*0.5) = 0
  ),
  "",
  INDEX('1a. Input organisatieniveau'!$AC:$AC, 7 + (COLUMN(AA13) - 1)*0.5)
)&lt;&gt;"Ambulant","",
IFERROR(
      IF(
         INDEX('1b. Input productniveau'!$E:$E, 6 + ((COLUMN()-COLUMN($D$73))/2)*7) = "",
         "",
         INDEX('1b. Input productniveau'!$E:$E, 6 + ((COLUMN()-COLUMN($D$73))/2)*7)
      ),
   ""))
)</f>
        <v/>
      </c>
      <c r="AE73" s="490" t="str">
        <f ca="1">IF(AD68="","",IFERROR(AE69*AD73,""))</f>
        <v/>
      </c>
      <c r="AF73" s="457" t="str">
        <f ca="1">IF(AF68="","",
   IF(IF(
  OR(
    INDEX('1a. Input organisatieniveau'!$AC:$AC, 7+ (COLUMN(AC13) - 1)*0.5) = "",
    INDEX('1a. Input organisatieniveau'!$AC:$AC, 7 + (COLUMN(AC13) - 1)*0.5) = 0
  ),
  "",
  INDEX('1a. Input organisatieniveau'!$AC:$AC, 7 + (COLUMN(AC13) - 1)*0.5)
)&lt;&gt;"Ambulant","",
IFERROR(
      IF(
         INDEX('1b. Input productniveau'!$E:$E, 6 + ((COLUMN()-COLUMN($D$73))/2)*7) = "",
         "",
         INDEX('1b. Input productniveau'!$E:$E, 6 + ((COLUMN()-COLUMN($D$73))/2)*7)
      ),
   ""))
)</f>
        <v/>
      </c>
      <c r="AG73" s="490" t="str">
        <f ca="1">IF(AF68="","",IFERROR(AG69*AF73,""))</f>
        <v/>
      </c>
      <c r="AH73" s="457" t="str">
        <f ca="1">IF(AH68="","",
   IF(IF(
  OR(
    INDEX('1a. Input organisatieniveau'!$AC:$AC, 7+ (COLUMN(AE13) - 1)*0.5) = "",
    INDEX('1a. Input organisatieniveau'!$AC:$AC, 7 + (COLUMN(AE13) - 1)*0.5) = 0
  ),
  "",
  INDEX('1a. Input organisatieniveau'!$AC:$AC, 7 + (COLUMN(AE13) - 1)*0.5)
)&lt;&gt;"Ambulant","",
IFERROR(
      IF(
         INDEX('1b. Input productniveau'!$E:$E, 6 + ((COLUMN()-COLUMN($D$73))/2)*7) = "",
         "",
         INDEX('1b. Input productniveau'!$E:$E, 6 + ((COLUMN()-COLUMN($D$73))/2)*7)
      ),
   ""))
)</f>
        <v/>
      </c>
      <c r="AI73" s="490" t="str">
        <f ca="1">IF(AH68="","",IFERROR(AI69*AH73,""))</f>
        <v/>
      </c>
      <c r="AJ73" s="457" t="str">
        <f ca="1">IF(AJ68="","",
   IF(IF(
  OR(
    INDEX('1a. Input organisatieniveau'!$AC:$AC, 7+ (COLUMN(AG13) - 1)*0.5) = "",
    INDEX('1a. Input organisatieniveau'!$AC:$AC, 7 + (COLUMN(AG13) - 1)*0.5) = 0
  ),
  "",
  INDEX('1a. Input organisatieniveau'!$AC:$AC, 7 + (COLUMN(AG13) - 1)*0.5)
)&lt;&gt;"Ambulant","",
IFERROR(
      IF(
         INDEX('1b. Input productniveau'!$E:$E, 6 + ((COLUMN()-COLUMN($D$73))/2)*7) = "",
         "",
         INDEX('1b. Input productniveau'!$E:$E, 6 + ((COLUMN()-COLUMN($D$73))/2)*7)
      ),
   ""))
)</f>
        <v/>
      </c>
      <c r="AK73" s="490" t="str">
        <f ca="1">IF(AJ68="","",IFERROR(AK69*AJ73,""))</f>
        <v/>
      </c>
      <c r="AL73" s="457" t="str">
        <f ca="1">IF(AL68="","",
   IF(IF(
  OR(
    INDEX('1a. Input organisatieniveau'!$AC:$AC, 7+ (COLUMN(AI13) - 1)*0.5) = "",
    INDEX('1a. Input organisatieniveau'!$AC:$AC, 7 + (COLUMN(AI13) - 1)*0.5) = 0
  ),
  "",
  INDEX('1a. Input organisatieniveau'!$AC:$AC, 7 + (COLUMN(AI13) - 1)*0.5)
)&lt;&gt;"Ambulant","",
IFERROR(
      IF(
         INDEX('1b. Input productniveau'!$E:$E, 6 + ((COLUMN()-COLUMN($D$73))/2)*7) = "",
         "",
         INDEX('1b. Input productniveau'!$E:$E, 6 + ((COLUMN()-COLUMN($D$73))/2)*7)
      ),
   ""))
)</f>
        <v/>
      </c>
      <c r="AM73" s="490" t="str">
        <f ca="1">IF(AL68="","",IFERROR(AM69*AL73,""))</f>
        <v/>
      </c>
      <c r="AN73" s="457" t="str">
        <f ca="1">IF(AN68="","",
   IF(IF(
  OR(
    INDEX('1a. Input organisatieniveau'!$AC:$AC, 7+ (COLUMN(AK13) - 1)*0.5) = "",
    INDEX('1a. Input organisatieniveau'!$AC:$AC, 7 + (COLUMN(AK13) - 1)*0.5) = 0
  ),
  "",
  INDEX('1a. Input organisatieniveau'!$AC:$AC, 7 + (COLUMN(AK13) - 1)*0.5)
)&lt;&gt;"Ambulant","",
IFERROR(
      IF(
         INDEX('1b. Input productniveau'!$E:$E, 6 + ((COLUMN()-COLUMN($D$73))/2)*7) = "",
         "",
         INDEX('1b. Input productniveau'!$E:$E, 6 + ((COLUMN()-COLUMN($D$73))/2)*7)
      ),
   ""))
)</f>
        <v/>
      </c>
      <c r="AO73" s="490" t="str">
        <f ca="1">IF(AN68="","",IFERROR(AO69*AN73,""))</f>
        <v/>
      </c>
      <c r="AP73" s="457" t="str">
        <f ca="1">IF(AP68="","",
   IF(IF(
  OR(
    INDEX('1a. Input organisatieniveau'!$AC:$AC, 7+ (COLUMN(AM13) - 1)*0.5) = "",
    INDEX('1a. Input organisatieniveau'!$AC:$AC, 7 + (COLUMN(AM13) - 1)*0.5) = 0
  ),
  "",
  INDEX('1a. Input organisatieniveau'!$AC:$AC, 7 + (COLUMN(AM13) - 1)*0.5)
)&lt;&gt;"Ambulant","",
IFERROR(
      IF(
         INDEX('1b. Input productniveau'!$E:$E, 6 + ((COLUMN()-COLUMN($D$73))/2)*7) = "",
         "",
         INDEX('1b. Input productniveau'!$E:$E, 6 + ((COLUMN()-COLUMN($D$73))/2)*7)
      ),
   ""))
)</f>
        <v/>
      </c>
      <c r="AQ73" s="490" t="str">
        <f ca="1">IF(AP68="","",IFERROR(AQ69*AP73,""))</f>
        <v/>
      </c>
      <c r="AR73" s="457" t="str">
        <f ca="1">IF(AR68="","",
   IF(IF(
  OR(
    INDEX('1a. Input organisatieniveau'!$AC:$AC, 7+ (COLUMN(AO13) - 1)*0.5) = "",
    INDEX('1a. Input organisatieniveau'!$AC:$AC, 7 + (COLUMN(AO13) - 1)*0.5) = 0
  ),
  "",
  INDEX('1a. Input organisatieniveau'!$AC:$AC, 7 + (COLUMN(AO13) - 1)*0.5)
)&lt;&gt;"Ambulant","",
IFERROR(
      IF(
         INDEX('1b. Input productniveau'!$E:$E, 6 + ((COLUMN()-COLUMN($D$73))/2)*7) = "",
         "",
         INDEX('1b. Input productniveau'!$E:$E, 6 + ((COLUMN()-COLUMN($D$73))/2)*7)
      ),
   ""))
)</f>
        <v/>
      </c>
      <c r="AS73" s="490" t="str">
        <f ca="1">IF(AR68="","",IFERROR(AS69*AR73,""))</f>
        <v/>
      </c>
      <c r="AT73" s="457" t="str">
        <f ca="1">IF(AT68="","",
   IF(IF(
  OR(
    INDEX('1a. Input organisatieniveau'!$AC:$AC, 7+ (COLUMN(AQ13) - 1)*0.5) = "",
    INDEX('1a. Input organisatieniveau'!$AC:$AC, 7 + (COLUMN(AQ13) - 1)*0.5) = 0
  ),
  "",
  INDEX('1a. Input organisatieniveau'!$AC:$AC, 7 + (COLUMN(AQ13) - 1)*0.5)
)&lt;&gt;"Ambulant","",
IFERROR(
      IF(
         INDEX('1b. Input productniveau'!$E:$E, 6 + ((COLUMN()-COLUMN($D$73))/2)*7) = "",
         "",
         INDEX('1b. Input productniveau'!$E:$E, 6 + ((COLUMN()-COLUMN($D$73))/2)*7)
      ),
   ""))
)</f>
        <v/>
      </c>
      <c r="AU73" s="490" t="str">
        <f ca="1">IF(AT68="","",IFERROR(AU69*AT73,""))</f>
        <v/>
      </c>
      <c r="AV73" s="457" t="str">
        <f ca="1">IF(AV68="","",
   IF(IF(
  OR(
    INDEX('1a. Input organisatieniveau'!$AC:$AC, 7+ (COLUMN(AS13) - 1)*0.5) = "",
    INDEX('1a. Input organisatieniveau'!$AC:$AC, 7 + (COLUMN(AS13) - 1)*0.5) = 0
  ),
  "",
  INDEX('1a. Input organisatieniveau'!$AC:$AC, 7 + (COLUMN(AS13) - 1)*0.5)
)&lt;&gt;"Ambulant","",
IFERROR(
      IF(
         INDEX('1b. Input productniveau'!$E:$E, 6 + ((COLUMN()-COLUMN($D$73))/2)*7) = "",
         "",
         INDEX('1b. Input productniveau'!$E:$E, 6 + ((COLUMN()-COLUMN($D$73))/2)*7)
      ),
   ""))
)</f>
        <v/>
      </c>
      <c r="AW73" s="490" t="str">
        <f ca="1">IF(AV68="","",IFERROR(AW69*AV73,""))</f>
        <v/>
      </c>
      <c r="AX73" s="457" t="str">
        <f ca="1">IF(AX68="","",
   IF(IF(
  OR(
    INDEX('1a. Input organisatieniveau'!$AC:$AC, 7+ (COLUMN(AU13) - 1)*0.5) = "",
    INDEX('1a. Input organisatieniveau'!$AC:$AC, 7 + (COLUMN(AU13) - 1)*0.5) = 0
  ),
  "",
  INDEX('1a. Input organisatieniveau'!$AC:$AC, 7 + (COLUMN(AU13) - 1)*0.5)
)&lt;&gt;"Ambulant","",
IFERROR(
      IF(
         INDEX('1b. Input productniveau'!$E:$E, 6 + ((COLUMN()-COLUMN($D$73))/2)*7) = "",
         "",
         INDEX('1b. Input productniveau'!$E:$E, 6 + ((COLUMN()-COLUMN($D$73))/2)*7)
      ),
   ""))
)</f>
        <v/>
      </c>
      <c r="AY73" s="490" t="str">
        <f ca="1">IF(AX68="","",IFERROR(AY69*AX73,""))</f>
        <v/>
      </c>
      <c r="AZ73" s="457" t="str">
        <f ca="1">IF(AZ68="","",
   IF(IF(
  OR(
    INDEX('1a. Input organisatieniveau'!$AC:$AC, 7+ (COLUMN(AW13) - 1)*0.5) = "",
    INDEX('1a. Input organisatieniveau'!$AC:$AC, 7 + (COLUMN(AW13) - 1)*0.5) = 0
  ),
  "",
  INDEX('1a. Input organisatieniveau'!$AC:$AC, 7 + (COLUMN(AW13) - 1)*0.5)
)&lt;&gt;"Ambulant","",
IFERROR(
      IF(
         INDEX('1b. Input productniveau'!$E:$E, 6 + ((COLUMN()-COLUMN($D$73))/2)*7) = "",
         "",
         INDEX('1b. Input productniveau'!$E:$E, 6 + ((COLUMN()-COLUMN($D$73))/2)*7)
      ),
   ""))
)</f>
        <v/>
      </c>
      <c r="BA73" s="490" t="str">
        <f ca="1">IF(AZ68="","",IFERROR(BA69*AZ73,""))</f>
        <v/>
      </c>
      <c r="BB73" s="457" t="str">
        <f ca="1">IF(BB68="","",
   IF(IF(
  OR(
    INDEX('1a. Input organisatieniveau'!$AC:$AC, 7+ (COLUMN(AY13) - 1)*0.5) = "",
    INDEX('1a. Input organisatieniveau'!$AC:$AC, 7 + (COLUMN(AY13) - 1)*0.5) = 0
  ),
  "",
  INDEX('1a. Input organisatieniveau'!$AC:$AC, 7 + (COLUMN(AY13) - 1)*0.5)
)&lt;&gt;"Ambulant","",
IFERROR(
      IF(
         INDEX('1b. Input productniveau'!$E:$E, 6 + ((COLUMN()-COLUMN($D$73))/2)*7) = "",
         "",
         INDEX('1b. Input productniveau'!$E:$E, 6 + ((COLUMN()-COLUMN($D$73))/2)*7)
      ),
   ""))
)</f>
        <v/>
      </c>
      <c r="BC73" s="490" t="str">
        <f ca="1">IF(BB68="","",IFERROR(BC69*BB73,""))</f>
        <v/>
      </c>
      <c r="BD73" s="457" t="str">
        <f ca="1">IF(BD68="","",
   IF(IF(
  OR(
    INDEX('1a. Input organisatieniveau'!$AC:$AC, 7+ (COLUMN(BA13) - 1)*0.5) = "",
    INDEX('1a. Input organisatieniveau'!$AC:$AC, 7 + (COLUMN(BA13) - 1)*0.5) = 0
  ),
  "",
  INDEX('1a. Input organisatieniveau'!$AC:$AC, 7 + (COLUMN(BA13) - 1)*0.5)
)&lt;&gt;"Ambulant","",
IFERROR(
      IF(
         INDEX('1b. Input productniveau'!$E:$E, 6 + ((COLUMN()-COLUMN($D$73))/2)*7) = "",
         "",
         INDEX('1b. Input productniveau'!$E:$E, 6 + ((COLUMN()-COLUMN($D$73))/2)*7)
      ),
   ""))
)</f>
        <v/>
      </c>
      <c r="BE73" s="490" t="str">
        <f ca="1">IF(BD68="","",IFERROR(BE69*BD73,""))</f>
        <v/>
      </c>
      <c r="BF73" s="457" t="str">
        <f ca="1">IF(BF68="","",
   IF(IF(
  OR(
    INDEX('1a. Input organisatieniveau'!$AC:$AC, 7+ (COLUMN(BC13) - 1)*0.5) = "",
    INDEX('1a. Input organisatieniveau'!$AC:$AC, 7 + (COLUMN(BC13) - 1)*0.5) = 0
  ),
  "",
  INDEX('1a. Input organisatieniveau'!$AC:$AC, 7 + (COLUMN(BC13) - 1)*0.5)
)&lt;&gt;"Ambulant","",
IFERROR(
      IF(
         INDEX('1b. Input productniveau'!$E:$E, 6 + ((COLUMN()-COLUMN($D$73))/2)*7) = "",
         "",
         INDEX('1b. Input productniveau'!$E:$E, 6 + ((COLUMN()-COLUMN($D$73))/2)*7)
      ),
   ""))
)</f>
        <v/>
      </c>
      <c r="BG73" s="490" t="str">
        <f ca="1">IF(BF68="","",IFERROR(BG69*BF73,""))</f>
        <v/>
      </c>
      <c r="BH73" s="457" t="str">
        <f ca="1">IF(BH68="","",
   IF(IF(
  OR(
    INDEX('1a. Input organisatieniveau'!$AC:$AC, 7+ (COLUMN(BE13) - 1)*0.5) = "",
    INDEX('1a. Input organisatieniveau'!$AC:$AC, 7 + (COLUMN(BE13) - 1)*0.5) = 0
  ),
  "",
  INDEX('1a. Input organisatieniveau'!$AC:$AC, 7 + (COLUMN(BE13) - 1)*0.5)
)&lt;&gt;"Ambulant","",
IFERROR(
      IF(
         INDEX('1b. Input productniveau'!$E:$E, 6 + ((COLUMN()-COLUMN($D$73))/2)*7) = "",
         "",
         INDEX('1b. Input productniveau'!$E:$E, 6 + ((COLUMN()-COLUMN($D$73))/2)*7)
      ),
   ""))
)</f>
        <v/>
      </c>
      <c r="BI73" s="490" t="str">
        <f ca="1">IF(BH68="","",IFERROR(BI69*BH73,""))</f>
        <v/>
      </c>
      <c r="BJ73" s="457" t="str">
        <f ca="1">IF(BJ68="","",
   IF(IF(
  OR(
    INDEX('1a. Input organisatieniveau'!$AC:$AC, 7+ (COLUMN(BG13) - 1)*0.5) = "",
    INDEX('1a. Input organisatieniveau'!$AC:$AC, 7 + (COLUMN(BG13) - 1)*0.5) = 0
  ),
  "",
  INDEX('1a. Input organisatieniveau'!$AC:$AC, 7 + (COLUMN(BG13) - 1)*0.5)
)&lt;&gt;"Ambulant","",
IFERROR(
      IF(
         INDEX('1b. Input productniveau'!$E:$E, 6 + ((COLUMN()-COLUMN($D$73))/2)*7) = "",
         "",
         INDEX('1b. Input productniveau'!$E:$E, 6 + ((COLUMN()-COLUMN($D$73))/2)*7)
      ),
   ""))
)</f>
        <v/>
      </c>
      <c r="BK73" s="490" t="str">
        <f ca="1">IF(BJ68="","",IFERROR(BK69*BJ73,""))</f>
        <v/>
      </c>
      <c r="BL73" s="457" t="str">
        <f ca="1">IF(BL68="","",
   IF(IF(
  OR(
    INDEX('1a. Input organisatieniveau'!$AC:$AC, 7+ (COLUMN(BI13) - 1)*0.5) = "",
    INDEX('1a. Input organisatieniveau'!$AC:$AC, 7 + (COLUMN(BI13) - 1)*0.5) = 0
  ),
  "",
  INDEX('1a. Input organisatieniveau'!$AC:$AC, 7 + (COLUMN(BI13) - 1)*0.5)
)&lt;&gt;"Ambulant","",
IFERROR(
      IF(
         INDEX('1b. Input productniveau'!$E:$E, 6 + ((COLUMN()-COLUMN($D$73))/2)*7) = "",
         "",
         INDEX('1b. Input productniveau'!$E:$E, 6 + ((COLUMN()-COLUMN($D$73))/2)*7)
      ),
   ""))
)</f>
        <v/>
      </c>
      <c r="BM73" s="490" t="str">
        <f ca="1">IF(BL68="","",IFERROR(BM69*BL73,""))</f>
        <v/>
      </c>
      <c r="BN73" s="457" t="str">
        <f ca="1">IF(BN68="","",
   IF(IF(
  OR(
    INDEX('1a. Input organisatieniveau'!$AC:$AC, 7+ (COLUMN(BK13) - 1)*0.5) = "",
    INDEX('1a. Input organisatieniveau'!$AC:$AC, 7 + (COLUMN(BK13) - 1)*0.5) = 0
  ),
  "",
  INDEX('1a. Input organisatieniveau'!$AC:$AC, 7 + (COLUMN(BK13) - 1)*0.5)
)&lt;&gt;"Ambulant","",
IFERROR(
      IF(
         INDEX('1b. Input productniveau'!$E:$E, 6 + ((COLUMN()-COLUMN($D$73))/2)*7) = "",
         "",
         INDEX('1b. Input productniveau'!$E:$E, 6 + ((COLUMN()-COLUMN($D$73))/2)*7)
      ),
   ""))
)</f>
        <v/>
      </c>
      <c r="BO73" s="490" t="str">
        <f ca="1">IF(BN68="","",IFERROR(BO69*BN73,""))</f>
        <v/>
      </c>
      <c r="BP73" s="457" t="str">
        <f ca="1">IF(BP68="","",
   IF(IF(
  OR(
    INDEX('1a. Input organisatieniveau'!$AC:$AC, 7+ (COLUMN(BM13) - 1)*0.5) = "",
    INDEX('1a. Input organisatieniveau'!$AC:$AC, 7 + (COLUMN(BM13) - 1)*0.5) = 0
  ),
  "",
  INDEX('1a. Input organisatieniveau'!$AC:$AC, 7 + (COLUMN(BM13) - 1)*0.5)
)&lt;&gt;"Ambulant","",
IFERROR(
      IF(
         INDEX('1b. Input productniveau'!$E:$E, 6 + ((COLUMN()-COLUMN($D$73))/2)*7) = "",
         "",
         INDEX('1b. Input productniveau'!$E:$E, 6 + ((COLUMN()-COLUMN($D$73))/2)*7)
      ),
   ""))
)</f>
        <v/>
      </c>
      <c r="BQ73" s="490" t="str">
        <f ca="1">IF(BP68="","",IFERROR(BQ69*BP73,""))</f>
        <v/>
      </c>
      <c r="BR73" s="457" t="str">
        <f ca="1">IF(BR68="","",
   IF(IF(
  OR(
    INDEX('1a. Input organisatieniveau'!$AC:$AC, 7+ (COLUMN(BO13) - 1)*0.5) = "",
    INDEX('1a. Input organisatieniveau'!$AC:$AC, 7 + (COLUMN(BO13) - 1)*0.5) = 0
  ),
  "",
  INDEX('1a. Input organisatieniveau'!$AC:$AC, 7 + (COLUMN(BO13) - 1)*0.5)
)&lt;&gt;"Ambulant","",
IFERROR(
      IF(
         INDEX('1b. Input productniveau'!$E:$E, 6 + ((COLUMN()-COLUMN($D$73))/2)*7) = "",
         "",
         INDEX('1b. Input productniveau'!$E:$E, 6 + ((COLUMN()-COLUMN($D$73))/2)*7)
      ),
   ""))
)</f>
        <v/>
      </c>
      <c r="BS73" s="490" t="str">
        <f ca="1">IF(BR68="","",IFERROR(BS69*BR73,""))</f>
        <v/>
      </c>
      <c r="BT73" s="457" t="str">
        <f ca="1">IF(BT68="","",
   IF(IF(
  OR(
    INDEX('1a. Input organisatieniveau'!$AC:$AC, 7+ (COLUMN(BQ13) - 1)*0.5) = "",
    INDEX('1a. Input organisatieniveau'!$AC:$AC, 7 + (COLUMN(BQ13) - 1)*0.5) = 0
  ),
  "",
  INDEX('1a. Input organisatieniveau'!$AC:$AC, 7 + (COLUMN(BQ13) - 1)*0.5)
)&lt;&gt;"Ambulant","",
IFERROR(
      IF(
         INDEX('1b. Input productniveau'!$E:$E, 6 + ((COLUMN()-COLUMN($D$73))/2)*7) = "",
         "",
         INDEX('1b. Input productniveau'!$E:$E, 6 + ((COLUMN()-COLUMN($D$73))/2)*7)
      ),
   ""))
)</f>
        <v/>
      </c>
      <c r="BU73" s="490" t="str">
        <f ca="1">IF(BT68="","",IFERROR(BU69*BT73,""))</f>
        <v/>
      </c>
      <c r="BV73" s="457" t="str">
        <f ca="1">IF(BV68="","",
   IF(IF(
  OR(
    INDEX('1a. Input organisatieniveau'!$AC:$AC, 7+ (COLUMN(BS13) - 1)*0.5) = "",
    INDEX('1a. Input organisatieniveau'!$AC:$AC, 7 + (COLUMN(BS13) - 1)*0.5) = 0
  ),
  "",
  INDEX('1a. Input organisatieniveau'!$AC:$AC, 7 + (COLUMN(BS13) - 1)*0.5)
)&lt;&gt;"Ambulant","",
IFERROR(
      IF(
         INDEX('1b. Input productniveau'!$E:$E, 6 + ((COLUMN()-COLUMN($D$73))/2)*7) = "",
         "",
         INDEX('1b. Input productniveau'!$E:$E, 6 + ((COLUMN()-COLUMN($D$73))/2)*7)
      ),
   ""))
)</f>
        <v/>
      </c>
      <c r="BW73" s="490" t="str">
        <f ca="1">IF(BV68="","",IFERROR(BW69*BV73,""))</f>
        <v/>
      </c>
      <c r="BX73" s="457" t="str">
        <f ca="1">IF(BX68="","",
   IF(IF(
  OR(
    INDEX('1a. Input organisatieniveau'!$AC:$AC, 7+ (COLUMN(BU13) - 1)*0.5) = "",
    INDEX('1a. Input organisatieniveau'!$AC:$AC, 7 + (COLUMN(BU13) - 1)*0.5) = 0
  ),
  "",
  INDEX('1a. Input organisatieniveau'!$AC:$AC, 7 + (COLUMN(BU13) - 1)*0.5)
)&lt;&gt;"Ambulant","",
IFERROR(
      IF(
         INDEX('1b. Input productniveau'!$E:$E, 6 + ((COLUMN()-COLUMN($D$73))/2)*7) = "",
         "",
         INDEX('1b. Input productniveau'!$E:$E, 6 + ((COLUMN()-COLUMN($D$73))/2)*7)
      ),
   ""))
)</f>
        <v/>
      </c>
      <c r="BY73" s="490" t="str">
        <f ca="1">IF(BX68="","",IFERROR(BY69*BX73,""))</f>
        <v/>
      </c>
      <c r="BZ73" s="457" t="str">
        <f ca="1">IF(BZ68="","",
   IF(IF(
  OR(
    INDEX('1a. Input organisatieniveau'!$AC:$AC, 7+ (COLUMN(BW13) - 1)*0.5) = "",
    INDEX('1a. Input organisatieniveau'!$AC:$AC, 7 + (COLUMN(BW13) - 1)*0.5) = 0
  ),
  "",
  INDEX('1a. Input organisatieniveau'!$AC:$AC, 7 + (COLUMN(BW13) - 1)*0.5)
)&lt;&gt;"Ambulant","",
IFERROR(
      IF(
         INDEX('1b. Input productniveau'!$E:$E, 6 + ((COLUMN()-COLUMN($D$73))/2)*7) = "",
         "",
         INDEX('1b. Input productniveau'!$E:$E, 6 + ((COLUMN()-COLUMN($D$73))/2)*7)
      ),
   ""))
)</f>
        <v/>
      </c>
      <c r="CA73" s="490" t="str">
        <f ca="1">IF(BZ68="","",IFERROR(CA69*BZ73,""))</f>
        <v/>
      </c>
      <c r="CB73" s="457" t="str">
        <f ca="1">IF(CB68="","",
   IF(IF(
  OR(
    INDEX('1a. Input organisatieniveau'!$AC:$AC, 7+ (COLUMN(BY13) - 1)*0.5) = "",
    INDEX('1a. Input organisatieniveau'!$AC:$AC, 7 + (COLUMN(BY13) - 1)*0.5) = 0
  ),
  "",
  INDEX('1a. Input organisatieniveau'!$AC:$AC, 7 + (COLUMN(BY13) - 1)*0.5)
)&lt;&gt;"Ambulant","",
IFERROR(
      IF(
         INDEX('1b. Input productniveau'!$E:$E, 6 + ((COLUMN()-COLUMN($D$73))/2)*7) = "",
         "",
         INDEX('1b. Input productniveau'!$E:$E, 6 + ((COLUMN()-COLUMN($D$73))/2)*7)
      ),
   ""))
)</f>
        <v/>
      </c>
      <c r="CC73" s="490" t="str">
        <f ca="1">IF(CB68="","",IFERROR(CC69*CB73,""))</f>
        <v/>
      </c>
      <c r="CD73" s="457" t="str">
        <f ca="1">IF(CD68="","",
   IF(IF(
  OR(
    INDEX('1a. Input organisatieniveau'!$AC:$AC, 7+ (COLUMN(CA13) - 1)*0.5) = "",
    INDEX('1a. Input organisatieniveau'!$AC:$AC, 7 + (COLUMN(CA13) - 1)*0.5) = 0
  ),
  "",
  INDEX('1a. Input organisatieniveau'!$AC:$AC, 7 + (COLUMN(CA13) - 1)*0.5)
)&lt;&gt;"Ambulant","",
IFERROR(
      IF(
         INDEX('1b. Input productniveau'!$E:$E, 6 + ((COLUMN()-COLUMN($D$73))/2)*7) = "",
         "",
         INDEX('1b. Input productniveau'!$E:$E, 6 + ((COLUMN()-COLUMN($D$73))/2)*7)
      ),
   ""))
)</f>
        <v/>
      </c>
      <c r="CE73" s="490" t="str">
        <f ca="1">IF(CD68="","",IFERROR(CE69*CD73,""))</f>
        <v/>
      </c>
      <c r="CF73" s="320"/>
      <c r="CG73" s="289"/>
      <c r="CH73" s="289"/>
      <c r="CI73" s="289"/>
      <c r="CJ73" s="289"/>
      <c r="CK73" s="289"/>
      <c r="CL73" s="289"/>
      <c r="CM73" s="289"/>
      <c r="CN73" s="289"/>
      <c r="CO73" s="289"/>
      <c r="CP73" s="289"/>
      <c r="CQ73" s="289"/>
      <c r="CR73" s="289"/>
      <c r="CS73" s="289"/>
      <c r="CT73" s="289"/>
      <c r="CU73" s="289"/>
      <c r="CV73" s="289"/>
      <c r="CW73" s="289"/>
      <c r="CX73" s="289"/>
      <c r="CY73" s="289"/>
      <c r="CZ73" s="289"/>
    </row>
    <row r="74" spans="1:104" x14ac:dyDescent="0.45">
      <c r="A74" s="289"/>
      <c r="B74" s="384" t="s">
        <v>1217</v>
      </c>
      <c r="C74" s="443" t="str">
        <f>IF(Initialisatie!C6="Ja", "*declarabel", "*niet declarabel")</f>
        <v>*niet declarabel</v>
      </c>
      <c r="D74" s="457" t="str">
        <f ca="1">IF(OR(D68="",Initialisatie!$C$6="Ja"),"",
   IFERROR(
      IF(
         INDEX('1b. Input productniveau'!$E:$E, 7 + ((COLUMN()-COLUMN($D$74))/2)*7) = "",
         "",
         INDEX('1b. Input productniveau'!$E:$E, 7 + ((COLUMN()-COLUMN($D$74))/2)*7)
      ),
   "")
)</f>
        <v/>
      </c>
      <c r="E74" s="490" t="str">
        <f ca="1">IF(D68="","",IFERROR(E69*D74,""))</f>
        <v/>
      </c>
      <c r="F74" s="457" t="str">
        <f ca="1">IF(OR(F68="",Initialisatie!$C$6="Ja"),"",
   IFERROR(
      IF(
         INDEX('1b. Input productniveau'!$E:$E, 7 + ((COLUMN()-COLUMN($D$74))/2)*7) = "",
         "",
         INDEX('1b. Input productniveau'!$E:$E, 7 + ((COLUMN()-COLUMN($D$74))/2)*7)
      ),
   "")
)</f>
        <v/>
      </c>
      <c r="G74" s="490" t="str">
        <f ca="1">IF(F68="","",IFERROR(G69*F74,""))</f>
        <v/>
      </c>
      <c r="H74" s="457" t="str">
        <f ca="1">IF(OR(H68="",Initialisatie!$C$6="Ja"),"",
   IFERROR(
      IF(
         INDEX('1b. Input productniveau'!$E:$E, 7 + ((COLUMN()-COLUMN($D$74))/2)*7) = "",
         "",
         INDEX('1b. Input productniveau'!$E:$E, 7 + ((COLUMN()-COLUMN($D$74))/2)*7)
      ),
   "")
)</f>
        <v/>
      </c>
      <c r="I74" s="490" t="str">
        <f ca="1">IF(H68="","",IFERROR(I69*H74,""))</f>
        <v/>
      </c>
      <c r="J74" s="457" t="str">
        <f ca="1">IF(OR(J68="",Initialisatie!$C$6="Ja"),"",
   IFERROR(
      IF(
         INDEX('1b. Input productniveau'!$E:$E, 7 + ((COLUMN()-COLUMN($D$74))/2)*7) = "",
         "",
         INDEX('1b. Input productniveau'!$E:$E, 7 + ((COLUMN()-COLUMN($D$74))/2)*7)
      ),
   "")
)</f>
        <v/>
      </c>
      <c r="K74" s="490" t="str">
        <f ca="1">IF(J68="","",IFERROR(K69*J74,""))</f>
        <v/>
      </c>
      <c r="L74" s="457" t="str">
        <f ca="1">IF(OR(L68="",Initialisatie!$C$6="Ja"),"",
   IFERROR(
      IF(
         INDEX('1b. Input productniveau'!$E:$E, 7 + ((COLUMN()-COLUMN($D$74))/2)*7) = "",
         "",
         INDEX('1b. Input productniveau'!$E:$E, 7 + ((COLUMN()-COLUMN($D$74))/2)*7)
      ),
   "")
)</f>
        <v/>
      </c>
      <c r="M74" s="490" t="str">
        <f ca="1">IF(L68="","",IFERROR(M69*L74,""))</f>
        <v/>
      </c>
      <c r="N74" s="457" t="str">
        <f ca="1">IF(OR(N68="",Initialisatie!$C$6="Ja"),"",
   IFERROR(
      IF(
         INDEX('1b. Input productniveau'!$E:$E, 7 + ((COLUMN()-COLUMN($D$74))/2)*7) = "",
         "",
         INDEX('1b. Input productniveau'!$E:$E, 7 + ((COLUMN()-COLUMN($D$74))/2)*7)
      ),
   "")
)</f>
        <v/>
      </c>
      <c r="O74" s="490" t="str">
        <f ca="1">IF(N68="","",IFERROR(O69*N74,""))</f>
        <v/>
      </c>
      <c r="P74" s="457" t="str">
        <f ca="1">IF(OR(P68="",Initialisatie!$C$6="Ja"),"",
   IFERROR(
      IF(
         INDEX('1b. Input productniveau'!$E:$E, 7 + ((COLUMN()-COLUMN($D$74))/2)*7) = "",
         "",
         INDEX('1b. Input productniveau'!$E:$E, 7 + ((COLUMN()-COLUMN($D$74))/2)*7)
      ),
   "")
)</f>
        <v/>
      </c>
      <c r="Q74" s="490" t="str">
        <f ca="1">IF(P68="","",IFERROR(Q69*P74,""))</f>
        <v/>
      </c>
      <c r="R74" s="457" t="str">
        <f ca="1">IF(OR(R68="",Initialisatie!$C$6="Ja"),"",
   IFERROR(
      IF(
         INDEX('1b. Input productniveau'!$E:$E, 7 + ((COLUMN()-COLUMN($D$74))/2)*7) = "",
         "",
         INDEX('1b. Input productniveau'!$E:$E, 7 + ((COLUMN()-COLUMN($D$74))/2)*7)
      ),
   "")
)</f>
        <v/>
      </c>
      <c r="S74" s="490" t="str">
        <f ca="1">IF(R68="","",IFERROR(S69*R74,""))</f>
        <v/>
      </c>
      <c r="T74" s="457" t="str">
        <f ca="1">IF(OR(T68="",Initialisatie!$C$6="Ja"),"",
   IFERROR(
      IF(
         INDEX('1b. Input productniveau'!$E:$E, 7 + ((COLUMN()-COLUMN($D$74))/2)*7) = "",
         "",
         INDEX('1b. Input productniveau'!$E:$E, 7 + ((COLUMN()-COLUMN($D$74))/2)*7)
      ),
   "")
)</f>
        <v/>
      </c>
      <c r="U74" s="490" t="str">
        <f ca="1">IF(T68="","",IFERROR(U69*T74,""))</f>
        <v/>
      </c>
      <c r="V74" s="457" t="str">
        <f ca="1">IF(OR(V68="",Initialisatie!$C$6="Ja"),"",
   IFERROR(
      IF(
         INDEX('1b. Input productniveau'!$E:$E, 7 + ((COLUMN()-COLUMN($D$74))/2)*7) = "",
         "",
         INDEX('1b. Input productniveau'!$E:$E, 7 + ((COLUMN()-COLUMN($D$74))/2)*7)
      ),
   "")
)</f>
        <v/>
      </c>
      <c r="W74" s="490" t="str">
        <f ca="1">IF(V68="","",IFERROR(W69*V74,""))</f>
        <v/>
      </c>
      <c r="X74" s="457" t="str">
        <f ca="1">IF(OR(X68="",Initialisatie!$C$6="Ja"),"",
   IFERROR(
      IF(
         INDEX('1b. Input productniveau'!$E:$E, 7 + ((COLUMN()-COLUMN($D$74))/2)*7) = "",
         "",
         INDEX('1b. Input productniveau'!$E:$E, 7 + ((COLUMN()-COLUMN($D$74))/2)*7)
      ),
   "")
)</f>
        <v/>
      </c>
      <c r="Y74" s="490" t="str">
        <f ca="1">IF(X68="","",IFERROR(Y69*X74,""))</f>
        <v/>
      </c>
      <c r="Z74" s="457" t="str">
        <f ca="1">IF(OR(Z68="",Initialisatie!$C$6="Ja"),"",
   IFERROR(
      IF(
         INDEX('1b. Input productniveau'!$E:$E, 7 + ((COLUMN()-COLUMN($D$74))/2)*7) = "",
         "",
         INDEX('1b. Input productniveau'!$E:$E, 7 + ((COLUMN()-COLUMN($D$74))/2)*7)
      ),
   "")
)</f>
        <v/>
      </c>
      <c r="AA74" s="490" t="str">
        <f ca="1">IF(Z68="","",IFERROR(AA69*Z74,""))</f>
        <v/>
      </c>
      <c r="AB74" s="457" t="str">
        <f ca="1">IF(OR(AB68="",Initialisatie!$C$6="Ja"),"",
   IFERROR(
      IF(
         INDEX('1b. Input productniveau'!$E:$E, 7 + ((COLUMN()-COLUMN($D$74))/2)*7) = "",
         "",
         INDEX('1b. Input productniveau'!$E:$E, 7 + ((COLUMN()-COLUMN($D$74))/2)*7)
      ),
   "")
)</f>
        <v/>
      </c>
      <c r="AC74" s="490" t="str">
        <f ca="1">IF(AB68="","",IFERROR(AC69*AB74,""))</f>
        <v/>
      </c>
      <c r="AD74" s="457" t="str">
        <f ca="1">IF(OR(AD68="",Initialisatie!$C$6="Ja"),"",
   IFERROR(
      IF(
         INDEX('1b. Input productniveau'!$E:$E, 7 + ((COLUMN()-COLUMN($D$74))/2)*7) = "",
         "",
         INDEX('1b. Input productniveau'!$E:$E, 7 + ((COLUMN()-COLUMN($D$74))/2)*7)
      ),
   "")
)</f>
        <v/>
      </c>
      <c r="AE74" s="490" t="str">
        <f ca="1">IF(AD68="","",IFERROR(AE69*AD74,""))</f>
        <v/>
      </c>
      <c r="AF74" s="457" t="str">
        <f ca="1">IF(OR(AF68="",Initialisatie!$C$6="Ja"),"",
   IFERROR(
      IF(
         INDEX('1b. Input productniveau'!$E:$E, 7 + ((COLUMN()-COLUMN($D$74))/2)*7) = "",
         "",
         INDEX('1b. Input productniveau'!$E:$E, 7 + ((COLUMN()-COLUMN($D$74))/2)*7)
      ),
   "")
)</f>
        <v/>
      </c>
      <c r="AG74" s="490" t="str">
        <f ca="1">IF(AF68="","",IFERROR(AG69*AF74,""))</f>
        <v/>
      </c>
      <c r="AH74" s="457" t="str">
        <f ca="1">IF(OR(AH68="",Initialisatie!$C$6="Ja"),"",
   IFERROR(
      IF(
         INDEX('1b. Input productniveau'!$E:$E, 7 + ((COLUMN()-COLUMN($D$74))/2)*7) = "",
         "",
         INDEX('1b. Input productniveau'!$E:$E, 7 + ((COLUMN()-COLUMN($D$74))/2)*7)
      ),
   "")
)</f>
        <v/>
      </c>
      <c r="AI74" s="490" t="str">
        <f ca="1">IF(AH68="","",IFERROR(AI69*AH74,""))</f>
        <v/>
      </c>
      <c r="AJ74" s="457" t="str">
        <f ca="1">IF(OR(AJ68="",Initialisatie!$C$6="Ja"),"",
   IFERROR(
      IF(
         INDEX('1b. Input productniveau'!$E:$E, 7 + ((COLUMN()-COLUMN($D$74))/2)*7) = "",
         "",
         INDEX('1b. Input productniveau'!$E:$E, 7 + ((COLUMN()-COLUMN($D$74))/2)*7)
      ),
   "")
)</f>
        <v/>
      </c>
      <c r="AK74" s="490" t="str">
        <f ca="1">IF(AJ68="","",IFERROR(AK69*AJ74,""))</f>
        <v/>
      </c>
      <c r="AL74" s="457" t="str">
        <f ca="1">IF(OR(AL68="",Initialisatie!$C$6="Ja"),"",
   IFERROR(
      IF(
         INDEX('1b. Input productniveau'!$E:$E, 7 + ((COLUMN()-COLUMN($D$74))/2)*7) = "",
         "",
         INDEX('1b. Input productniveau'!$E:$E, 7 + ((COLUMN()-COLUMN($D$74))/2)*7)
      ),
   "")
)</f>
        <v/>
      </c>
      <c r="AM74" s="490" t="str">
        <f ca="1">IF(AL68="","",IFERROR(AM69*AL74,""))</f>
        <v/>
      </c>
      <c r="AN74" s="457" t="str">
        <f ca="1">IF(OR(AN68="",Initialisatie!$C$6="Ja"),"",
   IFERROR(
      IF(
         INDEX('1b. Input productniveau'!$E:$E, 7 + ((COLUMN()-COLUMN($D$74))/2)*7) = "",
         "",
         INDEX('1b. Input productniveau'!$E:$E, 7 + ((COLUMN()-COLUMN($D$74))/2)*7)
      ),
   "")
)</f>
        <v/>
      </c>
      <c r="AO74" s="490" t="str">
        <f ca="1">IF(AN68="","",IFERROR(AO69*AN74,""))</f>
        <v/>
      </c>
      <c r="AP74" s="457" t="str">
        <f ca="1">IF(OR(AP68="",Initialisatie!$C$6="Ja"),"",
   IFERROR(
      IF(
         INDEX('1b. Input productniveau'!$E:$E, 7 + ((COLUMN()-COLUMN($D$74))/2)*7) = "",
         "",
         INDEX('1b. Input productniveau'!$E:$E, 7 + ((COLUMN()-COLUMN($D$74))/2)*7)
      ),
   "")
)</f>
        <v/>
      </c>
      <c r="AQ74" s="490" t="str">
        <f ca="1">IF(AP68="","",IFERROR(AQ69*AP74,""))</f>
        <v/>
      </c>
      <c r="AR74" s="457" t="str">
        <f ca="1">IF(OR(AR68="",Initialisatie!$C$6="Ja"),"",
   IFERROR(
      IF(
         INDEX('1b. Input productniveau'!$E:$E, 7 + ((COLUMN()-COLUMN($D$74))/2)*7) = "",
         "",
         INDEX('1b. Input productniveau'!$E:$E, 7 + ((COLUMN()-COLUMN($D$74))/2)*7)
      ),
   "")
)</f>
        <v/>
      </c>
      <c r="AS74" s="490" t="str">
        <f ca="1">IF(AR68="","",IFERROR(AS69*AR74,""))</f>
        <v/>
      </c>
      <c r="AT74" s="457" t="str">
        <f ca="1">IF(OR(AT68="",Initialisatie!$C$6="Ja"),"",
   IFERROR(
      IF(
         INDEX('1b. Input productniveau'!$E:$E, 7 + ((COLUMN()-COLUMN($D$74))/2)*7) = "",
         "",
         INDEX('1b. Input productniveau'!$E:$E, 7 + ((COLUMN()-COLUMN($D$74))/2)*7)
      ),
   "")
)</f>
        <v/>
      </c>
      <c r="AU74" s="490" t="str">
        <f ca="1">IF(AT68="","",IFERROR(AU69*AT74,""))</f>
        <v/>
      </c>
      <c r="AV74" s="457" t="str">
        <f ca="1">IF(OR(AV68="",Initialisatie!$C$6="Ja"),"",
   IFERROR(
      IF(
         INDEX('1b. Input productniveau'!$E:$E, 7 + ((COLUMN()-COLUMN($D$74))/2)*7) = "",
         "",
         INDEX('1b. Input productniveau'!$E:$E, 7 + ((COLUMN()-COLUMN($D$74))/2)*7)
      ),
   "")
)</f>
        <v/>
      </c>
      <c r="AW74" s="490" t="str">
        <f ca="1">IF(AV68="","",IFERROR(AW69*AV74,""))</f>
        <v/>
      </c>
      <c r="AX74" s="457" t="str">
        <f ca="1">IF(OR(AX68="",Initialisatie!$C$6="Ja"),"",
   IFERROR(
      IF(
         INDEX('1b. Input productniveau'!$E:$E, 7 + ((COLUMN()-COLUMN($D$74))/2)*7) = "",
         "",
         INDEX('1b. Input productniveau'!$E:$E, 7 + ((COLUMN()-COLUMN($D$74))/2)*7)
      ),
   "")
)</f>
        <v/>
      </c>
      <c r="AY74" s="490" t="str">
        <f ca="1">IF(AX68="","",IFERROR(AY69*AX74,""))</f>
        <v/>
      </c>
      <c r="AZ74" s="457" t="str">
        <f ca="1">IF(OR(AZ68="",Initialisatie!$C$6="Ja"),"",
   IFERROR(
      IF(
         INDEX('1b. Input productniveau'!$E:$E, 7 + ((COLUMN()-COLUMN($D$74))/2)*7) = "",
         "",
         INDEX('1b. Input productniveau'!$E:$E, 7 + ((COLUMN()-COLUMN($D$74))/2)*7)
      ),
   "")
)</f>
        <v/>
      </c>
      <c r="BA74" s="490" t="str">
        <f ca="1">IF(AZ68="","",IFERROR(BA69*AZ74,""))</f>
        <v/>
      </c>
      <c r="BB74" s="457" t="str">
        <f ca="1">IF(OR(BB68="",Initialisatie!$C$6="Ja"),"",
   IFERROR(
      IF(
         INDEX('1b. Input productniveau'!$E:$E, 7 + ((COLUMN()-COLUMN($D$74))/2)*7) = "",
         "",
         INDEX('1b. Input productniveau'!$E:$E, 7 + ((COLUMN()-COLUMN($D$74))/2)*7)
      ),
   "")
)</f>
        <v/>
      </c>
      <c r="BC74" s="490" t="str">
        <f ca="1">IF(BB68="","",IFERROR(BC69*BB74,""))</f>
        <v/>
      </c>
      <c r="BD74" s="457" t="str">
        <f ca="1">IF(OR(BD68="",Initialisatie!$C$6="Ja"),"",
   IFERROR(
      IF(
         INDEX('1b. Input productniveau'!$E:$E, 7 + ((COLUMN()-COLUMN($D$74))/2)*7) = "",
         "",
         INDEX('1b. Input productniveau'!$E:$E, 7 + ((COLUMN()-COLUMN($D$74))/2)*7)
      ),
   "")
)</f>
        <v/>
      </c>
      <c r="BE74" s="490" t="str">
        <f ca="1">IF(BD68="","",IFERROR(BE69*BD74,""))</f>
        <v/>
      </c>
      <c r="BF74" s="457" t="str">
        <f ca="1">IF(OR(BF68="",Initialisatie!$C$6="Ja"),"",
   IFERROR(
      IF(
         INDEX('1b. Input productniveau'!$E:$E, 7 + ((COLUMN()-COLUMN($D$74))/2)*7) = "",
         "",
         INDEX('1b. Input productniveau'!$E:$E, 7 + ((COLUMN()-COLUMN($D$74))/2)*7)
      ),
   "")
)</f>
        <v/>
      </c>
      <c r="BG74" s="490" t="str">
        <f ca="1">IF(BF68="","",IFERROR(BG69*BF74,""))</f>
        <v/>
      </c>
      <c r="BH74" s="457" t="str">
        <f ca="1">IF(OR(BH68="",Initialisatie!$C$6="Ja"),"",
   IFERROR(
      IF(
         INDEX('1b. Input productniveau'!$E:$E, 7 + ((COLUMN()-COLUMN($D$74))/2)*7) = "",
         "",
         INDEX('1b. Input productniveau'!$E:$E, 7 + ((COLUMN()-COLUMN($D$74))/2)*7)
      ),
   "")
)</f>
        <v/>
      </c>
      <c r="BI74" s="490" t="str">
        <f ca="1">IF(BH68="","",IFERROR(BI69*BH74,""))</f>
        <v/>
      </c>
      <c r="BJ74" s="457" t="str">
        <f ca="1">IF(OR(BJ68="",Initialisatie!$C$6="Ja"),"",
   IFERROR(
      IF(
         INDEX('1b. Input productniveau'!$E:$E, 7 + ((COLUMN()-COLUMN($D$74))/2)*7) = "",
         "",
         INDEX('1b. Input productniveau'!$E:$E, 7 + ((COLUMN()-COLUMN($D$74))/2)*7)
      ),
   "")
)</f>
        <v/>
      </c>
      <c r="BK74" s="490" t="str">
        <f ca="1">IF(BJ68="","",IFERROR(BK69*BJ74,""))</f>
        <v/>
      </c>
      <c r="BL74" s="457" t="str">
        <f ca="1">IF(OR(BL68="",Initialisatie!$C$6="Ja"),"",
   IFERROR(
      IF(
         INDEX('1b. Input productniveau'!$E:$E, 7 + ((COLUMN()-COLUMN($D$74))/2)*7) = "",
         "",
         INDEX('1b. Input productniveau'!$E:$E, 7 + ((COLUMN()-COLUMN($D$74))/2)*7)
      ),
   "")
)</f>
        <v/>
      </c>
      <c r="BM74" s="490" t="str">
        <f ca="1">IF(BL68="","",IFERROR(BM69*BL74,""))</f>
        <v/>
      </c>
      <c r="BN74" s="457" t="str">
        <f ca="1">IF(OR(BN68="",Initialisatie!$C$6="Ja"),"",
   IFERROR(
      IF(
         INDEX('1b. Input productniveau'!$E:$E, 7 + ((COLUMN()-COLUMN($D$74))/2)*7) = "",
         "",
         INDEX('1b. Input productniveau'!$E:$E, 7 + ((COLUMN()-COLUMN($D$74))/2)*7)
      ),
   "")
)</f>
        <v/>
      </c>
      <c r="BO74" s="490" t="str">
        <f ca="1">IF(BN68="","",IFERROR(BO69*BN74,""))</f>
        <v/>
      </c>
      <c r="BP74" s="457" t="str">
        <f ca="1">IF(OR(BP68="",Initialisatie!$C$6="Ja"),"",
   IFERROR(
      IF(
         INDEX('1b. Input productniveau'!$E:$E, 7 + ((COLUMN()-COLUMN($D$74))/2)*7) = "",
         "",
         INDEX('1b. Input productniveau'!$E:$E, 7 + ((COLUMN()-COLUMN($D$74))/2)*7)
      ),
   "")
)</f>
        <v/>
      </c>
      <c r="BQ74" s="490" t="str">
        <f ca="1">IF(BP68="","",IFERROR(BQ69*BP74,""))</f>
        <v/>
      </c>
      <c r="BR74" s="457" t="str">
        <f ca="1">IF(OR(BR68="",Initialisatie!$C$6="Ja"),"",
   IFERROR(
      IF(
         INDEX('1b. Input productniveau'!$E:$E, 7 + ((COLUMN()-COLUMN($D$74))/2)*7) = "",
         "",
         INDEX('1b. Input productniveau'!$E:$E, 7 + ((COLUMN()-COLUMN($D$74))/2)*7)
      ),
   "")
)</f>
        <v/>
      </c>
      <c r="BS74" s="490" t="str">
        <f ca="1">IF(BR68="","",IFERROR(BS69*BR74,""))</f>
        <v/>
      </c>
      <c r="BT74" s="457" t="str">
        <f ca="1">IF(OR(BT68="",Initialisatie!$C$6="Ja"),"",
   IFERROR(
      IF(
         INDEX('1b. Input productniveau'!$E:$E, 7 + ((COLUMN()-COLUMN($D$74))/2)*7) = "",
         "",
         INDEX('1b. Input productniveau'!$E:$E, 7 + ((COLUMN()-COLUMN($D$74))/2)*7)
      ),
   "")
)</f>
        <v/>
      </c>
      <c r="BU74" s="490" t="str">
        <f ca="1">IF(BT68="","",IFERROR(BU69*BT74,""))</f>
        <v/>
      </c>
      <c r="BV74" s="457" t="str">
        <f ca="1">IF(OR(BV68="",Initialisatie!$C$6="Ja"),"",
   IFERROR(
      IF(
         INDEX('1b. Input productniveau'!$E:$E, 7 + ((COLUMN()-COLUMN($D$74))/2)*7) = "",
         "",
         INDEX('1b. Input productniveau'!$E:$E, 7 + ((COLUMN()-COLUMN($D$74))/2)*7)
      ),
   "")
)</f>
        <v/>
      </c>
      <c r="BW74" s="490" t="str">
        <f ca="1">IF(BV68="","",IFERROR(BW69*BV74,""))</f>
        <v/>
      </c>
      <c r="BX74" s="457" t="str">
        <f ca="1">IF(OR(BX68="",Initialisatie!$C$6="Ja"),"",
   IFERROR(
      IF(
         INDEX('1b. Input productniveau'!$E:$E, 7 + ((COLUMN()-COLUMN($D$74))/2)*7) = "",
         "",
         INDEX('1b. Input productniveau'!$E:$E, 7 + ((COLUMN()-COLUMN($D$74))/2)*7)
      ),
   "")
)</f>
        <v/>
      </c>
      <c r="BY74" s="490" t="str">
        <f ca="1">IF(BX68="","",IFERROR(BY69*BX74,""))</f>
        <v/>
      </c>
      <c r="BZ74" s="457" t="str">
        <f ca="1">IF(OR(BZ68="",Initialisatie!$C$6="Ja"),"",
   IFERROR(
      IF(
         INDEX('1b. Input productniveau'!$E:$E, 7 + ((COLUMN()-COLUMN($D$74))/2)*7) = "",
         "",
         INDEX('1b. Input productniveau'!$E:$E, 7 + ((COLUMN()-COLUMN($D$74))/2)*7)
      ),
   "")
)</f>
        <v/>
      </c>
      <c r="CA74" s="490" t="str">
        <f ca="1">IF(BZ68="","",IFERROR(CA69*BZ74,""))</f>
        <v/>
      </c>
      <c r="CB74" s="457" t="str">
        <f ca="1">IF(OR(CB68="",Initialisatie!$C$6="Ja"),"",
   IFERROR(
      IF(
         INDEX('1b. Input productniveau'!$E:$E, 7 + ((COLUMN()-COLUMN($D$74))/2)*7) = "",
         "",
         INDEX('1b. Input productniveau'!$E:$E, 7 + ((COLUMN()-COLUMN($D$74))/2)*7)
      ),
   "")
)</f>
        <v/>
      </c>
      <c r="CC74" s="490" t="str">
        <f ca="1">IF(CB68="","",IFERROR(CC69*CB74,""))</f>
        <v/>
      </c>
      <c r="CD74" s="457" t="str">
        <f ca="1">IF(OR(CD68="",Initialisatie!$C$6="Ja"),"",
   IFERROR(
      IF(
         INDEX('1b. Input productniveau'!$E:$E, 7 + ((COLUMN()-COLUMN($D$74))/2)*7) = "",
         "",
         INDEX('1b. Input productniveau'!$E:$E, 7 + ((COLUMN()-COLUMN($D$74))/2)*7)
      ),
   "")
)</f>
        <v/>
      </c>
      <c r="CE74" s="490" t="str">
        <f ca="1">IF(CD68="","",IFERROR(CE69*CD74,""))</f>
        <v/>
      </c>
      <c r="CF74" s="320"/>
      <c r="CG74" s="289"/>
      <c r="CH74" s="289"/>
      <c r="CI74" s="289"/>
      <c r="CJ74" s="289"/>
      <c r="CK74" s="289"/>
      <c r="CL74" s="289"/>
      <c r="CM74" s="289"/>
      <c r="CN74" s="289"/>
      <c r="CO74" s="289"/>
      <c r="CP74" s="289"/>
      <c r="CQ74" s="289"/>
      <c r="CR74" s="289"/>
      <c r="CS74" s="289"/>
      <c r="CT74" s="289"/>
      <c r="CU74" s="289"/>
      <c r="CV74" s="289"/>
      <c r="CW74" s="289"/>
      <c r="CX74" s="289"/>
      <c r="CY74" s="289"/>
      <c r="CZ74" s="289"/>
    </row>
    <row r="75" spans="1:104" x14ac:dyDescent="0.45">
      <c r="A75" s="289"/>
      <c r="B75" s="384" t="s">
        <v>1216</v>
      </c>
      <c r="C75" s="448"/>
      <c r="D75" s="457" t="str">
        <f ca="1">IF(D68="","",
   IFERROR(
      IF(
         INDEX('1b. Input productniveau'!$E:$E, 8 + ((COLUMN()-COLUMN($D$74))/2)*7) = "",
         "",
         INDEX('1b. Input productniveau'!$E:$E, 8 + ((COLUMN()-COLUMN($D$74))/2)*7)
      ),
   "")
)</f>
        <v/>
      </c>
      <c r="E75" s="490" t="str">
        <f ca="1">IF(D68="","",IFERROR(E69*D75,""))</f>
        <v/>
      </c>
      <c r="F75" s="457" t="str">
        <f ca="1">IF(F68="","",
   IFERROR(
      IF(
         INDEX('1b. Input productniveau'!$E:$E, 8 + ((COLUMN()-COLUMN($D$74))/2)*7) = "",
         "",
         INDEX('1b. Input productniveau'!$E:$E, 8 + ((COLUMN()-COLUMN($D$74))/2)*7)
      ),
   "")
)</f>
        <v/>
      </c>
      <c r="G75" s="490" t="str">
        <f ca="1">IF(F68="","",IFERROR(G69*F75,""))</f>
        <v/>
      </c>
      <c r="H75" s="457" t="str">
        <f ca="1">IF(H68="","",
   IFERROR(
      IF(
         INDEX('1b. Input productniveau'!$E:$E, 8 + ((COLUMN()-COLUMN($D$74))/2)*7) = "",
         "",
         INDEX('1b. Input productniveau'!$E:$E, 8 + ((COLUMN()-COLUMN($D$74))/2)*7)
      ),
   "")
)</f>
        <v/>
      </c>
      <c r="I75" s="490" t="str">
        <f ca="1">IF(H68="","",IFERROR(I69*H75,""))</f>
        <v/>
      </c>
      <c r="J75" s="457" t="str">
        <f ca="1">IF(J68="","",
   IFERROR(
      IF(
         INDEX('1b. Input productniveau'!$E:$E, 8 + ((COLUMN()-COLUMN($D$74))/2)*7) = "",
         "",
         INDEX('1b. Input productniveau'!$E:$E, 8 + ((COLUMN()-COLUMN($D$74))/2)*7)
      ),
   "")
)</f>
        <v/>
      </c>
      <c r="K75" s="490" t="str">
        <f ca="1">IF(J68="","",IFERROR(K69*J75,""))</f>
        <v/>
      </c>
      <c r="L75" s="457" t="str">
        <f ca="1">IF(L68="","",
   IFERROR(
      IF(
         INDEX('1b. Input productniveau'!$E:$E, 8 + ((COLUMN()-COLUMN($D$74))/2)*7) = "",
         "",
         INDEX('1b. Input productniveau'!$E:$E, 8 + ((COLUMN()-COLUMN($D$74))/2)*7)
      ),
   "")
)</f>
        <v/>
      </c>
      <c r="M75" s="490" t="str">
        <f ca="1">IF(L68="","",IFERROR(M69*L75,""))</f>
        <v/>
      </c>
      <c r="N75" s="457" t="str">
        <f ca="1">IF(N68="","",
   IFERROR(
      IF(
         INDEX('1b. Input productniveau'!$E:$E, 8 + ((COLUMN()-COLUMN($D$74))/2)*7) = "",
         "",
         INDEX('1b. Input productniveau'!$E:$E, 8 + ((COLUMN()-COLUMN($D$74))/2)*7)
      ),
   "")
)</f>
        <v/>
      </c>
      <c r="O75" s="490" t="str">
        <f ca="1">IF(N68="","",IFERROR(O69*N75,""))</f>
        <v/>
      </c>
      <c r="P75" s="457" t="str">
        <f ca="1">IF(P68="","",
   IFERROR(
      IF(
         INDEX('1b. Input productniveau'!$E:$E, 8 + ((COLUMN()-COLUMN($D$74))/2)*7) = "",
         "",
         INDEX('1b. Input productniveau'!$E:$E, 8 + ((COLUMN()-COLUMN($D$74))/2)*7)
      ),
   "")
)</f>
        <v/>
      </c>
      <c r="Q75" s="490" t="str">
        <f ca="1">IF(P68="","",IFERROR(Q69*P75,""))</f>
        <v/>
      </c>
      <c r="R75" s="457" t="str">
        <f ca="1">IF(R68="","",
   IFERROR(
      IF(
         INDEX('1b. Input productniveau'!$E:$E, 8 + ((COLUMN()-COLUMN($D$74))/2)*7) = "",
         "",
         INDEX('1b. Input productniveau'!$E:$E, 8 + ((COLUMN()-COLUMN($D$74))/2)*7)
      ),
   "")
)</f>
        <v/>
      </c>
      <c r="S75" s="490" t="str">
        <f ca="1">IF(R68="","",IFERROR(S69*R75,""))</f>
        <v/>
      </c>
      <c r="T75" s="457" t="str">
        <f ca="1">IF(T68="","",
   IFERROR(
      IF(
         INDEX('1b. Input productniveau'!$E:$E, 8 + ((COLUMN()-COLUMN($D$74))/2)*7) = "",
         "",
         INDEX('1b. Input productniveau'!$E:$E, 8 + ((COLUMN()-COLUMN($D$74))/2)*7)
      ),
   "")
)</f>
        <v/>
      </c>
      <c r="U75" s="490" t="str">
        <f ca="1">IF(T68="","",IFERROR(U69*T75,""))</f>
        <v/>
      </c>
      <c r="V75" s="457" t="str">
        <f ca="1">IF(V68="","",
   IFERROR(
      IF(
         INDEX('1b. Input productniveau'!$E:$E, 8 + ((COLUMN()-COLUMN($D$74))/2)*7) = "",
         "",
         INDEX('1b. Input productniveau'!$E:$E, 8 + ((COLUMN()-COLUMN($D$74))/2)*7)
      ),
   "")
)</f>
        <v/>
      </c>
      <c r="W75" s="490" t="str">
        <f ca="1">IF(V68="","",IFERROR(W69*V75,""))</f>
        <v/>
      </c>
      <c r="X75" s="457" t="str">
        <f ca="1">IF(X68="","",
   IFERROR(
      IF(
         INDEX('1b. Input productniveau'!$E:$E, 8 + ((COLUMN()-COLUMN($D$74))/2)*7) = "",
         "",
         INDEX('1b. Input productniveau'!$E:$E, 8 + ((COLUMN()-COLUMN($D$74))/2)*7)
      ),
   "")
)</f>
        <v/>
      </c>
      <c r="Y75" s="490" t="str">
        <f ca="1">IF(X68="","",IFERROR(Y69*X75,""))</f>
        <v/>
      </c>
      <c r="Z75" s="457" t="str">
        <f ca="1">IF(Z68="","",
   IFERROR(
      IF(
         INDEX('1b. Input productniveau'!$E:$E, 8 + ((COLUMN()-COLUMN($D$74))/2)*7) = "",
         "",
         INDEX('1b. Input productniveau'!$E:$E, 8 + ((COLUMN()-COLUMN($D$74))/2)*7)
      ),
   "")
)</f>
        <v/>
      </c>
      <c r="AA75" s="490" t="str">
        <f ca="1">IF(Z68="","",IFERROR(AA69*Z75,""))</f>
        <v/>
      </c>
      <c r="AB75" s="457" t="str">
        <f ca="1">IF(AB68="","",
   IFERROR(
      IF(
         INDEX('1b. Input productniveau'!$E:$E, 8 + ((COLUMN()-COLUMN($D$74))/2)*7) = "",
         "",
         INDEX('1b. Input productniveau'!$E:$E, 8 + ((COLUMN()-COLUMN($D$74))/2)*7)
      ),
   "")
)</f>
        <v/>
      </c>
      <c r="AC75" s="490" t="str">
        <f ca="1">IF(AB68="","",IFERROR(AC69*AB75,""))</f>
        <v/>
      </c>
      <c r="AD75" s="457" t="str">
        <f ca="1">IF(AD68="","",
   IFERROR(
      IF(
         INDEX('1b. Input productniveau'!$E:$E, 8 + ((COLUMN()-COLUMN($D$74))/2)*7) = "",
         "",
         INDEX('1b. Input productniveau'!$E:$E, 8 + ((COLUMN()-COLUMN($D$74))/2)*7)
      ),
   "")
)</f>
        <v/>
      </c>
      <c r="AE75" s="490" t="str">
        <f ca="1">IF(AD68="","",IFERROR(AE69*AD75,""))</f>
        <v/>
      </c>
      <c r="AF75" s="457" t="str">
        <f ca="1">IF(AF68="","",
   IFERROR(
      IF(
         INDEX('1b. Input productniveau'!$E:$E, 8 + ((COLUMN()-COLUMN($D$74))/2)*7) = "",
         "",
         INDEX('1b. Input productniveau'!$E:$E, 8 + ((COLUMN()-COLUMN($D$74))/2)*7)
      ),
   "")
)</f>
        <v/>
      </c>
      <c r="AG75" s="490" t="str">
        <f ca="1">IF(AF68="","",IFERROR(AG69*AF75,""))</f>
        <v/>
      </c>
      <c r="AH75" s="457" t="str">
        <f ca="1">IF(AH68="","",
   IFERROR(
      IF(
         INDEX('1b. Input productniveau'!$E:$E, 8 + ((COLUMN()-COLUMN($D$74))/2)*7) = "",
         "",
         INDEX('1b. Input productniveau'!$E:$E, 8 + ((COLUMN()-COLUMN($D$74))/2)*7)
      ),
   "")
)</f>
        <v/>
      </c>
      <c r="AI75" s="490" t="str">
        <f ca="1">IF(AH68="","",IFERROR(AI69*AH75,""))</f>
        <v/>
      </c>
      <c r="AJ75" s="457" t="str">
        <f ca="1">IF(AJ68="","",
   IFERROR(
      IF(
         INDEX('1b. Input productniveau'!$E:$E, 8 + ((COLUMN()-COLUMN($D$74))/2)*7) = "",
         "",
         INDEX('1b. Input productniveau'!$E:$E, 8 + ((COLUMN()-COLUMN($D$74))/2)*7)
      ),
   "")
)</f>
        <v/>
      </c>
      <c r="AK75" s="490" t="str">
        <f ca="1">IF(AJ68="","",IFERROR(AK69*AJ75,""))</f>
        <v/>
      </c>
      <c r="AL75" s="457" t="str">
        <f ca="1">IF(AL68="","",
   IFERROR(
      IF(
         INDEX('1b. Input productniveau'!$E:$E, 8 + ((COLUMN()-COLUMN($D$74))/2)*7) = "",
         "",
         INDEX('1b. Input productniveau'!$E:$E, 8 + ((COLUMN()-COLUMN($D$74))/2)*7)
      ),
   "")
)</f>
        <v/>
      </c>
      <c r="AM75" s="490" t="str">
        <f ca="1">IF(AL68="","",IFERROR(AM69*AL75,""))</f>
        <v/>
      </c>
      <c r="AN75" s="457" t="str">
        <f ca="1">IF(AN68="","",
   IFERROR(
      IF(
         INDEX('1b. Input productniveau'!$E:$E, 8 + ((COLUMN()-COLUMN($D$74))/2)*7) = "",
         "",
         INDEX('1b. Input productniveau'!$E:$E, 8 + ((COLUMN()-COLUMN($D$74))/2)*7)
      ),
   "")
)</f>
        <v/>
      </c>
      <c r="AO75" s="490" t="str">
        <f ca="1">IF(AN68="","",IFERROR(AO69*AN75,""))</f>
        <v/>
      </c>
      <c r="AP75" s="457" t="str">
        <f ca="1">IF(AP68="","",
   IFERROR(
      IF(
         INDEX('1b. Input productniveau'!$E:$E, 8 + ((COLUMN()-COLUMN($D$74))/2)*7) = "",
         "",
         INDEX('1b. Input productniveau'!$E:$E, 8 + ((COLUMN()-COLUMN($D$74))/2)*7)
      ),
   "")
)</f>
        <v/>
      </c>
      <c r="AQ75" s="490" t="str">
        <f ca="1">IF(AP68="","",IFERROR(AQ69*AP75,""))</f>
        <v/>
      </c>
      <c r="AR75" s="457" t="str">
        <f ca="1">IF(AR68="","",
   IFERROR(
      IF(
         INDEX('1b. Input productniveau'!$E:$E, 8 + ((COLUMN()-COLUMN($D$74))/2)*7) = "",
         "",
         INDEX('1b. Input productniveau'!$E:$E, 8 + ((COLUMN()-COLUMN($D$74))/2)*7)
      ),
   "")
)</f>
        <v/>
      </c>
      <c r="AS75" s="490" t="str">
        <f ca="1">IF(AR68="","",IFERROR(AS69*AR75,""))</f>
        <v/>
      </c>
      <c r="AT75" s="457" t="str">
        <f ca="1">IF(AT68="","",
   IFERROR(
      IF(
         INDEX('1b. Input productniveau'!$E:$E, 8 + ((COLUMN()-COLUMN($D$74))/2)*7) = "",
         "",
         INDEX('1b. Input productniveau'!$E:$E, 8 + ((COLUMN()-COLUMN($D$74))/2)*7)
      ),
   "")
)</f>
        <v/>
      </c>
      <c r="AU75" s="490" t="str">
        <f ca="1">IF(AT68="","",IFERROR(AU69*AT75,""))</f>
        <v/>
      </c>
      <c r="AV75" s="457" t="str">
        <f ca="1">IF(AV68="","",
   IFERROR(
      IF(
         INDEX('1b. Input productniveau'!$E:$E, 8 + ((COLUMN()-COLUMN($D$74))/2)*7) = "",
         "",
         INDEX('1b. Input productniveau'!$E:$E, 8 + ((COLUMN()-COLUMN($D$74))/2)*7)
      ),
   "")
)</f>
        <v/>
      </c>
      <c r="AW75" s="490" t="str">
        <f ca="1">IF(AV68="","",IFERROR(AW69*AV75,""))</f>
        <v/>
      </c>
      <c r="AX75" s="457" t="str">
        <f ca="1">IF(AX68="","",
   IFERROR(
      IF(
         INDEX('1b. Input productniveau'!$E:$E, 8 + ((COLUMN()-COLUMN($D$74))/2)*7) = "",
         "",
         INDEX('1b. Input productniveau'!$E:$E, 8 + ((COLUMN()-COLUMN($D$74))/2)*7)
      ),
   "")
)</f>
        <v/>
      </c>
      <c r="AY75" s="490" t="str">
        <f ca="1">IF(AX68="","",IFERROR(AY69*AX75,""))</f>
        <v/>
      </c>
      <c r="AZ75" s="457" t="str">
        <f ca="1">IF(AZ68="","",
   IFERROR(
      IF(
         INDEX('1b. Input productniveau'!$E:$E, 8 + ((COLUMN()-COLUMN($D$74))/2)*7) = "",
         "",
         INDEX('1b. Input productniveau'!$E:$E, 8 + ((COLUMN()-COLUMN($D$74))/2)*7)
      ),
   "")
)</f>
        <v/>
      </c>
      <c r="BA75" s="490" t="str">
        <f ca="1">IF(AZ68="","",IFERROR(BA69*AZ75,""))</f>
        <v/>
      </c>
      <c r="BB75" s="457" t="str">
        <f ca="1">IF(BB68="","",
   IFERROR(
      IF(
         INDEX('1b. Input productniveau'!$E:$E, 8 + ((COLUMN()-COLUMN($D$74))/2)*7) = "",
         "",
         INDEX('1b. Input productniveau'!$E:$E, 8 + ((COLUMN()-COLUMN($D$74))/2)*7)
      ),
   "")
)</f>
        <v/>
      </c>
      <c r="BC75" s="490" t="str">
        <f ca="1">IF(BB68="","",IFERROR(BC69*BB75,""))</f>
        <v/>
      </c>
      <c r="BD75" s="457" t="str">
        <f ca="1">IF(BD68="","",
   IFERROR(
      IF(
         INDEX('1b. Input productniveau'!$E:$E, 8 + ((COLUMN()-COLUMN($D$74))/2)*7) = "",
         "",
         INDEX('1b. Input productniveau'!$E:$E, 8 + ((COLUMN()-COLUMN($D$74))/2)*7)
      ),
   "")
)</f>
        <v/>
      </c>
      <c r="BE75" s="490" t="str">
        <f ca="1">IF(BD68="","",IFERROR(BE69*BD75,""))</f>
        <v/>
      </c>
      <c r="BF75" s="457" t="str">
        <f ca="1">IF(BF68="","",
   IFERROR(
      IF(
         INDEX('1b. Input productniveau'!$E:$E, 8 + ((COLUMN()-COLUMN($D$74))/2)*7) = "",
         "",
         INDEX('1b. Input productniveau'!$E:$E, 8 + ((COLUMN()-COLUMN($D$74))/2)*7)
      ),
   "")
)</f>
        <v/>
      </c>
      <c r="BG75" s="490" t="str">
        <f ca="1">IF(BF68="","",IFERROR(BG69*BF75,""))</f>
        <v/>
      </c>
      <c r="BH75" s="457" t="str">
        <f ca="1">IF(BH68="","",
   IFERROR(
      IF(
         INDEX('1b. Input productniveau'!$E:$E, 8 + ((COLUMN()-COLUMN($D$74))/2)*7) = "",
         "",
         INDEX('1b. Input productniveau'!$E:$E, 8 + ((COLUMN()-COLUMN($D$74))/2)*7)
      ),
   "")
)</f>
        <v/>
      </c>
      <c r="BI75" s="490" t="str">
        <f ca="1">IF(BH68="","",IFERROR(BI69*BH75,""))</f>
        <v/>
      </c>
      <c r="BJ75" s="457" t="str">
        <f ca="1">IF(BJ68="","",
   IFERROR(
      IF(
         INDEX('1b. Input productniveau'!$E:$E, 8 + ((COLUMN()-COLUMN($D$74))/2)*7) = "",
         "",
         INDEX('1b. Input productniveau'!$E:$E, 8 + ((COLUMN()-COLUMN($D$74))/2)*7)
      ),
   "")
)</f>
        <v/>
      </c>
      <c r="BK75" s="490" t="str">
        <f ca="1">IF(BJ68="","",IFERROR(BK69*BJ75,""))</f>
        <v/>
      </c>
      <c r="BL75" s="457" t="str">
        <f ca="1">IF(BL68="","",
   IFERROR(
      IF(
         INDEX('1b. Input productniveau'!$E:$E, 8 + ((COLUMN()-COLUMN($D$74))/2)*7) = "",
         "",
         INDEX('1b. Input productniveau'!$E:$E, 8 + ((COLUMN()-COLUMN($D$74))/2)*7)
      ),
   "")
)</f>
        <v/>
      </c>
      <c r="BM75" s="490" t="str">
        <f ca="1">IF(BL68="","",IFERROR(BM69*BL75,""))</f>
        <v/>
      </c>
      <c r="BN75" s="457" t="str">
        <f ca="1">IF(BN68="","",
   IFERROR(
      IF(
         INDEX('1b. Input productniveau'!$E:$E, 8 + ((COLUMN()-COLUMN($D$74))/2)*7) = "",
         "",
         INDEX('1b. Input productniveau'!$E:$E, 8 + ((COLUMN()-COLUMN($D$74))/2)*7)
      ),
   "")
)</f>
        <v/>
      </c>
      <c r="BO75" s="490" t="str">
        <f ca="1">IF(BN68="","",IFERROR(BO69*BN75,""))</f>
        <v/>
      </c>
      <c r="BP75" s="457" t="str">
        <f ca="1">IF(BP68="","",
   IFERROR(
      IF(
         INDEX('1b. Input productniveau'!$E:$E, 8 + ((COLUMN()-COLUMN($D$74))/2)*7) = "",
         "",
         INDEX('1b. Input productniveau'!$E:$E, 8 + ((COLUMN()-COLUMN($D$74))/2)*7)
      ),
   "")
)</f>
        <v/>
      </c>
      <c r="BQ75" s="490" t="str">
        <f ca="1">IF(BP68="","",IFERROR(BQ69*BP75,""))</f>
        <v/>
      </c>
      <c r="BR75" s="457" t="str">
        <f ca="1">IF(BR68="","",
   IFERROR(
      IF(
         INDEX('1b. Input productniveau'!$E:$E, 8 + ((COLUMN()-COLUMN($D$74))/2)*7) = "",
         "",
         INDEX('1b. Input productniveau'!$E:$E, 8 + ((COLUMN()-COLUMN($D$74))/2)*7)
      ),
   "")
)</f>
        <v/>
      </c>
      <c r="BS75" s="490" t="str">
        <f ca="1">IF(BR68="","",IFERROR(BS69*BR75,""))</f>
        <v/>
      </c>
      <c r="BT75" s="457" t="str">
        <f ca="1">IF(BT68="","",
   IFERROR(
      IF(
         INDEX('1b. Input productniveau'!$E:$E, 8 + ((COLUMN()-COLUMN($D$74))/2)*7) = "",
         "",
         INDEX('1b. Input productniveau'!$E:$E, 8 + ((COLUMN()-COLUMN($D$74))/2)*7)
      ),
   "")
)</f>
        <v/>
      </c>
      <c r="BU75" s="490" t="str">
        <f ca="1">IF(BT68="","",IFERROR(BU69*BT75,""))</f>
        <v/>
      </c>
      <c r="BV75" s="457" t="str">
        <f ca="1">IF(BV68="","",
   IFERROR(
      IF(
         INDEX('1b. Input productniveau'!$E:$E, 8 + ((COLUMN()-COLUMN($D$74))/2)*7) = "",
         "",
         INDEX('1b. Input productniveau'!$E:$E, 8 + ((COLUMN()-COLUMN($D$74))/2)*7)
      ),
   "")
)</f>
        <v/>
      </c>
      <c r="BW75" s="490" t="str">
        <f ca="1">IF(BV68="","",IFERROR(BW69*BV75,""))</f>
        <v/>
      </c>
      <c r="BX75" s="457" t="str">
        <f ca="1">IF(BX68="","",
   IFERROR(
      IF(
         INDEX('1b. Input productniveau'!$E:$E, 8 + ((COLUMN()-COLUMN($D$74))/2)*7) = "",
         "",
         INDEX('1b. Input productniveau'!$E:$E, 8 + ((COLUMN()-COLUMN($D$74))/2)*7)
      ),
   "")
)</f>
        <v/>
      </c>
      <c r="BY75" s="490" t="str">
        <f ca="1">IF(BX68="","",IFERROR(BY69*BX75,""))</f>
        <v/>
      </c>
      <c r="BZ75" s="457" t="str">
        <f ca="1">IF(BZ68="","",
   IFERROR(
      IF(
         INDEX('1b. Input productniveau'!$E:$E, 8 + ((COLUMN()-COLUMN($D$74))/2)*7) = "",
         "",
         INDEX('1b. Input productniveau'!$E:$E, 8 + ((COLUMN()-COLUMN($D$74))/2)*7)
      ),
   "")
)</f>
        <v/>
      </c>
      <c r="CA75" s="490" t="str">
        <f ca="1">IF(BZ68="","",IFERROR(CA69*BZ75,""))</f>
        <v/>
      </c>
      <c r="CB75" s="457" t="str">
        <f ca="1">IF(CB68="","",
   IFERROR(
      IF(
         INDEX('1b. Input productniveau'!$E:$E, 8 + ((COLUMN()-COLUMN($D$74))/2)*7) = "",
         "",
         INDEX('1b. Input productniveau'!$E:$E, 8 + ((COLUMN()-COLUMN($D$74))/2)*7)
      ),
   "")
)</f>
        <v/>
      </c>
      <c r="CC75" s="490" t="str">
        <f ca="1">IF(CB68="","",IFERROR(CC69*CB75,""))</f>
        <v/>
      </c>
      <c r="CD75" s="457" t="str">
        <f ca="1">IF(CD68="","",
   IFERROR(
      IF(
         INDEX('1b. Input productniveau'!$E:$E, 8 + ((COLUMN()-COLUMN($D$74))/2)*7) = "",
         "",
         INDEX('1b. Input productniveau'!$E:$E, 8 + ((COLUMN()-COLUMN($D$74))/2)*7)
      ),
   "")
)</f>
        <v/>
      </c>
      <c r="CE75" s="490" t="str">
        <f ca="1">IF(CD68="","",IFERROR(CE69*CD75,""))</f>
        <v/>
      </c>
      <c r="CF75" s="320"/>
      <c r="CG75" s="289"/>
      <c r="CH75" s="289"/>
      <c r="CI75" s="289"/>
      <c r="CJ75" s="289"/>
      <c r="CK75" s="289"/>
      <c r="CL75" s="289"/>
      <c r="CM75" s="289"/>
      <c r="CN75" s="289"/>
      <c r="CO75" s="289"/>
      <c r="CP75" s="289"/>
      <c r="CQ75" s="289"/>
      <c r="CR75" s="289"/>
      <c r="CS75" s="289"/>
      <c r="CT75" s="289"/>
      <c r="CU75" s="289"/>
      <c r="CV75" s="289"/>
      <c r="CW75" s="289"/>
      <c r="CX75" s="289"/>
      <c r="CY75" s="289"/>
      <c r="CZ75" s="289"/>
    </row>
    <row r="76" spans="1:104" x14ac:dyDescent="0.45">
      <c r="A76" s="289"/>
      <c r="B76" s="432" t="s">
        <v>49</v>
      </c>
      <c r="C76" s="448"/>
      <c r="D76" s="457" t="str">
        <f ca="1">IF(D68="","",
   IF(IF(
  OR(
    INDEX('1a. Input organisatieniveau'!$AC:$AC, 7+ (COLUMN(A13) - 1)*0.5) = "",
    INDEX('1a. Input organisatieniveau'!$AC:$AC, 7 + (COLUMN(A13) - 1)*0.5) = 0
  ),
  "",
  INDEX('1a. Input organisatieniveau'!$AC:$AC, 7 + (COLUMN(A13) - 1)*0.5)
)&lt;&gt;"Ambulant","",
IFERROR(
      IF(
         INDEX('1b. Input productniveau'!$E:$E, 9+ ((COLUMN()-COLUMN($D$76))/2)*7) = "",
         "",
         INDEX('1b. Input productniveau'!$E:$E, 9 + ((COLUMN()-COLUMN($D$76))/2)*7)
      ),
   ""))
)</f>
        <v/>
      </c>
      <c r="E76" s="490" t="str">
        <f ca="1">IF(D68="","",IFERROR(E69*D76,""))</f>
        <v/>
      </c>
      <c r="F76" s="457" t="str">
        <f ca="1">IF(F68="","",
   IF(IF(
  OR(
    INDEX('1a. Input organisatieniveau'!$AC:$AC, 7+ (COLUMN(C13) - 1)*0.5) = "",
    INDEX('1a. Input organisatieniveau'!$AC:$AC, 7 + (COLUMN(C13) - 1)*0.5) = 0
  ),
  "",
  INDEX('1a. Input organisatieniveau'!$AC:$AC, 7 + (COLUMN(C13) - 1)*0.5)
)&lt;&gt;"Ambulant","",
IFERROR(
      IF(
         INDEX('1b. Input productniveau'!$E:$E, 9+ ((COLUMN()-COLUMN($D$76))/2)*7) = "",
         "",
         INDEX('1b. Input productniveau'!$E:$E, 9 + ((COLUMN()-COLUMN($D$76))/2)*7)
      ),
   ""))
)</f>
        <v/>
      </c>
      <c r="G76" s="490" t="str">
        <f ca="1">IF(F68="","",IFERROR(G69*F76,""))</f>
        <v/>
      </c>
      <c r="H76" s="457" t="str">
        <f ca="1">IF(H68="","",
   IF(IF(
  OR(
    INDEX('1a. Input organisatieniveau'!$AC:$AC, 7+ (COLUMN(E13) - 1)*0.5) = "",
    INDEX('1a. Input organisatieniveau'!$AC:$AC, 7 + (COLUMN(E13) - 1)*0.5) = 0
  ),
  "",
  INDEX('1a. Input organisatieniveau'!$AC:$AC, 7 + (COLUMN(E13) - 1)*0.5)
)&lt;&gt;"Ambulant","",
IFERROR(
      IF(
         INDEX('1b. Input productniveau'!$E:$E, 9+ ((COLUMN()-COLUMN($D$76))/2)*7) = "",
         "",
         INDEX('1b. Input productniveau'!$E:$E, 9 + ((COLUMN()-COLUMN($D$76))/2)*7)
      ),
   ""))
)</f>
        <v/>
      </c>
      <c r="I76" s="490" t="str">
        <f ca="1">IF(H68="","",IFERROR(I69*H76,""))</f>
        <v/>
      </c>
      <c r="J76" s="457" t="str">
        <f ca="1">IF(J68="","",
   IF(IF(
  OR(
    INDEX('1a. Input organisatieniveau'!$AC:$AC, 7+ (COLUMN(G13) - 1)*0.5) = "",
    INDEX('1a. Input organisatieniveau'!$AC:$AC, 7 + (COLUMN(G13) - 1)*0.5) = 0
  ),
  "",
  INDEX('1a. Input organisatieniveau'!$AC:$AC, 7 + (COLUMN(G13) - 1)*0.5)
)&lt;&gt;"Ambulant","",
IFERROR(
      IF(
         INDEX('1b. Input productniveau'!$E:$E, 9+ ((COLUMN()-COLUMN($D$76))/2)*7) = "",
         "",
         INDEX('1b. Input productniveau'!$E:$E, 9 + ((COLUMN()-COLUMN($D$76))/2)*7)
      ),
   ""))
)</f>
        <v/>
      </c>
      <c r="K76" s="490" t="str">
        <f ca="1">IF(J68="","",IFERROR(K69*J76,""))</f>
        <v/>
      </c>
      <c r="L76" s="457" t="str">
        <f ca="1">IF(L68="","",
   IF(IF(
  OR(
    INDEX('1a. Input organisatieniveau'!$AC:$AC, 7+ (COLUMN(I13) - 1)*0.5) = "",
    INDEX('1a. Input organisatieniveau'!$AC:$AC, 7 + (COLUMN(I13) - 1)*0.5) = 0
  ),
  "",
  INDEX('1a. Input organisatieniveau'!$AC:$AC, 7 + (COLUMN(I13) - 1)*0.5)
)&lt;&gt;"Ambulant","",
IFERROR(
      IF(
         INDEX('1b. Input productniveau'!$E:$E, 9+ ((COLUMN()-COLUMN($D$76))/2)*7) = "",
         "",
         INDEX('1b. Input productniveau'!$E:$E, 9 + ((COLUMN()-COLUMN($D$76))/2)*7)
      ),
   ""))
)</f>
        <v/>
      </c>
      <c r="M76" s="490" t="str">
        <f ca="1">IF(L68="","",IFERROR(M69*L76,""))</f>
        <v/>
      </c>
      <c r="N76" s="457" t="str">
        <f ca="1">IF(N68="","",
   IF(IF(
  OR(
    INDEX('1a. Input organisatieniveau'!$AC:$AC, 7+ (COLUMN(K13) - 1)*0.5) = "",
    INDEX('1a. Input organisatieniveau'!$AC:$AC, 7 + (COLUMN(K13) - 1)*0.5) = 0
  ),
  "",
  INDEX('1a. Input organisatieniveau'!$AC:$AC, 7 + (COLUMN(K13) - 1)*0.5)
)&lt;&gt;"Ambulant","",
IFERROR(
      IF(
         INDEX('1b. Input productniveau'!$E:$E, 9+ ((COLUMN()-COLUMN($D$76))/2)*7) = "",
         "",
         INDEX('1b. Input productniveau'!$E:$E, 9 + ((COLUMN()-COLUMN($D$76))/2)*7)
      ),
   ""))
)</f>
        <v/>
      </c>
      <c r="O76" s="490" t="str">
        <f ca="1">IF(N68="","",IFERROR(O69*N76,""))</f>
        <v/>
      </c>
      <c r="P76" s="457" t="str">
        <f ca="1">IF(P68="","",
   IF(IF(
  OR(
    INDEX('1a. Input organisatieniveau'!$AC:$AC, 7+ (COLUMN(M13) - 1)*0.5) = "",
    INDEX('1a. Input organisatieniveau'!$AC:$AC, 7 + (COLUMN(M13) - 1)*0.5) = 0
  ),
  "",
  INDEX('1a. Input organisatieniveau'!$AC:$AC, 7 + (COLUMN(M13) - 1)*0.5)
)&lt;&gt;"Ambulant","",
IFERROR(
      IF(
         INDEX('1b. Input productniveau'!$E:$E, 9+ ((COLUMN()-COLUMN($D$76))/2)*7) = "",
         "",
         INDEX('1b. Input productniveau'!$E:$E, 9 + ((COLUMN()-COLUMN($D$76))/2)*7)
      ),
   ""))
)</f>
        <v/>
      </c>
      <c r="Q76" s="490" t="str">
        <f ca="1">IF(P68="","",IFERROR(Q69*P76,""))</f>
        <v/>
      </c>
      <c r="R76" s="457" t="str">
        <f ca="1">IF(R68="","",
   IF(IF(
  OR(
    INDEX('1a. Input organisatieniveau'!$AC:$AC, 7+ (COLUMN(O13) - 1)*0.5) = "",
    INDEX('1a. Input organisatieniveau'!$AC:$AC, 7 + (COLUMN(O13) - 1)*0.5) = 0
  ),
  "",
  INDEX('1a. Input organisatieniveau'!$AC:$AC, 7 + (COLUMN(O13) - 1)*0.5)
)&lt;&gt;"Ambulant","",
IFERROR(
      IF(
         INDEX('1b. Input productniveau'!$E:$E, 9+ ((COLUMN()-COLUMN($D$76))/2)*7) = "",
         "",
         INDEX('1b. Input productniveau'!$E:$E, 9 + ((COLUMN()-COLUMN($D$76))/2)*7)
      ),
   ""))
)</f>
        <v/>
      </c>
      <c r="S76" s="490" t="str">
        <f ca="1">IF(R68="","",IFERROR(S69*R76,""))</f>
        <v/>
      </c>
      <c r="T76" s="457" t="str">
        <f ca="1">IF(T68="","",
   IF(IF(
  OR(
    INDEX('1a. Input organisatieniveau'!$AC:$AC, 7+ (COLUMN(Q13) - 1)*0.5) = "",
    INDEX('1a. Input organisatieniveau'!$AC:$AC, 7 + (COLUMN(Q13) - 1)*0.5) = 0
  ),
  "",
  INDEX('1a. Input organisatieniveau'!$AC:$AC, 7 + (COLUMN(Q13) - 1)*0.5)
)&lt;&gt;"Ambulant","",
IFERROR(
      IF(
         INDEX('1b. Input productniveau'!$E:$E, 9+ ((COLUMN()-COLUMN($D$76))/2)*7) = "",
         "",
         INDEX('1b. Input productniveau'!$E:$E, 9 + ((COLUMN()-COLUMN($D$76))/2)*7)
      ),
   ""))
)</f>
        <v/>
      </c>
      <c r="U76" s="490" t="str">
        <f ca="1">IF(T68="","",IFERROR(U69*T76,""))</f>
        <v/>
      </c>
      <c r="V76" s="457" t="str">
        <f ca="1">IF(V68="","",
   IF(IF(
  OR(
    INDEX('1a. Input organisatieniveau'!$AC:$AC, 7+ (COLUMN(S13) - 1)*0.5) = "",
    INDEX('1a. Input organisatieniveau'!$AC:$AC, 7 + (COLUMN(S13) - 1)*0.5) = 0
  ),
  "",
  INDEX('1a. Input organisatieniveau'!$AC:$AC, 7 + (COLUMN(S13) - 1)*0.5)
)&lt;&gt;"Ambulant","",
IFERROR(
      IF(
         INDEX('1b. Input productniveau'!$E:$E, 9+ ((COLUMN()-COLUMN($D$76))/2)*7) = "",
         "",
         INDEX('1b. Input productniveau'!$E:$E, 9 + ((COLUMN()-COLUMN($D$76))/2)*7)
      ),
   ""))
)</f>
        <v/>
      </c>
      <c r="W76" s="490" t="str">
        <f ca="1">IF(V68="","",IFERROR(W69*V76,""))</f>
        <v/>
      </c>
      <c r="X76" s="457" t="str">
        <f ca="1">IF(X68="","",
   IF(IF(
  OR(
    INDEX('1a. Input organisatieniveau'!$AC:$AC, 7+ (COLUMN(U13) - 1)*0.5) = "",
    INDEX('1a. Input organisatieniveau'!$AC:$AC, 7 + (COLUMN(U13) - 1)*0.5) = 0
  ),
  "",
  INDEX('1a. Input organisatieniveau'!$AC:$AC, 7 + (COLUMN(U13) - 1)*0.5)
)&lt;&gt;"Ambulant","",
IFERROR(
      IF(
         INDEX('1b. Input productniveau'!$E:$E, 9+ ((COLUMN()-COLUMN($D$76))/2)*7) = "",
         "",
         INDEX('1b. Input productniveau'!$E:$E, 9 + ((COLUMN()-COLUMN($D$76))/2)*7)
      ),
   ""))
)</f>
        <v/>
      </c>
      <c r="Y76" s="490" t="str">
        <f ca="1">IF(X68="","",IFERROR(Y69*X76,""))</f>
        <v/>
      </c>
      <c r="Z76" s="457" t="str">
        <f ca="1">IF(Z68="","",
   IF(IF(
  OR(
    INDEX('1a. Input organisatieniveau'!$AC:$AC, 7+ (COLUMN(W13) - 1)*0.5) = "",
    INDEX('1a. Input organisatieniveau'!$AC:$AC, 7 + (COLUMN(W13) - 1)*0.5) = 0
  ),
  "",
  INDEX('1a. Input organisatieniveau'!$AC:$AC, 7 + (COLUMN(W13) - 1)*0.5)
)&lt;&gt;"Ambulant","",
IFERROR(
      IF(
         INDEX('1b. Input productniveau'!$E:$E, 9+ ((COLUMN()-COLUMN($D$76))/2)*7) = "",
         "",
         INDEX('1b. Input productniveau'!$E:$E, 9 + ((COLUMN()-COLUMN($D$76))/2)*7)
      ),
   ""))
)</f>
        <v/>
      </c>
      <c r="AA76" s="490" t="str">
        <f ca="1">IF(Z68="","",IFERROR(AA69*Z76,""))</f>
        <v/>
      </c>
      <c r="AB76" s="457" t="str">
        <f ca="1">IF(AB68="","",
   IF(IF(
  OR(
    INDEX('1a. Input organisatieniveau'!$AC:$AC, 7+ (COLUMN(Y13) - 1)*0.5) = "",
    INDEX('1a. Input organisatieniveau'!$AC:$AC, 7 + (COLUMN(Y13) - 1)*0.5) = 0
  ),
  "",
  INDEX('1a. Input organisatieniveau'!$AC:$AC, 7 + (COLUMN(Y13) - 1)*0.5)
)&lt;&gt;"Ambulant","",
IFERROR(
      IF(
         INDEX('1b. Input productniveau'!$E:$E, 9+ ((COLUMN()-COLUMN($D$76))/2)*7) = "",
         "",
         INDEX('1b. Input productniveau'!$E:$E, 9 + ((COLUMN()-COLUMN($D$76))/2)*7)
      ),
   ""))
)</f>
        <v/>
      </c>
      <c r="AC76" s="490" t="str">
        <f ca="1">IF(AB68="","",IFERROR(AC69*AB76,""))</f>
        <v/>
      </c>
      <c r="AD76" s="457" t="str">
        <f ca="1">IF(AD68="","",
   IF(IF(
  OR(
    INDEX('1a. Input organisatieniveau'!$AC:$AC, 7+ (COLUMN(AA13) - 1)*0.5) = "",
    INDEX('1a. Input organisatieniveau'!$AC:$AC, 7 + (COLUMN(AA13) - 1)*0.5) = 0
  ),
  "",
  INDEX('1a. Input organisatieniveau'!$AC:$AC, 7 + (COLUMN(AA13) - 1)*0.5)
)&lt;&gt;"Ambulant","",
IFERROR(
      IF(
         INDEX('1b. Input productniveau'!$E:$E, 9+ ((COLUMN()-COLUMN($D$76))/2)*7) = "",
         "",
         INDEX('1b. Input productniveau'!$E:$E, 9 + ((COLUMN()-COLUMN($D$76))/2)*7)
      ),
   ""))
)</f>
        <v/>
      </c>
      <c r="AE76" s="490" t="str">
        <f ca="1">IF(AD68="","",IFERROR(AE69*AD76,""))</f>
        <v/>
      </c>
      <c r="AF76" s="457" t="str">
        <f ca="1">IF(AF68="","",
   IF(IF(
  OR(
    INDEX('1a. Input organisatieniveau'!$AC:$AC, 7+ (COLUMN(AC13) - 1)*0.5) = "",
    INDEX('1a. Input organisatieniveau'!$AC:$AC, 7 + (COLUMN(AC13) - 1)*0.5) = 0
  ),
  "",
  INDEX('1a. Input organisatieniveau'!$AC:$AC, 7 + (COLUMN(AC13) - 1)*0.5)
)&lt;&gt;"Ambulant","",
IFERROR(
      IF(
         INDEX('1b. Input productniveau'!$E:$E, 9+ ((COLUMN()-COLUMN($D$76))/2)*7) = "",
         "",
         INDEX('1b. Input productniveau'!$E:$E, 9 + ((COLUMN()-COLUMN($D$76))/2)*7)
      ),
   ""))
)</f>
        <v/>
      </c>
      <c r="AG76" s="490" t="str">
        <f ca="1">IF(AF68="","",IFERROR(AG69*AF76,""))</f>
        <v/>
      </c>
      <c r="AH76" s="457" t="str">
        <f ca="1">IF(AH68="","",
   IF(IF(
  OR(
    INDEX('1a. Input organisatieniveau'!$AC:$AC, 7+ (COLUMN(AE13) - 1)*0.5) = "",
    INDEX('1a. Input organisatieniveau'!$AC:$AC, 7 + (COLUMN(AE13) - 1)*0.5) = 0
  ),
  "",
  INDEX('1a. Input organisatieniveau'!$AC:$AC, 7 + (COLUMN(AE13) - 1)*0.5)
)&lt;&gt;"Ambulant","",
IFERROR(
      IF(
         INDEX('1b. Input productniveau'!$E:$E, 9+ ((COLUMN()-COLUMN($D$76))/2)*7) = "",
         "",
         INDEX('1b. Input productniveau'!$E:$E, 9 + ((COLUMN()-COLUMN($D$76))/2)*7)
      ),
   ""))
)</f>
        <v/>
      </c>
      <c r="AI76" s="490" t="str">
        <f ca="1">IF(AH68="","",IFERROR(AI69*AH76,""))</f>
        <v/>
      </c>
      <c r="AJ76" s="457" t="str">
        <f ca="1">IF(AJ68="","",
   IF(IF(
  OR(
    INDEX('1a. Input organisatieniveau'!$AC:$AC, 7+ (COLUMN(AG13) - 1)*0.5) = "",
    INDEX('1a. Input organisatieniveau'!$AC:$AC, 7 + (COLUMN(AG13) - 1)*0.5) = 0
  ),
  "",
  INDEX('1a. Input organisatieniveau'!$AC:$AC, 7 + (COLUMN(AG13) - 1)*0.5)
)&lt;&gt;"Ambulant","",
IFERROR(
      IF(
         INDEX('1b. Input productniveau'!$E:$E, 9+ ((COLUMN()-COLUMN($D$76))/2)*7) = "",
         "",
         INDEX('1b. Input productniveau'!$E:$E, 9 + ((COLUMN()-COLUMN($D$76))/2)*7)
      ),
   ""))
)</f>
        <v/>
      </c>
      <c r="AK76" s="490" t="str">
        <f ca="1">IF(AJ68="","",IFERROR(AK69*AJ76,""))</f>
        <v/>
      </c>
      <c r="AL76" s="457" t="str">
        <f ca="1">IF(AL68="","",
   IF(IF(
  OR(
    INDEX('1a. Input organisatieniveau'!$AC:$AC, 7+ (COLUMN(AI13) - 1)*0.5) = "",
    INDEX('1a. Input organisatieniveau'!$AC:$AC, 7 + (COLUMN(AI13) - 1)*0.5) = 0
  ),
  "",
  INDEX('1a. Input organisatieniveau'!$AC:$AC, 7 + (COLUMN(AI13) - 1)*0.5)
)&lt;&gt;"Ambulant","",
IFERROR(
      IF(
         INDEX('1b. Input productniveau'!$E:$E, 9+ ((COLUMN()-COLUMN($D$76))/2)*7) = "",
         "",
         INDEX('1b. Input productniveau'!$E:$E, 9 + ((COLUMN()-COLUMN($D$76))/2)*7)
      ),
   ""))
)</f>
        <v/>
      </c>
      <c r="AM76" s="490" t="str">
        <f ca="1">IF(AL68="","",IFERROR(AM69*AL76,""))</f>
        <v/>
      </c>
      <c r="AN76" s="457" t="str">
        <f ca="1">IF(AN68="","",
   IF(IF(
  OR(
    INDEX('1a. Input organisatieniveau'!$AC:$AC, 7+ (COLUMN(AK13) - 1)*0.5) = "",
    INDEX('1a. Input organisatieniveau'!$AC:$AC, 7 + (COLUMN(AK13) - 1)*0.5) = 0
  ),
  "",
  INDEX('1a. Input organisatieniveau'!$AC:$AC, 7 + (COLUMN(AK13) - 1)*0.5)
)&lt;&gt;"Ambulant","",
IFERROR(
      IF(
         INDEX('1b. Input productniveau'!$E:$E, 9+ ((COLUMN()-COLUMN($D$76))/2)*7) = "",
         "",
         INDEX('1b. Input productniveau'!$E:$E, 9 + ((COLUMN()-COLUMN($D$76))/2)*7)
      ),
   ""))
)</f>
        <v/>
      </c>
      <c r="AO76" s="490" t="str">
        <f ca="1">IF(AN68="","",IFERROR(AO69*AN76,""))</f>
        <v/>
      </c>
      <c r="AP76" s="457" t="str">
        <f ca="1">IF(AP68="","",
   IF(IF(
  OR(
    INDEX('1a. Input organisatieniveau'!$AC:$AC, 7+ (COLUMN(AM13) - 1)*0.5) = "",
    INDEX('1a. Input organisatieniveau'!$AC:$AC, 7 + (COLUMN(AM13) - 1)*0.5) = 0
  ),
  "",
  INDEX('1a. Input organisatieniveau'!$AC:$AC, 7 + (COLUMN(AM13) - 1)*0.5)
)&lt;&gt;"Ambulant","",
IFERROR(
      IF(
         INDEX('1b. Input productniveau'!$E:$E, 9+ ((COLUMN()-COLUMN($D$76))/2)*7) = "",
         "",
         INDEX('1b. Input productniveau'!$E:$E, 9 + ((COLUMN()-COLUMN($D$76))/2)*7)
      ),
   ""))
)</f>
        <v/>
      </c>
      <c r="AQ76" s="490" t="str">
        <f ca="1">IF(AP68="","",IFERROR(AQ69*AP76,""))</f>
        <v/>
      </c>
      <c r="AR76" s="457" t="str">
        <f ca="1">IF(AR68="","",
   IF(IF(
  OR(
    INDEX('1a. Input organisatieniveau'!$AC:$AC, 7+ (COLUMN(AO13) - 1)*0.5) = "",
    INDEX('1a. Input organisatieniveau'!$AC:$AC, 7 + (COLUMN(AO13) - 1)*0.5) = 0
  ),
  "",
  INDEX('1a. Input organisatieniveau'!$AC:$AC, 7 + (COLUMN(AO13) - 1)*0.5)
)&lt;&gt;"Ambulant","",
IFERROR(
      IF(
         INDEX('1b. Input productniveau'!$E:$E, 9+ ((COLUMN()-COLUMN($D$76))/2)*7) = "",
         "",
         INDEX('1b. Input productniveau'!$E:$E, 9 + ((COLUMN()-COLUMN($D$76))/2)*7)
      ),
   ""))
)</f>
        <v/>
      </c>
      <c r="AS76" s="490" t="str">
        <f ca="1">IF(AR68="","",IFERROR(AS69*AR76,""))</f>
        <v/>
      </c>
      <c r="AT76" s="457" t="str">
        <f ca="1">IF(AT68="","",
   IF(IF(
  OR(
    INDEX('1a. Input organisatieniveau'!$AC:$AC, 7+ (COLUMN(AQ13) - 1)*0.5) = "",
    INDEX('1a. Input organisatieniveau'!$AC:$AC, 7 + (COLUMN(AQ13) - 1)*0.5) = 0
  ),
  "",
  INDEX('1a. Input organisatieniveau'!$AC:$AC, 7 + (COLUMN(AQ13) - 1)*0.5)
)&lt;&gt;"Ambulant","",
IFERROR(
      IF(
         INDEX('1b. Input productniveau'!$E:$E, 9+ ((COLUMN()-COLUMN($D$76))/2)*7) = "",
         "",
         INDEX('1b. Input productniveau'!$E:$E, 9 + ((COLUMN()-COLUMN($D$76))/2)*7)
      ),
   ""))
)</f>
        <v/>
      </c>
      <c r="AU76" s="490" t="str">
        <f ca="1">IF(AT68="","",IFERROR(AU69*AT76,""))</f>
        <v/>
      </c>
      <c r="AV76" s="457" t="str">
        <f ca="1">IF(AV68="","",
   IF(IF(
  OR(
    INDEX('1a. Input organisatieniveau'!$AC:$AC, 7+ (COLUMN(AS13) - 1)*0.5) = "",
    INDEX('1a. Input organisatieniveau'!$AC:$AC, 7 + (COLUMN(AS13) - 1)*0.5) = 0
  ),
  "",
  INDEX('1a. Input organisatieniveau'!$AC:$AC, 7 + (COLUMN(AS13) - 1)*0.5)
)&lt;&gt;"Ambulant","",
IFERROR(
      IF(
         INDEX('1b. Input productniveau'!$E:$E, 9+ ((COLUMN()-COLUMN($D$76))/2)*7) = "",
         "",
         INDEX('1b. Input productniveau'!$E:$E, 9 + ((COLUMN()-COLUMN($D$76))/2)*7)
      ),
   ""))
)</f>
        <v/>
      </c>
      <c r="AW76" s="490" t="str">
        <f ca="1">IF(AV68="","",IFERROR(AW69*AV76,""))</f>
        <v/>
      </c>
      <c r="AX76" s="457" t="str">
        <f ca="1">IF(AX68="","",
   IF(IF(
  OR(
    INDEX('1a. Input organisatieniveau'!$AC:$AC, 7+ (COLUMN(AU13) - 1)*0.5) = "",
    INDEX('1a. Input organisatieniveau'!$AC:$AC, 7 + (COLUMN(AU13) - 1)*0.5) = 0
  ),
  "",
  INDEX('1a. Input organisatieniveau'!$AC:$AC, 7 + (COLUMN(AU13) - 1)*0.5)
)&lt;&gt;"Ambulant","",
IFERROR(
      IF(
         INDEX('1b. Input productniveau'!$E:$E, 9+ ((COLUMN()-COLUMN($D$76))/2)*7) = "",
         "",
         INDEX('1b. Input productniveau'!$E:$E, 9 + ((COLUMN()-COLUMN($D$76))/2)*7)
      ),
   ""))
)</f>
        <v/>
      </c>
      <c r="AY76" s="490" t="str">
        <f ca="1">IF(AX68="","",IFERROR(AY69*AX76,""))</f>
        <v/>
      </c>
      <c r="AZ76" s="457" t="str">
        <f ca="1">IF(AZ68="","",
   IF(IF(
  OR(
    INDEX('1a. Input organisatieniveau'!$AC:$AC, 7+ (COLUMN(AW13) - 1)*0.5) = "",
    INDEX('1a. Input organisatieniveau'!$AC:$AC, 7 + (COLUMN(AW13) - 1)*0.5) = 0
  ),
  "",
  INDEX('1a. Input organisatieniveau'!$AC:$AC, 7 + (COLUMN(AW13) - 1)*0.5)
)&lt;&gt;"Ambulant","",
IFERROR(
      IF(
         INDEX('1b. Input productniveau'!$E:$E, 9+ ((COLUMN()-COLUMN($D$76))/2)*7) = "",
         "",
         INDEX('1b. Input productniveau'!$E:$E, 9 + ((COLUMN()-COLUMN($D$76))/2)*7)
      ),
   ""))
)</f>
        <v/>
      </c>
      <c r="BA76" s="490" t="str">
        <f ca="1">IF(AZ68="","",IFERROR(BA69*AZ76,""))</f>
        <v/>
      </c>
      <c r="BB76" s="457" t="str">
        <f ca="1">IF(BB68="","",
   IF(IF(
  OR(
    INDEX('1a. Input organisatieniveau'!$AC:$AC, 7+ (COLUMN(AY13) - 1)*0.5) = "",
    INDEX('1a. Input organisatieniveau'!$AC:$AC, 7 + (COLUMN(AY13) - 1)*0.5) = 0
  ),
  "",
  INDEX('1a. Input organisatieniveau'!$AC:$AC, 7 + (COLUMN(AY13) - 1)*0.5)
)&lt;&gt;"Ambulant","",
IFERROR(
      IF(
         INDEX('1b. Input productniveau'!$E:$E, 9+ ((COLUMN()-COLUMN($D$76))/2)*7) = "",
         "",
         INDEX('1b. Input productniveau'!$E:$E, 9 + ((COLUMN()-COLUMN($D$76))/2)*7)
      ),
   ""))
)</f>
        <v/>
      </c>
      <c r="BC76" s="490" t="str">
        <f ca="1">IF(BB68="","",IFERROR(BC69*BB76,""))</f>
        <v/>
      </c>
      <c r="BD76" s="457" t="str">
        <f ca="1">IF(BD68="","",
   IF(IF(
  OR(
    INDEX('1a. Input organisatieniveau'!$AC:$AC, 7+ (COLUMN(BA13) - 1)*0.5) = "",
    INDEX('1a. Input organisatieniveau'!$AC:$AC, 7 + (COLUMN(BA13) - 1)*0.5) = 0
  ),
  "",
  INDEX('1a. Input organisatieniveau'!$AC:$AC, 7 + (COLUMN(BA13) - 1)*0.5)
)&lt;&gt;"Ambulant","",
IFERROR(
      IF(
         INDEX('1b. Input productniveau'!$E:$E, 9+ ((COLUMN()-COLUMN($D$76))/2)*7) = "",
         "",
         INDEX('1b. Input productniveau'!$E:$E, 9 + ((COLUMN()-COLUMN($D$76))/2)*7)
      ),
   ""))
)</f>
        <v/>
      </c>
      <c r="BE76" s="490" t="str">
        <f ca="1">IF(BD68="","",IFERROR(BE69*BD76,""))</f>
        <v/>
      </c>
      <c r="BF76" s="457" t="str">
        <f ca="1">IF(BF68="","",
   IF(IF(
  OR(
    INDEX('1a. Input organisatieniveau'!$AC:$AC, 7+ (COLUMN(BC13) - 1)*0.5) = "",
    INDEX('1a. Input organisatieniveau'!$AC:$AC, 7 + (COLUMN(BC13) - 1)*0.5) = 0
  ),
  "",
  INDEX('1a. Input organisatieniveau'!$AC:$AC, 7 + (COLUMN(BC13) - 1)*0.5)
)&lt;&gt;"Ambulant","",
IFERROR(
      IF(
         INDEX('1b. Input productniveau'!$E:$E, 9+ ((COLUMN()-COLUMN($D$76))/2)*7) = "",
         "",
         INDEX('1b. Input productniveau'!$E:$E, 9 + ((COLUMN()-COLUMN($D$76))/2)*7)
      ),
   ""))
)</f>
        <v/>
      </c>
      <c r="BG76" s="490" t="str">
        <f ca="1">IF(BF68="","",IFERROR(BG69*BF76,""))</f>
        <v/>
      </c>
      <c r="BH76" s="457" t="str">
        <f ca="1">IF(BH68="","",
   IF(IF(
  OR(
    INDEX('1a. Input organisatieniveau'!$AC:$AC, 7+ (COLUMN(BE13) - 1)*0.5) = "",
    INDEX('1a. Input organisatieniveau'!$AC:$AC, 7 + (COLUMN(BE13) - 1)*0.5) = 0
  ),
  "",
  INDEX('1a. Input organisatieniveau'!$AC:$AC, 7 + (COLUMN(BE13) - 1)*0.5)
)&lt;&gt;"Ambulant","",
IFERROR(
      IF(
         INDEX('1b. Input productniveau'!$E:$E, 9+ ((COLUMN()-COLUMN($D$76))/2)*7) = "",
         "",
         INDEX('1b. Input productniveau'!$E:$E, 9 + ((COLUMN()-COLUMN($D$76))/2)*7)
      ),
   ""))
)</f>
        <v/>
      </c>
      <c r="BI76" s="490" t="str">
        <f ca="1">IF(BH68="","",IFERROR(BI69*BH76,""))</f>
        <v/>
      </c>
      <c r="BJ76" s="457" t="str">
        <f ca="1">IF(BJ68="","",
   IF(IF(
  OR(
    INDEX('1a. Input organisatieniveau'!$AC:$AC, 7+ (COLUMN(BG13) - 1)*0.5) = "",
    INDEX('1a. Input organisatieniveau'!$AC:$AC, 7 + (COLUMN(BG13) - 1)*0.5) = 0
  ),
  "",
  INDEX('1a. Input organisatieniveau'!$AC:$AC, 7 + (COLUMN(BG13) - 1)*0.5)
)&lt;&gt;"Ambulant","",
IFERROR(
      IF(
         INDEX('1b. Input productniveau'!$E:$E, 9+ ((COLUMN()-COLUMN($D$76))/2)*7) = "",
         "",
         INDEX('1b. Input productniveau'!$E:$E, 9 + ((COLUMN()-COLUMN($D$76))/2)*7)
      ),
   ""))
)</f>
        <v/>
      </c>
      <c r="BK76" s="490" t="str">
        <f ca="1">IF(BJ68="","",IFERROR(BK69*BJ76,""))</f>
        <v/>
      </c>
      <c r="BL76" s="457" t="str">
        <f ca="1">IF(BL68="","",
   IF(IF(
  OR(
    INDEX('1a. Input organisatieniveau'!$AC:$AC, 7+ (COLUMN(BI13) - 1)*0.5) = "",
    INDEX('1a. Input organisatieniveau'!$AC:$AC, 7 + (COLUMN(BI13) - 1)*0.5) = 0
  ),
  "",
  INDEX('1a. Input organisatieniveau'!$AC:$AC, 7 + (COLUMN(BI13) - 1)*0.5)
)&lt;&gt;"Ambulant","",
IFERROR(
      IF(
         INDEX('1b. Input productniveau'!$E:$E, 9+ ((COLUMN()-COLUMN($D$76))/2)*7) = "",
         "",
         INDEX('1b. Input productniveau'!$E:$E, 9 + ((COLUMN()-COLUMN($D$76))/2)*7)
      ),
   ""))
)</f>
        <v/>
      </c>
      <c r="BM76" s="490" t="str">
        <f ca="1">IF(BL68="","",IFERROR(BM69*BL76,""))</f>
        <v/>
      </c>
      <c r="BN76" s="457" t="str">
        <f ca="1">IF(BN68="","",
   IF(IF(
  OR(
    INDEX('1a. Input organisatieniveau'!$AC:$AC, 7+ (COLUMN(BK13) - 1)*0.5) = "",
    INDEX('1a. Input organisatieniveau'!$AC:$AC, 7 + (COLUMN(BK13) - 1)*0.5) = 0
  ),
  "",
  INDEX('1a. Input organisatieniveau'!$AC:$AC, 7 + (COLUMN(BK13) - 1)*0.5)
)&lt;&gt;"Ambulant","",
IFERROR(
      IF(
         INDEX('1b. Input productniveau'!$E:$E, 9+ ((COLUMN()-COLUMN($D$76))/2)*7) = "",
         "",
         INDEX('1b. Input productniveau'!$E:$E, 9 + ((COLUMN()-COLUMN($D$76))/2)*7)
      ),
   ""))
)</f>
        <v/>
      </c>
      <c r="BO76" s="490" t="str">
        <f ca="1">IF(BN68="","",IFERROR(BO69*BN76,""))</f>
        <v/>
      </c>
      <c r="BP76" s="457" t="str">
        <f ca="1">IF(BP68="","",
   IF(IF(
  OR(
    INDEX('1a. Input organisatieniveau'!$AC:$AC, 7+ (COLUMN(BM13) - 1)*0.5) = "",
    INDEX('1a. Input organisatieniveau'!$AC:$AC, 7 + (COLUMN(BM13) - 1)*0.5) = 0
  ),
  "",
  INDEX('1a. Input organisatieniveau'!$AC:$AC, 7 + (COLUMN(BM13) - 1)*0.5)
)&lt;&gt;"Ambulant","",
IFERROR(
      IF(
         INDEX('1b. Input productniveau'!$E:$E, 9+ ((COLUMN()-COLUMN($D$76))/2)*7) = "",
         "",
         INDEX('1b. Input productniveau'!$E:$E, 9 + ((COLUMN()-COLUMN($D$76))/2)*7)
      ),
   ""))
)</f>
        <v/>
      </c>
      <c r="BQ76" s="490" t="str">
        <f ca="1">IF(BP68="","",IFERROR(BQ69*BP76,""))</f>
        <v/>
      </c>
      <c r="BR76" s="457" t="str">
        <f ca="1">IF(BR68="","",
   IF(IF(
  OR(
    INDEX('1a. Input organisatieniveau'!$AC:$AC, 7+ (COLUMN(BO13) - 1)*0.5) = "",
    INDEX('1a. Input organisatieniveau'!$AC:$AC, 7 + (COLUMN(BO13) - 1)*0.5) = 0
  ),
  "",
  INDEX('1a. Input organisatieniveau'!$AC:$AC, 7 + (COLUMN(BO13) - 1)*0.5)
)&lt;&gt;"Ambulant","",
IFERROR(
      IF(
         INDEX('1b. Input productniveau'!$E:$E, 9+ ((COLUMN()-COLUMN($D$76))/2)*7) = "",
         "",
         INDEX('1b. Input productniveau'!$E:$E, 9 + ((COLUMN()-COLUMN($D$76))/2)*7)
      ),
   ""))
)</f>
        <v/>
      </c>
      <c r="BS76" s="490" t="str">
        <f ca="1">IF(BR68="","",IFERROR(BS69*BR76,""))</f>
        <v/>
      </c>
      <c r="BT76" s="457" t="str">
        <f ca="1">IF(BT68="","",
   IF(IF(
  OR(
    INDEX('1a. Input organisatieniveau'!$AC:$AC, 7+ (COLUMN(BQ13) - 1)*0.5) = "",
    INDEX('1a. Input organisatieniveau'!$AC:$AC, 7 + (COLUMN(BQ13) - 1)*0.5) = 0
  ),
  "",
  INDEX('1a. Input organisatieniveau'!$AC:$AC, 7 + (COLUMN(BQ13) - 1)*0.5)
)&lt;&gt;"Ambulant","",
IFERROR(
      IF(
         INDEX('1b. Input productniveau'!$E:$E, 9+ ((COLUMN()-COLUMN($D$76))/2)*7) = "",
         "",
         INDEX('1b. Input productniveau'!$E:$E, 9 + ((COLUMN()-COLUMN($D$76))/2)*7)
      ),
   ""))
)</f>
        <v/>
      </c>
      <c r="BU76" s="490" t="str">
        <f ca="1">IF(BT68="","",IFERROR(BU69*BT76,""))</f>
        <v/>
      </c>
      <c r="BV76" s="457" t="str">
        <f ca="1">IF(BV68="","",
   IF(IF(
  OR(
    INDEX('1a. Input organisatieniveau'!$AC:$AC, 7+ (COLUMN(BS13) - 1)*0.5) = "",
    INDEX('1a. Input organisatieniveau'!$AC:$AC, 7 + (COLUMN(BS13) - 1)*0.5) = 0
  ),
  "",
  INDEX('1a. Input organisatieniveau'!$AC:$AC, 7 + (COLUMN(BS13) - 1)*0.5)
)&lt;&gt;"Ambulant","",
IFERROR(
      IF(
         INDEX('1b. Input productniveau'!$E:$E, 9+ ((COLUMN()-COLUMN($D$76))/2)*7) = "",
         "",
         INDEX('1b. Input productniveau'!$E:$E, 9 + ((COLUMN()-COLUMN($D$76))/2)*7)
      ),
   ""))
)</f>
        <v/>
      </c>
      <c r="BW76" s="490" t="str">
        <f ca="1">IF(BV68="","",IFERROR(BW69*BV76,""))</f>
        <v/>
      </c>
      <c r="BX76" s="457" t="str">
        <f ca="1">IF(BX68="","",
   IF(IF(
  OR(
    INDEX('1a. Input organisatieniveau'!$AC:$AC, 7+ (COLUMN(BU13) - 1)*0.5) = "",
    INDEX('1a. Input organisatieniveau'!$AC:$AC, 7 + (COLUMN(BU13) - 1)*0.5) = 0
  ),
  "",
  INDEX('1a. Input organisatieniveau'!$AC:$AC, 7 + (COLUMN(BU13) - 1)*0.5)
)&lt;&gt;"Ambulant","",
IFERROR(
      IF(
         INDEX('1b. Input productniveau'!$E:$E, 9+ ((COLUMN()-COLUMN($D$76))/2)*7) = "",
         "",
         INDEX('1b. Input productniveau'!$E:$E, 9 + ((COLUMN()-COLUMN($D$76))/2)*7)
      ),
   ""))
)</f>
        <v/>
      </c>
      <c r="BY76" s="490" t="str">
        <f ca="1">IF(BX68="","",IFERROR(BY69*BX76,""))</f>
        <v/>
      </c>
      <c r="BZ76" s="457" t="str">
        <f ca="1">IF(BZ68="","",
   IF(IF(
  OR(
    INDEX('1a. Input organisatieniveau'!$AC:$AC, 7+ (COLUMN(BW13) - 1)*0.5) = "",
    INDEX('1a. Input organisatieniveau'!$AC:$AC, 7 + (COLUMN(BW13) - 1)*0.5) = 0
  ),
  "",
  INDEX('1a. Input organisatieniveau'!$AC:$AC, 7 + (COLUMN(BW13) - 1)*0.5)
)&lt;&gt;"Ambulant","",
IFERROR(
      IF(
         INDEX('1b. Input productniveau'!$E:$E, 9+ ((COLUMN()-COLUMN($D$76))/2)*7) = "",
         "",
         INDEX('1b. Input productniveau'!$E:$E, 9 + ((COLUMN()-COLUMN($D$76))/2)*7)
      ),
   ""))
)</f>
        <v/>
      </c>
      <c r="CA76" s="490" t="str">
        <f ca="1">IF(BZ68="","",IFERROR(CA69*BZ76,""))</f>
        <v/>
      </c>
      <c r="CB76" s="457" t="str">
        <f ca="1">IF(CB68="","",
   IF(IF(
  OR(
    INDEX('1a. Input organisatieniveau'!$AC:$AC, 7+ (COLUMN(BY13) - 1)*0.5) = "",
    INDEX('1a. Input organisatieniveau'!$AC:$AC, 7 + (COLUMN(BY13) - 1)*0.5) = 0
  ),
  "",
  INDEX('1a. Input organisatieniveau'!$AC:$AC, 7 + (COLUMN(BY13) - 1)*0.5)
)&lt;&gt;"Ambulant","",
IFERROR(
      IF(
         INDEX('1b. Input productniveau'!$E:$E, 9+ ((COLUMN()-COLUMN($D$76))/2)*7) = "",
         "",
         INDEX('1b. Input productniveau'!$E:$E, 9 + ((COLUMN()-COLUMN($D$76))/2)*7)
      ),
   ""))
)</f>
        <v/>
      </c>
      <c r="CC76" s="490" t="str">
        <f ca="1">IF(CB68="","",IFERROR(CC69*CB76,""))</f>
        <v/>
      </c>
      <c r="CD76" s="457" t="str">
        <f ca="1">IF(CD68="","",
   IF(IF(
  OR(
    INDEX('1a. Input organisatieniveau'!$AC:$AC, 7+ (COLUMN(CA13) - 1)*0.5) = "",
    INDEX('1a. Input organisatieniveau'!$AC:$AC, 7 + (COLUMN(CA13) - 1)*0.5) = 0
  ),
  "",
  INDEX('1a. Input organisatieniveau'!$AC:$AC, 7 + (COLUMN(CA13) - 1)*0.5)
)&lt;&gt;"Ambulant","",
IFERROR(
      IF(
         INDEX('1b. Input productniveau'!$E:$E, 9+ ((COLUMN()-COLUMN($D$76))/2)*7) = "",
         "",
         INDEX('1b. Input productniveau'!$E:$E, 9 + ((COLUMN()-COLUMN($D$76))/2)*7)
      ),
   ""))
)</f>
        <v/>
      </c>
      <c r="CE76" s="490" t="str">
        <f ca="1">IF(CD68="","",IFERROR(CE69*CD76,""))</f>
        <v/>
      </c>
      <c r="CF76" s="320"/>
      <c r="CG76" s="289"/>
      <c r="CH76" s="289"/>
      <c r="CI76" s="289"/>
      <c r="CJ76" s="289"/>
      <c r="CK76" s="289"/>
      <c r="CL76" s="289"/>
      <c r="CM76" s="289"/>
      <c r="CN76" s="289"/>
      <c r="CO76" s="289"/>
      <c r="CP76" s="289"/>
      <c r="CQ76" s="289"/>
      <c r="CR76" s="289"/>
      <c r="CS76" s="289"/>
      <c r="CT76" s="289"/>
      <c r="CU76" s="289"/>
      <c r="CV76" s="289"/>
      <c r="CW76" s="289"/>
      <c r="CX76" s="289"/>
      <c r="CY76" s="289"/>
      <c r="CZ76" s="289"/>
    </row>
    <row r="77" spans="1:104" x14ac:dyDescent="0.45">
      <c r="A77" s="289"/>
      <c r="B77" s="392" t="s">
        <v>51</v>
      </c>
      <c r="C77" s="472"/>
      <c r="D77" s="455"/>
      <c r="E77" s="491" t="str">
        <f ca="1">IF(D68="","",E69-(SUM(E70:E73) + IF(Initialisatie!$C$6&lt;&gt;"Ja", SUM(E74), 0) + SUM(E75:E76)))</f>
        <v/>
      </c>
      <c r="F77" s="455"/>
      <c r="G77" s="491" t="str">
        <f ca="1">IF(F68="","",G69-(SUM(G70:G73) + IF(Initialisatie!$C$6&lt;&gt;"Ja", SUM(G74), 0) + SUM(G75:G76)))</f>
        <v/>
      </c>
      <c r="H77" s="455"/>
      <c r="I77" s="491" t="str">
        <f ca="1">IF(H68="","",I69-(SUM(I70:I73) + IF(Initialisatie!$C$6&lt;&gt;"Ja", SUM(I74), 0) + SUM(I75:I76)))</f>
        <v/>
      </c>
      <c r="J77" s="455"/>
      <c r="K77" s="491" t="str">
        <f ca="1">IF(J68="","",K69-(SUM(K70:K73) + IF(Initialisatie!$C$6&lt;&gt;"Ja", SUM(K74), 0) + SUM(K75:K76)))</f>
        <v/>
      </c>
      <c r="L77" s="455"/>
      <c r="M77" s="491" t="str">
        <f ca="1">IF(L68="","",M69-(SUM(M70:M73) + IF(Initialisatie!$C$6&lt;&gt;"Ja", SUM(M74), 0) + SUM(M75:M76)))</f>
        <v/>
      </c>
      <c r="N77" s="455"/>
      <c r="O77" s="491" t="str">
        <f ca="1">IF(N68="","",O69-(SUM(O70:O73) + IF(Initialisatie!$C$6&lt;&gt;"Ja", SUM(O74), 0) + SUM(O75:O76)))</f>
        <v/>
      </c>
      <c r="P77" s="455"/>
      <c r="Q77" s="491" t="str">
        <f ca="1">IF(P68="","",Q69-(SUM(Q70:Q73) + IF(Initialisatie!$C$6&lt;&gt;"Ja", SUM(Q74), 0) + SUM(Q75:Q76)))</f>
        <v/>
      </c>
      <c r="R77" s="455"/>
      <c r="S77" s="491" t="str">
        <f ca="1">IF(R68="","",S69-(SUM(S70:S73) + IF(Initialisatie!$C$6&lt;&gt;"Ja", SUM(S74), 0) + SUM(S75:S76)))</f>
        <v/>
      </c>
      <c r="T77" s="455"/>
      <c r="U77" s="491" t="str">
        <f ca="1">IF(T68="","",U69-(SUM(U70:U73) + IF(Initialisatie!$C$6&lt;&gt;"Ja", SUM(U74), 0) + SUM(U75:U76)))</f>
        <v/>
      </c>
      <c r="V77" s="455"/>
      <c r="W77" s="491" t="str">
        <f ca="1">IF(V68="","",W69-(SUM(W70:W73) + IF(Initialisatie!$C$6&lt;&gt;"Ja", SUM(W74), 0) + SUM(W75:W76)))</f>
        <v/>
      </c>
      <c r="X77" s="455"/>
      <c r="Y77" s="491" t="str">
        <f ca="1">IF(X68="","",Y69-(SUM(Y70:Y73) + IF(Initialisatie!$C$6&lt;&gt;"Ja", SUM(Y74), 0) + SUM(Y75:Y76)))</f>
        <v/>
      </c>
      <c r="Z77" s="455"/>
      <c r="AA77" s="491" t="str">
        <f ca="1">IF(Z68="","",AA69-(SUM(AA70:AA73) + IF(Initialisatie!$C$6&lt;&gt;"Ja", SUM(AA74), 0) + SUM(AA75:AA76)))</f>
        <v/>
      </c>
      <c r="AB77" s="455"/>
      <c r="AC77" s="491" t="str">
        <f ca="1">IF(AB68="","",AC69-(SUM(AC70:AC73) + IF(Initialisatie!$C$6&lt;&gt;"Ja", SUM(AC74), 0) + SUM(AC75:AC76)))</f>
        <v/>
      </c>
      <c r="AD77" s="455"/>
      <c r="AE77" s="491" t="str">
        <f ca="1">IF(AD68="","",AE69-(SUM(AE70:AE73) + IF(Initialisatie!$C$6&lt;&gt;"Ja", SUM(AE74), 0) + SUM(AE75:AE76)))</f>
        <v/>
      </c>
      <c r="AF77" s="455"/>
      <c r="AG77" s="491" t="str">
        <f ca="1">IF(AF68="","",AG69-(SUM(AG70:AG73) + IF(Initialisatie!$C$6&lt;&gt;"Ja", SUM(AG74), 0) + SUM(AG75:AG76)))</f>
        <v/>
      </c>
      <c r="AH77" s="455"/>
      <c r="AI77" s="491" t="str">
        <f ca="1">IF(AH68="","",AI69-(SUM(AI70:AI73) + IF(Initialisatie!$C$6&lt;&gt;"Ja", SUM(AI74), 0) + SUM(AI75:AI76)))</f>
        <v/>
      </c>
      <c r="AJ77" s="455"/>
      <c r="AK77" s="491" t="str">
        <f ca="1">IF(AJ68="","",AK69-(SUM(AK70:AK73) + IF(Initialisatie!$C$6&lt;&gt;"Ja", SUM(AK74), 0) + SUM(AK75:AK76)))</f>
        <v/>
      </c>
      <c r="AL77" s="455"/>
      <c r="AM77" s="491" t="str">
        <f ca="1">IF(AL68="","",AM69-(SUM(AM70:AM73) + IF(Initialisatie!$C$6&lt;&gt;"Ja", SUM(AM74), 0) + SUM(AM75:AM76)))</f>
        <v/>
      </c>
      <c r="AN77" s="455"/>
      <c r="AO77" s="491" t="str">
        <f ca="1">IF(AN68="","",AO69-(SUM(AO70:AO73) + IF(Initialisatie!$C$6&lt;&gt;"Ja", SUM(AO74), 0) + SUM(AO75:AO76)))</f>
        <v/>
      </c>
      <c r="AP77" s="455"/>
      <c r="AQ77" s="491" t="str">
        <f ca="1">IF(AP68="","",AQ69-(SUM(AQ70:AQ73) + IF(Initialisatie!$C$6&lt;&gt;"Ja", SUM(AQ74), 0) + SUM(AQ75:AQ76)))</f>
        <v/>
      </c>
      <c r="AR77" s="455"/>
      <c r="AS77" s="491" t="str">
        <f ca="1">IF(AR68="","",AS69-(SUM(AS70:AS73) + IF(Initialisatie!$C$6&lt;&gt;"Ja", SUM(AS74), 0) + SUM(AS75:AS76)))</f>
        <v/>
      </c>
      <c r="AT77" s="455"/>
      <c r="AU77" s="491" t="str">
        <f ca="1">IF(AT68="","",AU69-(SUM(AU70:AU73) + IF(Initialisatie!$C$6&lt;&gt;"Ja", SUM(AU74), 0) + SUM(AU75:AU76)))</f>
        <v/>
      </c>
      <c r="AV77" s="455"/>
      <c r="AW77" s="491" t="str">
        <f ca="1">IF(AV68="","",AW69-(SUM(AW70:AW73) + IF(Initialisatie!$C$6&lt;&gt;"Ja", SUM(AW74), 0) + SUM(AW75:AW76)))</f>
        <v/>
      </c>
      <c r="AX77" s="455"/>
      <c r="AY77" s="491" t="str">
        <f ca="1">IF(AX68="","",AY69-(SUM(AY70:AY73) + IF(Initialisatie!$C$6&lt;&gt;"Ja", SUM(AY74), 0) + SUM(AY75:AY76)))</f>
        <v/>
      </c>
      <c r="AZ77" s="455"/>
      <c r="BA77" s="491" t="str">
        <f ca="1">IF(AZ68="","",BA69-(SUM(BA70:BA73) + IF(Initialisatie!$C$6&lt;&gt;"Ja", SUM(BA74), 0) + SUM(BA75:BA76)))</f>
        <v/>
      </c>
      <c r="BB77" s="455"/>
      <c r="BC77" s="491" t="str">
        <f ca="1">IF(BB68="","",BC69-(SUM(BC70:BC73) + IF(Initialisatie!$C$6&lt;&gt;"Ja", SUM(BC74), 0) + SUM(BC75:BC76)))</f>
        <v/>
      </c>
      <c r="BD77" s="455"/>
      <c r="BE77" s="491" t="str">
        <f ca="1">IF(BD68="","",BE69-(SUM(BE70:BE73) + IF(Initialisatie!$C$6&lt;&gt;"Ja", SUM(BE74), 0) + SUM(BE75:BE76)))</f>
        <v/>
      </c>
      <c r="BF77" s="455"/>
      <c r="BG77" s="491" t="str">
        <f ca="1">IF(BF68="","",BG69-(SUM(BG70:BG73) + IF(Initialisatie!$C$6&lt;&gt;"Ja", SUM(BG74), 0) + SUM(BG75:BG76)))</f>
        <v/>
      </c>
      <c r="BH77" s="455"/>
      <c r="BI77" s="491" t="str">
        <f ca="1">IF(BH68="","",BI69-(SUM(BI70:BI73) + IF(Initialisatie!$C$6&lt;&gt;"Ja", SUM(BI74), 0) + SUM(BI75:BI76)))</f>
        <v/>
      </c>
      <c r="BJ77" s="455"/>
      <c r="BK77" s="491" t="str">
        <f ca="1">IF(BJ68="","",BK69-(SUM(BK70:BK73) + IF(Initialisatie!$C$6&lt;&gt;"Ja", SUM(BK74), 0) + SUM(BK75:BK76)))</f>
        <v/>
      </c>
      <c r="BL77" s="455"/>
      <c r="BM77" s="491" t="str">
        <f ca="1">IF(BL68="","",BM69-(SUM(BM70:BM73) + IF(Initialisatie!$C$6&lt;&gt;"Ja", SUM(BM74), 0) + SUM(BM75:BM76)))</f>
        <v/>
      </c>
      <c r="BN77" s="455"/>
      <c r="BO77" s="491" t="str">
        <f ca="1">IF(BN68="","",BO69-(SUM(BO70:BO73) + IF(Initialisatie!$C$6&lt;&gt;"Ja", SUM(BO74), 0) + SUM(BO75:BO76)))</f>
        <v/>
      </c>
      <c r="BP77" s="455"/>
      <c r="BQ77" s="491" t="str">
        <f ca="1">IF(BP68="","",BQ69-(SUM(BQ70:BQ73) + IF(Initialisatie!$C$6&lt;&gt;"Ja", SUM(BQ74), 0) + SUM(BQ75:BQ76)))</f>
        <v/>
      </c>
      <c r="BR77" s="455"/>
      <c r="BS77" s="491" t="str">
        <f ca="1">IF(BR68="","",BS69-(SUM(BS70:BS73) + IF(Initialisatie!$C$6&lt;&gt;"Ja", SUM(BS74), 0) + SUM(BS75:BS76)))</f>
        <v/>
      </c>
      <c r="BT77" s="455"/>
      <c r="BU77" s="491" t="str">
        <f ca="1">IF(BT68="","",BU69-(SUM(BU70:BU73) + IF(Initialisatie!$C$6&lt;&gt;"Ja", SUM(BU74), 0) + SUM(BU75:BU76)))</f>
        <v/>
      </c>
      <c r="BV77" s="455"/>
      <c r="BW77" s="491" t="str">
        <f ca="1">IF(BV68="","",BW69-(SUM(BW70:BW73) + IF(Initialisatie!$C$6&lt;&gt;"Ja", SUM(BW74), 0) + SUM(BW75:BW76)))</f>
        <v/>
      </c>
      <c r="BX77" s="455"/>
      <c r="BY77" s="491" t="str">
        <f ca="1">IF(BX68="","",BY69-(SUM(BY70:BY73) + IF(Initialisatie!$C$6&lt;&gt;"Ja", SUM(BY74), 0) + SUM(BY75:BY76)))</f>
        <v/>
      </c>
      <c r="BZ77" s="455"/>
      <c r="CA77" s="491" t="str">
        <f ca="1">IF(BZ68="","",CA69-(SUM(CA70:CA73) + IF(Initialisatie!$C$6&lt;&gt;"Ja", SUM(CA74), 0) + SUM(CA75:CA76)))</f>
        <v/>
      </c>
      <c r="CB77" s="455"/>
      <c r="CC77" s="491" t="str">
        <f ca="1">IF(CB68="","",CC69-(SUM(CC70:CC73) + IF(Initialisatie!$C$6&lt;&gt;"Ja", SUM(CC74), 0) + SUM(CC75:CC76)))</f>
        <v/>
      </c>
      <c r="CD77" s="455"/>
      <c r="CE77" s="491" t="str">
        <f ca="1">IF(CD68="","",CE69-(SUM(CE70:CE73) + IF(Initialisatie!$C$6&lt;&gt;"Ja", SUM(CE74), 0) + SUM(CE75:CE76)))</f>
        <v/>
      </c>
      <c r="CF77" s="320"/>
      <c r="CG77" s="289"/>
      <c r="CH77" s="289"/>
      <c r="CI77" s="289"/>
      <c r="CJ77" s="289"/>
      <c r="CK77" s="289"/>
      <c r="CL77" s="289"/>
      <c r="CM77" s="289"/>
      <c r="CN77" s="289"/>
      <c r="CO77" s="289"/>
      <c r="CP77" s="289"/>
      <c r="CQ77" s="289"/>
      <c r="CR77" s="289"/>
      <c r="CS77" s="289"/>
      <c r="CT77" s="289"/>
      <c r="CU77" s="289"/>
      <c r="CV77" s="289"/>
      <c r="CW77" s="289"/>
      <c r="CX77" s="289"/>
      <c r="CY77" s="289"/>
      <c r="CZ77" s="289"/>
    </row>
    <row r="78" spans="1:104" ht="14.65" thickBot="1" x14ac:dyDescent="0.5">
      <c r="A78" s="289"/>
      <c r="B78" s="444" t="s">
        <v>52</v>
      </c>
      <c r="C78" s="492"/>
      <c r="D78" s="473"/>
      <c r="E78" s="485" t="str">
        <f ca="1">IF(D68="","",E77/E69)</f>
        <v/>
      </c>
      <c r="F78" s="473"/>
      <c r="G78" s="485" t="str">
        <f ca="1">IF(F68="","",G77/G69)</f>
        <v/>
      </c>
      <c r="H78" s="473"/>
      <c r="I78" s="485" t="str">
        <f ca="1">IF(H68="","",I77/I69)</f>
        <v/>
      </c>
      <c r="J78" s="473"/>
      <c r="K78" s="485" t="str">
        <f ca="1">IF(J68="","",K77/K69)</f>
        <v/>
      </c>
      <c r="L78" s="473"/>
      <c r="M78" s="485" t="str">
        <f ca="1">IF(L68="","",M77/M69)</f>
        <v/>
      </c>
      <c r="N78" s="473"/>
      <c r="O78" s="485" t="str">
        <f ca="1">IF(N68="","",O77/O69)</f>
        <v/>
      </c>
      <c r="P78" s="473"/>
      <c r="Q78" s="485" t="str">
        <f ca="1">IF(P68="","",Q77/Q69)</f>
        <v/>
      </c>
      <c r="R78" s="473"/>
      <c r="S78" s="485" t="str">
        <f ca="1">IF(R68="","",S77/S69)</f>
        <v/>
      </c>
      <c r="T78" s="473"/>
      <c r="U78" s="485" t="str">
        <f ca="1">IF(T68="","",U77/U69)</f>
        <v/>
      </c>
      <c r="V78" s="473"/>
      <c r="W78" s="485" t="str">
        <f ca="1">IF(V68="","",W77/W69)</f>
        <v/>
      </c>
      <c r="X78" s="473"/>
      <c r="Y78" s="485" t="str">
        <f ca="1">IF(X68="","",Y77/Y69)</f>
        <v/>
      </c>
      <c r="Z78" s="473"/>
      <c r="AA78" s="485" t="str">
        <f ca="1">IF(Z68="","",AA77/AA69)</f>
        <v/>
      </c>
      <c r="AB78" s="473"/>
      <c r="AC78" s="485" t="str">
        <f ca="1">IF(AB68="","",AC77/AC69)</f>
        <v/>
      </c>
      <c r="AD78" s="473"/>
      <c r="AE78" s="485" t="str">
        <f ca="1">IF(AD68="","",AE77/AE69)</f>
        <v/>
      </c>
      <c r="AF78" s="473"/>
      <c r="AG78" s="485" t="str">
        <f ca="1">IF(AF68="","",AG77/AG69)</f>
        <v/>
      </c>
      <c r="AH78" s="473"/>
      <c r="AI78" s="485" t="str">
        <f ca="1">IF(AH68="","",AI77/AI69)</f>
        <v/>
      </c>
      <c r="AJ78" s="473"/>
      <c r="AK78" s="485" t="str">
        <f ca="1">IF(AJ68="","",AK77/AK69)</f>
        <v/>
      </c>
      <c r="AL78" s="473"/>
      <c r="AM78" s="485" t="str">
        <f ca="1">IF(AL68="","",AM77/AM69)</f>
        <v/>
      </c>
      <c r="AN78" s="473"/>
      <c r="AO78" s="485" t="str">
        <f ca="1">IF(AN68="","",AO77/AO69)</f>
        <v/>
      </c>
      <c r="AP78" s="473"/>
      <c r="AQ78" s="485" t="str">
        <f ca="1">IF(AP68="","",AQ77/AQ69)</f>
        <v/>
      </c>
      <c r="AR78" s="473"/>
      <c r="AS78" s="485" t="str">
        <f ca="1">IF(AR68="","",AS77/AS69)</f>
        <v/>
      </c>
      <c r="AT78" s="473"/>
      <c r="AU78" s="485" t="str">
        <f ca="1">IF(AT68="","",AU77/AU69)</f>
        <v/>
      </c>
      <c r="AV78" s="473"/>
      <c r="AW78" s="485" t="str">
        <f ca="1">IF(AV68="","",AW77/AW69)</f>
        <v/>
      </c>
      <c r="AX78" s="473"/>
      <c r="AY78" s="485" t="str">
        <f ca="1">IF(AX68="","",AY77/AY69)</f>
        <v/>
      </c>
      <c r="AZ78" s="473"/>
      <c r="BA78" s="485" t="str">
        <f ca="1">IF(AZ68="","",BA77/BA69)</f>
        <v/>
      </c>
      <c r="BB78" s="473"/>
      <c r="BC78" s="485" t="str">
        <f ca="1">IF(BB68="","",BC77/BC69)</f>
        <v/>
      </c>
      <c r="BD78" s="473"/>
      <c r="BE78" s="485" t="str">
        <f ca="1">IF(BD68="","",BE77/BE69)</f>
        <v/>
      </c>
      <c r="BF78" s="473"/>
      <c r="BG78" s="485" t="str">
        <f ca="1">IF(BF68="","",BG77/BG69)</f>
        <v/>
      </c>
      <c r="BH78" s="473"/>
      <c r="BI78" s="485" t="str">
        <f ca="1">IF(BH68="","",BI77/BI69)</f>
        <v/>
      </c>
      <c r="BJ78" s="473"/>
      <c r="BK78" s="485" t="str">
        <f ca="1">IF(BJ68="","",BK77/BK69)</f>
        <v/>
      </c>
      <c r="BL78" s="473"/>
      <c r="BM78" s="485" t="str">
        <f ca="1">IF(BL68="","",BM77/BM69)</f>
        <v/>
      </c>
      <c r="BN78" s="473"/>
      <c r="BO78" s="485" t="str">
        <f ca="1">IF(BN68="","",BO77/BO69)</f>
        <v/>
      </c>
      <c r="BP78" s="473"/>
      <c r="BQ78" s="485" t="str">
        <f ca="1">IF(BP68="","",BQ77/BQ69)</f>
        <v/>
      </c>
      <c r="BR78" s="473"/>
      <c r="BS78" s="485" t="str">
        <f ca="1">IF(BR68="","",BS77/BS69)</f>
        <v/>
      </c>
      <c r="BT78" s="473"/>
      <c r="BU78" s="485" t="str">
        <f ca="1">IF(BT68="","",BU77/BU69)</f>
        <v/>
      </c>
      <c r="BV78" s="473"/>
      <c r="BW78" s="485" t="str">
        <f ca="1">IF(BV68="","",BW77/BW69)</f>
        <v/>
      </c>
      <c r="BX78" s="473"/>
      <c r="BY78" s="485" t="str">
        <f ca="1">IF(BX68="","",BY77/BY69)</f>
        <v/>
      </c>
      <c r="BZ78" s="473"/>
      <c r="CA78" s="485" t="str">
        <f ca="1">IF(BZ68="","",CA77/CA69)</f>
        <v/>
      </c>
      <c r="CB78" s="473"/>
      <c r="CC78" s="485" t="str">
        <f ca="1">IF(CB68="","",CC77/CC69)</f>
        <v/>
      </c>
      <c r="CD78" s="473"/>
      <c r="CE78" s="485" t="str">
        <f ca="1">IF(CD68="","",CE77/CE69)</f>
        <v/>
      </c>
      <c r="CF78" s="320"/>
      <c r="CG78" s="289"/>
      <c r="CH78" s="289"/>
      <c r="CI78" s="289"/>
      <c r="CJ78" s="289"/>
      <c r="CK78" s="289"/>
      <c r="CL78" s="289"/>
      <c r="CM78" s="289"/>
      <c r="CN78" s="289"/>
      <c r="CO78" s="289"/>
      <c r="CP78" s="289"/>
      <c r="CQ78" s="289"/>
      <c r="CR78" s="289"/>
      <c r="CS78" s="289"/>
      <c r="CT78" s="289"/>
      <c r="CU78" s="289"/>
      <c r="CV78" s="289"/>
      <c r="CW78" s="289"/>
      <c r="CX78" s="289"/>
      <c r="CY78" s="289"/>
      <c r="CZ78" s="289"/>
    </row>
    <row r="79" spans="1:104" ht="37.049999999999997" customHeight="1" x14ac:dyDescent="0.45">
      <c r="A79" s="289"/>
      <c r="B79" s="294"/>
      <c r="C79" s="445"/>
      <c r="D79" s="793" t="str" cm="1">
        <f t="array" aca="1" ref="D79" ca="1">IF(D16&lt;&gt;"",
   IF(SUMPRODUCT(--(MOD(COLUMN(F16:CD16),2)=0),--(F16:CD16&lt;&gt;""))=0,
      "© 2026 VNG / PPRC B.V. / AEPB Onderzoek en Advies B.V. Alle rechten voorbehouden.",
      ""
   ),
   ""
)</f>
        <v/>
      </c>
      <c r="E79" s="793"/>
      <c r="F79" s="793" t="str" cm="1">
        <f t="array" aca="1" ref="F79" ca="1">IF(F16&lt;&gt;"",
   IF(SUMPRODUCT(--(MOD(COLUMN(H16:CF16),2)=0),--(H16:CF16&lt;&gt;""))=0,
      "© 2026 VNG / PPRC B.V. / AEPB Onderzoek en Advies B.V. Alle rechten voorbehouden.",
      ""
   ),
   ""
)</f>
        <v/>
      </c>
      <c r="G79" s="793"/>
      <c r="H79" s="793" t="str" cm="1">
        <f t="array" aca="1" ref="H79" ca="1">IF(H16&lt;&gt;"",
   IF(SUMPRODUCT(--(MOD(COLUMN(J16:CH16),2)=0),--(J16:CH16&lt;&gt;""))=0,
      "© 2026 VNG / PPRC B.V. / AEPB Onderzoek en Advies B.V. Alle rechten voorbehouden.",
      ""
   ),
   ""
)</f>
        <v/>
      </c>
      <c r="I79" s="793"/>
      <c r="J79" s="793" t="str" cm="1">
        <f t="array" aca="1" ref="J79" ca="1">IF(J16&lt;&gt;"",
   IF(SUMPRODUCT(--(MOD(COLUMN(L16:CJ16),2)=0),--(L16:CJ16&lt;&gt;""))=0,
      "© 2026 VNG / PPRC B.V. / AEPB Onderzoek en Advies B.V. Alle rechten voorbehouden.",
      ""
   ),
   ""
)</f>
        <v/>
      </c>
      <c r="K79" s="793"/>
      <c r="L79" s="793" t="str" cm="1">
        <f t="array" aca="1" ref="L79" ca="1">IF(L16&lt;&gt;"",
   IF(SUMPRODUCT(--(MOD(COLUMN(N16:CL16),2)=0),--(N16:CL16&lt;&gt;""))=0,
      "© 2026 VNG / PPRC B.V. / AEPB Onderzoek en Advies B.V. Alle rechten voorbehouden.",
      ""
   ),
   ""
)</f>
        <v/>
      </c>
      <c r="M79" s="793"/>
      <c r="N79" s="793" t="str" cm="1">
        <f t="array" aca="1" ref="N79" ca="1">IF(N16&lt;&gt;"",
   IF(SUMPRODUCT(--(MOD(COLUMN(P16:CN16),2)=0),--(P16:CN16&lt;&gt;""))=0,
      "© 2026 VNG / PPRC B.V. / AEPB Onderzoek en Advies B.V. Alle rechten voorbehouden.",
      ""
   ),
   ""
)</f>
        <v/>
      </c>
      <c r="O79" s="793"/>
      <c r="P79" s="793" t="str" cm="1">
        <f t="array" aca="1" ref="P79" ca="1">IF(P16&lt;&gt;"",
   IF(SUMPRODUCT(--(MOD(COLUMN(R16:CP16),2)=0),--(R16:CP16&lt;&gt;""))=0,
      "© 2026 VNG / PPRC B.V. / AEPB Onderzoek en Advies B.V. Alle rechten voorbehouden.",
      ""
   ),
   ""
)</f>
        <v/>
      </c>
      <c r="Q79" s="793"/>
      <c r="R79" s="793" t="str" cm="1">
        <f t="array" aca="1" ref="R79" ca="1">IF(R16&lt;&gt;"",
   IF(SUMPRODUCT(--(MOD(COLUMN(T16:CR16),2)=0),--(T16:CR16&lt;&gt;""))=0,
      "© 2026 VNG / PPRC B.V. / AEPB Onderzoek en Advies B.V. Alle rechten voorbehouden.",
      ""
   ),
   ""
)</f>
        <v/>
      </c>
      <c r="S79" s="793"/>
      <c r="T79" s="793" t="str" cm="1">
        <f t="array" aca="1" ref="T79" ca="1">IF(T16&lt;&gt;"",
   IF(SUMPRODUCT(--(MOD(COLUMN(V16:CT16),2)=0),--(V16:CT16&lt;&gt;""))=0,
      "© 2026 VNG / PPRC B.V. / AEPB Onderzoek en Advies B.V. Alle rechten voorbehouden.",
      ""
   ),
   ""
)</f>
        <v/>
      </c>
      <c r="U79" s="793"/>
      <c r="V79" s="793" t="str" cm="1">
        <f t="array" aca="1" ref="V79" ca="1">IF(V16&lt;&gt;"",
   IF(SUMPRODUCT(--(MOD(COLUMN(X16:CV16),2)=0),--(X16:CV16&lt;&gt;""))=0,
      "© 2026 VNG / PPRC B.V. / AEPB Onderzoek en Advies B.V. Alle rechten voorbehouden.",
      ""
   ),
   ""
)</f>
        <v/>
      </c>
      <c r="W79" s="793"/>
      <c r="X79" s="793" t="str" cm="1">
        <f t="array" aca="1" ref="X79" ca="1">IF(X16&lt;&gt;"",
   IF(SUMPRODUCT(--(MOD(COLUMN(Z16:CX16),2)=0),--(Z16:CX16&lt;&gt;""))=0,
      "© 2026 VNG / PPRC B.V. / AEPB Onderzoek en Advies B.V. Alle rechten voorbehouden.",
      ""
   ),
   ""
)</f>
        <v/>
      </c>
      <c r="Y79" s="793"/>
      <c r="Z79" s="793" t="str" cm="1">
        <f t="array" aca="1" ref="Z79" ca="1">IF(Z16&lt;&gt;"",
   IF(SUMPRODUCT(--(MOD(COLUMN(AB16:CZ16),2)=0),--(AB16:CZ16&lt;&gt;""))=0,
      "© 2026 VNG / PPRC B.V. / AEPB Onderzoek en Advies B.V. Alle rechten voorbehouden.",
      ""
   ),
   ""
)</f>
        <v/>
      </c>
      <c r="AA79" s="793"/>
      <c r="AB79" s="793" t="str" cm="1">
        <f t="array" aca="1" ref="AB79" ca="1">IF(AB16&lt;&gt;"",
   IF(SUMPRODUCT(--(MOD(COLUMN(AD16:DB16),2)=0),--(AD16:DB16&lt;&gt;""))=0,
      "© 2026 VNG / PPRC B.V. / AEPB Onderzoek en Advies B.V. Alle rechten voorbehouden.",
      ""
   ),
   ""
)</f>
        <v/>
      </c>
      <c r="AC79" s="793"/>
      <c r="AD79" s="793" t="str" cm="1">
        <f t="array" aca="1" ref="AD79" ca="1">IF(AD16&lt;&gt;"",
   IF(SUMPRODUCT(--(MOD(COLUMN(AF16:DD16),2)=0),--(AF16:DD16&lt;&gt;""))=0,
      "© 2026 VNG / PPRC B.V. / AEPB Onderzoek en Advies B.V. Alle rechten voorbehouden.",
      ""
   ),
   ""
)</f>
        <v/>
      </c>
      <c r="AE79" s="793"/>
      <c r="AF79" s="793" t="str" cm="1">
        <f t="array" aca="1" ref="AF79" ca="1">IF(AF16&lt;&gt;"",
   IF(SUMPRODUCT(--(MOD(COLUMN(AH16:DF16),2)=0),--(AH16:DF16&lt;&gt;""))=0,
      "© 2026 VNG / PPRC B.V. / AEPB Onderzoek en Advies B.V. Alle rechten voorbehouden.",
      ""
   ),
   ""
)</f>
        <v/>
      </c>
      <c r="AG79" s="793"/>
      <c r="AH79" s="793" t="str" cm="1">
        <f t="array" aca="1" ref="AH79" ca="1">IF(AH16&lt;&gt;"",
   IF(SUMPRODUCT(--(MOD(COLUMN(AJ16:DH16),2)=0),--(AJ16:DH16&lt;&gt;""))=0,
      "© 2026 VNG / PPRC B.V. / AEPB Onderzoek en Advies B.V. Alle rechten voorbehouden.",
      ""
   ),
   ""
)</f>
        <v/>
      </c>
      <c r="AI79" s="793"/>
      <c r="AJ79" s="793" t="str" cm="1">
        <f t="array" aca="1" ref="AJ79" ca="1">IF(AJ16&lt;&gt;"",
   IF(SUMPRODUCT(--(MOD(COLUMN(AL16:DJ16),2)=0),--(AL16:DJ16&lt;&gt;""))=0,
      "© 2026 VNG / PPRC B.V. / AEPB Onderzoek en Advies B.V. Alle rechten voorbehouden.",
      ""
   ),
   ""
)</f>
        <v/>
      </c>
      <c r="AK79" s="793"/>
      <c r="AL79" s="793" t="str" cm="1">
        <f t="array" aca="1" ref="AL79" ca="1">IF(AL16&lt;&gt;"",
   IF(SUMPRODUCT(--(MOD(COLUMN(AN16:DL16),2)=0),--(AN16:DL16&lt;&gt;""))=0,
      "© 2026 VNG / PPRC B.V. / AEPB Onderzoek en Advies B.V. Alle rechten voorbehouden.",
      ""
   ),
   ""
)</f>
        <v/>
      </c>
      <c r="AM79" s="793"/>
      <c r="AN79" s="793" t="str" cm="1">
        <f t="array" aca="1" ref="AN79" ca="1">IF(AN16&lt;&gt;"",
   IF(SUMPRODUCT(--(MOD(COLUMN(AP16:DN16),2)=0),--(AP16:DN16&lt;&gt;""))=0,
      "© 2026 VNG / PPRC B.V. / AEPB Onderzoek en Advies B.V. Alle rechten voorbehouden.",
      ""
   ),
   ""
)</f>
        <v/>
      </c>
      <c r="AO79" s="793"/>
      <c r="AP79" s="793" t="str" cm="1">
        <f t="array" aca="1" ref="AP79" ca="1">IF(AP16&lt;&gt;"",
   IF(SUMPRODUCT(--(MOD(COLUMN(AR16:DP16),2)=0),--(AR16:DP16&lt;&gt;""))=0,
      "© 2026 VNG / PPRC B.V. / AEPB Onderzoek en Advies B.V. Alle rechten voorbehouden.",
      ""
   ),
   ""
)</f>
        <v/>
      </c>
      <c r="AQ79" s="793"/>
      <c r="AR79" s="793" t="str" cm="1">
        <f t="array" aca="1" ref="AR79" ca="1">IF(AR16&lt;&gt;"",
   IF(SUMPRODUCT(--(MOD(COLUMN(AT16:DR16),2)=0),--(AT16:DR16&lt;&gt;""))=0,
      "© 2026 VNG / PPRC B.V. / AEPB Onderzoek en Advies B.V. Alle rechten voorbehouden.",
      ""
   ),
   ""
)</f>
        <v/>
      </c>
      <c r="AS79" s="793"/>
      <c r="AT79" s="793" t="str" cm="1">
        <f t="array" aca="1" ref="AT79" ca="1">IF(AT16&lt;&gt;"",
   IF(SUMPRODUCT(--(MOD(COLUMN(AV16:DT16),2)=0),--(AV16:DT16&lt;&gt;""))=0,
      "© 2026 VNG / PPRC B.V. / AEPB Onderzoek en Advies B.V. Alle rechten voorbehouden.",
      ""
   ),
   ""
)</f>
        <v/>
      </c>
      <c r="AU79" s="793"/>
      <c r="AV79" s="793" t="str" cm="1">
        <f t="array" aca="1" ref="AV79" ca="1">IF(AV16&lt;&gt;"",
   IF(SUMPRODUCT(--(MOD(COLUMN(AX16:DV16),2)=0),--(AX16:DV16&lt;&gt;""))=0,
      "© 2026 VNG / PPRC B.V. / AEPB Onderzoek en Advies B.V. Alle rechten voorbehouden.",
      ""
   ),
   ""
)</f>
        <v/>
      </c>
      <c r="AW79" s="793"/>
      <c r="AX79" s="793" t="str" cm="1">
        <f t="array" aca="1" ref="AX79" ca="1">IF(AX16&lt;&gt;"",
   IF(SUMPRODUCT(--(MOD(COLUMN(AZ16:DX16),2)=0),--(AZ16:DX16&lt;&gt;""))=0,
      "© 2026 VNG / PPRC B.V. / AEPB Onderzoek en Advies B.V. Alle rechten voorbehouden.",
      ""
   ),
   ""
)</f>
        <v/>
      </c>
      <c r="AY79" s="793"/>
      <c r="AZ79" s="793" t="str" cm="1">
        <f t="array" aca="1" ref="AZ79" ca="1">IF(AZ16&lt;&gt;"",
   IF(SUMPRODUCT(--(MOD(COLUMN(BB16:DZ16),2)=0),--(BB16:DZ16&lt;&gt;""))=0,
      "© 2026 VNG / PPRC B.V. / AEPB Onderzoek en Advies B.V. Alle rechten voorbehouden.",
      ""
   ),
   ""
)</f>
        <v/>
      </c>
      <c r="BA79" s="793"/>
      <c r="BB79" s="793" t="str" cm="1">
        <f t="array" aca="1" ref="BB79" ca="1">IF(BB16&lt;&gt;"",
   IF(SUMPRODUCT(--(MOD(COLUMN(BD16:EB16),2)=0),--(BD16:EB16&lt;&gt;""))=0,
      "© 2026 VNG / PPRC B.V. / AEPB Onderzoek en Advies B.V. Alle rechten voorbehouden.",
      ""
   ),
   ""
)</f>
        <v/>
      </c>
      <c r="BC79" s="793"/>
      <c r="BD79" s="793" t="str" cm="1">
        <f t="array" aca="1" ref="BD79" ca="1">IF(BD16&lt;&gt;"",
   IF(SUMPRODUCT(--(MOD(COLUMN(BF16:ED16),2)=0),--(BF16:ED16&lt;&gt;""))=0,
      "© 2026 VNG / PPRC B.V. / AEPB Onderzoek en Advies B.V. Alle rechten voorbehouden.",
      ""
   ),
   ""
)</f>
        <v/>
      </c>
      <c r="BE79" s="793"/>
      <c r="BF79" s="793" t="str" cm="1">
        <f t="array" aca="1" ref="BF79" ca="1">IF(BF16&lt;&gt;"",
   IF(SUMPRODUCT(--(MOD(COLUMN(BH16:EF16),2)=0),--(BH16:EF16&lt;&gt;""))=0,
      "© 2026 VNG / PPRC B.V. / AEPB Onderzoek en Advies B.V. Alle rechten voorbehouden.",
      ""
   ),
   ""
)</f>
        <v/>
      </c>
      <c r="BG79" s="793"/>
      <c r="BH79" s="793" t="str" cm="1">
        <f t="array" aca="1" ref="BH79" ca="1">IF(BH16&lt;&gt;"",
   IF(SUMPRODUCT(--(MOD(COLUMN(BJ16:EH16),2)=0),--(BJ16:EH16&lt;&gt;""))=0,
      "© 2026 VNG / PPRC B.V. / AEPB Onderzoek en Advies B.V. Alle rechten voorbehouden.",
      ""
   ),
   ""
)</f>
        <v/>
      </c>
      <c r="BI79" s="793"/>
      <c r="BJ79" s="793" t="str" cm="1">
        <f t="array" aca="1" ref="BJ79" ca="1">IF(BJ16&lt;&gt;"",
   IF(SUMPRODUCT(--(MOD(COLUMN(BL16:EJ16),2)=0),--(BL16:EJ16&lt;&gt;""))=0,
      "© 2026 VNG / PPRC B.V. / AEPB Onderzoek en Advies B.V. Alle rechten voorbehouden.",
      ""
   ),
   ""
)</f>
        <v/>
      </c>
      <c r="BK79" s="793"/>
      <c r="BL79" s="793" t="str" cm="1">
        <f t="array" aca="1" ref="BL79" ca="1">IF(BL16&lt;&gt;"",
   IF(SUMPRODUCT(--(MOD(COLUMN(BN16:EL16),2)=0),--(BN16:EL16&lt;&gt;""))=0,
      "© 2026 VNG / PPRC B.V. / AEPB Onderzoek en Advies B.V. Alle rechten voorbehouden.",
      ""
   ),
   ""
)</f>
        <v/>
      </c>
      <c r="BM79" s="793"/>
      <c r="BN79" s="793" t="str" cm="1">
        <f t="array" aca="1" ref="BN79" ca="1">IF(BN16&lt;&gt;"",
   IF(SUMPRODUCT(--(MOD(COLUMN(BP16:EN16),2)=0),--(BP16:EN16&lt;&gt;""))=0,
      "© 2026 VNG / PPRC B.V. / AEPB Onderzoek en Advies B.V. Alle rechten voorbehouden.",
      ""
   ),
   ""
)</f>
        <v/>
      </c>
      <c r="BO79" s="793"/>
      <c r="BP79" s="793" t="str" cm="1">
        <f t="array" aca="1" ref="BP79" ca="1">IF(BP16&lt;&gt;"",
   IF(SUMPRODUCT(--(MOD(COLUMN(BR16:EP16),2)=0),--(BR16:EP16&lt;&gt;""))=0,
      "© 2026 VNG / PPRC B.V. / AEPB Onderzoek en Advies B.V. Alle rechten voorbehouden.",
      ""
   ),
   ""
)</f>
        <v/>
      </c>
      <c r="BQ79" s="793"/>
      <c r="BR79" s="793" t="str" cm="1">
        <f t="array" aca="1" ref="BR79" ca="1">IF(BR16&lt;&gt;"",
   IF(SUMPRODUCT(--(MOD(COLUMN(BT16:ER16),2)=0),--(BT16:ER16&lt;&gt;""))=0,
      "© 2026 VNG / PPRC B.V. / AEPB Onderzoek en Advies B.V. Alle rechten voorbehouden.",
      ""
   ),
   ""
)</f>
        <v/>
      </c>
      <c r="BS79" s="793"/>
      <c r="BT79" s="793" t="str" cm="1">
        <f t="array" aca="1" ref="BT79" ca="1">IF(BT16&lt;&gt;"",
   IF(SUMPRODUCT(--(MOD(COLUMN(BV16:ET16),2)=0),--(BV16:ET16&lt;&gt;""))=0,
      "© 2026 VNG / PPRC B.V. / AEPB Onderzoek en Advies B.V. Alle rechten voorbehouden.",
      ""
   ),
   ""
)</f>
        <v/>
      </c>
      <c r="BU79" s="793"/>
      <c r="BV79" s="793" t="str" cm="1">
        <f t="array" aca="1" ref="BV79" ca="1">IF(BV16&lt;&gt;"",
   IF(SUMPRODUCT(--(MOD(COLUMN(BX16:EV16),2)=0),--(BX16:EV16&lt;&gt;""))=0,
      "© 2026 VNG / PPRC B.V. / AEPB Onderzoek en Advies B.V. Alle rechten voorbehouden.",
      ""
   ),
   ""
)</f>
        <v/>
      </c>
      <c r="BW79" s="793"/>
      <c r="BX79" s="793" t="str" cm="1">
        <f t="array" aca="1" ref="BX79" ca="1">IF(BX16&lt;&gt;"",
   IF(SUMPRODUCT(--(MOD(COLUMN(BZ16:EX16),2)=0),--(BZ16:EX16&lt;&gt;""))=0,
      "© 2026 VNG / PPRC B.V. / AEPB Onderzoek en Advies B.V. Alle rechten voorbehouden.",
      ""
   ),
   ""
)</f>
        <v/>
      </c>
      <c r="BY79" s="793"/>
      <c r="BZ79" s="793" t="str" cm="1">
        <f t="array" aca="1" ref="BZ79" ca="1">IF(BZ16&lt;&gt;"",
   IF(SUMPRODUCT(--(MOD(COLUMN(CB16:EZ16),2)=0),--(CB16:EZ16&lt;&gt;""))=0,
      "© 2026 VNG / PPRC B.V. / AEPB Onderzoek en Advies B.V. Alle rechten voorbehouden.",
      ""
   ),
   ""
)</f>
        <v/>
      </c>
      <c r="CA79" s="793"/>
      <c r="CB79" s="793" t="str" cm="1">
        <f t="array" aca="1" ref="CB79" ca="1">IF(CB16&lt;&gt;"",
   IF(SUMPRODUCT(--(MOD(COLUMN(CD16:FB16),2)=0),--(CD16:FB16&lt;&gt;""))=0,
      "© 2026 VNG / PPRC B.V. / AEPB Onderzoek en Advies B.V. Alle rechten voorbehouden.",
      ""
   ),
   ""
)</f>
        <v/>
      </c>
      <c r="CC79" s="793"/>
      <c r="CD79" s="793" t="str" cm="1">
        <f t="array" aca="1" ref="CD79" ca="1">IF(CD16&lt;&gt;"",
   IF(SUMPRODUCT(--(MOD(COLUMN(CF16:FD16),2)=0),--(CF16:FD16&lt;&gt;""))=0,
      "© 2026 VNG / PPRC B.V. / AEPB Onderzoek en Advies B.V. Alle rechten voorbehouden.",
      ""
   ),
   ""
)</f>
        <v/>
      </c>
      <c r="CE79" s="793"/>
      <c r="CF79" s="289"/>
      <c r="CG79" s="289"/>
      <c r="CH79" s="289"/>
      <c r="CI79" s="289"/>
      <c r="CJ79" s="289"/>
      <c r="CK79" s="289"/>
      <c r="CL79" s="289"/>
      <c r="CM79" s="289"/>
      <c r="CN79" s="289"/>
      <c r="CO79" s="289"/>
      <c r="CP79" s="289"/>
      <c r="CQ79" s="289"/>
      <c r="CR79" s="289"/>
      <c r="CS79" s="289"/>
      <c r="CT79" s="289"/>
      <c r="CU79" s="289"/>
      <c r="CV79" s="289"/>
      <c r="CW79" s="289"/>
      <c r="CX79" s="289"/>
      <c r="CY79" s="289"/>
      <c r="CZ79" s="289"/>
    </row>
    <row r="80" spans="1:104" x14ac:dyDescent="0.45">
      <c r="A80" s="289"/>
      <c r="B80" s="294"/>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c r="AA80" s="445"/>
      <c r="AB80" s="445"/>
      <c r="AC80" s="445"/>
      <c r="AD80" s="445"/>
      <c r="AE80" s="445"/>
      <c r="AF80" s="445"/>
      <c r="AG80" s="445"/>
      <c r="AH80" s="445"/>
      <c r="AI80" s="445"/>
      <c r="AJ80" s="445"/>
      <c r="AK80" s="445"/>
      <c r="AL80" s="445"/>
      <c r="AM80" s="445"/>
      <c r="AN80" s="445"/>
      <c r="AO80" s="445"/>
      <c r="AP80" s="445"/>
      <c r="AQ80" s="445"/>
      <c r="AR80" s="445"/>
      <c r="AS80" s="445"/>
      <c r="AT80" s="445"/>
      <c r="AU80" s="445"/>
      <c r="AV80" s="445"/>
      <c r="AW80" s="445"/>
      <c r="AX80" s="445"/>
      <c r="AY80" s="445"/>
      <c r="AZ80" s="445"/>
      <c r="BA80" s="445"/>
      <c r="BB80" s="445"/>
      <c r="BC80" s="445"/>
      <c r="BD80" s="445"/>
      <c r="BE80" s="445"/>
      <c r="BF80" s="445"/>
      <c r="BG80" s="445"/>
      <c r="BH80" s="445"/>
      <c r="BI80" s="445"/>
      <c r="BJ80" s="445"/>
      <c r="BK80" s="445"/>
      <c r="BL80" s="445"/>
      <c r="BM80" s="445"/>
      <c r="BN80" s="445"/>
      <c r="BO80" s="445"/>
      <c r="BP80" s="445"/>
      <c r="BQ80" s="445"/>
      <c r="BR80" s="445"/>
      <c r="BS80" s="445"/>
      <c r="BT80" s="445"/>
      <c r="BU80" s="445"/>
      <c r="BV80" s="445"/>
      <c r="BW80" s="445"/>
      <c r="BX80" s="445"/>
      <c r="BY80" s="445"/>
      <c r="BZ80" s="445"/>
      <c r="CA80" s="445"/>
      <c r="CB80" s="445"/>
      <c r="CC80" s="445"/>
      <c r="CD80" s="445"/>
      <c r="CE80" s="445"/>
      <c r="CF80" s="289"/>
      <c r="CG80" s="289"/>
      <c r="CH80" s="289"/>
      <c r="CI80" s="289"/>
      <c r="CJ80" s="289"/>
      <c r="CK80" s="289"/>
      <c r="CL80" s="289"/>
      <c r="CM80" s="289"/>
      <c r="CN80" s="289"/>
      <c r="CO80" s="289"/>
      <c r="CP80" s="289"/>
      <c r="CQ80" s="289"/>
      <c r="CR80" s="289"/>
      <c r="CS80" s="289"/>
      <c r="CT80" s="289"/>
      <c r="CU80" s="289"/>
      <c r="CV80" s="289"/>
      <c r="CW80" s="289"/>
      <c r="CX80" s="289"/>
      <c r="CY80" s="289"/>
      <c r="CZ80" s="289"/>
    </row>
    <row r="81" spans="1:104" x14ac:dyDescent="0.45">
      <c r="A81" s="289"/>
      <c r="B81" s="294"/>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c r="AA81" s="445"/>
      <c r="AB81" s="445"/>
      <c r="AC81" s="445"/>
      <c r="AD81" s="445"/>
      <c r="AE81" s="445"/>
      <c r="AF81" s="445"/>
      <c r="AG81" s="445"/>
      <c r="AH81" s="445"/>
      <c r="AI81" s="445"/>
      <c r="AJ81" s="445"/>
      <c r="AK81" s="445"/>
      <c r="AL81" s="445"/>
      <c r="AM81" s="445"/>
      <c r="AN81" s="445"/>
      <c r="AO81" s="445"/>
      <c r="AP81" s="445"/>
      <c r="AQ81" s="445"/>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289"/>
      <c r="CG81" s="289"/>
      <c r="CH81" s="289"/>
      <c r="CI81" s="289"/>
      <c r="CJ81" s="289"/>
      <c r="CK81" s="289"/>
      <c r="CL81" s="289"/>
      <c r="CM81" s="289"/>
      <c r="CN81" s="289"/>
      <c r="CO81" s="289"/>
      <c r="CP81" s="289"/>
      <c r="CQ81" s="289"/>
      <c r="CR81" s="289"/>
      <c r="CS81" s="289"/>
      <c r="CT81" s="289"/>
      <c r="CU81" s="289"/>
      <c r="CV81" s="289"/>
      <c r="CW81" s="289"/>
      <c r="CX81" s="289"/>
      <c r="CY81" s="289"/>
      <c r="CZ81" s="289"/>
    </row>
    <row r="82" spans="1:104" x14ac:dyDescent="0.45">
      <c r="A82" s="289"/>
      <c r="B82" s="294"/>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5"/>
      <c r="BC82" s="445"/>
      <c r="BD82" s="445"/>
      <c r="BE82" s="445"/>
      <c r="BF82" s="445"/>
      <c r="BG82" s="445"/>
      <c r="BH82" s="445"/>
      <c r="BI82" s="445"/>
      <c r="BJ82" s="445"/>
      <c r="BK82" s="445"/>
      <c r="BL82" s="445"/>
      <c r="BM82" s="445"/>
      <c r="BN82" s="445"/>
      <c r="BO82" s="445"/>
      <c r="BP82" s="445"/>
      <c r="BQ82" s="445"/>
      <c r="BR82" s="445"/>
      <c r="BS82" s="445"/>
      <c r="BT82" s="445"/>
      <c r="BU82" s="445"/>
      <c r="BV82" s="445"/>
      <c r="BW82" s="445"/>
      <c r="BX82" s="445"/>
      <c r="BY82" s="445"/>
      <c r="BZ82" s="445"/>
      <c r="CA82" s="445"/>
      <c r="CB82" s="445"/>
      <c r="CC82" s="445"/>
      <c r="CD82" s="445"/>
      <c r="CE82" s="445"/>
      <c r="CF82" s="289"/>
      <c r="CG82" s="289"/>
      <c r="CH82" s="289"/>
      <c r="CI82" s="289"/>
      <c r="CJ82" s="289"/>
      <c r="CK82" s="289"/>
      <c r="CL82" s="289"/>
      <c r="CM82" s="289"/>
      <c r="CN82" s="289"/>
      <c r="CO82" s="289"/>
      <c r="CP82" s="289"/>
      <c r="CQ82" s="289"/>
      <c r="CR82" s="289"/>
      <c r="CS82" s="289"/>
      <c r="CT82" s="289"/>
      <c r="CU82" s="289"/>
      <c r="CV82" s="289"/>
      <c r="CW82" s="289"/>
      <c r="CX82" s="289"/>
      <c r="CY82" s="289"/>
      <c r="CZ82" s="289"/>
    </row>
    <row r="83" spans="1:104" x14ac:dyDescent="0.45">
      <c r="A83" s="289"/>
      <c r="B83" s="294"/>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c r="AA83" s="445"/>
      <c r="AB83" s="445"/>
      <c r="AC83" s="445"/>
      <c r="AD83" s="445"/>
      <c r="AE83" s="445"/>
      <c r="AF83" s="445"/>
      <c r="AG83" s="445"/>
      <c r="AH83" s="445"/>
      <c r="AI83" s="445"/>
      <c r="AJ83" s="445"/>
      <c r="AK83" s="445"/>
      <c r="AL83" s="445"/>
      <c r="AM83" s="445"/>
      <c r="AN83" s="445"/>
      <c r="AO83" s="445"/>
      <c r="AP83" s="445"/>
      <c r="AQ83" s="445"/>
      <c r="AR83" s="445"/>
      <c r="AS83" s="445"/>
      <c r="AT83" s="445"/>
      <c r="AU83" s="445"/>
      <c r="AV83" s="445"/>
      <c r="AW83" s="445"/>
      <c r="AX83" s="445"/>
      <c r="AY83" s="445"/>
      <c r="AZ83" s="445"/>
      <c r="BA83" s="445"/>
      <c r="BB83" s="445"/>
      <c r="BC83" s="445"/>
      <c r="BD83" s="445"/>
      <c r="BE83" s="445"/>
      <c r="BF83" s="445"/>
      <c r="BG83" s="445"/>
      <c r="BH83" s="445"/>
      <c r="BI83" s="445"/>
      <c r="BJ83" s="445"/>
      <c r="BK83" s="445"/>
      <c r="BL83" s="445"/>
      <c r="BM83" s="445"/>
      <c r="BN83" s="445"/>
      <c r="BO83" s="445"/>
      <c r="BP83" s="445"/>
      <c r="BQ83" s="445"/>
      <c r="BR83" s="445"/>
      <c r="BS83" s="445"/>
      <c r="BT83" s="445"/>
      <c r="BU83" s="445"/>
      <c r="BV83" s="445"/>
      <c r="BW83" s="445"/>
      <c r="BX83" s="445"/>
      <c r="BY83" s="445"/>
      <c r="BZ83" s="445"/>
      <c r="CA83" s="445"/>
      <c r="CB83" s="445"/>
      <c r="CC83" s="445"/>
      <c r="CD83" s="445"/>
      <c r="CE83" s="445"/>
      <c r="CF83" s="289"/>
      <c r="CG83" s="289"/>
      <c r="CH83" s="289"/>
      <c r="CI83" s="289"/>
      <c r="CJ83" s="289"/>
      <c r="CK83" s="289"/>
      <c r="CL83" s="289"/>
      <c r="CM83" s="289"/>
      <c r="CN83" s="289"/>
      <c r="CO83" s="289"/>
      <c r="CP83" s="289"/>
      <c r="CQ83" s="289"/>
      <c r="CR83" s="289"/>
      <c r="CS83" s="289"/>
      <c r="CT83" s="289"/>
      <c r="CU83" s="289"/>
      <c r="CV83" s="289"/>
      <c r="CW83" s="289"/>
      <c r="CX83" s="289"/>
      <c r="CY83" s="289"/>
      <c r="CZ83" s="289"/>
    </row>
    <row r="84" spans="1:104" x14ac:dyDescent="0.45">
      <c r="A84" s="289"/>
      <c r="B84" s="294"/>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c r="AA84" s="445"/>
      <c r="AB84" s="445"/>
      <c r="AC84" s="445"/>
      <c r="AD84" s="445"/>
      <c r="AE84" s="445"/>
      <c r="AF84" s="445"/>
      <c r="AG84" s="445"/>
      <c r="AH84" s="445"/>
      <c r="AI84" s="445"/>
      <c r="AJ84" s="445"/>
      <c r="AK84" s="445"/>
      <c r="AL84" s="445"/>
      <c r="AM84" s="445"/>
      <c r="AN84" s="445"/>
      <c r="AO84" s="445"/>
      <c r="AP84" s="445"/>
      <c r="AQ84" s="445"/>
      <c r="AR84" s="445"/>
      <c r="AS84" s="445"/>
      <c r="AT84" s="445"/>
      <c r="AU84" s="445"/>
      <c r="AV84" s="445"/>
      <c r="AW84" s="445"/>
      <c r="AX84" s="445"/>
      <c r="AY84" s="445"/>
      <c r="AZ84" s="445"/>
      <c r="BA84" s="445"/>
      <c r="BB84" s="445"/>
      <c r="BC84" s="445"/>
      <c r="BD84" s="445"/>
      <c r="BE84" s="445"/>
      <c r="BF84" s="445"/>
      <c r="BG84" s="445"/>
      <c r="BH84" s="445"/>
      <c r="BI84" s="445"/>
      <c r="BJ84" s="445"/>
      <c r="BK84" s="445"/>
      <c r="BL84" s="445"/>
      <c r="BM84" s="445"/>
      <c r="BN84" s="445"/>
      <c r="BO84" s="445"/>
      <c r="BP84" s="445"/>
      <c r="BQ84" s="445"/>
      <c r="BR84" s="445"/>
      <c r="BS84" s="445"/>
      <c r="BT84" s="445"/>
      <c r="BU84" s="445"/>
      <c r="BV84" s="445"/>
      <c r="BW84" s="445"/>
      <c r="BX84" s="445"/>
      <c r="BY84" s="445"/>
      <c r="BZ84" s="445"/>
      <c r="CA84" s="445"/>
      <c r="CB84" s="445"/>
      <c r="CC84" s="445"/>
      <c r="CD84" s="445"/>
      <c r="CE84" s="445"/>
      <c r="CF84" s="289"/>
      <c r="CG84" s="289"/>
      <c r="CH84" s="289"/>
      <c r="CI84" s="289"/>
      <c r="CJ84" s="289"/>
      <c r="CK84" s="289"/>
      <c r="CL84" s="289"/>
      <c r="CM84" s="289"/>
      <c r="CN84" s="289"/>
      <c r="CO84" s="289"/>
      <c r="CP84" s="289"/>
      <c r="CQ84" s="289"/>
      <c r="CR84" s="289"/>
      <c r="CS84" s="289"/>
      <c r="CT84" s="289"/>
      <c r="CU84" s="289"/>
      <c r="CV84" s="289"/>
      <c r="CW84" s="289"/>
      <c r="CX84" s="289"/>
      <c r="CY84" s="289"/>
      <c r="CZ84" s="289"/>
    </row>
    <row r="85" spans="1:104" x14ac:dyDescent="0.45">
      <c r="A85" s="289"/>
      <c r="B85" s="294"/>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c r="AA85" s="445"/>
      <c r="AB85" s="445"/>
      <c r="AC85" s="445"/>
      <c r="AD85" s="445"/>
      <c r="AE85" s="445"/>
      <c r="AF85" s="445"/>
      <c r="AG85" s="445"/>
      <c r="AH85" s="445"/>
      <c r="AI85" s="445"/>
      <c r="AJ85" s="445"/>
      <c r="AK85" s="445"/>
      <c r="AL85" s="445"/>
      <c r="AM85" s="445"/>
      <c r="AN85" s="445"/>
      <c r="AO85" s="445"/>
      <c r="AP85" s="445"/>
      <c r="AQ85" s="445"/>
      <c r="AR85" s="445"/>
      <c r="AS85" s="445"/>
      <c r="AT85" s="445"/>
      <c r="AU85" s="445"/>
      <c r="AV85" s="445"/>
      <c r="AW85" s="445"/>
      <c r="AX85" s="445"/>
      <c r="AY85" s="445"/>
      <c r="AZ85" s="445"/>
      <c r="BA85" s="445"/>
      <c r="BB85" s="445"/>
      <c r="BC85" s="445"/>
      <c r="BD85" s="445"/>
      <c r="BE85" s="445"/>
      <c r="BF85" s="445"/>
      <c r="BG85" s="445"/>
      <c r="BH85" s="445"/>
      <c r="BI85" s="445"/>
      <c r="BJ85" s="445"/>
      <c r="BK85" s="445"/>
      <c r="BL85" s="445"/>
      <c r="BM85" s="445"/>
      <c r="BN85" s="445"/>
      <c r="BO85" s="445"/>
      <c r="BP85" s="445"/>
      <c r="BQ85" s="445"/>
      <c r="BR85" s="445"/>
      <c r="BS85" s="445"/>
      <c r="BT85" s="445"/>
      <c r="BU85" s="445"/>
      <c r="BV85" s="445"/>
      <c r="BW85" s="445"/>
      <c r="BX85" s="445"/>
      <c r="BY85" s="445"/>
      <c r="BZ85" s="445"/>
      <c r="CA85" s="445"/>
      <c r="CB85" s="445"/>
      <c r="CC85" s="445"/>
      <c r="CD85" s="445"/>
      <c r="CE85" s="445"/>
      <c r="CF85" s="289"/>
      <c r="CG85" s="289"/>
      <c r="CH85" s="289"/>
      <c r="CI85" s="289"/>
      <c r="CJ85" s="289"/>
      <c r="CK85" s="289"/>
      <c r="CL85" s="289"/>
      <c r="CM85" s="289"/>
      <c r="CN85" s="289"/>
      <c r="CO85" s="289"/>
      <c r="CP85" s="289"/>
      <c r="CQ85" s="289"/>
      <c r="CR85" s="289"/>
      <c r="CS85" s="289"/>
      <c r="CT85" s="289"/>
      <c r="CU85" s="289"/>
      <c r="CV85" s="289"/>
      <c r="CW85" s="289"/>
      <c r="CX85" s="289"/>
      <c r="CY85" s="289"/>
      <c r="CZ85" s="289"/>
    </row>
    <row r="86" spans="1:104" x14ac:dyDescent="0.45">
      <c r="A86" s="289"/>
      <c r="B86" s="294"/>
      <c r="C86" s="445"/>
      <c r="D86" s="445"/>
      <c r="E86" s="659"/>
      <c r="F86" s="445"/>
      <c r="G86" s="445"/>
      <c r="H86" s="445"/>
      <c r="I86" s="445"/>
      <c r="J86" s="445"/>
      <c r="K86" s="445"/>
      <c r="L86" s="445"/>
      <c r="M86" s="445"/>
      <c r="N86" s="445"/>
      <c r="O86" s="445"/>
      <c r="P86" s="445"/>
      <c r="Q86" s="445"/>
      <c r="R86" s="445"/>
      <c r="S86" s="445"/>
      <c r="T86" s="445"/>
      <c r="U86" s="445"/>
      <c r="V86" s="445"/>
      <c r="W86" s="445"/>
      <c r="X86" s="445"/>
      <c r="Y86" s="445"/>
      <c r="Z86" s="445"/>
      <c r="AA86" s="445"/>
      <c r="AB86" s="445"/>
      <c r="AC86" s="445"/>
      <c r="AD86" s="445"/>
      <c r="AE86" s="445"/>
      <c r="AF86" s="445"/>
      <c r="AG86" s="445"/>
      <c r="AH86" s="445"/>
      <c r="AI86" s="445"/>
      <c r="AJ86" s="445"/>
      <c r="AK86" s="445"/>
      <c r="AL86" s="445"/>
      <c r="AM86" s="445"/>
      <c r="AN86" s="445"/>
      <c r="AO86" s="445"/>
      <c r="AP86" s="445"/>
      <c r="AQ86" s="445"/>
      <c r="AR86" s="445"/>
      <c r="AS86" s="445"/>
      <c r="AT86" s="445"/>
      <c r="AU86" s="445"/>
      <c r="AV86" s="445"/>
      <c r="AW86" s="445"/>
      <c r="AX86" s="445"/>
      <c r="AY86" s="445"/>
      <c r="AZ86" s="445"/>
      <c r="BA86" s="445"/>
      <c r="BB86" s="445"/>
      <c r="BC86" s="445"/>
      <c r="BD86" s="445"/>
      <c r="BE86" s="445"/>
      <c r="BF86" s="445"/>
      <c r="BG86" s="445"/>
      <c r="BH86" s="445"/>
      <c r="BI86" s="445"/>
      <c r="BJ86" s="445"/>
      <c r="BK86" s="445"/>
      <c r="BL86" s="445"/>
      <c r="BM86" s="445"/>
      <c r="BN86" s="445"/>
      <c r="BO86" s="445"/>
      <c r="BP86" s="445"/>
      <c r="BQ86" s="445"/>
      <c r="BR86" s="445"/>
      <c r="BS86" s="445"/>
      <c r="BT86" s="445"/>
      <c r="BU86" s="445"/>
      <c r="BV86" s="445"/>
      <c r="BW86" s="445"/>
      <c r="BX86" s="445"/>
      <c r="BY86" s="445"/>
      <c r="BZ86" s="445"/>
      <c r="CA86" s="445"/>
      <c r="CB86" s="445"/>
      <c r="CC86" s="445"/>
      <c r="CD86" s="445"/>
      <c r="CE86" s="445"/>
      <c r="CF86" s="289"/>
      <c r="CG86" s="289"/>
      <c r="CH86" s="289"/>
      <c r="CI86" s="289"/>
      <c r="CJ86" s="289"/>
      <c r="CK86" s="289"/>
      <c r="CL86" s="289"/>
      <c r="CM86" s="289"/>
      <c r="CN86" s="289"/>
      <c r="CO86" s="289"/>
      <c r="CP86" s="289"/>
      <c r="CQ86" s="289"/>
      <c r="CR86" s="289"/>
      <c r="CS86" s="289"/>
      <c r="CT86" s="289"/>
      <c r="CU86" s="289"/>
      <c r="CV86" s="289"/>
      <c r="CW86" s="289"/>
      <c r="CX86" s="289"/>
      <c r="CY86" s="289"/>
      <c r="CZ86" s="289"/>
    </row>
    <row r="87" spans="1:104" x14ac:dyDescent="0.45">
      <c r="A87" s="289"/>
      <c r="B87" s="294"/>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c r="AA87" s="445"/>
      <c r="AB87" s="445"/>
      <c r="AC87" s="445"/>
      <c r="AD87" s="445"/>
      <c r="AE87" s="445"/>
      <c r="AF87" s="445"/>
      <c r="AG87" s="445"/>
      <c r="AH87" s="445"/>
      <c r="AI87" s="445"/>
      <c r="AJ87" s="445"/>
      <c r="AK87" s="445"/>
      <c r="AL87" s="445"/>
      <c r="AM87" s="445"/>
      <c r="AN87" s="445"/>
      <c r="AO87" s="445"/>
      <c r="AP87" s="445"/>
      <c r="AQ87" s="445"/>
      <c r="AR87" s="445"/>
      <c r="AS87" s="445"/>
      <c r="AT87" s="445"/>
      <c r="AU87" s="445"/>
      <c r="AV87" s="445"/>
      <c r="AW87" s="445"/>
      <c r="AX87" s="445"/>
      <c r="AY87" s="445"/>
      <c r="AZ87" s="445"/>
      <c r="BA87" s="445"/>
      <c r="BB87" s="445"/>
      <c r="BC87" s="445"/>
      <c r="BD87" s="445"/>
      <c r="BE87" s="445"/>
      <c r="BF87" s="445"/>
      <c r="BG87" s="445"/>
      <c r="BH87" s="445"/>
      <c r="BI87" s="445"/>
      <c r="BJ87" s="445"/>
      <c r="BK87" s="445"/>
      <c r="BL87" s="445"/>
      <c r="BM87" s="445"/>
      <c r="BN87" s="445"/>
      <c r="BO87" s="445"/>
      <c r="BP87" s="445"/>
      <c r="BQ87" s="445"/>
      <c r="BR87" s="445"/>
      <c r="BS87" s="445"/>
      <c r="BT87" s="445"/>
      <c r="BU87" s="445"/>
      <c r="BV87" s="445"/>
      <c r="BW87" s="445"/>
      <c r="BX87" s="445"/>
      <c r="BY87" s="445"/>
      <c r="BZ87" s="445"/>
      <c r="CA87" s="445"/>
      <c r="CB87" s="445"/>
      <c r="CC87" s="445"/>
      <c r="CD87" s="445"/>
      <c r="CE87" s="445"/>
      <c r="CF87" s="289"/>
      <c r="CG87" s="289"/>
      <c r="CH87" s="289"/>
      <c r="CI87" s="289"/>
      <c r="CJ87" s="289"/>
      <c r="CK87" s="289"/>
      <c r="CL87" s="289"/>
      <c r="CM87" s="289"/>
      <c r="CN87" s="289"/>
      <c r="CO87" s="289"/>
      <c r="CP87" s="289"/>
      <c r="CQ87" s="289"/>
      <c r="CR87" s="289"/>
      <c r="CS87" s="289"/>
      <c r="CT87" s="289"/>
      <c r="CU87" s="289"/>
      <c r="CV87" s="289"/>
      <c r="CW87" s="289"/>
      <c r="CX87" s="289"/>
      <c r="CY87" s="289"/>
      <c r="CZ87" s="289"/>
    </row>
    <row r="88" spans="1:104" x14ac:dyDescent="0.45">
      <c r="A88" s="289"/>
      <c r="B88" s="294"/>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c r="AA88" s="445"/>
      <c r="AB88" s="445"/>
      <c r="AC88" s="445"/>
      <c r="AD88" s="445"/>
      <c r="AE88" s="445"/>
      <c r="AF88" s="445"/>
      <c r="AG88" s="445"/>
      <c r="AH88" s="445"/>
      <c r="AI88" s="445"/>
      <c r="AJ88" s="445"/>
      <c r="AK88" s="445"/>
      <c r="AL88" s="445"/>
      <c r="AM88" s="445"/>
      <c r="AN88" s="445"/>
      <c r="AO88" s="445"/>
      <c r="AP88" s="445"/>
      <c r="AQ88" s="445"/>
      <c r="AR88" s="445"/>
      <c r="AS88" s="445"/>
      <c r="AT88" s="445"/>
      <c r="AU88" s="445"/>
      <c r="AV88" s="445"/>
      <c r="AW88" s="445"/>
      <c r="AX88" s="445"/>
      <c r="AY88" s="445"/>
      <c r="AZ88" s="445"/>
      <c r="BA88" s="445"/>
      <c r="BB88" s="445"/>
      <c r="BC88" s="445"/>
      <c r="BD88" s="445"/>
      <c r="BE88" s="445"/>
      <c r="BF88" s="445"/>
      <c r="BG88" s="445"/>
      <c r="BH88" s="445"/>
      <c r="BI88" s="445"/>
      <c r="BJ88" s="445"/>
      <c r="BK88" s="445"/>
      <c r="BL88" s="445"/>
      <c r="BM88" s="445"/>
      <c r="BN88" s="445"/>
      <c r="BO88" s="445"/>
      <c r="BP88" s="445"/>
      <c r="BQ88" s="445"/>
      <c r="BR88" s="445"/>
      <c r="BS88" s="445"/>
      <c r="BT88" s="445"/>
      <c r="BU88" s="445"/>
      <c r="BV88" s="445"/>
      <c r="BW88" s="445"/>
      <c r="BX88" s="445"/>
      <c r="BY88" s="445"/>
      <c r="BZ88" s="445"/>
      <c r="CA88" s="445"/>
      <c r="CB88" s="445"/>
      <c r="CC88" s="445"/>
      <c r="CD88" s="445"/>
      <c r="CE88" s="445"/>
      <c r="CF88" s="289"/>
      <c r="CG88" s="289"/>
      <c r="CH88" s="289"/>
      <c r="CI88" s="289"/>
      <c r="CJ88" s="289"/>
      <c r="CK88" s="289"/>
      <c r="CL88" s="289"/>
      <c r="CM88" s="289"/>
      <c r="CN88" s="289"/>
      <c r="CO88" s="289"/>
      <c r="CP88" s="289"/>
      <c r="CQ88" s="289"/>
      <c r="CR88" s="289"/>
      <c r="CS88" s="289"/>
      <c r="CT88" s="289"/>
      <c r="CU88" s="289"/>
      <c r="CV88" s="289"/>
      <c r="CW88" s="289"/>
      <c r="CX88" s="289"/>
      <c r="CY88" s="289"/>
      <c r="CZ88" s="289"/>
    </row>
    <row r="89" spans="1:104" x14ac:dyDescent="0.45">
      <c r="A89" s="289"/>
      <c r="B89" s="294"/>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445"/>
      <c r="AE89" s="445"/>
      <c r="AF89" s="445"/>
      <c r="AG89" s="445"/>
      <c r="AH89" s="445"/>
      <c r="AI89" s="445"/>
      <c r="AJ89" s="445"/>
      <c r="AK89" s="445"/>
      <c r="AL89" s="445"/>
      <c r="AM89" s="445"/>
      <c r="AN89" s="445"/>
      <c r="AO89" s="445"/>
      <c r="AP89" s="445"/>
      <c r="AQ89" s="445"/>
      <c r="AR89" s="445"/>
      <c r="AS89" s="445"/>
      <c r="AT89" s="445"/>
      <c r="AU89" s="445"/>
      <c r="AV89" s="445"/>
      <c r="AW89" s="445"/>
      <c r="AX89" s="445"/>
      <c r="AY89" s="445"/>
      <c r="AZ89" s="445"/>
      <c r="BA89" s="445"/>
      <c r="BB89" s="445"/>
      <c r="BC89" s="445"/>
      <c r="BD89" s="445"/>
      <c r="BE89" s="445"/>
      <c r="BF89" s="445"/>
      <c r="BG89" s="445"/>
      <c r="BH89" s="445"/>
      <c r="BI89" s="445"/>
      <c r="BJ89" s="445"/>
      <c r="BK89" s="445"/>
      <c r="BL89" s="445"/>
      <c r="BM89" s="445"/>
      <c r="BN89" s="445"/>
      <c r="BO89" s="445"/>
      <c r="BP89" s="445"/>
      <c r="BQ89" s="445"/>
      <c r="BR89" s="445"/>
      <c r="BS89" s="445"/>
      <c r="BT89" s="445"/>
      <c r="BU89" s="445"/>
      <c r="BV89" s="445"/>
      <c r="BW89" s="445"/>
      <c r="BX89" s="445"/>
      <c r="BY89" s="445"/>
      <c r="BZ89" s="445"/>
      <c r="CA89" s="445"/>
      <c r="CB89" s="445"/>
      <c r="CC89" s="445"/>
      <c r="CD89" s="445"/>
      <c r="CE89" s="445"/>
      <c r="CF89" s="289"/>
      <c r="CG89" s="289"/>
      <c r="CH89" s="289"/>
      <c r="CI89" s="289"/>
      <c r="CJ89" s="289"/>
      <c r="CK89" s="289"/>
      <c r="CL89" s="289"/>
      <c r="CM89" s="289"/>
      <c r="CN89" s="289"/>
      <c r="CO89" s="289"/>
      <c r="CP89" s="289"/>
      <c r="CQ89" s="289"/>
      <c r="CR89" s="289"/>
      <c r="CS89" s="289"/>
      <c r="CT89" s="289"/>
      <c r="CU89" s="289"/>
      <c r="CV89" s="289"/>
      <c r="CW89" s="289"/>
      <c r="CX89" s="289"/>
      <c r="CY89" s="289"/>
      <c r="CZ89" s="289"/>
    </row>
    <row r="90" spans="1:104" x14ac:dyDescent="0.45">
      <c r="A90" s="289"/>
      <c r="B90" s="294"/>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c r="AA90" s="445"/>
      <c r="AB90" s="445"/>
      <c r="AC90" s="445"/>
      <c r="AD90" s="445"/>
      <c r="AE90" s="445"/>
      <c r="AF90" s="445"/>
      <c r="AG90" s="445"/>
      <c r="AH90" s="445"/>
      <c r="AI90" s="445"/>
      <c r="AJ90" s="445"/>
      <c r="AK90" s="445"/>
      <c r="AL90" s="445"/>
      <c r="AM90" s="445"/>
      <c r="AN90" s="445"/>
      <c r="AO90" s="445"/>
      <c r="AP90" s="445"/>
      <c r="AQ90" s="445"/>
      <c r="AR90" s="445"/>
      <c r="AS90" s="445"/>
      <c r="AT90" s="445"/>
      <c r="AU90" s="445"/>
      <c r="AV90" s="445"/>
      <c r="AW90" s="445"/>
      <c r="AX90" s="445"/>
      <c r="AY90" s="445"/>
      <c r="AZ90" s="445"/>
      <c r="BA90" s="445"/>
      <c r="BB90" s="445"/>
      <c r="BC90" s="445"/>
      <c r="BD90" s="445"/>
      <c r="BE90" s="445"/>
      <c r="BF90" s="445"/>
      <c r="BG90" s="445"/>
      <c r="BH90" s="445"/>
      <c r="BI90" s="445"/>
      <c r="BJ90" s="445"/>
      <c r="BK90" s="445"/>
      <c r="BL90" s="445"/>
      <c r="BM90" s="445"/>
      <c r="BN90" s="445"/>
      <c r="BO90" s="445"/>
      <c r="BP90" s="445"/>
      <c r="BQ90" s="445"/>
      <c r="BR90" s="445"/>
      <c r="BS90" s="445"/>
      <c r="BT90" s="445"/>
      <c r="BU90" s="445"/>
      <c r="BV90" s="445"/>
      <c r="BW90" s="445"/>
      <c r="BX90" s="445"/>
      <c r="BY90" s="445"/>
      <c r="BZ90" s="445"/>
      <c r="CA90" s="445"/>
      <c r="CB90" s="445"/>
      <c r="CC90" s="445"/>
      <c r="CD90" s="445"/>
      <c r="CE90" s="445"/>
      <c r="CF90" s="289"/>
      <c r="CG90" s="289"/>
      <c r="CH90" s="289"/>
      <c r="CI90" s="289"/>
      <c r="CJ90" s="289"/>
      <c r="CK90" s="289"/>
      <c r="CL90" s="289"/>
      <c r="CM90" s="289"/>
      <c r="CN90" s="289"/>
      <c r="CO90" s="289"/>
      <c r="CP90" s="289"/>
      <c r="CQ90" s="289"/>
      <c r="CR90" s="289"/>
      <c r="CS90" s="289"/>
      <c r="CT90" s="289"/>
      <c r="CU90" s="289"/>
      <c r="CV90" s="289"/>
      <c r="CW90" s="289"/>
      <c r="CX90" s="289"/>
      <c r="CY90" s="289"/>
      <c r="CZ90" s="289"/>
    </row>
    <row r="91" spans="1:104" x14ac:dyDescent="0.45">
      <c r="A91" s="289"/>
      <c r="B91" s="294"/>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c r="AA91" s="445"/>
      <c r="AB91" s="445"/>
      <c r="AC91" s="445"/>
      <c r="AD91" s="445"/>
      <c r="AE91" s="445"/>
      <c r="AF91" s="445"/>
      <c r="AG91" s="445"/>
      <c r="AH91" s="445"/>
      <c r="AI91" s="445"/>
      <c r="AJ91" s="445"/>
      <c r="AK91" s="445"/>
      <c r="AL91" s="445"/>
      <c r="AM91" s="445"/>
      <c r="AN91" s="445"/>
      <c r="AO91" s="445"/>
      <c r="AP91" s="445"/>
      <c r="AQ91" s="445"/>
      <c r="AR91" s="445"/>
      <c r="AS91" s="445"/>
      <c r="AT91" s="445"/>
      <c r="AU91" s="445"/>
      <c r="AV91" s="445"/>
      <c r="AW91" s="445"/>
      <c r="AX91" s="445"/>
      <c r="AY91" s="445"/>
      <c r="AZ91" s="445"/>
      <c r="BA91" s="445"/>
      <c r="BB91" s="445"/>
      <c r="BC91" s="445"/>
      <c r="BD91" s="445"/>
      <c r="BE91" s="445"/>
      <c r="BF91" s="445"/>
      <c r="BG91" s="445"/>
      <c r="BH91" s="445"/>
      <c r="BI91" s="445"/>
      <c r="BJ91" s="445"/>
      <c r="BK91" s="445"/>
      <c r="BL91" s="445"/>
      <c r="BM91" s="445"/>
      <c r="BN91" s="445"/>
      <c r="BO91" s="445"/>
      <c r="BP91" s="445"/>
      <c r="BQ91" s="445"/>
      <c r="BR91" s="445"/>
      <c r="BS91" s="445"/>
      <c r="BT91" s="445"/>
      <c r="BU91" s="445"/>
      <c r="BV91" s="445"/>
      <c r="BW91" s="445"/>
      <c r="BX91" s="445"/>
      <c r="BY91" s="445"/>
      <c r="BZ91" s="445"/>
      <c r="CA91" s="445"/>
      <c r="CB91" s="445"/>
      <c r="CC91" s="445"/>
      <c r="CD91" s="445"/>
      <c r="CE91" s="445"/>
      <c r="CF91" s="289"/>
      <c r="CG91" s="289"/>
      <c r="CH91" s="289"/>
      <c r="CI91" s="289"/>
      <c r="CJ91" s="289"/>
      <c r="CK91" s="289"/>
      <c r="CL91" s="289"/>
      <c r="CM91" s="289"/>
      <c r="CN91" s="289"/>
      <c r="CO91" s="289"/>
      <c r="CP91" s="289"/>
      <c r="CQ91" s="289"/>
      <c r="CR91" s="289"/>
      <c r="CS91" s="289"/>
      <c r="CT91" s="289"/>
      <c r="CU91" s="289"/>
      <c r="CV91" s="289"/>
      <c r="CW91" s="289"/>
      <c r="CX91" s="289"/>
      <c r="CY91" s="289"/>
      <c r="CZ91" s="289"/>
    </row>
    <row r="92" spans="1:104" x14ac:dyDescent="0.45">
      <c r="A92" s="289"/>
      <c r="B92" s="294"/>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c r="AA92" s="445"/>
      <c r="AB92" s="445"/>
      <c r="AC92" s="445"/>
      <c r="AD92" s="445"/>
      <c r="AE92" s="445"/>
      <c r="AF92" s="445"/>
      <c r="AG92" s="445"/>
      <c r="AH92" s="445"/>
      <c r="AI92" s="445"/>
      <c r="AJ92" s="445"/>
      <c r="AK92" s="445"/>
      <c r="AL92" s="445"/>
      <c r="AM92" s="445"/>
      <c r="AN92" s="445"/>
      <c r="AO92" s="445"/>
      <c r="AP92" s="445"/>
      <c r="AQ92" s="445"/>
      <c r="AR92" s="445"/>
      <c r="AS92" s="445"/>
      <c r="AT92" s="445"/>
      <c r="AU92" s="445"/>
      <c r="AV92" s="445"/>
      <c r="AW92" s="445"/>
      <c r="AX92" s="445"/>
      <c r="AY92" s="445"/>
      <c r="AZ92" s="445"/>
      <c r="BA92" s="445"/>
      <c r="BB92" s="445"/>
      <c r="BC92" s="445"/>
      <c r="BD92" s="445"/>
      <c r="BE92" s="445"/>
      <c r="BF92" s="445"/>
      <c r="BG92" s="445"/>
      <c r="BH92" s="445"/>
      <c r="BI92" s="445"/>
      <c r="BJ92" s="445"/>
      <c r="BK92" s="445"/>
      <c r="BL92" s="445"/>
      <c r="BM92" s="445"/>
      <c r="BN92" s="445"/>
      <c r="BO92" s="445"/>
      <c r="BP92" s="445"/>
      <c r="BQ92" s="445"/>
      <c r="BR92" s="445"/>
      <c r="BS92" s="445"/>
      <c r="BT92" s="445"/>
      <c r="BU92" s="445"/>
      <c r="BV92" s="445"/>
      <c r="BW92" s="445"/>
      <c r="BX92" s="445"/>
      <c r="BY92" s="445"/>
      <c r="BZ92" s="445"/>
      <c r="CA92" s="445"/>
      <c r="CB92" s="445"/>
      <c r="CC92" s="445"/>
      <c r="CD92" s="445"/>
      <c r="CE92" s="445"/>
      <c r="CF92" s="289"/>
      <c r="CG92" s="289"/>
      <c r="CH92" s="289"/>
      <c r="CI92" s="289"/>
      <c r="CJ92" s="289"/>
      <c r="CK92" s="289"/>
      <c r="CL92" s="289"/>
      <c r="CM92" s="289"/>
      <c r="CN92" s="289"/>
      <c r="CO92" s="289"/>
      <c r="CP92" s="289"/>
      <c r="CQ92" s="289"/>
      <c r="CR92" s="289"/>
      <c r="CS92" s="289"/>
      <c r="CT92" s="289"/>
      <c r="CU92" s="289"/>
      <c r="CV92" s="289"/>
      <c r="CW92" s="289"/>
      <c r="CX92" s="289"/>
      <c r="CY92" s="289"/>
      <c r="CZ92" s="289"/>
    </row>
    <row r="93" spans="1:104" x14ac:dyDescent="0.45">
      <c r="A93" s="289"/>
      <c r="B93" s="294"/>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5"/>
      <c r="AB93" s="445"/>
      <c r="AC93" s="445"/>
      <c r="AD93" s="445"/>
      <c r="AE93" s="445"/>
      <c r="AF93" s="445"/>
      <c r="AG93" s="445"/>
      <c r="AH93" s="445"/>
      <c r="AI93" s="445"/>
      <c r="AJ93" s="445"/>
      <c r="AK93" s="445"/>
      <c r="AL93" s="445"/>
      <c r="AM93" s="445"/>
      <c r="AN93" s="445"/>
      <c r="AO93" s="445"/>
      <c r="AP93" s="445"/>
      <c r="AQ93" s="445"/>
      <c r="AR93" s="445"/>
      <c r="AS93" s="445"/>
      <c r="AT93" s="445"/>
      <c r="AU93" s="445"/>
      <c r="AV93" s="445"/>
      <c r="AW93" s="445"/>
      <c r="AX93" s="445"/>
      <c r="AY93" s="445"/>
      <c r="AZ93" s="445"/>
      <c r="BA93" s="445"/>
      <c r="BB93" s="445"/>
      <c r="BC93" s="445"/>
      <c r="BD93" s="445"/>
      <c r="BE93" s="445"/>
      <c r="BF93" s="445"/>
      <c r="BG93" s="445"/>
      <c r="BH93" s="445"/>
      <c r="BI93" s="445"/>
      <c r="BJ93" s="445"/>
      <c r="BK93" s="445"/>
      <c r="BL93" s="445"/>
      <c r="BM93" s="445"/>
      <c r="BN93" s="445"/>
      <c r="BO93" s="445"/>
      <c r="BP93" s="445"/>
      <c r="BQ93" s="445"/>
      <c r="BR93" s="445"/>
      <c r="BS93" s="445"/>
      <c r="BT93" s="445"/>
      <c r="BU93" s="445"/>
      <c r="BV93" s="445"/>
      <c r="BW93" s="445"/>
      <c r="BX93" s="445"/>
      <c r="BY93" s="445"/>
      <c r="BZ93" s="445"/>
      <c r="CA93" s="445"/>
      <c r="CB93" s="445"/>
      <c r="CC93" s="445"/>
      <c r="CD93" s="445"/>
      <c r="CE93" s="445"/>
      <c r="CF93" s="289"/>
      <c r="CG93" s="289"/>
      <c r="CH93" s="289"/>
      <c r="CI93" s="289"/>
      <c r="CJ93" s="289"/>
      <c r="CK93" s="289"/>
      <c r="CL93" s="289"/>
      <c r="CM93" s="289"/>
      <c r="CN93" s="289"/>
      <c r="CO93" s="289"/>
      <c r="CP93" s="289"/>
      <c r="CQ93" s="289"/>
      <c r="CR93" s="289"/>
      <c r="CS93" s="289"/>
      <c r="CT93" s="289"/>
      <c r="CU93" s="289"/>
      <c r="CV93" s="289"/>
      <c r="CW93" s="289"/>
      <c r="CX93" s="289"/>
      <c r="CY93" s="289"/>
      <c r="CZ93" s="289"/>
    </row>
    <row r="94" spans="1:104" x14ac:dyDescent="0.45">
      <c r="A94" s="289"/>
      <c r="B94" s="294"/>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c r="AA94" s="445"/>
      <c r="AB94" s="445"/>
      <c r="AC94" s="445"/>
      <c r="AD94" s="445"/>
      <c r="AE94" s="445"/>
      <c r="AF94" s="445"/>
      <c r="AG94" s="445"/>
      <c r="AH94" s="445"/>
      <c r="AI94" s="445"/>
      <c r="AJ94" s="445"/>
      <c r="AK94" s="445"/>
      <c r="AL94" s="445"/>
      <c r="AM94" s="445"/>
      <c r="AN94" s="445"/>
      <c r="AO94" s="445"/>
      <c r="AP94" s="445"/>
      <c r="AQ94" s="445"/>
      <c r="AR94" s="445"/>
      <c r="AS94" s="445"/>
      <c r="AT94" s="445"/>
      <c r="AU94" s="445"/>
      <c r="AV94" s="445"/>
      <c r="AW94" s="445"/>
      <c r="AX94" s="445"/>
      <c r="AY94" s="445"/>
      <c r="AZ94" s="445"/>
      <c r="BA94" s="445"/>
      <c r="BB94" s="445"/>
      <c r="BC94" s="445"/>
      <c r="BD94" s="445"/>
      <c r="BE94" s="445"/>
      <c r="BF94" s="445"/>
      <c r="BG94" s="445"/>
      <c r="BH94" s="445"/>
      <c r="BI94" s="445"/>
      <c r="BJ94" s="445"/>
      <c r="BK94" s="445"/>
      <c r="BL94" s="445"/>
      <c r="BM94" s="445"/>
      <c r="BN94" s="445"/>
      <c r="BO94" s="445"/>
      <c r="BP94" s="445"/>
      <c r="BQ94" s="445"/>
      <c r="BR94" s="445"/>
      <c r="BS94" s="445"/>
      <c r="BT94" s="445"/>
      <c r="BU94" s="445"/>
      <c r="BV94" s="445"/>
      <c r="BW94" s="445"/>
      <c r="BX94" s="445"/>
      <c r="BY94" s="445"/>
      <c r="BZ94" s="445"/>
      <c r="CA94" s="445"/>
      <c r="CB94" s="445"/>
      <c r="CC94" s="445"/>
      <c r="CD94" s="445"/>
      <c r="CE94" s="445"/>
      <c r="CF94" s="289"/>
      <c r="CG94" s="289"/>
      <c r="CH94" s="289"/>
      <c r="CI94" s="289"/>
      <c r="CJ94" s="289"/>
      <c r="CK94" s="289"/>
      <c r="CL94" s="289"/>
      <c r="CM94" s="289"/>
      <c r="CN94" s="289"/>
      <c r="CO94" s="289"/>
      <c r="CP94" s="289"/>
      <c r="CQ94" s="289"/>
      <c r="CR94" s="289"/>
      <c r="CS94" s="289"/>
      <c r="CT94" s="289"/>
      <c r="CU94" s="289"/>
      <c r="CV94" s="289"/>
      <c r="CW94" s="289"/>
      <c r="CX94" s="289"/>
      <c r="CY94" s="289"/>
      <c r="CZ94" s="289"/>
    </row>
    <row r="95" spans="1:104" x14ac:dyDescent="0.45">
      <c r="A95" s="289"/>
      <c r="B95" s="294"/>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c r="AA95" s="445"/>
      <c r="AB95" s="445"/>
      <c r="AC95" s="445"/>
      <c r="AD95" s="445"/>
      <c r="AE95" s="445"/>
      <c r="AF95" s="445"/>
      <c r="AG95" s="445"/>
      <c r="AH95" s="445"/>
      <c r="AI95" s="445"/>
      <c r="AJ95" s="445"/>
      <c r="AK95" s="445"/>
      <c r="AL95" s="445"/>
      <c r="AM95" s="445"/>
      <c r="AN95" s="445"/>
      <c r="AO95" s="445"/>
      <c r="AP95" s="445"/>
      <c r="AQ95" s="445"/>
      <c r="AR95" s="445"/>
      <c r="AS95" s="445"/>
      <c r="AT95" s="445"/>
      <c r="AU95" s="445"/>
      <c r="AV95" s="445"/>
      <c r="AW95" s="445"/>
      <c r="AX95" s="445"/>
      <c r="AY95" s="445"/>
      <c r="AZ95" s="445"/>
      <c r="BA95" s="445"/>
      <c r="BB95" s="445"/>
      <c r="BC95" s="445"/>
      <c r="BD95" s="445"/>
      <c r="BE95" s="445"/>
      <c r="BF95" s="445"/>
      <c r="BG95" s="445"/>
      <c r="BH95" s="445"/>
      <c r="BI95" s="445"/>
      <c r="BJ95" s="445"/>
      <c r="BK95" s="445"/>
      <c r="BL95" s="445"/>
      <c r="BM95" s="445"/>
      <c r="BN95" s="445"/>
      <c r="BO95" s="445"/>
      <c r="BP95" s="445"/>
      <c r="BQ95" s="445"/>
      <c r="BR95" s="445"/>
      <c r="BS95" s="445"/>
      <c r="BT95" s="445"/>
      <c r="BU95" s="445"/>
      <c r="BV95" s="445"/>
      <c r="BW95" s="445"/>
      <c r="BX95" s="445"/>
      <c r="BY95" s="445"/>
      <c r="BZ95" s="445"/>
      <c r="CA95" s="445"/>
      <c r="CB95" s="445"/>
      <c r="CC95" s="445"/>
      <c r="CD95" s="445"/>
      <c r="CE95" s="445"/>
      <c r="CF95" s="289"/>
      <c r="CG95" s="289"/>
      <c r="CH95" s="289"/>
      <c r="CI95" s="289"/>
      <c r="CJ95" s="289"/>
      <c r="CK95" s="289"/>
      <c r="CL95" s="289"/>
      <c r="CM95" s="289"/>
      <c r="CN95" s="289"/>
      <c r="CO95" s="289"/>
      <c r="CP95" s="289"/>
      <c r="CQ95" s="289"/>
      <c r="CR95" s="289"/>
      <c r="CS95" s="289"/>
      <c r="CT95" s="289"/>
      <c r="CU95" s="289"/>
      <c r="CV95" s="289"/>
      <c r="CW95" s="289"/>
      <c r="CX95" s="289"/>
      <c r="CY95" s="289"/>
      <c r="CZ95" s="289"/>
    </row>
    <row r="96" spans="1:104" x14ac:dyDescent="0.45">
      <c r="A96" s="289"/>
      <c r="B96" s="294"/>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5"/>
      <c r="BJ96" s="445"/>
      <c r="BK96" s="445"/>
      <c r="BL96" s="445"/>
      <c r="BM96" s="445"/>
      <c r="BN96" s="445"/>
      <c r="BO96" s="445"/>
      <c r="BP96" s="445"/>
      <c r="BQ96" s="445"/>
      <c r="BR96" s="445"/>
      <c r="BS96" s="445"/>
      <c r="BT96" s="445"/>
      <c r="BU96" s="445"/>
      <c r="BV96" s="445"/>
      <c r="BW96" s="445"/>
      <c r="BX96" s="445"/>
      <c r="BY96" s="445"/>
      <c r="BZ96" s="445"/>
      <c r="CA96" s="445"/>
      <c r="CB96" s="445"/>
      <c r="CC96" s="445"/>
      <c r="CD96" s="445"/>
      <c r="CE96" s="445"/>
      <c r="CF96" s="289"/>
      <c r="CG96" s="289"/>
      <c r="CH96" s="289"/>
      <c r="CI96" s="289"/>
      <c r="CJ96" s="289"/>
      <c r="CK96" s="289"/>
      <c r="CL96" s="289"/>
      <c r="CM96" s="289"/>
      <c r="CN96" s="289"/>
      <c r="CO96" s="289"/>
      <c r="CP96" s="289"/>
      <c r="CQ96" s="289"/>
      <c r="CR96" s="289"/>
      <c r="CS96" s="289"/>
      <c r="CT96" s="289"/>
      <c r="CU96" s="289"/>
      <c r="CV96" s="289"/>
      <c r="CW96" s="289"/>
      <c r="CX96" s="289"/>
      <c r="CY96" s="289"/>
      <c r="CZ96" s="289"/>
    </row>
    <row r="97" spans="1:104" x14ac:dyDescent="0.45">
      <c r="A97" s="289"/>
      <c r="B97" s="294"/>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5"/>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5"/>
      <c r="BJ97" s="445"/>
      <c r="BK97" s="445"/>
      <c r="BL97" s="445"/>
      <c r="BM97" s="445"/>
      <c r="BN97" s="445"/>
      <c r="BO97" s="445"/>
      <c r="BP97" s="445"/>
      <c r="BQ97" s="445"/>
      <c r="BR97" s="445"/>
      <c r="BS97" s="445"/>
      <c r="BT97" s="445"/>
      <c r="BU97" s="445"/>
      <c r="BV97" s="445"/>
      <c r="BW97" s="445"/>
      <c r="BX97" s="445"/>
      <c r="BY97" s="445"/>
      <c r="BZ97" s="445"/>
      <c r="CA97" s="445"/>
      <c r="CB97" s="445"/>
      <c r="CC97" s="445"/>
      <c r="CD97" s="445"/>
      <c r="CE97" s="445"/>
      <c r="CF97" s="289"/>
      <c r="CG97" s="289"/>
      <c r="CH97" s="289"/>
      <c r="CI97" s="289"/>
      <c r="CJ97" s="289"/>
      <c r="CK97" s="289"/>
      <c r="CL97" s="289"/>
      <c r="CM97" s="289"/>
      <c r="CN97" s="289"/>
      <c r="CO97" s="289"/>
      <c r="CP97" s="289"/>
      <c r="CQ97" s="289"/>
      <c r="CR97" s="289"/>
      <c r="CS97" s="289"/>
      <c r="CT97" s="289"/>
      <c r="CU97" s="289"/>
      <c r="CV97" s="289"/>
      <c r="CW97" s="289"/>
      <c r="CX97" s="289"/>
      <c r="CY97" s="289"/>
      <c r="CZ97" s="289"/>
    </row>
    <row r="98" spans="1:104" x14ac:dyDescent="0.45">
      <c r="A98" s="289"/>
      <c r="B98" s="294"/>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5"/>
      <c r="AB98" s="445"/>
      <c r="AC98" s="445"/>
      <c r="AD98" s="445"/>
      <c r="AE98" s="445"/>
      <c r="AF98" s="445"/>
      <c r="AG98" s="445"/>
      <c r="AH98" s="445"/>
      <c r="AI98" s="445"/>
      <c r="AJ98" s="445"/>
      <c r="AK98" s="445"/>
      <c r="AL98" s="445"/>
      <c r="AM98" s="445"/>
      <c r="AN98" s="445"/>
      <c r="AO98" s="445"/>
      <c r="AP98" s="445"/>
      <c r="AQ98" s="445"/>
      <c r="AR98" s="445"/>
      <c r="AS98" s="445"/>
      <c r="AT98" s="445"/>
      <c r="AU98" s="445"/>
      <c r="AV98" s="445"/>
      <c r="AW98" s="445"/>
      <c r="AX98" s="445"/>
      <c r="AY98" s="445"/>
      <c r="AZ98" s="445"/>
      <c r="BA98" s="445"/>
      <c r="BB98" s="445"/>
      <c r="BC98" s="445"/>
      <c r="BD98" s="445"/>
      <c r="BE98" s="445"/>
      <c r="BF98" s="445"/>
      <c r="BG98" s="445"/>
      <c r="BH98" s="445"/>
      <c r="BI98" s="445"/>
      <c r="BJ98" s="445"/>
      <c r="BK98" s="445"/>
      <c r="BL98" s="445"/>
      <c r="BM98" s="445"/>
      <c r="BN98" s="445"/>
      <c r="BO98" s="445"/>
      <c r="BP98" s="445"/>
      <c r="BQ98" s="445"/>
      <c r="BR98" s="445"/>
      <c r="BS98" s="445"/>
      <c r="BT98" s="445"/>
      <c r="BU98" s="445"/>
      <c r="BV98" s="445"/>
      <c r="BW98" s="445"/>
      <c r="BX98" s="445"/>
      <c r="BY98" s="445"/>
      <c r="BZ98" s="445"/>
      <c r="CA98" s="445"/>
      <c r="CB98" s="445"/>
      <c r="CC98" s="445"/>
      <c r="CD98" s="445"/>
      <c r="CE98" s="445"/>
      <c r="CF98" s="289"/>
      <c r="CG98" s="289"/>
      <c r="CH98" s="289"/>
      <c r="CI98" s="289"/>
      <c r="CJ98" s="289"/>
      <c r="CK98" s="289"/>
      <c r="CL98" s="289"/>
      <c r="CM98" s="289"/>
      <c r="CN98" s="289"/>
      <c r="CO98" s="289"/>
      <c r="CP98" s="289"/>
      <c r="CQ98" s="289"/>
      <c r="CR98" s="289"/>
      <c r="CS98" s="289"/>
      <c r="CT98" s="289"/>
      <c r="CU98" s="289"/>
      <c r="CV98" s="289"/>
      <c r="CW98" s="289"/>
      <c r="CX98" s="289"/>
      <c r="CY98" s="289"/>
      <c r="CZ98" s="289"/>
    </row>
    <row r="99" spans="1:104" x14ac:dyDescent="0.45">
      <c r="A99" s="289"/>
      <c r="B99" s="294"/>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5"/>
      <c r="AB99" s="445"/>
      <c r="AC99" s="445"/>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5"/>
      <c r="BB99" s="445"/>
      <c r="BC99" s="445"/>
      <c r="BD99" s="445"/>
      <c r="BE99" s="445"/>
      <c r="BF99" s="445"/>
      <c r="BG99" s="445"/>
      <c r="BH99" s="445"/>
      <c r="BI99" s="445"/>
      <c r="BJ99" s="445"/>
      <c r="BK99" s="445"/>
      <c r="BL99" s="445"/>
      <c r="BM99" s="445"/>
      <c r="BN99" s="445"/>
      <c r="BO99" s="445"/>
      <c r="BP99" s="445"/>
      <c r="BQ99" s="445"/>
      <c r="BR99" s="445"/>
      <c r="BS99" s="445"/>
      <c r="BT99" s="445"/>
      <c r="BU99" s="445"/>
      <c r="BV99" s="445"/>
      <c r="BW99" s="445"/>
      <c r="BX99" s="445"/>
      <c r="BY99" s="445"/>
      <c r="BZ99" s="445"/>
      <c r="CA99" s="445"/>
      <c r="CB99" s="445"/>
      <c r="CC99" s="445"/>
      <c r="CD99" s="445"/>
      <c r="CE99" s="445"/>
      <c r="CF99" s="289"/>
      <c r="CG99" s="289"/>
      <c r="CH99" s="289"/>
      <c r="CI99" s="289"/>
      <c r="CJ99" s="289"/>
      <c r="CK99" s="289"/>
      <c r="CL99" s="289"/>
      <c r="CM99" s="289"/>
      <c r="CN99" s="289"/>
      <c r="CO99" s="289"/>
      <c r="CP99" s="289"/>
      <c r="CQ99" s="289"/>
      <c r="CR99" s="289"/>
      <c r="CS99" s="289"/>
      <c r="CT99" s="289"/>
      <c r="CU99" s="289"/>
      <c r="CV99" s="289"/>
      <c r="CW99" s="289"/>
      <c r="CX99" s="289"/>
      <c r="CY99" s="289"/>
      <c r="CZ99" s="289"/>
    </row>
    <row r="100" spans="1:104" x14ac:dyDescent="0.45">
      <c r="A100" s="289"/>
      <c r="B100" s="294"/>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5"/>
      <c r="AB100" s="445"/>
      <c r="AC100" s="445"/>
      <c r="AD100" s="445"/>
      <c r="AE100" s="445"/>
      <c r="AF100" s="445"/>
      <c r="AG100" s="445"/>
      <c r="AH100" s="445"/>
      <c r="AI100" s="445"/>
      <c r="AJ100" s="445"/>
      <c r="AK100" s="445"/>
      <c r="AL100" s="445"/>
      <c r="AM100" s="445"/>
      <c r="AN100" s="445"/>
      <c r="AO100" s="445"/>
      <c r="AP100" s="445"/>
      <c r="AQ100" s="445"/>
      <c r="AR100" s="445"/>
      <c r="AS100" s="445"/>
      <c r="AT100" s="445"/>
      <c r="AU100" s="445"/>
      <c r="AV100" s="445"/>
      <c r="AW100" s="445"/>
      <c r="AX100" s="445"/>
      <c r="AY100" s="445"/>
      <c r="AZ100" s="445"/>
      <c r="BA100" s="445"/>
      <c r="BB100" s="445"/>
      <c r="BC100" s="445"/>
      <c r="BD100" s="445"/>
      <c r="BE100" s="445"/>
      <c r="BF100" s="445"/>
      <c r="BG100" s="445"/>
      <c r="BH100" s="445"/>
      <c r="BI100" s="445"/>
      <c r="BJ100" s="445"/>
      <c r="BK100" s="445"/>
      <c r="BL100" s="445"/>
      <c r="BM100" s="445"/>
      <c r="BN100" s="445"/>
      <c r="BO100" s="445"/>
      <c r="BP100" s="445"/>
      <c r="BQ100" s="445"/>
      <c r="BR100" s="445"/>
      <c r="BS100" s="445"/>
      <c r="BT100" s="445"/>
      <c r="BU100" s="445"/>
      <c r="BV100" s="445"/>
      <c r="BW100" s="445"/>
      <c r="BX100" s="445"/>
      <c r="BY100" s="445"/>
      <c r="BZ100" s="445"/>
      <c r="CA100" s="445"/>
      <c r="CB100" s="445"/>
      <c r="CC100" s="445"/>
      <c r="CD100" s="445"/>
      <c r="CE100" s="445"/>
      <c r="CF100" s="289"/>
      <c r="CG100" s="289"/>
      <c r="CH100" s="289"/>
      <c r="CI100" s="289"/>
      <c r="CJ100" s="289"/>
      <c r="CK100" s="289"/>
      <c r="CL100" s="289"/>
      <c r="CM100" s="289"/>
      <c r="CN100" s="289"/>
      <c r="CO100" s="289"/>
      <c r="CP100" s="289"/>
      <c r="CQ100" s="289"/>
      <c r="CR100" s="289"/>
      <c r="CS100" s="289"/>
      <c r="CT100" s="289"/>
      <c r="CU100" s="289"/>
      <c r="CV100" s="289"/>
      <c r="CW100" s="289"/>
      <c r="CX100" s="289"/>
      <c r="CY100" s="289"/>
      <c r="CZ100" s="289"/>
    </row>
    <row r="101" spans="1:104" x14ac:dyDescent="0.45">
      <c r="A101" s="289"/>
      <c r="B101" s="294"/>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5"/>
      <c r="AB101" s="445"/>
      <c r="AC101" s="445"/>
      <c r="AD101" s="445"/>
      <c r="AE101" s="445"/>
      <c r="AF101" s="445"/>
      <c r="AG101" s="445"/>
      <c r="AH101" s="445"/>
      <c r="AI101" s="445"/>
      <c r="AJ101" s="445"/>
      <c r="AK101" s="445"/>
      <c r="AL101" s="445"/>
      <c r="AM101" s="445"/>
      <c r="AN101" s="445"/>
      <c r="AO101" s="445"/>
      <c r="AP101" s="445"/>
      <c r="AQ101" s="445"/>
      <c r="AR101" s="445"/>
      <c r="AS101" s="445"/>
      <c r="AT101" s="445"/>
      <c r="AU101" s="445"/>
      <c r="AV101" s="445"/>
      <c r="AW101" s="445"/>
      <c r="AX101" s="445"/>
      <c r="AY101" s="445"/>
      <c r="AZ101" s="445"/>
      <c r="BA101" s="445"/>
      <c r="BB101" s="445"/>
      <c r="BC101" s="445"/>
      <c r="BD101" s="445"/>
      <c r="BE101" s="445"/>
      <c r="BF101" s="445"/>
      <c r="BG101" s="445"/>
      <c r="BH101" s="445"/>
      <c r="BI101" s="445"/>
      <c r="BJ101" s="445"/>
      <c r="BK101" s="445"/>
      <c r="BL101" s="445"/>
      <c r="BM101" s="445"/>
      <c r="BN101" s="445"/>
      <c r="BO101" s="445"/>
      <c r="BP101" s="445"/>
      <c r="BQ101" s="445"/>
      <c r="BR101" s="445"/>
      <c r="BS101" s="445"/>
      <c r="BT101" s="445"/>
      <c r="BU101" s="445"/>
      <c r="BV101" s="445"/>
      <c r="BW101" s="445"/>
      <c r="BX101" s="445"/>
      <c r="BY101" s="445"/>
      <c r="BZ101" s="445"/>
      <c r="CA101" s="445"/>
      <c r="CB101" s="445"/>
      <c r="CC101" s="445"/>
      <c r="CD101" s="445"/>
      <c r="CE101" s="445"/>
      <c r="CF101" s="289"/>
      <c r="CG101" s="289"/>
      <c r="CH101" s="289"/>
      <c r="CI101" s="289"/>
      <c r="CJ101" s="289"/>
      <c r="CK101" s="289"/>
      <c r="CL101" s="289"/>
      <c r="CM101" s="289"/>
      <c r="CN101" s="289"/>
      <c r="CO101" s="289"/>
      <c r="CP101" s="289"/>
      <c r="CQ101" s="289"/>
      <c r="CR101" s="289"/>
      <c r="CS101" s="289"/>
      <c r="CT101" s="289"/>
      <c r="CU101" s="289"/>
      <c r="CV101" s="289"/>
      <c r="CW101" s="289"/>
      <c r="CX101" s="289"/>
      <c r="CY101" s="289"/>
      <c r="CZ101" s="289"/>
    </row>
    <row r="102" spans="1:104" x14ac:dyDescent="0.45">
      <c r="A102" s="289"/>
      <c r="B102" s="294"/>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5"/>
      <c r="AB102" s="445"/>
      <c r="AC102" s="445"/>
      <c r="AD102" s="445"/>
      <c r="AE102" s="445"/>
      <c r="AF102" s="445"/>
      <c r="AG102" s="445"/>
      <c r="AH102" s="445"/>
      <c r="AI102" s="445"/>
      <c r="AJ102" s="445"/>
      <c r="AK102" s="445"/>
      <c r="AL102" s="445"/>
      <c r="AM102" s="445"/>
      <c r="AN102" s="445"/>
      <c r="AO102" s="445"/>
      <c r="AP102" s="445"/>
      <c r="AQ102" s="445"/>
      <c r="AR102" s="445"/>
      <c r="AS102" s="445"/>
      <c r="AT102" s="445"/>
      <c r="AU102" s="445"/>
      <c r="AV102" s="445"/>
      <c r="AW102" s="445"/>
      <c r="AX102" s="445"/>
      <c r="AY102" s="445"/>
      <c r="AZ102" s="445"/>
      <c r="BA102" s="445"/>
      <c r="BB102" s="445"/>
      <c r="BC102" s="445"/>
      <c r="BD102" s="445"/>
      <c r="BE102" s="445"/>
      <c r="BF102" s="445"/>
      <c r="BG102" s="445"/>
      <c r="BH102" s="445"/>
      <c r="BI102" s="445"/>
      <c r="BJ102" s="445"/>
      <c r="BK102" s="445"/>
      <c r="BL102" s="445"/>
      <c r="BM102" s="445"/>
      <c r="BN102" s="445"/>
      <c r="BO102" s="445"/>
      <c r="BP102" s="445"/>
      <c r="BQ102" s="445"/>
      <c r="BR102" s="445"/>
      <c r="BS102" s="445"/>
      <c r="BT102" s="445"/>
      <c r="BU102" s="445"/>
      <c r="BV102" s="445"/>
      <c r="BW102" s="445"/>
      <c r="BX102" s="445"/>
      <c r="BY102" s="445"/>
      <c r="BZ102" s="445"/>
      <c r="CA102" s="445"/>
      <c r="CB102" s="445"/>
      <c r="CC102" s="445"/>
      <c r="CD102" s="445"/>
      <c r="CE102" s="445"/>
      <c r="CF102" s="289"/>
      <c r="CG102" s="289"/>
      <c r="CH102" s="289"/>
      <c r="CI102" s="289"/>
      <c r="CJ102" s="289"/>
      <c r="CK102" s="289"/>
      <c r="CL102" s="289"/>
      <c r="CM102" s="289"/>
      <c r="CN102" s="289"/>
      <c r="CO102" s="289"/>
      <c r="CP102" s="289"/>
      <c r="CQ102" s="289"/>
      <c r="CR102" s="289"/>
      <c r="CS102" s="289"/>
      <c r="CT102" s="289"/>
      <c r="CU102" s="289"/>
      <c r="CV102" s="289"/>
      <c r="CW102" s="289"/>
      <c r="CX102" s="289"/>
      <c r="CY102" s="289"/>
      <c r="CZ102" s="289"/>
    </row>
    <row r="103" spans="1:104" x14ac:dyDescent="0.45">
      <c r="A103" s="289"/>
      <c r="B103" s="294"/>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5"/>
      <c r="AB103" s="445"/>
      <c r="AC103" s="445"/>
      <c r="AD103" s="445"/>
      <c r="AE103" s="445"/>
      <c r="AF103" s="445"/>
      <c r="AG103" s="445"/>
      <c r="AH103" s="445"/>
      <c r="AI103" s="445"/>
      <c r="AJ103" s="445"/>
      <c r="AK103" s="445"/>
      <c r="AL103" s="445"/>
      <c r="AM103" s="445"/>
      <c r="AN103" s="445"/>
      <c r="AO103" s="445"/>
      <c r="AP103" s="445"/>
      <c r="AQ103" s="445"/>
      <c r="AR103" s="445"/>
      <c r="AS103" s="445"/>
      <c r="AT103" s="445"/>
      <c r="AU103" s="445"/>
      <c r="AV103" s="445"/>
      <c r="AW103" s="445"/>
      <c r="AX103" s="445"/>
      <c r="AY103" s="445"/>
      <c r="AZ103" s="445"/>
      <c r="BA103" s="445"/>
      <c r="BB103" s="445"/>
      <c r="BC103" s="445"/>
      <c r="BD103" s="445"/>
      <c r="BE103" s="445"/>
      <c r="BF103" s="445"/>
      <c r="BG103" s="445"/>
      <c r="BH103" s="445"/>
      <c r="BI103" s="445"/>
      <c r="BJ103" s="445"/>
      <c r="BK103" s="445"/>
      <c r="BL103" s="445"/>
      <c r="BM103" s="445"/>
      <c r="BN103" s="445"/>
      <c r="BO103" s="445"/>
      <c r="BP103" s="445"/>
      <c r="BQ103" s="445"/>
      <c r="BR103" s="445"/>
      <c r="BS103" s="445"/>
      <c r="BT103" s="445"/>
      <c r="BU103" s="445"/>
      <c r="BV103" s="445"/>
      <c r="BW103" s="445"/>
      <c r="BX103" s="445"/>
      <c r="BY103" s="445"/>
      <c r="BZ103" s="445"/>
      <c r="CA103" s="445"/>
      <c r="CB103" s="445"/>
      <c r="CC103" s="445"/>
      <c r="CD103" s="445"/>
      <c r="CE103" s="445"/>
      <c r="CF103" s="289"/>
      <c r="CG103" s="289"/>
      <c r="CH103" s="289"/>
      <c r="CI103" s="289"/>
      <c r="CJ103" s="289"/>
      <c r="CK103" s="289"/>
      <c r="CL103" s="289"/>
      <c r="CM103" s="289"/>
      <c r="CN103" s="289"/>
      <c r="CO103" s="289"/>
      <c r="CP103" s="289"/>
      <c r="CQ103" s="289"/>
      <c r="CR103" s="289"/>
      <c r="CS103" s="289"/>
      <c r="CT103" s="289"/>
      <c r="CU103" s="289"/>
      <c r="CV103" s="289"/>
      <c r="CW103" s="289"/>
      <c r="CX103" s="289"/>
      <c r="CY103" s="289"/>
      <c r="CZ103" s="289"/>
    </row>
    <row r="104" spans="1:104" x14ac:dyDescent="0.45">
      <c r="A104" s="289"/>
      <c r="B104" s="294"/>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5"/>
      <c r="AB104" s="445"/>
      <c r="AC104" s="445"/>
      <c r="AD104" s="445"/>
      <c r="AE104" s="445"/>
      <c r="AF104" s="445"/>
      <c r="AG104" s="445"/>
      <c r="AH104" s="445"/>
      <c r="AI104" s="445"/>
      <c r="AJ104" s="445"/>
      <c r="AK104" s="445"/>
      <c r="AL104" s="445"/>
      <c r="AM104" s="445"/>
      <c r="AN104" s="445"/>
      <c r="AO104" s="445"/>
      <c r="AP104" s="445"/>
      <c r="AQ104" s="445"/>
      <c r="AR104" s="445"/>
      <c r="AS104" s="445"/>
      <c r="AT104" s="445"/>
      <c r="AU104" s="445"/>
      <c r="AV104" s="445"/>
      <c r="AW104" s="445"/>
      <c r="AX104" s="445"/>
      <c r="AY104" s="445"/>
      <c r="AZ104" s="445"/>
      <c r="BA104" s="445"/>
      <c r="BB104" s="445"/>
      <c r="BC104" s="445"/>
      <c r="BD104" s="445"/>
      <c r="BE104" s="445"/>
      <c r="BF104" s="445"/>
      <c r="BG104" s="445"/>
      <c r="BH104" s="445"/>
      <c r="BI104" s="445"/>
      <c r="BJ104" s="445"/>
      <c r="BK104" s="445"/>
      <c r="BL104" s="445"/>
      <c r="BM104" s="445"/>
      <c r="BN104" s="445"/>
      <c r="BO104" s="445"/>
      <c r="BP104" s="445"/>
      <c r="BQ104" s="445"/>
      <c r="BR104" s="445"/>
      <c r="BS104" s="445"/>
      <c r="BT104" s="445"/>
      <c r="BU104" s="445"/>
      <c r="BV104" s="445"/>
      <c r="BW104" s="445"/>
      <c r="BX104" s="445"/>
      <c r="BY104" s="445"/>
      <c r="BZ104" s="445"/>
      <c r="CA104" s="445"/>
      <c r="CB104" s="445"/>
      <c r="CC104" s="445"/>
      <c r="CD104" s="445"/>
      <c r="CE104" s="445"/>
      <c r="CF104" s="289"/>
      <c r="CG104" s="289"/>
      <c r="CH104" s="289"/>
      <c r="CI104" s="289"/>
      <c r="CJ104" s="289"/>
      <c r="CK104" s="289"/>
      <c r="CL104" s="289"/>
      <c r="CM104" s="289"/>
      <c r="CN104" s="289"/>
      <c r="CO104" s="289"/>
      <c r="CP104" s="289"/>
      <c r="CQ104" s="289"/>
      <c r="CR104" s="289"/>
      <c r="CS104" s="289"/>
      <c r="CT104" s="289"/>
      <c r="CU104" s="289"/>
      <c r="CV104" s="289"/>
      <c r="CW104" s="289"/>
      <c r="CX104" s="289"/>
      <c r="CY104" s="289"/>
      <c r="CZ104" s="289"/>
    </row>
    <row r="105" spans="1:104" x14ac:dyDescent="0.45">
      <c r="A105" s="289"/>
      <c r="B105" s="294"/>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445"/>
      <c r="AF105" s="445"/>
      <c r="AG105" s="445"/>
      <c r="AH105" s="445"/>
      <c r="AI105" s="445"/>
      <c r="AJ105" s="445"/>
      <c r="AK105" s="445"/>
      <c r="AL105" s="445"/>
      <c r="AM105" s="445"/>
      <c r="AN105" s="445"/>
      <c r="AO105" s="445"/>
      <c r="AP105" s="445"/>
      <c r="AQ105" s="445"/>
      <c r="AR105" s="445"/>
      <c r="AS105" s="445"/>
      <c r="AT105" s="445"/>
      <c r="AU105" s="445"/>
      <c r="AV105" s="445"/>
      <c r="AW105" s="445"/>
      <c r="AX105" s="445"/>
      <c r="AY105" s="445"/>
      <c r="AZ105" s="445"/>
      <c r="BA105" s="445"/>
      <c r="BB105" s="445"/>
      <c r="BC105" s="445"/>
      <c r="BD105" s="445"/>
      <c r="BE105" s="445"/>
      <c r="BF105" s="445"/>
      <c r="BG105" s="445"/>
      <c r="BH105" s="445"/>
      <c r="BI105" s="445"/>
      <c r="BJ105" s="445"/>
      <c r="BK105" s="445"/>
      <c r="BL105" s="445"/>
      <c r="BM105" s="445"/>
      <c r="BN105" s="445"/>
      <c r="BO105" s="445"/>
      <c r="BP105" s="445"/>
      <c r="BQ105" s="445"/>
      <c r="BR105" s="445"/>
      <c r="BS105" s="445"/>
      <c r="BT105" s="445"/>
      <c r="BU105" s="445"/>
      <c r="BV105" s="445"/>
      <c r="BW105" s="445"/>
      <c r="BX105" s="445"/>
      <c r="BY105" s="445"/>
      <c r="BZ105" s="445"/>
      <c r="CA105" s="445"/>
      <c r="CB105" s="445"/>
      <c r="CC105" s="445"/>
      <c r="CD105" s="445"/>
      <c r="CE105" s="445"/>
      <c r="CF105" s="289"/>
      <c r="CG105" s="289"/>
      <c r="CH105" s="289"/>
      <c r="CI105" s="289"/>
      <c r="CJ105" s="289"/>
      <c r="CK105" s="289"/>
      <c r="CL105" s="289"/>
      <c r="CM105" s="289"/>
      <c r="CN105" s="289"/>
      <c r="CO105" s="289"/>
      <c r="CP105" s="289"/>
      <c r="CQ105" s="289"/>
      <c r="CR105" s="289"/>
      <c r="CS105" s="289"/>
      <c r="CT105" s="289"/>
      <c r="CU105" s="289"/>
      <c r="CV105" s="289"/>
      <c r="CW105" s="289"/>
      <c r="CX105" s="289"/>
      <c r="CY105" s="289"/>
      <c r="CZ105" s="289"/>
    </row>
    <row r="106" spans="1:104" x14ac:dyDescent="0.45">
      <c r="A106" s="289"/>
      <c r="B106" s="294"/>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5"/>
      <c r="AU106" s="445"/>
      <c r="AV106" s="445"/>
      <c r="AW106" s="445"/>
      <c r="AX106" s="445"/>
      <c r="AY106" s="445"/>
      <c r="AZ106" s="445"/>
      <c r="BA106" s="445"/>
      <c r="BB106" s="445"/>
      <c r="BC106" s="445"/>
      <c r="BD106" s="445"/>
      <c r="BE106" s="445"/>
      <c r="BF106" s="445"/>
      <c r="BG106" s="445"/>
      <c r="BH106" s="445"/>
      <c r="BI106" s="445"/>
      <c r="BJ106" s="445"/>
      <c r="BK106" s="445"/>
      <c r="BL106" s="445"/>
      <c r="BM106" s="445"/>
      <c r="BN106" s="445"/>
      <c r="BO106" s="445"/>
      <c r="BP106" s="445"/>
      <c r="BQ106" s="445"/>
      <c r="BR106" s="445"/>
      <c r="BS106" s="445"/>
      <c r="BT106" s="445"/>
      <c r="BU106" s="445"/>
      <c r="BV106" s="445"/>
      <c r="BW106" s="445"/>
      <c r="BX106" s="445"/>
      <c r="BY106" s="445"/>
      <c r="BZ106" s="445"/>
      <c r="CA106" s="445"/>
      <c r="CB106" s="445"/>
      <c r="CC106" s="445"/>
      <c r="CD106" s="445"/>
      <c r="CE106" s="445"/>
      <c r="CF106" s="289"/>
      <c r="CG106" s="289"/>
      <c r="CH106" s="289"/>
      <c r="CI106" s="289"/>
      <c r="CJ106" s="289"/>
      <c r="CK106" s="289"/>
      <c r="CL106" s="289"/>
      <c r="CM106" s="289"/>
      <c r="CN106" s="289"/>
      <c r="CO106" s="289"/>
      <c r="CP106" s="289"/>
      <c r="CQ106" s="289"/>
      <c r="CR106" s="289"/>
      <c r="CS106" s="289"/>
      <c r="CT106" s="289"/>
      <c r="CU106" s="289"/>
      <c r="CV106" s="289"/>
      <c r="CW106" s="289"/>
      <c r="CX106" s="289"/>
      <c r="CY106" s="289"/>
      <c r="CZ106" s="289"/>
    </row>
    <row r="107" spans="1:104" x14ac:dyDescent="0.45">
      <c r="A107" s="289"/>
      <c r="B107" s="294"/>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5"/>
      <c r="AM107" s="445"/>
      <c r="AN107" s="445"/>
      <c r="AO107" s="445"/>
      <c r="AP107" s="445"/>
      <c r="AQ107" s="445"/>
      <c r="AR107" s="445"/>
      <c r="AS107" s="445"/>
      <c r="AT107" s="445"/>
      <c r="AU107" s="445"/>
      <c r="AV107" s="445"/>
      <c r="AW107" s="445"/>
      <c r="AX107" s="445"/>
      <c r="AY107" s="445"/>
      <c r="AZ107" s="445"/>
      <c r="BA107" s="445"/>
      <c r="BB107" s="445"/>
      <c r="BC107" s="445"/>
      <c r="BD107" s="445"/>
      <c r="BE107" s="445"/>
      <c r="BF107" s="445"/>
      <c r="BG107" s="445"/>
      <c r="BH107" s="445"/>
      <c r="BI107" s="445"/>
      <c r="BJ107" s="445"/>
      <c r="BK107" s="445"/>
      <c r="BL107" s="445"/>
      <c r="BM107" s="445"/>
      <c r="BN107" s="445"/>
      <c r="BO107" s="445"/>
      <c r="BP107" s="445"/>
      <c r="BQ107" s="445"/>
      <c r="BR107" s="445"/>
      <c r="BS107" s="445"/>
      <c r="BT107" s="445"/>
      <c r="BU107" s="445"/>
      <c r="BV107" s="445"/>
      <c r="BW107" s="445"/>
      <c r="BX107" s="445"/>
      <c r="BY107" s="445"/>
      <c r="BZ107" s="445"/>
      <c r="CA107" s="445"/>
      <c r="CB107" s="445"/>
      <c r="CC107" s="445"/>
      <c r="CD107" s="445"/>
      <c r="CE107" s="445"/>
      <c r="CF107" s="289"/>
      <c r="CG107" s="289"/>
      <c r="CH107" s="289"/>
      <c r="CI107" s="289"/>
      <c r="CJ107" s="289"/>
      <c r="CK107" s="289"/>
      <c r="CL107" s="289"/>
      <c r="CM107" s="289"/>
      <c r="CN107" s="289"/>
      <c r="CO107" s="289"/>
      <c r="CP107" s="289"/>
      <c r="CQ107" s="289"/>
      <c r="CR107" s="289"/>
      <c r="CS107" s="289"/>
      <c r="CT107" s="289"/>
      <c r="CU107" s="289"/>
      <c r="CV107" s="289"/>
      <c r="CW107" s="289"/>
      <c r="CX107" s="289"/>
      <c r="CY107" s="289"/>
      <c r="CZ107" s="289"/>
    </row>
    <row r="108" spans="1:104" x14ac:dyDescent="0.45">
      <c r="A108" s="289"/>
      <c r="B108" s="294"/>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5"/>
      <c r="AY108" s="445"/>
      <c r="AZ108" s="445"/>
      <c r="BA108" s="445"/>
      <c r="BB108" s="445"/>
      <c r="BC108" s="445"/>
      <c r="BD108" s="445"/>
      <c r="BE108" s="445"/>
      <c r="BF108" s="445"/>
      <c r="BG108" s="445"/>
      <c r="BH108" s="445"/>
      <c r="BI108" s="445"/>
      <c r="BJ108" s="445"/>
      <c r="BK108" s="445"/>
      <c r="BL108" s="445"/>
      <c r="BM108" s="445"/>
      <c r="BN108" s="445"/>
      <c r="BO108" s="445"/>
      <c r="BP108" s="445"/>
      <c r="BQ108" s="445"/>
      <c r="BR108" s="445"/>
      <c r="BS108" s="445"/>
      <c r="BT108" s="445"/>
      <c r="BU108" s="445"/>
      <c r="BV108" s="445"/>
      <c r="BW108" s="445"/>
      <c r="BX108" s="445"/>
      <c r="BY108" s="445"/>
      <c r="BZ108" s="445"/>
      <c r="CA108" s="445"/>
      <c r="CB108" s="445"/>
      <c r="CC108" s="445"/>
      <c r="CD108" s="445"/>
      <c r="CE108" s="445"/>
      <c r="CF108" s="289"/>
      <c r="CG108" s="289"/>
      <c r="CH108" s="289"/>
      <c r="CI108" s="289"/>
      <c r="CJ108" s="289"/>
      <c r="CK108" s="289"/>
      <c r="CL108" s="289"/>
      <c r="CM108" s="289"/>
      <c r="CN108" s="289"/>
      <c r="CO108" s="289"/>
      <c r="CP108" s="289"/>
      <c r="CQ108" s="289"/>
      <c r="CR108" s="289"/>
      <c r="CS108" s="289"/>
      <c r="CT108" s="289"/>
      <c r="CU108" s="289"/>
      <c r="CV108" s="289"/>
      <c r="CW108" s="289"/>
      <c r="CX108" s="289"/>
      <c r="CY108" s="289"/>
      <c r="CZ108" s="289"/>
    </row>
    <row r="109" spans="1:104" x14ac:dyDescent="0.45">
      <c r="A109" s="289"/>
      <c r="B109" s="294"/>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5"/>
      <c r="AM109" s="445"/>
      <c r="AN109" s="445"/>
      <c r="AO109" s="445"/>
      <c r="AP109" s="445"/>
      <c r="AQ109" s="445"/>
      <c r="AR109" s="445"/>
      <c r="AS109" s="445"/>
      <c r="AT109" s="445"/>
      <c r="AU109" s="445"/>
      <c r="AV109" s="445"/>
      <c r="AW109" s="445"/>
      <c r="AX109" s="445"/>
      <c r="AY109" s="445"/>
      <c r="AZ109" s="445"/>
      <c r="BA109" s="445"/>
      <c r="BB109" s="445"/>
      <c r="BC109" s="445"/>
      <c r="BD109" s="445"/>
      <c r="BE109" s="445"/>
      <c r="BF109" s="445"/>
      <c r="BG109" s="445"/>
      <c r="BH109" s="445"/>
      <c r="BI109" s="445"/>
      <c r="BJ109" s="445"/>
      <c r="BK109" s="445"/>
      <c r="BL109" s="445"/>
      <c r="BM109" s="445"/>
      <c r="BN109" s="445"/>
      <c r="BO109" s="445"/>
      <c r="BP109" s="445"/>
      <c r="BQ109" s="445"/>
      <c r="BR109" s="445"/>
      <c r="BS109" s="445"/>
      <c r="BT109" s="445"/>
      <c r="BU109" s="445"/>
      <c r="BV109" s="445"/>
      <c r="BW109" s="445"/>
      <c r="BX109" s="445"/>
      <c r="BY109" s="445"/>
      <c r="BZ109" s="445"/>
      <c r="CA109" s="445"/>
      <c r="CB109" s="445"/>
      <c r="CC109" s="445"/>
      <c r="CD109" s="445"/>
      <c r="CE109" s="445"/>
      <c r="CF109" s="289"/>
      <c r="CG109" s="289"/>
      <c r="CH109" s="289"/>
      <c r="CI109" s="289"/>
      <c r="CJ109" s="289"/>
      <c r="CK109" s="289"/>
      <c r="CL109" s="289"/>
      <c r="CM109" s="289"/>
      <c r="CN109" s="289"/>
      <c r="CO109" s="289"/>
      <c r="CP109" s="289"/>
      <c r="CQ109" s="289"/>
      <c r="CR109" s="289"/>
      <c r="CS109" s="289"/>
      <c r="CT109" s="289"/>
      <c r="CU109" s="289"/>
      <c r="CV109" s="289"/>
      <c r="CW109" s="289"/>
      <c r="CX109" s="289"/>
      <c r="CY109" s="289"/>
      <c r="CZ109" s="289"/>
    </row>
    <row r="110" spans="1:104" x14ac:dyDescent="0.45">
      <c r="A110" s="289"/>
      <c r="B110" s="294"/>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5"/>
      <c r="AM110" s="445"/>
      <c r="AN110" s="445"/>
      <c r="AO110" s="445"/>
      <c r="AP110" s="445"/>
      <c r="AQ110" s="445"/>
      <c r="AR110" s="445"/>
      <c r="AS110" s="445"/>
      <c r="AT110" s="445"/>
      <c r="AU110" s="445"/>
      <c r="AV110" s="445"/>
      <c r="AW110" s="445"/>
      <c r="AX110" s="445"/>
      <c r="AY110" s="445"/>
      <c r="AZ110" s="445"/>
      <c r="BA110" s="445"/>
      <c r="BB110" s="445"/>
      <c r="BC110" s="445"/>
      <c r="BD110" s="445"/>
      <c r="BE110" s="445"/>
      <c r="BF110" s="445"/>
      <c r="BG110" s="445"/>
      <c r="BH110" s="445"/>
      <c r="BI110" s="445"/>
      <c r="BJ110" s="445"/>
      <c r="BK110" s="445"/>
      <c r="BL110" s="445"/>
      <c r="BM110" s="445"/>
      <c r="BN110" s="445"/>
      <c r="BO110" s="445"/>
      <c r="BP110" s="445"/>
      <c r="BQ110" s="445"/>
      <c r="BR110" s="445"/>
      <c r="BS110" s="445"/>
      <c r="BT110" s="445"/>
      <c r="BU110" s="445"/>
      <c r="BV110" s="445"/>
      <c r="BW110" s="445"/>
      <c r="BX110" s="445"/>
      <c r="BY110" s="445"/>
      <c r="BZ110" s="445"/>
      <c r="CA110" s="445"/>
      <c r="CB110" s="445"/>
      <c r="CC110" s="445"/>
      <c r="CD110" s="445"/>
      <c r="CE110" s="445"/>
      <c r="CF110" s="289"/>
      <c r="CG110" s="289"/>
      <c r="CH110" s="289"/>
      <c r="CI110" s="289"/>
      <c r="CJ110" s="289"/>
      <c r="CK110" s="289"/>
      <c r="CL110" s="289"/>
      <c r="CM110" s="289"/>
      <c r="CN110" s="289"/>
      <c r="CO110" s="289"/>
      <c r="CP110" s="289"/>
      <c r="CQ110" s="289"/>
      <c r="CR110" s="289"/>
      <c r="CS110" s="289"/>
      <c r="CT110" s="289"/>
      <c r="CU110" s="289"/>
      <c r="CV110" s="289"/>
      <c r="CW110" s="289"/>
      <c r="CX110" s="289"/>
      <c r="CY110" s="289"/>
      <c r="CZ110" s="289"/>
    </row>
    <row r="111" spans="1:104" x14ac:dyDescent="0.45">
      <c r="A111" s="289"/>
      <c r="B111" s="294"/>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5"/>
      <c r="AM111" s="445"/>
      <c r="AN111" s="445"/>
      <c r="AO111" s="445"/>
      <c r="AP111" s="445"/>
      <c r="AQ111" s="445"/>
      <c r="AR111" s="445"/>
      <c r="AS111" s="445"/>
      <c r="AT111" s="445"/>
      <c r="AU111" s="445"/>
      <c r="AV111" s="445"/>
      <c r="AW111" s="445"/>
      <c r="AX111" s="445"/>
      <c r="AY111" s="445"/>
      <c r="AZ111" s="445"/>
      <c r="BA111" s="445"/>
      <c r="BB111" s="445"/>
      <c r="BC111" s="445"/>
      <c r="BD111" s="445"/>
      <c r="BE111" s="445"/>
      <c r="BF111" s="445"/>
      <c r="BG111" s="445"/>
      <c r="BH111" s="445"/>
      <c r="BI111" s="445"/>
      <c r="BJ111" s="445"/>
      <c r="BK111" s="445"/>
      <c r="BL111" s="445"/>
      <c r="BM111" s="445"/>
      <c r="BN111" s="445"/>
      <c r="BO111" s="445"/>
      <c r="BP111" s="445"/>
      <c r="BQ111" s="445"/>
      <c r="BR111" s="445"/>
      <c r="BS111" s="445"/>
      <c r="BT111" s="445"/>
      <c r="BU111" s="445"/>
      <c r="BV111" s="445"/>
      <c r="BW111" s="445"/>
      <c r="BX111" s="445"/>
      <c r="BY111" s="445"/>
      <c r="BZ111" s="445"/>
      <c r="CA111" s="445"/>
      <c r="CB111" s="445"/>
      <c r="CC111" s="445"/>
      <c r="CD111" s="445"/>
      <c r="CE111" s="445"/>
      <c r="CF111" s="289"/>
      <c r="CG111" s="289"/>
      <c r="CH111" s="289"/>
      <c r="CI111" s="289"/>
      <c r="CJ111" s="289"/>
      <c r="CK111" s="289"/>
      <c r="CL111" s="289"/>
      <c r="CM111" s="289"/>
      <c r="CN111" s="289"/>
      <c r="CO111" s="289"/>
      <c r="CP111" s="289"/>
      <c r="CQ111" s="289"/>
      <c r="CR111" s="289"/>
      <c r="CS111" s="289"/>
      <c r="CT111" s="289"/>
      <c r="CU111" s="289"/>
      <c r="CV111" s="289"/>
      <c r="CW111" s="289"/>
      <c r="CX111" s="289"/>
      <c r="CY111" s="289"/>
      <c r="CZ111" s="289"/>
    </row>
    <row r="112" spans="1:104" x14ac:dyDescent="0.45">
      <c r="A112" s="289"/>
      <c r="B112" s="294"/>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5"/>
      <c r="AM112" s="445"/>
      <c r="AN112" s="445"/>
      <c r="AO112" s="445"/>
      <c r="AP112" s="445"/>
      <c r="AQ112" s="445"/>
      <c r="AR112" s="445"/>
      <c r="AS112" s="445"/>
      <c r="AT112" s="445"/>
      <c r="AU112" s="445"/>
      <c r="AV112" s="445"/>
      <c r="AW112" s="445"/>
      <c r="AX112" s="445"/>
      <c r="AY112" s="445"/>
      <c r="AZ112" s="445"/>
      <c r="BA112" s="445"/>
      <c r="BB112" s="445"/>
      <c r="BC112" s="445"/>
      <c r="BD112" s="445"/>
      <c r="BE112" s="445"/>
      <c r="BF112" s="445"/>
      <c r="BG112" s="445"/>
      <c r="BH112" s="445"/>
      <c r="BI112" s="445"/>
      <c r="BJ112" s="445"/>
      <c r="BK112" s="445"/>
      <c r="BL112" s="445"/>
      <c r="BM112" s="445"/>
      <c r="BN112" s="445"/>
      <c r="BO112" s="445"/>
      <c r="BP112" s="445"/>
      <c r="BQ112" s="445"/>
      <c r="BR112" s="445"/>
      <c r="BS112" s="445"/>
      <c r="BT112" s="445"/>
      <c r="BU112" s="445"/>
      <c r="BV112" s="445"/>
      <c r="BW112" s="445"/>
      <c r="BX112" s="445"/>
      <c r="BY112" s="445"/>
      <c r="BZ112" s="445"/>
      <c r="CA112" s="445"/>
      <c r="CB112" s="445"/>
      <c r="CC112" s="445"/>
      <c r="CD112" s="445"/>
      <c r="CE112" s="445"/>
      <c r="CF112" s="289"/>
      <c r="CG112" s="289"/>
      <c r="CH112" s="289"/>
      <c r="CI112" s="289"/>
      <c r="CJ112" s="289"/>
      <c r="CK112" s="289"/>
      <c r="CL112" s="289"/>
      <c r="CM112" s="289"/>
      <c r="CN112" s="289"/>
      <c r="CO112" s="289"/>
      <c r="CP112" s="289"/>
      <c r="CQ112" s="289"/>
      <c r="CR112" s="289"/>
      <c r="CS112" s="289"/>
      <c r="CT112" s="289"/>
      <c r="CU112" s="289"/>
      <c r="CV112" s="289"/>
      <c r="CW112" s="289"/>
      <c r="CX112" s="289"/>
      <c r="CY112" s="289"/>
      <c r="CZ112" s="289"/>
    </row>
    <row r="113" spans="1:104" x14ac:dyDescent="0.45">
      <c r="A113" s="289"/>
      <c r="B113" s="294"/>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5"/>
      <c r="AM113" s="445"/>
      <c r="AN113" s="445"/>
      <c r="AO113" s="445"/>
      <c r="AP113" s="445"/>
      <c r="AQ113" s="445"/>
      <c r="AR113" s="445"/>
      <c r="AS113" s="445"/>
      <c r="AT113" s="445"/>
      <c r="AU113" s="445"/>
      <c r="AV113" s="445"/>
      <c r="AW113" s="445"/>
      <c r="AX113" s="445"/>
      <c r="AY113" s="445"/>
      <c r="AZ113" s="445"/>
      <c r="BA113" s="445"/>
      <c r="BB113" s="445"/>
      <c r="BC113" s="445"/>
      <c r="BD113" s="445"/>
      <c r="BE113" s="445"/>
      <c r="BF113" s="445"/>
      <c r="BG113" s="445"/>
      <c r="BH113" s="445"/>
      <c r="BI113" s="445"/>
      <c r="BJ113" s="445"/>
      <c r="BK113" s="445"/>
      <c r="BL113" s="445"/>
      <c r="BM113" s="445"/>
      <c r="BN113" s="445"/>
      <c r="BO113" s="445"/>
      <c r="BP113" s="445"/>
      <c r="BQ113" s="445"/>
      <c r="BR113" s="445"/>
      <c r="BS113" s="445"/>
      <c r="BT113" s="445"/>
      <c r="BU113" s="445"/>
      <c r="BV113" s="445"/>
      <c r="BW113" s="445"/>
      <c r="BX113" s="445"/>
      <c r="BY113" s="445"/>
      <c r="BZ113" s="445"/>
      <c r="CA113" s="445"/>
      <c r="CB113" s="445"/>
      <c r="CC113" s="445"/>
      <c r="CD113" s="445"/>
      <c r="CE113" s="445"/>
      <c r="CF113" s="289"/>
      <c r="CG113" s="289"/>
      <c r="CH113" s="289"/>
      <c r="CI113" s="289"/>
      <c r="CJ113" s="289"/>
      <c r="CK113" s="289"/>
      <c r="CL113" s="289"/>
      <c r="CM113" s="289"/>
      <c r="CN113" s="289"/>
      <c r="CO113" s="289"/>
      <c r="CP113" s="289"/>
      <c r="CQ113" s="289"/>
      <c r="CR113" s="289"/>
      <c r="CS113" s="289"/>
      <c r="CT113" s="289"/>
      <c r="CU113" s="289"/>
      <c r="CV113" s="289"/>
      <c r="CW113" s="289"/>
      <c r="CX113" s="289"/>
      <c r="CY113" s="289"/>
      <c r="CZ113" s="289"/>
    </row>
    <row r="114" spans="1:104" x14ac:dyDescent="0.45">
      <c r="A114" s="289"/>
      <c r="B114" s="294"/>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5"/>
      <c r="AM114" s="445"/>
      <c r="AN114" s="445"/>
      <c r="AO114" s="445"/>
      <c r="AP114" s="445"/>
      <c r="AQ114" s="445"/>
      <c r="AR114" s="445"/>
      <c r="AS114" s="445"/>
      <c r="AT114" s="445"/>
      <c r="AU114" s="445"/>
      <c r="AV114" s="445"/>
      <c r="AW114" s="445"/>
      <c r="AX114" s="445"/>
      <c r="AY114" s="445"/>
      <c r="AZ114" s="445"/>
      <c r="BA114" s="445"/>
      <c r="BB114" s="445"/>
      <c r="BC114" s="445"/>
      <c r="BD114" s="445"/>
      <c r="BE114" s="445"/>
      <c r="BF114" s="445"/>
      <c r="BG114" s="445"/>
      <c r="BH114" s="445"/>
      <c r="BI114" s="445"/>
      <c r="BJ114" s="445"/>
      <c r="BK114" s="445"/>
      <c r="BL114" s="445"/>
      <c r="BM114" s="445"/>
      <c r="BN114" s="445"/>
      <c r="BO114" s="445"/>
      <c r="BP114" s="445"/>
      <c r="BQ114" s="445"/>
      <c r="BR114" s="445"/>
      <c r="BS114" s="445"/>
      <c r="BT114" s="445"/>
      <c r="BU114" s="445"/>
      <c r="BV114" s="445"/>
      <c r="BW114" s="445"/>
      <c r="BX114" s="445"/>
      <c r="BY114" s="445"/>
      <c r="BZ114" s="445"/>
      <c r="CA114" s="445"/>
      <c r="CB114" s="445"/>
      <c r="CC114" s="445"/>
      <c r="CD114" s="445"/>
      <c r="CE114" s="445"/>
      <c r="CF114" s="289"/>
      <c r="CG114" s="289"/>
      <c r="CH114" s="289"/>
      <c r="CI114" s="289"/>
      <c r="CJ114" s="289"/>
      <c r="CK114" s="289"/>
      <c r="CL114" s="289"/>
      <c r="CM114" s="289"/>
      <c r="CN114" s="289"/>
      <c r="CO114" s="289"/>
      <c r="CP114" s="289"/>
      <c r="CQ114" s="289"/>
      <c r="CR114" s="289"/>
      <c r="CS114" s="289"/>
      <c r="CT114" s="289"/>
      <c r="CU114" s="289"/>
      <c r="CV114" s="289"/>
      <c r="CW114" s="289"/>
      <c r="CX114" s="289"/>
      <c r="CY114" s="289"/>
      <c r="CZ114" s="289"/>
    </row>
    <row r="115" spans="1:104" x14ac:dyDescent="0.45">
      <c r="A115" s="289"/>
      <c r="B115" s="294"/>
      <c r="C115" s="445"/>
      <c r="D115" s="445"/>
      <c r="E115" s="445"/>
      <c r="F115" s="445"/>
      <c r="G115" s="445"/>
      <c r="H115" s="445"/>
      <c r="I115" s="445"/>
      <c r="J115" s="445"/>
      <c r="K115" s="445"/>
      <c r="L115" s="445"/>
      <c r="M115" s="445"/>
      <c r="N115" s="445"/>
      <c r="O115" s="445"/>
      <c r="P115" s="445"/>
      <c r="Q115" s="445"/>
      <c r="R115" s="445"/>
      <c r="S115" s="445"/>
      <c r="T115" s="445"/>
      <c r="U115" s="445"/>
      <c r="V115" s="445"/>
      <c r="W115" s="445"/>
      <c r="X115" s="445"/>
      <c r="Y115" s="445"/>
      <c r="Z115" s="445"/>
      <c r="AA115" s="445"/>
      <c r="AB115" s="445"/>
      <c r="AC115" s="445"/>
      <c r="AD115" s="445"/>
      <c r="AE115" s="445"/>
      <c r="AF115" s="445"/>
      <c r="AG115" s="445"/>
      <c r="AH115" s="445"/>
      <c r="AI115" s="445"/>
      <c r="AJ115" s="445"/>
      <c r="AK115" s="445"/>
      <c r="AL115" s="445"/>
      <c r="AM115" s="445"/>
      <c r="AN115" s="445"/>
      <c r="AO115" s="445"/>
      <c r="AP115" s="445"/>
      <c r="AQ115" s="445"/>
      <c r="AR115" s="445"/>
      <c r="AS115" s="445"/>
      <c r="AT115" s="445"/>
      <c r="AU115" s="445"/>
      <c r="AV115" s="445"/>
      <c r="AW115" s="445"/>
      <c r="AX115" s="445"/>
      <c r="AY115" s="445"/>
      <c r="AZ115" s="445"/>
      <c r="BA115" s="445"/>
      <c r="BB115" s="445"/>
      <c r="BC115" s="445"/>
      <c r="BD115" s="445"/>
      <c r="BE115" s="445"/>
      <c r="BF115" s="445"/>
      <c r="BG115" s="445"/>
      <c r="BH115" s="445"/>
      <c r="BI115" s="445"/>
      <c r="BJ115" s="445"/>
      <c r="BK115" s="445"/>
      <c r="BL115" s="445"/>
      <c r="BM115" s="445"/>
      <c r="BN115" s="445"/>
      <c r="BO115" s="445"/>
      <c r="BP115" s="445"/>
      <c r="BQ115" s="445"/>
      <c r="BR115" s="445"/>
      <c r="BS115" s="445"/>
      <c r="BT115" s="445"/>
      <c r="BU115" s="445"/>
      <c r="BV115" s="445"/>
      <c r="BW115" s="445"/>
      <c r="BX115" s="445"/>
      <c r="BY115" s="445"/>
      <c r="BZ115" s="445"/>
      <c r="CA115" s="445"/>
      <c r="CB115" s="445"/>
      <c r="CC115" s="445"/>
      <c r="CD115" s="445"/>
      <c r="CE115" s="445"/>
      <c r="CF115" s="289"/>
      <c r="CG115" s="289"/>
      <c r="CH115" s="289"/>
      <c r="CI115" s="289"/>
      <c r="CJ115" s="289"/>
      <c r="CK115" s="289"/>
      <c r="CL115" s="289"/>
      <c r="CM115" s="289"/>
      <c r="CN115" s="289"/>
      <c r="CO115" s="289"/>
      <c r="CP115" s="289"/>
      <c r="CQ115" s="289"/>
      <c r="CR115" s="289"/>
      <c r="CS115" s="289"/>
      <c r="CT115" s="289"/>
      <c r="CU115" s="289"/>
      <c r="CV115" s="289"/>
      <c r="CW115" s="289"/>
      <c r="CX115" s="289"/>
      <c r="CY115" s="289"/>
      <c r="CZ115" s="289"/>
    </row>
    <row r="116" spans="1:104" x14ac:dyDescent="0.45">
      <c r="A116" s="289"/>
      <c r="B116" s="294"/>
      <c r="C116" s="445"/>
      <c r="D116" s="445"/>
      <c r="E116" s="445"/>
      <c r="F116" s="445"/>
      <c r="G116" s="445"/>
      <c r="H116" s="445"/>
      <c r="I116" s="445"/>
      <c r="J116" s="445"/>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45"/>
      <c r="AZ116" s="445"/>
      <c r="BA116" s="445"/>
      <c r="BB116" s="445"/>
      <c r="BC116" s="445"/>
      <c r="BD116" s="445"/>
      <c r="BE116" s="445"/>
      <c r="BF116" s="445"/>
      <c r="BG116" s="445"/>
      <c r="BH116" s="445"/>
      <c r="BI116" s="445"/>
      <c r="BJ116" s="445"/>
      <c r="BK116" s="445"/>
      <c r="BL116" s="445"/>
      <c r="BM116" s="445"/>
      <c r="BN116" s="445"/>
      <c r="BO116" s="445"/>
      <c r="BP116" s="445"/>
      <c r="BQ116" s="445"/>
      <c r="BR116" s="445"/>
      <c r="BS116" s="445"/>
      <c r="BT116" s="445"/>
      <c r="BU116" s="445"/>
      <c r="BV116" s="445"/>
      <c r="BW116" s="445"/>
      <c r="BX116" s="445"/>
      <c r="BY116" s="445"/>
      <c r="BZ116" s="445"/>
      <c r="CA116" s="445"/>
      <c r="CB116" s="445"/>
      <c r="CC116" s="445"/>
      <c r="CD116" s="445"/>
      <c r="CE116" s="445"/>
      <c r="CF116" s="289"/>
      <c r="CG116" s="289"/>
      <c r="CH116" s="289"/>
      <c r="CI116" s="289"/>
      <c r="CJ116" s="289"/>
      <c r="CK116" s="289"/>
      <c r="CL116" s="289"/>
      <c r="CM116" s="289"/>
      <c r="CN116" s="289"/>
      <c r="CO116" s="289"/>
      <c r="CP116" s="289"/>
      <c r="CQ116" s="289"/>
      <c r="CR116" s="289"/>
      <c r="CS116" s="289"/>
      <c r="CT116" s="289"/>
      <c r="CU116" s="289"/>
      <c r="CV116" s="289"/>
      <c r="CW116" s="289"/>
      <c r="CX116" s="289"/>
      <c r="CY116" s="289"/>
      <c r="CZ116" s="289"/>
    </row>
    <row r="117" spans="1:104" x14ac:dyDescent="0.45">
      <c r="A117" s="289"/>
      <c r="B117" s="294"/>
      <c r="C117" s="445"/>
      <c r="D117" s="445"/>
      <c r="E117" s="445"/>
      <c r="F117" s="445"/>
      <c r="G117" s="445"/>
      <c r="H117" s="445"/>
      <c r="I117" s="445"/>
      <c r="J117" s="445"/>
      <c r="K117" s="445"/>
      <c r="L117" s="445"/>
      <c r="M117" s="445"/>
      <c r="N117" s="445"/>
      <c r="O117" s="445"/>
      <c r="P117" s="445"/>
      <c r="Q117" s="445"/>
      <c r="R117" s="445"/>
      <c r="S117" s="445"/>
      <c r="T117" s="445"/>
      <c r="U117" s="445"/>
      <c r="V117" s="445"/>
      <c r="W117" s="445"/>
      <c r="X117" s="445"/>
      <c r="Y117" s="445"/>
      <c r="Z117" s="445"/>
      <c r="AA117" s="445"/>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45"/>
      <c r="AZ117" s="445"/>
      <c r="BA117" s="445"/>
      <c r="BB117" s="445"/>
      <c r="BC117" s="445"/>
      <c r="BD117" s="445"/>
      <c r="BE117" s="445"/>
      <c r="BF117" s="445"/>
      <c r="BG117" s="445"/>
      <c r="BH117" s="445"/>
      <c r="BI117" s="445"/>
      <c r="BJ117" s="445"/>
      <c r="BK117" s="445"/>
      <c r="BL117" s="445"/>
      <c r="BM117" s="445"/>
      <c r="BN117" s="445"/>
      <c r="BO117" s="445"/>
      <c r="BP117" s="445"/>
      <c r="BQ117" s="445"/>
      <c r="BR117" s="445"/>
      <c r="BS117" s="445"/>
      <c r="BT117" s="445"/>
      <c r="BU117" s="445"/>
      <c r="BV117" s="445"/>
      <c r="BW117" s="445"/>
      <c r="BX117" s="445"/>
      <c r="BY117" s="445"/>
      <c r="BZ117" s="445"/>
      <c r="CA117" s="445"/>
      <c r="CB117" s="445"/>
      <c r="CC117" s="445"/>
      <c r="CD117" s="445"/>
      <c r="CE117" s="445"/>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row>
    <row r="118" spans="1:104" x14ac:dyDescent="0.45">
      <c r="A118" s="289"/>
      <c r="B118" s="294"/>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5"/>
      <c r="AM118" s="445"/>
      <c r="AN118" s="445"/>
      <c r="AO118" s="445"/>
      <c r="AP118" s="445"/>
      <c r="AQ118" s="445"/>
      <c r="AR118" s="445"/>
      <c r="AS118" s="445"/>
      <c r="AT118" s="445"/>
      <c r="AU118" s="445"/>
      <c r="AV118" s="445"/>
      <c r="AW118" s="445"/>
      <c r="AX118" s="445"/>
      <c r="AY118" s="445"/>
      <c r="AZ118" s="445"/>
      <c r="BA118" s="445"/>
      <c r="BB118" s="445"/>
      <c r="BC118" s="445"/>
      <c r="BD118" s="445"/>
      <c r="BE118" s="445"/>
      <c r="BF118" s="445"/>
      <c r="BG118" s="445"/>
      <c r="BH118" s="445"/>
      <c r="BI118" s="445"/>
      <c r="BJ118" s="445"/>
      <c r="BK118" s="445"/>
      <c r="BL118" s="445"/>
      <c r="BM118" s="445"/>
      <c r="BN118" s="445"/>
      <c r="BO118" s="445"/>
      <c r="BP118" s="445"/>
      <c r="BQ118" s="445"/>
      <c r="BR118" s="445"/>
      <c r="BS118" s="445"/>
      <c r="BT118" s="445"/>
      <c r="BU118" s="445"/>
      <c r="BV118" s="445"/>
      <c r="BW118" s="445"/>
      <c r="BX118" s="445"/>
      <c r="BY118" s="445"/>
      <c r="BZ118" s="445"/>
      <c r="CA118" s="445"/>
      <c r="CB118" s="445"/>
      <c r="CC118" s="445"/>
      <c r="CD118" s="445"/>
      <c r="CE118" s="445"/>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row>
    <row r="119" spans="1:104" x14ac:dyDescent="0.45">
      <c r="A119" s="289"/>
      <c r="B119" s="294"/>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5"/>
      <c r="AM119" s="445"/>
      <c r="AN119" s="445"/>
      <c r="AO119" s="445"/>
      <c r="AP119" s="445"/>
      <c r="AQ119" s="445"/>
      <c r="AR119" s="445"/>
      <c r="AS119" s="445"/>
      <c r="AT119" s="445"/>
      <c r="AU119" s="445"/>
      <c r="AV119" s="445"/>
      <c r="AW119" s="445"/>
      <c r="AX119" s="445"/>
      <c r="AY119" s="445"/>
      <c r="AZ119" s="445"/>
      <c r="BA119" s="445"/>
      <c r="BB119" s="445"/>
      <c r="BC119" s="445"/>
      <c r="BD119" s="445"/>
      <c r="BE119" s="445"/>
      <c r="BF119" s="445"/>
      <c r="BG119" s="445"/>
      <c r="BH119" s="445"/>
      <c r="BI119" s="445"/>
      <c r="BJ119" s="445"/>
      <c r="BK119" s="445"/>
      <c r="BL119" s="445"/>
      <c r="BM119" s="445"/>
      <c r="BN119" s="445"/>
      <c r="BO119" s="445"/>
      <c r="BP119" s="445"/>
      <c r="BQ119" s="445"/>
      <c r="BR119" s="445"/>
      <c r="BS119" s="445"/>
      <c r="BT119" s="445"/>
      <c r="BU119" s="445"/>
      <c r="BV119" s="445"/>
      <c r="BW119" s="445"/>
      <c r="BX119" s="445"/>
      <c r="BY119" s="445"/>
      <c r="BZ119" s="445"/>
      <c r="CA119" s="445"/>
      <c r="CB119" s="445"/>
      <c r="CC119" s="445"/>
      <c r="CD119" s="445"/>
      <c r="CE119" s="445"/>
      <c r="CF119" s="289"/>
      <c r="CG119" s="289"/>
      <c r="CH119" s="289"/>
      <c r="CI119" s="289"/>
      <c r="CJ119" s="289"/>
      <c r="CK119" s="289"/>
      <c r="CL119" s="289"/>
      <c r="CM119" s="289"/>
      <c r="CN119" s="289"/>
      <c r="CO119" s="289"/>
      <c r="CP119" s="289"/>
      <c r="CQ119" s="289"/>
      <c r="CR119" s="289"/>
      <c r="CS119" s="289"/>
      <c r="CT119" s="289"/>
      <c r="CU119" s="289"/>
      <c r="CV119" s="289"/>
      <c r="CW119" s="289"/>
      <c r="CX119" s="289"/>
      <c r="CY119" s="289"/>
      <c r="CZ119" s="289"/>
    </row>
    <row r="120" spans="1:104" x14ac:dyDescent="0.45">
      <c r="A120" s="289"/>
      <c r="B120" s="294"/>
      <c r="C120" s="445"/>
      <c r="D120" s="445"/>
      <c r="E120" s="445"/>
      <c r="F120" s="445"/>
      <c r="G120" s="445"/>
      <c r="H120" s="445"/>
      <c r="I120" s="445"/>
      <c r="J120" s="445"/>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5"/>
      <c r="AM120" s="445"/>
      <c r="AN120" s="445"/>
      <c r="AO120" s="445"/>
      <c r="AP120" s="445"/>
      <c r="AQ120" s="445"/>
      <c r="AR120" s="445"/>
      <c r="AS120" s="445"/>
      <c r="AT120" s="445"/>
      <c r="AU120" s="445"/>
      <c r="AV120" s="445"/>
      <c r="AW120" s="445"/>
      <c r="AX120" s="445"/>
      <c r="AY120" s="445"/>
      <c r="AZ120" s="445"/>
      <c r="BA120" s="445"/>
      <c r="BB120" s="445"/>
      <c r="BC120" s="445"/>
      <c r="BD120" s="445"/>
      <c r="BE120" s="445"/>
      <c r="BF120" s="445"/>
      <c r="BG120" s="445"/>
      <c r="BH120" s="445"/>
      <c r="BI120" s="445"/>
      <c r="BJ120" s="445"/>
      <c r="BK120" s="445"/>
      <c r="BL120" s="445"/>
      <c r="BM120" s="445"/>
      <c r="BN120" s="445"/>
      <c r="BO120" s="445"/>
      <c r="BP120" s="445"/>
      <c r="BQ120" s="445"/>
      <c r="BR120" s="445"/>
      <c r="BS120" s="445"/>
      <c r="BT120" s="445"/>
      <c r="BU120" s="445"/>
      <c r="BV120" s="445"/>
      <c r="BW120" s="445"/>
      <c r="BX120" s="445"/>
      <c r="BY120" s="445"/>
      <c r="BZ120" s="445"/>
      <c r="CA120" s="445"/>
      <c r="CB120" s="445"/>
      <c r="CC120" s="445"/>
      <c r="CD120" s="445"/>
      <c r="CE120" s="445"/>
      <c r="CF120" s="289"/>
      <c r="CG120" s="289"/>
      <c r="CH120" s="289"/>
      <c r="CI120" s="289"/>
      <c r="CJ120" s="289"/>
      <c r="CK120" s="289"/>
      <c r="CL120" s="289"/>
      <c r="CM120" s="289"/>
      <c r="CN120" s="289"/>
      <c r="CO120" s="289"/>
      <c r="CP120" s="289"/>
      <c r="CQ120" s="289"/>
      <c r="CR120" s="289"/>
      <c r="CS120" s="289"/>
      <c r="CT120" s="289"/>
      <c r="CU120" s="289"/>
      <c r="CV120" s="289"/>
      <c r="CW120" s="289"/>
      <c r="CX120" s="289"/>
      <c r="CY120" s="289"/>
      <c r="CZ120" s="289"/>
    </row>
    <row r="121" spans="1:104" x14ac:dyDescent="0.45">
      <c r="A121" s="289"/>
      <c r="B121" s="294"/>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5"/>
      <c r="AY121" s="445"/>
      <c r="AZ121" s="445"/>
      <c r="BA121" s="445"/>
      <c r="BB121" s="445"/>
      <c r="BC121" s="445"/>
      <c r="BD121" s="445"/>
      <c r="BE121" s="445"/>
      <c r="BF121" s="445"/>
      <c r="BG121" s="445"/>
      <c r="BH121" s="445"/>
      <c r="BI121" s="445"/>
      <c r="BJ121" s="445"/>
      <c r="BK121" s="445"/>
      <c r="BL121" s="445"/>
      <c r="BM121" s="445"/>
      <c r="BN121" s="445"/>
      <c r="BO121" s="445"/>
      <c r="BP121" s="445"/>
      <c r="BQ121" s="445"/>
      <c r="BR121" s="445"/>
      <c r="BS121" s="445"/>
      <c r="BT121" s="445"/>
      <c r="BU121" s="445"/>
      <c r="BV121" s="445"/>
      <c r="BW121" s="445"/>
      <c r="BX121" s="445"/>
      <c r="BY121" s="445"/>
      <c r="BZ121" s="445"/>
      <c r="CA121" s="445"/>
      <c r="CB121" s="445"/>
      <c r="CC121" s="445"/>
      <c r="CD121" s="445"/>
      <c r="CE121" s="445"/>
      <c r="CF121" s="289"/>
      <c r="CG121" s="289"/>
      <c r="CH121" s="289"/>
      <c r="CI121" s="289"/>
      <c r="CJ121" s="289"/>
      <c r="CK121" s="289"/>
      <c r="CL121" s="289"/>
      <c r="CM121" s="289"/>
      <c r="CN121" s="289"/>
      <c r="CO121" s="289"/>
      <c r="CP121" s="289"/>
      <c r="CQ121" s="289"/>
      <c r="CR121" s="289"/>
      <c r="CS121" s="289"/>
      <c r="CT121" s="289"/>
      <c r="CU121" s="289"/>
      <c r="CV121" s="289"/>
      <c r="CW121" s="289"/>
      <c r="CX121" s="289"/>
      <c r="CY121" s="289"/>
      <c r="CZ121" s="289"/>
    </row>
    <row r="122" spans="1:104" x14ac:dyDescent="0.45">
      <c r="A122" s="289"/>
      <c r="B122" s="294"/>
      <c r="C122" s="445"/>
      <c r="D122" s="445"/>
      <c r="E122" s="445"/>
      <c r="F122" s="445"/>
      <c r="G122" s="445"/>
      <c r="H122" s="445"/>
      <c r="I122" s="445"/>
      <c r="J122" s="445"/>
      <c r="K122" s="445"/>
      <c r="L122" s="445"/>
      <c r="M122" s="445"/>
      <c r="N122" s="445"/>
      <c r="O122" s="445"/>
      <c r="P122" s="445"/>
      <c r="Q122" s="445"/>
      <c r="R122" s="445"/>
      <c r="S122" s="445"/>
      <c r="T122" s="445"/>
      <c r="U122" s="445"/>
      <c r="V122" s="445"/>
      <c r="W122" s="445"/>
      <c r="X122" s="445"/>
      <c r="Y122" s="445"/>
      <c r="Z122" s="445"/>
      <c r="AA122" s="445"/>
      <c r="AB122" s="445"/>
      <c r="AC122" s="445"/>
      <c r="AD122" s="445"/>
      <c r="AE122" s="445"/>
      <c r="AF122" s="445"/>
      <c r="AG122" s="445"/>
      <c r="AH122" s="445"/>
      <c r="AI122" s="445"/>
      <c r="AJ122" s="445"/>
      <c r="AK122" s="445"/>
      <c r="AL122" s="445"/>
      <c r="AM122" s="445"/>
      <c r="AN122" s="445"/>
      <c r="AO122" s="445"/>
      <c r="AP122" s="445"/>
      <c r="AQ122" s="445"/>
      <c r="AR122" s="445"/>
      <c r="AS122" s="445"/>
      <c r="AT122" s="445"/>
      <c r="AU122" s="445"/>
      <c r="AV122" s="445"/>
      <c r="AW122" s="445"/>
      <c r="AX122" s="445"/>
      <c r="AY122" s="445"/>
      <c r="AZ122" s="445"/>
      <c r="BA122" s="445"/>
      <c r="BB122" s="445"/>
      <c r="BC122" s="445"/>
      <c r="BD122" s="445"/>
      <c r="BE122" s="445"/>
      <c r="BF122" s="445"/>
      <c r="BG122" s="445"/>
      <c r="BH122" s="445"/>
      <c r="BI122" s="445"/>
      <c r="BJ122" s="445"/>
      <c r="BK122" s="445"/>
      <c r="BL122" s="445"/>
      <c r="BM122" s="445"/>
      <c r="BN122" s="445"/>
      <c r="BO122" s="445"/>
      <c r="BP122" s="445"/>
      <c r="BQ122" s="445"/>
      <c r="BR122" s="445"/>
      <c r="BS122" s="445"/>
      <c r="BT122" s="445"/>
      <c r="BU122" s="445"/>
      <c r="BV122" s="445"/>
      <c r="BW122" s="445"/>
      <c r="BX122" s="445"/>
      <c r="BY122" s="445"/>
      <c r="BZ122" s="445"/>
      <c r="CA122" s="445"/>
      <c r="CB122" s="445"/>
      <c r="CC122" s="445"/>
      <c r="CD122" s="445"/>
      <c r="CE122" s="445"/>
      <c r="CF122" s="289"/>
      <c r="CG122" s="289"/>
      <c r="CH122" s="289"/>
      <c r="CI122" s="289"/>
      <c r="CJ122" s="289"/>
      <c r="CK122" s="289"/>
      <c r="CL122" s="289"/>
      <c r="CM122" s="289"/>
      <c r="CN122" s="289"/>
      <c r="CO122" s="289"/>
      <c r="CP122" s="289"/>
      <c r="CQ122" s="289"/>
      <c r="CR122" s="289"/>
      <c r="CS122" s="289"/>
      <c r="CT122" s="289"/>
      <c r="CU122" s="289"/>
      <c r="CV122" s="289"/>
      <c r="CW122" s="289"/>
      <c r="CX122" s="289"/>
      <c r="CY122" s="289"/>
      <c r="CZ122" s="289"/>
    </row>
    <row r="123" spans="1:104" x14ac:dyDescent="0.45">
      <c r="A123" s="289"/>
      <c r="B123" s="294"/>
      <c r="C123" s="445"/>
      <c r="D123" s="445"/>
      <c r="E123" s="445"/>
      <c r="F123" s="445"/>
      <c r="G123" s="445"/>
      <c r="H123" s="445"/>
      <c r="I123" s="445"/>
      <c r="J123" s="445"/>
      <c r="K123" s="445"/>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5"/>
      <c r="AH123" s="445"/>
      <c r="AI123" s="445"/>
      <c r="AJ123" s="445"/>
      <c r="AK123" s="445"/>
      <c r="AL123" s="445"/>
      <c r="AM123" s="445"/>
      <c r="AN123" s="445"/>
      <c r="AO123" s="445"/>
      <c r="AP123" s="445"/>
      <c r="AQ123" s="445"/>
      <c r="AR123" s="445"/>
      <c r="AS123" s="445"/>
      <c r="AT123" s="445"/>
      <c r="AU123" s="445"/>
      <c r="AV123" s="445"/>
      <c r="AW123" s="445"/>
      <c r="AX123" s="445"/>
      <c r="AY123" s="445"/>
      <c r="AZ123" s="445"/>
      <c r="BA123" s="445"/>
      <c r="BB123" s="445"/>
      <c r="BC123" s="445"/>
      <c r="BD123" s="445"/>
      <c r="BE123" s="445"/>
      <c r="BF123" s="445"/>
      <c r="BG123" s="445"/>
      <c r="BH123" s="445"/>
      <c r="BI123" s="445"/>
      <c r="BJ123" s="445"/>
      <c r="BK123" s="445"/>
      <c r="BL123" s="445"/>
      <c r="BM123" s="445"/>
      <c r="BN123" s="445"/>
      <c r="BO123" s="445"/>
      <c r="BP123" s="445"/>
      <c r="BQ123" s="445"/>
      <c r="BR123" s="445"/>
      <c r="BS123" s="445"/>
      <c r="BT123" s="445"/>
      <c r="BU123" s="445"/>
      <c r="BV123" s="445"/>
      <c r="BW123" s="445"/>
      <c r="BX123" s="445"/>
      <c r="BY123" s="445"/>
      <c r="BZ123" s="445"/>
      <c r="CA123" s="445"/>
      <c r="CB123" s="445"/>
      <c r="CC123" s="445"/>
      <c r="CD123" s="445"/>
      <c r="CE123" s="445"/>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row>
    <row r="124" spans="1:104" x14ac:dyDescent="0.45">
      <c r="A124" s="289"/>
      <c r="B124" s="294"/>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c r="Z124" s="445"/>
      <c r="AA124" s="445"/>
      <c r="AB124" s="445"/>
      <c r="AC124" s="445"/>
      <c r="AD124" s="445"/>
      <c r="AE124" s="445"/>
      <c r="AF124" s="445"/>
      <c r="AG124" s="445"/>
      <c r="AH124" s="445"/>
      <c r="AI124" s="445"/>
      <c r="AJ124" s="445"/>
      <c r="AK124" s="445"/>
      <c r="AL124" s="445"/>
      <c r="AM124" s="445"/>
      <c r="AN124" s="445"/>
      <c r="AO124" s="445"/>
      <c r="AP124" s="445"/>
      <c r="AQ124" s="445"/>
      <c r="AR124" s="445"/>
      <c r="AS124" s="445"/>
      <c r="AT124" s="445"/>
      <c r="AU124" s="445"/>
      <c r="AV124" s="445"/>
      <c r="AW124" s="445"/>
      <c r="AX124" s="445"/>
      <c r="AY124" s="445"/>
      <c r="AZ124" s="445"/>
      <c r="BA124" s="445"/>
      <c r="BB124" s="445"/>
      <c r="BC124" s="445"/>
      <c r="BD124" s="445"/>
      <c r="BE124" s="445"/>
      <c r="BF124" s="445"/>
      <c r="BG124" s="445"/>
      <c r="BH124" s="445"/>
      <c r="BI124" s="445"/>
      <c r="BJ124" s="445"/>
      <c r="BK124" s="445"/>
      <c r="BL124" s="445"/>
      <c r="BM124" s="445"/>
      <c r="BN124" s="445"/>
      <c r="BO124" s="445"/>
      <c r="BP124" s="445"/>
      <c r="BQ124" s="445"/>
      <c r="BR124" s="445"/>
      <c r="BS124" s="445"/>
      <c r="BT124" s="445"/>
      <c r="BU124" s="445"/>
      <c r="BV124" s="445"/>
      <c r="BW124" s="445"/>
      <c r="BX124" s="445"/>
      <c r="BY124" s="445"/>
      <c r="BZ124" s="445"/>
      <c r="CA124" s="445"/>
      <c r="CB124" s="445"/>
      <c r="CC124" s="445"/>
      <c r="CD124" s="445"/>
      <c r="CE124" s="445"/>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row>
    <row r="125" spans="1:104" x14ac:dyDescent="0.45">
      <c r="A125" s="289"/>
      <c r="B125" s="294"/>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c r="Z125" s="445"/>
      <c r="AA125" s="445"/>
      <c r="AB125" s="445"/>
      <c r="AC125" s="445"/>
      <c r="AD125" s="445"/>
      <c r="AE125" s="445"/>
      <c r="AF125" s="445"/>
      <c r="AG125" s="445"/>
      <c r="AH125" s="445"/>
      <c r="AI125" s="445"/>
      <c r="AJ125" s="445"/>
      <c r="AK125" s="445"/>
      <c r="AL125" s="445"/>
      <c r="AM125" s="445"/>
      <c r="AN125" s="445"/>
      <c r="AO125" s="445"/>
      <c r="AP125" s="445"/>
      <c r="AQ125" s="445"/>
      <c r="AR125" s="445"/>
      <c r="AS125" s="445"/>
      <c r="AT125" s="445"/>
      <c r="AU125" s="445"/>
      <c r="AV125" s="445"/>
      <c r="AW125" s="445"/>
      <c r="AX125" s="445"/>
      <c r="AY125" s="445"/>
      <c r="AZ125" s="445"/>
      <c r="BA125" s="445"/>
      <c r="BB125" s="445"/>
      <c r="BC125" s="445"/>
      <c r="BD125" s="445"/>
      <c r="BE125" s="445"/>
      <c r="BF125" s="445"/>
      <c r="BG125" s="445"/>
      <c r="BH125" s="445"/>
      <c r="BI125" s="445"/>
      <c r="BJ125" s="445"/>
      <c r="BK125" s="445"/>
      <c r="BL125" s="445"/>
      <c r="BM125" s="445"/>
      <c r="BN125" s="445"/>
      <c r="BO125" s="445"/>
      <c r="BP125" s="445"/>
      <c r="BQ125" s="445"/>
      <c r="BR125" s="445"/>
      <c r="BS125" s="445"/>
      <c r="BT125" s="445"/>
      <c r="BU125" s="445"/>
      <c r="BV125" s="445"/>
      <c r="BW125" s="445"/>
      <c r="BX125" s="445"/>
      <c r="BY125" s="445"/>
      <c r="BZ125" s="445"/>
      <c r="CA125" s="445"/>
      <c r="CB125" s="445"/>
      <c r="CC125" s="445"/>
      <c r="CD125" s="445"/>
      <c r="CE125" s="445"/>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row>
    <row r="126" spans="1:104" x14ac:dyDescent="0.45">
      <c r="A126" s="289"/>
      <c r="B126" s="294"/>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5"/>
      <c r="AM126" s="445"/>
      <c r="AN126" s="445"/>
      <c r="AO126" s="445"/>
      <c r="AP126" s="445"/>
      <c r="AQ126" s="445"/>
      <c r="AR126" s="445"/>
      <c r="AS126" s="445"/>
      <c r="AT126" s="445"/>
      <c r="AU126" s="445"/>
      <c r="AV126" s="445"/>
      <c r="AW126" s="445"/>
      <c r="AX126" s="445"/>
      <c r="AY126" s="445"/>
      <c r="AZ126" s="445"/>
      <c r="BA126" s="445"/>
      <c r="BB126" s="445"/>
      <c r="BC126" s="445"/>
      <c r="BD126" s="445"/>
      <c r="BE126" s="445"/>
      <c r="BF126" s="445"/>
      <c r="BG126" s="445"/>
      <c r="BH126" s="445"/>
      <c r="BI126" s="445"/>
      <c r="BJ126" s="445"/>
      <c r="BK126" s="445"/>
      <c r="BL126" s="445"/>
      <c r="BM126" s="445"/>
      <c r="BN126" s="445"/>
      <c r="BO126" s="445"/>
      <c r="BP126" s="445"/>
      <c r="BQ126" s="445"/>
      <c r="BR126" s="445"/>
      <c r="BS126" s="445"/>
      <c r="BT126" s="445"/>
      <c r="BU126" s="445"/>
      <c r="BV126" s="445"/>
      <c r="BW126" s="445"/>
      <c r="BX126" s="445"/>
      <c r="BY126" s="445"/>
      <c r="BZ126" s="445"/>
      <c r="CA126" s="445"/>
      <c r="CB126" s="445"/>
      <c r="CC126" s="445"/>
      <c r="CD126" s="445"/>
      <c r="CE126" s="445"/>
      <c r="CF126" s="289"/>
      <c r="CG126" s="289"/>
      <c r="CH126" s="289"/>
      <c r="CI126" s="289"/>
      <c r="CJ126" s="289"/>
      <c r="CK126" s="289"/>
      <c r="CL126" s="289"/>
      <c r="CM126" s="289"/>
      <c r="CN126" s="289"/>
      <c r="CO126" s="289"/>
      <c r="CP126" s="289"/>
      <c r="CQ126" s="289"/>
      <c r="CR126" s="289"/>
      <c r="CS126" s="289"/>
      <c r="CT126" s="289"/>
      <c r="CU126" s="289"/>
      <c r="CV126" s="289"/>
      <c r="CW126" s="289"/>
      <c r="CX126" s="289"/>
      <c r="CY126" s="289"/>
      <c r="CZ126" s="289"/>
    </row>
    <row r="127" spans="1:104" x14ac:dyDescent="0.45">
      <c r="A127" s="289"/>
      <c r="B127" s="294"/>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5"/>
      <c r="AM127" s="445"/>
      <c r="AN127" s="445"/>
      <c r="AO127" s="445"/>
      <c r="AP127" s="445"/>
      <c r="AQ127" s="445"/>
      <c r="AR127" s="445"/>
      <c r="AS127" s="445"/>
      <c r="AT127" s="445"/>
      <c r="AU127" s="445"/>
      <c r="AV127" s="445"/>
      <c r="AW127" s="445"/>
      <c r="AX127" s="445"/>
      <c r="AY127" s="445"/>
      <c r="AZ127" s="445"/>
      <c r="BA127" s="445"/>
      <c r="BB127" s="445"/>
      <c r="BC127" s="445"/>
      <c r="BD127" s="445"/>
      <c r="BE127" s="445"/>
      <c r="BF127" s="445"/>
      <c r="BG127" s="445"/>
      <c r="BH127" s="445"/>
      <c r="BI127" s="445"/>
      <c r="BJ127" s="445"/>
      <c r="BK127" s="445"/>
      <c r="BL127" s="445"/>
      <c r="BM127" s="445"/>
      <c r="BN127" s="445"/>
      <c r="BO127" s="445"/>
      <c r="BP127" s="445"/>
      <c r="BQ127" s="445"/>
      <c r="BR127" s="445"/>
      <c r="BS127" s="445"/>
      <c r="BT127" s="445"/>
      <c r="BU127" s="445"/>
      <c r="BV127" s="445"/>
      <c r="BW127" s="445"/>
      <c r="BX127" s="445"/>
      <c r="BY127" s="445"/>
      <c r="BZ127" s="445"/>
      <c r="CA127" s="445"/>
      <c r="CB127" s="445"/>
      <c r="CC127" s="445"/>
      <c r="CD127" s="445"/>
      <c r="CE127" s="445"/>
      <c r="CF127" s="289"/>
      <c r="CG127" s="289"/>
      <c r="CH127" s="289"/>
      <c r="CI127" s="289"/>
      <c r="CJ127" s="289"/>
      <c r="CK127" s="289"/>
      <c r="CL127" s="289"/>
      <c r="CM127" s="289"/>
      <c r="CN127" s="289"/>
      <c r="CO127" s="289"/>
      <c r="CP127" s="289"/>
      <c r="CQ127" s="289"/>
      <c r="CR127" s="289"/>
      <c r="CS127" s="289"/>
      <c r="CT127" s="289"/>
      <c r="CU127" s="289"/>
      <c r="CV127" s="289"/>
      <c r="CW127" s="289"/>
      <c r="CX127" s="289"/>
      <c r="CY127" s="289"/>
      <c r="CZ127" s="289"/>
    </row>
    <row r="128" spans="1:104" x14ac:dyDescent="0.45">
      <c r="A128" s="289"/>
      <c r="B128" s="294"/>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F128" s="445"/>
      <c r="AG128" s="445"/>
      <c r="AH128" s="445"/>
      <c r="AI128" s="445"/>
      <c r="AJ128" s="445"/>
      <c r="AK128" s="445"/>
      <c r="AL128" s="445"/>
      <c r="AM128" s="445"/>
      <c r="AN128" s="445"/>
      <c r="AO128" s="445"/>
      <c r="AP128" s="445"/>
      <c r="AQ128" s="445"/>
      <c r="AR128" s="445"/>
      <c r="AS128" s="445"/>
      <c r="AT128" s="445"/>
      <c r="AU128" s="445"/>
      <c r="AV128" s="445"/>
      <c r="AW128" s="445"/>
      <c r="AX128" s="445"/>
      <c r="AY128" s="445"/>
      <c r="AZ128" s="445"/>
      <c r="BA128" s="445"/>
      <c r="BB128" s="445"/>
      <c r="BC128" s="445"/>
      <c r="BD128" s="445"/>
      <c r="BE128" s="445"/>
      <c r="BF128" s="445"/>
      <c r="BG128" s="445"/>
      <c r="BH128" s="445"/>
      <c r="BI128" s="445"/>
      <c r="BJ128" s="445"/>
      <c r="BK128" s="445"/>
      <c r="BL128" s="445"/>
      <c r="BM128" s="445"/>
      <c r="BN128" s="445"/>
      <c r="BO128" s="445"/>
      <c r="BP128" s="445"/>
      <c r="BQ128" s="445"/>
      <c r="BR128" s="445"/>
      <c r="BS128" s="445"/>
      <c r="BT128" s="445"/>
      <c r="BU128" s="445"/>
      <c r="BV128" s="445"/>
      <c r="BW128" s="445"/>
      <c r="BX128" s="445"/>
      <c r="BY128" s="445"/>
      <c r="BZ128" s="445"/>
      <c r="CA128" s="445"/>
      <c r="CB128" s="445"/>
      <c r="CC128" s="445"/>
      <c r="CD128" s="445"/>
      <c r="CE128" s="445"/>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row>
    <row r="129" spans="1:104" x14ac:dyDescent="0.45">
      <c r="A129" s="289"/>
      <c r="B129" s="294"/>
      <c r="C129" s="445"/>
      <c r="D129" s="445"/>
      <c r="E129" s="445"/>
      <c r="F129" s="445"/>
      <c r="G129" s="445"/>
      <c r="H129" s="445"/>
      <c r="I129" s="445"/>
      <c r="J129" s="445"/>
      <c r="K129" s="445"/>
      <c r="L129" s="445"/>
      <c r="M129" s="445"/>
      <c r="N129" s="445"/>
      <c r="O129" s="445"/>
      <c r="P129" s="445"/>
      <c r="Q129" s="445"/>
      <c r="R129" s="445"/>
      <c r="S129" s="445"/>
      <c r="T129" s="445"/>
      <c r="U129" s="445"/>
      <c r="V129" s="445"/>
      <c r="W129" s="445"/>
      <c r="X129" s="445"/>
      <c r="Y129" s="445"/>
      <c r="Z129" s="445"/>
      <c r="AA129" s="445"/>
      <c r="AB129" s="445"/>
      <c r="AC129" s="445"/>
      <c r="AD129" s="445"/>
      <c r="AE129" s="445"/>
      <c r="AF129" s="445"/>
      <c r="AG129" s="445"/>
      <c r="AH129" s="445"/>
      <c r="AI129" s="445"/>
      <c r="AJ129" s="445"/>
      <c r="AK129" s="445"/>
      <c r="AL129" s="445"/>
      <c r="AM129" s="445"/>
      <c r="AN129" s="445"/>
      <c r="AO129" s="445"/>
      <c r="AP129" s="445"/>
      <c r="AQ129" s="445"/>
      <c r="AR129" s="445"/>
      <c r="AS129" s="445"/>
      <c r="AT129" s="445"/>
      <c r="AU129" s="445"/>
      <c r="AV129" s="445"/>
      <c r="AW129" s="445"/>
      <c r="AX129" s="445"/>
      <c r="AY129" s="445"/>
      <c r="AZ129" s="445"/>
      <c r="BA129" s="445"/>
      <c r="BB129" s="445"/>
      <c r="BC129" s="445"/>
      <c r="BD129" s="445"/>
      <c r="BE129" s="445"/>
      <c r="BF129" s="445"/>
      <c r="BG129" s="445"/>
      <c r="BH129" s="445"/>
      <c r="BI129" s="445"/>
      <c r="BJ129" s="445"/>
      <c r="BK129" s="445"/>
      <c r="BL129" s="445"/>
      <c r="BM129" s="445"/>
      <c r="BN129" s="445"/>
      <c r="BO129" s="445"/>
      <c r="BP129" s="445"/>
      <c r="BQ129" s="445"/>
      <c r="BR129" s="445"/>
      <c r="BS129" s="445"/>
      <c r="BT129" s="445"/>
      <c r="BU129" s="445"/>
      <c r="BV129" s="445"/>
      <c r="BW129" s="445"/>
      <c r="BX129" s="445"/>
      <c r="BY129" s="445"/>
      <c r="BZ129" s="445"/>
      <c r="CA129" s="445"/>
      <c r="CB129" s="445"/>
      <c r="CC129" s="445"/>
      <c r="CD129" s="445"/>
      <c r="CE129" s="445"/>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row>
    <row r="130" spans="1:104" x14ac:dyDescent="0.45">
      <c r="A130" s="289"/>
      <c r="B130" s="294"/>
      <c r="C130" s="445"/>
      <c r="D130" s="445"/>
      <c r="E130" s="445"/>
      <c r="F130" s="445"/>
      <c r="G130" s="445"/>
      <c r="H130" s="445"/>
      <c r="I130" s="445"/>
      <c r="J130" s="445"/>
      <c r="K130" s="445"/>
      <c r="L130" s="445"/>
      <c r="M130" s="445"/>
      <c r="N130" s="445"/>
      <c r="O130" s="445"/>
      <c r="P130" s="445"/>
      <c r="Q130" s="445"/>
      <c r="R130" s="445"/>
      <c r="S130" s="445"/>
      <c r="T130" s="445"/>
      <c r="U130" s="445"/>
      <c r="V130" s="445"/>
      <c r="W130" s="445"/>
      <c r="X130" s="445"/>
      <c r="Y130" s="445"/>
      <c r="Z130" s="445"/>
      <c r="AA130" s="445"/>
      <c r="AB130" s="445"/>
      <c r="AC130" s="445"/>
      <c r="AD130" s="445"/>
      <c r="AE130" s="445"/>
      <c r="AF130" s="445"/>
      <c r="AG130" s="445"/>
      <c r="AH130" s="445"/>
      <c r="AI130" s="445"/>
      <c r="AJ130" s="445"/>
      <c r="AK130" s="445"/>
      <c r="AL130" s="445"/>
      <c r="AM130" s="445"/>
      <c r="AN130" s="445"/>
      <c r="AO130" s="445"/>
      <c r="AP130" s="445"/>
      <c r="AQ130" s="445"/>
      <c r="AR130" s="445"/>
      <c r="AS130" s="445"/>
      <c r="AT130" s="445"/>
      <c r="AU130" s="445"/>
      <c r="AV130" s="445"/>
      <c r="AW130" s="445"/>
      <c r="AX130" s="445"/>
      <c r="AY130" s="445"/>
      <c r="AZ130" s="445"/>
      <c r="BA130" s="445"/>
      <c r="BB130" s="445"/>
      <c r="BC130" s="445"/>
      <c r="BD130" s="445"/>
      <c r="BE130" s="445"/>
      <c r="BF130" s="445"/>
      <c r="BG130" s="445"/>
      <c r="BH130" s="445"/>
      <c r="BI130" s="445"/>
      <c r="BJ130" s="445"/>
      <c r="BK130" s="445"/>
      <c r="BL130" s="445"/>
      <c r="BM130" s="445"/>
      <c r="BN130" s="445"/>
      <c r="BO130" s="445"/>
      <c r="BP130" s="445"/>
      <c r="BQ130" s="445"/>
      <c r="BR130" s="445"/>
      <c r="BS130" s="445"/>
      <c r="BT130" s="445"/>
      <c r="BU130" s="445"/>
      <c r="BV130" s="445"/>
      <c r="BW130" s="445"/>
      <c r="BX130" s="445"/>
      <c r="BY130" s="445"/>
      <c r="BZ130" s="445"/>
      <c r="CA130" s="445"/>
      <c r="CB130" s="445"/>
      <c r="CC130" s="445"/>
      <c r="CD130" s="445"/>
      <c r="CE130" s="445"/>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row>
    <row r="131" spans="1:104" x14ac:dyDescent="0.45">
      <c r="A131" s="289"/>
      <c r="B131" s="294"/>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5"/>
      <c r="AJ131" s="445"/>
      <c r="AK131" s="445"/>
      <c r="AL131" s="445"/>
      <c r="AM131" s="445"/>
      <c r="AN131" s="445"/>
      <c r="AO131" s="445"/>
      <c r="AP131" s="445"/>
      <c r="AQ131" s="445"/>
      <c r="AR131" s="445"/>
      <c r="AS131" s="445"/>
      <c r="AT131" s="445"/>
      <c r="AU131" s="445"/>
      <c r="AV131" s="445"/>
      <c r="AW131" s="445"/>
      <c r="AX131" s="445"/>
      <c r="AY131" s="445"/>
      <c r="AZ131" s="445"/>
      <c r="BA131" s="445"/>
      <c r="BB131" s="445"/>
      <c r="BC131" s="445"/>
      <c r="BD131" s="445"/>
      <c r="BE131" s="445"/>
      <c r="BF131" s="445"/>
      <c r="BG131" s="445"/>
      <c r="BH131" s="445"/>
      <c r="BI131" s="445"/>
      <c r="BJ131" s="445"/>
      <c r="BK131" s="445"/>
      <c r="BL131" s="445"/>
      <c r="BM131" s="445"/>
      <c r="BN131" s="445"/>
      <c r="BO131" s="445"/>
      <c r="BP131" s="445"/>
      <c r="BQ131" s="445"/>
      <c r="BR131" s="445"/>
      <c r="BS131" s="445"/>
      <c r="BT131" s="445"/>
      <c r="BU131" s="445"/>
      <c r="BV131" s="445"/>
      <c r="BW131" s="445"/>
      <c r="BX131" s="445"/>
      <c r="BY131" s="445"/>
      <c r="BZ131" s="445"/>
      <c r="CA131" s="445"/>
      <c r="CB131" s="445"/>
      <c r="CC131" s="445"/>
      <c r="CD131" s="445"/>
      <c r="CE131" s="445"/>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row>
    <row r="132" spans="1:104" x14ac:dyDescent="0.45">
      <c r="A132" s="289"/>
      <c r="B132" s="294"/>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c r="Z132" s="445"/>
      <c r="AA132" s="445"/>
      <c r="AB132" s="445"/>
      <c r="AC132" s="445"/>
      <c r="AD132" s="445"/>
      <c r="AE132" s="445"/>
      <c r="AF132" s="445"/>
      <c r="AG132" s="445"/>
      <c r="AH132" s="445"/>
      <c r="AI132" s="445"/>
      <c r="AJ132" s="445"/>
      <c r="AK132" s="445"/>
      <c r="AL132" s="445"/>
      <c r="AM132" s="445"/>
      <c r="AN132" s="445"/>
      <c r="AO132" s="445"/>
      <c r="AP132" s="445"/>
      <c r="AQ132" s="445"/>
      <c r="AR132" s="445"/>
      <c r="AS132" s="445"/>
      <c r="AT132" s="445"/>
      <c r="AU132" s="445"/>
      <c r="AV132" s="445"/>
      <c r="AW132" s="445"/>
      <c r="AX132" s="445"/>
      <c r="AY132" s="445"/>
      <c r="AZ132" s="445"/>
      <c r="BA132" s="445"/>
      <c r="BB132" s="445"/>
      <c r="BC132" s="445"/>
      <c r="BD132" s="445"/>
      <c r="BE132" s="445"/>
      <c r="BF132" s="445"/>
      <c r="BG132" s="445"/>
      <c r="BH132" s="445"/>
      <c r="BI132" s="445"/>
      <c r="BJ132" s="445"/>
      <c r="BK132" s="445"/>
      <c r="BL132" s="445"/>
      <c r="BM132" s="445"/>
      <c r="BN132" s="445"/>
      <c r="BO132" s="445"/>
      <c r="BP132" s="445"/>
      <c r="BQ132" s="445"/>
      <c r="BR132" s="445"/>
      <c r="BS132" s="445"/>
      <c r="BT132" s="445"/>
      <c r="BU132" s="445"/>
      <c r="BV132" s="445"/>
      <c r="BW132" s="445"/>
      <c r="BX132" s="445"/>
      <c r="BY132" s="445"/>
      <c r="BZ132" s="445"/>
      <c r="CA132" s="445"/>
      <c r="CB132" s="445"/>
      <c r="CC132" s="445"/>
      <c r="CD132" s="445"/>
      <c r="CE132" s="445"/>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row>
    <row r="133" spans="1:104" x14ac:dyDescent="0.45">
      <c r="A133" s="289"/>
      <c r="B133" s="294"/>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c r="AA133" s="445"/>
      <c r="AB133" s="445"/>
      <c r="AC133" s="445"/>
      <c r="AD133" s="445"/>
      <c r="AE133" s="445"/>
      <c r="AF133" s="445"/>
      <c r="AG133" s="445"/>
      <c r="AH133" s="445"/>
      <c r="AI133" s="445"/>
      <c r="AJ133" s="445"/>
      <c r="AK133" s="445"/>
      <c r="AL133" s="445"/>
      <c r="AM133" s="445"/>
      <c r="AN133" s="445"/>
      <c r="AO133" s="445"/>
      <c r="AP133" s="445"/>
      <c r="AQ133" s="445"/>
      <c r="AR133" s="445"/>
      <c r="AS133" s="445"/>
      <c r="AT133" s="445"/>
      <c r="AU133" s="445"/>
      <c r="AV133" s="445"/>
      <c r="AW133" s="445"/>
      <c r="AX133" s="445"/>
      <c r="AY133" s="445"/>
      <c r="AZ133" s="445"/>
      <c r="BA133" s="445"/>
      <c r="BB133" s="445"/>
      <c r="BC133" s="445"/>
      <c r="BD133" s="445"/>
      <c r="BE133" s="445"/>
      <c r="BF133" s="445"/>
      <c r="BG133" s="445"/>
      <c r="BH133" s="445"/>
      <c r="BI133" s="445"/>
      <c r="BJ133" s="445"/>
      <c r="BK133" s="445"/>
      <c r="BL133" s="445"/>
      <c r="BM133" s="445"/>
      <c r="BN133" s="445"/>
      <c r="BO133" s="445"/>
      <c r="BP133" s="445"/>
      <c r="BQ133" s="445"/>
      <c r="BR133" s="445"/>
      <c r="BS133" s="445"/>
      <c r="BT133" s="445"/>
      <c r="BU133" s="445"/>
      <c r="BV133" s="445"/>
      <c r="BW133" s="445"/>
      <c r="BX133" s="445"/>
      <c r="BY133" s="445"/>
      <c r="BZ133" s="445"/>
      <c r="CA133" s="445"/>
      <c r="CB133" s="445"/>
      <c r="CC133" s="445"/>
      <c r="CD133" s="445"/>
      <c r="CE133" s="445"/>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row>
    <row r="134" spans="1:104" x14ac:dyDescent="0.45">
      <c r="A134" s="289"/>
      <c r="B134" s="294"/>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5"/>
      <c r="AY134" s="445"/>
      <c r="AZ134" s="445"/>
      <c r="BA134" s="445"/>
      <c r="BB134" s="445"/>
      <c r="BC134" s="445"/>
      <c r="BD134" s="445"/>
      <c r="BE134" s="445"/>
      <c r="BF134" s="445"/>
      <c r="BG134" s="445"/>
      <c r="BH134" s="445"/>
      <c r="BI134" s="445"/>
      <c r="BJ134" s="445"/>
      <c r="BK134" s="445"/>
      <c r="BL134" s="445"/>
      <c r="BM134" s="445"/>
      <c r="BN134" s="445"/>
      <c r="BO134" s="445"/>
      <c r="BP134" s="445"/>
      <c r="BQ134" s="445"/>
      <c r="BR134" s="445"/>
      <c r="BS134" s="445"/>
      <c r="BT134" s="445"/>
      <c r="BU134" s="445"/>
      <c r="BV134" s="445"/>
      <c r="BW134" s="445"/>
      <c r="BX134" s="445"/>
      <c r="BY134" s="445"/>
      <c r="BZ134" s="445"/>
      <c r="CA134" s="445"/>
      <c r="CB134" s="445"/>
      <c r="CC134" s="445"/>
      <c r="CD134" s="445"/>
      <c r="CE134" s="445"/>
      <c r="CF134" s="289"/>
      <c r="CG134" s="289"/>
      <c r="CH134" s="289"/>
      <c r="CI134" s="289"/>
      <c r="CJ134" s="289"/>
      <c r="CK134" s="289"/>
      <c r="CL134" s="289"/>
      <c r="CM134" s="289"/>
      <c r="CN134" s="289"/>
      <c r="CO134" s="289"/>
      <c r="CP134" s="289"/>
      <c r="CQ134" s="289"/>
      <c r="CR134" s="289"/>
      <c r="CS134" s="289"/>
      <c r="CT134" s="289"/>
      <c r="CU134" s="289"/>
      <c r="CV134" s="289"/>
      <c r="CW134" s="289"/>
      <c r="CX134" s="289"/>
      <c r="CY134" s="289"/>
      <c r="CZ134" s="289"/>
    </row>
    <row r="135" spans="1:104" x14ac:dyDescent="0.45">
      <c r="A135" s="289"/>
      <c r="B135" s="294"/>
      <c r="C135" s="445"/>
      <c r="D135" s="445"/>
      <c r="E135" s="445"/>
      <c r="F135" s="445"/>
      <c r="G135" s="445"/>
      <c r="H135" s="445"/>
      <c r="I135" s="445"/>
      <c r="J135" s="445"/>
      <c r="K135" s="445"/>
      <c r="L135" s="445"/>
      <c r="M135" s="445"/>
      <c r="N135" s="445"/>
      <c r="O135" s="445"/>
      <c r="P135" s="445"/>
      <c r="Q135" s="445"/>
      <c r="R135" s="445"/>
      <c r="S135" s="445"/>
      <c r="T135" s="445"/>
      <c r="U135" s="445"/>
      <c r="V135" s="445"/>
      <c r="W135" s="445"/>
      <c r="X135" s="445"/>
      <c r="Y135" s="445"/>
      <c r="Z135" s="445"/>
      <c r="AA135" s="445"/>
      <c r="AB135" s="445"/>
      <c r="AC135" s="445"/>
      <c r="AD135" s="445"/>
      <c r="AE135" s="445"/>
      <c r="AF135" s="445"/>
      <c r="AG135" s="445"/>
      <c r="AH135" s="445"/>
      <c r="AI135" s="445"/>
      <c r="AJ135" s="445"/>
      <c r="AK135" s="445"/>
      <c r="AL135" s="445"/>
      <c r="AM135" s="445"/>
      <c r="AN135" s="445"/>
      <c r="AO135" s="445"/>
      <c r="AP135" s="445"/>
      <c r="AQ135" s="445"/>
      <c r="AR135" s="445"/>
      <c r="AS135" s="445"/>
      <c r="AT135" s="445"/>
      <c r="AU135" s="445"/>
      <c r="AV135" s="445"/>
      <c r="AW135" s="445"/>
      <c r="AX135" s="445"/>
      <c r="AY135" s="445"/>
      <c r="AZ135" s="445"/>
      <c r="BA135" s="445"/>
      <c r="BB135" s="445"/>
      <c r="BC135" s="445"/>
      <c r="BD135" s="445"/>
      <c r="BE135" s="445"/>
      <c r="BF135" s="445"/>
      <c r="BG135" s="445"/>
      <c r="BH135" s="445"/>
      <c r="BI135" s="445"/>
      <c r="BJ135" s="445"/>
      <c r="BK135" s="445"/>
      <c r="BL135" s="445"/>
      <c r="BM135" s="445"/>
      <c r="BN135" s="445"/>
      <c r="BO135" s="445"/>
      <c r="BP135" s="445"/>
      <c r="BQ135" s="445"/>
      <c r="BR135" s="445"/>
      <c r="BS135" s="445"/>
      <c r="BT135" s="445"/>
      <c r="BU135" s="445"/>
      <c r="BV135" s="445"/>
      <c r="BW135" s="445"/>
      <c r="BX135" s="445"/>
      <c r="BY135" s="445"/>
      <c r="BZ135" s="445"/>
      <c r="CA135" s="445"/>
      <c r="CB135" s="445"/>
      <c r="CC135" s="445"/>
      <c r="CD135" s="445"/>
      <c r="CE135" s="445"/>
      <c r="CF135" s="289"/>
      <c r="CG135" s="289"/>
      <c r="CH135" s="289"/>
      <c r="CI135" s="289"/>
      <c r="CJ135" s="289"/>
      <c r="CK135" s="289"/>
      <c r="CL135" s="289"/>
      <c r="CM135" s="289"/>
      <c r="CN135" s="289"/>
      <c r="CO135" s="289"/>
      <c r="CP135" s="289"/>
      <c r="CQ135" s="289"/>
      <c r="CR135" s="289"/>
      <c r="CS135" s="289"/>
      <c r="CT135" s="289"/>
      <c r="CU135" s="289"/>
      <c r="CV135" s="289"/>
      <c r="CW135" s="289"/>
      <c r="CX135" s="289"/>
      <c r="CY135" s="289"/>
      <c r="CZ135" s="289"/>
    </row>
    <row r="136" spans="1:104" x14ac:dyDescent="0.45">
      <c r="A136" s="289"/>
      <c r="B136" s="294"/>
      <c r="C136" s="445"/>
      <c r="D136" s="445"/>
      <c r="E136" s="445"/>
      <c r="F136" s="445"/>
      <c r="G136" s="445"/>
      <c r="H136" s="445"/>
      <c r="I136" s="445"/>
      <c r="J136" s="445"/>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5"/>
      <c r="AL136" s="445"/>
      <c r="AM136" s="445"/>
      <c r="AN136" s="445"/>
      <c r="AO136" s="445"/>
      <c r="AP136" s="445"/>
      <c r="AQ136" s="445"/>
      <c r="AR136" s="445"/>
      <c r="AS136" s="445"/>
      <c r="AT136" s="445"/>
      <c r="AU136" s="445"/>
      <c r="AV136" s="445"/>
      <c r="AW136" s="445"/>
      <c r="AX136" s="445"/>
      <c r="AY136" s="445"/>
      <c r="AZ136" s="445"/>
      <c r="BA136" s="445"/>
      <c r="BB136" s="445"/>
      <c r="BC136" s="445"/>
      <c r="BD136" s="445"/>
      <c r="BE136" s="445"/>
      <c r="BF136" s="445"/>
      <c r="BG136" s="445"/>
      <c r="BH136" s="445"/>
      <c r="BI136" s="445"/>
      <c r="BJ136" s="445"/>
      <c r="BK136" s="445"/>
      <c r="BL136" s="445"/>
      <c r="BM136" s="445"/>
      <c r="BN136" s="445"/>
      <c r="BO136" s="445"/>
      <c r="BP136" s="445"/>
      <c r="BQ136" s="445"/>
      <c r="BR136" s="445"/>
      <c r="BS136" s="445"/>
      <c r="BT136" s="445"/>
      <c r="BU136" s="445"/>
      <c r="BV136" s="445"/>
      <c r="BW136" s="445"/>
      <c r="BX136" s="445"/>
      <c r="BY136" s="445"/>
      <c r="BZ136" s="445"/>
      <c r="CA136" s="445"/>
      <c r="CB136" s="445"/>
      <c r="CC136" s="445"/>
      <c r="CD136" s="445"/>
      <c r="CE136" s="445"/>
      <c r="CF136" s="289"/>
      <c r="CG136" s="289"/>
      <c r="CH136" s="289"/>
      <c r="CI136" s="289"/>
      <c r="CJ136" s="289"/>
      <c r="CK136" s="289"/>
      <c r="CL136" s="289"/>
      <c r="CM136" s="289"/>
      <c r="CN136" s="289"/>
      <c r="CO136" s="289"/>
      <c r="CP136" s="289"/>
      <c r="CQ136" s="289"/>
      <c r="CR136" s="289"/>
      <c r="CS136" s="289"/>
      <c r="CT136" s="289"/>
      <c r="CU136" s="289"/>
      <c r="CV136" s="289"/>
      <c r="CW136" s="289"/>
      <c r="CX136" s="289"/>
      <c r="CY136" s="289"/>
      <c r="CZ136" s="289"/>
    </row>
    <row r="137" spans="1:104" x14ac:dyDescent="0.45">
      <c r="A137" s="289"/>
      <c r="B137" s="294"/>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c r="Z137" s="445"/>
      <c r="AA137" s="445"/>
      <c r="AB137" s="445"/>
      <c r="AC137" s="445"/>
      <c r="AD137" s="445"/>
      <c r="AE137" s="445"/>
      <c r="AF137" s="445"/>
      <c r="AG137" s="445"/>
      <c r="AH137" s="445"/>
      <c r="AI137" s="445"/>
      <c r="AJ137" s="445"/>
      <c r="AK137" s="445"/>
      <c r="AL137" s="445"/>
      <c r="AM137" s="445"/>
      <c r="AN137" s="445"/>
      <c r="AO137" s="445"/>
      <c r="AP137" s="445"/>
      <c r="AQ137" s="445"/>
      <c r="AR137" s="445"/>
      <c r="AS137" s="445"/>
      <c r="AT137" s="445"/>
      <c r="AU137" s="445"/>
      <c r="AV137" s="445"/>
      <c r="AW137" s="445"/>
      <c r="AX137" s="445"/>
      <c r="AY137" s="445"/>
      <c r="AZ137" s="445"/>
      <c r="BA137" s="445"/>
      <c r="BB137" s="445"/>
      <c r="BC137" s="445"/>
      <c r="BD137" s="445"/>
      <c r="BE137" s="445"/>
      <c r="BF137" s="445"/>
      <c r="BG137" s="445"/>
      <c r="BH137" s="445"/>
      <c r="BI137" s="445"/>
      <c r="BJ137" s="445"/>
      <c r="BK137" s="445"/>
      <c r="BL137" s="445"/>
      <c r="BM137" s="445"/>
      <c r="BN137" s="445"/>
      <c r="BO137" s="445"/>
      <c r="BP137" s="445"/>
      <c r="BQ137" s="445"/>
      <c r="BR137" s="445"/>
      <c r="BS137" s="445"/>
      <c r="BT137" s="445"/>
      <c r="BU137" s="445"/>
      <c r="BV137" s="445"/>
      <c r="BW137" s="445"/>
      <c r="BX137" s="445"/>
      <c r="BY137" s="445"/>
      <c r="BZ137" s="445"/>
      <c r="CA137" s="445"/>
      <c r="CB137" s="445"/>
      <c r="CC137" s="445"/>
      <c r="CD137" s="445"/>
      <c r="CE137" s="445"/>
      <c r="CF137" s="289"/>
      <c r="CG137" s="289"/>
      <c r="CH137" s="289"/>
      <c r="CI137" s="289"/>
      <c r="CJ137" s="289"/>
      <c r="CK137" s="289"/>
      <c r="CL137" s="289"/>
      <c r="CM137" s="289"/>
      <c r="CN137" s="289"/>
      <c r="CO137" s="289"/>
      <c r="CP137" s="289"/>
      <c r="CQ137" s="289"/>
      <c r="CR137" s="289"/>
      <c r="CS137" s="289"/>
      <c r="CT137" s="289"/>
      <c r="CU137" s="289"/>
      <c r="CV137" s="289"/>
      <c r="CW137" s="289"/>
      <c r="CX137" s="289"/>
      <c r="CY137" s="289"/>
      <c r="CZ137" s="289"/>
    </row>
    <row r="138" spans="1:104" x14ac:dyDescent="0.45">
      <c r="A138" s="289"/>
      <c r="B138" s="294"/>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c r="AH138" s="445"/>
      <c r="AI138" s="445"/>
      <c r="AJ138" s="445"/>
      <c r="AK138" s="445"/>
      <c r="AL138" s="445"/>
      <c r="AM138" s="445"/>
      <c r="AN138" s="445"/>
      <c r="AO138" s="445"/>
      <c r="AP138" s="445"/>
      <c r="AQ138" s="445"/>
      <c r="AR138" s="445"/>
      <c r="AS138" s="445"/>
      <c r="AT138" s="445"/>
      <c r="AU138" s="445"/>
      <c r="AV138" s="445"/>
      <c r="AW138" s="445"/>
      <c r="AX138" s="445"/>
      <c r="AY138" s="445"/>
      <c r="AZ138" s="445"/>
      <c r="BA138" s="445"/>
      <c r="BB138" s="445"/>
      <c r="BC138" s="445"/>
      <c r="BD138" s="445"/>
      <c r="BE138" s="445"/>
      <c r="BF138" s="445"/>
      <c r="BG138" s="445"/>
      <c r="BH138" s="445"/>
      <c r="BI138" s="445"/>
      <c r="BJ138" s="445"/>
      <c r="BK138" s="445"/>
      <c r="BL138" s="445"/>
      <c r="BM138" s="445"/>
      <c r="BN138" s="445"/>
      <c r="BO138" s="445"/>
      <c r="BP138" s="445"/>
      <c r="BQ138" s="445"/>
      <c r="BR138" s="445"/>
      <c r="BS138" s="445"/>
      <c r="BT138" s="445"/>
      <c r="BU138" s="445"/>
      <c r="BV138" s="445"/>
      <c r="BW138" s="445"/>
      <c r="BX138" s="445"/>
      <c r="BY138" s="445"/>
      <c r="BZ138" s="445"/>
      <c r="CA138" s="445"/>
      <c r="CB138" s="445"/>
      <c r="CC138" s="445"/>
      <c r="CD138" s="445"/>
      <c r="CE138" s="445"/>
      <c r="CF138" s="289"/>
      <c r="CG138" s="289"/>
      <c r="CH138" s="289"/>
      <c r="CI138" s="289"/>
      <c r="CJ138" s="289"/>
      <c r="CK138" s="289"/>
      <c r="CL138" s="289"/>
      <c r="CM138" s="289"/>
      <c r="CN138" s="289"/>
      <c r="CO138" s="289"/>
      <c r="CP138" s="289"/>
      <c r="CQ138" s="289"/>
      <c r="CR138" s="289"/>
      <c r="CS138" s="289"/>
      <c r="CT138" s="289"/>
      <c r="CU138" s="289"/>
      <c r="CV138" s="289"/>
      <c r="CW138" s="289"/>
      <c r="CX138" s="289"/>
      <c r="CY138" s="289"/>
      <c r="CZ138" s="289"/>
    </row>
    <row r="139" spans="1:104" x14ac:dyDescent="0.45">
      <c r="A139" s="289"/>
      <c r="B139" s="294"/>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c r="Z139" s="445"/>
      <c r="AA139" s="445"/>
      <c r="AB139" s="445"/>
      <c r="AC139" s="445"/>
      <c r="AD139" s="445"/>
      <c r="AE139" s="445"/>
      <c r="AF139" s="445"/>
      <c r="AG139" s="445"/>
      <c r="AH139" s="445"/>
      <c r="AI139" s="445"/>
      <c r="AJ139" s="445"/>
      <c r="AK139" s="445"/>
      <c r="AL139" s="445"/>
      <c r="AM139" s="445"/>
      <c r="AN139" s="445"/>
      <c r="AO139" s="445"/>
      <c r="AP139" s="445"/>
      <c r="AQ139" s="445"/>
      <c r="AR139" s="445"/>
      <c r="AS139" s="445"/>
      <c r="AT139" s="445"/>
      <c r="AU139" s="445"/>
      <c r="AV139" s="445"/>
      <c r="AW139" s="445"/>
      <c r="AX139" s="445"/>
      <c r="AY139" s="445"/>
      <c r="AZ139" s="445"/>
      <c r="BA139" s="445"/>
      <c r="BB139" s="445"/>
      <c r="BC139" s="445"/>
      <c r="BD139" s="445"/>
      <c r="BE139" s="445"/>
      <c r="BF139" s="445"/>
      <c r="BG139" s="445"/>
      <c r="BH139" s="445"/>
      <c r="BI139" s="445"/>
      <c r="BJ139" s="445"/>
      <c r="BK139" s="445"/>
      <c r="BL139" s="445"/>
      <c r="BM139" s="445"/>
      <c r="BN139" s="445"/>
      <c r="BO139" s="445"/>
      <c r="BP139" s="445"/>
      <c r="BQ139" s="445"/>
      <c r="BR139" s="445"/>
      <c r="BS139" s="445"/>
      <c r="BT139" s="445"/>
      <c r="BU139" s="445"/>
      <c r="BV139" s="445"/>
      <c r="BW139" s="445"/>
      <c r="BX139" s="445"/>
      <c r="BY139" s="445"/>
      <c r="BZ139" s="445"/>
      <c r="CA139" s="445"/>
      <c r="CB139" s="445"/>
      <c r="CC139" s="445"/>
      <c r="CD139" s="445"/>
      <c r="CE139" s="445"/>
      <c r="CF139" s="289"/>
      <c r="CG139" s="289"/>
      <c r="CH139" s="289"/>
      <c r="CI139" s="289"/>
      <c r="CJ139" s="289"/>
      <c r="CK139" s="289"/>
      <c r="CL139" s="289"/>
      <c r="CM139" s="289"/>
      <c r="CN139" s="289"/>
      <c r="CO139" s="289"/>
      <c r="CP139" s="289"/>
      <c r="CQ139" s="289"/>
      <c r="CR139" s="289"/>
      <c r="CS139" s="289"/>
      <c r="CT139" s="289"/>
      <c r="CU139" s="289"/>
      <c r="CV139" s="289"/>
      <c r="CW139" s="289"/>
      <c r="CX139" s="289"/>
      <c r="CY139" s="289"/>
      <c r="CZ139" s="289"/>
    </row>
    <row r="140" spans="1:104" x14ac:dyDescent="0.45">
      <c r="A140" s="289"/>
      <c r="B140" s="294"/>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c r="AJ140" s="445"/>
      <c r="AK140" s="445"/>
      <c r="AL140" s="445"/>
      <c r="AM140" s="445"/>
      <c r="AN140" s="445"/>
      <c r="AO140" s="445"/>
      <c r="AP140" s="445"/>
      <c r="AQ140" s="445"/>
      <c r="AR140" s="445"/>
      <c r="AS140" s="445"/>
      <c r="AT140" s="445"/>
      <c r="AU140" s="445"/>
      <c r="AV140" s="445"/>
      <c r="AW140" s="445"/>
      <c r="AX140" s="445"/>
      <c r="AY140" s="445"/>
      <c r="AZ140" s="445"/>
      <c r="BA140" s="445"/>
      <c r="BB140" s="445"/>
      <c r="BC140" s="445"/>
      <c r="BD140" s="445"/>
      <c r="BE140" s="445"/>
      <c r="BF140" s="445"/>
      <c r="BG140" s="445"/>
      <c r="BH140" s="445"/>
      <c r="BI140" s="445"/>
      <c r="BJ140" s="445"/>
      <c r="BK140" s="445"/>
      <c r="BL140" s="445"/>
      <c r="BM140" s="445"/>
      <c r="BN140" s="445"/>
      <c r="BO140" s="445"/>
      <c r="BP140" s="445"/>
      <c r="BQ140" s="445"/>
      <c r="BR140" s="445"/>
      <c r="BS140" s="445"/>
      <c r="BT140" s="445"/>
      <c r="BU140" s="445"/>
      <c r="BV140" s="445"/>
      <c r="BW140" s="445"/>
      <c r="BX140" s="445"/>
      <c r="BY140" s="445"/>
      <c r="BZ140" s="445"/>
      <c r="CA140" s="445"/>
      <c r="CB140" s="445"/>
      <c r="CC140" s="445"/>
      <c r="CD140" s="445"/>
      <c r="CE140" s="445"/>
      <c r="CF140" s="289"/>
      <c r="CG140" s="289"/>
      <c r="CH140" s="289"/>
      <c r="CI140" s="289"/>
      <c r="CJ140" s="289"/>
      <c r="CK140" s="289"/>
      <c r="CL140" s="289"/>
      <c r="CM140" s="289"/>
      <c r="CN140" s="289"/>
      <c r="CO140" s="289"/>
      <c r="CP140" s="289"/>
      <c r="CQ140" s="289"/>
      <c r="CR140" s="289"/>
      <c r="CS140" s="289"/>
      <c r="CT140" s="289"/>
      <c r="CU140" s="289"/>
      <c r="CV140" s="289"/>
      <c r="CW140" s="289"/>
      <c r="CX140" s="289"/>
      <c r="CY140" s="289"/>
      <c r="CZ140" s="289"/>
    </row>
    <row r="141" spans="1:104" x14ac:dyDescent="0.45">
      <c r="A141" s="289"/>
      <c r="B141" s="294"/>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c r="Z141" s="445"/>
      <c r="AA141" s="445"/>
      <c r="AB141" s="445"/>
      <c r="AC141" s="445"/>
      <c r="AD141" s="445"/>
      <c r="AE141" s="445"/>
      <c r="AF141" s="445"/>
      <c r="AG141" s="445"/>
      <c r="AH141" s="445"/>
      <c r="AI141" s="445"/>
      <c r="AJ141" s="445"/>
      <c r="AK141" s="445"/>
      <c r="AL141" s="445"/>
      <c r="AM141" s="445"/>
      <c r="AN141" s="445"/>
      <c r="AO141" s="445"/>
      <c r="AP141" s="445"/>
      <c r="AQ141" s="445"/>
      <c r="AR141" s="445"/>
      <c r="AS141" s="445"/>
      <c r="AT141" s="445"/>
      <c r="AU141" s="445"/>
      <c r="AV141" s="445"/>
      <c r="AW141" s="445"/>
      <c r="AX141" s="445"/>
      <c r="AY141" s="445"/>
      <c r="AZ141" s="445"/>
      <c r="BA141" s="445"/>
      <c r="BB141" s="445"/>
      <c r="BC141" s="445"/>
      <c r="BD141" s="445"/>
      <c r="BE141" s="445"/>
      <c r="BF141" s="445"/>
      <c r="BG141" s="445"/>
      <c r="BH141" s="445"/>
      <c r="BI141" s="445"/>
      <c r="BJ141" s="445"/>
      <c r="BK141" s="445"/>
      <c r="BL141" s="445"/>
      <c r="BM141" s="445"/>
      <c r="BN141" s="445"/>
      <c r="BO141" s="445"/>
      <c r="BP141" s="445"/>
      <c r="BQ141" s="445"/>
      <c r="BR141" s="445"/>
      <c r="BS141" s="445"/>
      <c r="BT141" s="445"/>
      <c r="BU141" s="445"/>
      <c r="BV141" s="445"/>
      <c r="BW141" s="445"/>
      <c r="BX141" s="445"/>
      <c r="BY141" s="445"/>
      <c r="BZ141" s="445"/>
      <c r="CA141" s="445"/>
      <c r="CB141" s="445"/>
      <c r="CC141" s="445"/>
      <c r="CD141" s="445"/>
      <c r="CE141" s="445"/>
      <c r="CF141" s="289"/>
      <c r="CG141" s="289"/>
      <c r="CH141" s="289"/>
      <c r="CI141" s="289"/>
      <c r="CJ141" s="289"/>
      <c r="CK141" s="289"/>
      <c r="CL141" s="289"/>
      <c r="CM141" s="289"/>
      <c r="CN141" s="289"/>
      <c r="CO141" s="289"/>
      <c r="CP141" s="289"/>
      <c r="CQ141" s="289"/>
      <c r="CR141" s="289"/>
      <c r="CS141" s="289"/>
      <c r="CT141" s="289"/>
      <c r="CU141" s="289"/>
      <c r="CV141" s="289"/>
      <c r="CW141" s="289"/>
      <c r="CX141" s="289"/>
      <c r="CY141" s="289"/>
      <c r="CZ141" s="289"/>
    </row>
    <row r="142" spans="1:104" x14ac:dyDescent="0.45">
      <c r="A142" s="289"/>
      <c r="B142" s="294"/>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445"/>
      <c r="AL142" s="445"/>
      <c r="AM142" s="445"/>
      <c r="AN142" s="445"/>
      <c r="AO142" s="445"/>
      <c r="AP142" s="445"/>
      <c r="AQ142" s="445"/>
      <c r="AR142" s="445"/>
      <c r="AS142" s="445"/>
      <c r="AT142" s="445"/>
      <c r="AU142" s="445"/>
      <c r="AV142" s="445"/>
      <c r="AW142" s="445"/>
      <c r="AX142" s="445"/>
      <c r="AY142" s="445"/>
      <c r="AZ142" s="445"/>
      <c r="BA142" s="445"/>
      <c r="BB142" s="445"/>
      <c r="BC142" s="445"/>
      <c r="BD142" s="445"/>
      <c r="BE142" s="445"/>
      <c r="BF142" s="445"/>
      <c r="BG142" s="445"/>
      <c r="BH142" s="445"/>
      <c r="BI142" s="445"/>
      <c r="BJ142" s="445"/>
      <c r="BK142" s="445"/>
      <c r="BL142" s="445"/>
      <c r="BM142" s="445"/>
      <c r="BN142" s="445"/>
      <c r="BO142" s="445"/>
      <c r="BP142" s="445"/>
      <c r="BQ142" s="445"/>
      <c r="BR142" s="445"/>
      <c r="BS142" s="445"/>
      <c r="BT142" s="445"/>
      <c r="BU142" s="445"/>
      <c r="BV142" s="445"/>
      <c r="BW142" s="445"/>
      <c r="BX142" s="445"/>
      <c r="BY142" s="445"/>
      <c r="BZ142" s="445"/>
      <c r="CA142" s="445"/>
      <c r="CB142" s="445"/>
      <c r="CC142" s="445"/>
      <c r="CD142" s="445"/>
      <c r="CE142" s="445"/>
      <c r="CF142" s="289"/>
      <c r="CG142" s="289"/>
      <c r="CH142" s="289"/>
      <c r="CI142" s="289"/>
      <c r="CJ142" s="289"/>
      <c r="CK142" s="289"/>
      <c r="CL142" s="289"/>
      <c r="CM142" s="289"/>
      <c r="CN142" s="289"/>
      <c r="CO142" s="289"/>
      <c r="CP142" s="289"/>
      <c r="CQ142" s="289"/>
      <c r="CR142" s="289"/>
      <c r="CS142" s="289"/>
      <c r="CT142" s="289"/>
      <c r="CU142" s="289"/>
      <c r="CV142" s="289"/>
      <c r="CW142" s="289"/>
      <c r="CX142" s="289"/>
      <c r="CY142" s="289"/>
      <c r="CZ142" s="289"/>
    </row>
    <row r="143" spans="1:104" x14ac:dyDescent="0.45">
      <c r="A143" s="289"/>
      <c r="B143" s="294"/>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445"/>
      <c r="AL143" s="445"/>
      <c r="AM143" s="445"/>
      <c r="AN143" s="445"/>
      <c r="AO143" s="445"/>
      <c r="AP143" s="445"/>
      <c r="AQ143" s="445"/>
      <c r="AR143" s="445"/>
      <c r="AS143" s="445"/>
      <c r="AT143" s="445"/>
      <c r="AU143" s="445"/>
      <c r="AV143" s="445"/>
      <c r="AW143" s="445"/>
      <c r="AX143" s="445"/>
      <c r="AY143" s="445"/>
      <c r="AZ143" s="445"/>
      <c r="BA143" s="445"/>
      <c r="BB143" s="445"/>
      <c r="BC143" s="445"/>
      <c r="BD143" s="445"/>
      <c r="BE143" s="445"/>
      <c r="BF143" s="445"/>
      <c r="BG143" s="445"/>
      <c r="BH143" s="445"/>
      <c r="BI143" s="445"/>
      <c r="BJ143" s="445"/>
      <c r="BK143" s="445"/>
      <c r="BL143" s="445"/>
      <c r="BM143" s="445"/>
      <c r="BN143" s="445"/>
      <c r="BO143" s="445"/>
      <c r="BP143" s="445"/>
      <c r="BQ143" s="445"/>
      <c r="BR143" s="445"/>
      <c r="BS143" s="445"/>
      <c r="BT143" s="445"/>
      <c r="BU143" s="445"/>
      <c r="BV143" s="445"/>
      <c r="BW143" s="445"/>
      <c r="BX143" s="445"/>
      <c r="BY143" s="445"/>
      <c r="BZ143" s="445"/>
      <c r="CA143" s="445"/>
      <c r="CB143" s="445"/>
      <c r="CC143" s="445"/>
      <c r="CD143" s="445"/>
      <c r="CE143" s="445"/>
      <c r="CF143" s="289"/>
      <c r="CG143" s="289"/>
      <c r="CH143" s="289"/>
      <c r="CI143" s="289"/>
      <c r="CJ143" s="289"/>
      <c r="CK143" s="289"/>
      <c r="CL143" s="289"/>
      <c r="CM143" s="289"/>
      <c r="CN143" s="289"/>
      <c r="CO143" s="289"/>
      <c r="CP143" s="289"/>
      <c r="CQ143" s="289"/>
      <c r="CR143" s="289"/>
      <c r="CS143" s="289"/>
      <c r="CT143" s="289"/>
      <c r="CU143" s="289"/>
      <c r="CV143" s="289"/>
      <c r="CW143" s="289"/>
      <c r="CX143" s="289"/>
      <c r="CY143" s="289"/>
      <c r="CZ143" s="289"/>
    </row>
    <row r="144" spans="1:104" x14ac:dyDescent="0.45">
      <c r="A144" s="289"/>
      <c r="B144" s="294"/>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c r="AH144" s="445"/>
      <c r="AI144" s="445"/>
      <c r="AJ144" s="445"/>
      <c r="AK144" s="445"/>
      <c r="AL144" s="445"/>
      <c r="AM144" s="445"/>
      <c r="AN144" s="445"/>
      <c r="AO144" s="445"/>
      <c r="AP144" s="445"/>
      <c r="AQ144" s="445"/>
      <c r="AR144" s="445"/>
      <c r="AS144" s="445"/>
      <c r="AT144" s="445"/>
      <c r="AU144" s="445"/>
      <c r="AV144" s="445"/>
      <c r="AW144" s="445"/>
      <c r="AX144" s="445"/>
      <c r="AY144" s="445"/>
      <c r="AZ144" s="445"/>
      <c r="BA144" s="445"/>
      <c r="BB144" s="445"/>
      <c r="BC144" s="445"/>
      <c r="BD144" s="445"/>
      <c r="BE144" s="445"/>
      <c r="BF144" s="445"/>
      <c r="BG144" s="445"/>
      <c r="BH144" s="445"/>
      <c r="BI144" s="445"/>
      <c r="BJ144" s="445"/>
      <c r="BK144" s="445"/>
      <c r="BL144" s="445"/>
      <c r="BM144" s="445"/>
      <c r="BN144" s="445"/>
      <c r="BO144" s="445"/>
      <c r="BP144" s="445"/>
      <c r="BQ144" s="445"/>
      <c r="BR144" s="445"/>
      <c r="BS144" s="445"/>
      <c r="BT144" s="445"/>
      <c r="BU144" s="445"/>
      <c r="BV144" s="445"/>
      <c r="BW144" s="445"/>
      <c r="BX144" s="445"/>
      <c r="BY144" s="445"/>
      <c r="BZ144" s="445"/>
      <c r="CA144" s="445"/>
      <c r="CB144" s="445"/>
      <c r="CC144" s="445"/>
      <c r="CD144" s="445"/>
      <c r="CE144" s="445"/>
      <c r="CF144" s="289"/>
      <c r="CG144" s="289"/>
      <c r="CH144" s="289"/>
      <c r="CI144" s="289"/>
      <c r="CJ144" s="289"/>
      <c r="CK144" s="289"/>
      <c r="CL144" s="289"/>
      <c r="CM144" s="289"/>
      <c r="CN144" s="289"/>
      <c r="CO144" s="289"/>
      <c r="CP144" s="289"/>
      <c r="CQ144" s="289"/>
      <c r="CR144" s="289"/>
      <c r="CS144" s="289"/>
      <c r="CT144" s="289"/>
      <c r="CU144" s="289"/>
      <c r="CV144" s="289"/>
      <c r="CW144" s="289"/>
      <c r="CX144" s="289"/>
      <c r="CY144" s="289"/>
      <c r="CZ144" s="289"/>
    </row>
    <row r="145" spans="1:104" x14ac:dyDescent="0.45">
      <c r="A145" s="289"/>
      <c r="B145" s="294"/>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c r="Z145" s="445"/>
      <c r="AA145" s="445"/>
      <c r="AB145" s="445"/>
      <c r="AC145" s="445"/>
      <c r="AD145" s="445"/>
      <c r="AE145" s="445"/>
      <c r="AF145" s="445"/>
      <c r="AG145" s="445"/>
      <c r="AH145" s="445"/>
      <c r="AI145" s="445"/>
      <c r="AJ145" s="445"/>
      <c r="AK145" s="445"/>
      <c r="AL145" s="445"/>
      <c r="AM145" s="445"/>
      <c r="AN145" s="445"/>
      <c r="AO145" s="445"/>
      <c r="AP145" s="445"/>
      <c r="AQ145" s="445"/>
      <c r="AR145" s="445"/>
      <c r="AS145" s="445"/>
      <c r="AT145" s="445"/>
      <c r="AU145" s="445"/>
      <c r="AV145" s="445"/>
      <c r="AW145" s="445"/>
      <c r="AX145" s="445"/>
      <c r="AY145" s="445"/>
      <c r="AZ145" s="445"/>
      <c r="BA145" s="445"/>
      <c r="BB145" s="445"/>
      <c r="BC145" s="445"/>
      <c r="BD145" s="445"/>
      <c r="BE145" s="445"/>
      <c r="BF145" s="445"/>
      <c r="BG145" s="445"/>
      <c r="BH145" s="445"/>
      <c r="BI145" s="445"/>
      <c r="BJ145" s="445"/>
      <c r="BK145" s="445"/>
      <c r="BL145" s="445"/>
      <c r="BM145" s="445"/>
      <c r="BN145" s="445"/>
      <c r="BO145" s="445"/>
      <c r="BP145" s="445"/>
      <c r="BQ145" s="445"/>
      <c r="BR145" s="445"/>
      <c r="BS145" s="445"/>
      <c r="BT145" s="445"/>
      <c r="BU145" s="445"/>
      <c r="BV145" s="445"/>
      <c r="BW145" s="445"/>
      <c r="BX145" s="445"/>
      <c r="BY145" s="445"/>
      <c r="BZ145" s="445"/>
      <c r="CA145" s="445"/>
      <c r="CB145" s="445"/>
      <c r="CC145" s="445"/>
      <c r="CD145" s="445"/>
      <c r="CE145" s="445"/>
      <c r="CF145" s="289"/>
      <c r="CG145" s="289"/>
      <c r="CH145" s="289"/>
      <c r="CI145" s="289"/>
      <c r="CJ145" s="289"/>
      <c r="CK145" s="289"/>
      <c r="CL145" s="289"/>
      <c r="CM145" s="289"/>
      <c r="CN145" s="289"/>
      <c r="CO145" s="289"/>
      <c r="CP145" s="289"/>
      <c r="CQ145" s="289"/>
      <c r="CR145" s="289"/>
      <c r="CS145" s="289"/>
      <c r="CT145" s="289"/>
      <c r="CU145" s="289"/>
      <c r="CV145" s="289"/>
      <c r="CW145" s="289"/>
      <c r="CX145" s="289"/>
      <c r="CY145" s="289"/>
      <c r="CZ145" s="289"/>
    </row>
    <row r="146" spans="1:104" x14ac:dyDescent="0.45">
      <c r="A146" s="289"/>
      <c r="B146" s="294"/>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445"/>
      <c r="AC146" s="445"/>
      <c r="AD146" s="445"/>
      <c r="AE146" s="445"/>
      <c r="AF146" s="445"/>
      <c r="AG146" s="445"/>
      <c r="AH146" s="445"/>
      <c r="AI146" s="445"/>
      <c r="AJ146" s="445"/>
      <c r="AK146" s="445"/>
      <c r="AL146" s="445"/>
      <c r="AM146" s="445"/>
      <c r="AN146" s="445"/>
      <c r="AO146" s="445"/>
      <c r="AP146" s="445"/>
      <c r="AQ146" s="445"/>
      <c r="AR146" s="445"/>
      <c r="AS146" s="445"/>
      <c r="AT146" s="445"/>
      <c r="AU146" s="445"/>
      <c r="AV146" s="445"/>
      <c r="AW146" s="445"/>
      <c r="AX146" s="445"/>
      <c r="AY146" s="445"/>
      <c r="AZ146" s="445"/>
      <c r="BA146" s="445"/>
      <c r="BB146" s="445"/>
      <c r="BC146" s="445"/>
      <c r="BD146" s="445"/>
      <c r="BE146" s="445"/>
      <c r="BF146" s="445"/>
      <c r="BG146" s="445"/>
      <c r="BH146" s="445"/>
      <c r="BI146" s="445"/>
      <c r="BJ146" s="445"/>
      <c r="BK146" s="445"/>
      <c r="BL146" s="445"/>
      <c r="BM146" s="445"/>
      <c r="BN146" s="445"/>
      <c r="BO146" s="445"/>
      <c r="BP146" s="445"/>
      <c r="BQ146" s="445"/>
      <c r="BR146" s="445"/>
      <c r="BS146" s="445"/>
      <c r="BT146" s="445"/>
      <c r="BU146" s="445"/>
      <c r="BV146" s="445"/>
      <c r="BW146" s="445"/>
      <c r="BX146" s="445"/>
      <c r="BY146" s="445"/>
      <c r="BZ146" s="445"/>
      <c r="CA146" s="445"/>
      <c r="CB146" s="445"/>
      <c r="CC146" s="445"/>
      <c r="CD146" s="445"/>
      <c r="CE146" s="445"/>
      <c r="CF146" s="289"/>
      <c r="CG146" s="289"/>
      <c r="CH146" s="289"/>
      <c r="CI146" s="289"/>
      <c r="CJ146" s="289"/>
      <c r="CK146" s="289"/>
      <c r="CL146" s="289"/>
      <c r="CM146" s="289"/>
      <c r="CN146" s="289"/>
      <c r="CO146" s="289"/>
      <c r="CP146" s="289"/>
      <c r="CQ146" s="289"/>
      <c r="CR146" s="289"/>
      <c r="CS146" s="289"/>
      <c r="CT146" s="289"/>
      <c r="CU146" s="289"/>
      <c r="CV146" s="289"/>
      <c r="CW146" s="289"/>
      <c r="CX146" s="289"/>
      <c r="CY146" s="289"/>
      <c r="CZ146" s="289"/>
    </row>
    <row r="147" spans="1:104" x14ac:dyDescent="0.45">
      <c r="A147" s="289"/>
      <c r="B147" s="294"/>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5"/>
      <c r="AY147" s="445"/>
      <c r="AZ147" s="445"/>
      <c r="BA147" s="445"/>
      <c r="BB147" s="445"/>
      <c r="BC147" s="445"/>
      <c r="BD147" s="445"/>
      <c r="BE147" s="445"/>
      <c r="BF147" s="445"/>
      <c r="BG147" s="445"/>
      <c r="BH147" s="445"/>
      <c r="BI147" s="445"/>
      <c r="BJ147" s="445"/>
      <c r="BK147" s="445"/>
      <c r="BL147" s="445"/>
      <c r="BM147" s="445"/>
      <c r="BN147" s="445"/>
      <c r="BO147" s="445"/>
      <c r="BP147" s="445"/>
      <c r="BQ147" s="445"/>
      <c r="BR147" s="445"/>
      <c r="BS147" s="445"/>
      <c r="BT147" s="445"/>
      <c r="BU147" s="445"/>
      <c r="BV147" s="445"/>
      <c r="BW147" s="445"/>
      <c r="BX147" s="445"/>
      <c r="BY147" s="445"/>
      <c r="BZ147" s="445"/>
      <c r="CA147" s="445"/>
      <c r="CB147" s="445"/>
      <c r="CC147" s="445"/>
      <c r="CD147" s="445"/>
      <c r="CE147" s="445"/>
      <c r="CF147" s="289"/>
      <c r="CG147" s="289"/>
      <c r="CH147" s="289"/>
      <c r="CI147" s="289"/>
      <c r="CJ147" s="289"/>
      <c r="CK147" s="289"/>
      <c r="CL147" s="289"/>
      <c r="CM147" s="289"/>
      <c r="CN147" s="289"/>
      <c r="CO147" s="289"/>
      <c r="CP147" s="289"/>
      <c r="CQ147" s="289"/>
      <c r="CR147" s="289"/>
      <c r="CS147" s="289"/>
      <c r="CT147" s="289"/>
      <c r="CU147" s="289"/>
      <c r="CV147" s="289"/>
      <c r="CW147" s="289"/>
      <c r="CX147" s="289"/>
      <c r="CY147" s="289"/>
      <c r="CZ147" s="289"/>
    </row>
    <row r="148" spans="1:104" x14ac:dyDescent="0.45">
      <c r="A148" s="289"/>
      <c r="B148" s="294"/>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c r="AH148" s="445"/>
      <c r="AI148" s="445"/>
      <c r="AJ148" s="445"/>
      <c r="AK148" s="445"/>
      <c r="AL148" s="445"/>
      <c r="AM148" s="445"/>
      <c r="AN148" s="445"/>
      <c r="AO148" s="445"/>
      <c r="AP148" s="445"/>
      <c r="AQ148" s="445"/>
      <c r="AR148" s="445"/>
      <c r="AS148" s="445"/>
      <c r="AT148" s="445"/>
      <c r="AU148" s="445"/>
      <c r="AV148" s="445"/>
      <c r="AW148" s="445"/>
      <c r="AX148" s="445"/>
      <c r="AY148" s="445"/>
      <c r="AZ148" s="445"/>
      <c r="BA148" s="445"/>
      <c r="BB148" s="445"/>
      <c r="BC148" s="445"/>
      <c r="BD148" s="445"/>
      <c r="BE148" s="445"/>
      <c r="BF148" s="445"/>
      <c r="BG148" s="445"/>
      <c r="BH148" s="445"/>
      <c r="BI148" s="445"/>
      <c r="BJ148" s="445"/>
      <c r="BK148" s="445"/>
      <c r="BL148" s="445"/>
      <c r="BM148" s="445"/>
      <c r="BN148" s="445"/>
      <c r="BO148" s="445"/>
      <c r="BP148" s="445"/>
      <c r="BQ148" s="445"/>
      <c r="BR148" s="445"/>
      <c r="BS148" s="445"/>
      <c r="BT148" s="445"/>
      <c r="BU148" s="445"/>
      <c r="BV148" s="445"/>
      <c r="BW148" s="445"/>
      <c r="BX148" s="445"/>
      <c r="BY148" s="445"/>
      <c r="BZ148" s="445"/>
      <c r="CA148" s="445"/>
      <c r="CB148" s="445"/>
      <c r="CC148" s="445"/>
      <c r="CD148" s="445"/>
      <c r="CE148" s="445"/>
      <c r="CF148" s="289"/>
      <c r="CG148" s="289"/>
      <c r="CH148" s="289"/>
      <c r="CI148" s="289"/>
      <c r="CJ148" s="289"/>
      <c r="CK148" s="289"/>
      <c r="CL148" s="289"/>
      <c r="CM148" s="289"/>
      <c r="CN148" s="289"/>
      <c r="CO148" s="289"/>
      <c r="CP148" s="289"/>
      <c r="CQ148" s="289"/>
      <c r="CR148" s="289"/>
      <c r="CS148" s="289"/>
      <c r="CT148" s="289"/>
      <c r="CU148" s="289"/>
      <c r="CV148" s="289"/>
      <c r="CW148" s="289"/>
      <c r="CX148" s="289"/>
      <c r="CY148" s="289"/>
      <c r="CZ148" s="289"/>
    </row>
    <row r="149" spans="1:104" x14ac:dyDescent="0.45">
      <c r="A149" s="289"/>
      <c r="B149" s="294"/>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s="445"/>
      <c r="AA149" s="445"/>
      <c r="AB149" s="445"/>
      <c r="AC149" s="445"/>
      <c r="AD149" s="445"/>
      <c r="AE149" s="445"/>
      <c r="AF149" s="445"/>
      <c r="AG149" s="445"/>
      <c r="AH149" s="445"/>
      <c r="AI149" s="445"/>
      <c r="AJ149" s="445"/>
      <c r="AK149" s="445"/>
      <c r="AL149" s="445"/>
      <c r="AM149" s="445"/>
      <c r="AN149" s="445"/>
      <c r="AO149" s="445"/>
      <c r="AP149" s="445"/>
      <c r="AQ149" s="445"/>
      <c r="AR149" s="445"/>
      <c r="AS149" s="445"/>
      <c r="AT149" s="445"/>
      <c r="AU149" s="445"/>
      <c r="AV149" s="445"/>
      <c r="AW149" s="445"/>
      <c r="AX149" s="445"/>
      <c r="AY149" s="445"/>
      <c r="AZ149" s="445"/>
      <c r="BA149" s="445"/>
      <c r="BB149" s="445"/>
      <c r="BC149" s="445"/>
      <c r="BD149" s="445"/>
      <c r="BE149" s="445"/>
      <c r="BF149" s="445"/>
      <c r="BG149" s="445"/>
      <c r="BH149" s="445"/>
      <c r="BI149" s="445"/>
      <c r="BJ149" s="445"/>
      <c r="BK149" s="445"/>
      <c r="BL149" s="445"/>
      <c r="BM149" s="445"/>
      <c r="BN149" s="445"/>
      <c r="BO149" s="445"/>
      <c r="BP149" s="445"/>
      <c r="BQ149" s="445"/>
      <c r="BR149" s="445"/>
      <c r="BS149" s="445"/>
      <c r="BT149" s="445"/>
      <c r="BU149" s="445"/>
      <c r="BV149" s="445"/>
      <c r="BW149" s="445"/>
      <c r="BX149" s="445"/>
      <c r="BY149" s="445"/>
      <c r="BZ149" s="445"/>
      <c r="CA149" s="445"/>
      <c r="CB149" s="445"/>
      <c r="CC149" s="445"/>
      <c r="CD149" s="445"/>
      <c r="CE149" s="445"/>
      <c r="CF149" s="289"/>
      <c r="CG149" s="289"/>
      <c r="CH149" s="289"/>
      <c r="CI149" s="289"/>
      <c r="CJ149" s="289"/>
      <c r="CK149" s="289"/>
      <c r="CL149" s="289"/>
      <c r="CM149" s="289"/>
      <c r="CN149" s="289"/>
      <c r="CO149" s="289"/>
      <c r="CP149" s="289"/>
      <c r="CQ149" s="289"/>
      <c r="CR149" s="289"/>
      <c r="CS149" s="289"/>
      <c r="CT149" s="289"/>
      <c r="CU149" s="289"/>
      <c r="CV149" s="289"/>
      <c r="CW149" s="289"/>
      <c r="CX149" s="289"/>
      <c r="CY149" s="289"/>
      <c r="CZ149" s="289"/>
    </row>
    <row r="150" spans="1:104" x14ac:dyDescent="0.45">
      <c r="A150" s="289"/>
      <c r="B150" s="294"/>
      <c r="C150" s="445"/>
      <c r="D150" s="445"/>
      <c r="E150" s="445"/>
      <c r="F150" s="445"/>
      <c r="G150" s="445"/>
      <c r="H150" s="445"/>
      <c r="I150" s="445"/>
      <c r="J150" s="445"/>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c r="AH150" s="445"/>
      <c r="AI150" s="445"/>
      <c r="AJ150" s="445"/>
      <c r="AK150" s="445"/>
      <c r="AL150" s="445"/>
      <c r="AM150" s="445"/>
      <c r="AN150" s="445"/>
      <c r="AO150" s="445"/>
      <c r="AP150" s="445"/>
      <c r="AQ150" s="445"/>
      <c r="AR150" s="445"/>
      <c r="AS150" s="445"/>
      <c r="AT150" s="445"/>
      <c r="AU150" s="445"/>
      <c r="AV150" s="445"/>
      <c r="AW150" s="445"/>
      <c r="AX150" s="445"/>
      <c r="AY150" s="445"/>
      <c r="AZ150" s="445"/>
      <c r="BA150" s="445"/>
      <c r="BB150" s="445"/>
      <c r="BC150" s="445"/>
      <c r="BD150" s="445"/>
      <c r="BE150" s="445"/>
      <c r="BF150" s="445"/>
      <c r="BG150" s="445"/>
      <c r="BH150" s="445"/>
      <c r="BI150" s="445"/>
      <c r="BJ150" s="445"/>
      <c r="BK150" s="445"/>
      <c r="BL150" s="445"/>
      <c r="BM150" s="445"/>
      <c r="BN150" s="445"/>
      <c r="BO150" s="445"/>
      <c r="BP150" s="445"/>
      <c r="BQ150" s="445"/>
      <c r="BR150" s="445"/>
      <c r="BS150" s="445"/>
      <c r="BT150" s="445"/>
      <c r="BU150" s="445"/>
      <c r="BV150" s="445"/>
      <c r="BW150" s="445"/>
      <c r="BX150" s="445"/>
      <c r="BY150" s="445"/>
      <c r="BZ150" s="445"/>
      <c r="CA150" s="445"/>
      <c r="CB150" s="445"/>
      <c r="CC150" s="445"/>
      <c r="CD150" s="445"/>
      <c r="CE150" s="445"/>
      <c r="CF150" s="289"/>
      <c r="CG150" s="289"/>
      <c r="CH150" s="289"/>
      <c r="CI150" s="289"/>
      <c r="CJ150" s="289"/>
      <c r="CK150" s="289"/>
      <c r="CL150" s="289"/>
      <c r="CM150" s="289"/>
      <c r="CN150" s="289"/>
      <c r="CO150" s="289"/>
      <c r="CP150" s="289"/>
      <c r="CQ150" s="289"/>
      <c r="CR150" s="289"/>
      <c r="CS150" s="289"/>
      <c r="CT150" s="289"/>
      <c r="CU150" s="289"/>
      <c r="CV150" s="289"/>
      <c r="CW150" s="289"/>
      <c r="CX150" s="289"/>
      <c r="CY150" s="289"/>
      <c r="CZ150" s="289"/>
    </row>
    <row r="151" spans="1:104" x14ac:dyDescent="0.45">
      <c r="A151" s="289"/>
      <c r="B151" s="294"/>
      <c r="C151" s="445"/>
      <c r="D151" s="445"/>
      <c r="E151" s="445"/>
      <c r="F151" s="445"/>
      <c r="G151" s="445"/>
      <c r="H151" s="445"/>
      <c r="I151" s="445"/>
      <c r="J151" s="445"/>
      <c r="K151" s="445"/>
      <c r="L151" s="445"/>
      <c r="M151" s="445"/>
      <c r="N151" s="445"/>
      <c r="O151" s="445"/>
      <c r="P151" s="445"/>
      <c r="Q151" s="445"/>
      <c r="R151" s="445"/>
      <c r="S151" s="445"/>
      <c r="T151" s="445"/>
      <c r="U151" s="445"/>
      <c r="V151" s="445"/>
      <c r="W151" s="445"/>
      <c r="X151" s="445"/>
      <c r="Y151" s="445"/>
      <c r="Z151" s="445"/>
      <c r="AA151" s="445"/>
      <c r="AB151" s="445"/>
      <c r="AC151" s="445"/>
      <c r="AD151" s="445"/>
      <c r="AE151" s="445"/>
      <c r="AF151" s="445"/>
      <c r="AG151" s="445"/>
      <c r="AH151" s="445"/>
      <c r="AI151" s="445"/>
      <c r="AJ151" s="445"/>
      <c r="AK151" s="445"/>
      <c r="AL151" s="445"/>
      <c r="AM151" s="445"/>
      <c r="AN151" s="445"/>
      <c r="AO151" s="445"/>
      <c r="AP151" s="445"/>
      <c r="AQ151" s="445"/>
      <c r="AR151" s="445"/>
      <c r="AS151" s="445"/>
      <c r="AT151" s="445"/>
      <c r="AU151" s="445"/>
      <c r="AV151" s="445"/>
      <c r="AW151" s="445"/>
      <c r="AX151" s="445"/>
      <c r="AY151" s="445"/>
      <c r="AZ151" s="445"/>
      <c r="BA151" s="445"/>
      <c r="BB151" s="445"/>
      <c r="BC151" s="445"/>
      <c r="BD151" s="445"/>
      <c r="BE151" s="445"/>
      <c r="BF151" s="445"/>
      <c r="BG151" s="445"/>
      <c r="BH151" s="445"/>
      <c r="BI151" s="445"/>
      <c r="BJ151" s="445"/>
      <c r="BK151" s="445"/>
      <c r="BL151" s="445"/>
      <c r="BM151" s="445"/>
      <c r="BN151" s="445"/>
      <c r="BO151" s="445"/>
      <c r="BP151" s="445"/>
      <c r="BQ151" s="445"/>
      <c r="BR151" s="445"/>
      <c r="BS151" s="445"/>
      <c r="BT151" s="445"/>
      <c r="BU151" s="445"/>
      <c r="BV151" s="445"/>
      <c r="BW151" s="445"/>
      <c r="BX151" s="445"/>
      <c r="BY151" s="445"/>
      <c r="BZ151" s="445"/>
      <c r="CA151" s="445"/>
      <c r="CB151" s="445"/>
      <c r="CC151" s="445"/>
      <c r="CD151" s="445"/>
      <c r="CE151" s="445"/>
      <c r="CF151" s="289"/>
      <c r="CG151" s="289"/>
      <c r="CH151" s="289"/>
      <c r="CI151" s="289"/>
      <c r="CJ151" s="289"/>
      <c r="CK151" s="289"/>
      <c r="CL151" s="289"/>
      <c r="CM151" s="289"/>
      <c r="CN151" s="289"/>
      <c r="CO151" s="289"/>
      <c r="CP151" s="289"/>
      <c r="CQ151" s="289"/>
      <c r="CR151" s="289"/>
      <c r="CS151" s="289"/>
      <c r="CT151" s="289"/>
      <c r="CU151" s="289"/>
      <c r="CV151" s="289"/>
      <c r="CW151" s="289"/>
      <c r="CX151" s="289"/>
      <c r="CY151" s="289"/>
      <c r="CZ151" s="289"/>
    </row>
    <row r="152" spans="1:104" x14ac:dyDescent="0.45">
      <c r="A152" s="289"/>
      <c r="B152" s="294"/>
      <c r="C152" s="445"/>
      <c r="D152" s="445"/>
      <c r="E152" s="445"/>
      <c r="F152" s="445"/>
      <c r="G152" s="445"/>
      <c r="H152" s="445"/>
      <c r="I152" s="445"/>
      <c r="J152" s="445"/>
      <c r="K152" s="445"/>
      <c r="L152" s="445"/>
      <c r="M152" s="445"/>
      <c r="N152" s="445"/>
      <c r="O152" s="445"/>
      <c r="P152" s="445"/>
      <c r="Q152" s="445"/>
      <c r="R152" s="445"/>
      <c r="S152" s="445"/>
      <c r="T152" s="445"/>
      <c r="U152" s="445"/>
      <c r="V152" s="445"/>
      <c r="W152" s="445"/>
      <c r="X152" s="445"/>
      <c r="Y152" s="445"/>
      <c r="Z152" s="445"/>
      <c r="AA152" s="445"/>
      <c r="AB152" s="445"/>
      <c r="AC152" s="445"/>
      <c r="AD152" s="445"/>
      <c r="AE152" s="445"/>
      <c r="AF152" s="445"/>
      <c r="AG152" s="445"/>
      <c r="AH152" s="445"/>
      <c r="AI152" s="445"/>
      <c r="AJ152" s="445"/>
      <c r="AK152" s="445"/>
      <c r="AL152" s="445"/>
      <c r="AM152" s="445"/>
      <c r="AN152" s="445"/>
      <c r="AO152" s="445"/>
      <c r="AP152" s="445"/>
      <c r="AQ152" s="445"/>
      <c r="AR152" s="445"/>
      <c r="AS152" s="445"/>
      <c r="AT152" s="445"/>
      <c r="AU152" s="445"/>
      <c r="AV152" s="445"/>
      <c r="AW152" s="445"/>
      <c r="AX152" s="445"/>
      <c r="AY152" s="445"/>
      <c r="AZ152" s="445"/>
      <c r="BA152" s="445"/>
      <c r="BB152" s="445"/>
      <c r="BC152" s="445"/>
      <c r="BD152" s="445"/>
      <c r="BE152" s="445"/>
      <c r="BF152" s="445"/>
      <c r="BG152" s="445"/>
      <c r="BH152" s="445"/>
      <c r="BI152" s="445"/>
      <c r="BJ152" s="445"/>
      <c r="BK152" s="445"/>
      <c r="BL152" s="445"/>
      <c r="BM152" s="445"/>
      <c r="BN152" s="445"/>
      <c r="BO152" s="445"/>
      <c r="BP152" s="445"/>
      <c r="BQ152" s="445"/>
      <c r="BR152" s="445"/>
      <c r="BS152" s="445"/>
      <c r="BT152" s="445"/>
      <c r="BU152" s="445"/>
      <c r="BV152" s="445"/>
      <c r="BW152" s="445"/>
      <c r="BX152" s="445"/>
      <c r="BY152" s="445"/>
      <c r="BZ152" s="445"/>
      <c r="CA152" s="445"/>
      <c r="CB152" s="445"/>
      <c r="CC152" s="445"/>
      <c r="CD152" s="445"/>
      <c r="CE152" s="445"/>
      <c r="CF152" s="289"/>
      <c r="CG152" s="289"/>
      <c r="CH152" s="289"/>
      <c r="CI152" s="289"/>
      <c r="CJ152" s="289"/>
      <c r="CK152" s="289"/>
      <c r="CL152" s="289"/>
      <c r="CM152" s="289"/>
      <c r="CN152" s="289"/>
      <c r="CO152" s="289"/>
      <c r="CP152" s="289"/>
      <c r="CQ152" s="289"/>
      <c r="CR152" s="289"/>
      <c r="CS152" s="289"/>
      <c r="CT152" s="289"/>
      <c r="CU152" s="289"/>
      <c r="CV152" s="289"/>
      <c r="CW152" s="289"/>
      <c r="CX152" s="289"/>
      <c r="CY152" s="289"/>
      <c r="CZ152" s="289"/>
    </row>
    <row r="153" spans="1:104" x14ac:dyDescent="0.45">
      <c r="A153" s="289"/>
      <c r="B153" s="294"/>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s="445"/>
      <c r="AA153" s="445"/>
      <c r="AB153" s="445"/>
      <c r="AC153" s="445"/>
      <c r="AD153" s="445"/>
      <c r="AE153" s="445"/>
      <c r="AF153" s="445"/>
      <c r="AG153" s="445"/>
      <c r="AH153" s="445"/>
      <c r="AI153" s="445"/>
      <c r="AJ153" s="445"/>
      <c r="AK153" s="445"/>
      <c r="AL153" s="445"/>
      <c r="AM153" s="445"/>
      <c r="AN153" s="445"/>
      <c r="AO153" s="445"/>
      <c r="AP153" s="445"/>
      <c r="AQ153" s="445"/>
      <c r="AR153" s="445"/>
      <c r="AS153" s="445"/>
      <c r="AT153" s="445"/>
      <c r="AU153" s="445"/>
      <c r="AV153" s="445"/>
      <c r="AW153" s="445"/>
      <c r="AX153" s="445"/>
      <c r="AY153" s="445"/>
      <c r="AZ153" s="445"/>
      <c r="BA153" s="445"/>
      <c r="BB153" s="445"/>
      <c r="BC153" s="445"/>
      <c r="BD153" s="445"/>
      <c r="BE153" s="445"/>
      <c r="BF153" s="445"/>
      <c r="BG153" s="445"/>
      <c r="BH153" s="445"/>
      <c r="BI153" s="445"/>
      <c r="BJ153" s="445"/>
      <c r="BK153" s="445"/>
      <c r="BL153" s="445"/>
      <c r="BM153" s="445"/>
      <c r="BN153" s="445"/>
      <c r="BO153" s="445"/>
      <c r="BP153" s="445"/>
      <c r="BQ153" s="445"/>
      <c r="BR153" s="445"/>
      <c r="BS153" s="445"/>
      <c r="BT153" s="445"/>
      <c r="BU153" s="445"/>
      <c r="BV153" s="445"/>
      <c r="BW153" s="445"/>
      <c r="BX153" s="445"/>
      <c r="BY153" s="445"/>
      <c r="BZ153" s="445"/>
      <c r="CA153" s="445"/>
      <c r="CB153" s="445"/>
      <c r="CC153" s="445"/>
      <c r="CD153" s="445"/>
      <c r="CE153" s="445"/>
      <c r="CF153" s="289"/>
      <c r="CG153" s="289"/>
      <c r="CH153" s="289"/>
      <c r="CI153" s="289"/>
      <c r="CJ153" s="289"/>
      <c r="CK153" s="289"/>
      <c r="CL153" s="289"/>
      <c r="CM153" s="289"/>
      <c r="CN153" s="289"/>
      <c r="CO153" s="289"/>
      <c r="CP153" s="289"/>
      <c r="CQ153" s="289"/>
      <c r="CR153" s="289"/>
      <c r="CS153" s="289"/>
      <c r="CT153" s="289"/>
      <c r="CU153" s="289"/>
      <c r="CV153" s="289"/>
      <c r="CW153" s="289"/>
      <c r="CX153" s="289"/>
      <c r="CY153" s="289"/>
      <c r="CZ153" s="289"/>
    </row>
    <row r="154" spans="1:104" x14ac:dyDescent="0.45">
      <c r="A154" s="289"/>
      <c r="B154" s="294"/>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c r="AA154" s="445"/>
      <c r="AB154" s="445"/>
      <c r="AC154" s="445"/>
      <c r="AD154" s="445"/>
      <c r="AE154" s="445"/>
      <c r="AF154" s="445"/>
      <c r="AG154" s="445"/>
      <c r="AH154" s="445"/>
      <c r="AI154" s="445"/>
      <c r="AJ154" s="445"/>
      <c r="AK154" s="445"/>
      <c r="AL154" s="445"/>
      <c r="AM154" s="445"/>
      <c r="AN154" s="445"/>
      <c r="AO154" s="445"/>
      <c r="AP154" s="445"/>
      <c r="AQ154" s="445"/>
      <c r="AR154" s="445"/>
      <c r="AS154" s="445"/>
      <c r="AT154" s="445"/>
      <c r="AU154" s="445"/>
      <c r="AV154" s="445"/>
      <c r="AW154" s="445"/>
      <c r="AX154" s="445"/>
      <c r="AY154" s="445"/>
      <c r="AZ154" s="445"/>
      <c r="BA154" s="445"/>
      <c r="BB154" s="445"/>
      <c r="BC154" s="445"/>
      <c r="BD154" s="445"/>
      <c r="BE154" s="445"/>
      <c r="BF154" s="445"/>
      <c r="BG154" s="445"/>
      <c r="BH154" s="445"/>
      <c r="BI154" s="445"/>
      <c r="BJ154" s="445"/>
      <c r="BK154" s="445"/>
      <c r="BL154" s="445"/>
      <c r="BM154" s="445"/>
      <c r="BN154" s="445"/>
      <c r="BO154" s="445"/>
      <c r="BP154" s="445"/>
      <c r="BQ154" s="445"/>
      <c r="BR154" s="445"/>
      <c r="BS154" s="445"/>
      <c r="BT154" s="445"/>
      <c r="BU154" s="445"/>
      <c r="BV154" s="445"/>
      <c r="BW154" s="445"/>
      <c r="BX154" s="445"/>
      <c r="BY154" s="445"/>
      <c r="BZ154" s="445"/>
      <c r="CA154" s="445"/>
      <c r="CB154" s="445"/>
      <c r="CC154" s="445"/>
      <c r="CD154" s="445"/>
      <c r="CE154" s="445"/>
      <c r="CF154" s="289"/>
      <c r="CG154" s="289"/>
      <c r="CH154" s="289"/>
      <c r="CI154" s="289"/>
      <c r="CJ154" s="289"/>
      <c r="CK154" s="289"/>
      <c r="CL154" s="289"/>
      <c r="CM154" s="289"/>
      <c r="CN154" s="289"/>
      <c r="CO154" s="289"/>
      <c r="CP154" s="289"/>
      <c r="CQ154" s="289"/>
      <c r="CR154" s="289"/>
      <c r="CS154" s="289"/>
      <c r="CT154" s="289"/>
      <c r="CU154" s="289"/>
      <c r="CV154" s="289"/>
      <c r="CW154" s="289"/>
      <c r="CX154" s="289"/>
      <c r="CY154" s="289"/>
      <c r="CZ154" s="289"/>
    </row>
    <row r="155" spans="1:104" x14ac:dyDescent="0.45">
      <c r="A155" s="289"/>
      <c r="B155" s="294"/>
      <c r="C155" s="445"/>
      <c r="D155" s="445"/>
      <c r="E155" s="445"/>
      <c r="F155" s="445"/>
      <c r="G155" s="445"/>
      <c r="H155" s="445"/>
      <c r="I155" s="445"/>
      <c r="J155" s="445"/>
      <c r="K155" s="445"/>
      <c r="L155" s="445"/>
      <c r="M155" s="445"/>
      <c r="N155" s="445"/>
      <c r="O155" s="445"/>
      <c r="P155" s="445"/>
      <c r="Q155" s="445"/>
      <c r="R155" s="445"/>
      <c r="S155" s="445"/>
      <c r="T155" s="445"/>
      <c r="U155" s="445"/>
      <c r="V155" s="445"/>
      <c r="W155" s="445"/>
      <c r="X155" s="445"/>
      <c r="Y155" s="445"/>
      <c r="Z155" s="445"/>
      <c r="AA155" s="445"/>
      <c r="AB155" s="445"/>
      <c r="AC155" s="445"/>
      <c r="AD155" s="445"/>
      <c r="AE155" s="445"/>
      <c r="AF155" s="445"/>
      <c r="AG155" s="445"/>
      <c r="AH155" s="445"/>
      <c r="AI155" s="445"/>
      <c r="AJ155" s="445"/>
      <c r="AK155" s="445"/>
      <c r="AL155" s="445"/>
      <c r="AM155" s="445"/>
      <c r="AN155" s="445"/>
      <c r="AO155" s="445"/>
      <c r="AP155" s="445"/>
      <c r="AQ155" s="445"/>
      <c r="AR155" s="445"/>
      <c r="AS155" s="445"/>
      <c r="AT155" s="445"/>
      <c r="AU155" s="445"/>
      <c r="AV155" s="445"/>
      <c r="AW155" s="445"/>
      <c r="AX155" s="445"/>
      <c r="AY155" s="445"/>
      <c r="AZ155" s="445"/>
      <c r="BA155" s="445"/>
      <c r="BB155" s="445"/>
      <c r="BC155" s="445"/>
      <c r="BD155" s="445"/>
      <c r="BE155" s="445"/>
      <c r="BF155" s="445"/>
      <c r="BG155" s="445"/>
      <c r="BH155" s="445"/>
      <c r="BI155" s="445"/>
      <c r="BJ155" s="445"/>
      <c r="BK155" s="445"/>
      <c r="BL155" s="445"/>
      <c r="BM155" s="445"/>
      <c r="BN155" s="445"/>
      <c r="BO155" s="445"/>
      <c r="BP155" s="445"/>
      <c r="BQ155" s="445"/>
      <c r="BR155" s="445"/>
      <c r="BS155" s="445"/>
      <c r="BT155" s="445"/>
      <c r="BU155" s="445"/>
      <c r="BV155" s="445"/>
      <c r="BW155" s="445"/>
      <c r="BX155" s="445"/>
      <c r="BY155" s="445"/>
      <c r="BZ155" s="445"/>
      <c r="CA155" s="445"/>
      <c r="CB155" s="445"/>
      <c r="CC155" s="445"/>
      <c r="CD155" s="445"/>
      <c r="CE155" s="445"/>
      <c r="CF155" s="289"/>
      <c r="CG155" s="289"/>
      <c r="CH155" s="289"/>
      <c r="CI155" s="289"/>
      <c r="CJ155" s="289"/>
      <c r="CK155" s="289"/>
      <c r="CL155" s="289"/>
      <c r="CM155" s="289"/>
      <c r="CN155" s="289"/>
      <c r="CO155" s="289"/>
      <c r="CP155" s="289"/>
      <c r="CQ155" s="289"/>
      <c r="CR155" s="289"/>
      <c r="CS155" s="289"/>
      <c r="CT155" s="289"/>
      <c r="CU155" s="289"/>
      <c r="CV155" s="289"/>
      <c r="CW155" s="289"/>
      <c r="CX155" s="289"/>
      <c r="CY155" s="289"/>
      <c r="CZ155" s="289"/>
    </row>
    <row r="156" spans="1:104" x14ac:dyDescent="0.45">
      <c r="A156" s="289"/>
      <c r="B156" s="294"/>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c r="AA156" s="445"/>
      <c r="AB156" s="445"/>
      <c r="AC156" s="445"/>
      <c r="AD156" s="445"/>
      <c r="AE156" s="445"/>
      <c r="AF156" s="445"/>
      <c r="AG156" s="445"/>
      <c r="AH156" s="445"/>
      <c r="AI156" s="445"/>
      <c r="AJ156" s="445"/>
      <c r="AK156" s="445"/>
      <c r="AL156" s="445"/>
      <c r="AM156" s="445"/>
      <c r="AN156" s="445"/>
      <c r="AO156" s="445"/>
      <c r="AP156" s="445"/>
      <c r="AQ156" s="445"/>
      <c r="AR156" s="445"/>
      <c r="AS156" s="445"/>
      <c r="AT156" s="445"/>
      <c r="AU156" s="445"/>
      <c r="AV156" s="445"/>
      <c r="AW156" s="445"/>
      <c r="AX156" s="445"/>
      <c r="AY156" s="445"/>
      <c r="AZ156" s="445"/>
      <c r="BA156" s="445"/>
      <c r="BB156" s="445"/>
      <c r="BC156" s="445"/>
      <c r="BD156" s="445"/>
      <c r="BE156" s="445"/>
      <c r="BF156" s="445"/>
      <c r="BG156" s="445"/>
      <c r="BH156" s="445"/>
      <c r="BI156" s="445"/>
      <c r="BJ156" s="445"/>
      <c r="BK156" s="445"/>
      <c r="BL156" s="445"/>
      <c r="BM156" s="445"/>
      <c r="BN156" s="445"/>
      <c r="BO156" s="445"/>
      <c r="BP156" s="445"/>
      <c r="BQ156" s="445"/>
      <c r="BR156" s="445"/>
      <c r="BS156" s="445"/>
      <c r="BT156" s="445"/>
      <c r="BU156" s="445"/>
      <c r="BV156" s="445"/>
      <c r="BW156" s="445"/>
      <c r="BX156" s="445"/>
      <c r="BY156" s="445"/>
      <c r="BZ156" s="445"/>
      <c r="CA156" s="445"/>
      <c r="CB156" s="445"/>
      <c r="CC156" s="445"/>
      <c r="CD156" s="445"/>
      <c r="CE156" s="445"/>
      <c r="CF156" s="289"/>
      <c r="CG156" s="289"/>
      <c r="CH156" s="289"/>
      <c r="CI156" s="289"/>
      <c r="CJ156" s="289"/>
      <c r="CK156" s="289"/>
      <c r="CL156" s="289"/>
      <c r="CM156" s="289"/>
      <c r="CN156" s="289"/>
      <c r="CO156" s="289"/>
      <c r="CP156" s="289"/>
      <c r="CQ156" s="289"/>
      <c r="CR156" s="289"/>
      <c r="CS156" s="289"/>
      <c r="CT156" s="289"/>
      <c r="CU156" s="289"/>
      <c r="CV156" s="289"/>
      <c r="CW156" s="289"/>
      <c r="CX156" s="289"/>
      <c r="CY156" s="289"/>
      <c r="CZ156" s="289"/>
    </row>
    <row r="157" spans="1:104" x14ac:dyDescent="0.45">
      <c r="A157" s="289"/>
      <c r="B157" s="294"/>
      <c r="C157" s="445"/>
      <c r="D157" s="445"/>
      <c r="E157" s="445"/>
      <c r="F157" s="445"/>
      <c r="G157" s="445"/>
      <c r="H157" s="445"/>
      <c r="I157" s="445"/>
      <c r="J157" s="445"/>
      <c r="K157" s="445"/>
      <c r="L157" s="445"/>
      <c r="M157" s="445"/>
      <c r="N157" s="445"/>
      <c r="O157" s="445"/>
      <c r="P157" s="445"/>
      <c r="Q157" s="445"/>
      <c r="R157" s="445"/>
      <c r="S157" s="445"/>
      <c r="T157" s="445"/>
      <c r="U157" s="445"/>
      <c r="V157" s="445"/>
      <c r="W157" s="445"/>
      <c r="X157" s="445"/>
      <c r="Y157" s="445"/>
      <c r="Z157" s="445"/>
      <c r="AA157" s="445"/>
      <c r="AB157" s="445"/>
      <c r="AC157" s="445"/>
      <c r="AD157" s="445"/>
      <c r="AE157" s="445"/>
      <c r="AF157" s="445"/>
      <c r="AG157" s="445"/>
      <c r="AH157" s="445"/>
      <c r="AI157" s="445"/>
      <c r="AJ157" s="445"/>
      <c r="AK157" s="445"/>
      <c r="AL157" s="445"/>
      <c r="AM157" s="445"/>
      <c r="AN157" s="445"/>
      <c r="AO157" s="445"/>
      <c r="AP157" s="445"/>
      <c r="AQ157" s="445"/>
      <c r="AR157" s="445"/>
      <c r="AS157" s="445"/>
      <c r="AT157" s="445"/>
      <c r="AU157" s="445"/>
      <c r="AV157" s="445"/>
      <c r="AW157" s="445"/>
      <c r="AX157" s="445"/>
      <c r="AY157" s="445"/>
      <c r="AZ157" s="445"/>
      <c r="BA157" s="445"/>
      <c r="BB157" s="445"/>
      <c r="BC157" s="445"/>
      <c r="BD157" s="445"/>
      <c r="BE157" s="445"/>
      <c r="BF157" s="445"/>
      <c r="BG157" s="445"/>
      <c r="BH157" s="445"/>
      <c r="BI157" s="445"/>
      <c r="BJ157" s="445"/>
      <c r="BK157" s="445"/>
      <c r="BL157" s="445"/>
      <c r="BM157" s="445"/>
      <c r="BN157" s="445"/>
      <c r="BO157" s="445"/>
      <c r="BP157" s="445"/>
      <c r="BQ157" s="445"/>
      <c r="BR157" s="445"/>
      <c r="BS157" s="445"/>
      <c r="BT157" s="445"/>
      <c r="BU157" s="445"/>
      <c r="BV157" s="445"/>
      <c r="BW157" s="445"/>
      <c r="BX157" s="445"/>
      <c r="BY157" s="445"/>
      <c r="BZ157" s="445"/>
      <c r="CA157" s="445"/>
      <c r="CB157" s="445"/>
      <c r="CC157" s="445"/>
      <c r="CD157" s="445"/>
      <c r="CE157" s="445"/>
      <c r="CF157" s="289"/>
      <c r="CG157" s="289"/>
      <c r="CH157" s="289"/>
      <c r="CI157" s="289"/>
      <c r="CJ157" s="289"/>
      <c r="CK157" s="289"/>
      <c r="CL157" s="289"/>
      <c r="CM157" s="289"/>
      <c r="CN157" s="289"/>
      <c r="CO157" s="289"/>
      <c r="CP157" s="289"/>
      <c r="CQ157" s="289"/>
      <c r="CR157" s="289"/>
      <c r="CS157" s="289"/>
      <c r="CT157" s="289"/>
      <c r="CU157" s="289"/>
      <c r="CV157" s="289"/>
      <c r="CW157" s="289"/>
      <c r="CX157" s="289"/>
      <c r="CY157" s="289"/>
      <c r="CZ157" s="289"/>
    </row>
    <row r="158" spans="1:104" x14ac:dyDescent="0.45">
      <c r="A158" s="289"/>
      <c r="B158" s="294"/>
      <c r="C158" s="445"/>
      <c r="D158" s="445"/>
      <c r="E158" s="445"/>
      <c r="F158" s="445"/>
      <c r="G158" s="445"/>
      <c r="H158" s="445"/>
      <c r="I158" s="445"/>
      <c r="J158" s="445"/>
      <c r="K158" s="445"/>
      <c r="L158" s="445"/>
      <c r="M158" s="445"/>
      <c r="N158" s="445"/>
      <c r="O158" s="445"/>
      <c r="P158" s="445"/>
      <c r="Q158" s="445"/>
      <c r="R158" s="445"/>
      <c r="S158" s="445"/>
      <c r="T158" s="445"/>
      <c r="U158" s="445"/>
      <c r="V158" s="445"/>
      <c r="W158" s="445"/>
      <c r="X158" s="445"/>
      <c r="Y158" s="445"/>
      <c r="Z158" s="445"/>
      <c r="AA158" s="445"/>
      <c r="AB158" s="445"/>
      <c r="AC158" s="445"/>
      <c r="AD158" s="445"/>
      <c r="AE158" s="445"/>
      <c r="AF158" s="445"/>
      <c r="AG158" s="445"/>
      <c r="AH158" s="445"/>
      <c r="AI158" s="445"/>
      <c r="AJ158" s="445"/>
      <c r="AK158" s="445"/>
      <c r="AL158" s="445"/>
      <c r="AM158" s="445"/>
      <c r="AN158" s="445"/>
      <c r="AO158" s="445"/>
      <c r="AP158" s="445"/>
      <c r="AQ158" s="445"/>
      <c r="AR158" s="445"/>
      <c r="AS158" s="445"/>
      <c r="AT158" s="445"/>
      <c r="AU158" s="445"/>
      <c r="AV158" s="445"/>
      <c r="AW158" s="445"/>
      <c r="AX158" s="445"/>
      <c r="AY158" s="445"/>
      <c r="AZ158" s="445"/>
      <c r="BA158" s="445"/>
      <c r="BB158" s="445"/>
      <c r="BC158" s="445"/>
      <c r="BD158" s="445"/>
      <c r="BE158" s="445"/>
      <c r="BF158" s="445"/>
      <c r="BG158" s="445"/>
      <c r="BH158" s="445"/>
      <c r="BI158" s="445"/>
      <c r="BJ158" s="445"/>
      <c r="BK158" s="445"/>
      <c r="BL158" s="445"/>
      <c r="BM158" s="445"/>
      <c r="BN158" s="445"/>
      <c r="BO158" s="445"/>
      <c r="BP158" s="445"/>
      <c r="BQ158" s="445"/>
      <c r="BR158" s="445"/>
      <c r="BS158" s="445"/>
      <c r="BT158" s="445"/>
      <c r="BU158" s="445"/>
      <c r="BV158" s="445"/>
      <c r="BW158" s="445"/>
      <c r="BX158" s="445"/>
      <c r="BY158" s="445"/>
      <c r="BZ158" s="445"/>
      <c r="CA158" s="445"/>
      <c r="CB158" s="445"/>
      <c r="CC158" s="445"/>
      <c r="CD158" s="445"/>
      <c r="CE158" s="445"/>
      <c r="CF158" s="289"/>
      <c r="CG158" s="289"/>
      <c r="CH158" s="289"/>
      <c r="CI158" s="289"/>
      <c r="CJ158" s="289"/>
      <c r="CK158" s="289"/>
      <c r="CL158" s="289"/>
      <c r="CM158" s="289"/>
      <c r="CN158" s="289"/>
      <c r="CO158" s="289"/>
      <c r="CP158" s="289"/>
      <c r="CQ158" s="289"/>
      <c r="CR158" s="289"/>
      <c r="CS158" s="289"/>
      <c r="CT158" s="289"/>
      <c r="CU158" s="289"/>
      <c r="CV158" s="289"/>
      <c r="CW158" s="289"/>
      <c r="CX158" s="289"/>
      <c r="CY158" s="289"/>
      <c r="CZ158" s="289"/>
    </row>
    <row r="159" spans="1:104" x14ac:dyDescent="0.45">
      <c r="A159" s="289"/>
      <c r="B159" s="294"/>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c r="Z159" s="445"/>
      <c r="AA159" s="445"/>
      <c r="AB159" s="445"/>
      <c r="AC159" s="445"/>
      <c r="AD159" s="445"/>
      <c r="AE159" s="445"/>
      <c r="AF159" s="445"/>
      <c r="AG159" s="445"/>
      <c r="AH159" s="445"/>
      <c r="AI159" s="445"/>
      <c r="AJ159" s="445"/>
      <c r="AK159" s="445"/>
      <c r="AL159" s="445"/>
      <c r="AM159" s="445"/>
      <c r="AN159" s="445"/>
      <c r="AO159" s="445"/>
      <c r="AP159" s="445"/>
      <c r="AQ159" s="445"/>
      <c r="AR159" s="445"/>
      <c r="AS159" s="445"/>
      <c r="AT159" s="445"/>
      <c r="AU159" s="445"/>
      <c r="AV159" s="445"/>
      <c r="AW159" s="445"/>
      <c r="AX159" s="445"/>
      <c r="AY159" s="445"/>
      <c r="AZ159" s="445"/>
      <c r="BA159" s="445"/>
      <c r="BB159" s="445"/>
      <c r="BC159" s="445"/>
      <c r="BD159" s="445"/>
      <c r="BE159" s="445"/>
      <c r="BF159" s="445"/>
      <c r="BG159" s="445"/>
      <c r="BH159" s="445"/>
      <c r="BI159" s="445"/>
      <c r="BJ159" s="445"/>
      <c r="BK159" s="445"/>
      <c r="BL159" s="445"/>
      <c r="BM159" s="445"/>
      <c r="BN159" s="445"/>
      <c r="BO159" s="445"/>
      <c r="BP159" s="445"/>
      <c r="BQ159" s="445"/>
      <c r="BR159" s="445"/>
      <c r="BS159" s="445"/>
      <c r="BT159" s="445"/>
      <c r="BU159" s="445"/>
      <c r="BV159" s="445"/>
      <c r="BW159" s="445"/>
      <c r="BX159" s="445"/>
      <c r="BY159" s="445"/>
      <c r="BZ159" s="445"/>
      <c r="CA159" s="445"/>
      <c r="CB159" s="445"/>
      <c r="CC159" s="445"/>
      <c r="CD159" s="445"/>
      <c r="CE159" s="445"/>
      <c r="CF159" s="289"/>
      <c r="CG159" s="289"/>
      <c r="CH159" s="289"/>
      <c r="CI159" s="289"/>
      <c r="CJ159" s="289"/>
      <c r="CK159" s="289"/>
      <c r="CL159" s="289"/>
      <c r="CM159" s="289"/>
      <c r="CN159" s="289"/>
      <c r="CO159" s="289"/>
      <c r="CP159" s="289"/>
      <c r="CQ159" s="289"/>
      <c r="CR159" s="289"/>
      <c r="CS159" s="289"/>
      <c r="CT159" s="289"/>
      <c r="CU159" s="289"/>
      <c r="CV159" s="289"/>
      <c r="CW159" s="289"/>
      <c r="CX159" s="289"/>
      <c r="CY159" s="289"/>
      <c r="CZ159" s="289"/>
    </row>
    <row r="160" spans="1:104" x14ac:dyDescent="0.45">
      <c r="A160" s="289"/>
      <c r="B160" s="294"/>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c r="AA160" s="445"/>
      <c r="AB160" s="445"/>
      <c r="AC160" s="445"/>
      <c r="AD160" s="445"/>
      <c r="AE160" s="445"/>
      <c r="AF160" s="445"/>
      <c r="AG160" s="445"/>
      <c r="AH160" s="445"/>
      <c r="AI160" s="445"/>
      <c r="AJ160" s="445"/>
      <c r="AK160" s="445"/>
      <c r="AL160" s="445"/>
      <c r="AM160" s="445"/>
      <c r="AN160" s="445"/>
      <c r="AO160" s="445"/>
      <c r="AP160" s="445"/>
      <c r="AQ160" s="445"/>
      <c r="AR160" s="445"/>
      <c r="AS160" s="445"/>
      <c r="AT160" s="445"/>
      <c r="AU160" s="445"/>
      <c r="AV160" s="445"/>
      <c r="AW160" s="445"/>
      <c r="AX160" s="445"/>
      <c r="AY160" s="445"/>
      <c r="AZ160" s="445"/>
      <c r="BA160" s="445"/>
      <c r="BB160" s="445"/>
      <c r="BC160" s="445"/>
      <c r="BD160" s="445"/>
      <c r="BE160" s="445"/>
      <c r="BF160" s="445"/>
      <c r="BG160" s="445"/>
      <c r="BH160" s="445"/>
      <c r="BI160" s="445"/>
      <c r="BJ160" s="445"/>
      <c r="BK160" s="445"/>
      <c r="BL160" s="445"/>
      <c r="BM160" s="445"/>
      <c r="BN160" s="445"/>
      <c r="BO160" s="445"/>
      <c r="BP160" s="445"/>
      <c r="BQ160" s="445"/>
      <c r="BR160" s="445"/>
      <c r="BS160" s="445"/>
      <c r="BT160" s="445"/>
      <c r="BU160" s="445"/>
      <c r="BV160" s="445"/>
      <c r="BW160" s="445"/>
      <c r="BX160" s="445"/>
      <c r="BY160" s="445"/>
      <c r="BZ160" s="445"/>
      <c r="CA160" s="445"/>
      <c r="CB160" s="445"/>
      <c r="CC160" s="445"/>
      <c r="CD160" s="445"/>
      <c r="CE160" s="445"/>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row>
    <row r="161" spans="1:104" x14ac:dyDescent="0.45">
      <c r="A161" s="289"/>
      <c r="B161" s="294"/>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c r="AA161" s="445"/>
      <c r="AB161" s="445"/>
      <c r="AC161" s="445"/>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5"/>
      <c r="AY161" s="445"/>
      <c r="AZ161" s="445"/>
      <c r="BA161" s="445"/>
      <c r="BB161" s="445"/>
      <c r="BC161" s="445"/>
      <c r="BD161" s="445"/>
      <c r="BE161" s="445"/>
      <c r="BF161" s="445"/>
      <c r="BG161" s="445"/>
      <c r="BH161" s="445"/>
      <c r="BI161" s="445"/>
      <c r="BJ161" s="445"/>
      <c r="BK161" s="445"/>
      <c r="BL161" s="445"/>
      <c r="BM161" s="445"/>
      <c r="BN161" s="445"/>
      <c r="BO161" s="445"/>
      <c r="BP161" s="445"/>
      <c r="BQ161" s="445"/>
      <c r="BR161" s="445"/>
      <c r="BS161" s="445"/>
      <c r="BT161" s="445"/>
      <c r="BU161" s="445"/>
      <c r="BV161" s="445"/>
      <c r="BW161" s="445"/>
      <c r="BX161" s="445"/>
      <c r="BY161" s="445"/>
      <c r="BZ161" s="445"/>
      <c r="CA161" s="445"/>
      <c r="CB161" s="445"/>
      <c r="CC161" s="445"/>
      <c r="CD161" s="445"/>
      <c r="CE161" s="445"/>
      <c r="CF161" s="289"/>
      <c r="CG161" s="289"/>
      <c r="CH161" s="289"/>
      <c r="CI161" s="289"/>
      <c r="CJ161" s="289"/>
      <c r="CK161" s="289"/>
      <c r="CL161" s="289"/>
      <c r="CM161" s="289"/>
      <c r="CN161" s="289"/>
      <c r="CO161" s="289"/>
      <c r="CP161" s="289"/>
      <c r="CQ161" s="289"/>
      <c r="CR161" s="289"/>
      <c r="CS161" s="289"/>
      <c r="CT161" s="289"/>
      <c r="CU161" s="289"/>
      <c r="CV161" s="289"/>
      <c r="CW161" s="289"/>
      <c r="CX161" s="289"/>
      <c r="CY161" s="289"/>
      <c r="CZ161" s="289"/>
    </row>
    <row r="162" spans="1:104" x14ac:dyDescent="0.45">
      <c r="A162" s="289"/>
      <c r="B162" s="294"/>
      <c r="C162" s="445"/>
      <c r="D162" s="445"/>
      <c r="E162" s="445"/>
      <c r="F162" s="445"/>
      <c r="G162" s="445"/>
      <c r="H162" s="445"/>
      <c r="I162" s="445"/>
      <c r="J162" s="445"/>
      <c r="K162" s="445"/>
      <c r="L162" s="445"/>
      <c r="M162" s="445"/>
      <c r="N162" s="445"/>
      <c r="O162" s="445"/>
      <c r="P162" s="445"/>
      <c r="Q162" s="445"/>
      <c r="R162" s="445"/>
      <c r="S162" s="445"/>
      <c r="T162" s="445"/>
      <c r="U162" s="445"/>
      <c r="V162" s="445"/>
      <c r="W162" s="445"/>
      <c r="X162" s="445"/>
      <c r="Y162" s="445"/>
      <c r="Z162" s="445"/>
      <c r="AA162" s="445"/>
      <c r="AB162" s="445"/>
      <c r="AC162" s="445"/>
      <c r="AD162" s="445"/>
      <c r="AE162" s="445"/>
      <c r="AF162" s="445"/>
      <c r="AG162" s="445"/>
      <c r="AH162" s="445"/>
      <c r="AI162" s="445"/>
      <c r="AJ162" s="445"/>
      <c r="AK162" s="445"/>
      <c r="AL162" s="445"/>
      <c r="AM162" s="445"/>
      <c r="AN162" s="445"/>
      <c r="AO162" s="445"/>
      <c r="AP162" s="445"/>
      <c r="AQ162" s="445"/>
      <c r="AR162" s="445"/>
      <c r="AS162" s="445"/>
      <c r="AT162" s="445"/>
      <c r="AU162" s="445"/>
      <c r="AV162" s="445"/>
      <c r="AW162" s="445"/>
      <c r="AX162" s="445"/>
      <c r="AY162" s="445"/>
      <c r="AZ162" s="445"/>
      <c r="BA162" s="445"/>
      <c r="BB162" s="445"/>
      <c r="BC162" s="445"/>
      <c r="BD162" s="445"/>
      <c r="BE162" s="445"/>
      <c r="BF162" s="445"/>
      <c r="BG162" s="445"/>
      <c r="BH162" s="445"/>
      <c r="BI162" s="445"/>
      <c r="BJ162" s="445"/>
      <c r="BK162" s="445"/>
      <c r="BL162" s="445"/>
      <c r="BM162" s="445"/>
      <c r="BN162" s="445"/>
      <c r="BO162" s="445"/>
      <c r="BP162" s="445"/>
      <c r="BQ162" s="445"/>
      <c r="BR162" s="445"/>
      <c r="BS162" s="445"/>
      <c r="BT162" s="445"/>
      <c r="BU162" s="445"/>
      <c r="BV162" s="445"/>
      <c r="BW162" s="445"/>
      <c r="BX162" s="445"/>
      <c r="BY162" s="445"/>
      <c r="BZ162" s="445"/>
      <c r="CA162" s="445"/>
      <c r="CB162" s="445"/>
      <c r="CC162" s="445"/>
      <c r="CD162" s="445"/>
      <c r="CE162" s="445"/>
      <c r="CF162" s="289"/>
      <c r="CG162" s="289"/>
      <c r="CH162" s="289"/>
      <c r="CI162" s="289"/>
      <c r="CJ162" s="289"/>
      <c r="CK162" s="289"/>
      <c r="CL162" s="289"/>
      <c r="CM162" s="289"/>
      <c r="CN162" s="289"/>
      <c r="CO162" s="289"/>
      <c r="CP162" s="289"/>
      <c r="CQ162" s="289"/>
      <c r="CR162" s="289"/>
      <c r="CS162" s="289"/>
      <c r="CT162" s="289"/>
      <c r="CU162" s="289"/>
      <c r="CV162" s="289"/>
      <c r="CW162" s="289"/>
      <c r="CX162" s="289"/>
      <c r="CY162" s="289"/>
      <c r="CZ162" s="289"/>
    </row>
    <row r="163" spans="1:104" x14ac:dyDescent="0.45">
      <c r="A163" s="289"/>
      <c r="B163" s="294"/>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c r="AA163" s="445"/>
      <c r="AB163" s="445"/>
      <c r="AC163" s="445"/>
      <c r="AD163" s="445"/>
      <c r="AE163" s="445"/>
      <c r="AF163" s="445"/>
      <c r="AG163" s="445"/>
      <c r="AH163" s="445"/>
      <c r="AI163" s="445"/>
      <c r="AJ163" s="445"/>
      <c r="AK163" s="445"/>
      <c r="AL163" s="445"/>
      <c r="AM163" s="445"/>
      <c r="AN163" s="445"/>
      <c r="AO163" s="445"/>
      <c r="AP163" s="445"/>
      <c r="AQ163" s="445"/>
      <c r="AR163" s="445"/>
      <c r="AS163" s="445"/>
      <c r="AT163" s="445"/>
      <c r="AU163" s="445"/>
      <c r="AV163" s="445"/>
      <c r="AW163" s="445"/>
      <c r="AX163" s="445"/>
      <c r="AY163" s="445"/>
      <c r="AZ163" s="445"/>
      <c r="BA163" s="445"/>
      <c r="BB163" s="445"/>
      <c r="BC163" s="445"/>
      <c r="BD163" s="445"/>
      <c r="BE163" s="445"/>
      <c r="BF163" s="445"/>
      <c r="BG163" s="445"/>
      <c r="BH163" s="445"/>
      <c r="BI163" s="445"/>
      <c r="BJ163" s="445"/>
      <c r="BK163" s="445"/>
      <c r="BL163" s="445"/>
      <c r="BM163" s="445"/>
      <c r="BN163" s="445"/>
      <c r="BO163" s="445"/>
      <c r="BP163" s="445"/>
      <c r="BQ163" s="445"/>
      <c r="BR163" s="445"/>
      <c r="BS163" s="445"/>
      <c r="BT163" s="445"/>
      <c r="BU163" s="445"/>
      <c r="BV163" s="445"/>
      <c r="BW163" s="445"/>
      <c r="BX163" s="445"/>
      <c r="BY163" s="445"/>
      <c r="BZ163" s="445"/>
      <c r="CA163" s="445"/>
      <c r="CB163" s="445"/>
      <c r="CC163" s="445"/>
      <c r="CD163" s="445"/>
      <c r="CE163" s="445"/>
      <c r="CF163" s="289"/>
      <c r="CG163" s="289"/>
      <c r="CH163" s="289"/>
      <c r="CI163" s="289"/>
      <c r="CJ163" s="289"/>
      <c r="CK163" s="289"/>
      <c r="CL163" s="289"/>
      <c r="CM163" s="289"/>
      <c r="CN163" s="289"/>
      <c r="CO163" s="289"/>
      <c r="CP163" s="289"/>
      <c r="CQ163" s="289"/>
      <c r="CR163" s="289"/>
      <c r="CS163" s="289"/>
      <c r="CT163" s="289"/>
      <c r="CU163" s="289"/>
      <c r="CV163" s="289"/>
      <c r="CW163" s="289"/>
      <c r="CX163" s="289"/>
      <c r="CY163" s="289"/>
      <c r="CZ163" s="289"/>
    </row>
    <row r="164" spans="1:104" x14ac:dyDescent="0.45">
      <c r="A164" s="289"/>
      <c r="B164" s="294"/>
      <c r="C164" s="445"/>
      <c r="D164" s="445"/>
      <c r="E164" s="445"/>
      <c r="F164" s="445"/>
      <c r="G164" s="445"/>
      <c r="H164" s="445"/>
      <c r="I164" s="445"/>
      <c r="J164" s="445"/>
      <c r="K164" s="445"/>
      <c r="L164" s="445"/>
      <c r="M164" s="445"/>
      <c r="N164" s="445"/>
      <c r="O164" s="445"/>
      <c r="P164" s="445"/>
      <c r="Q164" s="445"/>
      <c r="R164" s="445"/>
      <c r="S164" s="445"/>
      <c r="T164" s="445"/>
      <c r="U164" s="445"/>
      <c r="V164" s="445"/>
      <c r="W164" s="445"/>
      <c r="X164" s="445"/>
      <c r="Y164" s="445"/>
      <c r="Z164" s="445"/>
      <c r="AA164" s="445"/>
      <c r="AB164" s="445"/>
      <c r="AC164" s="445"/>
      <c r="AD164" s="445"/>
      <c r="AE164" s="445"/>
      <c r="AF164" s="445"/>
      <c r="AG164" s="445"/>
      <c r="AH164" s="445"/>
      <c r="AI164" s="445"/>
      <c r="AJ164" s="445"/>
      <c r="AK164" s="445"/>
      <c r="AL164" s="445"/>
      <c r="AM164" s="445"/>
      <c r="AN164" s="445"/>
      <c r="AO164" s="445"/>
      <c r="AP164" s="445"/>
      <c r="AQ164" s="445"/>
      <c r="AR164" s="445"/>
      <c r="AS164" s="445"/>
      <c r="AT164" s="445"/>
      <c r="AU164" s="445"/>
      <c r="AV164" s="445"/>
      <c r="AW164" s="445"/>
      <c r="AX164" s="445"/>
      <c r="AY164" s="445"/>
      <c r="AZ164" s="445"/>
      <c r="BA164" s="445"/>
      <c r="BB164" s="445"/>
      <c r="BC164" s="445"/>
      <c r="BD164" s="445"/>
      <c r="BE164" s="445"/>
      <c r="BF164" s="445"/>
      <c r="BG164" s="445"/>
      <c r="BH164" s="445"/>
      <c r="BI164" s="445"/>
      <c r="BJ164" s="445"/>
      <c r="BK164" s="445"/>
      <c r="BL164" s="445"/>
      <c r="BM164" s="445"/>
      <c r="BN164" s="445"/>
      <c r="BO164" s="445"/>
      <c r="BP164" s="445"/>
      <c r="BQ164" s="445"/>
      <c r="BR164" s="445"/>
      <c r="BS164" s="445"/>
      <c r="BT164" s="445"/>
      <c r="BU164" s="445"/>
      <c r="BV164" s="445"/>
      <c r="BW164" s="445"/>
      <c r="BX164" s="445"/>
      <c r="BY164" s="445"/>
      <c r="BZ164" s="445"/>
      <c r="CA164" s="445"/>
      <c r="CB164" s="445"/>
      <c r="CC164" s="445"/>
      <c r="CD164" s="445"/>
      <c r="CE164" s="445"/>
      <c r="CF164" s="289"/>
      <c r="CG164" s="289"/>
      <c r="CH164" s="289"/>
      <c r="CI164" s="289"/>
      <c r="CJ164" s="289"/>
      <c r="CK164" s="289"/>
      <c r="CL164" s="289"/>
      <c r="CM164" s="289"/>
      <c r="CN164" s="289"/>
      <c r="CO164" s="289"/>
      <c r="CP164" s="289"/>
      <c r="CQ164" s="289"/>
      <c r="CR164" s="289"/>
      <c r="CS164" s="289"/>
      <c r="CT164" s="289"/>
      <c r="CU164" s="289"/>
      <c r="CV164" s="289"/>
      <c r="CW164" s="289"/>
      <c r="CX164" s="289"/>
      <c r="CY164" s="289"/>
      <c r="CZ164" s="289"/>
    </row>
    <row r="165" spans="1:104" x14ac:dyDescent="0.45">
      <c r="A165" s="289"/>
      <c r="B165" s="294"/>
      <c r="C165" s="445"/>
      <c r="D165" s="445"/>
      <c r="E165" s="445"/>
      <c r="F165" s="445"/>
      <c r="G165" s="445"/>
      <c r="H165" s="445"/>
      <c r="I165" s="445"/>
      <c r="J165" s="445"/>
      <c r="K165" s="445"/>
      <c r="L165" s="445"/>
      <c r="M165" s="445"/>
      <c r="N165" s="445"/>
      <c r="O165" s="445"/>
      <c r="P165" s="445"/>
      <c r="Q165" s="445"/>
      <c r="R165" s="445"/>
      <c r="S165" s="445"/>
      <c r="T165" s="445"/>
      <c r="U165" s="445"/>
      <c r="V165" s="445"/>
      <c r="W165" s="445"/>
      <c r="X165" s="445"/>
      <c r="Y165" s="445"/>
      <c r="Z165" s="445"/>
      <c r="AA165" s="445"/>
      <c r="AB165" s="445"/>
      <c r="AC165" s="445"/>
      <c r="AD165" s="445"/>
      <c r="AE165" s="445"/>
      <c r="AF165" s="445"/>
      <c r="AG165" s="445"/>
      <c r="AH165" s="445"/>
      <c r="AI165" s="445"/>
      <c r="AJ165" s="445"/>
      <c r="AK165" s="445"/>
      <c r="AL165" s="445"/>
      <c r="AM165" s="445"/>
      <c r="AN165" s="445"/>
      <c r="AO165" s="445"/>
      <c r="AP165" s="445"/>
      <c r="AQ165" s="445"/>
      <c r="AR165" s="445"/>
      <c r="AS165" s="445"/>
      <c r="AT165" s="445"/>
      <c r="AU165" s="445"/>
      <c r="AV165" s="445"/>
      <c r="AW165" s="445"/>
      <c r="AX165" s="445"/>
      <c r="AY165" s="445"/>
      <c r="AZ165" s="445"/>
      <c r="BA165" s="445"/>
      <c r="BB165" s="445"/>
      <c r="BC165" s="445"/>
      <c r="BD165" s="445"/>
      <c r="BE165" s="445"/>
      <c r="BF165" s="445"/>
      <c r="BG165" s="445"/>
      <c r="BH165" s="445"/>
      <c r="BI165" s="445"/>
      <c r="BJ165" s="445"/>
      <c r="BK165" s="445"/>
      <c r="BL165" s="445"/>
      <c r="BM165" s="445"/>
      <c r="BN165" s="445"/>
      <c r="BO165" s="445"/>
      <c r="BP165" s="445"/>
      <c r="BQ165" s="445"/>
      <c r="BR165" s="445"/>
      <c r="BS165" s="445"/>
      <c r="BT165" s="445"/>
      <c r="BU165" s="445"/>
      <c r="BV165" s="445"/>
      <c r="BW165" s="445"/>
      <c r="BX165" s="445"/>
      <c r="BY165" s="445"/>
      <c r="BZ165" s="445"/>
      <c r="CA165" s="445"/>
      <c r="CB165" s="445"/>
      <c r="CC165" s="445"/>
      <c r="CD165" s="445"/>
      <c r="CE165" s="445"/>
      <c r="CF165" s="289"/>
      <c r="CG165" s="289"/>
      <c r="CH165" s="289"/>
      <c r="CI165" s="289"/>
      <c r="CJ165" s="289"/>
      <c r="CK165" s="289"/>
      <c r="CL165" s="289"/>
      <c r="CM165" s="289"/>
      <c r="CN165" s="289"/>
      <c r="CO165" s="289"/>
      <c r="CP165" s="289"/>
      <c r="CQ165" s="289"/>
      <c r="CR165" s="289"/>
      <c r="CS165" s="289"/>
      <c r="CT165" s="289"/>
      <c r="CU165" s="289"/>
      <c r="CV165" s="289"/>
      <c r="CW165" s="289"/>
      <c r="CX165" s="289"/>
      <c r="CY165" s="289"/>
      <c r="CZ165" s="289"/>
    </row>
    <row r="166" spans="1:104" x14ac:dyDescent="0.45">
      <c r="A166" s="289"/>
      <c r="B166" s="294"/>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s="445"/>
      <c r="AA166" s="445"/>
      <c r="AB166" s="445"/>
      <c r="AC166" s="445"/>
      <c r="AD166" s="445"/>
      <c r="AE166" s="445"/>
      <c r="AF166" s="445"/>
      <c r="AG166" s="445"/>
      <c r="AH166" s="445"/>
      <c r="AI166" s="445"/>
      <c r="AJ166" s="445"/>
      <c r="AK166" s="445"/>
      <c r="AL166" s="445"/>
      <c r="AM166" s="445"/>
      <c r="AN166" s="445"/>
      <c r="AO166" s="445"/>
      <c r="AP166" s="445"/>
      <c r="AQ166" s="445"/>
      <c r="AR166" s="445"/>
      <c r="AS166" s="445"/>
      <c r="AT166" s="445"/>
      <c r="AU166" s="445"/>
      <c r="AV166" s="445"/>
      <c r="AW166" s="445"/>
      <c r="AX166" s="445"/>
      <c r="AY166" s="445"/>
      <c r="AZ166" s="445"/>
      <c r="BA166" s="445"/>
      <c r="BB166" s="445"/>
      <c r="BC166" s="445"/>
      <c r="BD166" s="445"/>
      <c r="BE166" s="445"/>
      <c r="BF166" s="445"/>
      <c r="BG166" s="445"/>
      <c r="BH166" s="445"/>
      <c r="BI166" s="445"/>
      <c r="BJ166" s="445"/>
      <c r="BK166" s="445"/>
      <c r="BL166" s="445"/>
      <c r="BM166" s="445"/>
      <c r="BN166" s="445"/>
      <c r="BO166" s="445"/>
      <c r="BP166" s="445"/>
      <c r="BQ166" s="445"/>
      <c r="BR166" s="445"/>
      <c r="BS166" s="445"/>
      <c r="BT166" s="445"/>
      <c r="BU166" s="445"/>
      <c r="BV166" s="445"/>
      <c r="BW166" s="445"/>
      <c r="BX166" s="445"/>
      <c r="BY166" s="445"/>
      <c r="BZ166" s="445"/>
      <c r="CA166" s="445"/>
      <c r="CB166" s="445"/>
      <c r="CC166" s="445"/>
      <c r="CD166" s="445"/>
      <c r="CE166" s="445"/>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row>
    <row r="167" spans="1:104" x14ac:dyDescent="0.45">
      <c r="A167" s="289"/>
      <c r="B167" s="294"/>
      <c r="C167" s="445"/>
      <c r="D167" s="445"/>
      <c r="E167" s="445"/>
      <c r="F167" s="445"/>
      <c r="G167" s="445"/>
      <c r="H167" s="445"/>
      <c r="I167" s="445"/>
      <c r="J167" s="445"/>
      <c r="K167" s="445"/>
      <c r="L167" s="445"/>
      <c r="M167" s="445"/>
      <c r="N167" s="445"/>
      <c r="O167" s="445"/>
      <c r="P167" s="445"/>
      <c r="Q167" s="445"/>
      <c r="R167" s="445"/>
      <c r="S167" s="445"/>
      <c r="T167" s="445"/>
      <c r="U167" s="445"/>
      <c r="V167" s="445"/>
      <c r="W167" s="445"/>
      <c r="X167" s="445"/>
      <c r="Y167" s="445"/>
      <c r="Z167" s="445"/>
      <c r="AA167" s="445"/>
      <c r="AB167" s="445"/>
      <c r="AC167" s="445"/>
      <c r="AD167" s="445"/>
      <c r="AE167" s="445"/>
      <c r="AF167" s="445"/>
      <c r="AG167" s="445"/>
      <c r="AH167" s="445"/>
      <c r="AI167" s="445"/>
      <c r="AJ167" s="445"/>
      <c r="AK167" s="445"/>
      <c r="AL167" s="445"/>
      <c r="AM167" s="445"/>
      <c r="AN167" s="445"/>
      <c r="AO167" s="445"/>
      <c r="AP167" s="445"/>
      <c r="AQ167" s="445"/>
      <c r="AR167" s="445"/>
      <c r="AS167" s="445"/>
      <c r="AT167" s="445"/>
      <c r="AU167" s="445"/>
      <c r="AV167" s="445"/>
      <c r="AW167" s="445"/>
      <c r="AX167" s="445"/>
      <c r="AY167" s="445"/>
      <c r="AZ167" s="445"/>
      <c r="BA167" s="445"/>
      <c r="BB167" s="445"/>
      <c r="BC167" s="445"/>
      <c r="BD167" s="445"/>
      <c r="BE167" s="445"/>
      <c r="BF167" s="445"/>
      <c r="BG167" s="445"/>
      <c r="BH167" s="445"/>
      <c r="BI167" s="445"/>
      <c r="BJ167" s="445"/>
      <c r="BK167" s="445"/>
      <c r="BL167" s="445"/>
      <c r="BM167" s="445"/>
      <c r="BN167" s="445"/>
      <c r="BO167" s="445"/>
      <c r="BP167" s="445"/>
      <c r="BQ167" s="445"/>
      <c r="BR167" s="445"/>
      <c r="BS167" s="445"/>
      <c r="BT167" s="445"/>
      <c r="BU167" s="445"/>
      <c r="BV167" s="445"/>
      <c r="BW167" s="445"/>
      <c r="BX167" s="445"/>
      <c r="BY167" s="445"/>
      <c r="BZ167" s="445"/>
      <c r="CA167" s="445"/>
      <c r="CB167" s="445"/>
      <c r="CC167" s="445"/>
      <c r="CD167" s="445"/>
      <c r="CE167" s="445"/>
      <c r="CF167" s="289"/>
      <c r="CG167" s="289"/>
      <c r="CH167" s="289"/>
      <c r="CI167" s="289"/>
      <c r="CJ167" s="289"/>
      <c r="CK167" s="289"/>
      <c r="CL167" s="289"/>
      <c r="CM167" s="289"/>
      <c r="CN167" s="289"/>
      <c r="CO167" s="289"/>
      <c r="CP167" s="289"/>
      <c r="CQ167" s="289"/>
      <c r="CR167" s="289"/>
      <c r="CS167" s="289"/>
      <c r="CT167" s="289"/>
      <c r="CU167" s="289"/>
      <c r="CV167" s="289"/>
      <c r="CW167" s="289"/>
      <c r="CX167" s="289"/>
      <c r="CY167" s="289"/>
      <c r="CZ167" s="289"/>
    </row>
    <row r="168" spans="1:104" x14ac:dyDescent="0.45">
      <c r="A168" s="289"/>
      <c r="B168" s="294"/>
      <c r="C168" s="445"/>
      <c r="D168" s="445"/>
      <c r="E168" s="445"/>
      <c r="F168" s="445"/>
      <c r="G168" s="445"/>
      <c r="H168" s="445"/>
      <c r="I168" s="445"/>
      <c r="J168" s="445"/>
      <c r="K168" s="445"/>
      <c r="L168" s="445"/>
      <c r="M168" s="445"/>
      <c r="N168" s="445"/>
      <c r="O168" s="445"/>
      <c r="P168" s="445"/>
      <c r="Q168" s="445"/>
      <c r="R168" s="445"/>
      <c r="S168" s="445"/>
      <c r="T168" s="445"/>
      <c r="U168" s="445"/>
      <c r="V168" s="445"/>
      <c r="W168" s="445"/>
      <c r="X168" s="445"/>
      <c r="Y168" s="445"/>
      <c r="Z168" s="445"/>
      <c r="AA168" s="445"/>
      <c r="AB168" s="445"/>
      <c r="AC168" s="445"/>
      <c r="AD168" s="445"/>
      <c r="AE168" s="445"/>
      <c r="AF168" s="445"/>
      <c r="AG168" s="445"/>
      <c r="AH168" s="445"/>
      <c r="AI168" s="445"/>
      <c r="AJ168" s="445"/>
      <c r="AK168" s="445"/>
      <c r="AL168" s="445"/>
      <c r="AM168" s="445"/>
      <c r="AN168" s="445"/>
      <c r="AO168" s="445"/>
      <c r="AP168" s="445"/>
      <c r="AQ168" s="445"/>
      <c r="AR168" s="445"/>
      <c r="AS168" s="445"/>
      <c r="AT168" s="445"/>
      <c r="AU168" s="445"/>
      <c r="AV168" s="445"/>
      <c r="AW168" s="445"/>
      <c r="AX168" s="445"/>
      <c r="AY168" s="445"/>
      <c r="AZ168" s="445"/>
      <c r="BA168" s="445"/>
      <c r="BB168" s="445"/>
      <c r="BC168" s="445"/>
      <c r="BD168" s="445"/>
      <c r="BE168" s="445"/>
      <c r="BF168" s="445"/>
      <c r="BG168" s="445"/>
      <c r="BH168" s="445"/>
      <c r="BI168" s="445"/>
      <c r="BJ168" s="445"/>
      <c r="BK168" s="445"/>
      <c r="BL168" s="445"/>
      <c r="BM168" s="445"/>
      <c r="BN168" s="445"/>
      <c r="BO168" s="445"/>
      <c r="BP168" s="445"/>
      <c r="BQ168" s="445"/>
      <c r="BR168" s="445"/>
      <c r="BS168" s="445"/>
      <c r="BT168" s="445"/>
      <c r="BU168" s="445"/>
      <c r="BV168" s="445"/>
      <c r="BW168" s="445"/>
      <c r="BX168" s="445"/>
      <c r="BY168" s="445"/>
      <c r="BZ168" s="445"/>
      <c r="CA168" s="445"/>
      <c r="CB168" s="445"/>
      <c r="CC168" s="445"/>
      <c r="CD168" s="445"/>
      <c r="CE168" s="445"/>
      <c r="CF168" s="289"/>
      <c r="CG168" s="289"/>
      <c r="CH168" s="289"/>
      <c r="CI168" s="289"/>
      <c r="CJ168" s="289"/>
      <c r="CK168" s="289"/>
      <c r="CL168" s="289"/>
      <c r="CM168" s="289"/>
      <c r="CN168" s="289"/>
      <c r="CO168" s="289"/>
      <c r="CP168" s="289"/>
      <c r="CQ168" s="289"/>
      <c r="CR168" s="289"/>
      <c r="CS168" s="289"/>
      <c r="CT168" s="289"/>
      <c r="CU168" s="289"/>
      <c r="CV168" s="289"/>
      <c r="CW168" s="289"/>
      <c r="CX168" s="289"/>
      <c r="CY168" s="289"/>
      <c r="CZ168" s="289"/>
    </row>
    <row r="169" spans="1:104" x14ac:dyDescent="0.45">
      <c r="A169" s="289"/>
      <c r="B169" s="294"/>
      <c r="C169" s="445"/>
      <c r="D169" s="445"/>
      <c r="E169" s="445"/>
      <c r="F169" s="445"/>
      <c r="G169" s="445"/>
      <c r="H169" s="445"/>
      <c r="I169" s="445"/>
      <c r="J169" s="445"/>
      <c r="K169" s="445"/>
      <c r="L169" s="445"/>
      <c r="M169" s="445"/>
      <c r="N169" s="445"/>
      <c r="O169" s="445"/>
      <c r="P169" s="445"/>
      <c r="Q169" s="445"/>
      <c r="R169" s="445"/>
      <c r="S169" s="445"/>
      <c r="T169" s="445"/>
      <c r="U169" s="445"/>
      <c r="V169" s="445"/>
      <c r="W169" s="445"/>
      <c r="X169" s="445"/>
      <c r="Y169" s="445"/>
      <c r="Z169" s="445"/>
      <c r="AA169" s="445"/>
      <c r="AB169" s="445"/>
      <c r="AC169" s="445"/>
      <c r="AD169" s="445"/>
      <c r="AE169" s="445"/>
      <c r="AF169" s="445"/>
      <c r="AG169" s="445"/>
      <c r="AH169" s="445"/>
      <c r="AI169" s="445"/>
      <c r="AJ169" s="445"/>
      <c r="AK169" s="445"/>
      <c r="AL169" s="445"/>
      <c r="AM169" s="445"/>
      <c r="AN169" s="445"/>
      <c r="AO169" s="445"/>
      <c r="AP169" s="445"/>
      <c r="AQ169" s="445"/>
      <c r="AR169" s="445"/>
      <c r="AS169" s="445"/>
      <c r="AT169" s="445"/>
      <c r="AU169" s="445"/>
      <c r="AV169" s="445"/>
      <c r="AW169" s="445"/>
      <c r="AX169" s="445"/>
      <c r="AY169" s="445"/>
      <c r="AZ169" s="445"/>
      <c r="BA169" s="445"/>
      <c r="BB169" s="445"/>
      <c r="BC169" s="445"/>
      <c r="BD169" s="445"/>
      <c r="BE169" s="445"/>
      <c r="BF169" s="445"/>
      <c r="BG169" s="445"/>
      <c r="BH169" s="445"/>
      <c r="BI169" s="445"/>
      <c r="BJ169" s="445"/>
      <c r="BK169" s="445"/>
      <c r="BL169" s="445"/>
      <c r="BM169" s="445"/>
      <c r="BN169" s="445"/>
      <c r="BO169" s="445"/>
      <c r="BP169" s="445"/>
      <c r="BQ169" s="445"/>
      <c r="BR169" s="445"/>
      <c r="BS169" s="445"/>
      <c r="BT169" s="445"/>
      <c r="BU169" s="445"/>
      <c r="BV169" s="445"/>
      <c r="BW169" s="445"/>
      <c r="BX169" s="445"/>
      <c r="BY169" s="445"/>
      <c r="BZ169" s="445"/>
      <c r="CA169" s="445"/>
      <c r="CB169" s="445"/>
      <c r="CC169" s="445"/>
      <c r="CD169" s="445"/>
      <c r="CE169" s="445"/>
      <c r="CF169" s="289"/>
      <c r="CG169" s="289"/>
      <c r="CH169" s="289"/>
      <c r="CI169" s="289"/>
      <c r="CJ169" s="289"/>
      <c r="CK169" s="289"/>
      <c r="CL169" s="289"/>
      <c r="CM169" s="289"/>
      <c r="CN169" s="289"/>
      <c r="CO169" s="289"/>
      <c r="CP169" s="289"/>
      <c r="CQ169" s="289"/>
      <c r="CR169" s="289"/>
      <c r="CS169" s="289"/>
      <c r="CT169" s="289"/>
      <c r="CU169" s="289"/>
      <c r="CV169" s="289"/>
      <c r="CW169" s="289"/>
      <c r="CX169" s="289"/>
      <c r="CY169" s="289"/>
      <c r="CZ169" s="289"/>
    </row>
    <row r="170" spans="1:104" x14ac:dyDescent="0.45">
      <c r="A170" s="289"/>
      <c r="B170" s="294"/>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c r="AA170" s="445"/>
      <c r="AB170" s="445"/>
      <c r="AC170" s="445"/>
      <c r="AD170" s="445"/>
      <c r="AE170" s="445"/>
      <c r="AF170" s="445"/>
      <c r="AG170" s="445"/>
      <c r="AH170" s="445"/>
      <c r="AI170" s="445"/>
      <c r="AJ170" s="445"/>
      <c r="AK170" s="445"/>
      <c r="AL170" s="445"/>
      <c r="AM170" s="445"/>
      <c r="AN170" s="445"/>
      <c r="AO170" s="445"/>
      <c r="AP170" s="445"/>
      <c r="AQ170" s="445"/>
      <c r="AR170" s="445"/>
      <c r="AS170" s="445"/>
      <c r="AT170" s="445"/>
      <c r="AU170" s="445"/>
      <c r="AV170" s="445"/>
      <c r="AW170" s="445"/>
      <c r="AX170" s="445"/>
      <c r="AY170" s="445"/>
      <c r="AZ170" s="445"/>
      <c r="BA170" s="445"/>
      <c r="BB170" s="445"/>
      <c r="BC170" s="445"/>
      <c r="BD170" s="445"/>
      <c r="BE170" s="445"/>
      <c r="BF170" s="445"/>
      <c r="BG170" s="445"/>
      <c r="BH170" s="445"/>
      <c r="BI170" s="445"/>
      <c r="BJ170" s="445"/>
      <c r="BK170" s="445"/>
      <c r="BL170" s="445"/>
      <c r="BM170" s="445"/>
      <c r="BN170" s="445"/>
      <c r="BO170" s="445"/>
      <c r="BP170" s="445"/>
      <c r="BQ170" s="445"/>
      <c r="BR170" s="445"/>
      <c r="BS170" s="445"/>
      <c r="BT170" s="445"/>
      <c r="BU170" s="445"/>
      <c r="BV170" s="445"/>
      <c r="BW170" s="445"/>
      <c r="BX170" s="445"/>
      <c r="BY170" s="445"/>
      <c r="BZ170" s="445"/>
      <c r="CA170" s="445"/>
      <c r="CB170" s="445"/>
      <c r="CC170" s="445"/>
      <c r="CD170" s="445"/>
      <c r="CE170" s="445"/>
      <c r="CF170" s="289"/>
      <c r="CG170" s="289"/>
      <c r="CH170" s="289"/>
      <c r="CI170" s="289"/>
      <c r="CJ170" s="289"/>
      <c r="CK170" s="289"/>
      <c r="CL170" s="289"/>
      <c r="CM170" s="289"/>
      <c r="CN170" s="289"/>
      <c r="CO170" s="289"/>
      <c r="CP170" s="289"/>
      <c r="CQ170" s="289"/>
      <c r="CR170" s="289"/>
      <c r="CS170" s="289"/>
      <c r="CT170" s="289"/>
      <c r="CU170" s="289"/>
      <c r="CV170" s="289"/>
      <c r="CW170" s="289"/>
      <c r="CX170" s="289"/>
      <c r="CY170" s="289"/>
      <c r="CZ170" s="289"/>
    </row>
    <row r="171" spans="1:104" x14ac:dyDescent="0.45">
      <c r="A171" s="289"/>
      <c r="B171" s="294"/>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c r="AA171" s="445"/>
      <c r="AB171" s="445"/>
      <c r="AC171" s="445"/>
      <c r="AD171" s="445"/>
      <c r="AE171" s="445"/>
      <c r="AF171" s="445"/>
      <c r="AG171" s="445"/>
      <c r="AH171" s="445"/>
      <c r="AI171" s="445"/>
      <c r="AJ171" s="445"/>
      <c r="AK171" s="445"/>
      <c r="AL171" s="445"/>
      <c r="AM171" s="445"/>
      <c r="AN171" s="445"/>
      <c r="AO171" s="445"/>
      <c r="AP171" s="445"/>
      <c r="AQ171" s="445"/>
      <c r="AR171" s="445"/>
      <c r="AS171" s="445"/>
      <c r="AT171" s="445"/>
      <c r="AU171" s="445"/>
      <c r="AV171" s="445"/>
      <c r="AW171" s="445"/>
      <c r="AX171" s="445"/>
      <c r="AY171" s="445"/>
      <c r="AZ171" s="445"/>
      <c r="BA171" s="445"/>
      <c r="BB171" s="445"/>
      <c r="BC171" s="445"/>
      <c r="BD171" s="445"/>
      <c r="BE171" s="445"/>
      <c r="BF171" s="445"/>
      <c r="BG171" s="445"/>
      <c r="BH171" s="445"/>
      <c r="BI171" s="445"/>
      <c r="BJ171" s="445"/>
      <c r="BK171" s="445"/>
      <c r="BL171" s="445"/>
      <c r="BM171" s="445"/>
      <c r="BN171" s="445"/>
      <c r="BO171" s="445"/>
      <c r="BP171" s="445"/>
      <c r="BQ171" s="445"/>
      <c r="BR171" s="445"/>
      <c r="BS171" s="445"/>
      <c r="BT171" s="445"/>
      <c r="BU171" s="445"/>
      <c r="BV171" s="445"/>
      <c r="BW171" s="445"/>
      <c r="BX171" s="445"/>
      <c r="BY171" s="445"/>
      <c r="BZ171" s="445"/>
      <c r="CA171" s="445"/>
      <c r="CB171" s="445"/>
      <c r="CC171" s="445"/>
      <c r="CD171" s="445"/>
      <c r="CE171" s="445"/>
      <c r="CF171" s="289"/>
      <c r="CG171" s="289"/>
      <c r="CH171" s="289"/>
      <c r="CI171" s="289"/>
      <c r="CJ171" s="289"/>
      <c r="CK171" s="289"/>
      <c r="CL171" s="289"/>
      <c r="CM171" s="289"/>
      <c r="CN171" s="289"/>
      <c r="CO171" s="289"/>
      <c r="CP171" s="289"/>
      <c r="CQ171" s="289"/>
      <c r="CR171" s="289"/>
      <c r="CS171" s="289"/>
      <c r="CT171" s="289"/>
      <c r="CU171" s="289"/>
      <c r="CV171" s="289"/>
      <c r="CW171" s="289"/>
      <c r="CX171" s="289"/>
      <c r="CY171" s="289"/>
      <c r="CZ171" s="289"/>
    </row>
    <row r="172" spans="1:104" x14ac:dyDescent="0.45">
      <c r="A172" s="289"/>
      <c r="B172" s="294"/>
      <c r="C172" s="445"/>
      <c r="D172" s="445"/>
      <c r="E172" s="445"/>
      <c r="F172" s="445"/>
      <c r="G172" s="445"/>
      <c r="H172" s="445"/>
      <c r="I172" s="445"/>
      <c r="J172" s="445"/>
      <c r="K172" s="445"/>
      <c r="L172" s="445"/>
      <c r="M172" s="445"/>
      <c r="N172" s="445"/>
      <c r="O172" s="445"/>
      <c r="P172" s="445"/>
      <c r="Q172" s="445"/>
      <c r="R172" s="445"/>
      <c r="S172" s="445"/>
      <c r="T172" s="445"/>
      <c r="U172" s="445"/>
      <c r="V172" s="445"/>
      <c r="W172" s="445"/>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289"/>
      <c r="CG172" s="289"/>
      <c r="CH172" s="289"/>
      <c r="CI172" s="289"/>
      <c r="CJ172" s="289"/>
      <c r="CK172" s="289"/>
      <c r="CL172" s="289"/>
      <c r="CM172" s="289"/>
      <c r="CN172" s="289"/>
      <c r="CO172" s="289"/>
      <c r="CP172" s="289"/>
      <c r="CQ172" s="289"/>
      <c r="CR172" s="289"/>
      <c r="CS172" s="289"/>
      <c r="CT172" s="289"/>
      <c r="CU172" s="289"/>
      <c r="CV172" s="289"/>
      <c r="CW172" s="289"/>
      <c r="CX172" s="289"/>
      <c r="CY172" s="289"/>
      <c r="CZ172" s="289"/>
    </row>
    <row r="173" spans="1:104" x14ac:dyDescent="0.45">
      <c r="A173" s="289"/>
      <c r="B173" s="294"/>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289"/>
      <c r="CG173" s="289"/>
      <c r="CH173" s="289"/>
      <c r="CI173" s="289"/>
      <c r="CJ173" s="289"/>
      <c r="CK173" s="289"/>
      <c r="CL173" s="289"/>
      <c r="CM173" s="289"/>
      <c r="CN173" s="289"/>
      <c r="CO173" s="289"/>
      <c r="CP173" s="289"/>
      <c r="CQ173" s="289"/>
      <c r="CR173" s="289"/>
      <c r="CS173" s="289"/>
      <c r="CT173" s="289"/>
      <c r="CU173" s="289"/>
      <c r="CV173" s="289"/>
      <c r="CW173" s="289"/>
      <c r="CX173" s="289"/>
      <c r="CY173" s="289"/>
      <c r="CZ173" s="289"/>
    </row>
    <row r="174" spans="1:104" x14ac:dyDescent="0.45">
      <c r="A174" s="289"/>
      <c r="B174" s="294"/>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289"/>
      <c r="CG174" s="289"/>
      <c r="CH174" s="289"/>
      <c r="CI174" s="289"/>
      <c r="CJ174" s="289"/>
      <c r="CK174" s="289"/>
      <c r="CL174" s="289"/>
      <c r="CM174" s="289"/>
      <c r="CN174" s="289"/>
      <c r="CO174" s="289"/>
      <c r="CP174" s="289"/>
      <c r="CQ174" s="289"/>
      <c r="CR174" s="289"/>
      <c r="CS174" s="289"/>
      <c r="CT174" s="289"/>
      <c r="CU174" s="289"/>
      <c r="CV174" s="289"/>
      <c r="CW174" s="289"/>
      <c r="CX174" s="289"/>
      <c r="CY174" s="289"/>
      <c r="CZ174" s="289"/>
    </row>
    <row r="175" spans="1:104" x14ac:dyDescent="0.45">
      <c r="A175" s="289"/>
      <c r="B175" s="294"/>
      <c r="C175" s="445"/>
      <c r="D175" s="445"/>
      <c r="E175" s="445"/>
      <c r="F175" s="445"/>
      <c r="G175" s="445"/>
      <c r="H175" s="445"/>
      <c r="I175" s="445"/>
      <c r="J175" s="445"/>
      <c r="K175" s="445"/>
      <c r="L175" s="445"/>
      <c r="M175" s="445"/>
      <c r="N175" s="445"/>
      <c r="O175" s="445"/>
      <c r="P175" s="445"/>
      <c r="Q175" s="445"/>
      <c r="R175" s="445"/>
      <c r="S175" s="445"/>
      <c r="T175" s="445"/>
      <c r="U175" s="445"/>
      <c r="V175" s="445"/>
      <c r="W175" s="445"/>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289"/>
      <c r="CG175" s="289"/>
      <c r="CH175" s="289"/>
      <c r="CI175" s="289"/>
      <c r="CJ175" s="289"/>
      <c r="CK175" s="289"/>
      <c r="CL175" s="289"/>
      <c r="CM175" s="289"/>
      <c r="CN175" s="289"/>
      <c r="CO175" s="289"/>
      <c r="CP175" s="289"/>
      <c r="CQ175" s="289"/>
      <c r="CR175" s="289"/>
      <c r="CS175" s="289"/>
      <c r="CT175" s="289"/>
      <c r="CU175" s="289"/>
      <c r="CV175" s="289"/>
      <c r="CW175" s="289"/>
      <c r="CX175" s="289"/>
      <c r="CY175" s="289"/>
      <c r="CZ175" s="289"/>
    </row>
    <row r="176" spans="1:104" x14ac:dyDescent="0.45">
      <c r="A176" s="289"/>
      <c r="B176" s="294"/>
      <c r="C176" s="445"/>
      <c r="D176" s="445"/>
      <c r="E176" s="445"/>
      <c r="F176" s="445"/>
      <c r="G176" s="445"/>
      <c r="H176" s="445"/>
      <c r="I176" s="445"/>
      <c r="J176" s="445"/>
      <c r="K176" s="445"/>
      <c r="L176" s="445"/>
      <c r="M176" s="445"/>
      <c r="N176" s="445"/>
      <c r="O176" s="445"/>
      <c r="P176" s="445"/>
      <c r="Q176" s="445"/>
      <c r="R176" s="445"/>
      <c r="S176" s="445"/>
      <c r="T176" s="445"/>
      <c r="U176" s="445"/>
      <c r="V176" s="445"/>
      <c r="W176" s="445"/>
      <c r="X176" s="445"/>
      <c r="Y176" s="445"/>
      <c r="Z176" s="445"/>
      <c r="AA176" s="445"/>
      <c r="AB176" s="445"/>
      <c r="AC176" s="445"/>
      <c r="AD176" s="445"/>
      <c r="AE176" s="445"/>
      <c r="AF176" s="445"/>
      <c r="AG176" s="445"/>
      <c r="AH176" s="445"/>
      <c r="AI176" s="445"/>
      <c r="AJ176" s="445"/>
      <c r="AK176" s="445"/>
      <c r="AL176" s="445"/>
      <c r="AM176" s="445"/>
      <c r="AN176" s="445"/>
      <c r="AO176" s="445"/>
      <c r="AP176" s="445"/>
      <c r="AQ176" s="445"/>
      <c r="AR176" s="445"/>
      <c r="AS176" s="445"/>
      <c r="AT176" s="445"/>
      <c r="AU176" s="445"/>
      <c r="AV176" s="445"/>
      <c r="AW176" s="445"/>
      <c r="AX176" s="445"/>
      <c r="AY176" s="445"/>
      <c r="AZ176" s="445"/>
      <c r="BA176" s="445"/>
      <c r="BB176" s="445"/>
      <c r="BC176" s="445"/>
      <c r="BD176" s="445"/>
      <c r="BE176" s="445"/>
      <c r="BF176" s="445"/>
      <c r="BG176" s="445"/>
      <c r="BH176" s="445"/>
      <c r="BI176" s="445"/>
      <c r="BJ176" s="445"/>
      <c r="BK176" s="445"/>
      <c r="BL176" s="445"/>
      <c r="BM176" s="445"/>
      <c r="BN176" s="445"/>
      <c r="BO176" s="445"/>
      <c r="BP176" s="445"/>
      <c r="BQ176" s="445"/>
      <c r="BR176" s="445"/>
      <c r="BS176" s="445"/>
      <c r="BT176" s="445"/>
      <c r="BU176" s="445"/>
      <c r="BV176" s="445"/>
      <c r="BW176" s="445"/>
      <c r="BX176" s="445"/>
      <c r="BY176" s="445"/>
      <c r="BZ176" s="445"/>
      <c r="CA176" s="445"/>
      <c r="CB176" s="445"/>
      <c r="CC176" s="445"/>
      <c r="CD176" s="445"/>
      <c r="CE176" s="445"/>
      <c r="CF176" s="289"/>
      <c r="CG176" s="289"/>
      <c r="CH176" s="289"/>
      <c r="CI176" s="289"/>
      <c r="CJ176" s="289"/>
      <c r="CK176" s="289"/>
      <c r="CL176" s="289"/>
      <c r="CM176" s="289"/>
      <c r="CN176" s="289"/>
      <c r="CO176" s="289"/>
      <c r="CP176" s="289"/>
      <c r="CQ176" s="289"/>
      <c r="CR176" s="289"/>
      <c r="CS176" s="289"/>
      <c r="CT176" s="289"/>
      <c r="CU176" s="289"/>
      <c r="CV176" s="289"/>
      <c r="CW176" s="289"/>
      <c r="CX176" s="289"/>
      <c r="CY176" s="289"/>
      <c r="CZ176" s="289"/>
    </row>
    <row r="177" spans="1:104" x14ac:dyDescent="0.45">
      <c r="A177" s="289"/>
      <c r="B177" s="294"/>
      <c r="C177" s="445"/>
      <c r="D177" s="445"/>
      <c r="E177" s="445"/>
      <c r="F177" s="445"/>
      <c r="G177" s="445"/>
      <c r="H177" s="445"/>
      <c r="I177" s="445"/>
      <c r="J177" s="445"/>
      <c r="K177" s="445"/>
      <c r="L177" s="445"/>
      <c r="M177" s="445"/>
      <c r="N177" s="445"/>
      <c r="O177" s="445"/>
      <c r="P177" s="445"/>
      <c r="Q177" s="445"/>
      <c r="R177" s="445"/>
      <c r="S177" s="445"/>
      <c r="T177" s="445"/>
      <c r="U177" s="445"/>
      <c r="V177" s="445"/>
      <c r="W177" s="445"/>
      <c r="X177" s="445"/>
      <c r="Y177" s="445"/>
      <c r="Z177" s="445"/>
      <c r="AA177" s="445"/>
      <c r="AB177" s="445"/>
      <c r="AC177" s="445"/>
      <c r="AD177" s="445"/>
      <c r="AE177" s="445"/>
      <c r="AF177" s="445"/>
      <c r="AG177" s="445"/>
      <c r="AH177" s="445"/>
      <c r="AI177" s="445"/>
      <c r="AJ177" s="445"/>
      <c r="AK177" s="445"/>
      <c r="AL177" s="445"/>
      <c r="AM177" s="445"/>
      <c r="AN177" s="445"/>
      <c r="AO177" s="445"/>
      <c r="AP177" s="445"/>
      <c r="AQ177" s="445"/>
      <c r="AR177" s="445"/>
      <c r="AS177" s="445"/>
      <c r="AT177" s="445"/>
      <c r="AU177" s="445"/>
      <c r="AV177" s="445"/>
      <c r="AW177" s="445"/>
      <c r="AX177" s="445"/>
      <c r="AY177" s="445"/>
      <c r="AZ177" s="445"/>
      <c r="BA177" s="445"/>
      <c r="BB177" s="445"/>
      <c r="BC177" s="445"/>
      <c r="BD177" s="445"/>
      <c r="BE177" s="445"/>
      <c r="BF177" s="445"/>
      <c r="BG177" s="445"/>
      <c r="BH177" s="445"/>
      <c r="BI177" s="445"/>
      <c r="BJ177" s="445"/>
      <c r="BK177" s="445"/>
      <c r="BL177" s="445"/>
      <c r="BM177" s="445"/>
      <c r="BN177" s="445"/>
      <c r="BO177" s="445"/>
      <c r="BP177" s="445"/>
      <c r="BQ177" s="445"/>
      <c r="BR177" s="445"/>
      <c r="BS177" s="445"/>
      <c r="BT177" s="445"/>
      <c r="BU177" s="445"/>
      <c r="BV177" s="445"/>
      <c r="BW177" s="445"/>
      <c r="BX177" s="445"/>
      <c r="BY177" s="445"/>
      <c r="BZ177" s="445"/>
      <c r="CA177" s="445"/>
      <c r="CB177" s="445"/>
      <c r="CC177" s="445"/>
      <c r="CD177" s="445"/>
      <c r="CE177" s="445"/>
      <c r="CF177" s="289"/>
      <c r="CG177" s="289"/>
      <c r="CH177" s="289"/>
      <c r="CI177" s="289"/>
      <c r="CJ177" s="289"/>
      <c r="CK177" s="289"/>
      <c r="CL177" s="289"/>
      <c r="CM177" s="289"/>
      <c r="CN177" s="289"/>
      <c r="CO177" s="289"/>
      <c r="CP177" s="289"/>
      <c r="CQ177" s="289"/>
      <c r="CR177" s="289"/>
      <c r="CS177" s="289"/>
      <c r="CT177" s="289"/>
      <c r="CU177" s="289"/>
      <c r="CV177" s="289"/>
      <c r="CW177" s="289"/>
      <c r="CX177" s="289"/>
      <c r="CY177" s="289"/>
      <c r="CZ177" s="289"/>
    </row>
    <row r="178" spans="1:104" x14ac:dyDescent="0.45">
      <c r="A178" s="289"/>
      <c r="B178" s="294"/>
      <c r="C178" s="445"/>
      <c r="D178" s="445"/>
      <c r="E178" s="445"/>
      <c r="F178" s="445"/>
      <c r="G178" s="445"/>
      <c r="H178" s="445"/>
      <c r="I178" s="445"/>
      <c r="J178" s="445"/>
      <c r="K178" s="445"/>
      <c r="L178" s="445"/>
      <c r="M178" s="445"/>
      <c r="N178" s="445"/>
      <c r="O178" s="445"/>
      <c r="P178" s="445"/>
      <c r="Q178" s="445"/>
      <c r="R178" s="445"/>
      <c r="S178" s="445"/>
      <c r="T178" s="445"/>
      <c r="U178" s="445"/>
      <c r="V178" s="445"/>
      <c r="W178" s="445"/>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289"/>
      <c r="CG178" s="289"/>
      <c r="CH178" s="289"/>
      <c r="CI178" s="289"/>
      <c r="CJ178" s="289"/>
      <c r="CK178" s="289"/>
      <c r="CL178" s="289"/>
      <c r="CM178" s="289"/>
      <c r="CN178" s="289"/>
      <c r="CO178" s="289"/>
      <c r="CP178" s="289"/>
      <c r="CQ178" s="289"/>
      <c r="CR178" s="289"/>
      <c r="CS178" s="289"/>
      <c r="CT178" s="289"/>
      <c r="CU178" s="289"/>
      <c r="CV178" s="289"/>
      <c r="CW178" s="289"/>
      <c r="CX178" s="289"/>
      <c r="CY178" s="289"/>
      <c r="CZ178" s="289"/>
    </row>
    <row r="179" spans="1:104" x14ac:dyDescent="0.45">
      <c r="A179" s="289"/>
      <c r="B179" s="294"/>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c r="AA179" s="445"/>
      <c r="AB179" s="445"/>
      <c r="AC179" s="445"/>
      <c r="AD179" s="445"/>
      <c r="AE179" s="445"/>
      <c r="AF179" s="445"/>
      <c r="AG179" s="445"/>
      <c r="AH179" s="445"/>
      <c r="AI179" s="445"/>
      <c r="AJ179" s="445"/>
      <c r="AK179" s="445"/>
      <c r="AL179" s="445"/>
      <c r="AM179" s="445"/>
      <c r="AN179" s="445"/>
      <c r="AO179" s="445"/>
      <c r="AP179" s="445"/>
      <c r="AQ179" s="445"/>
      <c r="AR179" s="445"/>
      <c r="AS179" s="445"/>
      <c r="AT179" s="445"/>
      <c r="AU179" s="445"/>
      <c r="AV179" s="445"/>
      <c r="AW179" s="445"/>
      <c r="AX179" s="445"/>
      <c r="AY179" s="445"/>
      <c r="AZ179" s="445"/>
      <c r="BA179" s="445"/>
      <c r="BB179" s="445"/>
      <c r="BC179" s="445"/>
      <c r="BD179" s="445"/>
      <c r="BE179" s="445"/>
      <c r="BF179" s="445"/>
      <c r="BG179" s="445"/>
      <c r="BH179" s="445"/>
      <c r="BI179" s="445"/>
      <c r="BJ179" s="445"/>
      <c r="BK179" s="445"/>
      <c r="BL179" s="445"/>
      <c r="BM179" s="445"/>
      <c r="BN179" s="445"/>
      <c r="BO179" s="445"/>
      <c r="BP179" s="445"/>
      <c r="BQ179" s="445"/>
      <c r="BR179" s="445"/>
      <c r="BS179" s="445"/>
      <c r="BT179" s="445"/>
      <c r="BU179" s="445"/>
      <c r="BV179" s="445"/>
      <c r="BW179" s="445"/>
      <c r="BX179" s="445"/>
      <c r="BY179" s="445"/>
      <c r="BZ179" s="445"/>
      <c r="CA179" s="445"/>
      <c r="CB179" s="445"/>
      <c r="CC179" s="445"/>
      <c r="CD179" s="445"/>
      <c r="CE179" s="445"/>
      <c r="CF179" s="289"/>
      <c r="CG179" s="289"/>
      <c r="CH179" s="289"/>
      <c r="CI179" s="289"/>
      <c r="CJ179" s="289"/>
      <c r="CK179" s="289"/>
      <c r="CL179" s="289"/>
      <c r="CM179" s="289"/>
      <c r="CN179" s="289"/>
      <c r="CO179" s="289"/>
      <c r="CP179" s="289"/>
      <c r="CQ179" s="289"/>
      <c r="CR179" s="289"/>
      <c r="CS179" s="289"/>
      <c r="CT179" s="289"/>
      <c r="CU179" s="289"/>
      <c r="CV179" s="289"/>
      <c r="CW179" s="289"/>
      <c r="CX179" s="289"/>
      <c r="CY179" s="289"/>
      <c r="CZ179" s="289"/>
    </row>
    <row r="180" spans="1:104" x14ac:dyDescent="0.45">
      <c r="A180" s="289"/>
      <c r="B180" s="294"/>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c r="Z180" s="445"/>
      <c r="AA180" s="445"/>
      <c r="AB180" s="445"/>
      <c r="AC180" s="445"/>
      <c r="AD180" s="445"/>
      <c r="AE180" s="445"/>
      <c r="AF180" s="445"/>
      <c r="AG180" s="445"/>
      <c r="AH180" s="445"/>
      <c r="AI180" s="445"/>
      <c r="AJ180" s="445"/>
      <c r="AK180" s="445"/>
      <c r="AL180" s="445"/>
      <c r="AM180" s="445"/>
      <c r="AN180" s="445"/>
      <c r="AO180" s="445"/>
      <c r="AP180" s="445"/>
      <c r="AQ180" s="445"/>
      <c r="AR180" s="445"/>
      <c r="AS180" s="445"/>
      <c r="AT180" s="445"/>
      <c r="AU180" s="445"/>
      <c r="AV180" s="445"/>
      <c r="AW180" s="445"/>
      <c r="AX180" s="445"/>
      <c r="AY180" s="445"/>
      <c r="AZ180" s="445"/>
      <c r="BA180" s="445"/>
      <c r="BB180" s="445"/>
      <c r="BC180" s="445"/>
      <c r="BD180" s="445"/>
      <c r="BE180" s="445"/>
      <c r="BF180" s="445"/>
      <c r="BG180" s="445"/>
      <c r="BH180" s="445"/>
      <c r="BI180" s="445"/>
      <c r="BJ180" s="445"/>
      <c r="BK180" s="445"/>
      <c r="BL180" s="445"/>
      <c r="BM180" s="445"/>
      <c r="BN180" s="445"/>
      <c r="BO180" s="445"/>
      <c r="BP180" s="445"/>
      <c r="BQ180" s="445"/>
      <c r="BR180" s="445"/>
      <c r="BS180" s="445"/>
      <c r="BT180" s="445"/>
      <c r="BU180" s="445"/>
      <c r="BV180" s="445"/>
      <c r="BW180" s="445"/>
      <c r="BX180" s="445"/>
      <c r="BY180" s="445"/>
      <c r="BZ180" s="445"/>
      <c r="CA180" s="445"/>
      <c r="CB180" s="445"/>
      <c r="CC180" s="445"/>
      <c r="CD180" s="445"/>
      <c r="CE180" s="445"/>
      <c r="CF180" s="289"/>
      <c r="CG180" s="289"/>
      <c r="CH180" s="289"/>
      <c r="CI180" s="289"/>
      <c r="CJ180" s="289"/>
      <c r="CK180" s="289"/>
      <c r="CL180" s="289"/>
      <c r="CM180" s="289"/>
      <c r="CN180" s="289"/>
      <c r="CO180" s="289"/>
      <c r="CP180" s="289"/>
      <c r="CQ180" s="289"/>
      <c r="CR180" s="289"/>
      <c r="CS180" s="289"/>
      <c r="CT180" s="289"/>
      <c r="CU180" s="289"/>
      <c r="CV180" s="289"/>
      <c r="CW180" s="289"/>
      <c r="CX180" s="289"/>
      <c r="CY180" s="289"/>
      <c r="CZ180" s="289"/>
    </row>
    <row r="181" spans="1:104" x14ac:dyDescent="0.45">
      <c r="A181" s="289"/>
      <c r="B181" s="294"/>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c r="Z181" s="445"/>
      <c r="AA181" s="445"/>
      <c r="AB181" s="445"/>
      <c r="AC181" s="445"/>
      <c r="AD181" s="445"/>
      <c r="AE181" s="445"/>
      <c r="AF181" s="445"/>
      <c r="AG181" s="445"/>
      <c r="AH181" s="445"/>
      <c r="AI181" s="445"/>
      <c r="AJ181" s="445"/>
      <c r="AK181" s="445"/>
      <c r="AL181" s="445"/>
      <c r="AM181" s="445"/>
      <c r="AN181" s="445"/>
      <c r="AO181" s="445"/>
      <c r="AP181" s="445"/>
      <c r="AQ181" s="445"/>
      <c r="AR181" s="445"/>
      <c r="AS181" s="445"/>
      <c r="AT181" s="445"/>
      <c r="AU181" s="445"/>
      <c r="AV181" s="445"/>
      <c r="AW181" s="445"/>
      <c r="AX181" s="445"/>
      <c r="AY181" s="445"/>
      <c r="AZ181" s="445"/>
      <c r="BA181" s="445"/>
      <c r="BB181" s="445"/>
      <c r="BC181" s="445"/>
      <c r="BD181" s="445"/>
      <c r="BE181" s="445"/>
      <c r="BF181" s="445"/>
      <c r="BG181" s="445"/>
      <c r="BH181" s="445"/>
      <c r="BI181" s="445"/>
      <c r="BJ181" s="445"/>
      <c r="BK181" s="445"/>
      <c r="BL181" s="445"/>
      <c r="BM181" s="445"/>
      <c r="BN181" s="445"/>
      <c r="BO181" s="445"/>
      <c r="BP181" s="445"/>
      <c r="BQ181" s="445"/>
      <c r="BR181" s="445"/>
      <c r="BS181" s="445"/>
      <c r="BT181" s="445"/>
      <c r="BU181" s="445"/>
      <c r="BV181" s="445"/>
      <c r="BW181" s="445"/>
      <c r="BX181" s="445"/>
      <c r="BY181" s="445"/>
      <c r="BZ181" s="445"/>
      <c r="CA181" s="445"/>
      <c r="CB181" s="445"/>
      <c r="CC181" s="445"/>
      <c r="CD181" s="445"/>
      <c r="CE181" s="445"/>
      <c r="CF181" s="289"/>
      <c r="CG181" s="289"/>
      <c r="CH181" s="289"/>
      <c r="CI181" s="289"/>
      <c r="CJ181" s="289"/>
      <c r="CK181" s="289"/>
      <c r="CL181" s="289"/>
      <c r="CM181" s="289"/>
      <c r="CN181" s="289"/>
      <c r="CO181" s="289"/>
      <c r="CP181" s="289"/>
      <c r="CQ181" s="289"/>
      <c r="CR181" s="289"/>
      <c r="CS181" s="289"/>
      <c r="CT181" s="289"/>
      <c r="CU181" s="289"/>
      <c r="CV181" s="289"/>
      <c r="CW181" s="289"/>
      <c r="CX181" s="289"/>
      <c r="CY181" s="289"/>
      <c r="CZ181" s="289"/>
    </row>
    <row r="182" spans="1:104" x14ac:dyDescent="0.45">
      <c r="A182" s="289"/>
      <c r="B182" s="294"/>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45"/>
      <c r="AO182" s="445"/>
      <c r="AP182" s="445"/>
      <c r="AQ182" s="445"/>
      <c r="AR182" s="445"/>
      <c r="AS182" s="445"/>
      <c r="AT182" s="445"/>
      <c r="AU182" s="445"/>
      <c r="AV182" s="445"/>
      <c r="AW182" s="445"/>
      <c r="AX182" s="445"/>
      <c r="AY182" s="445"/>
      <c r="AZ182" s="445"/>
      <c r="BA182" s="445"/>
      <c r="BB182" s="445"/>
      <c r="BC182" s="445"/>
      <c r="BD182" s="445"/>
      <c r="BE182" s="445"/>
      <c r="BF182" s="445"/>
      <c r="BG182" s="445"/>
      <c r="BH182" s="445"/>
      <c r="BI182" s="445"/>
      <c r="BJ182" s="445"/>
      <c r="BK182" s="445"/>
      <c r="BL182" s="445"/>
      <c r="BM182" s="445"/>
      <c r="BN182" s="445"/>
      <c r="BO182" s="445"/>
      <c r="BP182" s="445"/>
      <c r="BQ182" s="445"/>
      <c r="BR182" s="445"/>
      <c r="BS182" s="445"/>
      <c r="BT182" s="445"/>
      <c r="BU182" s="445"/>
      <c r="BV182" s="445"/>
      <c r="BW182" s="445"/>
      <c r="BX182" s="445"/>
      <c r="BY182" s="445"/>
      <c r="BZ182" s="445"/>
      <c r="CA182" s="445"/>
      <c r="CB182" s="445"/>
      <c r="CC182" s="445"/>
      <c r="CD182" s="445"/>
      <c r="CE182" s="445"/>
      <c r="CF182" s="289"/>
      <c r="CG182" s="289"/>
      <c r="CH182" s="289"/>
      <c r="CI182" s="289"/>
      <c r="CJ182" s="289"/>
      <c r="CK182" s="289"/>
      <c r="CL182" s="289"/>
      <c r="CM182" s="289"/>
      <c r="CN182" s="289"/>
      <c r="CO182" s="289"/>
      <c r="CP182" s="289"/>
      <c r="CQ182" s="289"/>
      <c r="CR182" s="289"/>
      <c r="CS182" s="289"/>
      <c r="CT182" s="289"/>
      <c r="CU182" s="289"/>
      <c r="CV182" s="289"/>
      <c r="CW182" s="289"/>
      <c r="CX182" s="289"/>
      <c r="CY182" s="289"/>
      <c r="CZ182" s="289"/>
    </row>
    <row r="183" spans="1:104" x14ac:dyDescent="0.45">
      <c r="A183" s="289"/>
      <c r="B183" s="294"/>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c r="Z183" s="445"/>
      <c r="AA183" s="445"/>
      <c r="AB183" s="445"/>
      <c r="AC183" s="445"/>
      <c r="AD183" s="445"/>
      <c r="AE183" s="445"/>
      <c r="AF183" s="445"/>
      <c r="AG183" s="445"/>
      <c r="AH183" s="445"/>
      <c r="AI183" s="445"/>
      <c r="AJ183" s="445"/>
      <c r="AK183" s="445"/>
      <c r="AL183" s="445"/>
      <c r="AM183" s="445"/>
      <c r="AN183" s="445"/>
      <c r="AO183" s="445"/>
      <c r="AP183" s="445"/>
      <c r="AQ183" s="445"/>
      <c r="AR183" s="445"/>
      <c r="AS183" s="445"/>
      <c r="AT183" s="445"/>
      <c r="AU183" s="445"/>
      <c r="AV183" s="445"/>
      <c r="AW183" s="445"/>
      <c r="AX183" s="445"/>
      <c r="AY183" s="445"/>
      <c r="AZ183" s="445"/>
      <c r="BA183" s="445"/>
      <c r="BB183" s="445"/>
      <c r="BC183" s="445"/>
      <c r="BD183" s="445"/>
      <c r="BE183" s="445"/>
      <c r="BF183" s="445"/>
      <c r="BG183" s="445"/>
      <c r="BH183" s="445"/>
      <c r="BI183" s="445"/>
      <c r="BJ183" s="445"/>
      <c r="BK183" s="445"/>
      <c r="BL183" s="445"/>
      <c r="BM183" s="445"/>
      <c r="BN183" s="445"/>
      <c r="BO183" s="445"/>
      <c r="BP183" s="445"/>
      <c r="BQ183" s="445"/>
      <c r="BR183" s="445"/>
      <c r="BS183" s="445"/>
      <c r="BT183" s="445"/>
      <c r="BU183" s="445"/>
      <c r="BV183" s="445"/>
      <c r="BW183" s="445"/>
      <c r="BX183" s="445"/>
      <c r="BY183" s="445"/>
      <c r="BZ183" s="445"/>
      <c r="CA183" s="445"/>
      <c r="CB183" s="445"/>
      <c r="CC183" s="445"/>
      <c r="CD183" s="445"/>
      <c r="CE183" s="445"/>
      <c r="CF183" s="289"/>
      <c r="CG183" s="289"/>
      <c r="CH183" s="289"/>
      <c r="CI183" s="289"/>
      <c r="CJ183" s="289"/>
      <c r="CK183" s="289"/>
      <c r="CL183" s="289"/>
      <c r="CM183" s="289"/>
      <c r="CN183" s="289"/>
      <c r="CO183" s="289"/>
      <c r="CP183" s="289"/>
      <c r="CQ183" s="289"/>
      <c r="CR183" s="289"/>
      <c r="CS183" s="289"/>
      <c r="CT183" s="289"/>
      <c r="CU183" s="289"/>
      <c r="CV183" s="289"/>
      <c r="CW183" s="289"/>
      <c r="CX183" s="289"/>
      <c r="CY183" s="289"/>
      <c r="CZ183" s="289"/>
    </row>
    <row r="184" spans="1:104" x14ac:dyDescent="0.45">
      <c r="A184" s="289"/>
      <c r="B184" s="294"/>
      <c r="C184" s="445"/>
      <c r="D184" s="445"/>
      <c r="E184" s="445"/>
      <c r="F184" s="445"/>
      <c r="G184" s="445"/>
      <c r="H184" s="445"/>
      <c r="I184" s="445"/>
      <c r="J184" s="445"/>
      <c r="K184" s="445"/>
      <c r="L184" s="445"/>
      <c r="M184" s="445"/>
      <c r="N184" s="445"/>
      <c r="O184" s="445"/>
      <c r="P184" s="445"/>
      <c r="Q184" s="445"/>
      <c r="R184" s="445"/>
      <c r="S184" s="445"/>
      <c r="T184" s="445"/>
      <c r="U184" s="445"/>
      <c r="V184" s="445"/>
      <c r="W184" s="445"/>
      <c r="X184" s="445"/>
      <c r="Y184" s="445"/>
      <c r="Z184" s="445"/>
      <c r="AA184" s="445"/>
      <c r="AB184" s="445"/>
      <c r="AC184" s="445"/>
      <c r="AD184" s="445"/>
      <c r="AE184" s="445"/>
      <c r="AF184" s="445"/>
      <c r="AG184" s="445"/>
      <c r="AH184" s="445"/>
      <c r="AI184" s="445"/>
      <c r="AJ184" s="445"/>
      <c r="AK184" s="445"/>
      <c r="AL184" s="445"/>
      <c r="AM184" s="445"/>
      <c r="AN184" s="445"/>
      <c r="AO184" s="445"/>
      <c r="AP184" s="445"/>
      <c r="AQ184" s="445"/>
      <c r="AR184" s="445"/>
      <c r="AS184" s="445"/>
      <c r="AT184" s="445"/>
      <c r="AU184" s="445"/>
      <c r="AV184" s="445"/>
      <c r="AW184" s="445"/>
      <c r="AX184" s="445"/>
      <c r="AY184" s="445"/>
      <c r="AZ184" s="445"/>
      <c r="BA184" s="445"/>
      <c r="BB184" s="445"/>
      <c r="BC184" s="445"/>
      <c r="BD184" s="445"/>
      <c r="BE184" s="445"/>
      <c r="BF184" s="445"/>
      <c r="BG184" s="445"/>
      <c r="BH184" s="445"/>
      <c r="BI184" s="445"/>
      <c r="BJ184" s="445"/>
      <c r="BK184" s="445"/>
      <c r="BL184" s="445"/>
      <c r="BM184" s="445"/>
      <c r="BN184" s="445"/>
      <c r="BO184" s="445"/>
      <c r="BP184" s="445"/>
      <c r="BQ184" s="445"/>
      <c r="BR184" s="445"/>
      <c r="BS184" s="445"/>
      <c r="BT184" s="445"/>
      <c r="BU184" s="445"/>
      <c r="BV184" s="445"/>
      <c r="BW184" s="445"/>
      <c r="BX184" s="445"/>
      <c r="BY184" s="445"/>
      <c r="BZ184" s="445"/>
      <c r="CA184" s="445"/>
      <c r="CB184" s="445"/>
      <c r="CC184" s="445"/>
      <c r="CD184" s="445"/>
      <c r="CE184" s="445"/>
      <c r="CF184" s="289"/>
      <c r="CG184" s="289"/>
      <c r="CH184" s="289"/>
      <c r="CI184" s="289"/>
      <c r="CJ184" s="289"/>
      <c r="CK184" s="289"/>
      <c r="CL184" s="289"/>
      <c r="CM184" s="289"/>
      <c r="CN184" s="289"/>
      <c r="CO184" s="289"/>
      <c r="CP184" s="289"/>
      <c r="CQ184" s="289"/>
      <c r="CR184" s="289"/>
      <c r="CS184" s="289"/>
      <c r="CT184" s="289"/>
      <c r="CU184" s="289"/>
      <c r="CV184" s="289"/>
      <c r="CW184" s="289"/>
      <c r="CX184" s="289"/>
      <c r="CY184" s="289"/>
      <c r="CZ184" s="289"/>
    </row>
    <row r="185" spans="1:104" x14ac:dyDescent="0.45">
      <c r="A185" s="289"/>
      <c r="B185" s="294"/>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c r="AA185" s="445"/>
      <c r="AB185" s="445"/>
      <c r="AC185" s="445"/>
      <c r="AD185" s="445"/>
      <c r="AE185" s="445"/>
      <c r="AF185" s="445"/>
      <c r="AG185" s="445"/>
      <c r="AH185" s="445"/>
      <c r="AI185" s="445"/>
      <c r="AJ185" s="445"/>
      <c r="AK185" s="445"/>
      <c r="AL185" s="445"/>
      <c r="AM185" s="445"/>
      <c r="AN185" s="445"/>
      <c r="AO185" s="445"/>
      <c r="AP185" s="445"/>
      <c r="AQ185" s="445"/>
      <c r="AR185" s="445"/>
      <c r="AS185" s="445"/>
      <c r="AT185" s="445"/>
      <c r="AU185" s="445"/>
      <c r="AV185" s="445"/>
      <c r="AW185" s="445"/>
      <c r="AX185" s="445"/>
      <c r="AY185" s="445"/>
      <c r="AZ185" s="445"/>
      <c r="BA185" s="445"/>
      <c r="BB185" s="445"/>
      <c r="BC185" s="445"/>
      <c r="BD185" s="445"/>
      <c r="BE185" s="445"/>
      <c r="BF185" s="445"/>
      <c r="BG185" s="445"/>
      <c r="BH185" s="445"/>
      <c r="BI185" s="445"/>
      <c r="BJ185" s="445"/>
      <c r="BK185" s="445"/>
      <c r="BL185" s="445"/>
      <c r="BM185" s="445"/>
      <c r="BN185" s="445"/>
      <c r="BO185" s="445"/>
      <c r="BP185" s="445"/>
      <c r="BQ185" s="445"/>
      <c r="BR185" s="445"/>
      <c r="BS185" s="445"/>
      <c r="BT185" s="445"/>
      <c r="BU185" s="445"/>
      <c r="BV185" s="445"/>
      <c r="BW185" s="445"/>
      <c r="BX185" s="445"/>
      <c r="BY185" s="445"/>
      <c r="BZ185" s="445"/>
      <c r="CA185" s="445"/>
      <c r="CB185" s="445"/>
      <c r="CC185" s="445"/>
      <c r="CD185" s="445"/>
      <c r="CE185" s="445"/>
      <c r="CF185" s="289"/>
      <c r="CG185" s="289"/>
      <c r="CH185" s="289"/>
      <c r="CI185" s="289"/>
      <c r="CJ185" s="289"/>
      <c r="CK185" s="289"/>
      <c r="CL185" s="289"/>
      <c r="CM185" s="289"/>
      <c r="CN185" s="289"/>
      <c r="CO185" s="289"/>
      <c r="CP185" s="289"/>
      <c r="CQ185" s="289"/>
      <c r="CR185" s="289"/>
      <c r="CS185" s="289"/>
      <c r="CT185" s="289"/>
      <c r="CU185" s="289"/>
      <c r="CV185" s="289"/>
      <c r="CW185" s="289"/>
      <c r="CX185" s="289"/>
      <c r="CY185" s="289"/>
      <c r="CZ185" s="289"/>
    </row>
    <row r="186" spans="1:104" x14ac:dyDescent="0.45">
      <c r="A186" s="289"/>
      <c r="B186" s="294"/>
      <c r="C186" s="445"/>
      <c r="D186" s="445"/>
      <c r="E186" s="445"/>
      <c r="F186" s="445"/>
      <c r="G186" s="445"/>
      <c r="H186" s="445"/>
      <c r="I186" s="445"/>
      <c r="J186" s="445"/>
      <c r="K186" s="445"/>
      <c r="L186" s="445"/>
      <c r="M186" s="445"/>
      <c r="N186" s="445"/>
      <c r="O186" s="445"/>
      <c r="P186" s="445"/>
      <c r="Q186" s="445"/>
      <c r="R186" s="445"/>
      <c r="S186" s="445"/>
      <c r="T186" s="445"/>
      <c r="U186" s="445"/>
      <c r="V186" s="445"/>
      <c r="W186" s="445"/>
      <c r="X186" s="445"/>
      <c r="Y186" s="445"/>
      <c r="Z186" s="445"/>
      <c r="AA186" s="445"/>
      <c r="AB186" s="445"/>
      <c r="AC186" s="445"/>
      <c r="AD186" s="445"/>
      <c r="AE186" s="445"/>
      <c r="AF186" s="445"/>
      <c r="AG186" s="445"/>
      <c r="AH186" s="445"/>
      <c r="AI186" s="445"/>
      <c r="AJ186" s="445"/>
      <c r="AK186" s="445"/>
      <c r="AL186" s="445"/>
      <c r="AM186" s="445"/>
      <c r="AN186" s="445"/>
      <c r="AO186" s="445"/>
      <c r="AP186" s="445"/>
      <c r="AQ186" s="445"/>
      <c r="AR186" s="445"/>
      <c r="AS186" s="445"/>
      <c r="AT186" s="445"/>
      <c r="AU186" s="445"/>
      <c r="AV186" s="445"/>
      <c r="AW186" s="445"/>
      <c r="AX186" s="445"/>
      <c r="AY186" s="445"/>
      <c r="AZ186" s="445"/>
      <c r="BA186" s="445"/>
      <c r="BB186" s="445"/>
      <c r="BC186" s="445"/>
      <c r="BD186" s="445"/>
      <c r="BE186" s="445"/>
      <c r="BF186" s="445"/>
      <c r="BG186" s="445"/>
      <c r="BH186" s="445"/>
      <c r="BI186" s="445"/>
      <c r="BJ186" s="445"/>
      <c r="BK186" s="445"/>
      <c r="BL186" s="445"/>
      <c r="BM186" s="445"/>
      <c r="BN186" s="445"/>
      <c r="BO186" s="445"/>
      <c r="BP186" s="445"/>
      <c r="BQ186" s="445"/>
      <c r="BR186" s="445"/>
      <c r="BS186" s="445"/>
      <c r="BT186" s="445"/>
      <c r="BU186" s="445"/>
      <c r="BV186" s="445"/>
      <c r="BW186" s="445"/>
      <c r="BX186" s="445"/>
      <c r="BY186" s="445"/>
      <c r="BZ186" s="445"/>
      <c r="CA186" s="445"/>
      <c r="CB186" s="445"/>
      <c r="CC186" s="445"/>
      <c r="CD186" s="445"/>
      <c r="CE186" s="445"/>
      <c r="CF186" s="289"/>
      <c r="CG186" s="289"/>
      <c r="CH186" s="289"/>
      <c r="CI186" s="289"/>
      <c r="CJ186" s="289"/>
      <c r="CK186" s="289"/>
      <c r="CL186" s="289"/>
      <c r="CM186" s="289"/>
      <c r="CN186" s="289"/>
      <c r="CO186" s="289"/>
      <c r="CP186" s="289"/>
      <c r="CQ186" s="289"/>
      <c r="CR186" s="289"/>
      <c r="CS186" s="289"/>
      <c r="CT186" s="289"/>
      <c r="CU186" s="289"/>
      <c r="CV186" s="289"/>
      <c r="CW186" s="289"/>
      <c r="CX186" s="289"/>
      <c r="CY186" s="289"/>
      <c r="CZ186" s="289"/>
    </row>
    <row r="187" spans="1:104" x14ac:dyDescent="0.45">
      <c r="A187" s="289"/>
      <c r="B187" s="294"/>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c r="AA187" s="445"/>
      <c r="AB187" s="445"/>
      <c r="AC187" s="445"/>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5"/>
      <c r="AY187" s="445"/>
      <c r="AZ187" s="445"/>
      <c r="BA187" s="445"/>
      <c r="BB187" s="445"/>
      <c r="BC187" s="445"/>
      <c r="BD187" s="445"/>
      <c r="BE187" s="445"/>
      <c r="BF187" s="445"/>
      <c r="BG187" s="445"/>
      <c r="BH187" s="445"/>
      <c r="BI187" s="445"/>
      <c r="BJ187" s="445"/>
      <c r="BK187" s="445"/>
      <c r="BL187" s="445"/>
      <c r="BM187" s="445"/>
      <c r="BN187" s="445"/>
      <c r="BO187" s="445"/>
      <c r="BP187" s="445"/>
      <c r="BQ187" s="445"/>
      <c r="BR187" s="445"/>
      <c r="BS187" s="445"/>
      <c r="BT187" s="445"/>
      <c r="BU187" s="445"/>
      <c r="BV187" s="445"/>
      <c r="BW187" s="445"/>
      <c r="BX187" s="445"/>
      <c r="BY187" s="445"/>
      <c r="BZ187" s="445"/>
      <c r="CA187" s="445"/>
      <c r="CB187" s="445"/>
      <c r="CC187" s="445"/>
      <c r="CD187" s="445"/>
      <c r="CE187" s="445"/>
      <c r="CF187" s="289"/>
      <c r="CG187" s="289"/>
      <c r="CH187" s="289"/>
      <c r="CI187" s="289"/>
      <c r="CJ187" s="289"/>
      <c r="CK187" s="289"/>
      <c r="CL187" s="289"/>
      <c r="CM187" s="289"/>
      <c r="CN187" s="289"/>
      <c r="CO187" s="289"/>
      <c r="CP187" s="289"/>
      <c r="CQ187" s="289"/>
      <c r="CR187" s="289"/>
      <c r="CS187" s="289"/>
      <c r="CT187" s="289"/>
      <c r="CU187" s="289"/>
      <c r="CV187" s="289"/>
      <c r="CW187" s="289"/>
      <c r="CX187" s="289"/>
      <c r="CY187" s="289"/>
      <c r="CZ187" s="289"/>
    </row>
    <row r="188" spans="1:104" x14ac:dyDescent="0.45">
      <c r="A188" s="289"/>
      <c r="B188" s="294"/>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c r="AA188" s="445"/>
      <c r="AB188" s="445"/>
      <c r="AC188" s="445"/>
      <c r="AD188" s="445"/>
      <c r="AE188" s="445"/>
      <c r="AF188" s="445"/>
      <c r="AG188" s="445"/>
      <c r="AH188" s="445"/>
      <c r="AI188" s="445"/>
      <c r="AJ188" s="445"/>
      <c r="AK188" s="445"/>
      <c r="AL188" s="445"/>
      <c r="AM188" s="445"/>
      <c r="AN188" s="445"/>
      <c r="AO188" s="445"/>
      <c r="AP188" s="445"/>
      <c r="AQ188" s="445"/>
      <c r="AR188" s="445"/>
      <c r="AS188" s="445"/>
      <c r="AT188" s="445"/>
      <c r="AU188" s="445"/>
      <c r="AV188" s="445"/>
      <c r="AW188" s="445"/>
      <c r="AX188" s="445"/>
      <c r="AY188" s="445"/>
      <c r="AZ188" s="445"/>
      <c r="BA188" s="445"/>
      <c r="BB188" s="445"/>
      <c r="BC188" s="445"/>
      <c r="BD188" s="445"/>
      <c r="BE188" s="445"/>
      <c r="BF188" s="445"/>
      <c r="BG188" s="445"/>
      <c r="BH188" s="445"/>
      <c r="BI188" s="445"/>
      <c r="BJ188" s="445"/>
      <c r="BK188" s="445"/>
      <c r="BL188" s="445"/>
      <c r="BM188" s="445"/>
      <c r="BN188" s="445"/>
      <c r="BO188" s="445"/>
      <c r="BP188" s="445"/>
      <c r="BQ188" s="445"/>
      <c r="BR188" s="445"/>
      <c r="BS188" s="445"/>
      <c r="BT188" s="445"/>
      <c r="BU188" s="445"/>
      <c r="BV188" s="445"/>
      <c r="BW188" s="445"/>
      <c r="BX188" s="445"/>
      <c r="BY188" s="445"/>
      <c r="BZ188" s="445"/>
      <c r="CA188" s="445"/>
      <c r="CB188" s="445"/>
      <c r="CC188" s="445"/>
      <c r="CD188" s="445"/>
      <c r="CE188" s="445"/>
      <c r="CF188" s="289"/>
      <c r="CG188" s="289"/>
      <c r="CH188" s="289"/>
      <c r="CI188" s="289"/>
      <c r="CJ188" s="289"/>
      <c r="CK188" s="289"/>
      <c r="CL188" s="289"/>
      <c r="CM188" s="289"/>
      <c r="CN188" s="289"/>
      <c r="CO188" s="289"/>
      <c r="CP188" s="289"/>
      <c r="CQ188" s="289"/>
      <c r="CR188" s="289"/>
      <c r="CS188" s="289"/>
      <c r="CT188" s="289"/>
      <c r="CU188" s="289"/>
      <c r="CV188" s="289"/>
      <c r="CW188" s="289"/>
      <c r="CX188" s="289"/>
      <c r="CY188" s="289"/>
      <c r="CZ188" s="289"/>
    </row>
    <row r="189" spans="1:104" x14ac:dyDescent="0.45">
      <c r="A189" s="289"/>
      <c r="B189" s="294"/>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c r="Z189" s="445"/>
      <c r="AA189" s="445"/>
      <c r="AB189" s="445"/>
      <c r="AC189" s="445"/>
      <c r="AD189" s="445"/>
      <c r="AE189" s="445"/>
      <c r="AF189" s="445"/>
      <c r="AG189" s="445"/>
      <c r="AH189" s="445"/>
      <c r="AI189" s="445"/>
      <c r="AJ189" s="445"/>
      <c r="AK189" s="445"/>
      <c r="AL189" s="445"/>
      <c r="AM189" s="445"/>
      <c r="AN189" s="445"/>
      <c r="AO189" s="445"/>
      <c r="AP189" s="445"/>
      <c r="AQ189" s="445"/>
      <c r="AR189" s="445"/>
      <c r="AS189" s="445"/>
      <c r="AT189" s="445"/>
      <c r="AU189" s="445"/>
      <c r="AV189" s="445"/>
      <c r="AW189" s="445"/>
      <c r="AX189" s="445"/>
      <c r="AY189" s="445"/>
      <c r="AZ189" s="445"/>
      <c r="BA189" s="445"/>
      <c r="BB189" s="445"/>
      <c r="BC189" s="445"/>
      <c r="BD189" s="445"/>
      <c r="BE189" s="445"/>
      <c r="BF189" s="445"/>
      <c r="BG189" s="445"/>
      <c r="BH189" s="445"/>
      <c r="BI189" s="445"/>
      <c r="BJ189" s="445"/>
      <c r="BK189" s="445"/>
      <c r="BL189" s="445"/>
      <c r="BM189" s="445"/>
      <c r="BN189" s="445"/>
      <c r="BO189" s="445"/>
      <c r="BP189" s="445"/>
      <c r="BQ189" s="445"/>
      <c r="BR189" s="445"/>
      <c r="BS189" s="445"/>
      <c r="BT189" s="445"/>
      <c r="BU189" s="445"/>
      <c r="BV189" s="445"/>
      <c r="BW189" s="445"/>
      <c r="BX189" s="445"/>
      <c r="BY189" s="445"/>
      <c r="BZ189" s="445"/>
      <c r="CA189" s="445"/>
      <c r="CB189" s="445"/>
      <c r="CC189" s="445"/>
      <c r="CD189" s="445"/>
      <c r="CE189" s="445"/>
      <c r="CF189" s="289"/>
      <c r="CG189" s="289"/>
      <c r="CH189" s="289"/>
      <c r="CI189" s="289"/>
      <c r="CJ189" s="289"/>
      <c r="CK189" s="289"/>
      <c r="CL189" s="289"/>
      <c r="CM189" s="289"/>
      <c r="CN189" s="289"/>
      <c r="CO189" s="289"/>
      <c r="CP189" s="289"/>
      <c r="CQ189" s="289"/>
      <c r="CR189" s="289"/>
      <c r="CS189" s="289"/>
      <c r="CT189" s="289"/>
      <c r="CU189" s="289"/>
      <c r="CV189" s="289"/>
      <c r="CW189" s="289"/>
      <c r="CX189" s="289"/>
      <c r="CY189" s="289"/>
      <c r="CZ189" s="289"/>
    </row>
    <row r="190" spans="1:104" x14ac:dyDescent="0.45">
      <c r="A190" s="289"/>
      <c r="B190" s="294"/>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c r="Z190" s="445"/>
      <c r="AA190" s="445"/>
      <c r="AB190" s="445"/>
      <c r="AC190" s="445"/>
      <c r="AD190" s="445"/>
      <c r="AE190" s="445"/>
      <c r="AF190" s="445"/>
      <c r="AG190" s="445"/>
      <c r="AH190" s="445"/>
      <c r="AI190" s="445"/>
      <c r="AJ190" s="445"/>
      <c r="AK190" s="445"/>
      <c r="AL190" s="445"/>
      <c r="AM190" s="445"/>
      <c r="AN190" s="445"/>
      <c r="AO190" s="445"/>
      <c r="AP190" s="445"/>
      <c r="AQ190" s="445"/>
      <c r="AR190" s="445"/>
      <c r="AS190" s="445"/>
      <c r="AT190" s="445"/>
      <c r="AU190" s="445"/>
      <c r="AV190" s="445"/>
      <c r="AW190" s="445"/>
      <c r="AX190" s="445"/>
      <c r="AY190" s="445"/>
      <c r="AZ190" s="445"/>
      <c r="BA190" s="445"/>
      <c r="BB190" s="445"/>
      <c r="BC190" s="445"/>
      <c r="BD190" s="445"/>
      <c r="BE190" s="445"/>
      <c r="BF190" s="445"/>
      <c r="BG190" s="445"/>
      <c r="BH190" s="445"/>
      <c r="BI190" s="445"/>
      <c r="BJ190" s="445"/>
      <c r="BK190" s="445"/>
      <c r="BL190" s="445"/>
      <c r="BM190" s="445"/>
      <c r="BN190" s="445"/>
      <c r="BO190" s="445"/>
      <c r="BP190" s="445"/>
      <c r="BQ190" s="445"/>
      <c r="BR190" s="445"/>
      <c r="BS190" s="445"/>
      <c r="BT190" s="445"/>
      <c r="BU190" s="445"/>
      <c r="BV190" s="445"/>
      <c r="BW190" s="445"/>
      <c r="BX190" s="445"/>
      <c r="BY190" s="445"/>
      <c r="BZ190" s="445"/>
      <c r="CA190" s="445"/>
      <c r="CB190" s="445"/>
      <c r="CC190" s="445"/>
      <c r="CD190" s="445"/>
      <c r="CE190" s="445"/>
      <c r="CF190" s="289"/>
      <c r="CG190" s="289"/>
      <c r="CH190" s="289"/>
      <c r="CI190" s="289"/>
      <c r="CJ190" s="289"/>
      <c r="CK190" s="289"/>
      <c r="CL190" s="289"/>
      <c r="CM190" s="289"/>
      <c r="CN190" s="289"/>
      <c r="CO190" s="289"/>
      <c r="CP190" s="289"/>
      <c r="CQ190" s="289"/>
      <c r="CR190" s="289"/>
      <c r="CS190" s="289"/>
      <c r="CT190" s="289"/>
      <c r="CU190" s="289"/>
      <c r="CV190" s="289"/>
      <c r="CW190" s="289"/>
      <c r="CX190" s="289"/>
      <c r="CY190" s="289"/>
      <c r="CZ190" s="289"/>
    </row>
    <row r="191" spans="1:104" x14ac:dyDescent="0.45">
      <c r="A191" s="289"/>
      <c r="B191" s="294"/>
      <c r="C191" s="445"/>
      <c r="D191" s="445"/>
      <c r="E191" s="445"/>
      <c r="F191" s="445"/>
      <c r="G191" s="445"/>
      <c r="H191" s="445"/>
      <c r="I191" s="445"/>
      <c r="J191" s="445"/>
      <c r="K191" s="445"/>
      <c r="L191" s="445"/>
      <c r="M191" s="445"/>
      <c r="N191" s="445"/>
      <c r="O191" s="445"/>
      <c r="P191" s="445"/>
      <c r="Q191" s="445"/>
      <c r="R191" s="445"/>
      <c r="S191" s="445"/>
      <c r="T191" s="445"/>
      <c r="U191" s="445"/>
      <c r="V191" s="445"/>
      <c r="W191" s="445"/>
      <c r="X191" s="445"/>
      <c r="Y191" s="445"/>
      <c r="Z191" s="445"/>
      <c r="AA191" s="445"/>
      <c r="AB191" s="445"/>
      <c r="AC191" s="445"/>
      <c r="AD191" s="445"/>
      <c r="AE191" s="445"/>
      <c r="AF191" s="445"/>
      <c r="AG191" s="445"/>
      <c r="AH191" s="445"/>
      <c r="AI191" s="445"/>
      <c r="AJ191" s="445"/>
      <c r="AK191" s="445"/>
      <c r="AL191" s="445"/>
      <c r="AM191" s="445"/>
      <c r="AN191" s="445"/>
      <c r="AO191" s="445"/>
      <c r="AP191" s="445"/>
      <c r="AQ191" s="445"/>
      <c r="AR191" s="445"/>
      <c r="AS191" s="445"/>
      <c r="AT191" s="445"/>
      <c r="AU191" s="445"/>
      <c r="AV191" s="445"/>
      <c r="AW191" s="445"/>
      <c r="AX191" s="445"/>
      <c r="AY191" s="445"/>
      <c r="AZ191" s="445"/>
      <c r="BA191" s="445"/>
      <c r="BB191" s="445"/>
      <c r="BC191" s="445"/>
      <c r="BD191" s="445"/>
      <c r="BE191" s="445"/>
      <c r="BF191" s="445"/>
      <c r="BG191" s="445"/>
      <c r="BH191" s="445"/>
      <c r="BI191" s="445"/>
      <c r="BJ191" s="445"/>
      <c r="BK191" s="445"/>
      <c r="BL191" s="445"/>
      <c r="BM191" s="445"/>
      <c r="BN191" s="445"/>
      <c r="BO191" s="445"/>
      <c r="BP191" s="445"/>
      <c r="BQ191" s="445"/>
      <c r="BR191" s="445"/>
      <c r="BS191" s="445"/>
      <c r="BT191" s="445"/>
      <c r="BU191" s="445"/>
      <c r="BV191" s="445"/>
      <c r="BW191" s="445"/>
      <c r="BX191" s="445"/>
      <c r="BY191" s="445"/>
      <c r="BZ191" s="445"/>
      <c r="CA191" s="445"/>
      <c r="CB191" s="445"/>
      <c r="CC191" s="445"/>
      <c r="CD191" s="445"/>
      <c r="CE191" s="445"/>
      <c r="CF191" s="289"/>
      <c r="CG191" s="289"/>
      <c r="CH191" s="289"/>
      <c r="CI191" s="289"/>
      <c r="CJ191" s="289"/>
      <c r="CK191" s="289"/>
      <c r="CL191" s="289"/>
      <c r="CM191" s="289"/>
      <c r="CN191" s="289"/>
      <c r="CO191" s="289"/>
      <c r="CP191" s="289"/>
      <c r="CQ191" s="289"/>
      <c r="CR191" s="289"/>
      <c r="CS191" s="289"/>
      <c r="CT191" s="289"/>
      <c r="CU191" s="289"/>
      <c r="CV191" s="289"/>
      <c r="CW191" s="289"/>
      <c r="CX191" s="289"/>
      <c r="CY191" s="289"/>
      <c r="CZ191" s="289"/>
    </row>
    <row r="192" spans="1:104" x14ac:dyDescent="0.45">
      <c r="A192" s="289"/>
      <c r="B192" s="294"/>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c r="Z192" s="445"/>
      <c r="AA192" s="445"/>
      <c r="AB192" s="445"/>
      <c r="AC192" s="445"/>
      <c r="AD192" s="445"/>
      <c r="AE192" s="445"/>
      <c r="AF192" s="445"/>
      <c r="AG192" s="445"/>
      <c r="AH192" s="445"/>
      <c r="AI192" s="445"/>
      <c r="AJ192" s="445"/>
      <c r="AK192" s="445"/>
      <c r="AL192" s="445"/>
      <c r="AM192" s="445"/>
      <c r="AN192" s="445"/>
      <c r="AO192" s="445"/>
      <c r="AP192" s="445"/>
      <c r="AQ192" s="445"/>
      <c r="AR192" s="445"/>
      <c r="AS192" s="445"/>
      <c r="AT192" s="445"/>
      <c r="AU192" s="445"/>
      <c r="AV192" s="445"/>
      <c r="AW192" s="445"/>
      <c r="AX192" s="445"/>
      <c r="AY192" s="445"/>
      <c r="AZ192" s="445"/>
      <c r="BA192" s="445"/>
      <c r="BB192" s="445"/>
      <c r="BC192" s="445"/>
      <c r="BD192" s="445"/>
      <c r="BE192" s="445"/>
      <c r="BF192" s="445"/>
      <c r="BG192" s="445"/>
      <c r="BH192" s="445"/>
      <c r="BI192" s="445"/>
      <c r="BJ192" s="445"/>
      <c r="BK192" s="445"/>
      <c r="BL192" s="445"/>
      <c r="BM192" s="445"/>
      <c r="BN192" s="445"/>
      <c r="BO192" s="445"/>
      <c r="BP192" s="445"/>
      <c r="BQ192" s="445"/>
      <c r="BR192" s="445"/>
      <c r="BS192" s="445"/>
      <c r="BT192" s="445"/>
      <c r="BU192" s="445"/>
      <c r="BV192" s="445"/>
      <c r="BW192" s="445"/>
      <c r="BX192" s="445"/>
      <c r="BY192" s="445"/>
      <c r="BZ192" s="445"/>
      <c r="CA192" s="445"/>
      <c r="CB192" s="445"/>
      <c r="CC192" s="445"/>
      <c r="CD192" s="445"/>
      <c r="CE192" s="445"/>
      <c r="CF192" s="289"/>
      <c r="CG192" s="289"/>
      <c r="CH192" s="289"/>
      <c r="CI192" s="289"/>
      <c r="CJ192" s="289"/>
      <c r="CK192" s="289"/>
      <c r="CL192" s="289"/>
      <c r="CM192" s="289"/>
      <c r="CN192" s="289"/>
      <c r="CO192" s="289"/>
      <c r="CP192" s="289"/>
      <c r="CQ192" s="289"/>
      <c r="CR192" s="289"/>
      <c r="CS192" s="289"/>
      <c r="CT192" s="289"/>
      <c r="CU192" s="289"/>
      <c r="CV192" s="289"/>
      <c r="CW192" s="289"/>
      <c r="CX192" s="289"/>
      <c r="CY192" s="289"/>
      <c r="CZ192" s="289"/>
    </row>
    <row r="193" spans="1:104" x14ac:dyDescent="0.45">
      <c r="A193" s="289"/>
      <c r="B193" s="294"/>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c r="Z193" s="445"/>
      <c r="AA193" s="445"/>
      <c r="AB193" s="445"/>
      <c r="AC193" s="445"/>
      <c r="AD193" s="445"/>
      <c r="AE193" s="445"/>
      <c r="AF193" s="445"/>
      <c r="AG193" s="445"/>
      <c r="AH193" s="445"/>
      <c r="AI193" s="445"/>
      <c r="AJ193" s="445"/>
      <c r="AK193" s="445"/>
      <c r="AL193" s="445"/>
      <c r="AM193" s="445"/>
      <c r="AN193" s="445"/>
      <c r="AO193" s="445"/>
      <c r="AP193" s="445"/>
      <c r="AQ193" s="445"/>
      <c r="AR193" s="445"/>
      <c r="AS193" s="445"/>
      <c r="AT193" s="445"/>
      <c r="AU193" s="445"/>
      <c r="AV193" s="445"/>
      <c r="AW193" s="445"/>
      <c r="AX193" s="445"/>
      <c r="AY193" s="445"/>
      <c r="AZ193" s="445"/>
      <c r="BA193" s="445"/>
      <c r="BB193" s="445"/>
      <c r="BC193" s="445"/>
      <c r="BD193" s="445"/>
      <c r="BE193" s="445"/>
      <c r="BF193" s="445"/>
      <c r="BG193" s="445"/>
      <c r="BH193" s="445"/>
      <c r="BI193" s="445"/>
      <c r="BJ193" s="445"/>
      <c r="BK193" s="445"/>
      <c r="BL193" s="445"/>
      <c r="BM193" s="445"/>
      <c r="BN193" s="445"/>
      <c r="BO193" s="445"/>
      <c r="BP193" s="445"/>
      <c r="BQ193" s="445"/>
      <c r="BR193" s="445"/>
      <c r="BS193" s="445"/>
      <c r="BT193" s="445"/>
      <c r="BU193" s="445"/>
      <c r="BV193" s="445"/>
      <c r="BW193" s="445"/>
      <c r="BX193" s="445"/>
      <c r="BY193" s="445"/>
      <c r="BZ193" s="445"/>
      <c r="CA193" s="445"/>
      <c r="CB193" s="445"/>
      <c r="CC193" s="445"/>
      <c r="CD193" s="445"/>
      <c r="CE193" s="445"/>
      <c r="CF193" s="289"/>
      <c r="CG193" s="289"/>
      <c r="CH193" s="289"/>
      <c r="CI193" s="289"/>
      <c r="CJ193" s="289"/>
      <c r="CK193" s="289"/>
      <c r="CL193" s="289"/>
      <c r="CM193" s="289"/>
      <c r="CN193" s="289"/>
      <c r="CO193" s="289"/>
      <c r="CP193" s="289"/>
      <c r="CQ193" s="289"/>
      <c r="CR193" s="289"/>
      <c r="CS193" s="289"/>
      <c r="CT193" s="289"/>
      <c r="CU193" s="289"/>
      <c r="CV193" s="289"/>
      <c r="CW193" s="289"/>
      <c r="CX193" s="289"/>
      <c r="CY193" s="289"/>
      <c r="CZ193" s="289"/>
    </row>
    <row r="194" spans="1:104" x14ac:dyDescent="0.45">
      <c r="A194" s="289"/>
      <c r="B194" s="294"/>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c r="AA194" s="445"/>
      <c r="AB194" s="445"/>
      <c r="AC194" s="445"/>
      <c r="AD194" s="445"/>
      <c r="AE194" s="445"/>
      <c r="AF194" s="445"/>
      <c r="AG194" s="445"/>
      <c r="AH194" s="445"/>
      <c r="AI194" s="445"/>
      <c r="AJ194" s="445"/>
      <c r="AK194" s="445"/>
      <c r="AL194" s="445"/>
      <c r="AM194" s="445"/>
      <c r="AN194" s="445"/>
      <c r="AO194" s="445"/>
      <c r="AP194" s="445"/>
      <c r="AQ194" s="445"/>
      <c r="AR194" s="445"/>
      <c r="AS194" s="445"/>
      <c r="AT194" s="445"/>
      <c r="AU194" s="445"/>
      <c r="AV194" s="445"/>
      <c r="AW194" s="445"/>
      <c r="AX194" s="445"/>
      <c r="AY194" s="445"/>
      <c r="AZ194" s="445"/>
      <c r="BA194" s="445"/>
      <c r="BB194" s="445"/>
      <c r="BC194" s="445"/>
      <c r="BD194" s="445"/>
      <c r="BE194" s="445"/>
      <c r="BF194" s="445"/>
      <c r="BG194" s="445"/>
      <c r="BH194" s="445"/>
      <c r="BI194" s="445"/>
      <c r="BJ194" s="445"/>
      <c r="BK194" s="445"/>
      <c r="BL194" s="445"/>
      <c r="BM194" s="445"/>
      <c r="BN194" s="445"/>
      <c r="BO194" s="445"/>
      <c r="BP194" s="445"/>
      <c r="BQ194" s="445"/>
      <c r="BR194" s="445"/>
      <c r="BS194" s="445"/>
      <c r="BT194" s="445"/>
      <c r="BU194" s="445"/>
      <c r="BV194" s="445"/>
      <c r="BW194" s="445"/>
      <c r="BX194" s="445"/>
      <c r="BY194" s="445"/>
      <c r="BZ194" s="445"/>
      <c r="CA194" s="445"/>
      <c r="CB194" s="445"/>
      <c r="CC194" s="445"/>
      <c r="CD194" s="445"/>
      <c r="CE194" s="445"/>
      <c r="CF194" s="289"/>
      <c r="CG194" s="289"/>
      <c r="CH194" s="289"/>
      <c r="CI194" s="289"/>
      <c r="CJ194" s="289"/>
      <c r="CK194" s="289"/>
      <c r="CL194" s="289"/>
      <c r="CM194" s="289"/>
      <c r="CN194" s="289"/>
      <c r="CO194" s="289"/>
      <c r="CP194" s="289"/>
      <c r="CQ194" s="289"/>
      <c r="CR194" s="289"/>
      <c r="CS194" s="289"/>
      <c r="CT194" s="289"/>
      <c r="CU194" s="289"/>
      <c r="CV194" s="289"/>
      <c r="CW194" s="289"/>
      <c r="CX194" s="289"/>
      <c r="CY194" s="289"/>
      <c r="CZ194" s="289"/>
    </row>
    <row r="195" spans="1:104" x14ac:dyDescent="0.45">
      <c r="A195" s="289"/>
      <c r="B195" s="294"/>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c r="Z195" s="445"/>
      <c r="AA195" s="445"/>
      <c r="AB195" s="445"/>
      <c r="AC195" s="445"/>
      <c r="AD195" s="445"/>
      <c r="AE195" s="445"/>
      <c r="AF195" s="445"/>
      <c r="AG195" s="445"/>
      <c r="AH195" s="445"/>
      <c r="AI195" s="445"/>
      <c r="AJ195" s="445"/>
      <c r="AK195" s="445"/>
      <c r="AL195" s="445"/>
      <c r="AM195" s="445"/>
      <c r="AN195" s="445"/>
      <c r="AO195" s="445"/>
      <c r="AP195" s="445"/>
      <c r="AQ195" s="445"/>
      <c r="AR195" s="445"/>
      <c r="AS195" s="445"/>
      <c r="AT195" s="445"/>
      <c r="AU195" s="445"/>
      <c r="AV195" s="445"/>
      <c r="AW195" s="445"/>
      <c r="AX195" s="445"/>
      <c r="AY195" s="445"/>
      <c r="AZ195" s="445"/>
      <c r="BA195" s="445"/>
      <c r="BB195" s="445"/>
      <c r="BC195" s="445"/>
      <c r="BD195" s="445"/>
      <c r="BE195" s="445"/>
      <c r="BF195" s="445"/>
      <c r="BG195" s="445"/>
      <c r="BH195" s="445"/>
      <c r="BI195" s="445"/>
      <c r="BJ195" s="445"/>
      <c r="BK195" s="445"/>
      <c r="BL195" s="445"/>
      <c r="BM195" s="445"/>
      <c r="BN195" s="445"/>
      <c r="BO195" s="445"/>
      <c r="BP195" s="445"/>
      <c r="BQ195" s="445"/>
      <c r="BR195" s="445"/>
      <c r="BS195" s="445"/>
      <c r="BT195" s="445"/>
      <c r="BU195" s="445"/>
      <c r="BV195" s="445"/>
      <c r="BW195" s="445"/>
      <c r="BX195" s="445"/>
      <c r="BY195" s="445"/>
      <c r="BZ195" s="445"/>
      <c r="CA195" s="445"/>
      <c r="CB195" s="445"/>
      <c r="CC195" s="445"/>
      <c r="CD195" s="445"/>
      <c r="CE195" s="445"/>
      <c r="CF195" s="289"/>
      <c r="CG195" s="289"/>
      <c r="CH195" s="289"/>
      <c r="CI195" s="289"/>
      <c r="CJ195" s="289"/>
      <c r="CK195" s="289"/>
      <c r="CL195" s="289"/>
      <c r="CM195" s="289"/>
      <c r="CN195" s="289"/>
      <c r="CO195" s="289"/>
      <c r="CP195" s="289"/>
      <c r="CQ195" s="289"/>
      <c r="CR195" s="289"/>
      <c r="CS195" s="289"/>
      <c r="CT195" s="289"/>
      <c r="CU195" s="289"/>
      <c r="CV195" s="289"/>
      <c r="CW195" s="289"/>
      <c r="CX195" s="289"/>
      <c r="CY195" s="289"/>
      <c r="CZ195" s="289"/>
    </row>
    <row r="196" spans="1:104" x14ac:dyDescent="0.45">
      <c r="A196" s="289"/>
      <c r="B196" s="294"/>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c r="Z196" s="445"/>
      <c r="AA196" s="445"/>
      <c r="AB196" s="445"/>
      <c r="AC196" s="445"/>
      <c r="AD196" s="445"/>
      <c r="AE196" s="445"/>
      <c r="AF196" s="445"/>
      <c r="AG196" s="445"/>
      <c r="AH196" s="445"/>
      <c r="AI196" s="445"/>
      <c r="AJ196" s="445"/>
      <c r="AK196" s="445"/>
      <c r="AL196" s="445"/>
      <c r="AM196" s="445"/>
      <c r="AN196" s="445"/>
      <c r="AO196" s="445"/>
      <c r="AP196" s="445"/>
      <c r="AQ196" s="445"/>
      <c r="AR196" s="445"/>
      <c r="AS196" s="445"/>
      <c r="AT196" s="445"/>
      <c r="AU196" s="445"/>
      <c r="AV196" s="445"/>
      <c r="AW196" s="445"/>
      <c r="AX196" s="445"/>
      <c r="AY196" s="445"/>
      <c r="AZ196" s="445"/>
      <c r="BA196" s="445"/>
      <c r="BB196" s="445"/>
      <c r="BC196" s="445"/>
      <c r="BD196" s="445"/>
      <c r="BE196" s="445"/>
      <c r="BF196" s="445"/>
      <c r="BG196" s="445"/>
      <c r="BH196" s="445"/>
      <c r="BI196" s="445"/>
      <c r="BJ196" s="445"/>
      <c r="BK196" s="445"/>
      <c r="BL196" s="445"/>
      <c r="BM196" s="445"/>
      <c r="BN196" s="445"/>
      <c r="BO196" s="445"/>
      <c r="BP196" s="445"/>
      <c r="BQ196" s="445"/>
      <c r="BR196" s="445"/>
      <c r="BS196" s="445"/>
      <c r="BT196" s="445"/>
      <c r="BU196" s="445"/>
      <c r="BV196" s="445"/>
      <c r="BW196" s="445"/>
      <c r="BX196" s="445"/>
      <c r="BY196" s="445"/>
      <c r="BZ196" s="445"/>
      <c r="CA196" s="445"/>
      <c r="CB196" s="445"/>
      <c r="CC196" s="445"/>
      <c r="CD196" s="445"/>
      <c r="CE196" s="445"/>
      <c r="CF196" s="289"/>
      <c r="CG196" s="289"/>
      <c r="CH196" s="289"/>
      <c r="CI196" s="289"/>
      <c r="CJ196" s="289"/>
      <c r="CK196" s="289"/>
      <c r="CL196" s="289"/>
      <c r="CM196" s="289"/>
      <c r="CN196" s="289"/>
      <c r="CO196" s="289"/>
      <c r="CP196" s="289"/>
      <c r="CQ196" s="289"/>
      <c r="CR196" s="289"/>
      <c r="CS196" s="289"/>
      <c r="CT196" s="289"/>
      <c r="CU196" s="289"/>
      <c r="CV196" s="289"/>
      <c r="CW196" s="289"/>
      <c r="CX196" s="289"/>
      <c r="CY196" s="289"/>
      <c r="CZ196" s="289"/>
    </row>
    <row r="197" spans="1:104" x14ac:dyDescent="0.45">
      <c r="A197" s="289"/>
      <c r="B197" s="294"/>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c r="Z197" s="445"/>
      <c r="AA197" s="445"/>
      <c r="AB197" s="445"/>
      <c r="AC197" s="445"/>
      <c r="AD197" s="445"/>
      <c r="AE197" s="445"/>
      <c r="AF197" s="445"/>
      <c r="AG197" s="445"/>
      <c r="AH197" s="445"/>
      <c r="AI197" s="445"/>
      <c r="AJ197" s="445"/>
      <c r="AK197" s="445"/>
      <c r="AL197" s="445"/>
      <c r="AM197" s="445"/>
      <c r="AN197" s="445"/>
      <c r="AO197" s="445"/>
      <c r="AP197" s="445"/>
      <c r="AQ197" s="445"/>
      <c r="AR197" s="445"/>
      <c r="AS197" s="445"/>
      <c r="AT197" s="445"/>
      <c r="AU197" s="445"/>
      <c r="AV197" s="445"/>
      <c r="AW197" s="445"/>
      <c r="AX197" s="445"/>
      <c r="AY197" s="445"/>
      <c r="AZ197" s="445"/>
      <c r="BA197" s="445"/>
      <c r="BB197" s="445"/>
      <c r="BC197" s="445"/>
      <c r="BD197" s="445"/>
      <c r="BE197" s="445"/>
      <c r="BF197" s="445"/>
      <c r="BG197" s="445"/>
      <c r="BH197" s="445"/>
      <c r="BI197" s="445"/>
      <c r="BJ197" s="445"/>
      <c r="BK197" s="445"/>
      <c r="BL197" s="445"/>
      <c r="BM197" s="445"/>
      <c r="BN197" s="445"/>
      <c r="BO197" s="445"/>
      <c r="BP197" s="445"/>
      <c r="BQ197" s="445"/>
      <c r="BR197" s="445"/>
      <c r="BS197" s="445"/>
      <c r="BT197" s="445"/>
      <c r="BU197" s="445"/>
      <c r="BV197" s="445"/>
      <c r="BW197" s="445"/>
      <c r="BX197" s="445"/>
      <c r="BY197" s="445"/>
      <c r="BZ197" s="445"/>
      <c r="CA197" s="445"/>
      <c r="CB197" s="445"/>
      <c r="CC197" s="445"/>
      <c r="CD197" s="445"/>
      <c r="CE197" s="445"/>
      <c r="CF197" s="289"/>
      <c r="CG197" s="289"/>
      <c r="CH197" s="289"/>
      <c r="CI197" s="289"/>
      <c r="CJ197" s="289"/>
      <c r="CK197" s="289"/>
      <c r="CL197" s="289"/>
      <c r="CM197" s="289"/>
      <c r="CN197" s="289"/>
      <c r="CO197" s="289"/>
      <c r="CP197" s="289"/>
      <c r="CQ197" s="289"/>
      <c r="CR197" s="289"/>
      <c r="CS197" s="289"/>
      <c r="CT197" s="289"/>
      <c r="CU197" s="289"/>
      <c r="CV197" s="289"/>
      <c r="CW197" s="289"/>
      <c r="CX197" s="289"/>
      <c r="CY197" s="289"/>
      <c r="CZ197" s="289"/>
    </row>
    <row r="198" spans="1:104" x14ac:dyDescent="0.45">
      <c r="A198" s="289"/>
      <c r="B198" s="294"/>
      <c r="C198" s="445"/>
      <c r="D198" s="445"/>
      <c r="E198" s="445"/>
      <c r="F198" s="445"/>
      <c r="G198" s="445"/>
      <c r="H198" s="445"/>
      <c r="I198" s="445"/>
      <c r="J198" s="445"/>
      <c r="K198" s="445"/>
      <c r="L198" s="445"/>
      <c r="M198" s="445"/>
      <c r="N198" s="445"/>
      <c r="O198" s="445"/>
      <c r="P198" s="445"/>
      <c r="Q198" s="445"/>
      <c r="R198" s="445"/>
      <c r="S198" s="445"/>
      <c r="T198" s="445"/>
      <c r="U198" s="445"/>
      <c r="V198" s="445"/>
      <c r="W198" s="445"/>
      <c r="X198" s="445"/>
      <c r="Y198" s="445"/>
      <c r="Z198" s="445"/>
      <c r="AA198" s="445"/>
      <c r="AB198" s="445"/>
      <c r="AC198" s="445"/>
      <c r="AD198" s="445"/>
      <c r="AE198" s="445"/>
      <c r="AF198" s="445"/>
      <c r="AG198" s="445"/>
      <c r="AH198" s="445"/>
      <c r="AI198" s="445"/>
      <c r="AJ198" s="445"/>
      <c r="AK198" s="445"/>
      <c r="AL198" s="445"/>
      <c r="AM198" s="445"/>
      <c r="AN198" s="445"/>
      <c r="AO198" s="445"/>
      <c r="AP198" s="445"/>
      <c r="AQ198" s="445"/>
      <c r="AR198" s="445"/>
      <c r="AS198" s="445"/>
      <c r="AT198" s="445"/>
      <c r="AU198" s="445"/>
      <c r="AV198" s="445"/>
      <c r="AW198" s="445"/>
      <c r="AX198" s="445"/>
      <c r="AY198" s="445"/>
      <c r="AZ198" s="445"/>
      <c r="BA198" s="445"/>
      <c r="BB198" s="445"/>
      <c r="BC198" s="445"/>
      <c r="BD198" s="445"/>
      <c r="BE198" s="445"/>
      <c r="BF198" s="445"/>
      <c r="BG198" s="445"/>
      <c r="BH198" s="445"/>
      <c r="BI198" s="445"/>
      <c r="BJ198" s="445"/>
      <c r="BK198" s="445"/>
      <c r="BL198" s="445"/>
      <c r="BM198" s="445"/>
      <c r="BN198" s="445"/>
      <c r="BO198" s="445"/>
      <c r="BP198" s="445"/>
      <c r="BQ198" s="445"/>
      <c r="BR198" s="445"/>
      <c r="BS198" s="445"/>
      <c r="BT198" s="445"/>
      <c r="BU198" s="445"/>
      <c r="BV198" s="445"/>
      <c r="BW198" s="445"/>
      <c r="BX198" s="445"/>
      <c r="BY198" s="445"/>
      <c r="BZ198" s="445"/>
      <c r="CA198" s="445"/>
      <c r="CB198" s="445"/>
      <c r="CC198" s="445"/>
      <c r="CD198" s="445"/>
      <c r="CE198" s="445"/>
      <c r="CF198" s="289"/>
      <c r="CG198" s="289"/>
      <c r="CH198" s="289"/>
      <c r="CI198" s="289"/>
      <c r="CJ198" s="289"/>
      <c r="CK198" s="289"/>
      <c r="CL198" s="289"/>
      <c r="CM198" s="289"/>
      <c r="CN198" s="289"/>
      <c r="CO198" s="289"/>
      <c r="CP198" s="289"/>
      <c r="CQ198" s="289"/>
      <c r="CR198" s="289"/>
      <c r="CS198" s="289"/>
      <c r="CT198" s="289"/>
      <c r="CU198" s="289"/>
      <c r="CV198" s="289"/>
      <c r="CW198" s="289"/>
      <c r="CX198" s="289"/>
      <c r="CY198" s="289"/>
      <c r="CZ198" s="289"/>
    </row>
    <row r="199" spans="1:104" x14ac:dyDescent="0.45">
      <c r="A199" s="289"/>
      <c r="B199" s="294"/>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c r="Z199" s="445"/>
      <c r="AA199" s="445"/>
      <c r="AB199" s="445"/>
      <c r="AC199" s="445"/>
      <c r="AD199" s="445"/>
      <c r="AE199" s="445"/>
      <c r="AF199" s="445"/>
      <c r="AG199" s="445"/>
      <c r="AH199" s="445"/>
      <c r="AI199" s="445"/>
      <c r="AJ199" s="445"/>
      <c r="AK199" s="445"/>
      <c r="AL199" s="445"/>
      <c r="AM199" s="445"/>
      <c r="AN199" s="445"/>
      <c r="AO199" s="445"/>
      <c r="AP199" s="445"/>
      <c r="AQ199" s="445"/>
      <c r="AR199" s="445"/>
      <c r="AS199" s="445"/>
      <c r="AT199" s="445"/>
      <c r="AU199" s="445"/>
      <c r="AV199" s="445"/>
      <c r="AW199" s="445"/>
      <c r="AX199" s="445"/>
      <c r="AY199" s="445"/>
      <c r="AZ199" s="445"/>
      <c r="BA199" s="445"/>
      <c r="BB199" s="445"/>
      <c r="BC199" s="445"/>
      <c r="BD199" s="445"/>
      <c r="BE199" s="445"/>
      <c r="BF199" s="445"/>
      <c r="BG199" s="445"/>
      <c r="BH199" s="445"/>
      <c r="BI199" s="445"/>
      <c r="BJ199" s="445"/>
      <c r="BK199" s="445"/>
      <c r="BL199" s="445"/>
      <c r="BM199" s="445"/>
      <c r="BN199" s="445"/>
      <c r="BO199" s="445"/>
      <c r="BP199" s="445"/>
      <c r="BQ199" s="445"/>
      <c r="BR199" s="445"/>
      <c r="BS199" s="445"/>
      <c r="BT199" s="445"/>
      <c r="BU199" s="445"/>
      <c r="BV199" s="445"/>
      <c r="BW199" s="445"/>
      <c r="BX199" s="445"/>
      <c r="BY199" s="445"/>
      <c r="BZ199" s="445"/>
      <c r="CA199" s="445"/>
      <c r="CB199" s="445"/>
      <c r="CC199" s="445"/>
      <c r="CD199" s="445"/>
      <c r="CE199" s="445"/>
      <c r="CF199" s="289"/>
      <c r="CG199" s="289"/>
      <c r="CH199" s="289"/>
      <c r="CI199" s="289"/>
      <c r="CJ199" s="289"/>
      <c r="CK199" s="289"/>
      <c r="CL199" s="289"/>
      <c r="CM199" s="289"/>
      <c r="CN199" s="289"/>
      <c r="CO199" s="289"/>
      <c r="CP199" s="289"/>
      <c r="CQ199" s="289"/>
      <c r="CR199" s="289"/>
      <c r="CS199" s="289"/>
      <c r="CT199" s="289"/>
      <c r="CU199" s="289"/>
      <c r="CV199" s="289"/>
      <c r="CW199" s="289"/>
      <c r="CX199" s="289"/>
      <c r="CY199" s="289"/>
      <c r="CZ199" s="289"/>
    </row>
    <row r="200" spans="1:104" x14ac:dyDescent="0.45">
      <c r="A200" s="289"/>
      <c r="B200" s="294"/>
      <c r="C200" s="445"/>
      <c r="D200" s="445"/>
      <c r="E200" s="445"/>
      <c r="F200" s="445"/>
      <c r="G200" s="445"/>
      <c r="H200" s="445"/>
      <c r="I200" s="445"/>
      <c r="J200" s="445"/>
      <c r="K200" s="445"/>
      <c r="L200" s="445"/>
      <c r="M200" s="445"/>
      <c r="N200" s="445"/>
      <c r="O200" s="445"/>
      <c r="P200" s="445"/>
      <c r="Q200" s="445"/>
      <c r="R200" s="445"/>
      <c r="S200" s="445"/>
      <c r="T200" s="445"/>
      <c r="U200" s="445"/>
      <c r="V200" s="445"/>
      <c r="W200" s="445"/>
      <c r="X200" s="445"/>
      <c r="Y200" s="445"/>
      <c r="Z200" s="445"/>
      <c r="AA200" s="445"/>
      <c r="AB200" s="445"/>
      <c r="AC200" s="445"/>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5"/>
      <c r="AY200" s="445"/>
      <c r="AZ200" s="445"/>
      <c r="BA200" s="445"/>
      <c r="BB200" s="445"/>
      <c r="BC200" s="445"/>
      <c r="BD200" s="445"/>
      <c r="BE200" s="445"/>
      <c r="BF200" s="445"/>
      <c r="BG200" s="445"/>
      <c r="BH200" s="445"/>
      <c r="BI200" s="445"/>
      <c r="BJ200" s="445"/>
      <c r="BK200" s="445"/>
      <c r="BL200" s="445"/>
      <c r="BM200" s="445"/>
      <c r="BN200" s="445"/>
      <c r="BO200" s="445"/>
      <c r="BP200" s="445"/>
      <c r="BQ200" s="445"/>
      <c r="BR200" s="445"/>
      <c r="BS200" s="445"/>
      <c r="BT200" s="445"/>
      <c r="BU200" s="445"/>
      <c r="BV200" s="445"/>
      <c r="BW200" s="445"/>
      <c r="BX200" s="445"/>
      <c r="BY200" s="445"/>
      <c r="BZ200" s="445"/>
      <c r="CA200" s="445"/>
      <c r="CB200" s="445"/>
      <c r="CC200" s="445"/>
      <c r="CD200" s="445"/>
      <c r="CE200" s="445"/>
      <c r="CF200" s="289"/>
      <c r="CG200" s="289"/>
      <c r="CH200" s="289"/>
      <c r="CI200" s="289"/>
      <c r="CJ200" s="289"/>
      <c r="CK200" s="289"/>
      <c r="CL200" s="289"/>
      <c r="CM200" s="289"/>
      <c r="CN200" s="289"/>
      <c r="CO200" s="289"/>
      <c r="CP200" s="289"/>
      <c r="CQ200" s="289"/>
      <c r="CR200" s="289"/>
      <c r="CS200" s="289"/>
      <c r="CT200" s="289"/>
      <c r="CU200" s="289"/>
      <c r="CV200" s="289"/>
      <c r="CW200" s="289"/>
      <c r="CX200" s="289"/>
      <c r="CY200" s="289"/>
      <c r="CZ200" s="289"/>
    </row>
    <row r="201" spans="1:104" x14ac:dyDescent="0.45">
      <c r="A201" s="289"/>
      <c r="B201" s="294"/>
      <c r="C201" s="445"/>
      <c r="D201" s="445"/>
      <c r="E201" s="445"/>
      <c r="F201" s="445"/>
      <c r="G201" s="445"/>
      <c r="H201" s="445"/>
      <c r="I201" s="445"/>
      <c r="J201" s="445"/>
      <c r="K201" s="445"/>
      <c r="L201" s="445"/>
      <c r="M201" s="445"/>
      <c r="N201" s="445"/>
      <c r="O201" s="445"/>
      <c r="P201" s="445"/>
      <c r="Q201" s="445"/>
      <c r="R201" s="445"/>
      <c r="S201" s="445"/>
      <c r="T201" s="445"/>
      <c r="U201" s="445"/>
      <c r="V201" s="445"/>
      <c r="W201" s="445"/>
      <c r="X201" s="445"/>
      <c r="Y201" s="445"/>
      <c r="Z201" s="445"/>
      <c r="AA201" s="445"/>
      <c r="AB201" s="445"/>
      <c r="AC201" s="445"/>
      <c r="AD201" s="445"/>
      <c r="AE201" s="445"/>
      <c r="AF201" s="445"/>
      <c r="AG201" s="445"/>
      <c r="AH201" s="445"/>
      <c r="AI201" s="445"/>
      <c r="AJ201" s="445"/>
      <c r="AK201" s="445"/>
      <c r="AL201" s="445"/>
      <c r="AM201" s="445"/>
      <c r="AN201" s="445"/>
      <c r="AO201" s="445"/>
      <c r="AP201" s="445"/>
      <c r="AQ201" s="445"/>
      <c r="AR201" s="445"/>
      <c r="AS201" s="445"/>
      <c r="AT201" s="445"/>
      <c r="AU201" s="445"/>
      <c r="AV201" s="445"/>
      <c r="AW201" s="445"/>
      <c r="AX201" s="445"/>
      <c r="AY201" s="445"/>
      <c r="AZ201" s="445"/>
      <c r="BA201" s="445"/>
      <c r="BB201" s="445"/>
      <c r="BC201" s="445"/>
      <c r="BD201" s="445"/>
      <c r="BE201" s="445"/>
      <c r="BF201" s="445"/>
      <c r="BG201" s="445"/>
      <c r="BH201" s="445"/>
      <c r="BI201" s="445"/>
      <c r="BJ201" s="445"/>
      <c r="BK201" s="445"/>
      <c r="BL201" s="445"/>
      <c r="BM201" s="445"/>
      <c r="BN201" s="445"/>
      <c r="BO201" s="445"/>
      <c r="BP201" s="445"/>
      <c r="BQ201" s="445"/>
      <c r="BR201" s="445"/>
      <c r="BS201" s="445"/>
      <c r="BT201" s="445"/>
      <c r="BU201" s="445"/>
      <c r="BV201" s="445"/>
      <c r="BW201" s="445"/>
      <c r="BX201" s="445"/>
      <c r="BY201" s="445"/>
      <c r="BZ201" s="445"/>
      <c r="CA201" s="445"/>
      <c r="CB201" s="445"/>
      <c r="CC201" s="445"/>
      <c r="CD201" s="445"/>
      <c r="CE201" s="445"/>
      <c r="CF201" s="289"/>
      <c r="CG201" s="289"/>
      <c r="CH201" s="289"/>
      <c r="CI201" s="289"/>
      <c r="CJ201" s="289"/>
      <c r="CK201" s="289"/>
      <c r="CL201" s="289"/>
      <c r="CM201" s="289"/>
      <c r="CN201" s="289"/>
      <c r="CO201" s="289"/>
      <c r="CP201" s="289"/>
      <c r="CQ201" s="289"/>
      <c r="CR201" s="289"/>
      <c r="CS201" s="289"/>
      <c r="CT201" s="289"/>
      <c r="CU201" s="289"/>
      <c r="CV201" s="289"/>
      <c r="CW201" s="289"/>
      <c r="CX201" s="289"/>
      <c r="CY201" s="289"/>
      <c r="CZ201" s="289"/>
    </row>
    <row r="202" spans="1:104" x14ac:dyDescent="0.45">
      <c r="A202" s="289"/>
      <c r="B202" s="294"/>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c r="AA202" s="445"/>
      <c r="AB202" s="445"/>
      <c r="AC202" s="445"/>
      <c r="AD202" s="445"/>
      <c r="AE202" s="445"/>
      <c r="AF202" s="445"/>
      <c r="AG202" s="445"/>
      <c r="AH202" s="445"/>
      <c r="AI202" s="445"/>
      <c r="AJ202" s="445"/>
      <c r="AK202" s="445"/>
      <c r="AL202" s="445"/>
      <c r="AM202" s="445"/>
      <c r="AN202" s="445"/>
      <c r="AO202" s="445"/>
      <c r="AP202" s="445"/>
      <c r="AQ202" s="445"/>
      <c r="AR202" s="445"/>
      <c r="AS202" s="445"/>
      <c r="AT202" s="445"/>
      <c r="AU202" s="445"/>
      <c r="AV202" s="445"/>
      <c r="AW202" s="445"/>
      <c r="AX202" s="445"/>
      <c r="AY202" s="445"/>
      <c r="AZ202" s="445"/>
      <c r="BA202" s="445"/>
      <c r="BB202" s="445"/>
      <c r="BC202" s="445"/>
      <c r="BD202" s="445"/>
      <c r="BE202" s="445"/>
      <c r="BF202" s="445"/>
      <c r="BG202" s="445"/>
      <c r="BH202" s="445"/>
      <c r="BI202" s="445"/>
      <c r="BJ202" s="445"/>
      <c r="BK202" s="445"/>
      <c r="BL202" s="445"/>
      <c r="BM202" s="445"/>
      <c r="BN202" s="445"/>
      <c r="BO202" s="445"/>
      <c r="BP202" s="445"/>
      <c r="BQ202" s="445"/>
      <c r="BR202" s="445"/>
      <c r="BS202" s="445"/>
      <c r="BT202" s="445"/>
      <c r="BU202" s="445"/>
      <c r="BV202" s="445"/>
      <c r="BW202" s="445"/>
      <c r="BX202" s="445"/>
      <c r="BY202" s="445"/>
      <c r="BZ202" s="445"/>
      <c r="CA202" s="445"/>
      <c r="CB202" s="445"/>
      <c r="CC202" s="445"/>
      <c r="CD202" s="445"/>
      <c r="CE202" s="445"/>
    </row>
    <row r="203" spans="1:104" x14ac:dyDescent="0.45">
      <c r="C203" s="445"/>
    </row>
  </sheetData>
  <sheetProtection algorithmName="SHA-512" hashValue="CaNzlt39QBx4kz3GNXPgja/WfIPVKn45f964USNcA3La9plMifpPrHRtWxenb70zwydVE4E7J3yhlSuKhF5VCA==" saltValue="62Am/5q/WXMY7rL9MDZKyA==" spinCount="100000" sheet="1" objects="1" scenarios="1"/>
  <mergeCells count="600">
    <mergeCell ref="P4:Q4"/>
    <mergeCell ref="R4:S4"/>
    <mergeCell ref="T4:U4"/>
    <mergeCell ref="V4:W4"/>
    <mergeCell ref="X4:Y4"/>
    <mergeCell ref="Z4:AA4"/>
    <mergeCell ref="D4:E4"/>
    <mergeCell ref="F4:G4"/>
    <mergeCell ref="H4:I4"/>
    <mergeCell ref="J4:K4"/>
    <mergeCell ref="L4:M4"/>
    <mergeCell ref="N4:O4"/>
    <mergeCell ref="N5:O5"/>
    <mergeCell ref="P10:Q10"/>
    <mergeCell ref="R10:S10"/>
    <mergeCell ref="T10:U10"/>
    <mergeCell ref="V10:W10"/>
    <mergeCell ref="X10:Y10"/>
    <mergeCell ref="Z10:AA10"/>
    <mergeCell ref="D10:E10"/>
    <mergeCell ref="F10:G10"/>
    <mergeCell ref="H10:I10"/>
    <mergeCell ref="J10:K10"/>
    <mergeCell ref="L10:M10"/>
    <mergeCell ref="N10:O10"/>
    <mergeCell ref="P5:Q5"/>
    <mergeCell ref="R5:S5"/>
    <mergeCell ref="T5:U5"/>
    <mergeCell ref="V5:W5"/>
    <mergeCell ref="X5:Y5"/>
    <mergeCell ref="Z5:AA5"/>
    <mergeCell ref="D5:E5"/>
    <mergeCell ref="F5:G5"/>
    <mergeCell ref="H5:I5"/>
    <mergeCell ref="J5:K5"/>
    <mergeCell ref="L5:M5"/>
    <mergeCell ref="P11:Q11"/>
    <mergeCell ref="R11:S11"/>
    <mergeCell ref="T11:U11"/>
    <mergeCell ref="V11:W11"/>
    <mergeCell ref="X11:Y11"/>
    <mergeCell ref="Z11:AA11"/>
    <mergeCell ref="D11:E11"/>
    <mergeCell ref="F11:G11"/>
    <mergeCell ref="H11:I11"/>
    <mergeCell ref="J11:K11"/>
    <mergeCell ref="L11:M11"/>
    <mergeCell ref="N11:O11"/>
    <mergeCell ref="D15:E15"/>
    <mergeCell ref="F15:G15"/>
    <mergeCell ref="H15:I15"/>
    <mergeCell ref="J15:K15"/>
    <mergeCell ref="L15:M15"/>
    <mergeCell ref="N15:O15"/>
    <mergeCell ref="P16:Q16"/>
    <mergeCell ref="R16:S16"/>
    <mergeCell ref="T16:U16"/>
    <mergeCell ref="X47:Y47"/>
    <mergeCell ref="D47:E47"/>
    <mergeCell ref="F47:G47"/>
    <mergeCell ref="H47:I47"/>
    <mergeCell ref="J47:K47"/>
    <mergeCell ref="D16:E16"/>
    <mergeCell ref="F16:G16"/>
    <mergeCell ref="H16:I16"/>
    <mergeCell ref="J16:K16"/>
    <mergeCell ref="L16:M16"/>
    <mergeCell ref="N16:O16"/>
    <mergeCell ref="N46:O46"/>
    <mergeCell ref="P47:Q47"/>
    <mergeCell ref="R47:S47"/>
    <mergeCell ref="T47:U47"/>
    <mergeCell ref="V47:W47"/>
    <mergeCell ref="D49:E49"/>
    <mergeCell ref="F49:G49"/>
    <mergeCell ref="J49:K49"/>
    <mergeCell ref="D64:E64"/>
    <mergeCell ref="F64:G64"/>
    <mergeCell ref="V64:W64"/>
    <mergeCell ref="X64:Y64"/>
    <mergeCell ref="P68:Q68"/>
    <mergeCell ref="D48:E48"/>
    <mergeCell ref="F48:G48"/>
    <mergeCell ref="H48:I48"/>
    <mergeCell ref="J48:K48"/>
    <mergeCell ref="H49:I49"/>
    <mergeCell ref="V49:W49"/>
    <mergeCell ref="X49:Y49"/>
    <mergeCell ref="V48:W48"/>
    <mergeCell ref="X48:Y48"/>
    <mergeCell ref="V53:W53"/>
    <mergeCell ref="X53:Y53"/>
    <mergeCell ref="L48:M48"/>
    <mergeCell ref="N48:O48"/>
    <mergeCell ref="P48:Q48"/>
    <mergeCell ref="R48:S48"/>
    <mergeCell ref="T48:U48"/>
    <mergeCell ref="Z68:AA68"/>
    <mergeCell ref="D68:E68"/>
    <mergeCell ref="F68:G68"/>
    <mergeCell ref="H68:I68"/>
    <mergeCell ref="J68:K68"/>
    <mergeCell ref="L68:M68"/>
    <mergeCell ref="N68:O68"/>
    <mergeCell ref="Z53:AA53"/>
    <mergeCell ref="D53:E53"/>
    <mergeCell ref="F53:G53"/>
    <mergeCell ref="H53:I53"/>
    <mergeCell ref="J53:K53"/>
    <mergeCell ref="L53:M53"/>
    <mergeCell ref="N53:O53"/>
    <mergeCell ref="R68:S68"/>
    <mergeCell ref="T68:U68"/>
    <mergeCell ref="H64:I64"/>
    <mergeCell ref="J64:K64"/>
    <mergeCell ref="Z64:AA64"/>
    <mergeCell ref="V68:W68"/>
    <mergeCell ref="X68:Y68"/>
    <mergeCell ref="P53:Q53"/>
    <mergeCell ref="R53:S53"/>
    <mergeCell ref="T53:U53"/>
    <mergeCell ref="AB68:AC68"/>
    <mergeCell ref="AD4:AE4"/>
    <mergeCell ref="AD5:AE5"/>
    <mergeCell ref="AD10:AE10"/>
    <mergeCell ref="AD11:AE11"/>
    <mergeCell ref="AD15:AE15"/>
    <mergeCell ref="AD16:AE16"/>
    <mergeCell ref="AD46:AE46"/>
    <mergeCell ref="AD47:AE47"/>
    <mergeCell ref="AD53:AE53"/>
    <mergeCell ref="AD68:AE68"/>
    <mergeCell ref="AB4:AC4"/>
    <mergeCell ref="AB5:AC5"/>
    <mergeCell ref="AB10:AC10"/>
    <mergeCell ref="AB11:AC11"/>
    <mergeCell ref="AB15:AC15"/>
    <mergeCell ref="AB16:AC16"/>
    <mergeCell ref="AB46:AC46"/>
    <mergeCell ref="AB47:AC47"/>
    <mergeCell ref="AB53:AC53"/>
    <mergeCell ref="AB48:AC48"/>
    <mergeCell ref="AD48:AE48"/>
    <mergeCell ref="AB64:AC64"/>
    <mergeCell ref="AD64:AE64"/>
    <mergeCell ref="AF68:AG68"/>
    <mergeCell ref="AH4:AI4"/>
    <mergeCell ref="AH5:AI5"/>
    <mergeCell ref="AH10:AI10"/>
    <mergeCell ref="AH11:AI11"/>
    <mergeCell ref="AH15:AI15"/>
    <mergeCell ref="AH16:AI16"/>
    <mergeCell ref="AH46:AI46"/>
    <mergeCell ref="AH47:AI47"/>
    <mergeCell ref="AH53:AI53"/>
    <mergeCell ref="AH68:AI68"/>
    <mergeCell ref="AF4:AG4"/>
    <mergeCell ref="AF5:AG5"/>
    <mergeCell ref="AF10:AG10"/>
    <mergeCell ref="AF11:AG11"/>
    <mergeCell ref="AF15:AG15"/>
    <mergeCell ref="AF16:AG16"/>
    <mergeCell ref="AF46:AG46"/>
    <mergeCell ref="AF47:AG47"/>
    <mergeCell ref="AF53:AG53"/>
    <mergeCell ref="AF48:AG48"/>
    <mergeCell ref="AH48:AI48"/>
    <mergeCell ref="AF12:AG12"/>
    <mergeCell ref="AH12:AI12"/>
    <mergeCell ref="AJ68:AK68"/>
    <mergeCell ref="AL4:AM4"/>
    <mergeCell ref="AL5:AM5"/>
    <mergeCell ref="AL10:AM10"/>
    <mergeCell ref="AL11:AM11"/>
    <mergeCell ref="AL15:AM15"/>
    <mergeCell ref="AL16:AM16"/>
    <mergeCell ref="AL46:AM46"/>
    <mergeCell ref="AL47:AM47"/>
    <mergeCell ref="AL53:AM53"/>
    <mergeCell ref="AL68:AM68"/>
    <mergeCell ref="AJ4:AK4"/>
    <mergeCell ref="AJ5:AK5"/>
    <mergeCell ref="AJ10:AK10"/>
    <mergeCell ref="AJ11:AK11"/>
    <mergeCell ref="AJ15:AK15"/>
    <mergeCell ref="AJ16:AK16"/>
    <mergeCell ref="AJ46:AK46"/>
    <mergeCell ref="AJ47:AK47"/>
    <mergeCell ref="AJ53:AK53"/>
    <mergeCell ref="AJ48:AK48"/>
    <mergeCell ref="AL48:AM48"/>
    <mergeCell ref="AJ12:AK12"/>
    <mergeCell ref="AL12:AM12"/>
    <mergeCell ref="AN68:AO68"/>
    <mergeCell ref="AP4:AQ4"/>
    <mergeCell ref="AP5:AQ5"/>
    <mergeCell ref="AP10:AQ10"/>
    <mergeCell ref="AP11:AQ11"/>
    <mergeCell ref="AP15:AQ15"/>
    <mergeCell ref="AP16:AQ16"/>
    <mergeCell ref="AP46:AQ46"/>
    <mergeCell ref="AP47:AQ47"/>
    <mergeCell ref="AP53:AQ53"/>
    <mergeCell ref="AP68:AQ68"/>
    <mergeCell ref="AN48:AO48"/>
    <mergeCell ref="AP48:AQ48"/>
    <mergeCell ref="AN4:AO4"/>
    <mergeCell ref="AN5:AO5"/>
    <mergeCell ref="AN10:AO10"/>
    <mergeCell ref="AN11:AO11"/>
    <mergeCell ref="AN15:AO15"/>
    <mergeCell ref="AN16:AO16"/>
    <mergeCell ref="AN46:AO46"/>
    <mergeCell ref="AN47:AO47"/>
    <mergeCell ref="AN53:AO53"/>
    <mergeCell ref="AN12:AO12"/>
    <mergeCell ref="AP12:AQ12"/>
    <mergeCell ref="AR4:AS4"/>
    <mergeCell ref="AR5:AS5"/>
    <mergeCell ref="AR10:AS10"/>
    <mergeCell ref="AR11:AS11"/>
    <mergeCell ref="AR15:AS15"/>
    <mergeCell ref="AR16:AS16"/>
    <mergeCell ref="AR46:AS46"/>
    <mergeCell ref="AR47:AS47"/>
    <mergeCell ref="AR53:AS53"/>
    <mergeCell ref="AR12:AS12"/>
    <mergeCell ref="AR49:AS49"/>
    <mergeCell ref="AT4:AU4"/>
    <mergeCell ref="AT5:AU5"/>
    <mergeCell ref="AT10:AU10"/>
    <mergeCell ref="AT11:AU11"/>
    <mergeCell ref="AT15:AU15"/>
    <mergeCell ref="AT16:AU16"/>
    <mergeCell ref="AT46:AU46"/>
    <mergeCell ref="AT47:AU47"/>
    <mergeCell ref="AT53:AU53"/>
    <mergeCell ref="AT48:AU48"/>
    <mergeCell ref="AT12:AU12"/>
    <mergeCell ref="AT49:AU49"/>
    <mergeCell ref="AV11:AW11"/>
    <mergeCell ref="AX11:AY11"/>
    <mergeCell ref="AZ11:BA11"/>
    <mergeCell ref="BB11:BC11"/>
    <mergeCell ref="AV15:AW15"/>
    <mergeCell ref="AX15:AY15"/>
    <mergeCell ref="AZ15:BA15"/>
    <mergeCell ref="BB15:BC15"/>
    <mergeCell ref="AR68:AS68"/>
    <mergeCell ref="AT68:AU68"/>
    <mergeCell ref="AR48:AS48"/>
    <mergeCell ref="AV16:AW16"/>
    <mergeCell ref="AX16:AY16"/>
    <mergeCell ref="AZ16:BA16"/>
    <mergeCell ref="BB16:BC16"/>
    <mergeCell ref="AV47:AW47"/>
    <mergeCell ref="AX47:AY47"/>
    <mergeCell ref="AZ47:BA47"/>
    <mergeCell ref="BB47:BC47"/>
    <mergeCell ref="AV46:AW46"/>
    <mergeCell ref="AX46:AY46"/>
    <mergeCell ref="AZ46:BA46"/>
    <mergeCell ref="BB46:BC46"/>
    <mergeCell ref="AV68:AW68"/>
    <mergeCell ref="AV4:AW4"/>
    <mergeCell ref="AX4:AY4"/>
    <mergeCell ref="AZ4:BA4"/>
    <mergeCell ref="BB4:BC4"/>
    <mergeCell ref="AV5:AW5"/>
    <mergeCell ref="AX5:AY5"/>
    <mergeCell ref="AZ5:BA5"/>
    <mergeCell ref="BB5:BC5"/>
    <mergeCell ref="AV10:AW10"/>
    <mergeCell ref="AX10:AY10"/>
    <mergeCell ref="AZ10:BA10"/>
    <mergeCell ref="BB10:BC10"/>
    <mergeCell ref="AX68:AY68"/>
    <mergeCell ref="AZ68:BA68"/>
    <mergeCell ref="BB68:BC68"/>
    <mergeCell ref="AV53:AW53"/>
    <mergeCell ref="AX53:AY53"/>
    <mergeCell ref="AZ53:BA53"/>
    <mergeCell ref="BB53:BC53"/>
    <mergeCell ref="AV48:AW48"/>
    <mergeCell ref="AX48:AY48"/>
    <mergeCell ref="AZ48:BA48"/>
    <mergeCell ref="BB48:BC48"/>
    <mergeCell ref="AV49:AW49"/>
    <mergeCell ref="AX49:AY49"/>
    <mergeCell ref="AZ49:BA49"/>
    <mergeCell ref="BB49:BC49"/>
    <mergeCell ref="AX64:AY64"/>
    <mergeCell ref="AZ64:BA64"/>
    <mergeCell ref="BB64:BC64"/>
    <mergeCell ref="BL4:BM4"/>
    <mergeCell ref="BL11:BM11"/>
    <mergeCell ref="BL46:BM46"/>
    <mergeCell ref="BD15:BE15"/>
    <mergeCell ref="BF15:BG15"/>
    <mergeCell ref="BH15:BI15"/>
    <mergeCell ref="BJ15:BK15"/>
    <mergeCell ref="BL5:BM5"/>
    <mergeCell ref="BD4:BE4"/>
    <mergeCell ref="BF4:BG4"/>
    <mergeCell ref="BH4:BI4"/>
    <mergeCell ref="BJ4:BK4"/>
    <mergeCell ref="BD5:BE5"/>
    <mergeCell ref="BF5:BG5"/>
    <mergeCell ref="BH5:BI5"/>
    <mergeCell ref="BJ5:BK5"/>
    <mergeCell ref="BD10:BE10"/>
    <mergeCell ref="BF10:BG10"/>
    <mergeCell ref="BH10:BI10"/>
    <mergeCell ref="BJ10:BK10"/>
    <mergeCell ref="BL16:BM16"/>
    <mergeCell ref="BD11:BE11"/>
    <mergeCell ref="BF11:BG11"/>
    <mergeCell ref="BH11:BI11"/>
    <mergeCell ref="BN49:BO49"/>
    <mergeCell ref="BP49:BQ49"/>
    <mergeCell ref="BR49:BS49"/>
    <mergeCell ref="BJ11:BK11"/>
    <mergeCell ref="BD53:BE53"/>
    <mergeCell ref="BF53:BG53"/>
    <mergeCell ref="BH53:BI53"/>
    <mergeCell ref="BJ53:BK53"/>
    <mergeCell ref="BH48:BI48"/>
    <mergeCell ref="BJ48:BK48"/>
    <mergeCell ref="BD16:BE16"/>
    <mergeCell ref="BF16:BG16"/>
    <mergeCell ref="BH16:BI16"/>
    <mergeCell ref="BJ16:BK16"/>
    <mergeCell ref="BD46:BE46"/>
    <mergeCell ref="BF46:BG46"/>
    <mergeCell ref="BH46:BI46"/>
    <mergeCell ref="BJ46:BK46"/>
    <mergeCell ref="BF47:BG47"/>
    <mergeCell ref="BH47:BI47"/>
    <mergeCell ref="BJ47:BK47"/>
    <mergeCell ref="BD47:BE47"/>
    <mergeCell ref="BF49:BG49"/>
    <mergeCell ref="BN15:BO15"/>
    <mergeCell ref="BL10:BM10"/>
    <mergeCell ref="BN10:BO10"/>
    <mergeCell ref="BP10:BQ10"/>
    <mergeCell ref="BR10:BS10"/>
    <mergeCell ref="BN11:BO11"/>
    <mergeCell ref="BP11:BQ11"/>
    <mergeCell ref="BR11:BS11"/>
    <mergeCell ref="BD68:BE68"/>
    <mergeCell ref="BF68:BG68"/>
    <mergeCell ref="BH68:BI68"/>
    <mergeCell ref="BJ68:BK68"/>
    <mergeCell ref="BL47:BM47"/>
    <mergeCell ref="BN47:BO47"/>
    <mergeCell ref="BP47:BQ47"/>
    <mergeCell ref="BR47:BS47"/>
    <mergeCell ref="BL53:BM53"/>
    <mergeCell ref="BN53:BO53"/>
    <mergeCell ref="BP53:BQ53"/>
    <mergeCell ref="BR53:BS53"/>
    <mergeCell ref="BL48:BM48"/>
    <mergeCell ref="BL68:BM68"/>
    <mergeCell ref="BD48:BE48"/>
    <mergeCell ref="BF48:BG48"/>
    <mergeCell ref="BR48:BS48"/>
    <mergeCell ref="BP15:BQ15"/>
    <mergeCell ref="BR15:BS15"/>
    <mergeCell ref="BV16:BW16"/>
    <mergeCell ref="BX16:BY16"/>
    <mergeCell ref="BN5:BO5"/>
    <mergeCell ref="BP5:BQ5"/>
    <mergeCell ref="BR5:BS5"/>
    <mergeCell ref="BN12:BO12"/>
    <mergeCell ref="BP12:BQ12"/>
    <mergeCell ref="BR12:BS12"/>
    <mergeCell ref="BN16:BO16"/>
    <mergeCell ref="BP16:BQ16"/>
    <mergeCell ref="BR16:BS16"/>
    <mergeCell ref="BT15:BU15"/>
    <mergeCell ref="BV15:BW15"/>
    <mergeCell ref="BX15:BY15"/>
    <mergeCell ref="BN68:BO68"/>
    <mergeCell ref="BP68:BQ68"/>
    <mergeCell ref="BR68:BS68"/>
    <mergeCell ref="BZ68:CA68"/>
    <mergeCell ref="BL64:BM64"/>
    <mergeCell ref="BN64:BO64"/>
    <mergeCell ref="BP64:BQ64"/>
    <mergeCell ref="BR64:BS64"/>
    <mergeCell ref="BZ64:CA64"/>
    <mergeCell ref="BX68:BY68"/>
    <mergeCell ref="BT64:BU64"/>
    <mergeCell ref="BV64:BW64"/>
    <mergeCell ref="BX64:BY64"/>
    <mergeCell ref="BV68:BW68"/>
    <mergeCell ref="BN4:BO4"/>
    <mergeCell ref="BP4:BQ4"/>
    <mergeCell ref="BR4:BS4"/>
    <mergeCell ref="BZ4:CA4"/>
    <mergeCell ref="BT5:BU5"/>
    <mergeCell ref="BV5:BW5"/>
    <mergeCell ref="BX5:BY5"/>
    <mergeCell ref="BZ5:CA5"/>
    <mergeCell ref="BT10:BU10"/>
    <mergeCell ref="BV10:BW10"/>
    <mergeCell ref="BX10:BY10"/>
    <mergeCell ref="BZ10:CA10"/>
    <mergeCell ref="BT4:BU4"/>
    <mergeCell ref="BV4:BW4"/>
    <mergeCell ref="BX4:BY4"/>
    <mergeCell ref="BZ15:CA15"/>
    <mergeCell ref="BT16:BU16"/>
    <mergeCell ref="BT11:BU11"/>
    <mergeCell ref="BV11:BW11"/>
    <mergeCell ref="BX11:BY11"/>
    <mergeCell ref="BT12:BU12"/>
    <mergeCell ref="BV12:BW12"/>
    <mergeCell ref="BX12:BY12"/>
    <mergeCell ref="BZ12:CA12"/>
    <mergeCell ref="BT53:BU53"/>
    <mergeCell ref="CB53:CC53"/>
    <mergeCell ref="CD53:CE53"/>
    <mergeCell ref="BZ53:CA53"/>
    <mergeCell ref="BX53:BY53"/>
    <mergeCell ref="CD4:CE4"/>
    <mergeCell ref="CB5:CC5"/>
    <mergeCell ref="CD5:CE5"/>
    <mergeCell ref="CB10:CC10"/>
    <mergeCell ref="CD10:CE10"/>
    <mergeCell ref="CB11:CC11"/>
    <mergeCell ref="CD11:CE11"/>
    <mergeCell ref="CB15:CC15"/>
    <mergeCell ref="CD15:CE15"/>
    <mergeCell ref="CB12:CC12"/>
    <mergeCell ref="CD12:CE12"/>
    <mergeCell ref="CB4:CC4"/>
    <mergeCell ref="BT46:BU46"/>
    <mergeCell ref="BV46:BW46"/>
    <mergeCell ref="BX46:BY46"/>
    <mergeCell ref="BZ46:CA46"/>
    <mergeCell ref="BT47:BU47"/>
    <mergeCell ref="BV47:BW47"/>
    <mergeCell ref="BZ11:CA11"/>
    <mergeCell ref="Z48:AA48"/>
    <mergeCell ref="Z46:AA46"/>
    <mergeCell ref="Z47:AA47"/>
    <mergeCell ref="CB68:CC68"/>
    <mergeCell ref="CD68:CE68"/>
    <mergeCell ref="CB48:CC48"/>
    <mergeCell ref="CD48:CE48"/>
    <mergeCell ref="CD49:CE49"/>
    <mergeCell ref="CB64:CC64"/>
    <mergeCell ref="CD64:CE64"/>
    <mergeCell ref="CB49:CC49"/>
    <mergeCell ref="BT48:BU48"/>
    <mergeCell ref="BV48:BW48"/>
    <mergeCell ref="BX48:BY48"/>
    <mergeCell ref="BZ48:CA48"/>
    <mergeCell ref="BV53:BW53"/>
    <mergeCell ref="BT49:BU49"/>
    <mergeCell ref="BV49:BW49"/>
    <mergeCell ref="BX49:BY49"/>
    <mergeCell ref="BZ49:CA49"/>
    <mergeCell ref="BT68:BU68"/>
    <mergeCell ref="Z49:AA49"/>
    <mergeCell ref="AB49:AC49"/>
    <mergeCell ref="AD49:AE49"/>
    <mergeCell ref="Z16:AA16"/>
    <mergeCell ref="BH49:BI49"/>
    <mergeCell ref="BJ49:BK49"/>
    <mergeCell ref="BD49:BE49"/>
    <mergeCell ref="L47:M47"/>
    <mergeCell ref="CD16:CE16"/>
    <mergeCell ref="CB46:CC46"/>
    <mergeCell ref="CD46:CE46"/>
    <mergeCell ref="CB47:CC47"/>
    <mergeCell ref="CD47:CE47"/>
    <mergeCell ref="CB16:CC16"/>
    <mergeCell ref="BZ16:CA16"/>
    <mergeCell ref="L49:M49"/>
    <mergeCell ref="N49:O49"/>
    <mergeCell ref="P49:Q49"/>
    <mergeCell ref="R49:S49"/>
    <mergeCell ref="T49:U49"/>
    <mergeCell ref="BN46:BO46"/>
    <mergeCell ref="BP46:BQ46"/>
    <mergeCell ref="BR46:BS46"/>
    <mergeCell ref="BN48:BO48"/>
    <mergeCell ref="BP48:BQ48"/>
    <mergeCell ref="BX47:BY47"/>
    <mergeCell ref="BZ47:CA47"/>
    <mergeCell ref="D79:E79"/>
    <mergeCell ref="F79:G79"/>
    <mergeCell ref="H79:I79"/>
    <mergeCell ref="J79:K79"/>
    <mergeCell ref="L64:M64"/>
    <mergeCell ref="N64:O64"/>
    <mergeCell ref="P64:Q64"/>
    <mergeCell ref="R64:S64"/>
    <mergeCell ref="T64:U64"/>
    <mergeCell ref="R79:S79"/>
    <mergeCell ref="T79:U79"/>
    <mergeCell ref="V79:W79"/>
    <mergeCell ref="X79:Y79"/>
    <mergeCell ref="L79:M79"/>
    <mergeCell ref="N79:O79"/>
    <mergeCell ref="P79:Q79"/>
    <mergeCell ref="N47:O47"/>
    <mergeCell ref="P46:Q46"/>
    <mergeCell ref="R46:S46"/>
    <mergeCell ref="D12:E12"/>
    <mergeCell ref="F12:G12"/>
    <mergeCell ref="H12:I12"/>
    <mergeCell ref="J12:K12"/>
    <mergeCell ref="V12:W12"/>
    <mergeCell ref="X12:Y12"/>
    <mergeCell ref="V16:W16"/>
    <mergeCell ref="X16:Y16"/>
    <mergeCell ref="T46:U46"/>
    <mergeCell ref="V46:W46"/>
    <mergeCell ref="X46:Y46"/>
    <mergeCell ref="D46:E46"/>
    <mergeCell ref="F46:G46"/>
    <mergeCell ref="H46:I46"/>
    <mergeCell ref="J46:K46"/>
    <mergeCell ref="L46:M46"/>
    <mergeCell ref="Z12:AA12"/>
    <mergeCell ref="AB12:AC12"/>
    <mergeCell ref="AD12:AE12"/>
    <mergeCell ref="BL15:BM15"/>
    <mergeCell ref="L12:M12"/>
    <mergeCell ref="N12:O12"/>
    <mergeCell ref="P12:Q12"/>
    <mergeCell ref="R12:S12"/>
    <mergeCell ref="T12:U12"/>
    <mergeCell ref="AV12:AW12"/>
    <mergeCell ref="V15:W15"/>
    <mergeCell ref="X15:Y15"/>
    <mergeCell ref="Z15:AA15"/>
    <mergeCell ref="P15:Q15"/>
    <mergeCell ref="R15:S15"/>
    <mergeCell ref="T15:U15"/>
    <mergeCell ref="BB12:BC12"/>
    <mergeCell ref="BD12:BE12"/>
    <mergeCell ref="BF12:BG12"/>
    <mergeCell ref="BH12:BI12"/>
    <mergeCell ref="BJ12:BK12"/>
    <mergeCell ref="BL12:BM12"/>
    <mergeCell ref="AF49:AG49"/>
    <mergeCell ref="AH49:AI49"/>
    <mergeCell ref="AJ49:AK49"/>
    <mergeCell ref="AL49:AM49"/>
    <mergeCell ref="AN49:AO49"/>
    <mergeCell ref="AP49:AQ49"/>
    <mergeCell ref="AV64:AW64"/>
    <mergeCell ref="AX12:AY12"/>
    <mergeCell ref="AZ12:BA12"/>
    <mergeCell ref="AR64:AS64"/>
    <mergeCell ref="AT64:AU64"/>
    <mergeCell ref="BL49:BM49"/>
    <mergeCell ref="BJ64:BK64"/>
    <mergeCell ref="BD64:BE64"/>
    <mergeCell ref="BF64:BG64"/>
    <mergeCell ref="BH64:BI64"/>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F64:AG64"/>
    <mergeCell ref="AH64:AI64"/>
    <mergeCell ref="AJ64:AK64"/>
    <mergeCell ref="AL64:AM64"/>
    <mergeCell ref="AN64:AO64"/>
    <mergeCell ref="AP64:AQ64"/>
    <mergeCell ref="BR79:BS79"/>
    <mergeCell ref="BT79:BU79"/>
    <mergeCell ref="BV79:BW79"/>
    <mergeCell ref="BX79:BY79"/>
    <mergeCell ref="BZ79:CA79"/>
    <mergeCell ref="CB79:CC79"/>
    <mergeCell ref="CD79:CE79"/>
    <mergeCell ref="AZ79:BA79"/>
    <mergeCell ref="BB79:BC79"/>
    <mergeCell ref="BD79:BE79"/>
    <mergeCell ref="BF79:BG79"/>
    <mergeCell ref="BH79:BI79"/>
    <mergeCell ref="BJ79:BK79"/>
    <mergeCell ref="BL79:BM79"/>
    <mergeCell ref="BN79:BO79"/>
    <mergeCell ref="BP79:BQ79"/>
  </mergeCells>
  <conditionalFormatting sqref="C18">
    <cfRule type="expression" dxfId="1391" priority="11724">
      <formula>C18&lt;&gt;""</formula>
    </cfRule>
  </conditionalFormatting>
  <conditionalFormatting sqref="C20:C21">
    <cfRule type="expression" dxfId="1390" priority="11722">
      <formula>C20&lt;&gt;""</formula>
    </cfRule>
  </conditionalFormatting>
  <conditionalFormatting sqref="C23">
    <cfRule type="expression" dxfId="1389" priority="11720">
      <formula>C23&lt;&gt;""</formula>
    </cfRule>
  </conditionalFormatting>
  <conditionalFormatting sqref="C25">
    <cfRule type="expression" dxfId="1388" priority="11721">
      <formula>C25&lt;&gt;""</formula>
    </cfRule>
  </conditionalFormatting>
  <conditionalFormatting sqref="C32:C35">
    <cfRule type="expression" dxfId="1387" priority="11715">
      <formula>C32&lt;&gt;""</formula>
    </cfRule>
  </conditionalFormatting>
  <conditionalFormatting sqref="C55:C56">
    <cfRule type="expression" dxfId="1386" priority="11713">
      <formula>C55&lt;&gt;""</formula>
    </cfRule>
  </conditionalFormatting>
  <conditionalFormatting sqref="C58:C60">
    <cfRule type="expression" dxfId="1385" priority="11710">
      <formula>C58&lt;&gt;""</formula>
    </cfRule>
  </conditionalFormatting>
  <conditionalFormatting sqref="C62">
    <cfRule type="expression" dxfId="1384" priority="11709">
      <formula>C62&lt;&gt;""</formula>
    </cfRule>
  </conditionalFormatting>
  <conditionalFormatting sqref="C70:C71">
    <cfRule type="expression" dxfId="1383" priority="11706">
      <formula>C70&lt;&gt;""</formula>
    </cfRule>
  </conditionalFormatting>
  <conditionalFormatting sqref="C28:D28">
    <cfRule type="expression" dxfId="1382" priority="3321">
      <formula>C28&lt;&gt;""</formula>
    </cfRule>
  </conditionalFormatting>
  <conditionalFormatting sqref="D17:D45 D6:D9 E16 D54:D63">
    <cfRule type="expression" dxfId="1381" priority="3324">
      <formula>D$16=""</formula>
    </cfRule>
  </conditionalFormatting>
  <conditionalFormatting sqref="D22">
    <cfRule type="expression" dxfId="1380" priority="3337">
      <formula>D22&lt;&gt;""</formula>
    </cfRule>
  </conditionalFormatting>
  <conditionalFormatting sqref="D26">
    <cfRule type="expression" dxfId="1379" priority="3333">
      <formula>D26&lt;&gt;""</formula>
    </cfRule>
  </conditionalFormatting>
  <conditionalFormatting sqref="D29:D30">
    <cfRule type="expression" dxfId="1378" priority="3332">
      <formula>D29&lt;&gt;""</formula>
    </cfRule>
  </conditionalFormatting>
  <conditionalFormatting sqref="D32:D33">
    <cfRule type="expression" dxfId="1377" priority="3350">
      <formula>D32&lt;&gt;""</formula>
    </cfRule>
  </conditionalFormatting>
  <conditionalFormatting sqref="D34:D35">
    <cfRule type="expression" dxfId="1376" priority="3319">
      <formula>D34&lt;&gt;""</formula>
    </cfRule>
  </conditionalFormatting>
  <conditionalFormatting sqref="D38">
    <cfRule type="expression" dxfId="1375" priority="3353">
      <formula>D38&lt;&gt;""</formula>
    </cfRule>
  </conditionalFormatting>
  <conditionalFormatting sqref="D41:D44">
    <cfRule type="expression" dxfId="1374" priority="3326">
      <formula>D41&lt;&gt;""</formula>
    </cfRule>
  </conditionalFormatting>
  <conditionalFormatting sqref="D48">
    <cfRule type="expression" dxfId="1373" priority="3341">
      <formula>D16="Ambulant"</formula>
    </cfRule>
    <cfRule type="expression" dxfId="1372" priority="3323">
      <formula>D$16=""</formula>
    </cfRule>
  </conditionalFormatting>
  <conditionalFormatting sqref="D69:D78">
    <cfRule type="expression" dxfId="1371" priority="314">
      <formula>D$68=""</formula>
    </cfRule>
  </conditionalFormatting>
  <conditionalFormatting sqref="D71:D76">
    <cfRule type="expression" dxfId="1370" priority="3322">
      <formula>D71&lt;&gt;""</formula>
    </cfRule>
  </conditionalFormatting>
  <conditionalFormatting sqref="D4:CE5 D10:CE11 D15:CE16 D46:CE47 CD48 D53:CE53 D68:CE68">
    <cfRule type="expression" dxfId="1369" priority="320">
      <formula>D$16=""</formula>
    </cfRule>
  </conditionalFormatting>
  <conditionalFormatting sqref="D11:CE11">
    <cfRule type="expression" dxfId="1368" priority="337">
      <formula>D4="Ambulant"</formula>
    </cfRule>
  </conditionalFormatting>
  <conditionalFormatting sqref="D47:CE47 CD48">
    <cfRule type="expression" dxfId="1367" priority="338">
      <formula>D15="Ambulant"</formula>
    </cfRule>
  </conditionalFormatting>
  <conditionalFormatting sqref="E6:E9 E17:E22 E24:E45 E54:E63">
    <cfRule type="expression" dxfId="1366" priority="3325" stopIfTrue="1">
      <formula>D$16=""</formula>
    </cfRule>
  </conditionalFormatting>
  <conditionalFormatting sqref="E17">
    <cfRule type="expression" dxfId="1365" priority="3334">
      <formula>E17&lt;&gt;""</formula>
    </cfRule>
  </conditionalFormatting>
  <conditionalFormatting sqref="E19">
    <cfRule type="expression" dxfId="1364" priority="3349">
      <formula>E19&lt;&gt;""</formula>
    </cfRule>
  </conditionalFormatting>
  <conditionalFormatting sqref="E24">
    <cfRule type="expression" dxfId="1363" priority="3348">
      <formula>E24&lt;&gt;""</formula>
    </cfRule>
  </conditionalFormatting>
  <conditionalFormatting sqref="E27">
    <cfRule type="expression" dxfId="1362" priority="3347">
      <formula>E27&lt;&gt;""</formula>
    </cfRule>
  </conditionalFormatting>
  <conditionalFormatting sqref="E31">
    <cfRule type="expression" dxfId="1361" priority="3346">
      <formula>E31&lt;&gt;""</formula>
    </cfRule>
  </conditionalFormatting>
  <conditionalFormatting sqref="E37">
    <cfRule type="expression" dxfId="1360" priority="3345">
      <formula>E37&lt;&gt;""</formula>
    </cfRule>
  </conditionalFormatting>
  <conditionalFormatting sqref="E39">
    <cfRule type="expression" dxfId="1359" priority="3335">
      <formula>E39&lt;&gt;""</formula>
    </cfRule>
  </conditionalFormatting>
  <conditionalFormatting sqref="E54">
    <cfRule type="expression" dxfId="1358" priority="3331">
      <formula>E54&lt;&gt;""</formula>
    </cfRule>
  </conditionalFormatting>
  <conditionalFormatting sqref="E58">
    <cfRule type="expression" dxfId="1357" priority="3344">
      <formula>E58&lt;&gt;""</formula>
    </cfRule>
  </conditionalFormatting>
  <conditionalFormatting sqref="E62">
    <cfRule type="expression" dxfId="1356" priority="3343">
      <formula>E62&lt;&gt;""</formula>
    </cfRule>
  </conditionalFormatting>
  <conditionalFormatting sqref="E63">
    <cfRule type="expression" dxfId="1355" priority="3338">
      <formula>E63&lt;&gt;""</formula>
    </cfRule>
  </conditionalFormatting>
  <conditionalFormatting sqref="E69">
    <cfRule type="expression" dxfId="1354" priority="1836">
      <formula>E69&lt;&gt;""</formula>
    </cfRule>
  </conditionalFormatting>
  <conditionalFormatting sqref="E69:E78">
    <cfRule type="expression" dxfId="1353" priority="313">
      <formula>D$68=""</formula>
    </cfRule>
  </conditionalFormatting>
  <conditionalFormatting sqref="E77">
    <cfRule type="expression" dxfId="1352" priority="3342">
      <formula>E77&lt;&gt;""</formula>
    </cfRule>
  </conditionalFormatting>
  <conditionalFormatting sqref="E78">
    <cfRule type="expression" dxfId="1351" priority="3339">
      <formula>E78&lt;&gt;""</formula>
    </cfRule>
  </conditionalFormatting>
  <conditionalFormatting sqref="F17:F45 F6:F9 G16 F54:F63">
    <cfRule type="expression" dxfId="1350" priority="1804">
      <formula>F$16=""</formula>
    </cfRule>
  </conditionalFormatting>
  <conditionalFormatting sqref="F22">
    <cfRule type="expression" dxfId="1349" priority="1816">
      <formula>F22&lt;&gt;""</formula>
    </cfRule>
  </conditionalFormatting>
  <conditionalFormatting sqref="F26">
    <cfRule type="expression" dxfId="1348" priority="1812">
      <formula>F26&lt;&gt;""</formula>
    </cfRule>
  </conditionalFormatting>
  <conditionalFormatting sqref="F28">
    <cfRule type="expression" dxfId="1347" priority="1800">
      <formula>F28&lt;&gt;""</formula>
    </cfRule>
  </conditionalFormatting>
  <conditionalFormatting sqref="F29:F30">
    <cfRule type="expression" dxfId="1346" priority="1811">
      <formula>F29&lt;&gt;""</formula>
    </cfRule>
  </conditionalFormatting>
  <conditionalFormatting sqref="F32:F33">
    <cfRule type="expression" dxfId="1345" priority="1829">
      <formula>F32&lt;&gt;""</formula>
    </cfRule>
  </conditionalFormatting>
  <conditionalFormatting sqref="F34:F35">
    <cfRule type="expression" dxfId="1344" priority="1798">
      <formula>F34&lt;&gt;""</formula>
    </cfRule>
  </conditionalFormatting>
  <conditionalFormatting sqref="F38">
    <cfRule type="expression" dxfId="1343" priority="1832">
      <formula>F38&lt;&gt;""</formula>
    </cfRule>
  </conditionalFormatting>
  <conditionalFormatting sqref="F41:F44">
    <cfRule type="expression" dxfId="1342" priority="1805">
      <formula>F41&lt;&gt;""</formula>
    </cfRule>
  </conditionalFormatting>
  <conditionalFormatting sqref="F48">
    <cfRule type="expression" dxfId="1341" priority="1820">
      <formula>F16="Ambulant"</formula>
    </cfRule>
    <cfRule type="expression" dxfId="1340" priority="1802">
      <formula>F$16=""</formula>
    </cfRule>
  </conditionalFormatting>
  <conditionalFormatting sqref="F69:F78">
    <cfRule type="expression" dxfId="1339" priority="306">
      <formula>F$68=""</formula>
    </cfRule>
  </conditionalFormatting>
  <conditionalFormatting sqref="F71:F76">
    <cfRule type="expression" dxfId="1338" priority="308">
      <formula>F71&lt;&gt;""</formula>
    </cfRule>
  </conditionalFormatting>
  <conditionalFormatting sqref="G6:G9 G17:G22 G24:G45 G54:G63">
    <cfRule type="expression" dxfId="1337" priority="1803" stopIfTrue="1">
      <formula>F$16=""</formula>
    </cfRule>
  </conditionalFormatting>
  <conditionalFormatting sqref="G17">
    <cfRule type="expression" dxfId="1336" priority="1813">
      <formula>G17&lt;&gt;""</formula>
    </cfRule>
  </conditionalFormatting>
  <conditionalFormatting sqref="G19">
    <cfRule type="expression" dxfId="1335" priority="1828">
      <formula>G19&lt;&gt;""</formula>
    </cfRule>
  </conditionalFormatting>
  <conditionalFormatting sqref="G24">
    <cfRule type="expression" dxfId="1334" priority="1827">
      <formula>G24&lt;&gt;""</formula>
    </cfRule>
  </conditionalFormatting>
  <conditionalFormatting sqref="G27">
    <cfRule type="expression" dxfId="1333" priority="1826">
      <formula>G27&lt;&gt;""</formula>
    </cfRule>
  </conditionalFormatting>
  <conditionalFormatting sqref="G31">
    <cfRule type="expression" dxfId="1332" priority="1825">
      <formula>G31&lt;&gt;""</formula>
    </cfRule>
  </conditionalFormatting>
  <conditionalFormatting sqref="G37">
    <cfRule type="expression" dxfId="1331" priority="1824">
      <formula>G37&lt;&gt;""</formula>
    </cfRule>
  </conditionalFormatting>
  <conditionalFormatting sqref="G39">
    <cfRule type="expression" dxfId="1330" priority="1814">
      <formula>G39&lt;&gt;""</formula>
    </cfRule>
  </conditionalFormatting>
  <conditionalFormatting sqref="G54">
    <cfRule type="expression" dxfId="1329" priority="1810">
      <formula>G54&lt;&gt;""</formula>
    </cfRule>
  </conditionalFormatting>
  <conditionalFormatting sqref="G58">
    <cfRule type="expression" dxfId="1328" priority="1823">
      <formula>G58&lt;&gt;""</formula>
    </cfRule>
  </conditionalFormatting>
  <conditionalFormatting sqref="G62">
    <cfRule type="expression" dxfId="1327" priority="1822">
      <formula>G62&lt;&gt;""</formula>
    </cfRule>
  </conditionalFormatting>
  <conditionalFormatting sqref="G63">
    <cfRule type="expression" dxfId="1326" priority="1817">
      <formula>G63&lt;&gt;""</formula>
    </cfRule>
  </conditionalFormatting>
  <conditionalFormatting sqref="G69">
    <cfRule type="expression" dxfId="1325" priority="307">
      <formula>G69&lt;&gt;""</formula>
    </cfRule>
  </conditionalFormatting>
  <conditionalFormatting sqref="G69:G78">
    <cfRule type="expression" dxfId="1324" priority="305">
      <formula>F$68=""</formula>
    </cfRule>
  </conditionalFormatting>
  <conditionalFormatting sqref="G77">
    <cfRule type="expression" dxfId="1323" priority="312">
      <formula>G77&lt;&gt;""</formula>
    </cfRule>
  </conditionalFormatting>
  <conditionalFormatting sqref="G78">
    <cfRule type="expression" dxfId="1322" priority="311">
      <formula>G78&lt;&gt;""</formula>
    </cfRule>
  </conditionalFormatting>
  <conditionalFormatting sqref="H17:H45 H6:H9 I16 H54:H63">
    <cfRule type="expression" dxfId="1321" priority="1765">
      <formula>H$16=""</formula>
    </cfRule>
  </conditionalFormatting>
  <conditionalFormatting sqref="H22">
    <cfRule type="expression" dxfId="1320" priority="1777">
      <formula>H22&lt;&gt;""</formula>
    </cfRule>
  </conditionalFormatting>
  <conditionalFormatting sqref="H26">
    <cfRule type="expression" dxfId="1319" priority="1773">
      <formula>H26&lt;&gt;""</formula>
    </cfRule>
  </conditionalFormatting>
  <conditionalFormatting sqref="H28">
    <cfRule type="expression" dxfId="1318" priority="1761">
      <formula>H28&lt;&gt;""</formula>
    </cfRule>
  </conditionalFormatting>
  <conditionalFormatting sqref="H29:H30">
    <cfRule type="expression" dxfId="1317" priority="1772">
      <formula>H29&lt;&gt;""</formula>
    </cfRule>
  </conditionalFormatting>
  <conditionalFormatting sqref="H32:H33">
    <cfRule type="expression" dxfId="1316" priority="1790">
      <formula>H32&lt;&gt;""</formula>
    </cfRule>
  </conditionalFormatting>
  <conditionalFormatting sqref="H34:H35">
    <cfRule type="expression" dxfId="1315" priority="1759">
      <formula>H34&lt;&gt;""</formula>
    </cfRule>
  </conditionalFormatting>
  <conditionalFormatting sqref="H38">
    <cfRule type="expression" dxfId="1314" priority="1793">
      <formula>H38&lt;&gt;""</formula>
    </cfRule>
  </conditionalFormatting>
  <conditionalFormatting sqref="H41:H44">
    <cfRule type="expression" dxfId="1313" priority="1766">
      <formula>H41&lt;&gt;""</formula>
    </cfRule>
  </conditionalFormatting>
  <conditionalFormatting sqref="H48">
    <cfRule type="expression" dxfId="1312" priority="1763">
      <formula>H$16=""</formula>
    </cfRule>
    <cfRule type="expression" dxfId="1311" priority="1781">
      <formula>H16="Ambulant"</formula>
    </cfRule>
  </conditionalFormatting>
  <conditionalFormatting sqref="H69:H78">
    <cfRule type="expression" dxfId="1310" priority="298">
      <formula>H$68=""</formula>
    </cfRule>
  </conditionalFormatting>
  <conditionalFormatting sqref="H71:H76">
    <cfRule type="expression" dxfId="1309" priority="300">
      <formula>H71&lt;&gt;""</formula>
    </cfRule>
  </conditionalFormatting>
  <conditionalFormatting sqref="I6:I9 I17:I22 I24:I45 I54:I63">
    <cfRule type="expression" dxfId="1308" priority="1764" stopIfTrue="1">
      <formula>H$16=""</formula>
    </cfRule>
  </conditionalFormatting>
  <conditionalFormatting sqref="I17">
    <cfRule type="expression" dxfId="1307" priority="1774">
      <formula>I17&lt;&gt;""</formula>
    </cfRule>
  </conditionalFormatting>
  <conditionalFormatting sqref="I19">
    <cfRule type="expression" dxfId="1306" priority="1789">
      <formula>I19&lt;&gt;""</formula>
    </cfRule>
  </conditionalFormatting>
  <conditionalFormatting sqref="I24">
    <cfRule type="expression" dxfId="1305" priority="1788">
      <formula>I24&lt;&gt;""</formula>
    </cfRule>
  </conditionalFormatting>
  <conditionalFormatting sqref="I27">
    <cfRule type="expression" dxfId="1304" priority="1787">
      <formula>I27&lt;&gt;""</formula>
    </cfRule>
  </conditionalFormatting>
  <conditionalFormatting sqref="I31">
    <cfRule type="expression" dxfId="1303" priority="1786">
      <formula>I31&lt;&gt;""</formula>
    </cfRule>
  </conditionalFormatting>
  <conditionalFormatting sqref="I37">
    <cfRule type="expression" dxfId="1302" priority="1785">
      <formula>I37&lt;&gt;""</formula>
    </cfRule>
  </conditionalFormatting>
  <conditionalFormatting sqref="I39">
    <cfRule type="expression" dxfId="1301" priority="1775">
      <formula>I39&lt;&gt;""</formula>
    </cfRule>
  </conditionalFormatting>
  <conditionalFormatting sqref="I54">
    <cfRule type="expression" dxfId="1300" priority="1771">
      <formula>I54&lt;&gt;""</formula>
    </cfRule>
  </conditionalFormatting>
  <conditionalFormatting sqref="I58">
    <cfRule type="expression" dxfId="1299" priority="1784">
      <formula>I58&lt;&gt;""</formula>
    </cfRule>
  </conditionalFormatting>
  <conditionalFormatting sqref="I62">
    <cfRule type="expression" dxfId="1298" priority="1783">
      <formula>I62&lt;&gt;""</formula>
    </cfRule>
  </conditionalFormatting>
  <conditionalFormatting sqref="I63">
    <cfRule type="expression" dxfId="1297" priority="1778">
      <formula>I63&lt;&gt;""</formula>
    </cfRule>
  </conditionalFormatting>
  <conditionalFormatting sqref="I69">
    <cfRule type="expression" dxfId="1296" priority="299">
      <formula>I69&lt;&gt;""</formula>
    </cfRule>
  </conditionalFormatting>
  <conditionalFormatting sqref="I69:I78">
    <cfRule type="expression" dxfId="1295" priority="297">
      <formula>H$68=""</formula>
    </cfRule>
  </conditionalFormatting>
  <conditionalFormatting sqref="I77">
    <cfRule type="expression" dxfId="1294" priority="304">
      <formula>I77&lt;&gt;""</formula>
    </cfRule>
  </conditionalFormatting>
  <conditionalFormatting sqref="I78">
    <cfRule type="expression" dxfId="1293" priority="303">
      <formula>I78&lt;&gt;""</formula>
    </cfRule>
  </conditionalFormatting>
  <conditionalFormatting sqref="J17:J45 J6:J9 K16 J54:J63">
    <cfRule type="expression" dxfId="1292" priority="1726">
      <formula>J$16=""</formula>
    </cfRule>
  </conditionalFormatting>
  <conditionalFormatting sqref="J22">
    <cfRule type="expression" dxfId="1291" priority="1738">
      <formula>J22&lt;&gt;""</formula>
    </cfRule>
  </conditionalFormatting>
  <conditionalFormatting sqref="J26">
    <cfRule type="expression" dxfId="1290" priority="1734">
      <formula>J26&lt;&gt;""</formula>
    </cfRule>
  </conditionalFormatting>
  <conditionalFormatting sqref="J28">
    <cfRule type="expression" dxfId="1289" priority="1722">
      <formula>J28&lt;&gt;""</formula>
    </cfRule>
  </conditionalFormatting>
  <conditionalFormatting sqref="J29:J30">
    <cfRule type="expression" dxfId="1288" priority="1733">
      <formula>J29&lt;&gt;""</formula>
    </cfRule>
  </conditionalFormatting>
  <conditionalFormatting sqref="J32:J33">
    <cfRule type="expression" dxfId="1287" priority="1751">
      <formula>J32&lt;&gt;""</formula>
    </cfRule>
  </conditionalFormatting>
  <conditionalFormatting sqref="J34:J35">
    <cfRule type="expression" dxfId="1286" priority="1720">
      <formula>J34&lt;&gt;""</formula>
    </cfRule>
  </conditionalFormatting>
  <conditionalFormatting sqref="J38">
    <cfRule type="expression" dxfId="1285" priority="1754">
      <formula>J38&lt;&gt;""</formula>
    </cfRule>
  </conditionalFormatting>
  <conditionalFormatting sqref="J41:J44">
    <cfRule type="expression" dxfId="1284" priority="1727">
      <formula>J41&lt;&gt;""</formula>
    </cfRule>
  </conditionalFormatting>
  <conditionalFormatting sqref="J48">
    <cfRule type="expression" dxfId="1283" priority="1742">
      <formula>J16="Ambulant"</formula>
    </cfRule>
    <cfRule type="expression" dxfId="1282" priority="1724">
      <formula>J$16=""</formula>
    </cfRule>
  </conditionalFormatting>
  <conditionalFormatting sqref="J69:J78">
    <cfRule type="expression" dxfId="1281" priority="290">
      <formula>J$68=""</formula>
    </cfRule>
  </conditionalFormatting>
  <conditionalFormatting sqref="J71:J76">
    <cfRule type="expression" dxfId="1280" priority="292">
      <formula>J71&lt;&gt;""</formula>
    </cfRule>
  </conditionalFormatting>
  <conditionalFormatting sqref="K6:K9 K17:K22 K24:K45 K54:K63">
    <cfRule type="expression" dxfId="1279" priority="1725" stopIfTrue="1">
      <formula>J$16=""</formula>
    </cfRule>
  </conditionalFormatting>
  <conditionalFormatting sqref="K17">
    <cfRule type="expression" dxfId="1278" priority="1735">
      <formula>K17&lt;&gt;""</formula>
    </cfRule>
  </conditionalFormatting>
  <conditionalFormatting sqref="K19">
    <cfRule type="expression" dxfId="1277" priority="1750">
      <formula>K19&lt;&gt;""</formula>
    </cfRule>
  </conditionalFormatting>
  <conditionalFormatting sqref="K24">
    <cfRule type="expression" dxfId="1276" priority="1749">
      <formula>K24&lt;&gt;""</formula>
    </cfRule>
  </conditionalFormatting>
  <conditionalFormatting sqref="K27">
    <cfRule type="expression" dxfId="1275" priority="1748">
      <formula>K27&lt;&gt;""</formula>
    </cfRule>
  </conditionalFormatting>
  <conditionalFormatting sqref="K31">
    <cfRule type="expression" dxfId="1274" priority="1747">
      <formula>K31&lt;&gt;""</formula>
    </cfRule>
  </conditionalFormatting>
  <conditionalFormatting sqref="K37">
    <cfRule type="expression" dxfId="1273" priority="1746">
      <formula>K37&lt;&gt;""</formula>
    </cfRule>
  </conditionalFormatting>
  <conditionalFormatting sqref="K39">
    <cfRule type="expression" dxfId="1272" priority="1736">
      <formula>K39&lt;&gt;""</formula>
    </cfRule>
  </conditionalFormatting>
  <conditionalFormatting sqref="K54">
    <cfRule type="expression" dxfId="1271" priority="1732">
      <formula>K54&lt;&gt;""</formula>
    </cfRule>
  </conditionalFormatting>
  <conditionalFormatting sqref="K58">
    <cfRule type="expression" dxfId="1270" priority="1745">
      <formula>K58&lt;&gt;""</formula>
    </cfRule>
  </conditionalFormatting>
  <conditionalFormatting sqref="K62">
    <cfRule type="expression" dxfId="1269" priority="1744">
      <formula>K62&lt;&gt;""</formula>
    </cfRule>
  </conditionalFormatting>
  <conditionalFormatting sqref="K63">
    <cfRule type="expression" dxfId="1268" priority="1739">
      <formula>K63&lt;&gt;""</formula>
    </cfRule>
  </conditionalFormatting>
  <conditionalFormatting sqref="K69">
    <cfRule type="expression" dxfId="1267" priority="291">
      <formula>K69&lt;&gt;""</formula>
    </cfRule>
  </conditionalFormatting>
  <conditionalFormatting sqref="K69:K78">
    <cfRule type="expression" dxfId="1266" priority="289">
      <formula>J$68=""</formula>
    </cfRule>
  </conditionalFormatting>
  <conditionalFormatting sqref="K77">
    <cfRule type="expression" dxfId="1265" priority="296">
      <formula>K77&lt;&gt;""</formula>
    </cfRule>
  </conditionalFormatting>
  <conditionalFormatting sqref="K78">
    <cfRule type="expression" dxfId="1264" priority="295">
      <formula>K78&lt;&gt;""</formula>
    </cfRule>
  </conditionalFormatting>
  <conditionalFormatting sqref="L17:L45 L6:L9 M16 L54:L63">
    <cfRule type="expression" dxfId="1263" priority="1687">
      <formula>L$16=""</formula>
    </cfRule>
  </conditionalFormatting>
  <conditionalFormatting sqref="L22">
    <cfRule type="expression" dxfId="1262" priority="1699">
      <formula>L22&lt;&gt;""</formula>
    </cfRule>
  </conditionalFormatting>
  <conditionalFormatting sqref="L26">
    <cfRule type="expression" dxfId="1261" priority="1695">
      <formula>L26&lt;&gt;""</formula>
    </cfRule>
  </conditionalFormatting>
  <conditionalFormatting sqref="L28">
    <cfRule type="expression" dxfId="1260" priority="1683">
      <formula>L28&lt;&gt;""</formula>
    </cfRule>
  </conditionalFormatting>
  <conditionalFormatting sqref="L29:L30">
    <cfRule type="expression" dxfId="1259" priority="1694">
      <formula>L29&lt;&gt;""</formula>
    </cfRule>
  </conditionalFormatting>
  <conditionalFormatting sqref="L32:L33">
    <cfRule type="expression" dxfId="1258" priority="1712">
      <formula>L32&lt;&gt;""</formula>
    </cfRule>
  </conditionalFormatting>
  <conditionalFormatting sqref="L34:L35">
    <cfRule type="expression" dxfId="1257" priority="1681">
      <formula>L34&lt;&gt;""</formula>
    </cfRule>
  </conditionalFormatting>
  <conditionalFormatting sqref="L38">
    <cfRule type="expression" dxfId="1256" priority="1715">
      <formula>L38&lt;&gt;""</formula>
    </cfRule>
  </conditionalFormatting>
  <conditionalFormatting sqref="L41:L44">
    <cfRule type="expression" dxfId="1255" priority="1688">
      <formula>L41&lt;&gt;""</formula>
    </cfRule>
  </conditionalFormatting>
  <conditionalFormatting sqref="L48">
    <cfRule type="expression" dxfId="1254" priority="1685">
      <formula>L$16=""</formula>
    </cfRule>
    <cfRule type="expression" dxfId="1253" priority="1703">
      <formula>L16="Ambulant"</formula>
    </cfRule>
  </conditionalFormatting>
  <conditionalFormatting sqref="L69:L78">
    <cfRule type="expression" dxfId="1252" priority="282">
      <formula>L$68=""</formula>
    </cfRule>
  </conditionalFormatting>
  <conditionalFormatting sqref="L71:L76">
    <cfRule type="expression" dxfId="1251" priority="284">
      <formula>L71&lt;&gt;""</formula>
    </cfRule>
  </conditionalFormatting>
  <conditionalFormatting sqref="M6:M9 M17:M22 M24:M45 M54:M63">
    <cfRule type="expression" dxfId="1250" priority="1686" stopIfTrue="1">
      <formula>L$16=""</formula>
    </cfRule>
  </conditionalFormatting>
  <conditionalFormatting sqref="M17">
    <cfRule type="expression" dxfId="1249" priority="1696">
      <formula>M17&lt;&gt;""</formula>
    </cfRule>
  </conditionalFormatting>
  <conditionalFormatting sqref="M19">
    <cfRule type="expression" dxfId="1248" priority="1711">
      <formula>M19&lt;&gt;""</formula>
    </cfRule>
  </conditionalFormatting>
  <conditionalFormatting sqref="M24">
    <cfRule type="expression" dxfId="1247" priority="1710">
      <formula>M24&lt;&gt;""</formula>
    </cfRule>
  </conditionalFormatting>
  <conditionalFormatting sqref="M27">
    <cfRule type="expression" dxfId="1246" priority="1709">
      <formula>M27&lt;&gt;""</formula>
    </cfRule>
  </conditionalFormatting>
  <conditionalFormatting sqref="M31">
    <cfRule type="expression" dxfId="1245" priority="1708">
      <formula>M31&lt;&gt;""</formula>
    </cfRule>
  </conditionalFormatting>
  <conditionalFormatting sqref="M37">
    <cfRule type="expression" dxfId="1244" priority="1707">
      <formula>M37&lt;&gt;""</formula>
    </cfRule>
  </conditionalFormatting>
  <conditionalFormatting sqref="M39">
    <cfRule type="expression" dxfId="1243" priority="1697">
      <formula>M39&lt;&gt;""</formula>
    </cfRule>
  </conditionalFormatting>
  <conditionalFormatting sqref="M54">
    <cfRule type="expression" dxfId="1242" priority="1693">
      <formula>M54&lt;&gt;""</formula>
    </cfRule>
  </conditionalFormatting>
  <conditionalFormatting sqref="M58">
    <cfRule type="expression" dxfId="1241" priority="1706">
      <formula>M58&lt;&gt;""</formula>
    </cfRule>
  </conditionalFormatting>
  <conditionalFormatting sqref="M62">
    <cfRule type="expression" dxfId="1240" priority="1705">
      <formula>M62&lt;&gt;""</formula>
    </cfRule>
  </conditionalFormatting>
  <conditionalFormatting sqref="M63">
    <cfRule type="expression" dxfId="1239" priority="1700">
      <formula>M63&lt;&gt;""</formula>
    </cfRule>
  </conditionalFormatting>
  <conditionalFormatting sqref="M69">
    <cfRule type="expression" dxfId="1238" priority="283">
      <formula>M69&lt;&gt;""</formula>
    </cfRule>
  </conditionalFormatting>
  <conditionalFormatting sqref="M69:M78">
    <cfRule type="expression" dxfId="1237" priority="281">
      <formula>L$68=""</formula>
    </cfRule>
  </conditionalFormatting>
  <conditionalFormatting sqref="M77">
    <cfRule type="expression" dxfId="1236" priority="288">
      <formula>M77&lt;&gt;""</formula>
    </cfRule>
  </conditionalFormatting>
  <conditionalFormatting sqref="M78">
    <cfRule type="expression" dxfId="1235" priority="287">
      <formula>M78&lt;&gt;""</formula>
    </cfRule>
  </conditionalFormatting>
  <conditionalFormatting sqref="N17:N45 N6:N9 O16 N54:N63">
    <cfRule type="expression" dxfId="1234" priority="1648">
      <formula>N$16=""</formula>
    </cfRule>
  </conditionalFormatting>
  <conditionalFormatting sqref="N22">
    <cfRule type="expression" dxfId="1233" priority="1660">
      <formula>N22&lt;&gt;""</formula>
    </cfRule>
  </conditionalFormatting>
  <conditionalFormatting sqref="N26">
    <cfRule type="expression" dxfId="1232" priority="1656">
      <formula>N26&lt;&gt;""</formula>
    </cfRule>
  </conditionalFormatting>
  <conditionalFormatting sqref="N28">
    <cfRule type="expression" dxfId="1231" priority="1644">
      <formula>N28&lt;&gt;""</formula>
    </cfRule>
  </conditionalFormatting>
  <conditionalFormatting sqref="N29:N30">
    <cfRule type="expression" dxfId="1230" priority="1655">
      <formula>N29&lt;&gt;""</formula>
    </cfRule>
  </conditionalFormatting>
  <conditionalFormatting sqref="N32:N33">
    <cfRule type="expression" dxfId="1229" priority="1673">
      <formula>N32&lt;&gt;""</formula>
    </cfRule>
  </conditionalFormatting>
  <conditionalFormatting sqref="N34:N35">
    <cfRule type="expression" dxfId="1228" priority="1642">
      <formula>N34&lt;&gt;""</formula>
    </cfRule>
  </conditionalFormatting>
  <conditionalFormatting sqref="N38">
    <cfRule type="expression" dxfId="1227" priority="1676">
      <formula>N38&lt;&gt;""</formula>
    </cfRule>
  </conditionalFormatting>
  <conditionalFormatting sqref="N41:N44">
    <cfRule type="expression" dxfId="1226" priority="1649">
      <formula>N41&lt;&gt;""</formula>
    </cfRule>
  </conditionalFormatting>
  <conditionalFormatting sqref="N48">
    <cfRule type="expression" dxfId="1225" priority="1664">
      <formula>N16="Ambulant"</formula>
    </cfRule>
    <cfRule type="expression" dxfId="1224" priority="1646">
      <formula>N$16=""</formula>
    </cfRule>
  </conditionalFormatting>
  <conditionalFormatting sqref="N69:N78">
    <cfRule type="expression" dxfId="1223" priority="274">
      <formula>N$68=""</formula>
    </cfRule>
  </conditionalFormatting>
  <conditionalFormatting sqref="N71:N76">
    <cfRule type="expression" dxfId="1222" priority="276">
      <formula>N71&lt;&gt;""</formula>
    </cfRule>
  </conditionalFormatting>
  <conditionalFormatting sqref="O6:O9 O17:O22 O24:O45 O54:O63">
    <cfRule type="expression" dxfId="1221" priority="1647" stopIfTrue="1">
      <formula>N$16=""</formula>
    </cfRule>
  </conditionalFormatting>
  <conditionalFormatting sqref="O17">
    <cfRule type="expression" dxfId="1220" priority="1657">
      <formula>O17&lt;&gt;""</formula>
    </cfRule>
  </conditionalFormatting>
  <conditionalFormatting sqref="O19">
    <cfRule type="expression" dxfId="1219" priority="1672">
      <formula>O19&lt;&gt;""</formula>
    </cfRule>
  </conditionalFormatting>
  <conditionalFormatting sqref="O24">
    <cfRule type="expression" dxfId="1218" priority="1671">
      <formula>O24&lt;&gt;""</formula>
    </cfRule>
  </conditionalFormatting>
  <conditionalFormatting sqref="O27">
    <cfRule type="expression" dxfId="1217" priority="1670">
      <formula>O27&lt;&gt;""</formula>
    </cfRule>
  </conditionalFormatting>
  <conditionalFormatting sqref="O31">
    <cfRule type="expression" dxfId="1216" priority="1669">
      <formula>O31&lt;&gt;""</formula>
    </cfRule>
  </conditionalFormatting>
  <conditionalFormatting sqref="O37">
    <cfRule type="expression" dxfId="1215" priority="1668">
      <formula>O37&lt;&gt;""</formula>
    </cfRule>
  </conditionalFormatting>
  <conditionalFormatting sqref="O39">
    <cfRule type="expression" dxfId="1214" priority="1658">
      <formula>O39&lt;&gt;""</formula>
    </cfRule>
  </conditionalFormatting>
  <conditionalFormatting sqref="O54">
    <cfRule type="expression" dxfId="1213" priority="1654">
      <formula>O54&lt;&gt;""</formula>
    </cfRule>
  </conditionalFormatting>
  <conditionalFormatting sqref="O58">
    <cfRule type="expression" dxfId="1212" priority="1667">
      <formula>O58&lt;&gt;""</formula>
    </cfRule>
  </conditionalFormatting>
  <conditionalFormatting sqref="O62">
    <cfRule type="expression" dxfId="1211" priority="1666">
      <formula>O62&lt;&gt;""</formula>
    </cfRule>
  </conditionalFormatting>
  <conditionalFormatting sqref="O63">
    <cfRule type="expression" dxfId="1210" priority="1661">
      <formula>O63&lt;&gt;""</formula>
    </cfRule>
  </conditionalFormatting>
  <conditionalFormatting sqref="O69">
    <cfRule type="expression" dxfId="1209" priority="275">
      <formula>O69&lt;&gt;""</formula>
    </cfRule>
  </conditionalFormatting>
  <conditionalFormatting sqref="O69:O78">
    <cfRule type="expression" dxfId="1208" priority="273">
      <formula>N$68=""</formula>
    </cfRule>
  </conditionalFormatting>
  <conditionalFormatting sqref="O77">
    <cfRule type="expression" dxfId="1207" priority="280">
      <formula>O77&lt;&gt;""</formula>
    </cfRule>
  </conditionalFormatting>
  <conditionalFormatting sqref="O78">
    <cfRule type="expression" dxfId="1206" priority="279">
      <formula>O78&lt;&gt;""</formula>
    </cfRule>
  </conditionalFormatting>
  <conditionalFormatting sqref="P17:P45 P6:P9 Q16 P54:P63">
    <cfRule type="expression" dxfId="1205" priority="1609">
      <formula>P$16=""</formula>
    </cfRule>
  </conditionalFormatting>
  <conditionalFormatting sqref="P22">
    <cfRule type="expression" dxfId="1204" priority="1621">
      <formula>P22&lt;&gt;""</formula>
    </cfRule>
  </conditionalFormatting>
  <conditionalFormatting sqref="P26">
    <cfRule type="expression" dxfId="1203" priority="1617">
      <formula>P26&lt;&gt;""</formula>
    </cfRule>
  </conditionalFormatting>
  <conditionalFormatting sqref="P28">
    <cfRule type="expression" dxfId="1202" priority="1605">
      <formula>P28&lt;&gt;""</formula>
    </cfRule>
  </conditionalFormatting>
  <conditionalFormatting sqref="P29:P30">
    <cfRule type="expression" dxfId="1201" priority="1616">
      <formula>P29&lt;&gt;""</formula>
    </cfRule>
  </conditionalFormatting>
  <conditionalFormatting sqref="P32:P33">
    <cfRule type="expression" dxfId="1200" priority="1634">
      <formula>P32&lt;&gt;""</formula>
    </cfRule>
  </conditionalFormatting>
  <conditionalFormatting sqref="P34:P35">
    <cfRule type="expression" dxfId="1199" priority="1603">
      <formula>P34&lt;&gt;""</formula>
    </cfRule>
  </conditionalFormatting>
  <conditionalFormatting sqref="P38">
    <cfRule type="expression" dxfId="1198" priority="1637">
      <formula>P38&lt;&gt;""</formula>
    </cfRule>
  </conditionalFormatting>
  <conditionalFormatting sqref="P41:P44">
    <cfRule type="expression" dxfId="1197" priority="1610">
      <formula>P41&lt;&gt;""</formula>
    </cfRule>
  </conditionalFormatting>
  <conditionalFormatting sqref="P48">
    <cfRule type="expression" dxfId="1196" priority="1625">
      <formula>P16="Ambulant"</formula>
    </cfRule>
    <cfRule type="expression" dxfId="1195" priority="1607">
      <formula>P$16=""</formula>
    </cfRule>
  </conditionalFormatting>
  <conditionalFormatting sqref="P69:P78">
    <cfRule type="expression" dxfId="1194" priority="266">
      <formula>P$68=""</formula>
    </cfRule>
  </conditionalFormatting>
  <conditionalFormatting sqref="P71:P76">
    <cfRule type="expression" dxfId="1193" priority="268">
      <formula>P71&lt;&gt;""</formula>
    </cfRule>
  </conditionalFormatting>
  <conditionalFormatting sqref="Q6:Q9 Q17:Q22 Q24:Q45 Q54:Q63">
    <cfRule type="expression" dxfId="1192" priority="1608" stopIfTrue="1">
      <formula>P$16=""</formula>
    </cfRule>
  </conditionalFormatting>
  <conditionalFormatting sqref="Q17">
    <cfRule type="expression" dxfId="1191" priority="1618">
      <formula>Q17&lt;&gt;""</formula>
    </cfRule>
  </conditionalFormatting>
  <conditionalFormatting sqref="Q19">
    <cfRule type="expression" dxfId="1190" priority="1633">
      <formula>Q19&lt;&gt;""</formula>
    </cfRule>
  </conditionalFormatting>
  <conditionalFormatting sqref="Q24">
    <cfRule type="expression" dxfId="1189" priority="1632">
      <formula>Q24&lt;&gt;""</formula>
    </cfRule>
  </conditionalFormatting>
  <conditionalFormatting sqref="Q27">
    <cfRule type="expression" dxfId="1188" priority="1631">
      <formula>Q27&lt;&gt;""</formula>
    </cfRule>
  </conditionalFormatting>
  <conditionalFormatting sqref="Q31">
    <cfRule type="expression" dxfId="1187" priority="1630">
      <formula>Q31&lt;&gt;""</formula>
    </cfRule>
  </conditionalFormatting>
  <conditionalFormatting sqref="Q37">
    <cfRule type="expression" dxfId="1186" priority="1629">
      <formula>Q37&lt;&gt;""</formula>
    </cfRule>
  </conditionalFormatting>
  <conditionalFormatting sqref="Q39">
    <cfRule type="expression" dxfId="1185" priority="1619">
      <formula>Q39&lt;&gt;""</formula>
    </cfRule>
  </conditionalFormatting>
  <conditionalFormatting sqref="Q54">
    <cfRule type="expression" dxfId="1184" priority="1615">
      <formula>Q54&lt;&gt;""</formula>
    </cfRule>
  </conditionalFormatting>
  <conditionalFormatting sqref="Q58">
    <cfRule type="expression" dxfId="1183" priority="1628">
      <formula>Q58&lt;&gt;""</formula>
    </cfRule>
  </conditionalFormatting>
  <conditionalFormatting sqref="Q62">
    <cfRule type="expression" dxfId="1182" priority="1627">
      <formula>Q62&lt;&gt;""</formula>
    </cfRule>
  </conditionalFormatting>
  <conditionalFormatting sqref="Q63">
    <cfRule type="expression" dxfId="1181" priority="1622">
      <formula>Q63&lt;&gt;""</formula>
    </cfRule>
  </conditionalFormatting>
  <conditionalFormatting sqref="Q69">
    <cfRule type="expression" dxfId="1180" priority="267">
      <formula>Q69&lt;&gt;""</formula>
    </cfRule>
  </conditionalFormatting>
  <conditionalFormatting sqref="Q69:Q78">
    <cfRule type="expression" dxfId="1179" priority="265">
      <formula>P$68=""</formula>
    </cfRule>
  </conditionalFormatting>
  <conditionalFormatting sqref="Q77">
    <cfRule type="expression" dxfId="1178" priority="272">
      <formula>Q77&lt;&gt;""</formula>
    </cfRule>
  </conditionalFormatting>
  <conditionalFormatting sqref="Q78">
    <cfRule type="expression" dxfId="1177" priority="271">
      <formula>Q78&lt;&gt;""</formula>
    </cfRule>
  </conditionalFormatting>
  <conditionalFormatting sqref="R17:R45 R6:R9 S16 R54:R63">
    <cfRule type="expression" dxfId="1176" priority="1570">
      <formula>R$16=""</formula>
    </cfRule>
  </conditionalFormatting>
  <conditionalFormatting sqref="R22">
    <cfRule type="expression" dxfId="1175" priority="1582">
      <formula>R22&lt;&gt;""</formula>
    </cfRule>
  </conditionalFormatting>
  <conditionalFormatting sqref="R26">
    <cfRule type="expression" dxfId="1174" priority="1578">
      <formula>R26&lt;&gt;""</formula>
    </cfRule>
  </conditionalFormatting>
  <conditionalFormatting sqref="R28">
    <cfRule type="expression" dxfId="1173" priority="1566">
      <formula>R28&lt;&gt;""</formula>
    </cfRule>
  </conditionalFormatting>
  <conditionalFormatting sqref="R29:R30">
    <cfRule type="expression" dxfId="1172" priority="1577">
      <formula>R29&lt;&gt;""</formula>
    </cfRule>
  </conditionalFormatting>
  <conditionalFormatting sqref="R32:R33">
    <cfRule type="expression" dxfId="1171" priority="1595">
      <formula>R32&lt;&gt;""</formula>
    </cfRule>
  </conditionalFormatting>
  <conditionalFormatting sqref="R34:R35">
    <cfRule type="expression" dxfId="1170" priority="1564">
      <formula>R34&lt;&gt;""</formula>
    </cfRule>
  </conditionalFormatting>
  <conditionalFormatting sqref="R38">
    <cfRule type="expression" dxfId="1169" priority="1598">
      <formula>R38&lt;&gt;""</formula>
    </cfRule>
  </conditionalFormatting>
  <conditionalFormatting sqref="R41:R44">
    <cfRule type="expression" dxfId="1168" priority="1571">
      <formula>R41&lt;&gt;""</formula>
    </cfRule>
  </conditionalFormatting>
  <conditionalFormatting sqref="R48">
    <cfRule type="expression" dxfId="1167" priority="1586">
      <formula>R16="Ambulant"</formula>
    </cfRule>
    <cfRule type="expression" dxfId="1166" priority="1568">
      <formula>R$16=""</formula>
    </cfRule>
  </conditionalFormatting>
  <conditionalFormatting sqref="R69:R78">
    <cfRule type="expression" dxfId="1165" priority="258">
      <formula>R$68=""</formula>
    </cfRule>
  </conditionalFormatting>
  <conditionalFormatting sqref="R71:R76">
    <cfRule type="expression" dxfId="1164" priority="260">
      <formula>R71&lt;&gt;""</formula>
    </cfRule>
  </conditionalFormatting>
  <conditionalFormatting sqref="S6:S9 S17:S22 S24:S45 S54:S63">
    <cfRule type="expression" dxfId="1163" priority="1569" stopIfTrue="1">
      <formula>R$16=""</formula>
    </cfRule>
  </conditionalFormatting>
  <conditionalFormatting sqref="S17">
    <cfRule type="expression" dxfId="1162" priority="1579">
      <formula>S17&lt;&gt;""</formula>
    </cfRule>
  </conditionalFormatting>
  <conditionalFormatting sqref="S19">
    <cfRule type="expression" dxfId="1161" priority="1594">
      <formula>S19&lt;&gt;""</formula>
    </cfRule>
  </conditionalFormatting>
  <conditionalFormatting sqref="S24">
    <cfRule type="expression" dxfId="1160" priority="1593">
      <formula>S24&lt;&gt;""</formula>
    </cfRule>
  </conditionalFormatting>
  <conditionalFormatting sqref="S27">
    <cfRule type="expression" dxfId="1159" priority="1592">
      <formula>S27&lt;&gt;""</formula>
    </cfRule>
  </conditionalFormatting>
  <conditionalFormatting sqref="S31">
    <cfRule type="expression" dxfId="1158" priority="1591">
      <formula>S31&lt;&gt;""</formula>
    </cfRule>
  </conditionalFormatting>
  <conditionalFormatting sqref="S37">
    <cfRule type="expression" dxfId="1157" priority="1590">
      <formula>S37&lt;&gt;""</formula>
    </cfRule>
  </conditionalFormatting>
  <conditionalFormatting sqref="S39">
    <cfRule type="expression" dxfId="1156" priority="1580">
      <formula>S39&lt;&gt;""</formula>
    </cfRule>
  </conditionalFormatting>
  <conditionalFormatting sqref="S54">
    <cfRule type="expression" dxfId="1155" priority="1576">
      <formula>S54&lt;&gt;""</formula>
    </cfRule>
  </conditionalFormatting>
  <conditionalFormatting sqref="S58">
    <cfRule type="expression" dxfId="1154" priority="1589">
      <formula>S58&lt;&gt;""</formula>
    </cfRule>
  </conditionalFormatting>
  <conditionalFormatting sqref="S62">
    <cfRule type="expression" dxfId="1153" priority="1588">
      <formula>S62&lt;&gt;""</formula>
    </cfRule>
  </conditionalFormatting>
  <conditionalFormatting sqref="S63">
    <cfRule type="expression" dxfId="1152" priority="1583">
      <formula>S63&lt;&gt;""</formula>
    </cfRule>
  </conditionalFormatting>
  <conditionalFormatting sqref="S69">
    <cfRule type="expression" dxfId="1151" priority="259">
      <formula>S69&lt;&gt;""</formula>
    </cfRule>
  </conditionalFormatting>
  <conditionalFormatting sqref="S69:S78">
    <cfRule type="expression" dxfId="1150" priority="257">
      <formula>R$68=""</formula>
    </cfRule>
  </conditionalFormatting>
  <conditionalFormatting sqref="S77">
    <cfRule type="expression" dxfId="1149" priority="264">
      <formula>S77&lt;&gt;""</formula>
    </cfRule>
  </conditionalFormatting>
  <conditionalFormatting sqref="S78">
    <cfRule type="expression" dxfId="1148" priority="263">
      <formula>S78&lt;&gt;""</formula>
    </cfRule>
  </conditionalFormatting>
  <conditionalFormatting sqref="T17:T45 T6:T9 U16 T54:T63">
    <cfRule type="expression" dxfId="1147" priority="1531">
      <formula>T$16=""</formula>
    </cfRule>
  </conditionalFormatting>
  <conditionalFormatting sqref="T22">
    <cfRule type="expression" dxfId="1146" priority="1543">
      <formula>T22&lt;&gt;""</formula>
    </cfRule>
  </conditionalFormatting>
  <conditionalFormatting sqref="T26">
    <cfRule type="expression" dxfId="1145" priority="1539">
      <formula>T26&lt;&gt;""</formula>
    </cfRule>
  </conditionalFormatting>
  <conditionalFormatting sqref="T28">
    <cfRule type="expression" dxfId="1144" priority="1527">
      <formula>T28&lt;&gt;""</formula>
    </cfRule>
  </conditionalFormatting>
  <conditionalFormatting sqref="T29:T30">
    <cfRule type="expression" dxfId="1143" priority="1538">
      <formula>T29&lt;&gt;""</formula>
    </cfRule>
  </conditionalFormatting>
  <conditionalFormatting sqref="T32:T33">
    <cfRule type="expression" dxfId="1142" priority="1556">
      <formula>T32&lt;&gt;""</formula>
    </cfRule>
  </conditionalFormatting>
  <conditionalFormatting sqref="T34:T35">
    <cfRule type="expression" dxfId="1141" priority="1525">
      <formula>T34&lt;&gt;""</formula>
    </cfRule>
  </conditionalFormatting>
  <conditionalFormatting sqref="T38">
    <cfRule type="expression" dxfId="1140" priority="1559">
      <formula>T38&lt;&gt;""</formula>
    </cfRule>
  </conditionalFormatting>
  <conditionalFormatting sqref="T41:T44">
    <cfRule type="expression" dxfId="1139" priority="1532">
      <formula>T41&lt;&gt;""</formula>
    </cfRule>
  </conditionalFormatting>
  <conditionalFormatting sqref="T48">
    <cfRule type="expression" dxfId="1138" priority="1529">
      <formula>T$16=""</formula>
    </cfRule>
    <cfRule type="expression" dxfId="1137" priority="1547">
      <formula>T16="Ambulant"</formula>
    </cfRule>
  </conditionalFormatting>
  <conditionalFormatting sqref="T69:T78">
    <cfRule type="expression" dxfId="1136" priority="250">
      <formula>T$68=""</formula>
    </cfRule>
  </conditionalFormatting>
  <conditionalFormatting sqref="T71:T76">
    <cfRule type="expression" dxfId="1135" priority="252">
      <formula>T71&lt;&gt;""</formula>
    </cfRule>
  </conditionalFormatting>
  <conditionalFormatting sqref="U6:U9 U17:U22 U24:U45 U54:U63">
    <cfRule type="expression" dxfId="1134" priority="1530" stopIfTrue="1">
      <formula>T$16=""</formula>
    </cfRule>
  </conditionalFormatting>
  <conditionalFormatting sqref="U17">
    <cfRule type="expression" dxfId="1133" priority="1540">
      <formula>U17&lt;&gt;""</formula>
    </cfRule>
  </conditionalFormatting>
  <conditionalFormatting sqref="U19">
    <cfRule type="expression" dxfId="1132" priority="1555">
      <formula>U19&lt;&gt;""</formula>
    </cfRule>
  </conditionalFormatting>
  <conditionalFormatting sqref="U24">
    <cfRule type="expression" dxfId="1131" priority="1554">
      <formula>U24&lt;&gt;""</formula>
    </cfRule>
  </conditionalFormatting>
  <conditionalFormatting sqref="U27">
    <cfRule type="expression" dxfId="1130" priority="1553">
      <formula>U27&lt;&gt;""</formula>
    </cfRule>
  </conditionalFormatting>
  <conditionalFormatting sqref="U31">
    <cfRule type="expression" dxfId="1129" priority="1552">
      <formula>U31&lt;&gt;""</formula>
    </cfRule>
  </conditionalFormatting>
  <conditionalFormatting sqref="U37">
    <cfRule type="expression" dxfId="1128" priority="1551">
      <formula>U37&lt;&gt;""</formula>
    </cfRule>
  </conditionalFormatting>
  <conditionalFormatting sqref="U39">
    <cfRule type="expression" dxfId="1127" priority="1541">
      <formula>U39&lt;&gt;""</formula>
    </cfRule>
  </conditionalFormatting>
  <conditionalFormatting sqref="U54">
    <cfRule type="expression" dxfId="1126" priority="1537">
      <formula>U54&lt;&gt;""</formula>
    </cfRule>
  </conditionalFormatting>
  <conditionalFormatting sqref="U58">
    <cfRule type="expression" dxfId="1125" priority="1550">
      <formula>U58&lt;&gt;""</formula>
    </cfRule>
  </conditionalFormatting>
  <conditionalFormatting sqref="U62">
    <cfRule type="expression" dxfId="1124" priority="1549">
      <formula>U62&lt;&gt;""</formula>
    </cfRule>
  </conditionalFormatting>
  <conditionalFormatting sqref="U63">
    <cfRule type="expression" dxfId="1123" priority="1544">
      <formula>U63&lt;&gt;""</formula>
    </cfRule>
  </conditionalFormatting>
  <conditionalFormatting sqref="U69">
    <cfRule type="expression" dxfId="1122" priority="251">
      <formula>U69&lt;&gt;""</formula>
    </cfRule>
  </conditionalFormatting>
  <conditionalFormatting sqref="U69:U78">
    <cfRule type="expression" dxfId="1121" priority="249">
      <formula>T$68=""</formula>
    </cfRule>
  </conditionalFormatting>
  <conditionalFormatting sqref="U77">
    <cfRule type="expression" dxfId="1120" priority="256">
      <formula>U77&lt;&gt;""</formula>
    </cfRule>
  </conditionalFormatting>
  <conditionalFormatting sqref="U78">
    <cfRule type="expression" dxfId="1119" priority="255">
      <formula>U78&lt;&gt;""</formula>
    </cfRule>
  </conditionalFormatting>
  <conditionalFormatting sqref="V17:V45 V6:V9 W16 V54:V63">
    <cfRule type="expression" dxfId="1118" priority="1492">
      <formula>V$16=""</formula>
    </cfRule>
  </conditionalFormatting>
  <conditionalFormatting sqref="V22">
    <cfRule type="expression" dxfId="1117" priority="1504">
      <formula>V22&lt;&gt;""</formula>
    </cfRule>
  </conditionalFormatting>
  <conditionalFormatting sqref="V26">
    <cfRule type="expression" dxfId="1116" priority="1500">
      <formula>V26&lt;&gt;""</formula>
    </cfRule>
  </conditionalFormatting>
  <conditionalFormatting sqref="V28">
    <cfRule type="expression" dxfId="1115" priority="1488">
      <formula>V28&lt;&gt;""</formula>
    </cfRule>
  </conditionalFormatting>
  <conditionalFormatting sqref="V29:V30">
    <cfRule type="expression" dxfId="1114" priority="1499">
      <formula>V29&lt;&gt;""</formula>
    </cfRule>
  </conditionalFormatting>
  <conditionalFormatting sqref="V32:V33">
    <cfRule type="expression" dxfId="1113" priority="1517">
      <formula>V32&lt;&gt;""</formula>
    </cfRule>
  </conditionalFormatting>
  <conditionalFormatting sqref="V34:V35">
    <cfRule type="expression" dxfId="1112" priority="1486">
      <formula>V34&lt;&gt;""</formula>
    </cfRule>
  </conditionalFormatting>
  <conditionalFormatting sqref="V38">
    <cfRule type="expression" dxfId="1111" priority="1520">
      <formula>V38&lt;&gt;""</formula>
    </cfRule>
  </conditionalFormatting>
  <conditionalFormatting sqref="V41:V44">
    <cfRule type="expression" dxfId="1110" priority="1493">
      <formula>V41&lt;&gt;""</formula>
    </cfRule>
  </conditionalFormatting>
  <conditionalFormatting sqref="V48">
    <cfRule type="expression" dxfId="1109" priority="1508">
      <formula>V16="Ambulant"</formula>
    </cfRule>
    <cfRule type="expression" dxfId="1108" priority="1490">
      <formula>V$16=""</formula>
    </cfRule>
  </conditionalFormatting>
  <conditionalFormatting sqref="V69:V78">
    <cfRule type="expression" dxfId="1107" priority="242">
      <formula>V$68=""</formula>
    </cfRule>
  </conditionalFormatting>
  <conditionalFormatting sqref="V71:V76">
    <cfRule type="expression" dxfId="1106" priority="244">
      <formula>V71&lt;&gt;""</formula>
    </cfRule>
  </conditionalFormatting>
  <conditionalFormatting sqref="W6:W9 W17:W22 W24:W45 W54:W63">
    <cfRule type="expression" dxfId="1105" priority="1491" stopIfTrue="1">
      <formula>V$16=""</formula>
    </cfRule>
  </conditionalFormatting>
  <conditionalFormatting sqref="W17">
    <cfRule type="expression" dxfId="1104" priority="1501">
      <formula>W17&lt;&gt;""</formula>
    </cfRule>
  </conditionalFormatting>
  <conditionalFormatting sqref="W19">
    <cfRule type="expression" dxfId="1103" priority="1516">
      <formula>W19&lt;&gt;""</formula>
    </cfRule>
  </conditionalFormatting>
  <conditionalFormatting sqref="W24">
    <cfRule type="expression" dxfId="1102" priority="1515">
      <formula>W24&lt;&gt;""</formula>
    </cfRule>
  </conditionalFormatting>
  <conditionalFormatting sqref="W27">
    <cfRule type="expression" dxfId="1101" priority="1514">
      <formula>W27&lt;&gt;""</formula>
    </cfRule>
  </conditionalFormatting>
  <conditionalFormatting sqref="W31">
    <cfRule type="expression" dxfId="1100" priority="1513">
      <formula>W31&lt;&gt;""</formula>
    </cfRule>
  </conditionalFormatting>
  <conditionalFormatting sqref="W37">
    <cfRule type="expression" dxfId="1099" priority="1512">
      <formula>W37&lt;&gt;""</formula>
    </cfRule>
  </conditionalFormatting>
  <conditionalFormatting sqref="W39">
    <cfRule type="expression" dxfId="1098" priority="1502">
      <formula>W39&lt;&gt;""</formula>
    </cfRule>
  </conditionalFormatting>
  <conditionalFormatting sqref="W54">
    <cfRule type="expression" dxfId="1097" priority="1498">
      <formula>W54&lt;&gt;""</formula>
    </cfRule>
  </conditionalFormatting>
  <conditionalFormatting sqref="W58">
    <cfRule type="expression" dxfId="1096" priority="1511">
      <formula>W58&lt;&gt;""</formula>
    </cfRule>
  </conditionalFormatting>
  <conditionalFormatting sqref="W62">
    <cfRule type="expression" dxfId="1095" priority="1510">
      <formula>W62&lt;&gt;""</formula>
    </cfRule>
  </conditionalFormatting>
  <conditionalFormatting sqref="W63">
    <cfRule type="expression" dxfId="1094" priority="1505">
      <formula>W63&lt;&gt;""</formula>
    </cfRule>
  </conditionalFormatting>
  <conditionalFormatting sqref="W69">
    <cfRule type="expression" dxfId="1093" priority="243">
      <formula>W69&lt;&gt;""</formula>
    </cfRule>
  </conditionalFormatting>
  <conditionalFormatting sqref="W69:W78">
    <cfRule type="expression" dxfId="1092" priority="241">
      <formula>V$68=""</formula>
    </cfRule>
  </conditionalFormatting>
  <conditionalFormatting sqref="W77">
    <cfRule type="expression" dxfId="1091" priority="248">
      <formula>W77&lt;&gt;""</formula>
    </cfRule>
  </conditionalFormatting>
  <conditionalFormatting sqref="W78">
    <cfRule type="expression" dxfId="1090" priority="247">
      <formula>W78&lt;&gt;""</formula>
    </cfRule>
  </conditionalFormatting>
  <conditionalFormatting sqref="X17:X45 X6:X9 Y16 X54:X63">
    <cfRule type="expression" dxfId="1089" priority="1453">
      <formula>X$16=""</formula>
    </cfRule>
  </conditionalFormatting>
  <conditionalFormatting sqref="X22">
    <cfRule type="expression" dxfId="1088" priority="1465">
      <formula>X22&lt;&gt;""</formula>
    </cfRule>
  </conditionalFormatting>
  <conditionalFormatting sqref="X26">
    <cfRule type="expression" dxfId="1087" priority="1461">
      <formula>X26&lt;&gt;""</formula>
    </cfRule>
  </conditionalFormatting>
  <conditionalFormatting sqref="X28">
    <cfRule type="expression" dxfId="1086" priority="1449">
      <formula>X28&lt;&gt;""</formula>
    </cfRule>
  </conditionalFormatting>
  <conditionalFormatting sqref="X29:X30">
    <cfRule type="expression" dxfId="1085" priority="1460">
      <formula>X29&lt;&gt;""</formula>
    </cfRule>
  </conditionalFormatting>
  <conditionalFormatting sqref="X32:X33">
    <cfRule type="expression" dxfId="1084" priority="1478">
      <formula>X32&lt;&gt;""</formula>
    </cfRule>
  </conditionalFormatting>
  <conditionalFormatting sqref="X34:X35">
    <cfRule type="expression" dxfId="1083" priority="1447">
      <formula>X34&lt;&gt;""</formula>
    </cfRule>
  </conditionalFormatting>
  <conditionalFormatting sqref="X38">
    <cfRule type="expression" dxfId="1082" priority="1481">
      <formula>X38&lt;&gt;""</formula>
    </cfRule>
  </conditionalFormatting>
  <conditionalFormatting sqref="X41:X44">
    <cfRule type="expression" dxfId="1081" priority="1454">
      <formula>X41&lt;&gt;""</formula>
    </cfRule>
  </conditionalFormatting>
  <conditionalFormatting sqref="X48">
    <cfRule type="expression" dxfId="1080" priority="1451">
      <formula>X$16=""</formula>
    </cfRule>
    <cfRule type="expression" dxfId="1079" priority="1469">
      <formula>X16="Ambulant"</formula>
    </cfRule>
  </conditionalFormatting>
  <conditionalFormatting sqref="X69:X78">
    <cfRule type="expression" dxfId="1078" priority="234">
      <formula>X$68=""</formula>
    </cfRule>
  </conditionalFormatting>
  <conditionalFormatting sqref="X71:X76">
    <cfRule type="expression" dxfId="1077" priority="236">
      <formula>X71&lt;&gt;""</formula>
    </cfRule>
  </conditionalFormatting>
  <conditionalFormatting sqref="Y6:Y9 Y17:Y22 Y24:Y45 Y54:Y63">
    <cfRule type="expression" dxfId="1076" priority="1452" stopIfTrue="1">
      <formula>X$16=""</formula>
    </cfRule>
  </conditionalFormatting>
  <conditionalFormatting sqref="Y17">
    <cfRule type="expression" dxfId="1075" priority="1462">
      <formula>Y17&lt;&gt;""</formula>
    </cfRule>
  </conditionalFormatting>
  <conditionalFormatting sqref="Y19">
    <cfRule type="expression" dxfId="1074" priority="1477">
      <formula>Y19&lt;&gt;""</formula>
    </cfRule>
  </conditionalFormatting>
  <conditionalFormatting sqref="Y24">
    <cfRule type="expression" dxfId="1073" priority="1476">
      <formula>Y24&lt;&gt;""</formula>
    </cfRule>
  </conditionalFormatting>
  <conditionalFormatting sqref="Y27">
    <cfRule type="expression" dxfId="1072" priority="1475">
      <formula>Y27&lt;&gt;""</formula>
    </cfRule>
  </conditionalFormatting>
  <conditionalFormatting sqref="Y31">
    <cfRule type="expression" dxfId="1071" priority="1474">
      <formula>Y31&lt;&gt;""</formula>
    </cfRule>
  </conditionalFormatting>
  <conditionalFormatting sqref="Y37">
    <cfRule type="expression" dxfId="1070" priority="1473">
      <formula>Y37&lt;&gt;""</formula>
    </cfRule>
  </conditionalFormatting>
  <conditionalFormatting sqref="Y39">
    <cfRule type="expression" dxfId="1069" priority="1463">
      <formula>Y39&lt;&gt;""</formula>
    </cfRule>
  </conditionalFormatting>
  <conditionalFormatting sqref="Y54">
    <cfRule type="expression" dxfId="1068" priority="1459">
      <formula>Y54&lt;&gt;""</formula>
    </cfRule>
  </conditionalFormatting>
  <conditionalFormatting sqref="Y58">
    <cfRule type="expression" dxfId="1067" priority="1472">
      <formula>Y58&lt;&gt;""</formula>
    </cfRule>
  </conditionalFormatting>
  <conditionalFormatting sqref="Y62">
    <cfRule type="expression" dxfId="1066" priority="1471">
      <formula>Y62&lt;&gt;""</formula>
    </cfRule>
  </conditionalFormatting>
  <conditionalFormatting sqref="Y63">
    <cfRule type="expression" dxfId="1065" priority="1466">
      <formula>Y63&lt;&gt;""</formula>
    </cfRule>
  </conditionalFormatting>
  <conditionalFormatting sqref="Y69">
    <cfRule type="expression" dxfId="1064" priority="235">
      <formula>Y69&lt;&gt;""</formula>
    </cfRule>
  </conditionalFormatting>
  <conditionalFormatting sqref="Y69:Y78">
    <cfRule type="expression" dxfId="1063" priority="233">
      <formula>X$68=""</formula>
    </cfRule>
  </conditionalFormatting>
  <conditionalFormatting sqref="Y77">
    <cfRule type="expression" dxfId="1062" priority="240">
      <formula>Y77&lt;&gt;""</formula>
    </cfRule>
  </conditionalFormatting>
  <conditionalFormatting sqref="Y78">
    <cfRule type="expression" dxfId="1061" priority="239">
      <formula>Y78&lt;&gt;""</formula>
    </cfRule>
  </conditionalFormatting>
  <conditionalFormatting sqref="Z17:Z45 Z6:Z9 AA16 Z54:Z63">
    <cfRule type="expression" dxfId="1060" priority="1414">
      <formula>Z$16=""</formula>
    </cfRule>
  </conditionalFormatting>
  <conditionalFormatting sqref="Z22">
    <cfRule type="expression" dxfId="1059" priority="1426">
      <formula>Z22&lt;&gt;""</formula>
    </cfRule>
  </conditionalFormatting>
  <conditionalFormatting sqref="Z26">
    <cfRule type="expression" dxfId="1058" priority="1422">
      <formula>Z26&lt;&gt;""</formula>
    </cfRule>
  </conditionalFormatting>
  <conditionalFormatting sqref="Z28">
    <cfRule type="expression" dxfId="1057" priority="1410">
      <formula>Z28&lt;&gt;""</formula>
    </cfRule>
  </conditionalFormatting>
  <conditionalFormatting sqref="Z29:Z30">
    <cfRule type="expression" dxfId="1056" priority="1421">
      <formula>Z29&lt;&gt;""</formula>
    </cfRule>
  </conditionalFormatting>
  <conditionalFormatting sqref="Z32:Z33">
    <cfRule type="expression" dxfId="1055" priority="1439">
      <formula>Z32&lt;&gt;""</formula>
    </cfRule>
  </conditionalFormatting>
  <conditionalFormatting sqref="Z34:Z35">
    <cfRule type="expression" dxfId="1054" priority="1408">
      <formula>Z34&lt;&gt;""</formula>
    </cfRule>
  </conditionalFormatting>
  <conditionalFormatting sqref="Z38">
    <cfRule type="expression" dxfId="1053" priority="1442">
      <formula>Z38&lt;&gt;""</formula>
    </cfRule>
  </conditionalFormatting>
  <conditionalFormatting sqref="Z41:Z44">
    <cfRule type="expression" dxfId="1052" priority="1415">
      <formula>Z41&lt;&gt;""</formula>
    </cfRule>
  </conditionalFormatting>
  <conditionalFormatting sqref="Z48">
    <cfRule type="expression" dxfId="1051" priority="1430">
      <formula>Z16="Ambulant"</formula>
    </cfRule>
    <cfRule type="expression" dxfId="1050" priority="1412">
      <formula>Z$16=""</formula>
    </cfRule>
  </conditionalFormatting>
  <conditionalFormatting sqref="Z69:Z78">
    <cfRule type="expression" dxfId="1049" priority="226">
      <formula>Z$68=""</formula>
    </cfRule>
  </conditionalFormatting>
  <conditionalFormatting sqref="Z71:Z76">
    <cfRule type="expression" dxfId="1048" priority="228">
      <formula>Z71&lt;&gt;""</formula>
    </cfRule>
  </conditionalFormatting>
  <conditionalFormatting sqref="AA6:AA9 AA17:AA22 AA24:AA45 AA54:AA63">
    <cfRule type="expression" dxfId="1047" priority="1413" stopIfTrue="1">
      <formula>Z$16=""</formula>
    </cfRule>
  </conditionalFormatting>
  <conditionalFormatting sqref="AA17">
    <cfRule type="expression" dxfId="1046" priority="1423">
      <formula>AA17&lt;&gt;""</formula>
    </cfRule>
  </conditionalFormatting>
  <conditionalFormatting sqref="AA19">
    <cfRule type="expression" dxfId="1045" priority="1438">
      <formula>AA19&lt;&gt;""</formula>
    </cfRule>
  </conditionalFormatting>
  <conditionalFormatting sqref="AA24">
    <cfRule type="expression" dxfId="1044" priority="1437">
      <formula>AA24&lt;&gt;""</formula>
    </cfRule>
  </conditionalFormatting>
  <conditionalFormatting sqref="AA27">
    <cfRule type="expression" dxfId="1043" priority="1436">
      <formula>AA27&lt;&gt;""</formula>
    </cfRule>
  </conditionalFormatting>
  <conditionalFormatting sqref="AA31">
    <cfRule type="expression" dxfId="1042" priority="1435">
      <formula>AA31&lt;&gt;""</formula>
    </cfRule>
  </conditionalFormatting>
  <conditionalFormatting sqref="AA37">
    <cfRule type="expression" dxfId="1041" priority="1434">
      <formula>AA37&lt;&gt;""</formula>
    </cfRule>
  </conditionalFormatting>
  <conditionalFormatting sqref="AA39">
    <cfRule type="expression" dxfId="1040" priority="1424">
      <formula>AA39&lt;&gt;""</formula>
    </cfRule>
  </conditionalFormatting>
  <conditionalFormatting sqref="AA54">
    <cfRule type="expression" dxfId="1039" priority="1420">
      <formula>AA54&lt;&gt;""</formula>
    </cfRule>
  </conditionalFormatting>
  <conditionalFormatting sqref="AA58">
    <cfRule type="expression" dxfId="1038" priority="1433">
      <formula>AA58&lt;&gt;""</formula>
    </cfRule>
  </conditionalFormatting>
  <conditionalFormatting sqref="AA62">
    <cfRule type="expression" dxfId="1037" priority="1432">
      <formula>AA62&lt;&gt;""</formula>
    </cfRule>
  </conditionalFormatting>
  <conditionalFormatting sqref="AA63">
    <cfRule type="expression" dxfId="1036" priority="1427">
      <formula>AA63&lt;&gt;""</formula>
    </cfRule>
  </conditionalFormatting>
  <conditionalFormatting sqref="AA69">
    <cfRule type="expression" dxfId="1035" priority="227">
      <formula>AA69&lt;&gt;""</formula>
    </cfRule>
  </conditionalFormatting>
  <conditionalFormatting sqref="AA69:AA78">
    <cfRule type="expression" dxfId="1034" priority="225">
      <formula>Z$68=""</formula>
    </cfRule>
  </conditionalFormatting>
  <conditionalFormatting sqref="AA77">
    <cfRule type="expression" dxfId="1033" priority="232">
      <formula>AA77&lt;&gt;""</formula>
    </cfRule>
  </conditionalFormatting>
  <conditionalFormatting sqref="AA78">
    <cfRule type="expression" dxfId="1032" priority="231">
      <formula>AA78&lt;&gt;""</formula>
    </cfRule>
  </conditionalFormatting>
  <conditionalFormatting sqref="AB17:AB45 AB6:AB9 AC16 AB54:AB63">
    <cfRule type="expression" dxfId="1031" priority="1375">
      <formula>AB$16=""</formula>
    </cfRule>
  </conditionalFormatting>
  <conditionalFormatting sqref="AB22">
    <cfRule type="expression" dxfId="1030" priority="1387">
      <formula>AB22&lt;&gt;""</formula>
    </cfRule>
  </conditionalFormatting>
  <conditionalFormatting sqref="AB26">
    <cfRule type="expression" dxfId="1029" priority="1383">
      <formula>AB26&lt;&gt;""</formula>
    </cfRule>
  </conditionalFormatting>
  <conditionalFormatting sqref="AB28">
    <cfRule type="expression" dxfId="1028" priority="1371">
      <formula>AB28&lt;&gt;""</formula>
    </cfRule>
  </conditionalFormatting>
  <conditionalFormatting sqref="AB29:AB30">
    <cfRule type="expression" dxfId="1027" priority="1382">
      <formula>AB29&lt;&gt;""</formula>
    </cfRule>
  </conditionalFormatting>
  <conditionalFormatting sqref="AB32:AB33">
    <cfRule type="expression" dxfId="1026" priority="1400">
      <formula>AB32&lt;&gt;""</formula>
    </cfRule>
  </conditionalFormatting>
  <conditionalFormatting sqref="AB34:AB35">
    <cfRule type="expression" dxfId="1025" priority="1369">
      <formula>AB34&lt;&gt;""</formula>
    </cfRule>
  </conditionalFormatting>
  <conditionalFormatting sqref="AB38">
    <cfRule type="expression" dxfId="1024" priority="1403">
      <formula>AB38&lt;&gt;""</formula>
    </cfRule>
  </conditionalFormatting>
  <conditionalFormatting sqref="AB41:AB44">
    <cfRule type="expression" dxfId="1023" priority="1376">
      <formula>AB41&lt;&gt;""</formula>
    </cfRule>
  </conditionalFormatting>
  <conditionalFormatting sqref="AB48">
    <cfRule type="expression" dxfId="1022" priority="1391">
      <formula>AB16="Ambulant"</formula>
    </cfRule>
    <cfRule type="expression" dxfId="1021" priority="1373">
      <formula>AB$16=""</formula>
    </cfRule>
  </conditionalFormatting>
  <conditionalFormatting sqref="AB69:AB78">
    <cfRule type="expression" dxfId="1020" priority="218">
      <formula>AB$68=""</formula>
    </cfRule>
  </conditionalFormatting>
  <conditionalFormatting sqref="AB71:AB76">
    <cfRule type="expression" dxfId="1019" priority="220">
      <formula>AB71&lt;&gt;""</formula>
    </cfRule>
  </conditionalFormatting>
  <conditionalFormatting sqref="AC6:AC9 AC17:AC22 AC24:AC45 AC54:AC63">
    <cfRule type="expression" dxfId="1018" priority="1374" stopIfTrue="1">
      <formula>AB$16=""</formula>
    </cfRule>
  </conditionalFormatting>
  <conditionalFormatting sqref="AC17">
    <cfRule type="expression" dxfId="1017" priority="1384">
      <formula>AC17&lt;&gt;""</formula>
    </cfRule>
  </conditionalFormatting>
  <conditionalFormatting sqref="AC19">
    <cfRule type="expression" dxfId="1016" priority="1399">
      <formula>AC19&lt;&gt;""</formula>
    </cfRule>
  </conditionalFormatting>
  <conditionalFormatting sqref="AC24">
    <cfRule type="expression" dxfId="1015" priority="1398">
      <formula>AC24&lt;&gt;""</formula>
    </cfRule>
  </conditionalFormatting>
  <conditionalFormatting sqref="AC27">
    <cfRule type="expression" dxfId="1014" priority="1397">
      <formula>AC27&lt;&gt;""</formula>
    </cfRule>
  </conditionalFormatting>
  <conditionalFormatting sqref="AC31">
    <cfRule type="expression" dxfId="1013" priority="1396">
      <formula>AC31&lt;&gt;""</formula>
    </cfRule>
  </conditionalFormatting>
  <conditionalFormatting sqref="AC37">
    <cfRule type="expression" dxfId="1012" priority="1395">
      <formula>AC37&lt;&gt;""</formula>
    </cfRule>
  </conditionalFormatting>
  <conditionalFormatting sqref="AC39">
    <cfRule type="expression" dxfId="1011" priority="1385">
      <formula>AC39&lt;&gt;""</formula>
    </cfRule>
  </conditionalFormatting>
  <conditionalFormatting sqref="AC54">
    <cfRule type="expression" dxfId="1010" priority="1381">
      <formula>AC54&lt;&gt;""</formula>
    </cfRule>
  </conditionalFormatting>
  <conditionalFormatting sqref="AC58">
    <cfRule type="expression" dxfId="1009" priority="1394">
      <formula>AC58&lt;&gt;""</formula>
    </cfRule>
  </conditionalFormatting>
  <conditionalFormatting sqref="AC62">
    <cfRule type="expression" dxfId="1008" priority="1393">
      <formula>AC62&lt;&gt;""</formula>
    </cfRule>
  </conditionalFormatting>
  <conditionalFormatting sqref="AC63">
    <cfRule type="expression" dxfId="1007" priority="1388">
      <formula>AC63&lt;&gt;""</formula>
    </cfRule>
  </conditionalFormatting>
  <conditionalFormatting sqref="AC69">
    <cfRule type="expression" dxfId="1006" priority="219">
      <formula>AC69&lt;&gt;""</formula>
    </cfRule>
  </conditionalFormatting>
  <conditionalFormatting sqref="AC69:AC78">
    <cfRule type="expression" dxfId="1005" priority="217">
      <formula>AB$68=""</formula>
    </cfRule>
  </conditionalFormatting>
  <conditionalFormatting sqref="AC77">
    <cfRule type="expression" dxfId="1004" priority="224">
      <formula>AC77&lt;&gt;""</formula>
    </cfRule>
  </conditionalFormatting>
  <conditionalFormatting sqref="AC78">
    <cfRule type="expression" dxfId="1003" priority="223">
      <formula>AC78&lt;&gt;""</formula>
    </cfRule>
  </conditionalFormatting>
  <conditionalFormatting sqref="AD17:AD45 AD6:AD9 AE16 AD54:AD63">
    <cfRule type="expression" dxfId="1002" priority="1336">
      <formula>AD$16=""</formula>
    </cfRule>
  </conditionalFormatting>
  <conditionalFormatting sqref="AD22">
    <cfRule type="expression" dxfId="1001" priority="1348">
      <formula>AD22&lt;&gt;""</formula>
    </cfRule>
  </conditionalFormatting>
  <conditionalFormatting sqref="AD26">
    <cfRule type="expression" dxfId="1000" priority="1344">
      <formula>AD26&lt;&gt;""</formula>
    </cfRule>
  </conditionalFormatting>
  <conditionalFormatting sqref="AD28">
    <cfRule type="expression" dxfId="999" priority="1332">
      <formula>AD28&lt;&gt;""</formula>
    </cfRule>
  </conditionalFormatting>
  <conditionalFormatting sqref="AD29:AD30">
    <cfRule type="expression" dxfId="998" priority="1343">
      <formula>AD29&lt;&gt;""</formula>
    </cfRule>
  </conditionalFormatting>
  <conditionalFormatting sqref="AD32:AD33">
    <cfRule type="expression" dxfId="997" priority="1361">
      <formula>AD32&lt;&gt;""</formula>
    </cfRule>
  </conditionalFormatting>
  <conditionalFormatting sqref="AD34:AD35">
    <cfRule type="expression" dxfId="996" priority="1330">
      <formula>AD34&lt;&gt;""</formula>
    </cfRule>
  </conditionalFormatting>
  <conditionalFormatting sqref="AD38">
    <cfRule type="expression" dxfId="995" priority="1364">
      <formula>AD38&lt;&gt;""</formula>
    </cfRule>
  </conditionalFormatting>
  <conditionalFormatting sqref="AD41:AD44">
    <cfRule type="expression" dxfId="994" priority="1337">
      <formula>AD41&lt;&gt;""</formula>
    </cfRule>
  </conditionalFormatting>
  <conditionalFormatting sqref="AD48">
    <cfRule type="expression" dxfId="993" priority="1334">
      <formula>AD$16=""</formula>
    </cfRule>
    <cfRule type="expression" dxfId="992" priority="1352">
      <formula>AD16="Ambulant"</formula>
    </cfRule>
  </conditionalFormatting>
  <conditionalFormatting sqref="AD69:AD78">
    <cfRule type="expression" dxfId="991" priority="210">
      <formula>AD$68=""</formula>
    </cfRule>
  </conditionalFormatting>
  <conditionalFormatting sqref="AD71:AD76">
    <cfRule type="expression" dxfId="990" priority="212">
      <formula>AD71&lt;&gt;""</formula>
    </cfRule>
  </conditionalFormatting>
  <conditionalFormatting sqref="AE6:AE9 AE17:AE22 AE24:AE45 AE54:AE63">
    <cfRule type="expression" dxfId="989" priority="1335" stopIfTrue="1">
      <formula>AD$16=""</formula>
    </cfRule>
  </conditionalFormatting>
  <conditionalFormatting sqref="AE17">
    <cfRule type="expression" dxfId="988" priority="1345">
      <formula>AE17&lt;&gt;""</formula>
    </cfRule>
  </conditionalFormatting>
  <conditionalFormatting sqref="AE19">
    <cfRule type="expression" dxfId="987" priority="1360">
      <formula>AE19&lt;&gt;""</formula>
    </cfRule>
  </conditionalFormatting>
  <conditionalFormatting sqref="AE24">
    <cfRule type="expression" dxfId="986" priority="1359">
      <formula>AE24&lt;&gt;""</formula>
    </cfRule>
  </conditionalFormatting>
  <conditionalFormatting sqref="AE27">
    <cfRule type="expression" dxfId="985" priority="1358">
      <formula>AE27&lt;&gt;""</formula>
    </cfRule>
  </conditionalFormatting>
  <conditionalFormatting sqref="AE31">
    <cfRule type="expression" dxfId="984" priority="1357">
      <formula>AE31&lt;&gt;""</formula>
    </cfRule>
  </conditionalFormatting>
  <conditionalFormatting sqref="AE37">
    <cfRule type="expression" dxfId="983" priority="1356">
      <formula>AE37&lt;&gt;""</formula>
    </cfRule>
  </conditionalFormatting>
  <conditionalFormatting sqref="AE39">
    <cfRule type="expression" dxfId="982" priority="1346">
      <formula>AE39&lt;&gt;""</formula>
    </cfRule>
  </conditionalFormatting>
  <conditionalFormatting sqref="AE54">
    <cfRule type="expression" dxfId="981" priority="1342">
      <formula>AE54&lt;&gt;""</formula>
    </cfRule>
  </conditionalFormatting>
  <conditionalFormatting sqref="AE58">
    <cfRule type="expression" dxfId="980" priority="1355">
      <formula>AE58&lt;&gt;""</formula>
    </cfRule>
  </conditionalFormatting>
  <conditionalFormatting sqref="AE62">
    <cfRule type="expression" dxfId="979" priority="1354">
      <formula>AE62&lt;&gt;""</formula>
    </cfRule>
  </conditionalFormatting>
  <conditionalFormatting sqref="AE63">
    <cfRule type="expression" dxfId="978" priority="1349">
      <formula>AE63&lt;&gt;""</formula>
    </cfRule>
  </conditionalFormatting>
  <conditionalFormatting sqref="AE69">
    <cfRule type="expression" dxfId="977" priority="211">
      <formula>AE69&lt;&gt;""</formula>
    </cfRule>
  </conditionalFormatting>
  <conditionalFormatting sqref="AE69:AE78">
    <cfRule type="expression" dxfId="976" priority="209">
      <formula>AD$68=""</formula>
    </cfRule>
  </conditionalFormatting>
  <conditionalFormatting sqref="AE77">
    <cfRule type="expression" dxfId="975" priority="216">
      <formula>AE77&lt;&gt;""</formula>
    </cfRule>
  </conditionalFormatting>
  <conditionalFormatting sqref="AE78">
    <cfRule type="expression" dxfId="974" priority="215">
      <formula>AE78&lt;&gt;""</formula>
    </cfRule>
  </conditionalFormatting>
  <conditionalFormatting sqref="AF17:AF45 AF6:AF9 AG16 AF54:AF63">
    <cfRule type="expression" dxfId="973" priority="1297">
      <formula>AF$16=""</formula>
    </cfRule>
  </conditionalFormatting>
  <conditionalFormatting sqref="AF22">
    <cfRule type="expression" dxfId="972" priority="1309">
      <formula>AF22&lt;&gt;""</formula>
    </cfRule>
  </conditionalFormatting>
  <conditionalFormatting sqref="AF26">
    <cfRule type="expression" dxfId="971" priority="1305">
      <formula>AF26&lt;&gt;""</formula>
    </cfRule>
  </conditionalFormatting>
  <conditionalFormatting sqref="AF28">
    <cfRule type="expression" dxfId="970" priority="1293">
      <formula>AF28&lt;&gt;""</formula>
    </cfRule>
  </conditionalFormatting>
  <conditionalFormatting sqref="AF29:AF30">
    <cfRule type="expression" dxfId="969" priority="1304">
      <formula>AF29&lt;&gt;""</formula>
    </cfRule>
  </conditionalFormatting>
  <conditionalFormatting sqref="AF32:AF33">
    <cfRule type="expression" dxfId="968" priority="1322">
      <formula>AF32&lt;&gt;""</formula>
    </cfRule>
  </conditionalFormatting>
  <conditionalFormatting sqref="AF34:AF35">
    <cfRule type="expression" dxfId="967" priority="1291">
      <formula>AF34&lt;&gt;""</formula>
    </cfRule>
  </conditionalFormatting>
  <conditionalFormatting sqref="AF38">
    <cfRule type="expression" dxfId="966" priority="1325">
      <formula>AF38&lt;&gt;""</formula>
    </cfRule>
  </conditionalFormatting>
  <conditionalFormatting sqref="AF41:AF44">
    <cfRule type="expression" dxfId="965" priority="1298">
      <formula>AF41&lt;&gt;""</formula>
    </cfRule>
  </conditionalFormatting>
  <conditionalFormatting sqref="AF48">
    <cfRule type="expression" dxfId="964" priority="1295">
      <formula>AF$16=""</formula>
    </cfRule>
    <cfRule type="expression" dxfId="963" priority="1313">
      <formula>AF16="Ambulant"</formula>
    </cfRule>
  </conditionalFormatting>
  <conditionalFormatting sqref="AF69:AF78">
    <cfRule type="expression" dxfId="962" priority="202">
      <formula>AF$68=""</formula>
    </cfRule>
  </conditionalFormatting>
  <conditionalFormatting sqref="AF71:AF76">
    <cfRule type="expression" dxfId="961" priority="204">
      <formula>AF71&lt;&gt;""</formula>
    </cfRule>
  </conditionalFormatting>
  <conditionalFormatting sqref="AG6:AG9 AG17:AG22 AG24:AG45 AG54:AG63">
    <cfRule type="expression" dxfId="960" priority="1296" stopIfTrue="1">
      <formula>AF$16=""</formula>
    </cfRule>
  </conditionalFormatting>
  <conditionalFormatting sqref="AG17">
    <cfRule type="expression" dxfId="959" priority="1306">
      <formula>AG17&lt;&gt;""</formula>
    </cfRule>
  </conditionalFormatting>
  <conditionalFormatting sqref="AG19">
    <cfRule type="expression" dxfId="958" priority="1321">
      <formula>AG19&lt;&gt;""</formula>
    </cfRule>
  </conditionalFormatting>
  <conditionalFormatting sqref="AG24">
    <cfRule type="expression" dxfId="957" priority="1320">
      <formula>AG24&lt;&gt;""</formula>
    </cfRule>
  </conditionalFormatting>
  <conditionalFormatting sqref="AG27">
    <cfRule type="expression" dxfId="956" priority="1319">
      <formula>AG27&lt;&gt;""</formula>
    </cfRule>
  </conditionalFormatting>
  <conditionalFormatting sqref="AG31">
    <cfRule type="expression" dxfId="955" priority="1318">
      <formula>AG31&lt;&gt;""</formula>
    </cfRule>
  </conditionalFormatting>
  <conditionalFormatting sqref="AG37">
    <cfRule type="expression" dxfId="954" priority="1317">
      <formula>AG37&lt;&gt;""</formula>
    </cfRule>
  </conditionalFormatting>
  <conditionalFormatting sqref="AG39">
    <cfRule type="expression" dxfId="953" priority="1307">
      <formula>AG39&lt;&gt;""</formula>
    </cfRule>
  </conditionalFormatting>
  <conditionalFormatting sqref="AG54">
    <cfRule type="expression" dxfId="952" priority="1303">
      <formula>AG54&lt;&gt;""</formula>
    </cfRule>
  </conditionalFormatting>
  <conditionalFormatting sqref="AG58">
    <cfRule type="expression" dxfId="951" priority="1316">
      <formula>AG58&lt;&gt;""</formula>
    </cfRule>
  </conditionalFormatting>
  <conditionalFormatting sqref="AG62">
    <cfRule type="expression" dxfId="950" priority="1315">
      <formula>AG62&lt;&gt;""</formula>
    </cfRule>
  </conditionalFormatting>
  <conditionalFormatting sqref="AG63">
    <cfRule type="expression" dxfId="949" priority="1310">
      <formula>AG63&lt;&gt;""</formula>
    </cfRule>
  </conditionalFormatting>
  <conditionalFormatting sqref="AG69">
    <cfRule type="expression" dxfId="948" priority="203">
      <formula>AG69&lt;&gt;""</formula>
    </cfRule>
  </conditionalFormatting>
  <conditionalFormatting sqref="AG69:AG78">
    <cfRule type="expression" dxfId="947" priority="201">
      <formula>AF$68=""</formula>
    </cfRule>
  </conditionalFormatting>
  <conditionalFormatting sqref="AG77">
    <cfRule type="expression" dxfId="946" priority="208">
      <formula>AG77&lt;&gt;""</formula>
    </cfRule>
  </conditionalFormatting>
  <conditionalFormatting sqref="AG78">
    <cfRule type="expression" dxfId="945" priority="207">
      <formula>AG78&lt;&gt;""</formula>
    </cfRule>
  </conditionalFormatting>
  <conditionalFormatting sqref="AH17:AH45 AH6:AH9 AI16 AH54:AH63">
    <cfRule type="expression" dxfId="944" priority="1258">
      <formula>AH$16=""</formula>
    </cfRule>
  </conditionalFormatting>
  <conditionalFormatting sqref="AH22">
    <cfRule type="expression" dxfId="943" priority="1270">
      <formula>AH22&lt;&gt;""</formula>
    </cfRule>
  </conditionalFormatting>
  <conditionalFormatting sqref="AH26">
    <cfRule type="expression" dxfId="942" priority="1266">
      <formula>AH26&lt;&gt;""</formula>
    </cfRule>
  </conditionalFormatting>
  <conditionalFormatting sqref="AH28">
    <cfRule type="expression" dxfId="941" priority="1254">
      <formula>AH28&lt;&gt;""</formula>
    </cfRule>
  </conditionalFormatting>
  <conditionalFormatting sqref="AH29:AH30">
    <cfRule type="expression" dxfId="940" priority="1265">
      <formula>AH29&lt;&gt;""</formula>
    </cfRule>
  </conditionalFormatting>
  <conditionalFormatting sqref="AH32:AH33">
    <cfRule type="expression" dxfId="939" priority="1283">
      <formula>AH32&lt;&gt;""</formula>
    </cfRule>
  </conditionalFormatting>
  <conditionalFormatting sqref="AH34:AH35">
    <cfRule type="expression" dxfId="938" priority="1252">
      <formula>AH34&lt;&gt;""</formula>
    </cfRule>
  </conditionalFormatting>
  <conditionalFormatting sqref="AH38">
    <cfRule type="expression" dxfId="937" priority="1286">
      <formula>AH38&lt;&gt;""</formula>
    </cfRule>
  </conditionalFormatting>
  <conditionalFormatting sqref="AH41:AH44">
    <cfRule type="expression" dxfId="936" priority="1259">
      <formula>AH41&lt;&gt;""</formula>
    </cfRule>
  </conditionalFormatting>
  <conditionalFormatting sqref="AH48">
    <cfRule type="expression" dxfId="935" priority="1274">
      <formula>AH16="Ambulant"</formula>
    </cfRule>
    <cfRule type="expression" dxfId="934" priority="1256">
      <formula>AH$16=""</formula>
    </cfRule>
  </conditionalFormatting>
  <conditionalFormatting sqref="AH69:AH78">
    <cfRule type="expression" dxfId="933" priority="194">
      <formula>AH$68=""</formula>
    </cfRule>
  </conditionalFormatting>
  <conditionalFormatting sqref="AH71:AH76">
    <cfRule type="expression" dxfId="932" priority="196">
      <formula>AH71&lt;&gt;""</formula>
    </cfRule>
  </conditionalFormatting>
  <conditionalFormatting sqref="AI6:AI9 AI17:AI22 AI24:AI45 AI54:AI63">
    <cfRule type="expression" dxfId="931" priority="1257" stopIfTrue="1">
      <formula>AH$16=""</formula>
    </cfRule>
  </conditionalFormatting>
  <conditionalFormatting sqref="AI17">
    <cfRule type="expression" dxfId="930" priority="1267">
      <formula>AI17&lt;&gt;""</formula>
    </cfRule>
  </conditionalFormatting>
  <conditionalFormatting sqref="AI19">
    <cfRule type="expression" dxfId="929" priority="1282">
      <formula>AI19&lt;&gt;""</formula>
    </cfRule>
  </conditionalFormatting>
  <conditionalFormatting sqref="AI24">
    <cfRule type="expression" dxfId="928" priority="1281">
      <formula>AI24&lt;&gt;""</formula>
    </cfRule>
  </conditionalFormatting>
  <conditionalFormatting sqref="AI27">
    <cfRule type="expression" dxfId="927" priority="1280">
      <formula>AI27&lt;&gt;""</formula>
    </cfRule>
  </conditionalFormatting>
  <conditionalFormatting sqref="AI31">
    <cfRule type="expression" dxfId="926" priority="1279">
      <formula>AI31&lt;&gt;""</formula>
    </cfRule>
  </conditionalFormatting>
  <conditionalFormatting sqref="AI37">
    <cfRule type="expression" dxfId="925" priority="1278">
      <formula>AI37&lt;&gt;""</formula>
    </cfRule>
  </conditionalFormatting>
  <conditionalFormatting sqref="AI39">
    <cfRule type="expression" dxfId="924" priority="1268">
      <formula>AI39&lt;&gt;""</formula>
    </cfRule>
  </conditionalFormatting>
  <conditionalFormatting sqref="AI54">
    <cfRule type="expression" dxfId="923" priority="1264">
      <formula>AI54&lt;&gt;""</formula>
    </cfRule>
  </conditionalFormatting>
  <conditionalFormatting sqref="AI58">
    <cfRule type="expression" dxfId="922" priority="1277">
      <formula>AI58&lt;&gt;""</formula>
    </cfRule>
  </conditionalFormatting>
  <conditionalFormatting sqref="AI62">
    <cfRule type="expression" dxfId="921" priority="1276">
      <formula>AI62&lt;&gt;""</formula>
    </cfRule>
  </conditionalFormatting>
  <conditionalFormatting sqref="AI63">
    <cfRule type="expression" dxfId="920" priority="1271">
      <formula>AI63&lt;&gt;""</formula>
    </cfRule>
  </conditionalFormatting>
  <conditionalFormatting sqref="AI69">
    <cfRule type="expression" dxfId="919" priority="195">
      <formula>AI69&lt;&gt;""</formula>
    </cfRule>
  </conditionalFormatting>
  <conditionalFormatting sqref="AI69:AI78">
    <cfRule type="expression" dxfId="918" priority="193">
      <formula>AH$68=""</formula>
    </cfRule>
  </conditionalFormatting>
  <conditionalFormatting sqref="AI77">
    <cfRule type="expression" dxfId="917" priority="200">
      <formula>AI77&lt;&gt;""</formula>
    </cfRule>
  </conditionalFormatting>
  <conditionalFormatting sqref="AI78">
    <cfRule type="expression" dxfId="916" priority="199">
      <formula>AI78&lt;&gt;""</formula>
    </cfRule>
  </conditionalFormatting>
  <conditionalFormatting sqref="AJ17:AJ45 AJ6:AJ9 AK16 AJ54:AJ63">
    <cfRule type="expression" dxfId="915" priority="1219">
      <formula>AJ$16=""</formula>
    </cfRule>
  </conditionalFormatting>
  <conditionalFormatting sqref="AJ22">
    <cfRule type="expression" dxfId="914" priority="1231">
      <formula>AJ22&lt;&gt;""</formula>
    </cfRule>
  </conditionalFormatting>
  <conditionalFormatting sqref="AJ26">
    <cfRule type="expression" dxfId="913" priority="1227">
      <formula>AJ26&lt;&gt;""</formula>
    </cfRule>
  </conditionalFormatting>
  <conditionalFormatting sqref="AJ28">
    <cfRule type="expression" dxfId="912" priority="1215">
      <formula>AJ28&lt;&gt;""</formula>
    </cfRule>
  </conditionalFormatting>
  <conditionalFormatting sqref="AJ29:AJ30">
    <cfRule type="expression" dxfId="911" priority="1226">
      <formula>AJ29&lt;&gt;""</formula>
    </cfRule>
  </conditionalFormatting>
  <conditionalFormatting sqref="AJ32:AJ33">
    <cfRule type="expression" dxfId="910" priority="1244">
      <formula>AJ32&lt;&gt;""</formula>
    </cfRule>
  </conditionalFormatting>
  <conditionalFormatting sqref="AJ34:AJ35">
    <cfRule type="expression" dxfId="909" priority="1213">
      <formula>AJ34&lt;&gt;""</formula>
    </cfRule>
  </conditionalFormatting>
  <conditionalFormatting sqref="AJ38">
    <cfRule type="expression" dxfId="908" priority="1247">
      <formula>AJ38&lt;&gt;""</formula>
    </cfRule>
  </conditionalFormatting>
  <conditionalFormatting sqref="AJ41:AJ44">
    <cfRule type="expression" dxfId="907" priority="1220">
      <formula>AJ41&lt;&gt;""</formula>
    </cfRule>
  </conditionalFormatting>
  <conditionalFormatting sqref="AJ48">
    <cfRule type="expression" dxfId="906" priority="1217">
      <formula>AJ$16=""</formula>
    </cfRule>
    <cfRule type="expression" dxfId="905" priority="1235">
      <formula>AJ16="Ambulant"</formula>
    </cfRule>
  </conditionalFormatting>
  <conditionalFormatting sqref="AJ69:AJ78">
    <cfRule type="expression" dxfId="904" priority="186">
      <formula>AJ$68=""</formula>
    </cfRule>
  </conditionalFormatting>
  <conditionalFormatting sqref="AJ71:AJ76">
    <cfRule type="expression" dxfId="903" priority="188">
      <formula>AJ71&lt;&gt;""</formula>
    </cfRule>
  </conditionalFormatting>
  <conditionalFormatting sqref="AK6:AK9 AK17:AK22 AK24:AK45 AK54:AK63">
    <cfRule type="expression" dxfId="902" priority="1218" stopIfTrue="1">
      <formula>AJ$16=""</formula>
    </cfRule>
  </conditionalFormatting>
  <conditionalFormatting sqref="AK17">
    <cfRule type="expression" dxfId="901" priority="1228">
      <formula>AK17&lt;&gt;""</formula>
    </cfRule>
  </conditionalFormatting>
  <conditionalFormatting sqref="AK19">
    <cfRule type="expression" dxfId="900" priority="1243">
      <formula>AK19&lt;&gt;""</formula>
    </cfRule>
  </conditionalFormatting>
  <conditionalFormatting sqref="AK24">
    <cfRule type="expression" dxfId="899" priority="1242">
      <formula>AK24&lt;&gt;""</formula>
    </cfRule>
  </conditionalFormatting>
  <conditionalFormatting sqref="AK27">
    <cfRule type="expression" dxfId="898" priority="1241">
      <formula>AK27&lt;&gt;""</formula>
    </cfRule>
  </conditionalFormatting>
  <conditionalFormatting sqref="AK31">
    <cfRule type="expression" dxfId="897" priority="1240">
      <formula>AK31&lt;&gt;""</formula>
    </cfRule>
  </conditionalFormatting>
  <conditionalFormatting sqref="AK37">
    <cfRule type="expression" dxfId="896" priority="1239">
      <formula>AK37&lt;&gt;""</formula>
    </cfRule>
  </conditionalFormatting>
  <conditionalFormatting sqref="AK39">
    <cfRule type="expression" dxfId="895" priority="1229">
      <formula>AK39&lt;&gt;""</formula>
    </cfRule>
  </conditionalFormatting>
  <conditionalFormatting sqref="AK54">
    <cfRule type="expression" dxfId="894" priority="1225">
      <formula>AK54&lt;&gt;""</formula>
    </cfRule>
  </conditionalFormatting>
  <conditionalFormatting sqref="AK58">
    <cfRule type="expression" dxfId="893" priority="1238">
      <formula>AK58&lt;&gt;""</formula>
    </cfRule>
  </conditionalFormatting>
  <conditionalFormatting sqref="AK62">
    <cfRule type="expression" dxfId="892" priority="1237">
      <formula>AK62&lt;&gt;""</formula>
    </cfRule>
  </conditionalFormatting>
  <conditionalFormatting sqref="AK63">
    <cfRule type="expression" dxfId="891" priority="1232">
      <formula>AK63&lt;&gt;""</formula>
    </cfRule>
  </conditionalFormatting>
  <conditionalFormatting sqref="AK69">
    <cfRule type="expression" dxfId="890" priority="187">
      <formula>AK69&lt;&gt;""</formula>
    </cfRule>
  </conditionalFormatting>
  <conditionalFormatting sqref="AK69:AK78">
    <cfRule type="expression" dxfId="889" priority="185">
      <formula>AJ$68=""</formula>
    </cfRule>
  </conditionalFormatting>
  <conditionalFormatting sqref="AK77">
    <cfRule type="expression" dxfId="888" priority="192">
      <formula>AK77&lt;&gt;""</formula>
    </cfRule>
  </conditionalFormatting>
  <conditionalFormatting sqref="AK78">
    <cfRule type="expression" dxfId="887" priority="191">
      <formula>AK78&lt;&gt;""</formula>
    </cfRule>
  </conditionalFormatting>
  <conditionalFormatting sqref="AL17:AL45 AL6:AL9 AM16 AL54:AL63">
    <cfRule type="expression" dxfId="886" priority="1180">
      <formula>AL$16=""</formula>
    </cfRule>
  </conditionalFormatting>
  <conditionalFormatting sqref="AL22">
    <cfRule type="expression" dxfId="885" priority="1192">
      <formula>AL22&lt;&gt;""</formula>
    </cfRule>
  </conditionalFormatting>
  <conditionalFormatting sqref="AL26">
    <cfRule type="expression" dxfId="884" priority="1188">
      <formula>AL26&lt;&gt;""</formula>
    </cfRule>
  </conditionalFormatting>
  <conditionalFormatting sqref="AL28">
    <cfRule type="expression" dxfId="883" priority="1176">
      <formula>AL28&lt;&gt;""</formula>
    </cfRule>
  </conditionalFormatting>
  <conditionalFormatting sqref="AL29:AL30">
    <cfRule type="expression" dxfId="882" priority="1187">
      <formula>AL29&lt;&gt;""</formula>
    </cfRule>
  </conditionalFormatting>
  <conditionalFormatting sqref="AL32:AL33">
    <cfRule type="expression" dxfId="881" priority="1205">
      <formula>AL32&lt;&gt;""</formula>
    </cfRule>
  </conditionalFormatting>
  <conditionalFormatting sqref="AL34:AL35">
    <cfRule type="expression" dxfId="880" priority="1174">
      <formula>AL34&lt;&gt;""</formula>
    </cfRule>
  </conditionalFormatting>
  <conditionalFormatting sqref="AL38">
    <cfRule type="expression" dxfId="879" priority="1208">
      <formula>AL38&lt;&gt;""</formula>
    </cfRule>
  </conditionalFormatting>
  <conditionalFormatting sqref="AL41:AL44">
    <cfRule type="expression" dxfId="878" priority="1181">
      <formula>AL41&lt;&gt;""</formula>
    </cfRule>
  </conditionalFormatting>
  <conditionalFormatting sqref="AL48">
    <cfRule type="expression" dxfId="877" priority="1178">
      <formula>AL$16=""</formula>
    </cfRule>
    <cfRule type="expression" dxfId="876" priority="1196">
      <formula>AL16="Ambulant"</formula>
    </cfRule>
  </conditionalFormatting>
  <conditionalFormatting sqref="AL69:AL78">
    <cfRule type="expression" dxfId="875" priority="178">
      <formula>AL$68=""</formula>
    </cfRule>
  </conditionalFormatting>
  <conditionalFormatting sqref="AL71:AL76">
    <cfRule type="expression" dxfId="874" priority="180">
      <formula>AL71&lt;&gt;""</formula>
    </cfRule>
  </conditionalFormatting>
  <conditionalFormatting sqref="AM6:AM9 AM17:AM22 AM24:AM45 AM54:AM63">
    <cfRule type="expression" dxfId="873" priority="1179" stopIfTrue="1">
      <formula>AL$16=""</formula>
    </cfRule>
  </conditionalFormatting>
  <conditionalFormatting sqref="AM17">
    <cfRule type="expression" dxfId="872" priority="1189">
      <formula>AM17&lt;&gt;""</formula>
    </cfRule>
  </conditionalFormatting>
  <conditionalFormatting sqref="AM19">
    <cfRule type="expression" dxfId="871" priority="1204">
      <formula>AM19&lt;&gt;""</formula>
    </cfRule>
  </conditionalFormatting>
  <conditionalFormatting sqref="AM24">
    <cfRule type="expression" dxfId="870" priority="1203">
      <formula>AM24&lt;&gt;""</formula>
    </cfRule>
  </conditionalFormatting>
  <conditionalFormatting sqref="AM27">
    <cfRule type="expression" dxfId="869" priority="1202">
      <formula>AM27&lt;&gt;""</formula>
    </cfRule>
  </conditionalFormatting>
  <conditionalFormatting sqref="AM31">
    <cfRule type="expression" dxfId="868" priority="1201">
      <formula>AM31&lt;&gt;""</formula>
    </cfRule>
  </conditionalFormatting>
  <conditionalFormatting sqref="AM37">
    <cfRule type="expression" dxfId="867" priority="1200">
      <formula>AM37&lt;&gt;""</formula>
    </cfRule>
  </conditionalFormatting>
  <conditionalFormatting sqref="AM39">
    <cfRule type="expression" dxfId="866" priority="1190">
      <formula>AM39&lt;&gt;""</formula>
    </cfRule>
  </conditionalFormatting>
  <conditionalFormatting sqref="AM54">
    <cfRule type="expression" dxfId="865" priority="1186">
      <formula>AM54&lt;&gt;""</formula>
    </cfRule>
  </conditionalFormatting>
  <conditionalFormatting sqref="AM58">
    <cfRule type="expression" dxfId="864" priority="1199">
      <formula>AM58&lt;&gt;""</formula>
    </cfRule>
  </conditionalFormatting>
  <conditionalFormatting sqref="AM62">
    <cfRule type="expression" dxfId="863" priority="1198">
      <formula>AM62&lt;&gt;""</formula>
    </cfRule>
  </conditionalFormatting>
  <conditionalFormatting sqref="AM63">
    <cfRule type="expression" dxfId="862" priority="1193">
      <formula>AM63&lt;&gt;""</formula>
    </cfRule>
  </conditionalFormatting>
  <conditionalFormatting sqref="AM69">
    <cfRule type="expression" dxfId="861" priority="179">
      <formula>AM69&lt;&gt;""</formula>
    </cfRule>
  </conditionalFormatting>
  <conditionalFormatting sqref="AM69:AM78">
    <cfRule type="expression" dxfId="860" priority="177">
      <formula>AL$68=""</formula>
    </cfRule>
  </conditionalFormatting>
  <conditionalFormatting sqref="AM77">
    <cfRule type="expression" dxfId="859" priority="184">
      <formula>AM77&lt;&gt;""</formula>
    </cfRule>
  </conditionalFormatting>
  <conditionalFormatting sqref="AM78">
    <cfRule type="expression" dxfId="858" priority="183">
      <formula>AM78&lt;&gt;""</formula>
    </cfRule>
  </conditionalFormatting>
  <conditionalFormatting sqref="AN17:AN45 AN6:AN9 AO16 AN54:AN63">
    <cfRule type="expression" dxfId="857" priority="1141">
      <formula>AN$16=""</formula>
    </cfRule>
  </conditionalFormatting>
  <conditionalFormatting sqref="AN22">
    <cfRule type="expression" dxfId="856" priority="1153">
      <formula>AN22&lt;&gt;""</formula>
    </cfRule>
  </conditionalFormatting>
  <conditionalFormatting sqref="AN26">
    <cfRule type="expression" dxfId="855" priority="1149">
      <formula>AN26&lt;&gt;""</formula>
    </cfRule>
  </conditionalFormatting>
  <conditionalFormatting sqref="AN28">
    <cfRule type="expression" dxfId="854" priority="1137">
      <formula>AN28&lt;&gt;""</formula>
    </cfRule>
  </conditionalFormatting>
  <conditionalFormatting sqref="AN29:AN30">
    <cfRule type="expression" dxfId="853" priority="1148">
      <formula>AN29&lt;&gt;""</formula>
    </cfRule>
  </conditionalFormatting>
  <conditionalFormatting sqref="AN32:AN33">
    <cfRule type="expression" dxfId="852" priority="1166">
      <formula>AN32&lt;&gt;""</formula>
    </cfRule>
  </conditionalFormatting>
  <conditionalFormatting sqref="AN34:AN35">
    <cfRule type="expression" dxfId="851" priority="1135">
      <formula>AN34&lt;&gt;""</formula>
    </cfRule>
  </conditionalFormatting>
  <conditionalFormatting sqref="AN38">
    <cfRule type="expression" dxfId="850" priority="1169">
      <formula>AN38&lt;&gt;""</formula>
    </cfRule>
  </conditionalFormatting>
  <conditionalFormatting sqref="AN41:AN44">
    <cfRule type="expression" dxfId="849" priority="1142">
      <formula>AN41&lt;&gt;""</formula>
    </cfRule>
  </conditionalFormatting>
  <conditionalFormatting sqref="AN48">
    <cfRule type="expression" dxfId="848" priority="1157">
      <formula>AN16="Ambulant"</formula>
    </cfRule>
    <cfRule type="expression" dxfId="847" priority="1139">
      <formula>AN$16=""</formula>
    </cfRule>
  </conditionalFormatting>
  <conditionalFormatting sqref="AN69:AN78">
    <cfRule type="expression" dxfId="846" priority="170">
      <formula>AN$68=""</formula>
    </cfRule>
  </conditionalFormatting>
  <conditionalFormatting sqref="AN71:AN76">
    <cfRule type="expression" dxfId="845" priority="172">
      <formula>AN71&lt;&gt;""</formula>
    </cfRule>
  </conditionalFormatting>
  <conditionalFormatting sqref="AO6:AO9 AO17:AO22 AO24:AO45 AO54:AO63">
    <cfRule type="expression" dxfId="844" priority="1140" stopIfTrue="1">
      <formula>AN$16=""</formula>
    </cfRule>
  </conditionalFormatting>
  <conditionalFormatting sqref="AO17">
    <cfRule type="expression" dxfId="843" priority="1150">
      <formula>AO17&lt;&gt;""</formula>
    </cfRule>
  </conditionalFormatting>
  <conditionalFormatting sqref="AO19">
    <cfRule type="expression" dxfId="842" priority="1165">
      <formula>AO19&lt;&gt;""</formula>
    </cfRule>
  </conditionalFormatting>
  <conditionalFormatting sqref="AO24">
    <cfRule type="expression" dxfId="841" priority="1164">
      <formula>AO24&lt;&gt;""</formula>
    </cfRule>
  </conditionalFormatting>
  <conditionalFormatting sqref="AO27">
    <cfRule type="expression" dxfId="840" priority="1163">
      <formula>AO27&lt;&gt;""</formula>
    </cfRule>
  </conditionalFormatting>
  <conditionalFormatting sqref="AO31">
    <cfRule type="expression" dxfId="839" priority="1162">
      <formula>AO31&lt;&gt;""</formula>
    </cfRule>
  </conditionalFormatting>
  <conditionalFormatting sqref="AO37">
    <cfRule type="expression" dxfId="838" priority="1161">
      <formula>AO37&lt;&gt;""</formula>
    </cfRule>
  </conditionalFormatting>
  <conditionalFormatting sqref="AO39">
    <cfRule type="expression" dxfId="837" priority="1151">
      <formula>AO39&lt;&gt;""</formula>
    </cfRule>
  </conditionalFormatting>
  <conditionalFormatting sqref="AO54">
    <cfRule type="expression" dxfId="836" priority="1147">
      <formula>AO54&lt;&gt;""</formula>
    </cfRule>
  </conditionalFormatting>
  <conditionalFormatting sqref="AO58">
    <cfRule type="expression" dxfId="835" priority="1160">
      <formula>AO58&lt;&gt;""</formula>
    </cfRule>
  </conditionalFormatting>
  <conditionalFormatting sqref="AO62">
    <cfRule type="expression" dxfId="834" priority="1159">
      <formula>AO62&lt;&gt;""</formula>
    </cfRule>
  </conditionalFormatting>
  <conditionalFormatting sqref="AO63">
    <cfRule type="expression" dxfId="833" priority="1154">
      <formula>AO63&lt;&gt;""</formula>
    </cfRule>
  </conditionalFormatting>
  <conditionalFormatting sqref="AO69">
    <cfRule type="expression" dxfId="832" priority="171">
      <formula>AO69&lt;&gt;""</formula>
    </cfRule>
  </conditionalFormatting>
  <conditionalFormatting sqref="AO69:AO78">
    <cfRule type="expression" dxfId="831" priority="169">
      <formula>AN$68=""</formula>
    </cfRule>
  </conditionalFormatting>
  <conditionalFormatting sqref="AO77">
    <cfRule type="expression" dxfId="830" priority="176">
      <formula>AO77&lt;&gt;""</formula>
    </cfRule>
  </conditionalFormatting>
  <conditionalFormatting sqref="AO78">
    <cfRule type="expression" dxfId="829" priority="175">
      <formula>AO78&lt;&gt;""</formula>
    </cfRule>
  </conditionalFormatting>
  <conditionalFormatting sqref="AP17:AP45 AP6:AP9 AQ16 AP54:AP63">
    <cfRule type="expression" dxfId="828" priority="1102">
      <formula>AP$16=""</formula>
    </cfRule>
  </conditionalFormatting>
  <conditionalFormatting sqref="AP22">
    <cfRule type="expression" dxfId="827" priority="1114">
      <formula>AP22&lt;&gt;""</formula>
    </cfRule>
  </conditionalFormatting>
  <conditionalFormatting sqref="AP26">
    <cfRule type="expression" dxfId="826" priority="1110">
      <formula>AP26&lt;&gt;""</formula>
    </cfRule>
  </conditionalFormatting>
  <conditionalFormatting sqref="AP28">
    <cfRule type="expression" dxfId="825" priority="1098">
      <formula>AP28&lt;&gt;""</formula>
    </cfRule>
  </conditionalFormatting>
  <conditionalFormatting sqref="AP29:AP30">
    <cfRule type="expression" dxfId="824" priority="1109">
      <formula>AP29&lt;&gt;""</formula>
    </cfRule>
  </conditionalFormatting>
  <conditionalFormatting sqref="AP32:AP33">
    <cfRule type="expression" dxfId="823" priority="1127">
      <formula>AP32&lt;&gt;""</formula>
    </cfRule>
  </conditionalFormatting>
  <conditionalFormatting sqref="AP34:AP35">
    <cfRule type="expression" dxfId="822" priority="1096">
      <formula>AP34&lt;&gt;""</formula>
    </cfRule>
  </conditionalFormatting>
  <conditionalFormatting sqref="AP38">
    <cfRule type="expression" dxfId="821" priority="1130">
      <formula>AP38&lt;&gt;""</formula>
    </cfRule>
  </conditionalFormatting>
  <conditionalFormatting sqref="AP41:AP44">
    <cfRule type="expression" dxfId="820" priority="1103">
      <formula>AP41&lt;&gt;""</formula>
    </cfRule>
  </conditionalFormatting>
  <conditionalFormatting sqref="AP48">
    <cfRule type="expression" dxfId="819" priority="1100">
      <formula>AP$16=""</formula>
    </cfRule>
    <cfRule type="expression" dxfId="818" priority="1118">
      <formula>AP16="Ambulant"</formula>
    </cfRule>
  </conditionalFormatting>
  <conditionalFormatting sqref="AP69:AP78">
    <cfRule type="expression" dxfId="817" priority="162">
      <formula>AP$68=""</formula>
    </cfRule>
  </conditionalFormatting>
  <conditionalFormatting sqref="AP71:AP76">
    <cfRule type="expression" dxfId="816" priority="164">
      <formula>AP71&lt;&gt;""</formula>
    </cfRule>
  </conditionalFormatting>
  <conditionalFormatting sqref="AQ6:AQ9 AQ17:AQ22 AQ24:AQ45 AQ54:AQ63">
    <cfRule type="expression" dxfId="815" priority="1101" stopIfTrue="1">
      <formula>AP$16=""</formula>
    </cfRule>
  </conditionalFormatting>
  <conditionalFormatting sqref="AQ17">
    <cfRule type="expression" dxfId="814" priority="1111">
      <formula>AQ17&lt;&gt;""</formula>
    </cfRule>
  </conditionalFormatting>
  <conditionalFormatting sqref="AQ19">
    <cfRule type="expression" dxfId="813" priority="1126">
      <formula>AQ19&lt;&gt;""</formula>
    </cfRule>
  </conditionalFormatting>
  <conditionalFormatting sqref="AQ24">
    <cfRule type="expression" dxfId="812" priority="1125">
      <formula>AQ24&lt;&gt;""</formula>
    </cfRule>
  </conditionalFormatting>
  <conditionalFormatting sqref="AQ27">
    <cfRule type="expression" dxfId="811" priority="1124">
      <formula>AQ27&lt;&gt;""</formula>
    </cfRule>
  </conditionalFormatting>
  <conditionalFormatting sqref="AQ31">
    <cfRule type="expression" dxfId="810" priority="1123">
      <formula>AQ31&lt;&gt;""</formula>
    </cfRule>
  </conditionalFormatting>
  <conditionalFormatting sqref="AQ37">
    <cfRule type="expression" dxfId="809" priority="1122">
      <formula>AQ37&lt;&gt;""</formula>
    </cfRule>
  </conditionalFormatting>
  <conditionalFormatting sqref="AQ39">
    <cfRule type="expression" dxfId="808" priority="1112">
      <formula>AQ39&lt;&gt;""</formula>
    </cfRule>
  </conditionalFormatting>
  <conditionalFormatting sqref="AQ54">
    <cfRule type="expression" dxfId="807" priority="1108">
      <formula>AQ54&lt;&gt;""</formula>
    </cfRule>
  </conditionalFormatting>
  <conditionalFormatting sqref="AQ58">
    <cfRule type="expression" dxfId="806" priority="1121">
      <formula>AQ58&lt;&gt;""</formula>
    </cfRule>
  </conditionalFormatting>
  <conditionalFormatting sqref="AQ62">
    <cfRule type="expression" dxfId="805" priority="1120">
      <formula>AQ62&lt;&gt;""</formula>
    </cfRule>
  </conditionalFormatting>
  <conditionalFormatting sqref="AQ63">
    <cfRule type="expression" dxfId="804" priority="1115">
      <formula>AQ63&lt;&gt;""</formula>
    </cfRule>
  </conditionalFormatting>
  <conditionalFormatting sqref="AQ69">
    <cfRule type="expression" dxfId="803" priority="163">
      <formula>AQ69&lt;&gt;""</formula>
    </cfRule>
  </conditionalFormatting>
  <conditionalFormatting sqref="AQ69:AQ78">
    <cfRule type="expression" dxfId="802" priority="161">
      <formula>AP$68=""</formula>
    </cfRule>
  </conditionalFormatting>
  <conditionalFormatting sqref="AQ77">
    <cfRule type="expression" dxfId="801" priority="168">
      <formula>AQ77&lt;&gt;""</formula>
    </cfRule>
  </conditionalFormatting>
  <conditionalFormatting sqref="AQ78">
    <cfRule type="expression" dxfId="800" priority="167">
      <formula>AQ78&lt;&gt;""</formula>
    </cfRule>
  </conditionalFormatting>
  <conditionalFormatting sqref="AR17:AR45 AR6:AR9 AS16 AR54:AR63">
    <cfRule type="expression" dxfId="799" priority="1063">
      <formula>AR$16=""</formula>
    </cfRule>
  </conditionalFormatting>
  <conditionalFormatting sqref="AR22">
    <cfRule type="expression" dxfId="798" priority="1075">
      <formula>AR22&lt;&gt;""</formula>
    </cfRule>
  </conditionalFormatting>
  <conditionalFormatting sqref="AR26">
    <cfRule type="expression" dxfId="797" priority="1071">
      <formula>AR26&lt;&gt;""</formula>
    </cfRule>
  </conditionalFormatting>
  <conditionalFormatting sqref="AR28">
    <cfRule type="expression" dxfId="796" priority="1059">
      <formula>AR28&lt;&gt;""</formula>
    </cfRule>
  </conditionalFormatting>
  <conditionalFormatting sqref="AR29:AR30">
    <cfRule type="expression" dxfId="795" priority="1070">
      <formula>AR29&lt;&gt;""</formula>
    </cfRule>
  </conditionalFormatting>
  <conditionalFormatting sqref="AR32:AR33">
    <cfRule type="expression" dxfId="794" priority="1088">
      <formula>AR32&lt;&gt;""</formula>
    </cfRule>
  </conditionalFormatting>
  <conditionalFormatting sqref="AR34:AR35">
    <cfRule type="expression" dxfId="793" priority="1057">
      <formula>AR34&lt;&gt;""</formula>
    </cfRule>
  </conditionalFormatting>
  <conditionalFormatting sqref="AR38">
    <cfRule type="expression" dxfId="792" priority="1091">
      <formula>AR38&lt;&gt;""</formula>
    </cfRule>
  </conditionalFormatting>
  <conditionalFormatting sqref="AR41:AR44">
    <cfRule type="expression" dxfId="791" priority="1064">
      <formula>AR41&lt;&gt;""</formula>
    </cfRule>
  </conditionalFormatting>
  <conditionalFormatting sqref="AR48">
    <cfRule type="expression" dxfId="790" priority="1061">
      <formula>AR$16=""</formula>
    </cfRule>
    <cfRule type="expression" dxfId="789" priority="1079">
      <formula>AR16="Ambulant"</formula>
    </cfRule>
  </conditionalFormatting>
  <conditionalFormatting sqref="AR69:AR78">
    <cfRule type="expression" dxfId="788" priority="154">
      <formula>AR$68=""</formula>
    </cfRule>
  </conditionalFormatting>
  <conditionalFormatting sqref="AR71:AR76">
    <cfRule type="expression" dxfId="787" priority="156">
      <formula>AR71&lt;&gt;""</formula>
    </cfRule>
  </conditionalFormatting>
  <conditionalFormatting sqref="AS6:AS9 AS17:AS22 AS24:AS45 AS54:AS63">
    <cfRule type="expression" dxfId="786" priority="1062" stopIfTrue="1">
      <formula>AR$16=""</formula>
    </cfRule>
  </conditionalFormatting>
  <conditionalFormatting sqref="AS17">
    <cfRule type="expression" dxfId="785" priority="1072">
      <formula>AS17&lt;&gt;""</formula>
    </cfRule>
  </conditionalFormatting>
  <conditionalFormatting sqref="AS19">
    <cfRule type="expression" dxfId="784" priority="1087">
      <formula>AS19&lt;&gt;""</formula>
    </cfRule>
  </conditionalFormatting>
  <conditionalFormatting sqref="AS24">
    <cfRule type="expression" dxfId="783" priority="1086">
      <formula>AS24&lt;&gt;""</formula>
    </cfRule>
  </conditionalFormatting>
  <conditionalFormatting sqref="AS27">
    <cfRule type="expression" dxfId="782" priority="1085">
      <formula>AS27&lt;&gt;""</formula>
    </cfRule>
  </conditionalFormatting>
  <conditionalFormatting sqref="AS31">
    <cfRule type="expression" dxfId="781" priority="1084">
      <formula>AS31&lt;&gt;""</formula>
    </cfRule>
  </conditionalFormatting>
  <conditionalFormatting sqref="AS37">
    <cfRule type="expression" dxfId="780" priority="1083">
      <formula>AS37&lt;&gt;""</formula>
    </cfRule>
  </conditionalFormatting>
  <conditionalFormatting sqref="AS39">
    <cfRule type="expression" dxfId="779" priority="1073">
      <formula>AS39&lt;&gt;""</formula>
    </cfRule>
  </conditionalFormatting>
  <conditionalFormatting sqref="AS54">
    <cfRule type="expression" dxfId="778" priority="1069">
      <formula>AS54&lt;&gt;""</formula>
    </cfRule>
  </conditionalFormatting>
  <conditionalFormatting sqref="AS58">
    <cfRule type="expression" dxfId="777" priority="1082">
      <formula>AS58&lt;&gt;""</formula>
    </cfRule>
  </conditionalFormatting>
  <conditionalFormatting sqref="AS62">
    <cfRule type="expression" dxfId="776" priority="1081">
      <formula>AS62&lt;&gt;""</formula>
    </cfRule>
  </conditionalFormatting>
  <conditionalFormatting sqref="AS63">
    <cfRule type="expression" dxfId="775" priority="1076">
      <formula>AS63&lt;&gt;""</formula>
    </cfRule>
  </conditionalFormatting>
  <conditionalFormatting sqref="AS69">
    <cfRule type="expression" dxfId="774" priority="155">
      <formula>AS69&lt;&gt;""</formula>
    </cfRule>
  </conditionalFormatting>
  <conditionalFormatting sqref="AS69:AS78">
    <cfRule type="expression" dxfId="773" priority="153">
      <formula>AR$68=""</formula>
    </cfRule>
  </conditionalFormatting>
  <conditionalFormatting sqref="AS77">
    <cfRule type="expression" dxfId="772" priority="160">
      <formula>AS77&lt;&gt;""</formula>
    </cfRule>
  </conditionalFormatting>
  <conditionalFormatting sqref="AS78">
    <cfRule type="expression" dxfId="771" priority="159">
      <formula>AS78&lt;&gt;""</formula>
    </cfRule>
  </conditionalFormatting>
  <conditionalFormatting sqref="AT17:AT45 AT6:AT9 AU16 AT54:AT63">
    <cfRule type="expression" dxfId="770" priority="1024">
      <formula>AT$16=""</formula>
    </cfRule>
  </conditionalFormatting>
  <conditionalFormatting sqref="AT22">
    <cfRule type="expression" dxfId="769" priority="1036">
      <formula>AT22&lt;&gt;""</formula>
    </cfRule>
  </conditionalFormatting>
  <conditionalFormatting sqref="AT26">
    <cfRule type="expression" dxfId="768" priority="1032">
      <formula>AT26&lt;&gt;""</formula>
    </cfRule>
  </conditionalFormatting>
  <conditionalFormatting sqref="AT28">
    <cfRule type="expression" dxfId="767" priority="1020">
      <formula>AT28&lt;&gt;""</formula>
    </cfRule>
  </conditionalFormatting>
  <conditionalFormatting sqref="AT29:AT30">
    <cfRule type="expression" dxfId="766" priority="1031">
      <formula>AT29&lt;&gt;""</formula>
    </cfRule>
  </conditionalFormatting>
  <conditionalFormatting sqref="AT32:AT33">
    <cfRule type="expression" dxfId="765" priority="1049">
      <formula>AT32&lt;&gt;""</formula>
    </cfRule>
  </conditionalFormatting>
  <conditionalFormatting sqref="AT34:AT35">
    <cfRule type="expression" dxfId="764" priority="1018">
      <formula>AT34&lt;&gt;""</formula>
    </cfRule>
  </conditionalFormatting>
  <conditionalFormatting sqref="AT38">
    <cfRule type="expression" dxfId="763" priority="1052">
      <formula>AT38&lt;&gt;""</formula>
    </cfRule>
  </conditionalFormatting>
  <conditionalFormatting sqref="AT41:AT44">
    <cfRule type="expression" dxfId="762" priority="1025">
      <formula>AT41&lt;&gt;""</formula>
    </cfRule>
  </conditionalFormatting>
  <conditionalFormatting sqref="AT48">
    <cfRule type="expression" dxfId="761" priority="1040">
      <formula>AT16="Ambulant"</formula>
    </cfRule>
    <cfRule type="expression" dxfId="760" priority="1022">
      <formula>AT$16=""</formula>
    </cfRule>
  </conditionalFormatting>
  <conditionalFormatting sqref="AT69:AT78">
    <cfRule type="expression" dxfId="759" priority="146">
      <formula>AT$68=""</formula>
    </cfRule>
  </conditionalFormatting>
  <conditionalFormatting sqref="AT71:AT76">
    <cfRule type="expression" dxfId="758" priority="148">
      <formula>AT71&lt;&gt;""</formula>
    </cfRule>
  </conditionalFormatting>
  <conditionalFormatting sqref="AU6:AU9 AU17:AU22 AU24:AU45 AU54:AU63">
    <cfRule type="expression" dxfId="757" priority="1023" stopIfTrue="1">
      <formula>AT$16=""</formula>
    </cfRule>
  </conditionalFormatting>
  <conditionalFormatting sqref="AU17">
    <cfRule type="expression" dxfId="756" priority="1033">
      <formula>AU17&lt;&gt;""</formula>
    </cfRule>
  </conditionalFormatting>
  <conditionalFormatting sqref="AU19">
    <cfRule type="expression" dxfId="755" priority="1048">
      <formula>AU19&lt;&gt;""</formula>
    </cfRule>
  </conditionalFormatting>
  <conditionalFormatting sqref="AU24">
    <cfRule type="expression" dxfId="754" priority="1047">
      <formula>AU24&lt;&gt;""</formula>
    </cfRule>
  </conditionalFormatting>
  <conditionalFormatting sqref="AU27">
    <cfRule type="expression" dxfId="753" priority="1046">
      <formula>AU27&lt;&gt;""</formula>
    </cfRule>
  </conditionalFormatting>
  <conditionalFormatting sqref="AU31">
    <cfRule type="expression" dxfId="752" priority="1045">
      <formula>AU31&lt;&gt;""</formula>
    </cfRule>
  </conditionalFormatting>
  <conditionalFormatting sqref="AU37">
    <cfRule type="expression" dxfId="751" priority="1044">
      <formula>AU37&lt;&gt;""</formula>
    </cfRule>
  </conditionalFormatting>
  <conditionalFormatting sqref="AU39">
    <cfRule type="expression" dxfId="750" priority="1034">
      <formula>AU39&lt;&gt;""</formula>
    </cfRule>
  </conditionalFormatting>
  <conditionalFormatting sqref="AU54">
    <cfRule type="expression" dxfId="749" priority="1030">
      <formula>AU54&lt;&gt;""</formula>
    </cfRule>
  </conditionalFormatting>
  <conditionalFormatting sqref="AU58">
    <cfRule type="expression" dxfId="748" priority="1043">
      <formula>AU58&lt;&gt;""</formula>
    </cfRule>
  </conditionalFormatting>
  <conditionalFormatting sqref="AU62">
    <cfRule type="expression" dxfId="747" priority="1042">
      <formula>AU62&lt;&gt;""</formula>
    </cfRule>
  </conditionalFormatting>
  <conditionalFormatting sqref="AU63">
    <cfRule type="expression" dxfId="746" priority="1037">
      <formula>AU63&lt;&gt;""</formula>
    </cfRule>
  </conditionalFormatting>
  <conditionalFormatting sqref="AU69">
    <cfRule type="expression" dxfId="745" priority="147">
      <formula>AU69&lt;&gt;""</formula>
    </cfRule>
  </conditionalFormatting>
  <conditionalFormatting sqref="AU69:AU78">
    <cfRule type="expression" dxfId="744" priority="145">
      <formula>AT$68=""</formula>
    </cfRule>
  </conditionalFormatting>
  <conditionalFormatting sqref="AU77">
    <cfRule type="expression" dxfId="743" priority="152">
      <formula>AU77&lt;&gt;""</formula>
    </cfRule>
  </conditionalFormatting>
  <conditionalFormatting sqref="AU78">
    <cfRule type="expression" dxfId="742" priority="151">
      <formula>AU78&lt;&gt;""</formula>
    </cfRule>
  </conditionalFormatting>
  <conditionalFormatting sqref="AV17:AV45 AV6:AV9 AW16 AV54:AV63">
    <cfRule type="expression" dxfId="741" priority="985">
      <formula>AV$16=""</formula>
    </cfRule>
  </conditionalFormatting>
  <conditionalFormatting sqref="AV22">
    <cfRule type="expression" dxfId="740" priority="997">
      <formula>AV22&lt;&gt;""</formula>
    </cfRule>
  </conditionalFormatting>
  <conditionalFormatting sqref="AV26">
    <cfRule type="expression" dxfId="739" priority="993">
      <formula>AV26&lt;&gt;""</formula>
    </cfRule>
  </conditionalFormatting>
  <conditionalFormatting sqref="AV28">
    <cfRule type="expression" dxfId="738" priority="981">
      <formula>AV28&lt;&gt;""</formula>
    </cfRule>
  </conditionalFormatting>
  <conditionalFormatting sqref="AV29:AV30">
    <cfRule type="expression" dxfId="737" priority="992">
      <formula>AV29&lt;&gt;""</formula>
    </cfRule>
  </conditionalFormatting>
  <conditionalFormatting sqref="AV32:AV33">
    <cfRule type="expression" dxfId="736" priority="1010">
      <formula>AV32&lt;&gt;""</formula>
    </cfRule>
  </conditionalFormatting>
  <conditionalFormatting sqref="AV34:AV35">
    <cfRule type="expression" dxfId="735" priority="979">
      <formula>AV34&lt;&gt;""</formula>
    </cfRule>
  </conditionalFormatting>
  <conditionalFormatting sqref="AV38">
    <cfRule type="expression" dxfId="734" priority="1013">
      <formula>AV38&lt;&gt;""</formula>
    </cfRule>
  </conditionalFormatting>
  <conditionalFormatting sqref="AV41:AV44">
    <cfRule type="expression" dxfId="733" priority="986">
      <formula>AV41&lt;&gt;""</formula>
    </cfRule>
  </conditionalFormatting>
  <conditionalFormatting sqref="AV48">
    <cfRule type="expression" dxfId="732" priority="1001">
      <formula>AV16="Ambulant"</formula>
    </cfRule>
    <cfRule type="expression" dxfId="731" priority="983">
      <formula>AV$16=""</formula>
    </cfRule>
  </conditionalFormatting>
  <conditionalFormatting sqref="AV69:AV78">
    <cfRule type="expression" dxfId="730" priority="138">
      <formula>AV$68=""</formula>
    </cfRule>
  </conditionalFormatting>
  <conditionalFormatting sqref="AV71:AV76">
    <cfRule type="expression" dxfId="729" priority="140">
      <formula>AV71&lt;&gt;""</formula>
    </cfRule>
  </conditionalFormatting>
  <conditionalFormatting sqref="AW6:AW9 AW17:AW22 AW24:AW45 AW54:AW63">
    <cfRule type="expression" dxfId="728" priority="984" stopIfTrue="1">
      <formula>AV$16=""</formula>
    </cfRule>
  </conditionalFormatting>
  <conditionalFormatting sqref="AW17">
    <cfRule type="expression" dxfId="727" priority="994">
      <formula>AW17&lt;&gt;""</formula>
    </cfRule>
  </conditionalFormatting>
  <conditionalFormatting sqref="AW19">
    <cfRule type="expression" dxfId="726" priority="1009">
      <formula>AW19&lt;&gt;""</formula>
    </cfRule>
  </conditionalFormatting>
  <conditionalFormatting sqref="AW24">
    <cfRule type="expression" dxfId="725" priority="1008">
      <formula>AW24&lt;&gt;""</formula>
    </cfRule>
  </conditionalFormatting>
  <conditionalFormatting sqref="AW27">
    <cfRule type="expression" dxfId="724" priority="1007">
      <formula>AW27&lt;&gt;""</formula>
    </cfRule>
  </conditionalFormatting>
  <conditionalFormatting sqref="AW31">
    <cfRule type="expression" dxfId="723" priority="1006">
      <formula>AW31&lt;&gt;""</formula>
    </cfRule>
  </conditionalFormatting>
  <conditionalFormatting sqref="AW37">
    <cfRule type="expression" dxfId="722" priority="1005">
      <formula>AW37&lt;&gt;""</formula>
    </cfRule>
  </conditionalFormatting>
  <conditionalFormatting sqref="AW39">
    <cfRule type="expression" dxfId="721" priority="995">
      <formula>AW39&lt;&gt;""</formula>
    </cfRule>
  </conditionalFormatting>
  <conditionalFormatting sqref="AW54">
    <cfRule type="expression" dxfId="720" priority="991">
      <formula>AW54&lt;&gt;""</formula>
    </cfRule>
  </conditionalFormatting>
  <conditionalFormatting sqref="AW58">
    <cfRule type="expression" dxfId="719" priority="1004">
      <formula>AW58&lt;&gt;""</formula>
    </cfRule>
  </conditionalFormatting>
  <conditionalFormatting sqref="AW62">
    <cfRule type="expression" dxfId="718" priority="1003">
      <formula>AW62&lt;&gt;""</formula>
    </cfRule>
  </conditionalFormatting>
  <conditionalFormatting sqref="AW63">
    <cfRule type="expression" dxfId="717" priority="998">
      <formula>AW63&lt;&gt;""</formula>
    </cfRule>
  </conditionalFormatting>
  <conditionalFormatting sqref="AW69">
    <cfRule type="expression" dxfId="716" priority="139">
      <formula>AW69&lt;&gt;""</formula>
    </cfRule>
  </conditionalFormatting>
  <conditionalFormatting sqref="AW69:AW78">
    <cfRule type="expression" dxfId="715" priority="137">
      <formula>AV$68=""</formula>
    </cfRule>
  </conditionalFormatting>
  <conditionalFormatting sqref="AW77">
    <cfRule type="expression" dxfId="714" priority="144">
      <formula>AW77&lt;&gt;""</formula>
    </cfRule>
  </conditionalFormatting>
  <conditionalFormatting sqref="AW78">
    <cfRule type="expression" dxfId="713" priority="143">
      <formula>AW78&lt;&gt;""</formula>
    </cfRule>
  </conditionalFormatting>
  <conditionalFormatting sqref="AX17:AX45 AX6:AX9 AY16 AX54:AX63">
    <cfRule type="expression" dxfId="712" priority="946">
      <formula>AX$16=""</formula>
    </cfRule>
  </conditionalFormatting>
  <conditionalFormatting sqref="AX22">
    <cfRule type="expression" dxfId="711" priority="958">
      <formula>AX22&lt;&gt;""</formula>
    </cfRule>
  </conditionalFormatting>
  <conditionalFormatting sqref="AX26">
    <cfRule type="expression" dxfId="710" priority="954">
      <formula>AX26&lt;&gt;""</formula>
    </cfRule>
  </conditionalFormatting>
  <conditionalFormatting sqref="AX28">
    <cfRule type="expression" dxfId="709" priority="942">
      <formula>AX28&lt;&gt;""</formula>
    </cfRule>
  </conditionalFormatting>
  <conditionalFormatting sqref="AX29:AX30">
    <cfRule type="expression" dxfId="708" priority="953">
      <formula>AX29&lt;&gt;""</formula>
    </cfRule>
  </conditionalFormatting>
  <conditionalFormatting sqref="AX32:AX33">
    <cfRule type="expression" dxfId="707" priority="971">
      <formula>AX32&lt;&gt;""</formula>
    </cfRule>
  </conditionalFormatting>
  <conditionalFormatting sqref="AX34:AX35">
    <cfRule type="expression" dxfId="706" priority="940">
      <formula>AX34&lt;&gt;""</formula>
    </cfRule>
  </conditionalFormatting>
  <conditionalFormatting sqref="AX38">
    <cfRule type="expression" dxfId="705" priority="974">
      <formula>AX38&lt;&gt;""</formula>
    </cfRule>
  </conditionalFormatting>
  <conditionalFormatting sqref="AX41:AX44">
    <cfRule type="expression" dxfId="704" priority="947">
      <formula>AX41&lt;&gt;""</formula>
    </cfRule>
  </conditionalFormatting>
  <conditionalFormatting sqref="AX48">
    <cfRule type="expression" dxfId="703" priority="944">
      <formula>AX$16=""</formula>
    </cfRule>
    <cfRule type="expression" dxfId="702" priority="962">
      <formula>AX16="Ambulant"</formula>
    </cfRule>
  </conditionalFormatting>
  <conditionalFormatting sqref="AX69:AX78">
    <cfRule type="expression" dxfId="701" priority="130">
      <formula>AX$68=""</formula>
    </cfRule>
  </conditionalFormatting>
  <conditionalFormatting sqref="AX71:AX76">
    <cfRule type="expression" dxfId="700" priority="132">
      <formula>AX71&lt;&gt;""</formula>
    </cfRule>
  </conditionalFormatting>
  <conditionalFormatting sqref="AY6:AY9 AY17:AY22 AY24:AY45 AY54:AY63">
    <cfRule type="expression" dxfId="699" priority="945" stopIfTrue="1">
      <formula>AX$16=""</formula>
    </cfRule>
  </conditionalFormatting>
  <conditionalFormatting sqref="AY17">
    <cfRule type="expression" dxfId="698" priority="955">
      <formula>AY17&lt;&gt;""</formula>
    </cfRule>
  </conditionalFormatting>
  <conditionalFormatting sqref="AY19">
    <cfRule type="expression" dxfId="697" priority="970">
      <formula>AY19&lt;&gt;""</formula>
    </cfRule>
  </conditionalFormatting>
  <conditionalFormatting sqref="AY24">
    <cfRule type="expression" dxfId="696" priority="969">
      <formula>AY24&lt;&gt;""</formula>
    </cfRule>
  </conditionalFormatting>
  <conditionalFormatting sqref="AY27">
    <cfRule type="expression" dxfId="695" priority="968">
      <formula>AY27&lt;&gt;""</formula>
    </cfRule>
  </conditionalFormatting>
  <conditionalFormatting sqref="AY31">
    <cfRule type="expression" dxfId="694" priority="967">
      <formula>AY31&lt;&gt;""</formula>
    </cfRule>
  </conditionalFormatting>
  <conditionalFormatting sqref="AY37">
    <cfRule type="expression" dxfId="693" priority="966">
      <formula>AY37&lt;&gt;""</formula>
    </cfRule>
  </conditionalFormatting>
  <conditionalFormatting sqref="AY39">
    <cfRule type="expression" dxfId="692" priority="956">
      <formula>AY39&lt;&gt;""</formula>
    </cfRule>
  </conditionalFormatting>
  <conditionalFormatting sqref="AY54">
    <cfRule type="expression" dxfId="691" priority="952">
      <formula>AY54&lt;&gt;""</formula>
    </cfRule>
  </conditionalFormatting>
  <conditionalFormatting sqref="AY58">
    <cfRule type="expression" dxfId="690" priority="965">
      <formula>AY58&lt;&gt;""</formula>
    </cfRule>
  </conditionalFormatting>
  <conditionalFormatting sqref="AY62">
    <cfRule type="expression" dxfId="689" priority="964">
      <formula>AY62&lt;&gt;""</formula>
    </cfRule>
  </conditionalFormatting>
  <conditionalFormatting sqref="AY63">
    <cfRule type="expression" dxfId="688" priority="959">
      <formula>AY63&lt;&gt;""</formula>
    </cfRule>
  </conditionalFormatting>
  <conditionalFormatting sqref="AY69">
    <cfRule type="expression" dxfId="687" priority="131">
      <formula>AY69&lt;&gt;""</formula>
    </cfRule>
  </conditionalFormatting>
  <conditionalFormatting sqref="AY69:AY78">
    <cfRule type="expression" dxfId="686" priority="129">
      <formula>AX$68=""</formula>
    </cfRule>
  </conditionalFormatting>
  <conditionalFormatting sqref="AY77">
    <cfRule type="expression" dxfId="685" priority="136">
      <formula>AY77&lt;&gt;""</formula>
    </cfRule>
  </conditionalFormatting>
  <conditionalFormatting sqref="AY78">
    <cfRule type="expression" dxfId="684" priority="135">
      <formula>AY78&lt;&gt;""</formula>
    </cfRule>
  </conditionalFormatting>
  <conditionalFormatting sqref="AZ17:AZ45 AZ6:AZ9 BA16 AZ54:AZ63">
    <cfRule type="expression" dxfId="683" priority="907">
      <formula>AZ$16=""</formula>
    </cfRule>
  </conditionalFormatting>
  <conditionalFormatting sqref="AZ22">
    <cfRule type="expression" dxfId="682" priority="919">
      <formula>AZ22&lt;&gt;""</formula>
    </cfRule>
  </conditionalFormatting>
  <conditionalFormatting sqref="AZ26">
    <cfRule type="expression" dxfId="681" priority="915">
      <formula>AZ26&lt;&gt;""</formula>
    </cfRule>
  </conditionalFormatting>
  <conditionalFormatting sqref="AZ28">
    <cfRule type="expression" dxfId="680" priority="903">
      <formula>AZ28&lt;&gt;""</formula>
    </cfRule>
  </conditionalFormatting>
  <conditionalFormatting sqref="AZ29:AZ30">
    <cfRule type="expression" dxfId="679" priority="914">
      <formula>AZ29&lt;&gt;""</formula>
    </cfRule>
  </conditionalFormatting>
  <conditionalFormatting sqref="AZ32:AZ33">
    <cfRule type="expression" dxfId="678" priority="932">
      <formula>AZ32&lt;&gt;""</formula>
    </cfRule>
  </conditionalFormatting>
  <conditionalFormatting sqref="AZ34:AZ35">
    <cfRule type="expression" dxfId="677" priority="901">
      <formula>AZ34&lt;&gt;""</formula>
    </cfRule>
  </conditionalFormatting>
  <conditionalFormatting sqref="AZ38">
    <cfRule type="expression" dxfId="676" priority="935">
      <formula>AZ38&lt;&gt;""</formula>
    </cfRule>
  </conditionalFormatting>
  <conditionalFormatting sqref="AZ41:AZ44">
    <cfRule type="expression" dxfId="675" priority="908">
      <formula>AZ41&lt;&gt;""</formula>
    </cfRule>
  </conditionalFormatting>
  <conditionalFormatting sqref="AZ48">
    <cfRule type="expression" dxfId="674" priority="923">
      <formula>AZ16="Ambulant"</formula>
    </cfRule>
    <cfRule type="expression" dxfId="673" priority="905">
      <formula>AZ$16=""</formula>
    </cfRule>
  </conditionalFormatting>
  <conditionalFormatting sqref="AZ69:AZ78">
    <cfRule type="expression" dxfId="672" priority="122">
      <formula>AZ$68=""</formula>
    </cfRule>
  </conditionalFormatting>
  <conditionalFormatting sqref="AZ71:AZ76">
    <cfRule type="expression" dxfId="671" priority="124">
      <formula>AZ71&lt;&gt;""</formula>
    </cfRule>
  </conditionalFormatting>
  <conditionalFormatting sqref="BA6:BA9 BA17:BA22 BA24:BA45 BA54:BA63">
    <cfRule type="expression" dxfId="670" priority="906" stopIfTrue="1">
      <formula>AZ$16=""</formula>
    </cfRule>
  </conditionalFormatting>
  <conditionalFormatting sqref="BA17">
    <cfRule type="expression" dxfId="669" priority="916">
      <formula>BA17&lt;&gt;""</formula>
    </cfRule>
  </conditionalFormatting>
  <conditionalFormatting sqref="BA19">
    <cfRule type="expression" dxfId="668" priority="931">
      <formula>BA19&lt;&gt;""</formula>
    </cfRule>
  </conditionalFormatting>
  <conditionalFormatting sqref="BA24">
    <cfRule type="expression" dxfId="667" priority="930">
      <formula>BA24&lt;&gt;""</formula>
    </cfRule>
  </conditionalFormatting>
  <conditionalFormatting sqref="BA27">
    <cfRule type="expression" dxfId="666" priority="929">
      <formula>BA27&lt;&gt;""</formula>
    </cfRule>
  </conditionalFormatting>
  <conditionalFormatting sqref="BA31">
    <cfRule type="expression" dxfId="665" priority="928">
      <formula>BA31&lt;&gt;""</formula>
    </cfRule>
  </conditionalFormatting>
  <conditionalFormatting sqref="BA37">
    <cfRule type="expression" dxfId="664" priority="927">
      <formula>BA37&lt;&gt;""</formula>
    </cfRule>
  </conditionalFormatting>
  <conditionalFormatting sqref="BA39">
    <cfRule type="expression" dxfId="663" priority="917">
      <formula>BA39&lt;&gt;""</formula>
    </cfRule>
  </conditionalFormatting>
  <conditionalFormatting sqref="BA54">
    <cfRule type="expression" dxfId="662" priority="913">
      <formula>BA54&lt;&gt;""</formula>
    </cfRule>
  </conditionalFormatting>
  <conditionalFormatting sqref="BA58">
    <cfRule type="expression" dxfId="661" priority="926">
      <formula>BA58&lt;&gt;""</formula>
    </cfRule>
  </conditionalFormatting>
  <conditionalFormatting sqref="BA62">
    <cfRule type="expression" dxfId="660" priority="925">
      <formula>BA62&lt;&gt;""</formula>
    </cfRule>
  </conditionalFormatting>
  <conditionalFormatting sqref="BA63">
    <cfRule type="expression" dxfId="659" priority="920">
      <formula>BA63&lt;&gt;""</formula>
    </cfRule>
  </conditionalFormatting>
  <conditionalFormatting sqref="BA69">
    <cfRule type="expression" dxfId="658" priority="123">
      <formula>BA69&lt;&gt;""</formula>
    </cfRule>
  </conditionalFormatting>
  <conditionalFormatting sqref="BA69:BA78">
    <cfRule type="expression" dxfId="657" priority="121">
      <formula>AZ$68=""</formula>
    </cfRule>
  </conditionalFormatting>
  <conditionalFormatting sqref="BA77">
    <cfRule type="expression" dxfId="656" priority="128">
      <formula>BA77&lt;&gt;""</formula>
    </cfRule>
  </conditionalFormatting>
  <conditionalFormatting sqref="BA78">
    <cfRule type="expression" dxfId="655" priority="127">
      <formula>BA78&lt;&gt;""</formula>
    </cfRule>
  </conditionalFormatting>
  <conditionalFormatting sqref="BB17:BB45 BB6:BB9 BC16 BB54:BB63">
    <cfRule type="expression" dxfId="654" priority="868">
      <formula>BB$16=""</formula>
    </cfRule>
  </conditionalFormatting>
  <conditionalFormatting sqref="BB22">
    <cfRule type="expression" dxfId="653" priority="880">
      <formula>BB22&lt;&gt;""</formula>
    </cfRule>
  </conditionalFormatting>
  <conditionalFormatting sqref="BB26">
    <cfRule type="expression" dxfId="652" priority="876">
      <formula>BB26&lt;&gt;""</formula>
    </cfRule>
  </conditionalFormatting>
  <conditionalFormatting sqref="BB28">
    <cfRule type="expression" dxfId="651" priority="864">
      <formula>BB28&lt;&gt;""</formula>
    </cfRule>
  </conditionalFormatting>
  <conditionalFormatting sqref="BB29:BB30">
    <cfRule type="expression" dxfId="650" priority="875">
      <formula>BB29&lt;&gt;""</formula>
    </cfRule>
  </conditionalFormatting>
  <conditionalFormatting sqref="BB32:BB33">
    <cfRule type="expression" dxfId="649" priority="893">
      <formula>BB32&lt;&gt;""</formula>
    </cfRule>
  </conditionalFormatting>
  <conditionalFormatting sqref="BB34:BB35">
    <cfRule type="expression" dxfId="648" priority="862">
      <formula>BB34&lt;&gt;""</formula>
    </cfRule>
  </conditionalFormatting>
  <conditionalFormatting sqref="BB38">
    <cfRule type="expression" dxfId="647" priority="896">
      <formula>BB38&lt;&gt;""</formula>
    </cfRule>
  </conditionalFormatting>
  <conditionalFormatting sqref="BB41:BB44">
    <cfRule type="expression" dxfId="646" priority="869">
      <formula>BB41&lt;&gt;""</formula>
    </cfRule>
  </conditionalFormatting>
  <conditionalFormatting sqref="BB48">
    <cfRule type="expression" dxfId="645" priority="866">
      <formula>BB$16=""</formula>
    </cfRule>
    <cfRule type="expression" dxfId="644" priority="884">
      <formula>BB16="Ambulant"</formula>
    </cfRule>
  </conditionalFormatting>
  <conditionalFormatting sqref="BB69:BB78">
    <cfRule type="expression" dxfId="643" priority="114">
      <formula>BB$68=""</formula>
    </cfRule>
  </conditionalFormatting>
  <conditionalFormatting sqref="BB71:BB76">
    <cfRule type="expression" dxfId="642" priority="116">
      <formula>BB71&lt;&gt;""</formula>
    </cfRule>
  </conditionalFormatting>
  <conditionalFormatting sqref="BC6:BC9 BC17:BC22 BC24:BC45 BC54:BC63">
    <cfRule type="expression" dxfId="641" priority="867" stopIfTrue="1">
      <formula>BB$16=""</formula>
    </cfRule>
  </conditionalFormatting>
  <conditionalFormatting sqref="BC17">
    <cfRule type="expression" dxfId="640" priority="877">
      <formula>BC17&lt;&gt;""</formula>
    </cfRule>
  </conditionalFormatting>
  <conditionalFormatting sqref="BC19">
    <cfRule type="expression" dxfId="639" priority="892">
      <formula>BC19&lt;&gt;""</formula>
    </cfRule>
  </conditionalFormatting>
  <conditionalFormatting sqref="BC24">
    <cfRule type="expression" dxfId="638" priority="891">
      <formula>BC24&lt;&gt;""</formula>
    </cfRule>
  </conditionalFormatting>
  <conditionalFormatting sqref="BC27">
    <cfRule type="expression" dxfId="637" priority="890">
      <formula>BC27&lt;&gt;""</formula>
    </cfRule>
  </conditionalFormatting>
  <conditionalFormatting sqref="BC31">
    <cfRule type="expression" dxfId="636" priority="889">
      <formula>BC31&lt;&gt;""</formula>
    </cfRule>
  </conditionalFormatting>
  <conditionalFormatting sqref="BC37">
    <cfRule type="expression" dxfId="635" priority="888">
      <formula>BC37&lt;&gt;""</formula>
    </cfRule>
  </conditionalFormatting>
  <conditionalFormatting sqref="BC39">
    <cfRule type="expression" dxfId="634" priority="878">
      <formula>BC39&lt;&gt;""</formula>
    </cfRule>
  </conditionalFormatting>
  <conditionalFormatting sqref="BC54">
    <cfRule type="expression" dxfId="633" priority="874">
      <formula>BC54&lt;&gt;""</formula>
    </cfRule>
  </conditionalFormatting>
  <conditionalFormatting sqref="BC58">
    <cfRule type="expression" dxfId="632" priority="887">
      <formula>BC58&lt;&gt;""</formula>
    </cfRule>
  </conditionalFormatting>
  <conditionalFormatting sqref="BC62">
    <cfRule type="expression" dxfId="631" priority="886">
      <formula>BC62&lt;&gt;""</formula>
    </cfRule>
  </conditionalFormatting>
  <conditionalFormatting sqref="BC63">
    <cfRule type="expression" dxfId="630" priority="881">
      <formula>BC63&lt;&gt;""</formula>
    </cfRule>
  </conditionalFormatting>
  <conditionalFormatting sqref="BC69">
    <cfRule type="expression" dxfId="629" priority="115">
      <formula>BC69&lt;&gt;""</formula>
    </cfRule>
  </conditionalFormatting>
  <conditionalFormatting sqref="BC69:BC78">
    <cfRule type="expression" dxfId="628" priority="113">
      <formula>BB$68=""</formula>
    </cfRule>
  </conditionalFormatting>
  <conditionalFormatting sqref="BC77">
    <cfRule type="expression" dxfId="627" priority="120">
      <formula>BC77&lt;&gt;""</formula>
    </cfRule>
  </conditionalFormatting>
  <conditionalFormatting sqref="BC78">
    <cfRule type="expression" dxfId="626" priority="119">
      <formula>BC78&lt;&gt;""</formula>
    </cfRule>
  </conditionalFormatting>
  <conditionalFormatting sqref="BD17:BD45 BD6:BD9 BE16 BD54:BD63">
    <cfRule type="expression" dxfId="625" priority="829">
      <formula>BD$16=""</formula>
    </cfRule>
  </conditionalFormatting>
  <conditionalFormatting sqref="BD22">
    <cfRule type="expression" dxfId="624" priority="841">
      <formula>BD22&lt;&gt;""</formula>
    </cfRule>
  </conditionalFormatting>
  <conditionalFormatting sqref="BD26">
    <cfRule type="expression" dxfId="623" priority="837">
      <formula>BD26&lt;&gt;""</formula>
    </cfRule>
  </conditionalFormatting>
  <conditionalFormatting sqref="BD28">
    <cfRule type="expression" dxfId="622" priority="825">
      <formula>BD28&lt;&gt;""</formula>
    </cfRule>
  </conditionalFormatting>
  <conditionalFormatting sqref="BD29:BD30">
    <cfRule type="expression" dxfId="621" priority="836">
      <formula>BD29&lt;&gt;""</formula>
    </cfRule>
  </conditionalFormatting>
  <conditionalFormatting sqref="BD32:BD33">
    <cfRule type="expression" dxfId="620" priority="854">
      <formula>BD32&lt;&gt;""</formula>
    </cfRule>
  </conditionalFormatting>
  <conditionalFormatting sqref="BD34:BD35">
    <cfRule type="expression" dxfId="619" priority="823">
      <formula>BD34&lt;&gt;""</formula>
    </cfRule>
  </conditionalFormatting>
  <conditionalFormatting sqref="BD38">
    <cfRule type="expression" dxfId="618" priority="857">
      <formula>BD38&lt;&gt;""</formula>
    </cfRule>
  </conditionalFormatting>
  <conditionalFormatting sqref="BD41:BD44">
    <cfRule type="expression" dxfId="617" priority="830">
      <formula>BD41&lt;&gt;""</formula>
    </cfRule>
  </conditionalFormatting>
  <conditionalFormatting sqref="BD48">
    <cfRule type="expression" dxfId="616" priority="845">
      <formula>BD16="Ambulant"</formula>
    </cfRule>
    <cfRule type="expression" dxfId="615" priority="827">
      <formula>BD$16=""</formula>
    </cfRule>
  </conditionalFormatting>
  <conditionalFormatting sqref="BD69:BD78">
    <cfRule type="expression" dxfId="614" priority="106">
      <formula>BD$68=""</formula>
    </cfRule>
  </conditionalFormatting>
  <conditionalFormatting sqref="BD71:BD76">
    <cfRule type="expression" dxfId="613" priority="108">
      <formula>BD71&lt;&gt;""</formula>
    </cfRule>
  </conditionalFormatting>
  <conditionalFormatting sqref="BE6:BE9 BE17:BE22 BE24:BE45 BE54:BE63">
    <cfRule type="expression" dxfId="612" priority="828" stopIfTrue="1">
      <formula>BD$16=""</formula>
    </cfRule>
  </conditionalFormatting>
  <conditionalFormatting sqref="BE17">
    <cfRule type="expression" dxfId="611" priority="838">
      <formula>BE17&lt;&gt;""</formula>
    </cfRule>
  </conditionalFormatting>
  <conditionalFormatting sqref="BE19">
    <cfRule type="expression" dxfId="610" priority="853">
      <formula>BE19&lt;&gt;""</formula>
    </cfRule>
  </conditionalFormatting>
  <conditionalFormatting sqref="BE24">
    <cfRule type="expression" dxfId="609" priority="852">
      <formula>BE24&lt;&gt;""</formula>
    </cfRule>
  </conditionalFormatting>
  <conditionalFormatting sqref="BE27">
    <cfRule type="expression" dxfId="608" priority="851">
      <formula>BE27&lt;&gt;""</formula>
    </cfRule>
  </conditionalFormatting>
  <conditionalFormatting sqref="BE31">
    <cfRule type="expression" dxfId="607" priority="850">
      <formula>BE31&lt;&gt;""</formula>
    </cfRule>
  </conditionalFormatting>
  <conditionalFormatting sqref="BE37">
    <cfRule type="expression" dxfId="606" priority="849">
      <formula>BE37&lt;&gt;""</formula>
    </cfRule>
  </conditionalFormatting>
  <conditionalFormatting sqref="BE39">
    <cfRule type="expression" dxfId="605" priority="839">
      <formula>BE39&lt;&gt;""</formula>
    </cfRule>
  </conditionalFormatting>
  <conditionalFormatting sqref="BE54">
    <cfRule type="expression" dxfId="604" priority="835">
      <formula>BE54&lt;&gt;""</formula>
    </cfRule>
  </conditionalFormatting>
  <conditionalFormatting sqref="BE58">
    <cfRule type="expression" dxfId="603" priority="848">
      <formula>BE58&lt;&gt;""</formula>
    </cfRule>
  </conditionalFormatting>
  <conditionalFormatting sqref="BE62">
    <cfRule type="expression" dxfId="602" priority="847">
      <formula>BE62&lt;&gt;""</formula>
    </cfRule>
  </conditionalFormatting>
  <conditionalFormatting sqref="BE63">
    <cfRule type="expression" dxfId="601" priority="842">
      <formula>BE63&lt;&gt;""</formula>
    </cfRule>
  </conditionalFormatting>
  <conditionalFormatting sqref="BE69">
    <cfRule type="expression" dxfId="600" priority="107">
      <formula>BE69&lt;&gt;""</formula>
    </cfRule>
  </conditionalFormatting>
  <conditionalFormatting sqref="BE69:BE78">
    <cfRule type="expression" dxfId="599" priority="105">
      <formula>BD$68=""</formula>
    </cfRule>
  </conditionalFormatting>
  <conditionalFormatting sqref="BE77">
    <cfRule type="expression" dxfId="598" priority="112">
      <formula>BE77&lt;&gt;""</formula>
    </cfRule>
  </conditionalFormatting>
  <conditionalFormatting sqref="BE78">
    <cfRule type="expression" dxfId="597" priority="111">
      <formula>BE78&lt;&gt;""</formula>
    </cfRule>
  </conditionalFormatting>
  <conditionalFormatting sqref="BF17:BF45 BF6:BF9 BG16 BF54:BF63">
    <cfRule type="expression" dxfId="596" priority="790">
      <formula>BF$16=""</formula>
    </cfRule>
  </conditionalFormatting>
  <conditionalFormatting sqref="BF22">
    <cfRule type="expression" dxfId="595" priority="802">
      <formula>BF22&lt;&gt;""</formula>
    </cfRule>
  </conditionalFormatting>
  <conditionalFormatting sqref="BF26">
    <cfRule type="expression" dxfId="594" priority="798">
      <formula>BF26&lt;&gt;""</formula>
    </cfRule>
  </conditionalFormatting>
  <conditionalFormatting sqref="BF28">
    <cfRule type="expression" dxfId="593" priority="786">
      <formula>BF28&lt;&gt;""</formula>
    </cfRule>
  </conditionalFormatting>
  <conditionalFormatting sqref="BF29:BF30">
    <cfRule type="expression" dxfId="592" priority="797">
      <formula>BF29&lt;&gt;""</formula>
    </cfRule>
  </conditionalFormatting>
  <conditionalFormatting sqref="BF32:BF33">
    <cfRule type="expression" dxfId="591" priority="815">
      <formula>BF32&lt;&gt;""</formula>
    </cfRule>
  </conditionalFormatting>
  <conditionalFormatting sqref="BF34:BF35">
    <cfRule type="expression" dxfId="590" priority="784">
      <formula>BF34&lt;&gt;""</formula>
    </cfRule>
  </conditionalFormatting>
  <conditionalFormatting sqref="BF38">
    <cfRule type="expression" dxfId="589" priority="818">
      <formula>BF38&lt;&gt;""</formula>
    </cfRule>
  </conditionalFormatting>
  <conditionalFormatting sqref="BF41:BF44">
    <cfRule type="expression" dxfId="588" priority="791">
      <formula>BF41&lt;&gt;""</formula>
    </cfRule>
  </conditionalFormatting>
  <conditionalFormatting sqref="BF48">
    <cfRule type="expression" dxfId="587" priority="788">
      <formula>BF$16=""</formula>
    </cfRule>
    <cfRule type="expression" dxfId="586" priority="806">
      <formula>BF16="Ambulant"</formula>
    </cfRule>
  </conditionalFormatting>
  <conditionalFormatting sqref="BF69:BF78">
    <cfRule type="expression" dxfId="585" priority="98">
      <formula>BF$68=""</formula>
    </cfRule>
  </conditionalFormatting>
  <conditionalFormatting sqref="BF71:BF76">
    <cfRule type="expression" dxfId="584" priority="100">
      <formula>BF71&lt;&gt;""</formula>
    </cfRule>
  </conditionalFormatting>
  <conditionalFormatting sqref="BG6:BG9 BG17:BG22 BG24:BG45 BG54:BG63">
    <cfRule type="expression" dxfId="583" priority="789" stopIfTrue="1">
      <formula>BF$16=""</formula>
    </cfRule>
  </conditionalFormatting>
  <conditionalFormatting sqref="BG17">
    <cfRule type="expression" dxfId="582" priority="799">
      <formula>BG17&lt;&gt;""</formula>
    </cfRule>
  </conditionalFormatting>
  <conditionalFormatting sqref="BG19">
    <cfRule type="expression" dxfId="581" priority="814">
      <formula>BG19&lt;&gt;""</formula>
    </cfRule>
  </conditionalFormatting>
  <conditionalFormatting sqref="BG24">
    <cfRule type="expression" dxfId="580" priority="813">
      <formula>BG24&lt;&gt;""</formula>
    </cfRule>
  </conditionalFormatting>
  <conditionalFormatting sqref="BG27">
    <cfRule type="expression" dxfId="579" priority="812">
      <formula>BG27&lt;&gt;""</formula>
    </cfRule>
  </conditionalFormatting>
  <conditionalFormatting sqref="BG31">
    <cfRule type="expression" dxfId="578" priority="811">
      <formula>BG31&lt;&gt;""</formula>
    </cfRule>
  </conditionalFormatting>
  <conditionalFormatting sqref="BG37">
    <cfRule type="expression" dxfId="577" priority="810">
      <formula>BG37&lt;&gt;""</formula>
    </cfRule>
  </conditionalFormatting>
  <conditionalFormatting sqref="BG39">
    <cfRule type="expression" dxfId="576" priority="800">
      <formula>BG39&lt;&gt;""</formula>
    </cfRule>
  </conditionalFormatting>
  <conditionalFormatting sqref="BG54">
    <cfRule type="expression" dxfId="575" priority="796">
      <formula>BG54&lt;&gt;""</formula>
    </cfRule>
  </conditionalFormatting>
  <conditionalFormatting sqref="BG58">
    <cfRule type="expression" dxfId="574" priority="809">
      <formula>BG58&lt;&gt;""</formula>
    </cfRule>
  </conditionalFormatting>
  <conditionalFormatting sqref="BG62">
    <cfRule type="expression" dxfId="573" priority="808">
      <formula>BG62&lt;&gt;""</formula>
    </cfRule>
  </conditionalFormatting>
  <conditionalFormatting sqref="BG63">
    <cfRule type="expression" dxfId="572" priority="803">
      <formula>BG63&lt;&gt;""</formula>
    </cfRule>
  </conditionalFormatting>
  <conditionalFormatting sqref="BG69">
    <cfRule type="expression" dxfId="571" priority="99">
      <formula>BG69&lt;&gt;""</formula>
    </cfRule>
  </conditionalFormatting>
  <conditionalFormatting sqref="BG69:BG78">
    <cfRule type="expression" dxfId="570" priority="97">
      <formula>BF$68=""</formula>
    </cfRule>
  </conditionalFormatting>
  <conditionalFormatting sqref="BG77">
    <cfRule type="expression" dxfId="569" priority="104">
      <formula>BG77&lt;&gt;""</formula>
    </cfRule>
  </conditionalFormatting>
  <conditionalFormatting sqref="BG78">
    <cfRule type="expression" dxfId="568" priority="103">
      <formula>BG78&lt;&gt;""</formula>
    </cfRule>
  </conditionalFormatting>
  <conditionalFormatting sqref="BH17:BH45 BH6:BH9 BI16 BH54:BH63">
    <cfRule type="expression" dxfId="567" priority="751">
      <formula>BH$16=""</formula>
    </cfRule>
  </conditionalFormatting>
  <conditionalFormatting sqref="BH22">
    <cfRule type="expression" dxfId="566" priority="763">
      <formula>BH22&lt;&gt;""</formula>
    </cfRule>
  </conditionalFormatting>
  <conditionalFormatting sqref="BH26">
    <cfRule type="expression" dxfId="565" priority="759">
      <formula>BH26&lt;&gt;""</formula>
    </cfRule>
  </conditionalFormatting>
  <conditionalFormatting sqref="BH28">
    <cfRule type="expression" dxfId="564" priority="747">
      <formula>BH28&lt;&gt;""</formula>
    </cfRule>
  </conditionalFormatting>
  <conditionalFormatting sqref="BH29:BH30">
    <cfRule type="expression" dxfId="563" priority="758">
      <formula>BH29&lt;&gt;""</formula>
    </cfRule>
  </conditionalFormatting>
  <conditionalFormatting sqref="BH32:BH33">
    <cfRule type="expression" dxfId="562" priority="776">
      <formula>BH32&lt;&gt;""</formula>
    </cfRule>
  </conditionalFormatting>
  <conditionalFormatting sqref="BH34:BH35">
    <cfRule type="expression" dxfId="561" priority="745">
      <formula>BH34&lt;&gt;""</formula>
    </cfRule>
  </conditionalFormatting>
  <conditionalFormatting sqref="BH38">
    <cfRule type="expression" dxfId="560" priority="779">
      <formula>BH38&lt;&gt;""</formula>
    </cfRule>
  </conditionalFormatting>
  <conditionalFormatting sqref="BH41:BH44">
    <cfRule type="expression" dxfId="559" priority="752">
      <formula>BH41&lt;&gt;""</formula>
    </cfRule>
  </conditionalFormatting>
  <conditionalFormatting sqref="BH48">
    <cfRule type="expression" dxfId="558" priority="749">
      <formula>BH$16=""</formula>
    </cfRule>
    <cfRule type="expression" dxfId="557" priority="767">
      <formula>BH16="Ambulant"</formula>
    </cfRule>
  </conditionalFormatting>
  <conditionalFormatting sqref="BH69:BH78">
    <cfRule type="expression" dxfId="556" priority="90">
      <formula>BH$68=""</formula>
    </cfRule>
  </conditionalFormatting>
  <conditionalFormatting sqref="BH71:BH76">
    <cfRule type="expression" dxfId="555" priority="92">
      <formula>BH71&lt;&gt;""</formula>
    </cfRule>
  </conditionalFormatting>
  <conditionalFormatting sqref="BI6:BI9 BI17:BI22 BI24:BI45 BI54:BI63">
    <cfRule type="expression" dxfId="554" priority="750" stopIfTrue="1">
      <formula>BH$16=""</formula>
    </cfRule>
  </conditionalFormatting>
  <conditionalFormatting sqref="BI17">
    <cfRule type="expression" dxfId="553" priority="760">
      <formula>BI17&lt;&gt;""</formula>
    </cfRule>
  </conditionalFormatting>
  <conditionalFormatting sqref="BI19">
    <cfRule type="expression" dxfId="552" priority="775">
      <formula>BI19&lt;&gt;""</formula>
    </cfRule>
  </conditionalFormatting>
  <conditionalFormatting sqref="BI24">
    <cfRule type="expression" dxfId="551" priority="774">
      <formula>BI24&lt;&gt;""</formula>
    </cfRule>
  </conditionalFormatting>
  <conditionalFormatting sqref="BI27">
    <cfRule type="expression" dxfId="550" priority="773">
      <formula>BI27&lt;&gt;""</formula>
    </cfRule>
  </conditionalFormatting>
  <conditionalFormatting sqref="BI31">
    <cfRule type="expression" dxfId="549" priority="772">
      <formula>BI31&lt;&gt;""</formula>
    </cfRule>
  </conditionalFormatting>
  <conditionalFormatting sqref="BI37">
    <cfRule type="expression" dxfId="548" priority="771">
      <formula>BI37&lt;&gt;""</formula>
    </cfRule>
  </conditionalFormatting>
  <conditionalFormatting sqref="BI39">
    <cfRule type="expression" dxfId="547" priority="761">
      <formula>BI39&lt;&gt;""</formula>
    </cfRule>
  </conditionalFormatting>
  <conditionalFormatting sqref="BI54">
    <cfRule type="expression" dxfId="546" priority="757">
      <formula>BI54&lt;&gt;""</formula>
    </cfRule>
  </conditionalFormatting>
  <conditionalFormatting sqref="BI58">
    <cfRule type="expression" dxfId="545" priority="770">
      <formula>BI58&lt;&gt;""</formula>
    </cfRule>
  </conditionalFormatting>
  <conditionalFormatting sqref="BI62">
    <cfRule type="expression" dxfId="544" priority="769">
      <formula>BI62&lt;&gt;""</formula>
    </cfRule>
  </conditionalFormatting>
  <conditionalFormatting sqref="BI63">
    <cfRule type="expression" dxfId="543" priority="764">
      <formula>BI63&lt;&gt;""</formula>
    </cfRule>
  </conditionalFormatting>
  <conditionalFormatting sqref="BI69">
    <cfRule type="expression" dxfId="542" priority="91">
      <formula>BI69&lt;&gt;""</formula>
    </cfRule>
  </conditionalFormatting>
  <conditionalFormatting sqref="BI69:BI78">
    <cfRule type="expression" dxfId="541" priority="89">
      <formula>BH$68=""</formula>
    </cfRule>
  </conditionalFormatting>
  <conditionalFormatting sqref="BI77">
    <cfRule type="expression" dxfId="540" priority="96">
      <formula>BI77&lt;&gt;""</formula>
    </cfRule>
  </conditionalFormatting>
  <conditionalFormatting sqref="BI78">
    <cfRule type="expression" dxfId="539" priority="95">
      <formula>BI78&lt;&gt;""</formula>
    </cfRule>
  </conditionalFormatting>
  <conditionalFormatting sqref="BJ17:BJ45 BJ6:BJ9 BK16 BJ54:BJ63">
    <cfRule type="expression" dxfId="538" priority="712">
      <formula>BJ$16=""</formula>
    </cfRule>
  </conditionalFormatting>
  <conditionalFormatting sqref="BJ22">
    <cfRule type="expression" dxfId="537" priority="724">
      <formula>BJ22&lt;&gt;""</formula>
    </cfRule>
  </conditionalFormatting>
  <conditionalFormatting sqref="BJ26">
    <cfRule type="expression" dxfId="536" priority="720">
      <formula>BJ26&lt;&gt;""</formula>
    </cfRule>
  </conditionalFormatting>
  <conditionalFormatting sqref="BJ28">
    <cfRule type="expression" dxfId="535" priority="708">
      <formula>BJ28&lt;&gt;""</formula>
    </cfRule>
  </conditionalFormatting>
  <conditionalFormatting sqref="BJ29:BJ30">
    <cfRule type="expression" dxfId="534" priority="719">
      <formula>BJ29&lt;&gt;""</formula>
    </cfRule>
  </conditionalFormatting>
  <conditionalFormatting sqref="BJ32:BJ33">
    <cfRule type="expression" dxfId="533" priority="737">
      <formula>BJ32&lt;&gt;""</formula>
    </cfRule>
  </conditionalFormatting>
  <conditionalFormatting sqref="BJ34:BJ35">
    <cfRule type="expression" dxfId="532" priority="706">
      <formula>BJ34&lt;&gt;""</formula>
    </cfRule>
  </conditionalFormatting>
  <conditionalFormatting sqref="BJ38">
    <cfRule type="expression" dxfId="531" priority="740">
      <formula>BJ38&lt;&gt;""</formula>
    </cfRule>
  </conditionalFormatting>
  <conditionalFormatting sqref="BJ41:BJ44">
    <cfRule type="expression" dxfId="530" priority="713">
      <formula>BJ41&lt;&gt;""</formula>
    </cfRule>
  </conditionalFormatting>
  <conditionalFormatting sqref="BJ48">
    <cfRule type="expression" dxfId="529" priority="710">
      <formula>BJ$16=""</formula>
    </cfRule>
    <cfRule type="expression" dxfId="528" priority="728">
      <formula>BJ16="Ambulant"</formula>
    </cfRule>
  </conditionalFormatting>
  <conditionalFormatting sqref="BJ69:BJ78">
    <cfRule type="expression" dxfId="527" priority="82">
      <formula>BJ$68=""</formula>
    </cfRule>
  </conditionalFormatting>
  <conditionalFormatting sqref="BJ71:BJ76">
    <cfRule type="expression" dxfId="526" priority="84">
      <formula>BJ71&lt;&gt;""</formula>
    </cfRule>
  </conditionalFormatting>
  <conditionalFormatting sqref="BK6:BK9 BK17:BK22 BK24:BK45 BK54:BK63">
    <cfRule type="expression" dxfId="525" priority="711" stopIfTrue="1">
      <formula>BJ$16=""</formula>
    </cfRule>
  </conditionalFormatting>
  <conditionalFormatting sqref="BK17">
    <cfRule type="expression" dxfId="524" priority="721">
      <formula>BK17&lt;&gt;""</formula>
    </cfRule>
  </conditionalFormatting>
  <conditionalFormatting sqref="BK19">
    <cfRule type="expression" dxfId="523" priority="736">
      <formula>BK19&lt;&gt;""</formula>
    </cfRule>
  </conditionalFormatting>
  <conditionalFormatting sqref="BK24">
    <cfRule type="expression" dxfId="522" priority="735">
      <formula>BK24&lt;&gt;""</formula>
    </cfRule>
  </conditionalFormatting>
  <conditionalFormatting sqref="BK27">
    <cfRule type="expression" dxfId="521" priority="734">
      <formula>BK27&lt;&gt;""</formula>
    </cfRule>
  </conditionalFormatting>
  <conditionalFormatting sqref="BK31">
    <cfRule type="expression" dxfId="520" priority="733">
      <formula>BK31&lt;&gt;""</formula>
    </cfRule>
  </conditionalFormatting>
  <conditionalFormatting sqref="BK37">
    <cfRule type="expression" dxfId="519" priority="732">
      <formula>BK37&lt;&gt;""</formula>
    </cfRule>
  </conditionalFormatting>
  <conditionalFormatting sqref="BK39">
    <cfRule type="expression" dxfId="518" priority="722">
      <formula>BK39&lt;&gt;""</formula>
    </cfRule>
  </conditionalFormatting>
  <conditionalFormatting sqref="BK54">
    <cfRule type="expression" dxfId="517" priority="718">
      <formula>BK54&lt;&gt;""</formula>
    </cfRule>
  </conditionalFormatting>
  <conditionalFormatting sqref="BK58">
    <cfRule type="expression" dxfId="516" priority="731">
      <formula>BK58&lt;&gt;""</formula>
    </cfRule>
  </conditionalFormatting>
  <conditionalFormatting sqref="BK62">
    <cfRule type="expression" dxfId="515" priority="730">
      <formula>BK62&lt;&gt;""</formula>
    </cfRule>
  </conditionalFormatting>
  <conditionalFormatting sqref="BK63">
    <cfRule type="expression" dxfId="514" priority="725">
      <formula>BK63&lt;&gt;""</formula>
    </cfRule>
  </conditionalFormatting>
  <conditionalFormatting sqref="BK69">
    <cfRule type="expression" dxfId="513" priority="83">
      <formula>BK69&lt;&gt;""</formula>
    </cfRule>
  </conditionalFormatting>
  <conditionalFormatting sqref="BK69:BK78">
    <cfRule type="expression" dxfId="512" priority="81">
      <formula>BJ$68=""</formula>
    </cfRule>
  </conditionalFormatting>
  <conditionalFormatting sqref="BK77">
    <cfRule type="expression" dxfId="511" priority="88">
      <formula>BK77&lt;&gt;""</formula>
    </cfRule>
  </conditionalFormatting>
  <conditionalFormatting sqref="BK78">
    <cfRule type="expression" dxfId="510" priority="87">
      <formula>BK78&lt;&gt;""</formula>
    </cfRule>
  </conditionalFormatting>
  <conditionalFormatting sqref="BL17:BL45 BL6:BL9 BM16 BL54:BL63">
    <cfRule type="expression" dxfId="509" priority="673">
      <formula>BL$16=""</formula>
    </cfRule>
  </conditionalFormatting>
  <conditionalFormatting sqref="BL22">
    <cfRule type="expression" dxfId="508" priority="685">
      <formula>BL22&lt;&gt;""</formula>
    </cfRule>
  </conditionalFormatting>
  <conditionalFormatting sqref="BL26">
    <cfRule type="expression" dxfId="507" priority="681">
      <formula>BL26&lt;&gt;""</formula>
    </cfRule>
  </conditionalFormatting>
  <conditionalFormatting sqref="BL28">
    <cfRule type="expression" dxfId="506" priority="669">
      <formula>BL28&lt;&gt;""</formula>
    </cfRule>
  </conditionalFormatting>
  <conditionalFormatting sqref="BL29:BL30">
    <cfRule type="expression" dxfId="505" priority="680">
      <formula>BL29&lt;&gt;""</formula>
    </cfRule>
  </conditionalFormatting>
  <conditionalFormatting sqref="BL32:BL33">
    <cfRule type="expression" dxfId="504" priority="698">
      <formula>BL32&lt;&gt;""</formula>
    </cfRule>
  </conditionalFormatting>
  <conditionalFormatting sqref="BL34:BL35">
    <cfRule type="expression" dxfId="503" priority="667">
      <formula>BL34&lt;&gt;""</formula>
    </cfRule>
  </conditionalFormatting>
  <conditionalFormatting sqref="BL38">
    <cfRule type="expression" dxfId="502" priority="701">
      <formula>BL38&lt;&gt;""</formula>
    </cfRule>
  </conditionalFormatting>
  <conditionalFormatting sqref="BL41:BL44">
    <cfRule type="expression" dxfId="501" priority="674">
      <formula>BL41&lt;&gt;""</formula>
    </cfRule>
  </conditionalFormatting>
  <conditionalFormatting sqref="BL48">
    <cfRule type="expression" dxfId="500" priority="671">
      <formula>BL$16=""</formula>
    </cfRule>
    <cfRule type="expression" dxfId="499" priority="689">
      <formula>BL16="Ambulant"</formula>
    </cfRule>
  </conditionalFormatting>
  <conditionalFormatting sqref="BL69:BL78">
    <cfRule type="expression" dxfId="498" priority="74">
      <formula>BL$68=""</formula>
    </cfRule>
  </conditionalFormatting>
  <conditionalFormatting sqref="BL71:BL76">
    <cfRule type="expression" dxfId="497" priority="76">
      <formula>BL71&lt;&gt;""</formula>
    </cfRule>
  </conditionalFormatting>
  <conditionalFormatting sqref="BM6:BM9 BM17:BM22 BM24:BM45 BM54:BM63">
    <cfRule type="expression" dxfId="496" priority="672" stopIfTrue="1">
      <formula>BL$16=""</formula>
    </cfRule>
  </conditionalFormatting>
  <conditionalFormatting sqref="BM17">
    <cfRule type="expression" dxfId="495" priority="682">
      <formula>BM17&lt;&gt;""</formula>
    </cfRule>
  </conditionalFormatting>
  <conditionalFormatting sqref="BM19">
    <cfRule type="expression" dxfId="494" priority="697">
      <formula>BM19&lt;&gt;""</formula>
    </cfRule>
  </conditionalFormatting>
  <conditionalFormatting sqref="BM24">
    <cfRule type="expression" dxfId="493" priority="696">
      <formula>BM24&lt;&gt;""</formula>
    </cfRule>
  </conditionalFormatting>
  <conditionalFormatting sqref="BM27">
    <cfRule type="expression" dxfId="492" priority="695">
      <formula>BM27&lt;&gt;""</formula>
    </cfRule>
  </conditionalFormatting>
  <conditionalFormatting sqref="BM31">
    <cfRule type="expression" dxfId="491" priority="694">
      <formula>BM31&lt;&gt;""</formula>
    </cfRule>
  </conditionalFormatting>
  <conditionalFormatting sqref="BM37">
    <cfRule type="expression" dxfId="490" priority="693">
      <formula>BM37&lt;&gt;""</formula>
    </cfRule>
  </conditionalFormatting>
  <conditionalFormatting sqref="BM39">
    <cfRule type="expression" dxfId="489" priority="683">
      <formula>BM39&lt;&gt;""</formula>
    </cfRule>
  </conditionalFormatting>
  <conditionalFormatting sqref="BM54">
    <cfRule type="expression" dxfId="488" priority="679">
      <formula>BM54&lt;&gt;""</formula>
    </cfRule>
  </conditionalFormatting>
  <conditionalFormatting sqref="BM58">
    <cfRule type="expression" dxfId="487" priority="692">
      <formula>BM58&lt;&gt;""</formula>
    </cfRule>
  </conditionalFormatting>
  <conditionalFormatting sqref="BM62">
    <cfRule type="expression" dxfId="486" priority="691">
      <formula>BM62&lt;&gt;""</formula>
    </cfRule>
  </conditionalFormatting>
  <conditionalFormatting sqref="BM63">
    <cfRule type="expression" dxfId="485" priority="686">
      <formula>BM63&lt;&gt;""</formula>
    </cfRule>
  </conditionalFormatting>
  <conditionalFormatting sqref="BM69">
    <cfRule type="expression" dxfId="484" priority="75">
      <formula>BM69&lt;&gt;""</formula>
    </cfRule>
  </conditionalFormatting>
  <conditionalFormatting sqref="BM69:BM78">
    <cfRule type="expression" dxfId="483" priority="73">
      <formula>BL$68=""</formula>
    </cfRule>
  </conditionalFormatting>
  <conditionalFormatting sqref="BM77">
    <cfRule type="expression" dxfId="482" priority="80">
      <formula>BM77&lt;&gt;""</formula>
    </cfRule>
  </conditionalFormatting>
  <conditionalFormatting sqref="BM78">
    <cfRule type="expression" dxfId="481" priority="79">
      <formula>BM78&lt;&gt;""</formula>
    </cfRule>
  </conditionalFormatting>
  <conditionalFormatting sqref="BN17:BN45 BN6:BN9 BO16 BN54:BN63">
    <cfRule type="expression" dxfId="480" priority="634">
      <formula>BN$16=""</formula>
    </cfRule>
  </conditionalFormatting>
  <conditionalFormatting sqref="BN22">
    <cfRule type="expression" dxfId="479" priority="646">
      <formula>BN22&lt;&gt;""</formula>
    </cfRule>
  </conditionalFormatting>
  <conditionalFormatting sqref="BN26">
    <cfRule type="expression" dxfId="478" priority="642">
      <formula>BN26&lt;&gt;""</formula>
    </cfRule>
  </conditionalFormatting>
  <conditionalFormatting sqref="BN28">
    <cfRule type="expression" dxfId="477" priority="630">
      <formula>BN28&lt;&gt;""</formula>
    </cfRule>
  </conditionalFormatting>
  <conditionalFormatting sqref="BN29:BN30">
    <cfRule type="expression" dxfId="476" priority="641">
      <formula>BN29&lt;&gt;""</formula>
    </cfRule>
  </conditionalFormatting>
  <conditionalFormatting sqref="BN32:BN33">
    <cfRule type="expression" dxfId="475" priority="659">
      <formula>BN32&lt;&gt;""</formula>
    </cfRule>
  </conditionalFormatting>
  <conditionalFormatting sqref="BN34:BN35">
    <cfRule type="expression" dxfId="474" priority="628">
      <formula>BN34&lt;&gt;""</formula>
    </cfRule>
  </conditionalFormatting>
  <conditionalFormatting sqref="BN38">
    <cfRule type="expression" dxfId="473" priority="662">
      <formula>BN38&lt;&gt;""</formula>
    </cfRule>
  </conditionalFormatting>
  <conditionalFormatting sqref="BN41:BN44">
    <cfRule type="expression" dxfId="472" priority="635">
      <formula>BN41&lt;&gt;""</formula>
    </cfRule>
  </conditionalFormatting>
  <conditionalFormatting sqref="BN48">
    <cfRule type="expression" dxfId="471" priority="650">
      <formula>BN16="Ambulant"</formula>
    </cfRule>
    <cfRule type="expression" dxfId="470" priority="632">
      <formula>BN$16=""</formula>
    </cfRule>
  </conditionalFormatting>
  <conditionalFormatting sqref="BN69:BN78">
    <cfRule type="expression" dxfId="469" priority="66">
      <formula>BN$68=""</formula>
    </cfRule>
  </conditionalFormatting>
  <conditionalFormatting sqref="BN71:BN76">
    <cfRule type="expression" dxfId="468" priority="68">
      <formula>BN71&lt;&gt;""</formula>
    </cfRule>
  </conditionalFormatting>
  <conditionalFormatting sqref="BO6:BO9 BO17:BO22 BO24:BO45 BO54:BO63">
    <cfRule type="expression" dxfId="467" priority="633" stopIfTrue="1">
      <formula>BN$16=""</formula>
    </cfRule>
  </conditionalFormatting>
  <conditionalFormatting sqref="BO17">
    <cfRule type="expression" dxfId="466" priority="643">
      <formula>BO17&lt;&gt;""</formula>
    </cfRule>
  </conditionalFormatting>
  <conditionalFormatting sqref="BO19">
    <cfRule type="expression" dxfId="465" priority="658">
      <formula>BO19&lt;&gt;""</formula>
    </cfRule>
  </conditionalFormatting>
  <conditionalFormatting sqref="BO24">
    <cfRule type="expression" dxfId="464" priority="657">
      <formula>BO24&lt;&gt;""</formula>
    </cfRule>
  </conditionalFormatting>
  <conditionalFormatting sqref="BO27">
    <cfRule type="expression" dxfId="463" priority="656">
      <formula>BO27&lt;&gt;""</formula>
    </cfRule>
  </conditionalFormatting>
  <conditionalFormatting sqref="BO31">
    <cfRule type="expression" dxfId="462" priority="655">
      <formula>BO31&lt;&gt;""</formula>
    </cfRule>
  </conditionalFormatting>
  <conditionalFormatting sqref="BO37">
    <cfRule type="expression" dxfId="461" priority="654">
      <formula>BO37&lt;&gt;""</formula>
    </cfRule>
  </conditionalFormatting>
  <conditionalFormatting sqref="BO39">
    <cfRule type="expression" dxfId="460" priority="644">
      <formula>BO39&lt;&gt;""</formula>
    </cfRule>
  </conditionalFormatting>
  <conditionalFormatting sqref="BO54">
    <cfRule type="expression" dxfId="459" priority="640">
      <formula>BO54&lt;&gt;""</formula>
    </cfRule>
  </conditionalFormatting>
  <conditionalFormatting sqref="BO58">
    <cfRule type="expression" dxfId="458" priority="653">
      <formula>BO58&lt;&gt;""</formula>
    </cfRule>
  </conditionalFormatting>
  <conditionalFormatting sqref="BO62">
    <cfRule type="expression" dxfId="457" priority="652">
      <formula>BO62&lt;&gt;""</formula>
    </cfRule>
  </conditionalFormatting>
  <conditionalFormatting sqref="BO63">
    <cfRule type="expression" dxfId="456" priority="647">
      <formula>BO63&lt;&gt;""</formula>
    </cfRule>
  </conditionalFormatting>
  <conditionalFormatting sqref="BO69">
    <cfRule type="expression" dxfId="455" priority="67">
      <formula>BO69&lt;&gt;""</formula>
    </cfRule>
  </conditionalFormatting>
  <conditionalFormatting sqref="BO69:BO78">
    <cfRule type="expression" dxfId="454" priority="65">
      <formula>BN$68=""</formula>
    </cfRule>
  </conditionalFormatting>
  <conditionalFormatting sqref="BO77">
    <cfRule type="expression" dxfId="453" priority="72">
      <formula>BO77&lt;&gt;""</formula>
    </cfRule>
  </conditionalFormatting>
  <conditionalFormatting sqref="BO78">
    <cfRule type="expression" dxfId="452" priority="71">
      <formula>BO78&lt;&gt;""</formula>
    </cfRule>
  </conditionalFormatting>
  <conditionalFormatting sqref="BP17:BP45 BP6:BP9 BQ16 BP54:BP63">
    <cfRule type="expression" dxfId="451" priority="595">
      <formula>BP$16=""</formula>
    </cfRule>
  </conditionalFormatting>
  <conditionalFormatting sqref="BP22">
    <cfRule type="expression" dxfId="450" priority="607">
      <formula>BP22&lt;&gt;""</formula>
    </cfRule>
  </conditionalFormatting>
  <conditionalFormatting sqref="BP26">
    <cfRule type="expression" dxfId="449" priority="603">
      <formula>BP26&lt;&gt;""</formula>
    </cfRule>
  </conditionalFormatting>
  <conditionalFormatting sqref="BP28">
    <cfRule type="expression" dxfId="448" priority="591">
      <formula>BP28&lt;&gt;""</formula>
    </cfRule>
  </conditionalFormatting>
  <conditionalFormatting sqref="BP29:BP30">
    <cfRule type="expression" dxfId="447" priority="602">
      <formula>BP29&lt;&gt;""</formula>
    </cfRule>
  </conditionalFormatting>
  <conditionalFormatting sqref="BP32:BP33">
    <cfRule type="expression" dxfId="446" priority="620">
      <formula>BP32&lt;&gt;""</formula>
    </cfRule>
  </conditionalFormatting>
  <conditionalFormatting sqref="BP34:BP35">
    <cfRule type="expression" dxfId="445" priority="589">
      <formula>BP34&lt;&gt;""</formula>
    </cfRule>
  </conditionalFormatting>
  <conditionalFormatting sqref="BP38">
    <cfRule type="expression" dxfId="444" priority="623">
      <formula>BP38&lt;&gt;""</formula>
    </cfRule>
  </conditionalFormatting>
  <conditionalFormatting sqref="BP41:BP44">
    <cfRule type="expression" dxfId="443" priority="596">
      <formula>BP41&lt;&gt;""</formula>
    </cfRule>
  </conditionalFormatting>
  <conditionalFormatting sqref="BP48">
    <cfRule type="expression" dxfId="442" priority="611">
      <formula>BP16="Ambulant"</formula>
    </cfRule>
    <cfRule type="expression" dxfId="441" priority="593">
      <formula>BP$16=""</formula>
    </cfRule>
  </conditionalFormatting>
  <conditionalFormatting sqref="BP69:BP78">
    <cfRule type="expression" dxfId="440" priority="58">
      <formula>BP$68=""</formula>
    </cfRule>
  </conditionalFormatting>
  <conditionalFormatting sqref="BP71:BP76">
    <cfRule type="expression" dxfId="439" priority="60">
      <formula>BP71&lt;&gt;""</formula>
    </cfRule>
  </conditionalFormatting>
  <conditionalFormatting sqref="BQ6:BQ9 BQ17:BQ22 BQ24:BQ45 BQ54:BQ63">
    <cfRule type="expression" dxfId="438" priority="594" stopIfTrue="1">
      <formula>BP$16=""</formula>
    </cfRule>
  </conditionalFormatting>
  <conditionalFormatting sqref="BQ17">
    <cfRule type="expression" dxfId="437" priority="604">
      <formula>BQ17&lt;&gt;""</formula>
    </cfRule>
  </conditionalFormatting>
  <conditionalFormatting sqref="BQ19">
    <cfRule type="expression" dxfId="436" priority="619">
      <formula>BQ19&lt;&gt;""</formula>
    </cfRule>
  </conditionalFormatting>
  <conditionalFormatting sqref="BQ24">
    <cfRule type="expression" dxfId="435" priority="618">
      <formula>BQ24&lt;&gt;""</formula>
    </cfRule>
  </conditionalFormatting>
  <conditionalFormatting sqref="BQ27">
    <cfRule type="expression" dxfId="434" priority="617">
      <formula>BQ27&lt;&gt;""</formula>
    </cfRule>
  </conditionalFormatting>
  <conditionalFormatting sqref="BQ31">
    <cfRule type="expression" dxfId="433" priority="616">
      <formula>BQ31&lt;&gt;""</formula>
    </cfRule>
  </conditionalFormatting>
  <conditionalFormatting sqref="BQ37">
    <cfRule type="expression" dxfId="432" priority="615">
      <formula>BQ37&lt;&gt;""</formula>
    </cfRule>
  </conditionalFormatting>
  <conditionalFormatting sqref="BQ39">
    <cfRule type="expression" dxfId="431" priority="605">
      <formula>BQ39&lt;&gt;""</formula>
    </cfRule>
  </conditionalFormatting>
  <conditionalFormatting sqref="BQ54">
    <cfRule type="expression" dxfId="430" priority="601">
      <formula>BQ54&lt;&gt;""</formula>
    </cfRule>
  </conditionalFormatting>
  <conditionalFormatting sqref="BQ58">
    <cfRule type="expression" dxfId="429" priority="614">
      <formula>BQ58&lt;&gt;""</formula>
    </cfRule>
  </conditionalFormatting>
  <conditionalFormatting sqref="BQ62">
    <cfRule type="expression" dxfId="428" priority="613">
      <formula>BQ62&lt;&gt;""</formula>
    </cfRule>
  </conditionalFormatting>
  <conditionalFormatting sqref="BQ63">
    <cfRule type="expression" dxfId="427" priority="608">
      <formula>BQ63&lt;&gt;""</formula>
    </cfRule>
  </conditionalFormatting>
  <conditionalFormatting sqref="BQ69">
    <cfRule type="expression" dxfId="426" priority="59">
      <formula>BQ69&lt;&gt;""</formula>
    </cfRule>
  </conditionalFormatting>
  <conditionalFormatting sqref="BQ69:BQ78">
    <cfRule type="expression" dxfId="425" priority="57">
      <formula>BP$68=""</formula>
    </cfRule>
  </conditionalFormatting>
  <conditionalFormatting sqref="BQ77">
    <cfRule type="expression" dxfId="424" priority="64">
      <formula>BQ77&lt;&gt;""</formula>
    </cfRule>
  </conditionalFormatting>
  <conditionalFormatting sqref="BQ78">
    <cfRule type="expression" dxfId="423" priority="63">
      <formula>BQ78&lt;&gt;""</formula>
    </cfRule>
  </conditionalFormatting>
  <conditionalFormatting sqref="BR17:BR45 BR6:BR9 BS16 BR54:BR63">
    <cfRule type="expression" dxfId="422" priority="556">
      <formula>BR$16=""</formula>
    </cfRule>
  </conditionalFormatting>
  <conditionalFormatting sqref="BR22">
    <cfRule type="expression" dxfId="421" priority="568">
      <formula>BR22&lt;&gt;""</formula>
    </cfRule>
  </conditionalFormatting>
  <conditionalFormatting sqref="BR26">
    <cfRule type="expression" dxfId="420" priority="564">
      <formula>BR26&lt;&gt;""</formula>
    </cfRule>
  </conditionalFormatting>
  <conditionalFormatting sqref="BR28">
    <cfRule type="expression" dxfId="419" priority="552">
      <formula>BR28&lt;&gt;""</formula>
    </cfRule>
  </conditionalFormatting>
  <conditionalFormatting sqref="BR29:BR30">
    <cfRule type="expression" dxfId="418" priority="563">
      <formula>BR29&lt;&gt;""</formula>
    </cfRule>
  </conditionalFormatting>
  <conditionalFormatting sqref="BR32:BR33">
    <cfRule type="expression" dxfId="417" priority="581">
      <formula>BR32&lt;&gt;""</formula>
    </cfRule>
  </conditionalFormatting>
  <conditionalFormatting sqref="BR34:BR35">
    <cfRule type="expression" dxfId="416" priority="550">
      <formula>BR34&lt;&gt;""</formula>
    </cfRule>
  </conditionalFormatting>
  <conditionalFormatting sqref="BR38">
    <cfRule type="expression" dxfId="415" priority="584">
      <formula>BR38&lt;&gt;""</formula>
    </cfRule>
  </conditionalFormatting>
  <conditionalFormatting sqref="BR41:BR44">
    <cfRule type="expression" dxfId="414" priority="557">
      <formula>BR41&lt;&gt;""</formula>
    </cfRule>
  </conditionalFormatting>
  <conditionalFormatting sqref="BR48">
    <cfRule type="expression" dxfId="413" priority="554">
      <formula>BR$16=""</formula>
    </cfRule>
    <cfRule type="expression" dxfId="412" priority="572">
      <formula>BR16="Ambulant"</formula>
    </cfRule>
  </conditionalFormatting>
  <conditionalFormatting sqref="BR69:BR78">
    <cfRule type="expression" dxfId="411" priority="50">
      <formula>BR$68=""</formula>
    </cfRule>
  </conditionalFormatting>
  <conditionalFormatting sqref="BR71:BR76">
    <cfRule type="expression" dxfId="410" priority="52">
      <formula>BR71&lt;&gt;""</formula>
    </cfRule>
  </conditionalFormatting>
  <conditionalFormatting sqref="BS6:BS9 BS17:BS22 BS24:BS45 BS54:BS63">
    <cfRule type="expression" dxfId="409" priority="555" stopIfTrue="1">
      <formula>BR$16=""</formula>
    </cfRule>
  </conditionalFormatting>
  <conditionalFormatting sqref="BS17">
    <cfRule type="expression" dxfId="408" priority="565">
      <formula>BS17&lt;&gt;""</formula>
    </cfRule>
  </conditionalFormatting>
  <conditionalFormatting sqref="BS19">
    <cfRule type="expression" dxfId="407" priority="580">
      <formula>BS19&lt;&gt;""</formula>
    </cfRule>
  </conditionalFormatting>
  <conditionalFormatting sqref="BS24">
    <cfRule type="expression" dxfId="406" priority="579">
      <formula>BS24&lt;&gt;""</formula>
    </cfRule>
  </conditionalFormatting>
  <conditionalFormatting sqref="BS27">
    <cfRule type="expression" dxfId="405" priority="578">
      <formula>BS27&lt;&gt;""</formula>
    </cfRule>
  </conditionalFormatting>
  <conditionalFormatting sqref="BS31">
    <cfRule type="expression" dxfId="404" priority="577">
      <formula>BS31&lt;&gt;""</formula>
    </cfRule>
  </conditionalFormatting>
  <conditionalFormatting sqref="BS37">
    <cfRule type="expression" dxfId="403" priority="576">
      <formula>BS37&lt;&gt;""</formula>
    </cfRule>
  </conditionalFormatting>
  <conditionalFormatting sqref="BS39">
    <cfRule type="expression" dxfId="402" priority="566">
      <formula>BS39&lt;&gt;""</formula>
    </cfRule>
  </conditionalFormatting>
  <conditionalFormatting sqref="BS54">
    <cfRule type="expression" dxfId="401" priority="562">
      <formula>BS54&lt;&gt;""</formula>
    </cfRule>
  </conditionalFormatting>
  <conditionalFormatting sqref="BS58">
    <cfRule type="expression" dxfId="400" priority="575">
      <formula>BS58&lt;&gt;""</formula>
    </cfRule>
  </conditionalFormatting>
  <conditionalFormatting sqref="BS62">
    <cfRule type="expression" dxfId="399" priority="574">
      <formula>BS62&lt;&gt;""</formula>
    </cfRule>
  </conditionalFormatting>
  <conditionalFormatting sqref="BS63">
    <cfRule type="expression" dxfId="398" priority="569">
      <formula>BS63&lt;&gt;""</formula>
    </cfRule>
  </conditionalFormatting>
  <conditionalFormatting sqref="BS69">
    <cfRule type="expression" dxfId="397" priority="51">
      <formula>BS69&lt;&gt;""</formula>
    </cfRule>
  </conditionalFormatting>
  <conditionalFormatting sqref="BS69:BS78">
    <cfRule type="expression" dxfId="396" priority="49">
      <formula>BR$68=""</formula>
    </cfRule>
  </conditionalFormatting>
  <conditionalFormatting sqref="BS77">
    <cfRule type="expression" dxfId="395" priority="56">
      <formula>BS77&lt;&gt;""</formula>
    </cfRule>
  </conditionalFormatting>
  <conditionalFormatting sqref="BS78">
    <cfRule type="expression" dxfId="394" priority="55">
      <formula>BS78&lt;&gt;""</formula>
    </cfRule>
  </conditionalFormatting>
  <conditionalFormatting sqref="BT17:BT45 BT6:BT9 BU16 BT54:BT63">
    <cfRule type="expression" dxfId="393" priority="517">
      <formula>BT$16=""</formula>
    </cfRule>
  </conditionalFormatting>
  <conditionalFormatting sqref="BT22">
    <cfRule type="expression" dxfId="392" priority="529">
      <formula>BT22&lt;&gt;""</formula>
    </cfRule>
  </conditionalFormatting>
  <conditionalFormatting sqref="BT26">
    <cfRule type="expression" dxfId="391" priority="525">
      <formula>BT26&lt;&gt;""</formula>
    </cfRule>
  </conditionalFormatting>
  <conditionalFormatting sqref="BT28">
    <cfRule type="expression" dxfId="390" priority="513">
      <formula>BT28&lt;&gt;""</formula>
    </cfRule>
  </conditionalFormatting>
  <conditionalFormatting sqref="BT29:BT30">
    <cfRule type="expression" dxfId="389" priority="524">
      <formula>BT29&lt;&gt;""</formula>
    </cfRule>
  </conditionalFormatting>
  <conditionalFormatting sqref="BT32:BT33">
    <cfRule type="expression" dxfId="388" priority="542">
      <formula>BT32&lt;&gt;""</formula>
    </cfRule>
  </conditionalFormatting>
  <conditionalFormatting sqref="BT34:BT35">
    <cfRule type="expression" dxfId="387" priority="511">
      <formula>BT34&lt;&gt;""</formula>
    </cfRule>
  </conditionalFormatting>
  <conditionalFormatting sqref="BT38">
    <cfRule type="expression" dxfId="386" priority="545">
      <formula>BT38&lt;&gt;""</formula>
    </cfRule>
  </conditionalFormatting>
  <conditionalFormatting sqref="BT41:BT44">
    <cfRule type="expression" dxfId="385" priority="518">
      <formula>BT41&lt;&gt;""</formula>
    </cfRule>
  </conditionalFormatting>
  <conditionalFormatting sqref="BT48">
    <cfRule type="expression" dxfId="384" priority="533">
      <formula>BT16="Ambulant"</formula>
    </cfRule>
    <cfRule type="expression" dxfId="383" priority="515">
      <formula>BT$16=""</formula>
    </cfRule>
  </conditionalFormatting>
  <conditionalFormatting sqref="BT69:BT78">
    <cfRule type="expression" dxfId="382" priority="42">
      <formula>BT$68=""</formula>
    </cfRule>
  </conditionalFormatting>
  <conditionalFormatting sqref="BT71:BT76">
    <cfRule type="expression" dxfId="381" priority="44">
      <formula>BT71&lt;&gt;""</formula>
    </cfRule>
  </conditionalFormatting>
  <conditionalFormatting sqref="BU6:BU9 BU17:BU22 BU24:BU45 BU54:BU63">
    <cfRule type="expression" dxfId="380" priority="516" stopIfTrue="1">
      <formula>BT$16=""</formula>
    </cfRule>
  </conditionalFormatting>
  <conditionalFormatting sqref="BU17">
    <cfRule type="expression" dxfId="379" priority="526">
      <formula>BU17&lt;&gt;""</formula>
    </cfRule>
  </conditionalFormatting>
  <conditionalFormatting sqref="BU19">
    <cfRule type="expression" dxfId="378" priority="541">
      <formula>BU19&lt;&gt;""</formula>
    </cfRule>
  </conditionalFormatting>
  <conditionalFormatting sqref="BU24">
    <cfRule type="expression" dxfId="377" priority="540">
      <formula>BU24&lt;&gt;""</formula>
    </cfRule>
  </conditionalFormatting>
  <conditionalFormatting sqref="BU27">
    <cfRule type="expression" dxfId="376" priority="539">
      <formula>BU27&lt;&gt;""</formula>
    </cfRule>
  </conditionalFormatting>
  <conditionalFormatting sqref="BU31">
    <cfRule type="expression" dxfId="375" priority="538">
      <formula>BU31&lt;&gt;""</formula>
    </cfRule>
  </conditionalFormatting>
  <conditionalFormatting sqref="BU37">
    <cfRule type="expression" dxfId="374" priority="537">
      <formula>BU37&lt;&gt;""</formula>
    </cfRule>
  </conditionalFormatting>
  <conditionalFormatting sqref="BU39">
    <cfRule type="expression" dxfId="373" priority="527">
      <formula>BU39&lt;&gt;""</formula>
    </cfRule>
  </conditionalFormatting>
  <conditionalFormatting sqref="BU54">
    <cfRule type="expression" dxfId="372" priority="523">
      <formula>BU54&lt;&gt;""</formula>
    </cfRule>
  </conditionalFormatting>
  <conditionalFormatting sqref="BU58">
    <cfRule type="expression" dxfId="371" priority="536">
      <formula>BU58&lt;&gt;""</formula>
    </cfRule>
  </conditionalFormatting>
  <conditionalFormatting sqref="BU62">
    <cfRule type="expression" dxfId="370" priority="535">
      <formula>BU62&lt;&gt;""</formula>
    </cfRule>
  </conditionalFormatting>
  <conditionalFormatting sqref="BU63">
    <cfRule type="expression" dxfId="369" priority="530">
      <formula>BU63&lt;&gt;""</formula>
    </cfRule>
  </conditionalFormatting>
  <conditionalFormatting sqref="BU69">
    <cfRule type="expression" dxfId="368" priority="43">
      <formula>BU69&lt;&gt;""</formula>
    </cfRule>
  </conditionalFormatting>
  <conditionalFormatting sqref="BU69:BU78">
    <cfRule type="expression" dxfId="367" priority="41">
      <formula>BT$68=""</formula>
    </cfRule>
  </conditionalFormatting>
  <conditionalFormatting sqref="BU77">
    <cfRule type="expression" dxfId="366" priority="48">
      <formula>BU77&lt;&gt;""</formula>
    </cfRule>
  </conditionalFormatting>
  <conditionalFormatting sqref="BU78">
    <cfRule type="expression" dxfId="365" priority="47">
      <formula>BU78&lt;&gt;""</formula>
    </cfRule>
  </conditionalFormatting>
  <conditionalFormatting sqref="BV17:BV45 BV6:BV9 BW16 BV54:BV63">
    <cfRule type="expression" dxfId="364" priority="478">
      <formula>BV$16=""</formula>
    </cfRule>
  </conditionalFormatting>
  <conditionalFormatting sqref="BV22">
    <cfRule type="expression" dxfId="363" priority="490">
      <formula>BV22&lt;&gt;""</formula>
    </cfRule>
  </conditionalFormatting>
  <conditionalFormatting sqref="BV26">
    <cfRule type="expression" dxfId="362" priority="486">
      <formula>BV26&lt;&gt;""</formula>
    </cfRule>
  </conditionalFormatting>
  <conditionalFormatting sqref="BV28">
    <cfRule type="expression" dxfId="361" priority="474">
      <formula>BV28&lt;&gt;""</formula>
    </cfRule>
  </conditionalFormatting>
  <conditionalFormatting sqref="BV29:BV30">
    <cfRule type="expression" dxfId="360" priority="485">
      <formula>BV29&lt;&gt;""</formula>
    </cfRule>
  </conditionalFormatting>
  <conditionalFormatting sqref="BV32:BV33">
    <cfRule type="expression" dxfId="359" priority="503">
      <formula>BV32&lt;&gt;""</formula>
    </cfRule>
  </conditionalFormatting>
  <conditionalFormatting sqref="BV34:BV35">
    <cfRule type="expression" dxfId="358" priority="472">
      <formula>BV34&lt;&gt;""</formula>
    </cfRule>
  </conditionalFormatting>
  <conditionalFormatting sqref="BV38">
    <cfRule type="expression" dxfId="357" priority="506">
      <formula>BV38&lt;&gt;""</formula>
    </cfRule>
  </conditionalFormatting>
  <conditionalFormatting sqref="BV41:BV44">
    <cfRule type="expression" dxfId="356" priority="479">
      <formula>BV41&lt;&gt;""</formula>
    </cfRule>
  </conditionalFormatting>
  <conditionalFormatting sqref="BV48">
    <cfRule type="expression" dxfId="355" priority="476">
      <formula>BV$16=""</formula>
    </cfRule>
    <cfRule type="expression" dxfId="354" priority="494">
      <formula>BV16="Ambulant"</formula>
    </cfRule>
  </conditionalFormatting>
  <conditionalFormatting sqref="BV69:BV78">
    <cfRule type="expression" dxfId="353" priority="34">
      <formula>BV$68=""</formula>
    </cfRule>
  </conditionalFormatting>
  <conditionalFormatting sqref="BV71:BV76">
    <cfRule type="expression" dxfId="352" priority="36">
      <formula>BV71&lt;&gt;""</formula>
    </cfRule>
  </conditionalFormatting>
  <conditionalFormatting sqref="BW6:BW9 BW17:BW22 BW24:BW45 BW54:BW63">
    <cfRule type="expression" dxfId="351" priority="477" stopIfTrue="1">
      <formula>BV$16=""</formula>
    </cfRule>
  </conditionalFormatting>
  <conditionalFormatting sqref="BW17">
    <cfRule type="expression" dxfId="350" priority="487">
      <formula>BW17&lt;&gt;""</formula>
    </cfRule>
  </conditionalFormatting>
  <conditionalFormatting sqref="BW19">
    <cfRule type="expression" dxfId="349" priority="502">
      <formula>BW19&lt;&gt;""</formula>
    </cfRule>
  </conditionalFormatting>
  <conditionalFormatting sqref="BW24">
    <cfRule type="expression" dxfId="348" priority="501">
      <formula>BW24&lt;&gt;""</formula>
    </cfRule>
  </conditionalFormatting>
  <conditionalFormatting sqref="BW27">
    <cfRule type="expression" dxfId="347" priority="500">
      <formula>BW27&lt;&gt;""</formula>
    </cfRule>
  </conditionalFormatting>
  <conditionalFormatting sqref="BW31">
    <cfRule type="expression" dxfId="346" priority="499">
      <formula>BW31&lt;&gt;""</formula>
    </cfRule>
  </conditionalFormatting>
  <conditionalFormatting sqref="BW37">
    <cfRule type="expression" dxfId="345" priority="498">
      <formula>BW37&lt;&gt;""</formula>
    </cfRule>
  </conditionalFormatting>
  <conditionalFormatting sqref="BW39">
    <cfRule type="expression" dxfId="344" priority="488">
      <formula>BW39&lt;&gt;""</formula>
    </cfRule>
  </conditionalFormatting>
  <conditionalFormatting sqref="BW54">
    <cfRule type="expression" dxfId="343" priority="484">
      <formula>BW54&lt;&gt;""</formula>
    </cfRule>
  </conditionalFormatting>
  <conditionalFormatting sqref="BW58">
    <cfRule type="expression" dxfId="342" priority="497">
      <formula>BW58&lt;&gt;""</formula>
    </cfRule>
  </conditionalFormatting>
  <conditionalFormatting sqref="BW62">
    <cfRule type="expression" dxfId="341" priority="496">
      <formula>BW62&lt;&gt;""</formula>
    </cfRule>
  </conditionalFormatting>
  <conditionalFormatting sqref="BW63">
    <cfRule type="expression" dxfId="340" priority="491">
      <formula>BW63&lt;&gt;""</formula>
    </cfRule>
  </conditionalFormatting>
  <conditionalFormatting sqref="BW69">
    <cfRule type="expression" dxfId="339" priority="35">
      <formula>BW69&lt;&gt;""</formula>
    </cfRule>
  </conditionalFormatting>
  <conditionalFormatting sqref="BW69:BW78">
    <cfRule type="expression" dxfId="338" priority="33">
      <formula>BV$68=""</formula>
    </cfRule>
  </conditionalFormatting>
  <conditionalFormatting sqref="BW77">
    <cfRule type="expression" dxfId="337" priority="40">
      <formula>BW77&lt;&gt;""</formula>
    </cfRule>
  </conditionalFormatting>
  <conditionalFormatting sqref="BW78">
    <cfRule type="expression" dxfId="336" priority="39">
      <formula>BW78&lt;&gt;""</formula>
    </cfRule>
  </conditionalFormatting>
  <conditionalFormatting sqref="BX17:BX45 BX6:BX9 BY16 BX54:BX63">
    <cfRule type="expression" dxfId="335" priority="439">
      <formula>BX$16=""</formula>
    </cfRule>
  </conditionalFormatting>
  <conditionalFormatting sqref="BX22">
    <cfRule type="expression" dxfId="334" priority="451">
      <formula>BX22&lt;&gt;""</formula>
    </cfRule>
  </conditionalFormatting>
  <conditionalFormatting sqref="BX26">
    <cfRule type="expression" dxfId="333" priority="447">
      <formula>BX26&lt;&gt;""</formula>
    </cfRule>
  </conditionalFormatting>
  <conditionalFormatting sqref="BX28">
    <cfRule type="expression" dxfId="332" priority="435">
      <formula>BX28&lt;&gt;""</formula>
    </cfRule>
  </conditionalFormatting>
  <conditionalFormatting sqref="BX29:BX30">
    <cfRule type="expression" dxfId="331" priority="446">
      <formula>BX29&lt;&gt;""</formula>
    </cfRule>
  </conditionalFormatting>
  <conditionalFormatting sqref="BX32:BX33">
    <cfRule type="expression" dxfId="330" priority="464">
      <formula>BX32&lt;&gt;""</formula>
    </cfRule>
  </conditionalFormatting>
  <conditionalFormatting sqref="BX34:BX35">
    <cfRule type="expression" dxfId="329" priority="433">
      <formula>BX34&lt;&gt;""</formula>
    </cfRule>
  </conditionalFormatting>
  <conditionalFormatting sqref="BX38">
    <cfRule type="expression" dxfId="328" priority="467">
      <formula>BX38&lt;&gt;""</formula>
    </cfRule>
  </conditionalFormatting>
  <conditionalFormatting sqref="BX41:BX44">
    <cfRule type="expression" dxfId="327" priority="440">
      <formula>BX41&lt;&gt;""</formula>
    </cfRule>
  </conditionalFormatting>
  <conditionalFormatting sqref="BX48">
    <cfRule type="expression" dxfId="326" priority="437">
      <formula>BX$16=""</formula>
    </cfRule>
    <cfRule type="expression" dxfId="325" priority="455">
      <formula>BX16="Ambulant"</formula>
    </cfRule>
  </conditionalFormatting>
  <conditionalFormatting sqref="BX69:BX78">
    <cfRule type="expression" dxfId="324" priority="26">
      <formula>BX$68=""</formula>
    </cfRule>
  </conditionalFormatting>
  <conditionalFormatting sqref="BX71:BX76">
    <cfRule type="expression" dxfId="323" priority="28">
      <formula>BX71&lt;&gt;""</formula>
    </cfRule>
  </conditionalFormatting>
  <conditionalFormatting sqref="BY6:BY9 BY17:BY22 BY24:BY45 BY54:BY63">
    <cfRule type="expression" dxfId="322" priority="438" stopIfTrue="1">
      <formula>BX$16=""</formula>
    </cfRule>
  </conditionalFormatting>
  <conditionalFormatting sqref="BY17">
    <cfRule type="expression" dxfId="321" priority="448">
      <formula>BY17&lt;&gt;""</formula>
    </cfRule>
  </conditionalFormatting>
  <conditionalFormatting sqref="BY19">
    <cfRule type="expression" dxfId="320" priority="463">
      <formula>BY19&lt;&gt;""</formula>
    </cfRule>
  </conditionalFormatting>
  <conditionalFormatting sqref="BY24">
    <cfRule type="expression" dxfId="319" priority="462">
      <formula>BY24&lt;&gt;""</formula>
    </cfRule>
  </conditionalFormatting>
  <conditionalFormatting sqref="BY27">
    <cfRule type="expression" dxfId="318" priority="461">
      <formula>BY27&lt;&gt;""</formula>
    </cfRule>
  </conditionalFormatting>
  <conditionalFormatting sqref="BY31">
    <cfRule type="expression" dxfId="317" priority="460">
      <formula>BY31&lt;&gt;""</formula>
    </cfRule>
  </conditionalFormatting>
  <conditionalFormatting sqref="BY37">
    <cfRule type="expression" dxfId="316" priority="459">
      <formula>BY37&lt;&gt;""</formula>
    </cfRule>
  </conditionalFormatting>
  <conditionalFormatting sqref="BY39">
    <cfRule type="expression" dxfId="315" priority="449">
      <formula>BY39&lt;&gt;""</formula>
    </cfRule>
  </conditionalFormatting>
  <conditionalFormatting sqref="BY54">
    <cfRule type="expression" dxfId="314" priority="445">
      <formula>BY54&lt;&gt;""</formula>
    </cfRule>
  </conditionalFormatting>
  <conditionalFormatting sqref="BY58">
    <cfRule type="expression" dxfId="313" priority="458">
      <formula>BY58&lt;&gt;""</formula>
    </cfRule>
  </conditionalFormatting>
  <conditionalFormatting sqref="BY62">
    <cfRule type="expression" dxfId="312" priority="457">
      <formula>BY62&lt;&gt;""</formula>
    </cfRule>
  </conditionalFormatting>
  <conditionalFormatting sqref="BY63">
    <cfRule type="expression" dxfId="311" priority="452">
      <formula>BY63&lt;&gt;""</formula>
    </cfRule>
  </conditionalFormatting>
  <conditionalFormatting sqref="BY69">
    <cfRule type="expression" dxfId="310" priority="27">
      <formula>BY69&lt;&gt;""</formula>
    </cfRule>
  </conditionalFormatting>
  <conditionalFormatting sqref="BY69:BY78">
    <cfRule type="expression" dxfId="309" priority="25">
      <formula>BX$68=""</formula>
    </cfRule>
  </conditionalFormatting>
  <conditionalFormatting sqref="BY77">
    <cfRule type="expression" dxfId="308" priority="32">
      <formula>BY77&lt;&gt;""</formula>
    </cfRule>
  </conditionalFormatting>
  <conditionalFormatting sqref="BY78">
    <cfRule type="expression" dxfId="307" priority="31">
      <formula>BY78&lt;&gt;""</formula>
    </cfRule>
  </conditionalFormatting>
  <conditionalFormatting sqref="BZ17:BZ45 BZ6:BZ9 CA16 BZ54:BZ63">
    <cfRule type="expression" dxfId="306" priority="400">
      <formula>BZ$16=""</formula>
    </cfRule>
  </conditionalFormatting>
  <conditionalFormatting sqref="BZ22">
    <cfRule type="expression" dxfId="305" priority="412">
      <formula>BZ22&lt;&gt;""</formula>
    </cfRule>
  </conditionalFormatting>
  <conditionalFormatting sqref="BZ26">
    <cfRule type="expression" dxfId="304" priority="408">
      <formula>BZ26&lt;&gt;""</formula>
    </cfRule>
  </conditionalFormatting>
  <conditionalFormatting sqref="BZ28">
    <cfRule type="expression" dxfId="303" priority="396">
      <formula>BZ28&lt;&gt;""</formula>
    </cfRule>
  </conditionalFormatting>
  <conditionalFormatting sqref="BZ29:BZ30">
    <cfRule type="expression" dxfId="302" priority="407">
      <formula>BZ29&lt;&gt;""</formula>
    </cfRule>
  </conditionalFormatting>
  <conditionalFormatting sqref="BZ32:BZ33">
    <cfRule type="expression" dxfId="301" priority="425">
      <formula>BZ32&lt;&gt;""</formula>
    </cfRule>
  </conditionalFormatting>
  <conditionalFormatting sqref="BZ34:BZ35">
    <cfRule type="expression" dxfId="300" priority="394">
      <formula>BZ34&lt;&gt;""</formula>
    </cfRule>
  </conditionalFormatting>
  <conditionalFormatting sqref="BZ38">
    <cfRule type="expression" dxfId="299" priority="428">
      <formula>BZ38&lt;&gt;""</formula>
    </cfRule>
  </conditionalFormatting>
  <conditionalFormatting sqref="BZ41:BZ44">
    <cfRule type="expression" dxfId="298" priority="401">
      <formula>BZ41&lt;&gt;""</formula>
    </cfRule>
  </conditionalFormatting>
  <conditionalFormatting sqref="BZ48">
    <cfRule type="expression" dxfId="297" priority="416">
      <formula>BZ16="Ambulant"</formula>
    </cfRule>
    <cfRule type="expression" dxfId="296" priority="398">
      <formula>BZ$16=""</formula>
    </cfRule>
  </conditionalFormatting>
  <conditionalFormatting sqref="BZ69:BZ78">
    <cfRule type="expression" dxfId="295" priority="18">
      <formula>BZ$68=""</formula>
    </cfRule>
  </conditionalFormatting>
  <conditionalFormatting sqref="BZ71:BZ76">
    <cfRule type="expression" dxfId="294" priority="20">
      <formula>BZ71&lt;&gt;""</formula>
    </cfRule>
  </conditionalFormatting>
  <conditionalFormatting sqref="CA6:CA9 CA17:CA22 CA24:CA45 CA54:CA63">
    <cfRule type="expression" dxfId="293" priority="399" stopIfTrue="1">
      <formula>BZ$16=""</formula>
    </cfRule>
  </conditionalFormatting>
  <conditionalFormatting sqref="CA17">
    <cfRule type="expression" dxfId="292" priority="409">
      <formula>CA17&lt;&gt;""</formula>
    </cfRule>
  </conditionalFormatting>
  <conditionalFormatting sqref="CA19">
    <cfRule type="expression" dxfId="291" priority="424">
      <formula>CA19&lt;&gt;""</formula>
    </cfRule>
  </conditionalFormatting>
  <conditionalFormatting sqref="CA24">
    <cfRule type="expression" dxfId="290" priority="423">
      <formula>CA24&lt;&gt;""</formula>
    </cfRule>
  </conditionalFormatting>
  <conditionalFormatting sqref="CA27">
    <cfRule type="expression" dxfId="289" priority="422">
      <formula>CA27&lt;&gt;""</formula>
    </cfRule>
  </conditionalFormatting>
  <conditionalFormatting sqref="CA31">
    <cfRule type="expression" dxfId="288" priority="421">
      <formula>CA31&lt;&gt;""</formula>
    </cfRule>
  </conditionalFormatting>
  <conditionalFormatting sqref="CA37">
    <cfRule type="expression" dxfId="287" priority="420">
      <formula>CA37&lt;&gt;""</formula>
    </cfRule>
  </conditionalFormatting>
  <conditionalFormatting sqref="CA39">
    <cfRule type="expression" dxfId="286" priority="410">
      <formula>CA39&lt;&gt;""</formula>
    </cfRule>
  </conditionalFormatting>
  <conditionalFormatting sqref="CA54">
    <cfRule type="expression" dxfId="285" priority="406">
      <formula>CA54&lt;&gt;""</formula>
    </cfRule>
  </conditionalFormatting>
  <conditionalFormatting sqref="CA58">
    <cfRule type="expression" dxfId="284" priority="419">
      <formula>CA58&lt;&gt;""</formula>
    </cfRule>
  </conditionalFormatting>
  <conditionalFormatting sqref="CA62">
    <cfRule type="expression" dxfId="283" priority="418">
      <formula>CA62&lt;&gt;""</formula>
    </cfRule>
  </conditionalFormatting>
  <conditionalFormatting sqref="CA63">
    <cfRule type="expression" dxfId="282" priority="413">
      <formula>CA63&lt;&gt;""</formula>
    </cfRule>
  </conditionalFormatting>
  <conditionalFormatting sqref="CA69">
    <cfRule type="expression" dxfId="281" priority="19">
      <formula>CA69&lt;&gt;""</formula>
    </cfRule>
  </conditionalFormatting>
  <conditionalFormatting sqref="CA69:CA78">
    <cfRule type="expression" dxfId="280" priority="17">
      <formula>BZ$68=""</formula>
    </cfRule>
  </conditionalFormatting>
  <conditionalFormatting sqref="CA77">
    <cfRule type="expression" dxfId="279" priority="24">
      <formula>CA77&lt;&gt;""</formula>
    </cfRule>
  </conditionalFormatting>
  <conditionalFormatting sqref="CA78">
    <cfRule type="expression" dxfId="278" priority="23">
      <formula>CA78&lt;&gt;""</formula>
    </cfRule>
  </conditionalFormatting>
  <conditionalFormatting sqref="CB17:CB45 CB6:CB9 CC16 CB54:CB63">
    <cfRule type="expression" dxfId="277" priority="361">
      <formula>CB$16=""</formula>
    </cfRule>
  </conditionalFormatting>
  <conditionalFormatting sqref="CB22">
    <cfRule type="expression" dxfId="276" priority="373">
      <formula>CB22&lt;&gt;""</formula>
    </cfRule>
  </conditionalFormatting>
  <conditionalFormatting sqref="CB26">
    <cfRule type="expression" dxfId="275" priority="369">
      <formula>CB26&lt;&gt;""</formula>
    </cfRule>
  </conditionalFormatting>
  <conditionalFormatting sqref="CB28">
    <cfRule type="expression" dxfId="274" priority="357">
      <formula>CB28&lt;&gt;""</formula>
    </cfRule>
  </conditionalFormatting>
  <conditionalFormatting sqref="CB29:CB30">
    <cfRule type="expression" dxfId="273" priority="368">
      <formula>CB29&lt;&gt;""</formula>
    </cfRule>
  </conditionalFormatting>
  <conditionalFormatting sqref="CB32:CB33">
    <cfRule type="expression" dxfId="272" priority="386">
      <formula>CB32&lt;&gt;""</formula>
    </cfRule>
  </conditionalFormatting>
  <conditionalFormatting sqref="CB34:CB35">
    <cfRule type="expression" dxfId="271" priority="355">
      <formula>CB34&lt;&gt;""</formula>
    </cfRule>
  </conditionalFormatting>
  <conditionalFormatting sqref="CB38">
    <cfRule type="expression" dxfId="270" priority="389">
      <formula>CB38&lt;&gt;""</formula>
    </cfRule>
  </conditionalFormatting>
  <conditionalFormatting sqref="CB41:CB44">
    <cfRule type="expression" dxfId="269" priority="362">
      <formula>CB41&lt;&gt;""</formula>
    </cfRule>
  </conditionalFormatting>
  <conditionalFormatting sqref="CB48">
    <cfRule type="expression" dxfId="268" priority="377">
      <formula>CB16="Ambulant"</formula>
    </cfRule>
    <cfRule type="expression" dxfId="267" priority="359">
      <formula>CB$16=""</formula>
    </cfRule>
  </conditionalFormatting>
  <conditionalFormatting sqref="CB69:CB78">
    <cfRule type="expression" dxfId="266" priority="10">
      <formula>CB$68=""</formula>
    </cfRule>
  </conditionalFormatting>
  <conditionalFormatting sqref="CB71:CB76">
    <cfRule type="expression" dxfId="265" priority="12">
      <formula>CB71&lt;&gt;""</formula>
    </cfRule>
  </conditionalFormatting>
  <conditionalFormatting sqref="CC6:CC9 CC17:CC22 CC24:CC45 CC54:CC63">
    <cfRule type="expression" dxfId="264" priority="360" stopIfTrue="1">
      <formula>CB$16=""</formula>
    </cfRule>
  </conditionalFormatting>
  <conditionalFormatting sqref="CC17">
    <cfRule type="expression" dxfId="263" priority="370">
      <formula>CC17&lt;&gt;""</formula>
    </cfRule>
  </conditionalFormatting>
  <conditionalFormatting sqref="CC19">
    <cfRule type="expression" dxfId="262" priority="385">
      <formula>CC19&lt;&gt;""</formula>
    </cfRule>
  </conditionalFormatting>
  <conditionalFormatting sqref="CC24">
    <cfRule type="expression" dxfId="261" priority="384">
      <formula>CC24&lt;&gt;""</formula>
    </cfRule>
  </conditionalFormatting>
  <conditionalFormatting sqref="CC27">
    <cfRule type="expression" dxfId="260" priority="383">
      <formula>CC27&lt;&gt;""</formula>
    </cfRule>
  </conditionalFormatting>
  <conditionalFormatting sqref="CC31">
    <cfRule type="expression" dxfId="259" priority="382">
      <formula>CC31&lt;&gt;""</formula>
    </cfRule>
  </conditionalFormatting>
  <conditionalFormatting sqref="CC37">
    <cfRule type="expression" dxfId="258" priority="381">
      <formula>CC37&lt;&gt;""</formula>
    </cfRule>
  </conditionalFormatting>
  <conditionalFormatting sqref="CC39">
    <cfRule type="expression" dxfId="257" priority="371">
      <formula>CC39&lt;&gt;""</formula>
    </cfRule>
  </conditionalFormatting>
  <conditionalFormatting sqref="CC54">
    <cfRule type="expression" dxfId="256" priority="367">
      <formula>CC54&lt;&gt;""</formula>
    </cfRule>
  </conditionalFormatting>
  <conditionalFormatting sqref="CC58">
    <cfRule type="expression" dxfId="255" priority="380">
      <formula>CC58&lt;&gt;""</formula>
    </cfRule>
  </conditionalFormatting>
  <conditionalFormatting sqref="CC62">
    <cfRule type="expression" dxfId="254" priority="379">
      <formula>CC62&lt;&gt;""</formula>
    </cfRule>
  </conditionalFormatting>
  <conditionalFormatting sqref="CC63">
    <cfRule type="expression" dxfId="253" priority="374">
      <formula>CC63&lt;&gt;""</formula>
    </cfRule>
  </conditionalFormatting>
  <conditionalFormatting sqref="CC69">
    <cfRule type="expression" dxfId="252" priority="11">
      <formula>CC69&lt;&gt;""</formula>
    </cfRule>
  </conditionalFormatting>
  <conditionalFormatting sqref="CC69:CC78">
    <cfRule type="expression" dxfId="251" priority="9">
      <formula>CB$68=""</formula>
    </cfRule>
  </conditionalFormatting>
  <conditionalFormatting sqref="CC77">
    <cfRule type="expression" dxfId="250" priority="16">
      <formula>CC77&lt;&gt;""</formula>
    </cfRule>
  </conditionalFormatting>
  <conditionalFormatting sqref="CC78">
    <cfRule type="expression" dxfId="249" priority="15">
      <formula>CC78&lt;&gt;""</formula>
    </cfRule>
  </conditionalFormatting>
  <conditionalFormatting sqref="CD17:CD45 CD6:CD9 CE16 CD54:CD63">
    <cfRule type="expression" dxfId="248" priority="322">
      <formula>CD$16=""</formula>
    </cfRule>
  </conditionalFormatting>
  <conditionalFormatting sqref="CD22">
    <cfRule type="expression" dxfId="247" priority="334">
      <formula>CD22&lt;&gt;""</formula>
    </cfRule>
  </conditionalFormatting>
  <conditionalFormatting sqref="CD26">
    <cfRule type="expression" dxfId="246" priority="330">
      <formula>CD26&lt;&gt;""</formula>
    </cfRule>
  </conditionalFormatting>
  <conditionalFormatting sqref="CD28">
    <cfRule type="expression" dxfId="245" priority="318">
      <formula>CD28&lt;&gt;""</formula>
    </cfRule>
  </conditionalFormatting>
  <conditionalFormatting sqref="CD29:CD30">
    <cfRule type="expression" dxfId="244" priority="329">
      <formula>CD29&lt;&gt;""</formula>
    </cfRule>
  </conditionalFormatting>
  <conditionalFormatting sqref="CD32:CD33">
    <cfRule type="expression" dxfId="243" priority="347">
      <formula>CD32&lt;&gt;""</formula>
    </cfRule>
  </conditionalFormatting>
  <conditionalFormatting sqref="CD34:CD35">
    <cfRule type="expression" dxfId="242" priority="316">
      <formula>CD34&lt;&gt;""</formula>
    </cfRule>
  </conditionalFormatting>
  <conditionalFormatting sqref="CD38">
    <cfRule type="expression" dxfId="241" priority="350">
      <formula>CD38&lt;&gt;""</formula>
    </cfRule>
  </conditionalFormatting>
  <conditionalFormatting sqref="CD41:CD44">
    <cfRule type="expression" dxfId="240" priority="323">
      <formula>CD41&lt;&gt;""</formula>
    </cfRule>
  </conditionalFormatting>
  <conditionalFormatting sqref="CD69:CD78">
    <cfRule type="expression" dxfId="239" priority="2">
      <formula>CD$68=""</formula>
    </cfRule>
  </conditionalFormatting>
  <conditionalFormatting sqref="CD71:CD76">
    <cfRule type="expression" dxfId="238" priority="4">
      <formula>CD71&lt;&gt;""</formula>
    </cfRule>
  </conditionalFormatting>
  <conditionalFormatting sqref="CE6:CE9 CE17:CE22 CE24:CE45 CE54:CE63">
    <cfRule type="expression" dxfId="237" priority="321" stopIfTrue="1">
      <formula>CD$16=""</formula>
    </cfRule>
  </conditionalFormatting>
  <conditionalFormatting sqref="CE17">
    <cfRule type="expression" dxfId="236" priority="331">
      <formula>CE17&lt;&gt;""</formula>
    </cfRule>
  </conditionalFormatting>
  <conditionalFormatting sqref="CE19">
    <cfRule type="expression" dxfId="235" priority="346">
      <formula>CE19&lt;&gt;""</formula>
    </cfRule>
  </conditionalFormatting>
  <conditionalFormatting sqref="CE24">
    <cfRule type="expression" dxfId="234" priority="345">
      <formula>CE24&lt;&gt;""</formula>
    </cfRule>
  </conditionalFormatting>
  <conditionalFormatting sqref="CE27">
    <cfRule type="expression" dxfId="233" priority="344">
      <formula>CE27&lt;&gt;""</formula>
    </cfRule>
  </conditionalFormatting>
  <conditionalFormatting sqref="CE31">
    <cfRule type="expression" dxfId="232" priority="343">
      <formula>CE31&lt;&gt;""</formula>
    </cfRule>
  </conditionalFormatting>
  <conditionalFormatting sqref="CE37">
    <cfRule type="expression" dxfId="231" priority="342">
      <formula>CE37&lt;&gt;""</formula>
    </cfRule>
  </conditionalFormatting>
  <conditionalFormatting sqref="CE39">
    <cfRule type="expression" dxfId="230" priority="332">
      <formula>CE39&lt;&gt;""</formula>
    </cfRule>
  </conditionalFormatting>
  <conditionalFormatting sqref="CE54">
    <cfRule type="expression" dxfId="229" priority="328">
      <formula>CE54&lt;&gt;""</formula>
    </cfRule>
  </conditionalFormatting>
  <conditionalFormatting sqref="CE58">
    <cfRule type="expression" dxfId="228" priority="341">
      <formula>CE58&lt;&gt;""</formula>
    </cfRule>
  </conditionalFormatting>
  <conditionalFormatting sqref="CE62">
    <cfRule type="expression" dxfId="227" priority="340">
      <formula>CE62&lt;&gt;""</formula>
    </cfRule>
  </conditionalFormatting>
  <conditionalFormatting sqref="CE63">
    <cfRule type="expression" dxfId="226" priority="335">
      <formula>CE63&lt;&gt;""</formula>
    </cfRule>
  </conditionalFormatting>
  <conditionalFormatting sqref="CE69">
    <cfRule type="expression" dxfId="225" priority="3">
      <formula>CE69&lt;&gt;""</formula>
    </cfRule>
  </conditionalFormatting>
  <conditionalFormatting sqref="CE69:CE78">
    <cfRule type="expression" dxfId="224" priority="1">
      <formula>CD$68=""</formula>
    </cfRule>
  </conditionalFormatting>
  <conditionalFormatting sqref="CE77">
    <cfRule type="expression" dxfId="223" priority="8">
      <formula>CE77&lt;&gt;""</formula>
    </cfRule>
  </conditionalFormatting>
  <conditionalFormatting sqref="CE78">
    <cfRule type="expression" dxfId="222" priority="7">
      <formula>CE78&lt;&gt;""</formula>
    </cfRule>
  </conditionalFormatting>
  <pageMargins left="0.7" right="0.7" top="0.75" bottom="0.75" header="0.3" footer="0.3"/>
  <pageSetup paperSize="9" orientation="portrait" r:id="rId1"/>
  <ignoredErrors>
    <ignoredError sqref="A39:C39 A28:B28 D22:E27 D29:E31 E28 D28 D59:E61 D57 D63:E63 D62 D58 CF47:CG47 CF48:CG79 CF22:CG46 F47:CE47 F22:CE46 CH22:CM46 F80:CM96 F48:CE48 CH48:CM79 CH47:CM47 A38 C38 D78 F59:CE63 F57 H57 J57 E68 D77 D70 D69 C75:C76 C71:C73 C70 C69 E69 E70 E71 F70:CC70 F72:CC73 F75:CC76 E74 E72:E73 E75:E76 D75:D76 D72:D73 D74 CD72:CD73 CD75:CD76 F74:CD74 F52:CE56 L51:CE51 H51 J51 F58 H58:CE58 F50 H50:CE50 M71 K71 I71 G71 F71 H71 J71 L71 N71:CE71 D50:E56 D65:E67 F65:CE67 D40:E48 D32:D39" formula="1"/>
    <ignoredError sqref="E32:E39" evalError="1" formula="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FA0DC"/>
    <pageSetUpPr autoPageBreaks="0"/>
  </sheetPr>
  <dimension ref="A1:AZ200"/>
  <sheetViews>
    <sheetView zoomScaleNormal="100" workbookViewId="0"/>
  </sheetViews>
  <sheetFormatPr defaultRowHeight="15.75" x14ac:dyDescent="0.5"/>
  <cols>
    <col min="1" max="1" width="15.59765625" customWidth="1"/>
    <col min="2" max="2" width="30.59765625" customWidth="1"/>
    <col min="3" max="3" width="24.59765625" customWidth="1"/>
    <col min="4" max="4" width="15.59765625" customWidth="1"/>
    <col min="5" max="5" width="24.59765625" customWidth="1"/>
    <col min="6" max="6" width="20.59765625" customWidth="1"/>
    <col min="7" max="7" width="15.59765625" customWidth="1"/>
    <col min="8" max="8" width="36.59765625" customWidth="1"/>
    <col min="9" max="11" width="20.59765625" customWidth="1"/>
    <col min="12" max="12" width="25.59765625" style="88" customWidth="1"/>
    <col min="13" max="13" width="40.59765625" customWidth="1"/>
    <col min="14" max="14" width="8.59765625" customWidth="1"/>
    <col min="15" max="15" width="16.59765625" customWidth="1"/>
    <col min="16" max="16" width="8.59765625" customWidth="1"/>
    <col min="17" max="17" width="16.59765625" customWidth="1"/>
    <col min="18" max="18" width="8.59765625" customWidth="1"/>
    <col min="19" max="19" width="16.59765625" customWidth="1"/>
    <col min="27" max="28" width="8.73046875" customWidth="1"/>
  </cols>
  <sheetData>
    <row r="1" spans="1:52" x14ac:dyDescent="0.5">
      <c r="A1" s="289"/>
      <c r="B1" s="289"/>
      <c r="C1" s="289"/>
      <c r="D1" s="289"/>
      <c r="E1" s="289"/>
      <c r="F1" s="289"/>
      <c r="G1" s="289"/>
      <c r="H1" s="289"/>
      <c r="I1" s="289"/>
      <c r="J1" s="746" t="s">
        <v>780</v>
      </c>
      <c r="K1" s="770" t="s">
        <v>1079</v>
      </c>
      <c r="L1" s="305"/>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row>
    <row r="2" spans="1:52" x14ac:dyDescent="0.5">
      <c r="A2" s="289"/>
      <c r="B2" s="289"/>
      <c r="C2" s="289"/>
      <c r="D2" s="335"/>
      <c r="E2" s="289"/>
      <c r="F2" s="289"/>
      <c r="G2" s="289"/>
      <c r="H2" s="289"/>
      <c r="I2" s="289"/>
      <c r="J2" s="746"/>
      <c r="K2" s="770"/>
      <c r="L2" s="305"/>
      <c r="M2" s="289"/>
      <c r="N2" s="289"/>
      <c r="O2" s="289"/>
      <c r="P2" s="289"/>
      <c r="Q2" s="289"/>
      <c r="R2" s="289"/>
      <c r="S2" s="289"/>
      <c r="T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row>
    <row r="3" spans="1:52" ht="14.55" customHeight="1" x14ac:dyDescent="0.55000000000000004">
      <c r="A3" s="289"/>
      <c r="B3" s="289"/>
      <c r="C3" s="289"/>
      <c r="D3" s="289"/>
      <c r="E3" s="306"/>
      <c r="F3" s="289"/>
      <c r="G3" s="289"/>
      <c r="H3" s="289"/>
      <c r="I3" s="289"/>
      <c r="J3" s="746"/>
      <c r="K3" s="770"/>
      <c r="L3" s="336" t="s">
        <v>990</v>
      </c>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row>
    <row r="4" spans="1:52" ht="14.55" customHeight="1" x14ac:dyDescent="0.5">
      <c r="A4" s="289"/>
      <c r="B4" s="810" t="s">
        <v>963</v>
      </c>
      <c r="C4" s="810"/>
      <c r="D4" s="289"/>
      <c r="E4" s="810" t="s">
        <v>964</v>
      </c>
      <c r="F4" s="810"/>
      <c r="G4" s="289"/>
      <c r="H4" s="810" t="s">
        <v>965</v>
      </c>
      <c r="I4" s="810"/>
      <c r="J4" s="810"/>
      <c r="K4" s="810"/>
      <c r="L4" s="305"/>
      <c r="M4" s="810" t="s">
        <v>966</v>
      </c>
      <c r="N4" s="810"/>
      <c r="O4" s="810"/>
      <c r="P4" s="810"/>
      <c r="Q4" s="810"/>
      <c r="R4" s="810"/>
      <c r="S4" s="810"/>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row>
    <row r="5" spans="1:52" ht="14.55" customHeight="1" thickBot="1" x14ac:dyDescent="0.55000000000000004">
      <c r="A5" s="289"/>
      <c r="B5" s="811"/>
      <c r="C5" s="811"/>
      <c r="D5" s="289"/>
      <c r="E5" s="811"/>
      <c r="F5" s="811"/>
      <c r="G5" s="289"/>
      <c r="H5" s="810"/>
      <c r="I5" s="810"/>
      <c r="J5" s="810"/>
      <c r="K5" s="810"/>
      <c r="L5" s="305"/>
      <c r="M5" s="811"/>
      <c r="N5" s="811"/>
      <c r="O5" s="811"/>
      <c r="P5" s="811"/>
      <c r="Q5" s="811"/>
      <c r="R5" s="811"/>
      <c r="S5" s="811"/>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row>
    <row r="6" spans="1:52" ht="14.55" customHeight="1" thickBot="1" x14ac:dyDescent="0.55000000000000004">
      <c r="A6" s="289"/>
      <c r="B6" s="14" t="s">
        <v>14</v>
      </c>
      <c r="C6" s="178"/>
      <c r="D6" s="296"/>
      <c r="E6" s="101" t="s">
        <v>786</v>
      </c>
      <c r="F6" s="123" t="s">
        <v>725</v>
      </c>
      <c r="G6" s="289"/>
      <c r="H6" s="550" t="s">
        <v>822</v>
      </c>
      <c r="I6" s="588" t="str">
        <f>E7</f>
        <v>Gezinshuis, licht</v>
      </c>
      <c r="J6" s="588" t="str">
        <f>E8</f>
        <v>Gezinshuis, midden</v>
      </c>
      <c r="K6" s="589" t="str">
        <f>E9</f>
        <v>Gezinshuis, zwaar</v>
      </c>
      <c r="L6" s="305"/>
      <c r="M6" s="125" t="s">
        <v>822</v>
      </c>
      <c r="N6" s="819" t="str">
        <f>IF(N15="","",N15)</f>
        <v/>
      </c>
      <c r="O6" s="820"/>
      <c r="P6" s="819" t="str">
        <f>IF(P15="","",P15)</f>
        <v/>
      </c>
      <c r="Q6" s="820"/>
      <c r="R6" s="819" t="str">
        <f>IF(R15="","",R15)</f>
        <v/>
      </c>
      <c r="S6" s="820"/>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row>
    <row r="7" spans="1:52" ht="14.55" customHeight="1" thickBot="1" x14ac:dyDescent="0.55000000000000004">
      <c r="A7" s="289"/>
      <c r="B7" s="22" t="s">
        <v>11</v>
      </c>
      <c r="C7" s="728"/>
      <c r="D7" s="289"/>
      <c r="E7" s="498" t="s">
        <v>798</v>
      </c>
      <c r="F7" s="499" t="s">
        <v>27</v>
      </c>
      <c r="G7" s="289"/>
      <c r="H7" s="542" t="s">
        <v>749</v>
      </c>
      <c r="I7" s="503"/>
      <c r="J7" s="503"/>
      <c r="K7" s="504"/>
      <c r="L7" s="305"/>
      <c r="M7" s="256" t="s">
        <v>945</v>
      </c>
      <c r="N7" s="257"/>
      <c r="O7" s="258" t="str">
        <f>IF(N15="","",
IFERROR(
    '2g. Output gezinshuis'!O16*7 /
        ( INDEX($I$14:$K$14,1,1+INT((COLUMN()-COLUMN($O$1))/2)) / (365/7) )
    +
        INDEX($I$20:$K$20,1,1+INT((COLUMN()-COLUMN($O$1))/2)) /
        INDEX($I$19:$K$19,1,1+INT((COLUMN()-COLUMN($O$1))/2)) * 1878/36
    +
        1 /
        (
            INDEX($I$8:$K$8,1,1+INT((COLUMN()-COLUMN($O$1))/2)) /
            INDEX($I$11:$K$11,1,1+INT((COLUMN()-COLUMN($O$1))/2))
        ),
""))</f>
        <v/>
      </c>
      <c r="P7" s="257"/>
      <c r="Q7" s="258" t="str">
        <f>IF(P15="","",
IFERROR(
    '2g. Output gezinshuis'!Q16*7 /
        ( INDEX($I$14:$K$14,1,1+INT((COLUMN()-COLUMN($O$1))/2)) / (365/7) )
    +
        INDEX($I$20:$K$20,1,1+INT((COLUMN()-COLUMN($O$1))/2)) /
        INDEX($I$19:$K$19,1,1+INT((COLUMN()-COLUMN($O$1))/2)) * 1878/36
    +
        1 /
        (
            INDEX($I$8:$K$8,1,1+INT((COLUMN()-COLUMN($O$1))/2)) /
            INDEX($I$11:$K$11,1,1+INT((COLUMN()-COLUMN($O$1))/2))
        ),
""))</f>
        <v/>
      </c>
      <c r="R7" s="257"/>
      <c r="S7" s="259" t="str">
        <f>IF(R15="","",
IFERROR(
    '2g. Output gezinshuis'!S16*7 /
        ( INDEX($I$14:$K$14,1,1+INT((COLUMN()-COLUMN($O$1))/2)) / (365/7) )
    +
        INDEX($I$20:$K$20,1,1+INT((COLUMN()-COLUMN($O$1))/2)) /
        INDEX($I$19:$K$19,1,1+INT((COLUMN()-COLUMN($O$1))/2)) * 1878/36
    +
        1 /
        (
            INDEX($I$8:$K$8,1,1+INT((COLUMN()-COLUMN($O$1))/2)) /
            INDEX($I$11:$K$11,1,1+INT((COLUMN()-COLUMN($O$1))/2))
        ),
""))</f>
        <v/>
      </c>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row>
    <row r="8" spans="1:52" ht="14.55" customHeight="1" thickBot="1" x14ac:dyDescent="0.55000000000000004">
      <c r="A8" s="289"/>
      <c r="B8" s="23" t="s">
        <v>12</v>
      </c>
      <c r="C8" s="600" t="s">
        <v>2</v>
      </c>
      <c r="D8" s="339"/>
      <c r="E8" s="500" t="s">
        <v>799</v>
      </c>
      <c r="F8" s="499" t="s">
        <v>27</v>
      </c>
      <c r="G8" s="289"/>
      <c r="H8" s="540" t="s">
        <v>805</v>
      </c>
      <c r="I8" s="731"/>
      <c r="J8" s="731"/>
      <c r="K8" s="732"/>
      <c r="L8" s="305" t="s">
        <v>780</v>
      </c>
      <c r="M8" s="393" t="s">
        <v>973</v>
      </c>
      <c r="N8" s="812" t="str">
        <f>N29</f>
        <v/>
      </c>
      <c r="O8" s="813"/>
      <c r="P8" s="812" t="str">
        <f>P29</f>
        <v/>
      </c>
      <c r="Q8" s="813"/>
      <c r="R8" s="812" t="str">
        <f>R29</f>
        <v/>
      </c>
      <c r="S8" s="818"/>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row>
    <row r="9" spans="1:52" ht="14.55" customHeight="1" thickBot="1" x14ac:dyDescent="0.55000000000000004">
      <c r="A9" s="289"/>
      <c r="B9" s="23" t="s">
        <v>13</v>
      </c>
      <c r="C9" s="408">
        <f>Initialisatie!C5</f>
        <v>2026</v>
      </c>
      <c r="D9" s="289"/>
      <c r="E9" s="501" t="s">
        <v>800</v>
      </c>
      <c r="F9" s="502" t="s">
        <v>27</v>
      </c>
      <c r="G9" s="289"/>
      <c r="H9" s="540" t="s">
        <v>823</v>
      </c>
      <c r="I9" s="733"/>
      <c r="J9" s="733"/>
      <c r="K9" s="734"/>
      <c r="L9" s="305" t="s">
        <v>780</v>
      </c>
      <c r="M9" s="298"/>
      <c r="N9" s="340"/>
      <c r="O9" s="340"/>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row>
    <row r="10" spans="1:52" ht="14.55" customHeight="1" thickBot="1" x14ac:dyDescent="0.55000000000000004">
      <c r="A10" s="289"/>
      <c r="B10" s="14" t="s">
        <v>759</v>
      </c>
      <c r="C10" s="178"/>
      <c r="D10" s="289"/>
      <c r="E10" s="337"/>
      <c r="F10" s="337"/>
      <c r="G10" s="289"/>
      <c r="H10" s="542" t="s">
        <v>808</v>
      </c>
      <c r="I10" s="642"/>
      <c r="J10" s="642"/>
      <c r="K10" s="505"/>
      <c r="L10" s="305"/>
      <c r="M10" s="298"/>
      <c r="N10" s="341"/>
      <c r="O10" s="341"/>
      <c r="P10" s="342"/>
      <c r="Q10" s="342"/>
      <c r="R10" s="342"/>
      <c r="S10" s="342"/>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row>
    <row r="11" spans="1:52" ht="14.55" customHeight="1" x14ac:dyDescent="0.5">
      <c r="A11" s="289"/>
      <c r="B11" s="1" t="s">
        <v>23</v>
      </c>
      <c r="C11" s="724"/>
      <c r="D11" s="289"/>
      <c r="E11" s="321"/>
      <c r="F11" s="321"/>
      <c r="G11" s="289"/>
      <c r="H11" s="539" t="s">
        <v>824</v>
      </c>
      <c r="I11" s="731"/>
      <c r="J11" s="731"/>
      <c r="K11" s="732"/>
      <c r="L11" s="305" t="s">
        <v>780</v>
      </c>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row>
    <row r="12" spans="1:52" ht="14.55" customHeight="1" thickBot="1" x14ac:dyDescent="0.55000000000000004">
      <c r="A12" s="289"/>
      <c r="B12" s="2" t="s">
        <v>760</v>
      </c>
      <c r="C12" s="725"/>
      <c r="D12" s="289"/>
      <c r="E12" s="289"/>
      <c r="F12" s="289"/>
      <c r="G12" s="289"/>
      <c r="H12" s="590" t="s">
        <v>2241</v>
      </c>
      <c r="I12" s="626"/>
      <c r="J12" s="627"/>
      <c r="K12" s="628"/>
      <c r="L12" s="305" t="s">
        <v>780</v>
      </c>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row>
    <row r="13" spans="1:52" ht="14.55" customHeight="1" thickBot="1" x14ac:dyDescent="0.55000000000000004">
      <c r="A13" s="289"/>
      <c r="B13" s="2" t="s">
        <v>761</v>
      </c>
      <c r="C13" s="726"/>
      <c r="D13" s="289"/>
      <c r="E13" s="338"/>
      <c r="F13" s="289"/>
      <c r="G13" s="289"/>
      <c r="H13" s="542" t="s">
        <v>807</v>
      </c>
      <c r="I13" s="642"/>
      <c r="J13" s="642"/>
      <c r="K13" s="505"/>
      <c r="L13" s="305"/>
      <c r="M13" s="810" t="s">
        <v>1892</v>
      </c>
      <c r="N13" s="810"/>
      <c r="O13" s="810"/>
      <c r="P13" s="810"/>
      <c r="Q13" s="810"/>
      <c r="R13" s="810"/>
      <c r="S13" s="810"/>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row>
    <row r="14" spans="1:52" ht="14.55" customHeight="1" thickBot="1" x14ac:dyDescent="0.55000000000000004">
      <c r="A14" s="289"/>
      <c r="B14" s="3" t="s">
        <v>762</v>
      </c>
      <c r="C14" s="727"/>
      <c r="D14" s="289"/>
      <c r="E14" s="310"/>
      <c r="F14" s="289"/>
      <c r="G14" s="289"/>
      <c r="H14" s="540" t="s">
        <v>826</v>
      </c>
      <c r="I14" s="629"/>
      <c r="J14" s="629"/>
      <c r="K14" s="630"/>
      <c r="L14" s="305" t="s">
        <v>780</v>
      </c>
      <c r="M14" s="811"/>
      <c r="N14" s="811"/>
      <c r="O14" s="811"/>
      <c r="P14" s="811"/>
      <c r="Q14" s="811"/>
      <c r="R14" s="811"/>
      <c r="S14" s="811"/>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row>
    <row r="15" spans="1:52" ht="14.55" customHeight="1" x14ac:dyDescent="0.5">
      <c r="A15" s="289"/>
      <c r="B15" s="289"/>
      <c r="C15" s="289"/>
      <c r="D15" s="289"/>
      <c r="E15" s="289"/>
      <c r="F15" s="289"/>
      <c r="G15" s="289"/>
      <c r="H15" s="540" t="s">
        <v>811</v>
      </c>
      <c r="I15" s="733"/>
      <c r="J15" s="733"/>
      <c r="K15" s="734"/>
      <c r="L15" s="305" t="s">
        <v>780</v>
      </c>
      <c r="M15" s="125" t="s">
        <v>822</v>
      </c>
      <c r="N15" s="816" t="str">
        <f>IF(OR('Hulp (control forms)'!F6&lt;&gt;TRUE,I100&lt;&gt;TRUE),"",I6)</f>
        <v/>
      </c>
      <c r="O15" s="817"/>
      <c r="P15" s="816" t="str">
        <f>IF(OR('Hulp (control forms)'!F7&lt;&gt;TRUE,J100&lt;&gt;TRUE),"",J6)</f>
        <v/>
      </c>
      <c r="Q15" s="817"/>
      <c r="R15" s="816" t="str">
        <f>IF(OR('Hulp (control forms)'!F8&lt;&gt;TRUE,K100&lt;&gt;TRUE),"",K6)</f>
        <v/>
      </c>
      <c r="S15" s="822"/>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row>
    <row r="16" spans="1:52" ht="14.55" customHeight="1" thickBot="1" x14ac:dyDescent="0.55000000000000004">
      <c r="A16" s="289"/>
      <c r="B16" s="289"/>
      <c r="C16" s="289"/>
      <c r="D16" s="289"/>
      <c r="E16" s="289"/>
      <c r="F16" s="289"/>
      <c r="G16" s="289"/>
      <c r="H16" s="540" t="s">
        <v>810</v>
      </c>
      <c r="I16" s="733"/>
      <c r="J16" s="733"/>
      <c r="K16" s="734"/>
      <c r="L16" s="305" t="s">
        <v>780</v>
      </c>
      <c r="M16" s="131" t="s">
        <v>831</v>
      </c>
      <c r="N16" s="506"/>
      <c r="O16" s="507" t="str">
        <f>IF(N15="","",
IFERROR(
    INDEX($I$12:$K$12,1,1+INT((COLUMN()-COLUMN($O$1))/2)) *
    INDEX($I$11:$K$11,1,1+INT((COLUMN()-COLUMN($O$1))/2)) /
    INDEX($I$8:$K$8,1,1+INT((COLUMN()-COLUMN($O$1))/2)) / 365,
""))</f>
        <v/>
      </c>
      <c r="P16" s="508"/>
      <c r="Q16" s="507" t="str">
        <f>IF(P15="","",
IFERROR(
    INDEX($I$12:$K$12,1,1+INT((COLUMN()-COLUMN($O$1))/2)) *
    INDEX($I$11:$K$11,1,1+INT((COLUMN()-COLUMN($O$1))/2)) /
    INDEX($I$8:$K$8,1,1+INT((COLUMN()-COLUMN($O$1))/2)) / 365,
""))</f>
        <v/>
      </c>
      <c r="R16" s="508"/>
      <c r="S16" s="509" t="str">
        <f>IF(R15="","",
IFERROR(
    INDEX($I$12:$K$12,1,1+INT((COLUMN()-COLUMN($O$1))/2)) *
    INDEX($I$11:$K$11,1,1+INT((COLUMN()-COLUMN($O$1))/2)) /
    INDEX($I$8:$K$8,1,1+INT((COLUMN()-COLUMN($O$1))/2)) / 365,
""))</f>
        <v/>
      </c>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row>
    <row r="17" spans="1:52" ht="14.55" customHeight="1" thickBot="1" x14ac:dyDescent="0.55000000000000004">
      <c r="A17" s="289"/>
      <c r="B17" s="289"/>
      <c r="C17" s="289"/>
      <c r="D17" s="289"/>
      <c r="E17" s="289"/>
      <c r="F17" s="289"/>
      <c r="G17" s="289"/>
      <c r="H17" s="542" t="s">
        <v>806</v>
      </c>
      <c r="I17" s="642"/>
      <c r="J17" s="642"/>
      <c r="K17" s="505"/>
      <c r="L17" s="305"/>
      <c r="M17" s="132" t="s">
        <v>830</v>
      </c>
      <c r="N17" s="454"/>
      <c r="O17" s="458" t="str">
        <f>IF(N15="","",
IFERROR(
    INDEX($I$18:$K$18,1,1+INT((COLUMN()-COLUMN($O$1))/2)) /
    INDEX($I$19:$K$19,1,1+INT((COLUMN()-COLUMN($O$1))/2)) *
    INDEX($I$20:$K$20,1,1+INT((COLUMN()-COLUMN($O$1))/2)) / 7,
""))</f>
        <v/>
      </c>
      <c r="P17" s="442"/>
      <c r="Q17" s="458" t="str">
        <f>IF(P15="","",
IFERROR(
    INDEX($I$18:$K$18,1,1+INT((COLUMN()-COLUMN($O$1))/2)) /
    INDEX($I$19:$K$19,1,1+INT((COLUMN()-COLUMN($O$1))/2)) *
    INDEX($I$20:$K$20,1,1+INT((COLUMN()-COLUMN($O$1))/2)) / 7,
""))</f>
        <v/>
      </c>
      <c r="R17" s="442"/>
      <c r="S17" s="510" t="str">
        <f>IF(R15="","",
IFERROR(
    INDEX($I$18:$K$18,1,1+INT((COLUMN()-COLUMN($O$1))/2)) /
    INDEX($I$19:$K$19,1,1+INT((COLUMN()-COLUMN($O$1))/2)) *
    INDEX($I$20:$K$20,1,1+INT((COLUMN()-COLUMN($O$1))/2)) / 7,
""))</f>
        <v/>
      </c>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row>
    <row r="18" spans="1:52" ht="14.55" customHeight="1" x14ac:dyDescent="0.5">
      <c r="A18" s="289"/>
      <c r="B18" s="289"/>
      <c r="C18" s="289"/>
      <c r="D18" s="289"/>
      <c r="E18" s="289"/>
      <c r="F18" s="289"/>
      <c r="G18" s="289"/>
      <c r="H18" s="540" t="s">
        <v>826</v>
      </c>
      <c r="I18" s="629"/>
      <c r="J18" s="629"/>
      <c r="K18" s="630"/>
      <c r="L18" s="305" t="s">
        <v>780</v>
      </c>
      <c r="M18" s="132" t="s">
        <v>827</v>
      </c>
      <c r="N18" s="454"/>
      <c r="O18" s="458" t="str">
        <f>IF(N15="","",
IFERROR(
(
    INDEX($I$16:$K$16,1,1+INT((COLUMN()-COLUMN($O$1))/2)) /
    INDEX($I$15:$K$15,1,1+INT((COLUMN()-COLUMN($O$1))/2))
) * 1878/36 *
(
    INDEX($I$14:$K$14,1,1+INT((COLUMN()-COLUMN($O$1))/2))
) /365
+
IF(
(
    1/
    (INDEX($I$8:$K$8,1,1+INT((COLUMN()-COLUMN($O$1))/2)) /
     INDEX($I$11:$K$11,1,1+INT((COLUMN()-COLUMN($O$1))/2))
    )
    +
    INDEX($I$20:$K$20,1,1+INT((COLUMN()-COLUMN($O$1))/2)) /
    INDEX($I$19:$K$19,1,1+INT((COLUMN()-COLUMN($O$1))/2)) * 1878/36
    +
    INDEX($I$16:$K$16,1,1+INT((COLUMN()-COLUMN($O$1))/2)) /
    INDEX($I$15:$K$15,1,1+INT((COLUMN()-COLUMN($O$1))/2)) * 1878/36
) &lt;
INDEX($I$9:$K$9,1,1+INT((COLUMN()-COLUMN($O$1))/2)),
(
    INDEX($I$9:$K$9,1,1+INT((COLUMN()-COLUMN($O$1))/2))
    -
    (
        1/
        (INDEX($I$8:$K$8,1,1+INT((COLUMN()-COLUMN($O$1))/2)) /
         INDEX($I$11:$K$11,1,1+INT((COLUMN()-COLUMN($O$1))/2))
        )
        +
        INDEX($I$20:$K$20,1,1+INT((COLUMN()-COLUMN($O$1))/2)) /
        (INDEX($I$8:$K$8,1,1+INT((COLUMN()-COLUMN($O$1))/2)) /
         INDEX($I$11:$K$11,1,1+INT((COLUMN()-COLUMN($O$1))/2))
        ) * 1878/36
        +
        INDEX($I$16:$K$16,1,1+INT((COLUMN()-COLUMN($O$1))/2)) /
        INDEX($I$15:$K$15,1,1+INT((COLUMN()-COLUMN($O$1))/2)) * 1878/36
    )
) *
INDEX($I$14:$K$14,1,1+INT((COLUMN()-COLUMN($O$1))/2)) /365,
0),
""))</f>
        <v/>
      </c>
      <c r="P18" s="442"/>
      <c r="Q18" s="458" t="str">
        <f>IF(P15="","",
IFERROR(
(
    INDEX($I$16:$K$16,1,1+INT((COLUMN()-COLUMN($O$1))/2)) /
    INDEX($I$15:$K$15,1,1+INT((COLUMN()-COLUMN($O$1))/2))
) * 1878/36 *
(
    INDEX($I$14:$K$14,1,1+INT((COLUMN()-COLUMN($O$1))/2))
) /365
+
IF(
(
    1/
    (INDEX($I$8:$K$8,1,1+INT((COLUMN()-COLUMN($O$1))/2)) /
     INDEX($I$11:$K$11,1,1+INT((COLUMN()-COLUMN($O$1))/2))
    )
    +
    INDEX($I$20:$K$20,1,1+INT((COLUMN()-COLUMN($O$1))/2)) /
    INDEX($I$19:$K$19,1,1+INT((COLUMN()-COLUMN($O$1))/2)) * 1878/36
    +
    INDEX($I$16:$K$16,1,1+INT((COLUMN()-COLUMN($O$1))/2)) /
    INDEX($I$15:$K$15,1,1+INT((COLUMN()-COLUMN($O$1))/2)) * 1878/36
) &lt;
INDEX($I$9:$K$9,1,1+INT((COLUMN()-COLUMN($O$1))/2)),
(
    INDEX($I$9:$K$9,1,1+INT((COLUMN()-COLUMN($O$1))/2))
    -
    (
        1/
        (INDEX($I$8:$K$8,1,1+INT((COLUMN()-COLUMN($O$1))/2)) /
         INDEX($I$11:$K$11,1,1+INT((COLUMN()-COLUMN($O$1))/2))
        )
        +
        INDEX($I$20:$K$20,1,1+INT((COLUMN()-COLUMN($O$1))/2)) /
        (INDEX($I$8:$K$8,1,1+INT((COLUMN()-COLUMN($O$1))/2)) /
         INDEX($I$11:$K$11,1,1+INT((COLUMN()-COLUMN($O$1))/2))
        ) * 1878/36
        +
        INDEX($I$16:$K$16,1,1+INT((COLUMN()-COLUMN($O$1))/2)) /
        INDEX($I$15:$K$15,1,1+INT((COLUMN()-COLUMN($O$1))/2)) * 1878/36
    )
) *
INDEX($I$14:$K$14,1,1+INT((COLUMN()-COLUMN($O$1))/2)) /365,
0),
""))</f>
        <v/>
      </c>
      <c r="R18" s="442"/>
      <c r="S18" s="510" t="str">
        <f>IF(R15="","",
IFERROR(
(
    INDEX($I$16:$K$16,1,1+INT((COLUMN()-COLUMN($O$1))/2)) /
    INDEX($I$15:$K$15,1,1+INT((COLUMN()-COLUMN($O$1))/2))
) * 1878/36 *
(
    INDEX($I$14:$K$14,1,1+INT((COLUMN()-COLUMN($O$1))/2))
) /365
+
IF(
(
    1/
    (INDEX($I$8:$K$8,1,1+INT((COLUMN()-COLUMN($O$1))/2)) /
     INDEX($I$11:$K$11,1,1+INT((COLUMN()-COLUMN($O$1))/2))
    )
    +
    INDEX($I$20:$K$20,1,1+INT((COLUMN()-COLUMN($O$1))/2)) /
    INDEX($I$19:$K$19,1,1+INT((COLUMN()-COLUMN($O$1))/2)) * 1878/36
    +
    INDEX($I$16:$K$16,1,1+INT((COLUMN()-COLUMN($O$1))/2)) /
    INDEX($I$15:$K$15,1,1+INT((COLUMN()-COLUMN($O$1))/2)) * 1878/36
) &lt;
INDEX($I$9:$K$9,1,1+INT((COLUMN()-COLUMN($O$1))/2)),
(
    INDEX($I$9:$K$9,1,1+INT((COLUMN()-COLUMN($O$1))/2))
    -
    (
        1/
        (INDEX($I$8:$K$8,1,1+INT((COLUMN()-COLUMN($O$1))/2)) /
         INDEX($I$11:$K$11,1,1+INT((COLUMN()-COLUMN($O$1))/2))
        )
        +
        INDEX($I$20:$K$20,1,1+INT((COLUMN()-COLUMN($O$1))/2)) /
        (INDEX($I$8:$K$8,1,1+INT((COLUMN()-COLUMN($O$1))/2)) /
         INDEX($I$11:$K$11,1,1+INT((COLUMN()-COLUMN($O$1))/2))
        ) * 1878/36
        +
        INDEX($I$16:$K$16,1,1+INT((COLUMN()-COLUMN($O$1))/2)) /
        INDEX($I$15:$K$15,1,1+INT((COLUMN()-COLUMN($O$1))/2)) * 1878/36
    )
) *
INDEX($I$14:$K$14,1,1+INT((COLUMN()-COLUMN($O$1))/2)) /365,
0),
""))</f>
        <v/>
      </c>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row>
    <row r="19" spans="1:52" ht="14.55" customHeight="1" x14ac:dyDescent="0.5">
      <c r="A19" s="289"/>
      <c r="B19" s="289"/>
      <c r="C19" s="289"/>
      <c r="D19" s="289"/>
      <c r="E19" s="289"/>
      <c r="F19" s="289"/>
      <c r="G19" s="289"/>
      <c r="H19" s="540" t="s">
        <v>811</v>
      </c>
      <c r="I19" s="733"/>
      <c r="J19" s="733"/>
      <c r="K19" s="734"/>
      <c r="L19" s="305" t="s">
        <v>780</v>
      </c>
      <c r="M19" s="132" t="s">
        <v>829</v>
      </c>
      <c r="N19" s="454"/>
      <c r="O19" s="458" t="str">
        <f>IF(N15="","",
INDEX($I$22:$K$22,1,1+INT((COLUMN()-COLUMN($O$1))/2)))</f>
        <v/>
      </c>
      <c r="P19" s="442"/>
      <c r="Q19" s="458" t="str">
        <f>IF(P15="","",
INDEX($I$22:$K$22,1,1+INT((COLUMN()-COLUMN($O$1))/2)))</f>
        <v/>
      </c>
      <c r="R19" s="442"/>
      <c r="S19" s="510" t="str">
        <f>IF(R15="","",
INDEX($I$22:$K$22,1,1+INT((COLUMN()-COLUMN($O$1))/2)))</f>
        <v/>
      </c>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row>
    <row r="20" spans="1:52" ht="14.55" customHeight="1" thickBot="1" x14ac:dyDescent="0.55000000000000004">
      <c r="A20" s="289"/>
      <c r="B20" s="289"/>
      <c r="C20" s="289"/>
      <c r="D20" s="289"/>
      <c r="E20" s="289"/>
      <c r="F20" s="289"/>
      <c r="G20" s="289"/>
      <c r="H20" s="540" t="s">
        <v>810</v>
      </c>
      <c r="I20" s="733"/>
      <c r="J20" s="733"/>
      <c r="K20" s="734"/>
      <c r="L20" s="305" t="s">
        <v>780</v>
      </c>
      <c r="M20" s="132" t="s">
        <v>828</v>
      </c>
      <c r="N20" s="454"/>
      <c r="O20" s="458" t="str">
        <f>IF(N15="","",
INDEX($I$23:$K$23,1,1+INT((COLUMN()-COLUMN($O$1))/2)))</f>
        <v/>
      </c>
      <c r="P20" s="442"/>
      <c r="Q20" s="458" t="str">
        <f>IF(P15="","",
INDEX($I$23:$K$23,1,1+INT((COLUMN()-COLUMN($O$1))/2)))</f>
        <v/>
      </c>
      <c r="R20" s="442"/>
      <c r="S20" s="510" t="str">
        <f>IF(R15="","",
INDEX($I$23:$K$23,1,1+INT((COLUMN()-COLUMN($O$1))/2)))</f>
        <v/>
      </c>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row>
    <row r="21" spans="1:52" ht="14.55" customHeight="1" thickBot="1" x14ac:dyDescent="0.55000000000000004">
      <c r="A21" s="289"/>
      <c r="B21" s="289"/>
      <c r="C21" s="289"/>
      <c r="D21" s="289"/>
      <c r="E21" s="289"/>
      <c r="F21" s="289"/>
      <c r="G21" s="289"/>
      <c r="H21" s="542" t="s">
        <v>812</v>
      </c>
      <c r="I21" s="642"/>
      <c r="J21" s="642"/>
      <c r="K21" s="505"/>
      <c r="L21" s="305"/>
      <c r="M21" s="132" t="s">
        <v>832</v>
      </c>
      <c r="N21" s="511"/>
      <c r="O21" s="458" t="str">
        <f>IF(N15="","",
INDEX($I$24:$K$24,1,1+INT((COLUMN()-COLUMN($O$1))/2)))</f>
        <v/>
      </c>
      <c r="P21" s="464"/>
      <c r="Q21" s="458" t="str">
        <f>IF(P15="","",
INDEX($I$24:$K$24,1,1+INT((COLUMN()-COLUMN($O$1))/2)))</f>
        <v/>
      </c>
      <c r="R21" s="464"/>
      <c r="S21" s="510" t="str">
        <f>IF(R15="","",
INDEX($I$24:$K$24,1,1+INT((COLUMN()-COLUMN($O$1))/2)))</f>
        <v/>
      </c>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row>
    <row r="22" spans="1:52" x14ac:dyDescent="0.5">
      <c r="A22" s="289"/>
      <c r="B22" s="289"/>
      <c r="C22" s="289"/>
      <c r="D22" s="289"/>
      <c r="E22" s="289"/>
      <c r="F22" s="289"/>
      <c r="G22" s="289"/>
      <c r="H22" s="539" t="s">
        <v>816</v>
      </c>
      <c r="I22" s="631"/>
      <c r="J22" s="631"/>
      <c r="K22" s="632"/>
      <c r="L22" s="305" t="s">
        <v>780</v>
      </c>
      <c r="M22" s="132" t="s">
        <v>833</v>
      </c>
      <c r="N22" s="454"/>
      <c r="O22" s="458" t="str">
        <f>IF(N15="","",
IFERROR(
   (INDEX($I$27:$K$27,1,1+INT((COLUMN()-COLUMN($O$1))/2)) *
    INDEX($I$11:$K$11,1,1+INT((COLUMN()-COLUMN($O$1))/2))
    +
    INDEX($I$28:$K$28,1,1+INT((COLUMN()-COLUMN($O$1))/2))
   ) /
   INDEX($I$8:$K$8,1,1+INT((COLUMN()-COLUMN($O$1))/2)) / 365,
""))</f>
        <v/>
      </c>
      <c r="P22" s="442"/>
      <c r="Q22" s="458" t="str">
        <f>IF(P15="","",
IFERROR(
   (INDEX($I$27:$K$27,1,1+INT((COLUMN()-COLUMN($O$1))/2)) *
    INDEX($I$11:$K$11,1,1+INT((COLUMN()-COLUMN($O$1))/2))
    +
    INDEX($I$28:$K$28,1,1+INT((COLUMN()-COLUMN($O$1))/2))
   ) /
   INDEX($I$8:$K$8,1,1+INT((COLUMN()-COLUMN($O$1))/2)) / 365,
""))</f>
        <v/>
      </c>
      <c r="R22" s="442"/>
      <c r="S22" s="510" t="str">
        <f>IF(R15="","",
IFERROR(
   (INDEX($I$27:$K$27,1,1+INT((COLUMN()-COLUMN($O$1))/2)) *
    INDEX($I$11:$K$11,1,1+INT((COLUMN()-COLUMN($O$1))/2))
    +
    INDEX($I$28:$K$28,1,1+INT((COLUMN()-COLUMN($O$1))/2))
   ) /
   INDEX($I$8:$K$8,1,1+INT((COLUMN()-COLUMN($O$1))/2)) / 365,
""))</f>
        <v/>
      </c>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row>
    <row r="23" spans="1:52" x14ac:dyDescent="0.5">
      <c r="A23" s="289"/>
      <c r="B23" s="289"/>
      <c r="C23" s="289"/>
      <c r="D23" s="289" t="str">
        <f>IF(C22="","",
)</f>
        <v/>
      </c>
      <c r="E23" s="289"/>
      <c r="F23" s="289"/>
      <c r="G23" s="289"/>
      <c r="H23" s="540" t="s">
        <v>813</v>
      </c>
      <c r="I23" s="633"/>
      <c r="J23" s="633"/>
      <c r="K23" s="634"/>
      <c r="L23" s="305" t="s">
        <v>780</v>
      </c>
      <c r="M23" s="132" t="s">
        <v>834</v>
      </c>
      <c r="N23" s="454"/>
      <c r="O23" s="458" t="str">
        <f>IF(N15="","",
INDEX($I$25:$K$25,1,1+INT((COLUMN()-COLUMN($O$1))/2)))</f>
        <v/>
      </c>
      <c r="P23" s="442"/>
      <c r="Q23" s="458" t="str">
        <f>IF(P15="","",
INDEX($I$25:$K$25,1,1+INT((COLUMN()-COLUMN($O$1))/2)))</f>
        <v/>
      </c>
      <c r="R23" s="442"/>
      <c r="S23" s="510" t="str">
        <f>IF(R15="","",
INDEX($I$25:$K$25,1,1+INT((COLUMN()-COLUMN($O$1))/2)))</f>
        <v/>
      </c>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row>
    <row r="24" spans="1:52" x14ac:dyDescent="0.5">
      <c r="A24" s="289"/>
      <c r="B24" s="289"/>
      <c r="C24" s="289"/>
      <c r="D24" s="289"/>
      <c r="E24" s="289"/>
      <c r="F24" s="289"/>
      <c r="G24" s="289"/>
      <c r="H24" s="540" t="s">
        <v>814</v>
      </c>
      <c r="I24" s="633"/>
      <c r="J24" s="633"/>
      <c r="K24" s="634"/>
      <c r="L24" s="305" t="s">
        <v>780</v>
      </c>
      <c r="M24" s="124" t="s">
        <v>838</v>
      </c>
      <c r="N24" s="512"/>
      <c r="O24" s="456" t="str">
        <f>IF(N15="","",SUM(O16:O23))</f>
        <v/>
      </c>
      <c r="P24" s="513"/>
      <c r="Q24" s="456" t="str">
        <f>IF(P15="","",SUM(Q16:Q23))</f>
        <v/>
      </c>
      <c r="R24" s="513"/>
      <c r="S24" s="514" t="str">
        <f>IF(R15="","",SUM(S16:S23))</f>
        <v/>
      </c>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row>
    <row r="25" spans="1:52" ht="16.149999999999999" thickBot="1" x14ac:dyDescent="0.55000000000000004">
      <c r="A25" s="289"/>
      <c r="B25" s="289"/>
      <c r="C25" s="289"/>
      <c r="D25" s="289"/>
      <c r="E25" s="289"/>
      <c r="F25" s="289"/>
      <c r="G25" s="289"/>
      <c r="H25" s="541" t="s">
        <v>815</v>
      </c>
      <c r="I25" s="635"/>
      <c r="J25" s="635"/>
      <c r="K25" s="636"/>
      <c r="L25" s="305" t="s">
        <v>780</v>
      </c>
      <c r="M25" s="132" t="s">
        <v>835</v>
      </c>
      <c r="N25" s="515" t="str">
        <f>IF(N15="","",
INDEX($I$30:$K$30,1,1+INT((COLUMN()-COLUMN($N$1))/2)))</f>
        <v/>
      </c>
      <c r="O25" s="458" t="str">
        <f>IF(N15="","",SUM(O24*N25))</f>
        <v/>
      </c>
      <c r="P25" s="459" t="str">
        <f>IF(P15="","",
INDEX($I$30:$K$30,1,1+INT((COLUMN()-COLUMN($N$1))/2)))</f>
        <v/>
      </c>
      <c r="Q25" s="458" t="str">
        <f>IF(P15="","",SUM(Q24*P25))</f>
        <v/>
      </c>
      <c r="R25" s="459" t="str">
        <f>IF(R15="","",
INDEX($I$30:$K$30,1,1+INT((COLUMN()-COLUMN($N$1))/2)))</f>
        <v/>
      </c>
      <c r="S25" s="510" t="str">
        <f>IF(R15="","",SUM(S24*R25))</f>
        <v/>
      </c>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row>
    <row r="26" spans="1:52" ht="16.149999999999999" thickBot="1" x14ac:dyDescent="0.55000000000000004">
      <c r="A26" s="289"/>
      <c r="B26" s="289"/>
      <c r="C26" s="289"/>
      <c r="D26" s="289"/>
      <c r="E26" s="289"/>
      <c r="F26" s="289"/>
      <c r="G26" s="289"/>
      <c r="H26" s="542" t="s">
        <v>825</v>
      </c>
      <c r="I26" s="642"/>
      <c r="J26" s="642"/>
      <c r="K26" s="505"/>
      <c r="L26" s="305"/>
      <c r="M26" s="132" t="s">
        <v>836</v>
      </c>
      <c r="N26" s="515" t="str">
        <f>IF(N15="","",
INDEX($I$31:$K$31,1,1+INT((COLUMN()-COLUMN($N$1))/2)))</f>
        <v/>
      </c>
      <c r="O26" s="458" t="str">
        <f>IF(N15="","",SUM(O24*N26))</f>
        <v/>
      </c>
      <c r="P26" s="459" t="str">
        <f>IF(P15="","",
INDEX($I$31:$K$31,1,1+INT((COLUMN()-COLUMN($N$1))/2)))</f>
        <v/>
      </c>
      <c r="Q26" s="458" t="str">
        <f>IF(P15="","",SUM(Q24*P26))</f>
        <v/>
      </c>
      <c r="R26" s="459" t="str">
        <f>IF(R15="","",
INDEX($I$31:$K$31,1,1+INT((COLUMN()-COLUMN($N$1))/2)))</f>
        <v/>
      </c>
      <c r="S26" s="510" t="str">
        <f>IF(R15="","",SUM(S24*R26))</f>
        <v/>
      </c>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row>
    <row r="27" spans="1:52" x14ac:dyDescent="0.5">
      <c r="A27" s="289"/>
      <c r="B27" s="289"/>
      <c r="C27" s="289"/>
      <c r="D27" s="289"/>
      <c r="E27" s="289"/>
      <c r="F27" s="289"/>
      <c r="G27" s="289"/>
      <c r="H27" s="540" t="s">
        <v>817</v>
      </c>
      <c r="I27" s="629"/>
      <c r="J27" s="629"/>
      <c r="K27" s="630"/>
      <c r="L27" s="305" t="s">
        <v>780</v>
      </c>
      <c r="M27" s="124" t="s">
        <v>839</v>
      </c>
      <c r="N27" s="512"/>
      <c r="O27" s="456" t="str">
        <f>IF(N15="","",SUM(O25:O26))</f>
        <v/>
      </c>
      <c r="P27" s="513"/>
      <c r="Q27" s="456" t="str">
        <f>IF(P15="","",SUM(Q25:Q26))</f>
        <v/>
      </c>
      <c r="R27" s="513"/>
      <c r="S27" s="514" t="str">
        <f>IF(R15="","",SUM(S25:S26))</f>
        <v/>
      </c>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row>
    <row r="28" spans="1:52" ht="16.149999999999999" thickBot="1" x14ac:dyDescent="0.55000000000000004">
      <c r="A28" s="289"/>
      <c r="B28" s="289"/>
      <c r="C28" s="289"/>
      <c r="D28" s="289"/>
      <c r="E28" s="289"/>
      <c r="F28" s="289"/>
      <c r="G28" s="289"/>
      <c r="H28" s="540" t="s">
        <v>818</v>
      </c>
      <c r="I28" s="637"/>
      <c r="J28" s="637"/>
      <c r="K28" s="638"/>
      <c r="L28" s="305" t="s">
        <v>780</v>
      </c>
      <c r="M28" s="132" t="s">
        <v>837</v>
      </c>
      <c r="N28" s="454"/>
      <c r="O28" s="458" t="str">
        <f>IF(N15="","",
INDEX($I$32:$K$32,1,1+INT((COLUMN()-COLUMN($O$1))/2)))</f>
        <v/>
      </c>
      <c r="P28" s="442"/>
      <c r="Q28" s="458" t="str">
        <f>IF(P15="","",
INDEX($I$32:$K$32,1,1+INT((COLUMN()-COLUMN($O$1))/2)))</f>
        <v/>
      </c>
      <c r="R28" s="442"/>
      <c r="S28" s="510" t="str">
        <f>IF(R15="","",
INDEX($I$32:$K$32,1,1+INT((COLUMN()-COLUMN($O$1))/2)))</f>
        <v/>
      </c>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row>
    <row r="29" spans="1:52" ht="18.399999999999999" thickBot="1" x14ac:dyDescent="0.55000000000000004">
      <c r="A29" s="289"/>
      <c r="B29" s="289"/>
      <c r="C29" s="289"/>
      <c r="D29" s="289"/>
      <c r="E29" s="289"/>
      <c r="F29" s="289"/>
      <c r="G29" s="289"/>
      <c r="H29" s="542" t="s">
        <v>70</v>
      </c>
      <c r="I29" s="642"/>
      <c r="J29" s="642"/>
      <c r="K29" s="505"/>
      <c r="L29" s="305"/>
      <c r="M29" s="393" t="s">
        <v>973</v>
      </c>
      <c r="N29" s="814" t="str">
        <f>IF(N15="","",SUM(O24,O27,O28))</f>
        <v/>
      </c>
      <c r="O29" s="815"/>
      <c r="P29" s="814" t="str">
        <f>IF(P15="","",SUM(Q24,Q27,Q28))</f>
        <v/>
      </c>
      <c r="Q29" s="815"/>
      <c r="R29" s="814" t="str">
        <f>IF(R15="","",SUM(S24,S27,S28))</f>
        <v/>
      </c>
      <c r="S29" s="821"/>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row>
    <row r="30" spans="1:52" x14ac:dyDescent="0.5">
      <c r="A30" s="289"/>
      <c r="B30" s="289"/>
      <c r="C30" s="289"/>
      <c r="D30" s="289"/>
      <c r="E30" s="289"/>
      <c r="F30" s="289"/>
      <c r="G30" s="289"/>
      <c r="H30" s="540" t="s">
        <v>819</v>
      </c>
      <c r="I30" s="639"/>
      <c r="J30" s="639"/>
      <c r="K30" s="640"/>
      <c r="L30" s="305" t="s">
        <v>780</v>
      </c>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row>
    <row r="31" spans="1:52" x14ac:dyDescent="0.5">
      <c r="A31" s="289"/>
      <c r="B31" s="289"/>
      <c r="C31" s="289"/>
      <c r="D31" s="289"/>
      <c r="E31" s="289"/>
      <c r="F31" s="289"/>
      <c r="G31" s="289"/>
      <c r="H31" s="540" t="s">
        <v>820</v>
      </c>
      <c r="I31" s="641"/>
      <c r="J31" s="641"/>
      <c r="K31" s="607"/>
      <c r="L31" s="305" t="s">
        <v>780</v>
      </c>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row>
    <row r="32" spans="1:52" ht="16.149999999999999" thickBot="1" x14ac:dyDescent="0.55000000000000004">
      <c r="A32" s="289"/>
      <c r="B32" s="289"/>
      <c r="C32" s="289"/>
      <c r="D32" s="289"/>
      <c r="E32" s="289"/>
      <c r="F32" s="289"/>
      <c r="G32" s="289"/>
      <c r="H32" s="541" t="s">
        <v>821</v>
      </c>
      <c r="I32" s="635"/>
      <c r="J32" s="635"/>
      <c r="K32" s="636"/>
      <c r="L32" s="305" t="s">
        <v>780</v>
      </c>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row>
    <row r="33" spans="1:52" x14ac:dyDescent="0.5">
      <c r="A33" s="289"/>
      <c r="B33" s="289"/>
      <c r="C33" s="289"/>
      <c r="D33" s="289"/>
      <c r="E33" s="289"/>
      <c r="F33" s="289"/>
      <c r="G33" s="289"/>
      <c r="H33" s="311"/>
      <c r="I33" s="357"/>
      <c r="J33" s="357"/>
      <c r="K33" s="357"/>
      <c r="L33" s="305"/>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row>
    <row r="34" spans="1:52" x14ac:dyDescent="0.5">
      <c r="A34" s="289"/>
      <c r="B34" s="289"/>
      <c r="C34" s="289"/>
      <c r="D34" s="289"/>
      <c r="E34" s="289"/>
      <c r="F34" s="289"/>
      <c r="G34" s="289"/>
      <c r="H34" s="358"/>
      <c r="I34" s="358"/>
      <c r="J34" s="358"/>
      <c r="K34" s="358"/>
      <c r="L34" s="305"/>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row>
    <row r="35" spans="1:52" x14ac:dyDescent="0.5">
      <c r="A35" s="289"/>
      <c r="B35" s="289"/>
      <c r="C35" s="289"/>
      <c r="D35" s="289"/>
      <c r="E35" s="289"/>
      <c r="F35" s="289"/>
      <c r="G35" s="289"/>
      <c r="H35" s="289"/>
      <c r="I35" s="289"/>
      <c r="J35" s="289"/>
      <c r="K35" s="289"/>
      <c r="L35" s="305"/>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row>
    <row r="36" spans="1:52" x14ac:dyDescent="0.5">
      <c r="A36" s="289"/>
      <c r="B36" s="289"/>
      <c r="C36" s="289"/>
      <c r="D36" s="289"/>
      <c r="E36" s="289"/>
      <c r="F36" s="289"/>
      <c r="G36" s="289"/>
      <c r="H36" s="289"/>
      <c r="I36" s="289"/>
      <c r="J36" s="289"/>
      <c r="K36" s="289"/>
      <c r="L36" s="305"/>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row>
    <row r="37" spans="1:52" x14ac:dyDescent="0.5">
      <c r="A37" s="289"/>
      <c r="B37" s="289"/>
      <c r="C37" s="289"/>
      <c r="D37" s="289"/>
      <c r="E37" s="289"/>
      <c r="F37" s="289"/>
      <c r="G37" s="289"/>
      <c r="H37" s="289"/>
      <c r="I37" s="289"/>
      <c r="J37" s="289"/>
      <c r="K37" s="289"/>
      <c r="L37" s="305"/>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row>
    <row r="38" spans="1:52" x14ac:dyDescent="0.5">
      <c r="A38" s="289"/>
      <c r="B38" s="289"/>
      <c r="C38" s="289"/>
      <c r="D38" s="289"/>
      <c r="E38" s="289"/>
      <c r="F38" s="289"/>
      <c r="G38" s="289"/>
      <c r="H38" s="289"/>
      <c r="I38" s="289"/>
      <c r="J38" s="289"/>
      <c r="K38" s="289"/>
      <c r="L38" s="305"/>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row>
    <row r="39" spans="1:52" x14ac:dyDescent="0.5">
      <c r="A39" s="289"/>
      <c r="B39" s="289"/>
      <c r="C39" s="289"/>
      <c r="D39" s="289"/>
      <c r="E39" s="289"/>
      <c r="F39" s="289"/>
      <c r="G39" s="289"/>
      <c r="H39" s="289"/>
      <c r="I39" s="289"/>
      <c r="J39" s="289"/>
      <c r="K39" s="289"/>
      <c r="L39" s="305"/>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row>
    <row r="40" spans="1:52" x14ac:dyDescent="0.5">
      <c r="A40" s="289"/>
      <c r="B40" s="289"/>
      <c r="C40" s="289"/>
      <c r="D40" s="289"/>
      <c r="E40" s="289"/>
      <c r="F40" s="289"/>
      <c r="G40" s="289"/>
      <c r="H40" s="289"/>
      <c r="I40" s="289"/>
      <c r="J40" s="289"/>
      <c r="K40" s="289"/>
      <c r="L40" s="305"/>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row>
    <row r="41" spans="1:52" x14ac:dyDescent="0.5">
      <c r="A41" s="289"/>
      <c r="B41" s="289"/>
      <c r="C41" s="289"/>
      <c r="D41" s="289"/>
      <c r="E41" s="289"/>
      <c r="F41" s="289"/>
      <c r="G41" s="289"/>
      <c r="H41" s="289"/>
      <c r="I41" s="289"/>
      <c r="J41" s="289"/>
      <c r="K41" s="289"/>
      <c r="L41" s="305"/>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row>
    <row r="42" spans="1:52" x14ac:dyDescent="0.5">
      <c r="A42" s="289"/>
      <c r="B42" s="289"/>
      <c r="C42" s="289"/>
      <c r="D42" s="289"/>
      <c r="E42" s="289"/>
      <c r="F42" s="289"/>
      <c r="G42" s="289"/>
      <c r="H42" s="289"/>
      <c r="I42" s="289"/>
      <c r="J42" s="289"/>
      <c r="K42" s="289"/>
      <c r="L42" s="305"/>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row>
    <row r="43" spans="1:52" x14ac:dyDescent="0.5">
      <c r="A43" s="289"/>
      <c r="B43" s="289"/>
      <c r="C43" s="289"/>
      <c r="D43" s="289"/>
      <c r="E43" s="289"/>
      <c r="F43" s="289"/>
      <c r="G43" s="289"/>
      <c r="H43" s="289"/>
      <c r="I43" s="289"/>
      <c r="J43" s="289"/>
      <c r="K43" s="289"/>
      <c r="L43" s="305"/>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row>
    <row r="44" spans="1:52" x14ac:dyDescent="0.5">
      <c r="A44" s="289"/>
      <c r="B44" s="289"/>
      <c r="C44" s="289"/>
      <c r="D44" s="289"/>
      <c r="E44" s="289"/>
      <c r="F44" s="289"/>
      <c r="G44" s="289"/>
      <c r="H44" s="289"/>
      <c r="I44" s="289"/>
      <c r="J44" s="289"/>
      <c r="K44" s="289"/>
      <c r="L44" s="305"/>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row>
    <row r="45" spans="1:52" x14ac:dyDescent="0.5">
      <c r="A45" s="289"/>
      <c r="B45" s="289"/>
      <c r="C45" s="289"/>
      <c r="D45" s="289"/>
      <c r="E45" s="289"/>
      <c r="F45" s="289"/>
      <c r="G45" s="289"/>
      <c r="H45" s="289"/>
      <c r="I45" s="289"/>
      <c r="J45" s="289"/>
      <c r="K45" s="289"/>
      <c r="L45" s="305"/>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row>
    <row r="46" spans="1:52" x14ac:dyDescent="0.5">
      <c r="A46" s="289"/>
      <c r="B46" s="289"/>
      <c r="C46" s="289"/>
      <c r="D46" s="289"/>
      <c r="E46" s="289"/>
      <c r="F46" s="289"/>
      <c r="G46" s="289"/>
      <c r="H46" s="289"/>
      <c r="I46" s="289"/>
      <c r="J46" s="289"/>
      <c r="K46" s="289"/>
      <c r="L46" s="305"/>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row>
    <row r="47" spans="1:52" x14ac:dyDescent="0.5">
      <c r="A47" s="289"/>
      <c r="B47" s="289"/>
      <c r="C47" s="289"/>
      <c r="D47" s="289"/>
      <c r="E47" s="289"/>
      <c r="F47" s="289"/>
      <c r="G47" s="289"/>
      <c r="H47" s="289"/>
      <c r="I47" s="289"/>
      <c r="J47" s="289"/>
      <c r="K47" s="289"/>
      <c r="L47" s="305"/>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row>
    <row r="48" spans="1:52" x14ac:dyDescent="0.5">
      <c r="A48" s="289"/>
      <c r="B48" s="289"/>
      <c r="C48" s="289"/>
      <c r="D48" s="289"/>
      <c r="E48" s="289"/>
      <c r="F48" s="289"/>
      <c r="G48" s="313"/>
      <c r="H48" s="289"/>
      <c r="I48" s="289"/>
      <c r="J48" s="289"/>
      <c r="K48" s="289"/>
      <c r="L48" s="305"/>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row>
    <row r="49" spans="1:52" x14ac:dyDescent="0.5">
      <c r="A49" s="289"/>
      <c r="B49" s="289"/>
      <c r="C49" s="289"/>
      <c r="D49" s="289"/>
      <c r="E49" s="289"/>
      <c r="F49" s="289"/>
      <c r="G49" s="289"/>
      <c r="H49" s="289"/>
      <c r="I49" s="289"/>
      <c r="J49" s="289"/>
      <c r="K49" s="289"/>
      <c r="L49" s="305"/>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row>
    <row r="50" spans="1:52" x14ac:dyDescent="0.5">
      <c r="A50" s="289"/>
      <c r="B50" s="289"/>
      <c r="C50" s="289"/>
      <c r="D50" s="289"/>
      <c r="E50" s="289"/>
      <c r="F50" s="289"/>
      <c r="G50" s="289"/>
      <c r="H50" s="289"/>
      <c r="I50" s="289"/>
      <c r="J50" s="289"/>
      <c r="K50" s="289"/>
      <c r="L50" s="305"/>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row>
    <row r="51" spans="1:52" x14ac:dyDescent="0.5">
      <c r="A51" s="289"/>
      <c r="B51" s="289"/>
      <c r="C51" s="289"/>
      <c r="D51" s="289"/>
      <c r="E51" s="289"/>
      <c r="F51" s="289"/>
      <c r="G51" s="289"/>
      <c r="H51" s="289"/>
      <c r="I51" s="289"/>
      <c r="J51" s="289"/>
      <c r="K51" s="289"/>
      <c r="L51" s="305"/>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row>
    <row r="52" spans="1:52" x14ac:dyDescent="0.5">
      <c r="A52" s="289"/>
      <c r="B52" s="289"/>
      <c r="C52" s="289"/>
      <c r="D52" s="289"/>
      <c r="E52" s="289"/>
      <c r="F52" s="289"/>
      <c r="G52" s="289"/>
      <c r="H52" s="289"/>
      <c r="I52" s="289"/>
      <c r="J52" s="289"/>
      <c r="K52" s="289"/>
      <c r="L52" s="305"/>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row>
    <row r="53" spans="1:52" x14ac:dyDescent="0.5">
      <c r="A53" s="289"/>
      <c r="B53" s="289"/>
      <c r="C53" s="289"/>
      <c r="D53" s="289"/>
      <c r="E53" s="289"/>
      <c r="F53" s="289"/>
      <c r="G53" s="289"/>
      <c r="H53" s="289"/>
      <c r="I53" s="289"/>
      <c r="J53" s="289"/>
      <c r="K53" s="289"/>
      <c r="L53" s="305"/>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row>
    <row r="54" spans="1:52" x14ac:dyDescent="0.5">
      <c r="A54" s="289"/>
      <c r="B54" s="289"/>
      <c r="C54" s="289"/>
      <c r="D54" s="289"/>
      <c r="E54" s="289"/>
      <c r="F54" s="289"/>
      <c r="G54" s="289"/>
      <c r="H54" s="289"/>
      <c r="I54" s="289"/>
      <c r="J54" s="289"/>
      <c r="K54" s="289"/>
      <c r="L54" s="305"/>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row>
    <row r="55" spans="1:52" x14ac:dyDescent="0.5">
      <c r="A55" s="289"/>
      <c r="B55" s="289"/>
      <c r="C55" s="289"/>
      <c r="D55" s="289"/>
      <c r="E55" s="289"/>
      <c r="F55" s="289"/>
      <c r="G55" s="289"/>
      <c r="H55" s="289"/>
      <c r="I55" s="289"/>
      <c r="J55" s="289"/>
      <c r="K55" s="289"/>
      <c r="L55" s="305"/>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row>
    <row r="56" spans="1:52" x14ac:dyDescent="0.5">
      <c r="A56" s="289"/>
      <c r="B56" s="289"/>
      <c r="C56" s="289"/>
      <c r="D56" s="289"/>
      <c r="E56" s="289"/>
      <c r="F56" s="289"/>
      <c r="G56" s="289"/>
      <c r="H56" s="289"/>
      <c r="I56" s="289"/>
      <c r="J56" s="289"/>
      <c r="K56" s="289"/>
      <c r="L56" s="305"/>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row>
    <row r="57" spans="1:52" x14ac:dyDescent="0.5">
      <c r="A57" s="289"/>
      <c r="B57" s="289"/>
      <c r="C57" s="289"/>
      <c r="D57" s="289"/>
      <c r="E57" s="289"/>
      <c r="F57" s="289"/>
      <c r="G57" s="289"/>
      <c r="H57" s="289"/>
      <c r="I57" s="289"/>
      <c r="J57" s="289"/>
      <c r="K57" s="289"/>
      <c r="L57" s="305"/>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row>
    <row r="58" spans="1:52" x14ac:dyDescent="0.5">
      <c r="A58" s="289"/>
      <c r="B58" s="289"/>
      <c r="C58" s="289"/>
      <c r="D58" s="289"/>
      <c r="E58" s="289"/>
      <c r="F58" s="289"/>
      <c r="G58" s="289"/>
      <c r="H58" s="289"/>
      <c r="I58" s="289"/>
      <c r="J58" s="289"/>
      <c r="K58" s="289"/>
      <c r="L58" s="305"/>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row>
    <row r="59" spans="1:52" x14ac:dyDescent="0.5">
      <c r="A59" s="289"/>
      <c r="B59" s="289"/>
      <c r="C59" s="289"/>
      <c r="D59" s="289"/>
      <c r="E59" s="289"/>
      <c r="F59" s="289"/>
      <c r="G59" s="289"/>
      <c r="H59" s="289"/>
      <c r="I59" s="289"/>
      <c r="J59" s="289"/>
      <c r="K59" s="289"/>
      <c r="L59" s="305"/>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row>
    <row r="60" spans="1:52" x14ac:dyDescent="0.5">
      <c r="A60" s="289"/>
      <c r="B60" s="289"/>
      <c r="C60" s="289"/>
      <c r="D60" s="289"/>
      <c r="E60" s="289"/>
      <c r="F60" s="289"/>
      <c r="G60" s="289"/>
      <c r="H60" s="289"/>
      <c r="I60" s="289"/>
      <c r="J60" s="289"/>
      <c r="K60" s="289"/>
      <c r="L60" s="305"/>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row>
    <row r="61" spans="1:52" x14ac:dyDescent="0.5">
      <c r="A61" s="289"/>
      <c r="B61" s="289"/>
      <c r="C61" s="289"/>
      <c r="D61" s="289"/>
      <c r="E61" s="289"/>
      <c r="F61" s="289"/>
      <c r="G61" s="289"/>
      <c r="H61" s="289"/>
      <c r="I61" s="289"/>
      <c r="J61" s="289"/>
      <c r="K61" s="289"/>
      <c r="L61" s="305"/>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row>
    <row r="62" spans="1:52" x14ac:dyDescent="0.5">
      <c r="A62" s="289"/>
      <c r="B62" s="289"/>
      <c r="C62" s="289"/>
      <c r="D62" s="289"/>
      <c r="E62" s="289"/>
      <c r="F62" s="289"/>
      <c r="G62" s="289"/>
      <c r="H62" s="289"/>
      <c r="I62" s="289"/>
      <c r="J62" s="289"/>
      <c r="K62" s="289"/>
      <c r="L62" s="305"/>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row>
    <row r="63" spans="1:52" x14ac:dyDescent="0.5">
      <c r="A63" s="289"/>
      <c r="B63" s="289"/>
      <c r="C63" s="289"/>
      <c r="D63" s="289"/>
      <c r="E63" s="289"/>
      <c r="F63" s="289"/>
      <c r="G63" s="289"/>
      <c r="H63" s="289"/>
      <c r="I63" s="289"/>
      <c r="J63" s="289"/>
      <c r="K63" s="289"/>
      <c r="L63" s="305"/>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row>
    <row r="64" spans="1:52" x14ac:dyDescent="0.5">
      <c r="A64" s="289"/>
      <c r="B64" s="289"/>
      <c r="C64" s="289"/>
      <c r="D64" s="289"/>
      <c r="E64" s="289"/>
      <c r="F64" s="289"/>
      <c r="G64" s="289"/>
      <c r="H64" s="289"/>
      <c r="I64" s="289"/>
      <c r="J64" s="289"/>
      <c r="K64" s="289"/>
      <c r="L64" s="305"/>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row>
    <row r="65" spans="1:52" x14ac:dyDescent="0.5">
      <c r="A65" s="289"/>
      <c r="B65" s="289"/>
      <c r="C65" s="289"/>
      <c r="D65" s="289"/>
      <c r="E65" s="289"/>
      <c r="F65" s="289"/>
      <c r="G65" s="289"/>
      <c r="H65" s="289"/>
      <c r="I65" s="289"/>
      <c r="J65" s="289"/>
      <c r="K65" s="289"/>
      <c r="L65" s="305"/>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row>
    <row r="66" spans="1:52" x14ac:dyDescent="0.5">
      <c r="A66" s="289"/>
      <c r="B66" s="289"/>
      <c r="C66" s="289"/>
      <c r="D66" s="289"/>
      <c r="E66" s="289"/>
      <c r="F66" s="289"/>
      <c r="G66" s="289"/>
      <c r="H66" s="289"/>
      <c r="I66" s="289"/>
      <c r="J66" s="289"/>
      <c r="K66" s="289"/>
      <c r="L66" s="305"/>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row>
    <row r="67" spans="1:52" x14ac:dyDescent="0.5">
      <c r="A67" s="289"/>
      <c r="B67" s="289"/>
      <c r="C67" s="289"/>
      <c r="D67" s="289"/>
      <c r="E67" s="289"/>
      <c r="F67" s="289"/>
      <c r="G67" s="289"/>
      <c r="H67" s="289"/>
      <c r="I67" s="289"/>
      <c r="J67" s="289"/>
      <c r="K67" s="289"/>
      <c r="L67" s="305"/>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row>
    <row r="68" spans="1:52" x14ac:dyDescent="0.5">
      <c r="A68" s="289"/>
      <c r="B68" s="289"/>
      <c r="C68" s="289"/>
      <c r="D68" s="289"/>
      <c r="E68" s="289"/>
      <c r="F68" s="289"/>
      <c r="G68" s="289"/>
      <c r="H68" s="289"/>
      <c r="I68" s="289"/>
      <c r="J68" s="289"/>
      <c r="K68" s="289"/>
      <c r="L68" s="305"/>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row>
    <row r="69" spans="1:52" x14ac:dyDescent="0.5">
      <c r="A69" s="289"/>
      <c r="B69" s="289"/>
      <c r="C69" s="289"/>
      <c r="D69" s="289"/>
      <c r="E69" s="289"/>
      <c r="F69" s="289"/>
      <c r="G69" s="289"/>
      <c r="H69" s="289"/>
      <c r="I69" s="289"/>
      <c r="J69" s="289"/>
      <c r="K69" s="289"/>
      <c r="L69" s="305"/>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row>
    <row r="70" spans="1:52" x14ac:dyDescent="0.5">
      <c r="A70" s="289"/>
      <c r="B70" s="289"/>
      <c r="C70" s="289"/>
      <c r="D70" s="289"/>
      <c r="E70" s="289"/>
      <c r="F70" s="289"/>
      <c r="G70" s="289"/>
      <c r="H70" s="289"/>
      <c r="I70" s="289"/>
      <c r="J70" s="289"/>
      <c r="K70" s="289"/>
      <c r="L70" s="305"/>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row>
    <row r="71" spans="1:52" x14ac:dyDescent="0.5">
      <c r="A71" s="289"/>
      <c r="B71" s="289"/>
      <c r="C71" s="289"/>
      <c r="D71" s="289"/>
      <c r="E71" s="289"/>
      <c r="F71" s="289"/>
      <c r="G71" s="289"/>
      <c r="H71" s="289"/>
      <c r="I71" s="289"/>
      <c r="J71" s="289"/>
      <c r="K71" s="289"/>
      <c r="L71" s="305"/>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row>
    <row r="72" spans="1:52" x14ac:dyDescent="0.5">
      <c r="A72" s="289"/>
      <c r="B72" s="289"/>
      <c r="C72" s="289"/>
      <c r="D72" s="289"/>
      <c r="E72" s="289"/>
      <c r="F72" s="289"/>
      <c r="G72" s="289"/>
      <c r="H72" s="289"/>
      <c r="I72" s="289"/>
      <c r="J72" s="289"/>
      <c r="K72" s="289"/>
      <c r="L72" s="305"/>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row>
    <row r="73" spans="1:52" x14ac:dyDescent="0.5">
      <c r="A73" s="289"/>
      <c r="B73" s="289"/>
      <c r="C73" s="289"/>
      <c r="D73" s="289"/>
      <c r="E73" s="289"/>
      <c r="F73" s="289"/>
      <c r="G73" s="289"/>
      <c r="H73" s="289"/>
      <c r="I73" s="289"/>
      <c r="J73" s="289"/>
      <c r="K73" s="289"/>
      <c r="L73" s="305"/>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row>
    <row r="74" spans="1:52" x14ac:dyDescent="0.5">
      <c r="A74" s="289"/>
      <c r="B74" s="289"/>
      <c r="C74" s="289"/>
      <c r="D74" s="289"/>
      <c r="E74" s="289"/>
      <c r="F74" s="289"/>
      <c r="G74" s="289"/>
      <c r="H74" s="289"/>
      <c r="I74" s="289"/>
      <c r="J74" s="289"/>
      <c r="K74" s="289"/>
      <c r="L74" s="305"/>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row>
    <row r="75" spans="1:52" x14ac:dyDescent="0.5">
      <c r="A75" s="289"/>
      <c r="B75" s="289"/>
      <c r="C75" s="289"/>
      <c r="D75" s="289"/>
      <c r="E75" s="289"/>
      <c r="F75" s="289"/>
      <c r="G75" s="289"/>
      <c r="H75" s="289"/>
      <c r="I75" s="289"/>
      <c r="J75" s="289"/>
      <c r="K75" s="289"/>
      <c r="L75" s="305"/>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row>
    <row r="76" spans="1:52" x14ac:dyDescent="0.5">
      <c r="A76" s="289"/>
      <c r="B76" s="289"/>
      <c r="C76" s="289"/>
      <c r="D76" s="289"/>
      <c r="E76" s="289"/>
      <c r="F76" s="289"/>
      <c r="G76" s="289"/>
      <c r="H76" s="289"/>
      <c r="I76" s="289"/>
      <c r="J76" s="289"/>
      <c r="K76" s="289"/>
      <c r="L76" s="305"/>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row>
    <row r="77" spans="1:52" x14ac:dyDescent="0.5">
      <c r="A77" s="289"/>
      <c r="B77" s="289"/>
      <c r="C77" s="289"/>
      <c r="D77" s="289"/>
      <c r="E77" s="289"/>
      <c r="F77" s="289"/>
      <c r="G77" s="289"/>
      <c r="H77" s="289"/>
      <c r="I77" s="289"/>
      <c r="J77" s="289"/>
      <c r="K77" s="289"/>
      <c r="L77" s="305"/>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row>
    <row r="78" spans="1:52" x14ac:dyDescent="0.5">
      <c r="A78" s="289"/>
      <c r="B78" s="289"/>
      <c r="C78" s="289"/>
      <c r="D78" s="289"/>
      <c r="E78" s="289"/>
      <c r="F78" s="289"/>
      <c r="G78" s="289"/>
      <c r="H78" s="289"/>
      <c r="I78" s="289"/>
      <c r="J78" s="289"/>
      <c r="K78" s="289"/>
      <c r="L78" s="305"/>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row>
    <row r="79" spans="1:52" x14ac:dyDescent="0.5">
      <c r="A79" s="289"/>
      <c r="B79" s="289"/>
      <c r="C79" s="289"/>
      <c r="D79" s="289"/>
      <c r="E79" s="289"/>
      <c r="F79" s="289"/>
      <c r="G79" s="289"/>
      <c r="H79" s="289"/>
      <c r="I79" s="289"/>
      <c r="J79" s="289"/>
      <c r="K79" s="289"/>
      <c r="L79" s="305"/>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row>
    <row r="80" spans="1:52" x14ac:dyDescent="0.5">
      <c r="A80" s="289"/>
      <c r="B80" s="289"/>
      <c r="C80" s="289"/>
      <c r="D80" s="289"/>
      <c r="E80" s="289"/>
      <c r="F80" s="289"/>
      <c r="G80" s="289"/>
      <c r="H80" s="289"/>
      <c r="I80" s="289"/>
      <c r="J80" s="289"/>
      <c r="K80" s="289"/>
      <c r="L80" s="305"/>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row>
    <row r="81" spans="1:52" x14ac:dyDescent="0.5">
      <c r="A81" s="289"/>
      <c r="B81" s="289"/>
      <c r="C81" s="289"/>
      <c r="D81" s="289"/>
      <c r="E81" s="289"/>
      <c r="F81" s="289"/>
      <c r="G81" s="289"/>
      <c r="H81" s="289"/>
      <c r="I81" s="289"/>
      <c r="J81" s="289"/>
      <c r="K81" s="289"/>
      <c r="L81" s="305"/>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row>
    <row r="82" spans="1:52" x14ac:dyDescent="0.5">
      <c r="A82" s="289"/>
      <c r="B82" s="289"/>
      <c r="C82" s="289"/>
      <c r="D82" s="289"/>
      <c r="E82" s="289"/>
      <c r="F82" s="289"/>
      <c r="G82" s="289"/>
      <c r="H82" s="289"/>
      <c r="I82" s="289"/>
      <c r="J82" s="289"/>
      <c r="K82" s="289"/>
      <c r="L82" s="305"/>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row>
    <row r="83" spans="1:52" x14ac:dyDescent="0.5">
      <c r="A83" s="289"/>
      <c r="B83" s="289"/>
      <c r="C83" s="289"/>
      <c r="D83" s="289"/>
      <c r="E83" s="289"/>
      <c r="F83" s="289"/>
      <c r="G83" s="289"/>
      <c r="H83" s="289"/>
      <c r="I83" s="289"/>
      <c r="J83" s="289"/>
      <c r="K83" s="289"/>
      <c r="L83" s="305"/>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row>
    <row r="84" spans="1:52" x14ac:dyDescent="0.5">
      <c r="A84" s="289"/>
      <c r="B84" s="289"/>
      <c r="C84" s="289"/>
      <c r="D84" s="289"/>
      <c r="E84" s="289"/>
      <c r="F84" s="289"/>
      <c r="G84" s="289"/>
      <c r="H84" s="289"/>
      <c r="I84" s="289"/>
      <c r="J84" s="289"/>
      <c r="K84" s="289"/>
      <c r="L84" s="305"/>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row>
    <row r="85" spans="1:52" x14ac:dyDescent="0.5">
      <c r="A85" s="289"/>
      <c r="B85" s="289"/>
      <c r="C85" s="289"/>
      <c r="D85" s="289"/>
      <c r="E85" s="289"/>
      <c r="F85" s="289"/>
      <c r="G85" s="289"/>
      <c r="H85" s="289"/>
      <c r="I85" s="289"/>
      <c r="J85" s="289"/>
      <c r="K85" s="289"/>
      <c r="L85" s="305"/>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row>
    <row r="86" spans="1:52" x14ac:dyDescent="0.5">
      <c r="A86" s="289"/>
      <c r="B86" s="289"/>
      <c r="C86" s="289"/>
      <c r="D86" s="289"/>
      <c r="E86" s="289"/>
      <c r="F86" s="289"/>
      <c r="G86" s="289"/>
      <c r="H86" s="289"/>
      <c r="I86" s="289"/>
      <c r="J86" s="289"/>
      <c r="K86" s="289"/>
      <c r="L86" s="305"/>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row>
    <row r="87" spans="1:52" x14ac:dyDescent="0.5">
      <c r="A87" s="289"/>
      <c r="B87" s="289"/>
      <c r="C87" s="289"/>
      <c r="D87" s="289"/>
      <c r="E87" s="289"/>
      <c r="F87" s="289"/>
      <c r="G87" s="289"/>
      <c r="H87" s="289"/>
      <c r="I87" s="289"/>
      <c r="J87" s="289"/>
      <c r="K87" s="289"/>
      <c r="L87" s="305"/>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row>
    <row r="88" spans="1:52" x14ac:dyDescent="0.5">
      <c r="A88" s="289"/>
      <c r="B88" s="289"/>
      <c r="C88" s="289"/>
      <c r="D88" s="289"/>
      <c r="E88" s="289"/>
      <c r="F88" s="289"/>
      <c r="G88" s="289"/>
      <c r="H88" s="289"/>
      <c r="I88" s="289"/>
      <c r="J88" s="289"/>
      <c r="K88" s="289"/>
      <c r="L88" s="305"/>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row>
    <row r="89" spans="1:52" x14ac:dyDescent="0.5">
      <c r="A89" s="289"/>
      <c r="B89" s="289"/>
      <c r="C89" s="289"/>
      <c r="D89" s="289"/>
      <c r="E89" s="289"/>
      <c r="F89" s="289"/>
      <c r="G89" s="289"/>
      <c r="H89" s="289"/>
      <c r="I89" s="289"/>
      <c r="J89" s="289"/>
      <c r="K89" s="289"/>
      <c r="L89" s="305"/>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row>
    <row r="90" spans="1:52" x14ac:dyDescent="0.5">
      <c r="A90" s="289"/>
      <c r="B90" s="289"/>
      <c r="C90" s="289"/>
      <c r="D90" s="289"/>
      <c r="E90" s="289"/>
      <c r="F90" s="289"/>
      <c r="G90" s="289"/>
      <c r="H90" s="289"/>
      <c r="I90" s="289"/>
      <c r="J90" s="289"/>
      <c r="K90" s="289"/>
      <c r="L90" s="305"/>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row>
    <row r="91" spans="1:52" x14ac:dyDescent="0.5">
      <c r="A91" s="289"/>
      <c r="B91" s="289"/>
      <c r="C91" s="289"/>
      <c r="D91" s="289"/>
      <c r="E91" s="289"/>
      <c r="F91" s="289"/>
      <c r="G91" s="289"/>
      <c r="H91" s="289"/>
      <c r="I91" s="289"/>
      <c r="J91" s="289"/>
      <c r="K91" s="289"/>
      <c r="L91" s="305"/>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row>
    <row r="92" spans="1:52" x14ac:dyDescent="0.5">
      <c r="A92" s="289"/>
      <c r="B92" s="289"/>
      <c r="C92" s="289"/>
      <c r="D92" s="289"/>
      <c r="E92" s="289"/>
      <c r="F92" s="289"/>
      <c r="G92" s="289"/>
      <c r="H92" s="289"/>
      <c r="I92" s="289"/>
      <c r="J92" s="289"/>
      <c r="K92" s="289"/>
      <c r="L92" s="305"/>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row>
    <row r="93" spans="1:52" x14ac:dyDescent="0.5">
      <c r="A93" s="289"/>
      <c r="B93" s="289"/>
      <c r="C93" s="289"/>
      <c r="D93" s="289"/>
      <c r="E93" s="289"/>
      <c r="F93" s="289"/>
      <c r="G93" s="289"/>
      <c r="H93" s="289"/>
      <c r="I93" s="289"/>
      <c r="J93" s="289"/>
      <c r="K93" s="289"/>
      <c r="L93" s="305"/>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row>
    <row r="94" spans="1:52" x14ac:dyDescent="0.5">
      <c r="A94" s="289"/>
      <c r="B94" s="289"/>
      <c r="C94" s="289"/>
      <c r="D94" s="289"/>
      <c r="E94" s="289"/>
      <c r="F94" s="289"/>
      <c r="G94" s="289"/>
      <c r="H94" s="289"/>
      <c r="I94" s="289"/>
      <c r="J94" s="289"/>
      <c r="K94" s="289"/>
      <c r="L94" s="305"/>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row>
    <row r="95" spans="1:52" x14ac:dyDescent="0.5">
      <c r="A95" s="289"/>
      <c r="B95" s="289"/>
      <c r="C95" s="289"/>
      <c r="D95" s="289"/>
      <c r="E95" s="289"/>
      <c r="F95" s="289"/>
      <c r="G95" s="289"/>
      <c r="H95" s="289"/>
      <c r="I95" s="289"/>
      <c r="J95" s="289"/>
      <c r="K95" s="289"/>
      <c r="L95" s="305"/>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row>
    <row r="96" spans="1:52" x14ac:dyDescent="0.5">
      <c r="A96" s="289"/>
      <c r="B96" s="289"/>
      <c r="C96" s="289"/>
      <c r="D96" s="289"/>
      <c r="E96" s="289"/>
      <c r="F96" s="289"/>
      <c r="G96" s="289"/>
      <c r="H96" s="289"/>
      <c r="I96" s="289"/>
      <c r="J96" s="289"/>
      <c r="K96" s="289"/>
      <c r="L96" s="305"/>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row>
    <row r="97" spans="1:52" x14ac:dyDescent="0.5">
      <c r="A97" s="289"/>
      <c r="B97" s="289"/>
      <c r="C97" s="289"/>
      <c r="D97" s="289"/>
      <c r="E97" s="289"/>
      <c r="F97" s="289"/>
      <c r="G97" s="289"/>
      <c r="H97" s="289"/>
      <c r="I97" s="289"/>
      <c r="J97" s="289"/>
      <c r="K97" s="289"/>
      <c r="L97" s="305"/>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row>
    <row r="98" spans="1:52" x14ac:dyDescent="0.5">
      <c r="A98" s="289"/>
      <c r="B98" s="289"/>
      <c r="C98" s="289"/>
      <c r="D98" s="289"/>
      <c r="E98" s="289"/>
      <c r="F98" s="289"/>
      <c r="G98" s="289"/>
      <c r="H98" s="289"/>
      <c r="I98" s="289"/>
      <c r="J98" s="289"/>
      <c r="K98" s="289"/>
      <c r="L98" s="305"/>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row>
    <row r="99" spans="1:52" x14ac:dyDescent="0.5">
      <c r="A99" s="289"/>
      <c r="B99" s="289"/>
      <c r="C99" s="289"/>
      <c r="D99" s="289"/>
      <c r="E99" s="289"/>
      <c r="F99" s="289"/>
      <c r="G99" s="289"/>
      <c r="H99" s="289"/>
      <c r="I99" s="289"/>
      <c r="J99" s="289"/>
      <c r="K99" s="289"/>
      <c r="L99" s="305"/>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row>
    <row r="100" spans="1:52" hidden="1" x14ac:dyDescent="0.5">
      <c r="A100" s="289"/>
      <c r="B100" s="289"/>
      <c r="C100" s="289"/>
      <c r="D100" s="289"/>
      <c r="E100" s="289"/>
      <c r="F100" s="289"/>
      <c r="G100" s="289"/>
      <c r="H100" s="289" t="s">
        <v>1215</v>
      </c>
      <c r="I100" s="289" t="b">
        <f>COUNTBLANK(I8)+COUNTBLANK(I9)+COUNTBLANK(I11)+COUNTBLANK(I12)+
COUNTBLANK(I14)+COUNTBLANK(I15)+COUNTBLANK(I16)+COUNTBLANK(I18)+
COUNTBLANK(I19)+COUNTBLANK(I20)+COUNTBLANK(I22)+COUNTBLANK(I23)+
COUNTBLANK(I24)+COUNTBLANK(I25)+COUNTBLANK(I27)+COUNTBLANK(I28)+
COUNTBLANK(I30)+COUNTBLANK(I31)+COUNTBLANK(I32)=0</f>
        <v>0</v>
      </c>
      <c r="J100" s="289" t="b">
        <f>COUNTBLANK(J8)+COUNTBLANK(J9)+COUNTBLANK(J11)+COUNTBLANK(J12)+
COUNTBLANK(J14)+COUNTBLANK(J15)+COUNTBLANK(J16)+COUNTBLANK(J18)+
COUNTBLANK(J19)+COUNTBLANK(J20)+COUNTBLANK(J22)+COUNTBLANK(J23)+
COUNTBLANK(J24)+COUNTBLANK(J25)+COUNTBLANK(J27)+COUNTBLANK(J28)+
COUNTBLANK(J30)+COUNTBLANK(J31)+COUNTBLANK(J32)=0</f>
        <v>0</v>
      </c>
      <c r="K100" s="289" t="b">
        <f>COUNTBLANK(K8)+COUNTBLANK(K9)+COUNTBLANK(K11)+COUNTBLANK(K12)+
COUNTBLANK(K14)+COUNTBLANK(K15)+COUNTBLANK(K16)+COUNTBLANK(K18)+
COUNTBLANK(K19)+COUNTBLANK(K20)+COUNTBLANK(K22)+COUNTBLANK(K23)+
COUNTBLANK(K24)+COUNTBLANK(K25)+COUNTBLANK(K27)+COUNTBLANK(K28)+
COUNTBLANK(K30)+COUNTBLANK(K31)+COUNTBLANK(K32)=0</f>
        <v>0</v>
      </c>
      <c r="L100" s="305"/>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row>
    <row r="101" spans="1:52" x14ac:dyDescent="0.5">
      <c r="A101" s="289"/>
      <c r="B101" s="289"/>
      <c r="C101" s="289"/>
      <c r="D101" s="289"/>
      <c r="E101" s="289"/>
      <c r="F101" s="289"/>
      <c r="G101" s="289"/>
      <c r="H101" s="289"/>
      <c r="I101" s="289"/>
      <c r="J101" s="289"/>
      <c r="K101" s="289"/>
      <c r="L101" s="305"/>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row>
    <row r="102" spans="1:52" x14ac:dyDescent="0.5">
      <c r="A102" s="289"/>
      <c r="B102" s="289"/>
      <c r="C102" s="289"/>
      <c r="D102" s="289"/>
      <c r="E102" s="289"/>
      <c r="F102" s="289"/>
      <c r="G102" s="289"/>
      <c r="H102" s="289"/>
      <c r="I102" s="289"/>
      <c r="J102" s="289"/>
      <c r="K102" s="289"/>
      <c r="L102" s="305"/>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row>
    <row r="103" spans="1:52" x14ac:dyDescent="0.5">
      <c r="A103" s="289"/>
      <c r="B103" s="289"/>
      <c r="C103" s="289"/>
      <c r="D103" s="289"/>
      <c r="E103" s="289"/>
      <c r="F103" s="289"/>
      <c r="G103" s="289"/>
      <c r="H103" s="289"/>
      <c r="I103" s="289"/>
      <c r="J103" s="289"/>
      <c r="K103" s="289"/>
      <c r="L103" s="305"/>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row>
    <row r="104" spans="1:52" x14ac:dyDescent="0.5">
      <c r="A104" s="289"/>
      <c r="B104" s="289"/>
      <c r="C104" s="289"/>
      <c r="D104" s="289"/>
      <c r="E104" s="289"/>
      <c r="F104" s="289"/>
      <c r="G104" s="289"/>
      <c r="H104" s="289"/>
      <c r="I104" s="289"/>
      <c r="J104" s="289"/>
      <c r="K104" s="289"/>
      <c r="L104" s="305"/>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row>
    <row r="105" spans="1:52" x14ac:dyDescent="0.5">
      <c r="A105" s="289"/>
      <c r="B105" s="289"/>
      <c r="C105" s="289"/>
      <c r="D105" s="289"/>
      <c r="E105" s="289"/>
      <c r="F105" s="289"/>
      <c r="G105" s="289"/>
      <c r="H105" s="289"/>
      <c r="I105" s="289"/>
      <c r="J105" s="289"/>
      <c r="K105" s="289"/>
      <c r="L105" s="305"/>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row>
    <row r="106" spans="1:52" x14ac:dyDescent="0.5">
      <c r="A106" s="289"/>
      <c r="B106" s="289"/>
      <c r="C106" s="289"/>
      <c r="D106" s="289"/>
      <c r="E106" s="289"/>
      <c r="F106" s="289"/>
      <c r="G106" s="289"/>
      <c r="H106" s="289"/>
      <c r="I106" s="289"/>
      <c r="J106" s="289"/>
      <c r="K106" s="289"/>
      <c r="L106" s="305"/>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row>
    <row r="107" spans="1:52" x14ac:dyDescent="0.5">
      <c r="A107" s="289"/>
      <c r="B107" s="289"/>
      <c r="C107" s="289"/>
      <c r="D107" s="289"/>
      <c r="E107" s="289"/>
      <c r="F107" s="289"/>
      <c r="G107" s="289"/>
      <c r="H107" s="289"/>
      <c r="I107" s="289"/>
      <c r="J107" s="289"/>
      <c r="K107" s="289"/>
      <c r="L107" s="305"/>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row>
    <row r="108" spans="1:52" x14ac:dyDescent="0.5">
      <c r="A108" s="289"/>
      <c r="B108" s="289"/>
      <c r="C108" s="289"/>
      <c r="D108" s="289"/>
      <c r="E108" s="289"/>
      <c r="F108" s="289"/>
      <c r="G108" s="289"/>
      <c r="H108" s="289"/>
      <c r="I108" s="289"/>
      <c r="J108" s="289"/>
      <c r="K108" s="289"/>
      <c r="L108" s="305"/>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row>
    <row r="109" spans="1:52" x14ac:dyDescent="0.5">
      <c r="A109" s="289"/>
      <c r="B109" s="289"/>
      <c r="C109" s="289"/>
      <c r="D109" s="289"/>
      <c r="E109" s="289"/>
      <c r="F109" s="289"/>
      <c r="G109" s="289"/>
      <c r="H109" s="289"/>
      <c r="I109" s="289"/>
      <c r="J109" s="289"/>
      <c r="K109" s="289"/>
      <c r="L109" s="305"/>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row>
    <row r="110" spans="1:52" x14ac:dyDescent="0.5">
      <c r="A110" s="289"/>
      <c r="B110" s="289"/>
      <c r="C110" s="289"/>
      <c r="D110" s="289"/>
      <c r="E110" s="289"/>
      <c r="F110" s="289"/>
      <c r="G110" s="289"/>
      <c r="H110" s="289"/>
      <c r="I110" s="289"/>
      <c r="J110" s="289"/>
      <c r="K110" s="289"/>
      <c r="L110" s="305"/>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row>
    <row r="111" spans="1:52" x14ac:dyDescent="0.5">
      <c r="A111" s="289"/>
      <c r="B111" s="289"/>
      <c r="C111" s="289"/>
      <c r="D111" s="289"/>
      <c r="E111" s="289"/>
      <c r="F111" s="289"/>
      <c r="G111" s="289"/>
      <c r="H111" s="289"/>
      <c r="I111" s="289"/>
      <c r="J111" s="289"/>
      <c r="K111" s="289"/>
      <c r="L111" s="305"/>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row>
    <row r="112" spans="1:52" x14ac:dyDescent="0.5">
      <c r="A112" s="289"/>
      <c r="B112" s="289"/>
      <c r="C112" s="289"/>
      <c r="D112" s="289"/>
      <c r="E112" s="289"/>
      <c r="F112" s="289"/>
      <c r="G112" s="289"/>
      <c r="H112" s="289"/>
      <c r="I112" s="289"/>
      <c r="J112" s="289"/>
      <c r="K112" s="289"/>
      <c r="L112" s="305"/>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row>
    <row r="113" spans="1:52" x14ac:dyDescent="0.5">
      <c r="A113" s="289"/>
      <c r="B113" s="289"/>
      <c r="C113" s="289"/>
      <c r="D113" s="289"/>
      <c r="E113" s="289"/>
      <c r="F113" s="289"/>
      <c r="G113" s="289"/>
      <c r="H113" s="289"/>
      <c r="I113" s="289"/>
      <c r="J113" s="289"/>
      <c r="K113" s="289"/>
      <c r="L113" s="305"/>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row>
    <row r="114" spans="1:52" x14ac:dyDescent="0.5">
      <c r="A114" s="289"/>
      <c r="B114" s="289"/>
      <c r="C114" s="289"/>
      <c r="D114" s="289"/>
      <c r="E114" s="289"/>
      <c r="F114" s="289"/>
      <c r="G114" s="289"/>
      <c r="H114" s="289"/>
      <c r="I114" s="289"/>
      <c r="J114" s="289"/>
      <c r="K114" s="289"/>
      <c r="L114" s="305"/>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row>
    <row r="115" spans="1:52" x14ac:dyDescent="0.5">
      <c r="A115" s="289"/>
      <c r="B115" s="289"/>
      <c r="C115" s="289"/>
      <c r="D115" s="289"/>
      <c r="E115" s="289"/>
      <c r="F115" s="289"/>
      <c r="G115" s="289"/>
      <c r="H115" s="289"/>
      <c r="I115" s="289"/>
      <c r="J115" s="289"/>
      <c r="K115" s="289"/>
      <c r="L115" s="305"/>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row>
    <row r="116" spans="1:52" x14ac:dyDescent="0.5">
      <c r="A116" s="289"/>
      <c r="B116" s="289"/>
      <c r="C116" s="289"/>
      <c r="D116" s="289"/>
      <c r="E116" s="289"/>
      <c r="F116" s="289"/>
      <c r="G116" s="289"/>
      <c r="H116" s="289"/>
      <c r="I116" s="289"/>
      <c r="J116" s="289"/>
      <c r="K116" s="289"/>
      <c r="L116" s="305"/>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row>
    <row r="117" spans="1:52" x14ac:dyDescent="0.5">
      <c r="A117" s="289"/>
      <c r="B117" s="289"/>
      <c r="C117" s="289"/>
      <c r="D117" s="289"/>
      <c r="E117" s="289"/>
      <c r="F117" s="289"/>
      <c r="G117" s="289"/>
      <c r="H117" s="289"/>
      <c r="I117" s="289"/>
      <c r="J117" s="289"/>
      <c r="K117" s="289"/>
      <c r="L117" s="305"/>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row>
    <row r="118" spans="1:52" x14ac:dyDescent="0.5">
      <c r="A118" s="289"/>
      <c r="B118" s="289"/>
      <c r="C118" s="289"/>
      <c r="D118" s="289"/>
      <c r="E118" s="289"/>
      <c r="F118" s="289"/>
      <c r="G118" s="289"/>
      <c r="H118" s="289"/>
      <c r="I118" s="289"/>
      <c r="J118" s="289"/>
      <c r="K118" s="289"/>
      <c r="L118" s="305"/>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row>
    <row r="119" spans="1:52" x14ac:dyDescent="0.5">
      <c r="A119" s="289"/>
      <c r="B119" s="289"/>
      <c r="C119" s="289"/>
      <c r="D119" s="289"/>
      <c r="E119" s="289"/>
      <c r="F119" s="289"/>
      <c r="G119" s="289"/>
      <c r="H119" s="289"/>
      <c r="I119" s="289"/>
      <c r="J119" s="289"/>
      <c r="K119" s="289"/>
      <c r="L119" s="305"/>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row>
    <row r="120" spans="1:52" x14ac:dyDescent="0.5">
      <c r="A120" s="289"/>
      <c r="B120" s="289"/>
      <c r="C120" s="289"/>
      <c r="D120" s="289"/>
      <c r="E120" s="289"/>
      <c r="F120" s="289"/>
      <c r="G120" s="289"/>
      <c r="H120" s="289"/>
      <c r="I120" s="289"/>
      <c r="J120" s="289"/>
      <c r="K120" s="289"/>
      <c r="L120" s="305"/>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row>
    <row r="121" spans="1:52" x14ac:dyDescent="0.5">
      <c r="A121" s="289"/>
      <c r="B121" s="289"/>
      <c r="C121" s="289"/>
      <c r="D121" s="289"/>
      <c r="E121" s="289"/>
      <c r="F121" s="289"/>
      <c r="G121" s="289"/>
      <c r="H121" s="289"/>
      <c r="I121" s="289"/>
      <c r="J121" s="289"/>
      <c r="K121" s="289"/>
      <c r="L121" s="305"/>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row>
    <row r="122" spans="1:52" x14ac:dyDescent="0.5">
      <c r="A122" s="289"/>
      <c r="B122" s="289"/>
      <c r="C122" s="289"/>
      <c r="D122" s="289"/>
      <c r="E122" s="289"/>
      <c r="F122" s="289"/>
      <c r="G122" s="289"/>
      <c r="H122" s="289"/>
      <c r="I122" s="289"/>
      <c r="J122" s="289"/>
      <c r="K122" s="289"/>
      <c r="L122" s="305"/>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row>
    <row r="123" spans="1:52" x14ac:dyDescent="0.5">
      <c r="A123" s="289"/>
      <c r="B123" s="289"/>
      <c r="C123" s="289"/>
      <c r="D123" s="289"/>
      <c r="E123" s="289"/>
      <c r="F123" s="289"/>
      <c r="G123" s="289"/>
      <c r="H123" s="289"/>
      <c r="I123" s="289"/>
      <c r="J123" s="289"/>
      <c r="K123" s="289"/>
      <c r="L123" s="305"/>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row>
    <row r="124" spans="1:52" x14ac:dyDescent="0.5">
      <c r="A124" s="289"/>
      <c r="B124" s="289"/>
      <c r="C124" s="289"/>
      <c r="D124" s="289"/>
      <c r="E124" s="289"/>
      <c r="F124" s="289"/>
      <c r="G124" s="289"/>
      <c r="H124" s="289"/>
      <c r="I124" s="289"/>
      <c r="J124" s="289"/>
      <c r="K124" s="289"/>
      <c r="L124" s="305"/>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row>
    <row r="125" spans="1:52" x14ac:dyDescent="0.5">
      <c r="A125" s="289"/>
      <c r="B125" s="289"/>
      <c r="C125" s="289"/>
      <c r="D125" s="289"/>
      <c r="E125" s="289"/>
      <c r="F125" s="289"/>
      <c r="G125" s="289"/>
      <c r="H125" s="289"/>
      <c r="I125" s="289"/>
      <c r="J125" s="289"/>
      <c r="K125" s="289"/>
      <c r="L125" s="305"/>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row>
    <row r="126" spans="1:52" x14ac:dyDescent="0.5">
      <c r="A126" s="289"/>
      <c r="B126" s="289"/>
      <c r="C126" s="289"/>
      <c r="D126" s="289"/>
      <c r="E126" s="289"/>
      <c r="F126" s="289"/>
      <c r="G126" s="289"/>
      <c r="H126" s="289"/>
      <c r="I126" s="289"/>
      <c r="J126" s="289"/>
      <c r="K126" s="289"/>
      <c r="L126" s="305"/>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row>
    <row r="127" spans="1:52" x14ac:dyDescent="0.5">
      <c r="A127" s="289"/>
      <c r="B127" s="289"/>
      <c r="C127" s="289"/>
      <c r="D127" s="289"/>
      <c r="E127" s="289"/>
      <c r="F127" s="289"/>
      <c r="G127" s="289"/>
      <c r="H127" s="289"/>
      <c r="I127" s="289"/>
      <c r="J127" s="289"/>
      <c r="K127" s="289"/>
      <c r="L127" s="305"/>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row>
    <row r="128" spans="1:52" x14ac:dyDescent="0.5">
      <c r="A128" s="289"/>
      <c r="B128" s="289"/>
      <c r="C128" s="289"/>
      <c r="D128" s="289"/>
      <c r="E128" s="289"/>
      <c r="F128" s="289"/>
      <c r="G128" s="289"/>
      <c r="H128" s="289"/>
      <c r="I128" s="289"/>
      <c r="J128" s="289"/>
      <c r="K128" s="289"/>
      <c r="L128" s="305"/>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row>
    <row r="129" spans="1:52" x14ac:dyDescent="0.5">
      <c r="A129" s="289"/>
      <c r="B129" s="289"/>
      <c r="C129" s="289"/>
      <c r="D129" s="289"/>
      <c r="E129" s="289"/>
      <c r="F129" s="289"/>
      <c r="G129" s="289"/>
      <c r="H129" s="289"/>
      <c r="I129" s="289"/>
      <c r="J129" s="289"/>
      <c r="K129" s="289"/>
      <c r="L129" s="305"/>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row>
    <row r="130" spans="1:52" x14ac:dyDescent="0.5">
      <c r="A130" s="289"/>
      <c r="B130" s="289"/>
      <c r="C130" s="289"/>
      <c r="D130" s="289"/>
      <c r="E130" s="289"/>
      <c r="F130" s="289"/>
      <c r="G130" s="289"/>
      <c r="H130" s="289"/>
      <c r="I130" s="289"/>
      <c r="J130" s="289"/>
      <c r="K130" s="289"/>
      <c r="L130" s="305"/>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row>
    <row r="131" spans="1:52" x14ac:dyDescent="0.5">
      <c r="A131" s="289"/>
      <c r="B131" s="289"/>
      <c r="C131" s="289"/>
      <c r="D131" s="289"/>
      <c r="E131" s="289"/>
      <c r="F131" s="289"/>
      <c r="G131" s="289"/>
      <c r="H131" s="289"/>
      <c r="I131" s="289"/>
      <c r="J131" s="289"/>
      <c r="K131" s="289"/>
      <c r="L131" s="305"/>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row>
    <row r="132" spans="1:52" x14ac:dyDescent="0.5">
      <c r="A132" s="289"/>
      <c r="B132" s="289"/>
      <c r="C132" s="289"/>
      <c r="D132" s="289"/>
      <c r="E132" s="289"/>
      <c r="F132" s="289"/>
      <c r="G132" s="289"/>
      <c r="H132" s="289"/>
      <c r="I132" s="289"/>
      <c r="J132" s="289"/>
      <c r="K132" s="289"/>
      <c r="L132" s="305"/>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row>
    <row r="133" spans="1:52" x14ac:dyDescent="0.5">
      <c r="A133" s="289"/>
      <c r="B133" s="289"/>
      <c r="C133" s="289"/>
      <c r="D133" s="289"/>
      <c r="E133" s="289"/>
      <c r="F133" s="289"/>
      <c r="G133" s="289"/>
      <c r="H133" s="289"/>
      <c r="I133" s="289"/>
      <c r="J133" s="289"/>
      <c r="K133" s="289"/>
      <c r="L133" s="305"/>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row>
    <row r="134" spans="1:52" x14ac:dyDescent="0.5">
      <c r="A134" s="289"/>
      <c r="B134" s="289"/>
      <c r="C134" s="289"/>
      <c r="D134" s="289"/>
      <c r="E134" s="289"/>
      <c r="F134" s="289"/>
      <c r="G134" s="289"/>
      <c r="H134" s="289"/>
      <c r="I134" s="289"/>
      <c r="J134" s="289"/>
      <c r="K134" s="289"/>
      <c r="L134" s="305"/>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row>
    <row r="135" spans="1:52" x14ac:dyDescent="0.5">
      <c r="A135" s="289"/>
      <c r="B135" s="289"/>
      <c r="C135" s="289"/>
      <c r="D135" s="289"/>
      <c r="E135" s="289"/>
      <c r="F135" s="289"/>
      <c r="G135" s="289"/>
      <c r="H135" s="289"/>
      <c r="I135" s="289"/>
      <c r="J135" s="289"/>
      <c r="K135" s="289"/>
      <c r="L135" s="305"/>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row>
    <row r="136" spans="1:52" x14ac:dyDescent="0.5">
      <c r="A136" s="289"/>
      <c r="B136" s="289"/>
      <c r="C136" s="289"/>
      <c r="D136" s="289"/>
      <c r="E136" s="289"/>
      <c r="F136" s="289"/>
      <c r="G136" s="289"/>
      <c r="H136" s="289"/>
      <c r="I136" s="289"/>
      <c r="J136" s="289"/>
      <c r="K136" s="289"/>
      <c r="L136" s="305"/>
      <c r="M136" s="289"/>
      <c r="N136" s="289"/>
      <c r="O136" s="289"/>
      <c r="P136" s="289"/>
      <c r="Q136" s="289"/>
      <c r="R136" s="289"/>
      <c r="S136" s="289"/>
      <c r="T136" s="289"/>
      <c r="U136" s="289"/>
      <c r="V136" s="289"/>
      <c r="W136" s="289"/>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row>
    <row r="137" spans="1:52" x14ac:dyDescent="0.5">
      <c r="A137" s="289"/>
      <c r="B137" s="289"/>
      <c r="C137" s="289"/>
      <c r="D137" s="289"/>
      <c r="E137" s="289"/>
      <c r="F137" s="289"/>
      <c r="G137" s="289"/>
      <c r="H137" s="289"/>
      <c r="I137" s="289"/>
      <c r="J137" s="289"/>
      <c r="K137" s="289"/>
      <c r="L137" s="305"/>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row>
    <row r="138" spans="1:52" x14ac:dyDescent="0.5">
      <c r="A138" s="289"/>
      <c r="B138" s="289"/>
      <c r="C138" s="289"/>
      <c r="D138" s="289"/>
      <c r="E138" s="289"/>
      <c r="F138" s="289"/>
      <c r="G138" s="289"/>
      <c r="H138" s="289"/>
      <c r="I138" s="289"/>
      <c r="J138" s="289"/>
      <c r="K138" s="289"/>
      <c r="L138" s="305"/>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row>
    <row r="139" spans="1:52" x14ac:dyDescent="0.5">
      <c r="A139" s="289"/>
      <c r="B139" s="289"/>
      <c r="C139" s="289"/>
      <c r="D139" s="289"/>
      <c r="E139" s="289"/>
      <c r="F139" s="289"/>
      <c r="G139" s="289"/>
      <c r="H139" s="289"/>
      <c r="I139" s="289"/>
      <c r="J139" s="289"/>
      <c r="K139" s="289"/>
      <c r="L139" s="305"/>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row>
    <row r="140" spans="1:52" x14ac:dyDescent="0.5">
      <c r="A140" s="289"/>
      <c r="B140" s="289"/>
      <c r="C140" s="289"/>
      <c r="D140" s="289"/>
      <c r="E140" s="289"/>
      <c r="F140" s="289"/>
      <c r="G140" s="289"/>
      <c r="H140" s="289"/>
      <c r="I140" s="289"/>
      <c r="J140" s="289"/>
      <c r="K140" s="289"/>
      <c r="L140" s="305"/>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row>
    <row r="141" spans="1:52" x14ac:dyDescent="0.5">
      <c r="A141" s="289"/>
      <c r="B141" s="289"/>
      <c r="C141" s="289"/>
      <c r="D141" s="289"/>
      <c r="E141" s="289"/>
      <c r="F141" s="289"/>
      <c r="G141" s="289"/>
      <c r="H141" s="289"/>
      <c r="I141" s="289"/>
      <c r="J141" s="289"/>
      <c r="K141" s="289"/>
      <c r="L141" s="305"/>
      <c r="M141" s="289"/>
      <c r="N141" s="289"/>
      <c r="O141" s="289"/>
      <c r="P141" s="289"/>
      <c r="Q141" s="289"/>
      <c r="R141" s="289"/>
      <c r="S141" s="289"/>
      <c r="T141" s="289"/>
      <c r="U141" s="289"/>
      <c r="V141" s="289"/>
      <c r="W141" s="289"/>
      <c r="X141" s="289"/>
      <c r="Y141" s="289"/>
      <c r="Z141" s="289"/>
      <c r="AA141" s="289"/>
      <c r="AB141" s="289"/>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row>
    <row r="142" spans="1:52" x14ac:dyDescent="0.5">
      <c r="A142" s="289"/>
      <c r="B142" s="289"/>
      <c r="C142" s="289"/>
      <c r="D142" s="289"/>
      <c r="E142" s="289"/>
      <c r="F142" s="289"/>
      <c r="G142" s="289"/>
      <c r="H142" s="289"/>
      <c r="I142" s="289"/>
      <c r="J142" s="289"/>
      <c r="K142" s="289"/>
      <c r="L142" s="305"/>
      <c r="M142" s="289"/>
      <c r="N142" s="289"/>
      <c r="O142" s="289"/>
      <c r="P142" s="289"/>
      <c r="Q142" s="289"/>
      <c r="R142" s="289"/>
      <c r="S142" s="289"/>
      <c r="T142" s="289"/>
      <c r="U142" s="289"/>
      <c r="V142" s="289"/>
      <c r="W142" s="289"/>
      <c r="X142" s="289"/>
      <c r="Y142" s="289"/>
      <c r="Z142" s="289"/>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row>
    <row r="143" spans="1:52" x14ac:dyDescent="0.5">
      <c r="A143" s="289"/>
      <c r="B143" s="289"/>
      <c r="C143" s="289"/>
      <c r="D143" s="289"/>
      <c r="E143" s="289"/>
      <c r="F143" s="289"/>
      <c r="G143" s="289"/>
      <c r="H143" s="289"/>
      <c r="I143" s="289"/>
      <c r="J143" s="289"/>
      <c r="K143" s="289"/>
      <c r="L143" s="305"/>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c r="AH143" s="289"/>
      <c r="AI143" s="289"/>
      <c r="AJ143" s="289"/>
      <c r="AK143" s="289"/>
      <c r="AL143" s="289"/>
      <c r="AM143" s="289"/>
      <c r="AN143" s="289"/>
      <c r="AO143" s="289"/>
      <c r="AP143" s="289"/>
      <c r="AQ143" s="289"/>
      <c r="AR143" s="289"/>
      <c r="AS143" s="289"/>
      <c r="AT143" s="289"/>
      <c r="AU143" s="289"/>
      <c r="AV143" s="289"/>
      <c r="AW143" s="289"/>
      <c r="AX143" s="289"/>
      <c r="AY143" s="289"/>
      <c r="AZ143" s="289"/>
    </row>
    <row r="144" spans="1:52" x14ac:dyDescent="0.5">
      <c r="A144" s="289"/>
      <c r="B144" s="289"/>
      <c r="C144" s="289"/>
      <c r="D144" s="289"/>
      <c r="E144" s="289"/>
      <c r="F144" s="289"/>
      <c r="G144" s="289"/>
      <c r="H144" s="289"/>
      <c r="I144" s="289"/>
      <c r="J144" s="289"/>
      <c r="K144" s="289"/>
      <c r="L144" s="305"/>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row>
    <row r="145" spans="1:52" x14ac:dyDescent="0.5">
      <c r="A145" s="289"/>
      <c r="B145" s="289"/>
      <c r="C145" s="289"/>
      <c r="D145" s="289"/>
      <c r="E145" s="289"/>
      <c r="F145" s="289"/>
      <c r="G145" s="289"/>
      <c r="H145" s="289"/>
      <c r="I145" s="289"/>
      <c r="J145" s="289"/>
      <c r="K145" s="289"/>
      <c r="L145" s="305"/>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row>
    <row r="146" spans="1:52" x14ac:dyDescent="0.5">
      <c r="A146" s="289"/>
      <c r="B146" s="289"/>
      <c r="C146" s="289"/>
      <c r="D146" s="289"/>
      <c r="E146" s="289"/>
      <c r="F146" s="289"/>
      <c r="G146" s="289"/>
      <c r="H146" s="289"/>
      <c r="I146" s="289"/>
      <c r="J146" s="289"/>
      <c r="K146" s="289"/>
      <c r="L146" s="305"/>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row>
    <row r="147" spans="1:52" x14ac:dyDescent="0.5">
      <c r="A147" s="289"/>
      <c r="B147" s="289"/>
      <c r="C147" s="289"/>
      <c r="D147" s="289"/>
      <c r="E147" s="289"/>
      <c r="F147" s="289"/>
      <c r="G147" s="289"/>
      <c r="H147" s="289"/>
      <c r="I147" s="289"/>
      <c r="J147" s="289"/>
      <c r="K147" s="289"/>
      <c r="L147" s="305"/>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row>
    <row r="148" spans="1:52" x14ac:dyDescent="0.5">
      <c r="A148" s="289"/>
      <c r="B148" s="289"/>
      <c r="C148" s="289"/>
      <c r="D148" s="289"/>
      <c r="E148" s="289"/>
      <c r="F148" s="289"/>
      <c r="G148" s="289"/>
      <c r="H148" s="289"/>
      <c r="I148" s="289"/>
      <c r="J148" s="289"/>
      <c r="K148" s="289"/>
      <c r="L148" s="305"/>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row>
    <row r="149" spans="1:52" x14ac:dyDescent="0.5">
      <c r="A149" s="289"/>
      <c r="B149" s="289"/>
      <c r="C149" s="289"/>
      <c r="D149" s="289"/>
      <c r="E149" s="289"/>
      <c r="F149" s="289"/>
      <c r="G149" s="289"/>
      <c r="H149" s="289"/>
      <c r="I149" s="289"/>
      <c r="J149" s="289"/>
      <c r="K149" s="289"/>
      <c r="L149" s="305"/>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row>
    <row r="150" spans="1:52" x14ac:dyDescent="0.5">
      <c r="A150" s="289"/>
      <c r="B150" s="289"/>
      <c r="C150" s="289"/>
      <c r="D150" s="289"/>
      <c r="E150" s="289"/>
      <c r="F150" s="289"/>
      <c r="G150" s="289"/>
      <c r="H150" s="289"/>
      <c r="I150" s="289"/>
      <c r="J150" s="289"/>
      <c r="K150" s="289"/>
      <c r="L150" s="305"/>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row>
    <row r="151" spans="1:52" x14ac:dyDescent="0.5">
      <c r="A151" s="289"/>
      <c r="B151" s="289"/>
      <c r="C151" s="289"/>
      <c r="D151" s="289"/>
      <c r="E151" s="289"/>
      <c r="F151" s="289"/>
      <c r="G151" s="289"/>
      <c r="H151" s="289"/>
      <c r="I151" s="289"/>
      <c r="J151" s="289"/>
      <c r="K151" s="289"/>
      <c r="L151" s="305"/>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row>
    <row r="152" spans="1:52" x14ac:dyDescent="0.5">
      <c r="A152" s="289"/>
      <c r="B152" s="289"/>
      <c r="C152" s="289"/>
      <c r="D152" s="289"/>
      <c r="E152" s="289"/>
      <c r="F152" s="289"/>
      <c r="G152" s="289"/>
      <c r="H152" s="289"/>
      <c r="I152" s="289"/>
      <c r="J152" s="289"/>
      <c r="K152" s="289"/>
      <c r="L152" s="305"/>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row>
    <row r="153" spans="1:52" x14ac:dyDescent="0.5">
      <c r="A153" s="289"/>
      <c r="B153" s="289"/>
      <c r="C153" s="289"/>
      <c r="D153" s="289"/>
      <c r="E153" s="289"/>
      <c r="F153" s="289"/>
      <c r="G153" s="289"/>
      <c r="H153" s="289"/>
      <c r="I153" s="289"/>
      <c r="J153" s="289"/>
      <c r="K153" s="289"/>
      <c r="L153" s="305"/>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row>
    <row r="154" spans="1:52" x14ac:dyDescent="0.5">
      <c r="A154" s="289"/>
      <c r="B154" s="289"/>
      <c r="C154" s="289"/>
      <c r="D154" s="289"/>
      <c r="E154" s="289"/>
      <c r="F154" s="289"/>
      <c r="G154" s="289"/>
      <c r="H154" s="289"/>
      <c r="I154" s="289"/>
      <c r="J154" s="289"/>
      <c r="K154" s="289"/>
      <c r="L154" s="305"/>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row>
    <row r="155" spans="1:52" x14ac:dyDescent="0.5">
      <c r="A155" s="289"/>
      <c r="B155" s="289"/>
      <c r="C155" s="289"/>
      <c r="D155" s="289"/>
      <c r="E155" s="289"/>
      <c r="F155" s="289"/>
      <c r="G155" s="289"/>
      <c r="H155" s="289"/>
      <c r="I155" s="289"/>
      <c r="J155" s="289"/>
      <c r="K155" s="289"/>
      <c r="L155" s="305"/>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row>
    <row r="156" spans="1:52" x14ac:dyDescent="0.5">
      <c r="A156" s="289"/>
      <c r="B156" s="289"/>
      <c r="C156" s="289"/>
      <c r="D156" s="289"/>
      <c r="E156" s="289"/>
      <c r="F156" s="289"/>
      <c r="G156" s="289"/>
      <c r="H156" s="289"/>
      <c r="I156" s="289"/>
      <c r="J156" s="289"/>
      <c r="K156" s="289"/>
      <c r="L156" s="305"/>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row>
    <row r="157" spans="1:52" x14ac:dyDescent="0.5">
      <c r="A157" s="289"/>
      <c r="B157" s="289"/>
      <c r="C157" s="289"/>
      <c r="D157" s="289"/>
      <c r="E157" s="289"/>
      <c r="F157" s="289"/>
      <c r="G157" s="289"/>
      <c r="H157" s="289"/>
      <c r="I157" s="289"/>
      <c r="J157" s="289"/>
      <c r="K157" s="289"/>
      <c r="L157" s="305"/>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row>
    <row r="158" spans="1:52" x14ac:dyDescent="0.5">
      <c r="A158" s="289"/>
      <c r="B158" s="289"/>
      <c r="C158" s="289"/>
      <c r="D158" s="289"/>
      <c r="E158" s="289"/>
      <c r="F158" s="289"/>
      <c r="G158" s="289"/>
      <c r="H158" s="289"/>
      <c r="I158" s="289"/>
      <c r="J158" s="289"/>
      <c r="K158" s="289"/>
      <c r="L158" s="305"/>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row>
    <row r="159" spans="1:52" x14ac:dyDescent="0.5">
      <c r="A159" s="289"/>
      <c r="B159" s="289"/>
      <c r="C159" s="289"/>
      <c r="D159" s="289"/>
      <c r="E159" s="289"/>
      <c r="F159" s="289"/>
      <c r="G159" s="289"/>
      <c r="H159" s="289"/>
      <c r="I159" s="289"/>
      <c r="J159" s="289"/>
      <c r="K159" s="289"/>
      <c r="L159" s="305"/>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row>
    <row r="160" spans="1:52" x14ac:dyDescent="0.5">
      <c r="A160" s="289"/>
      <c r="B160" s="289"/>
      <c r="C160" s="289"/>
      <c r="D160" s="289"/>
      <c r="E160" s="289"/>
      <c r="F160" s="289"/>
      <c r="G160" s="289"/>
      <c r="H160" s="289"/>
      <c r="I160" s="289"/>
      <c r="J160" s="289"/>
      <c r="K160" s="289"/>
      <c r="L160" s="305"/>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row>
    <row r="161" spans="1:52" x14ac:dyDescent="0.5">
      <c r="A161" s="289"/>
      <c r="B161" s="289"/>
      <c r="C161" s="289"/>
      <c r="D161" s="289"/>
      <c r="E161" s="289"/>
      <c r="F161" s="289"/>
      <c r="G161" s="289"/>
      <c r="H161" s="289"/>
      <c r="I161" s="289"/>
      <c r="J161" s="289"/>
      <c r="K161" s="289"/>
      <c r="L161" s="305"/>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row>
    <row r="162" spans="1:52" x14ac:dyDescent="0.5">
      <c r="A162" s="289"/>
      <c r="B162" s="289"/>
      <c r="C162" s="289"/>
      <c r="D162" s="289"/>
      <c r="E162" s="289"/>
      <c r="F162" s="289"/>
      <c r="G162" s="289"/>
      <c r="H162" s="289"/>
      <c r="I162" s="289"/>
      <c r="J162" s="289"/>
      <c r="K162" s="289"/>
      <c r="L162" s="305"/>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row>
    <row r="163" spans="1:52" x14ac:dyDescent="0.5">
      <c r="A163" s="289"/>
      <c r="B163" s="289"/>
      <c r="C163" s="289"/>
      <c r="D163" s="289"/>
      <c r="E163" s="289"/>
      <c r="F163" s="289"/>
      <c r="G163" s="289"/>
      <c r="H163" s="289"/>
      <c r="I163" s="289"/>
      <c r="J163" s="289"/>
      <c r="K163" s="289"/>
      <c r="L163" s="305"/>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row>
    <row r="164" spans="1:52" x14ac:dyDescent="0.5">
      <c r="A164" s="289"/>
      <c r="B164" s="289"/>
      <c r="C164" s="289"/>
      <c r="D164" s="289"/>
      <c r="E164" s="289"/>
      <c r="F164" s="289"/>
      <c r="G164" s="289"/>
      <c r="H164" s="289"/>
      <c r="I164" s="289"/>
      <c r="J164" s="289"/>
      <c r="K164" s="289"/>
      <c r="L164" s="305"/>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row>
    <row r="165" spans="1:52" x14ac:dyDescent="0.5">
      <c r="A165" s="289"/>
      <c r="B165" s="289"/>
      <c r="C165" s="289"/>
      <c r="D165" s="289"/>
      <c r="E165" s="289"/>
      <c r="F165" s="289"/>
      <c r="G165" s="289"/>
      <c r="H165" s="289"/>
      <c r="I165" s="289"/>
      <c r="J165" s="289"/>
      <c r="K165" s="289"/>
      <c r="L165" s="305"/>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row>
    <row r="166" spans="1:52" x14ac:dyDescent="0.5">
      <c r="A166" s="289"/>
      <c r="B166" s="289"/>
      <c r="C166" s="289"/>
      <c r="D166" s="289"/>
      <c r="E166" s="289"/>
      <c r="F166" s="289"/>
      <c r="G166" s="289"/>
      <c r="H166" s="289"/>
      <c r="I166" s="289"/>
      <c r="J166" s="289"/>
      <c r="K166" s="289"/>
      <c r="L166" s="305"/>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row>
    <row r="167" spans="1:52" x14ac:dyDescent="0.5">
      <c r="A167" s="289"/>
      <c r="B167" s="289"/>
      <c r="C167" s="289"/>
      <c r="D167" s="289"/>
      <c r="E167" s="289"/>
      <c r="F167" s="289"/>
      <c r="G167" s="289"/>
      <c r="H167" s="289"/>
      <c r="I167" s="289"/>
      <c r="J167" s="289"/>
      <c r="K167" s="289"/>
      <c r="L167" s="305"/>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row>
    <row r="168" spans="1:52" x14ac:dyDescent="0.5">
      <c r="A168" s="289"/>
      <c r="B168" s="289"/>
      <c r="C168" s="289"/>
      <c r="D168" s="289"/>
      <c r="E168" s="289"/>
      <c r="F168" s="289"/>
      <c r="G168" s="289"/>
      <c r="H168" s="289"/>
      <c r="I168" s="289"/>
      <c r="J168" s="289"/>
      <c r="K168" s="289"/>
      <c r="L168" s="305"/>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row>
    <row r="169" spans="1:52" x14ac:dyDescent="0.5">
      <c r="A169" s="289"/>
      <c r="B169" s="289"/>
      <c r="C169" s="289"/>
      <c r="D169" s="289"/>
      <c r="E169" s="289"/>
      <c r="F169" s="289"/>
      <c r="G169" s="289"/>
      <c r="H169" s="289"/>
      <c r="I169" s="289"/>
      <c r="J169" s="289"/>
      <c r="K169" s="289"/>
      <c r="L169" s="305"/>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row>
    <row r="170" spans="1:52" x14ac:dyDescent="0.5">
      <c r="A170" s="289"/>
      <c r="B170" s="289"/>
      <c r="C170" s="289"/>
      <c r="D170" s="289"/>
      <c r="E170" s="289"/>
      <c r="F170" s="289"/>
      <c r="G170" s="289"/>
      <c r="H170" s="289"/>
      <c r="I170" s="289"/>
      <c r="J170" s="289"/>
      <c r="K170" s="289"/>
      <c r="L170" s="305"/>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row>
    <row r="171" spans="1:52" x14ac:dyDescent="0.5">
      <c r="A171" s="289"/>
      <c r="B171" s="289"/>
      <c r="C171" s="289"/>
      <c r="D171" s="289"/>
      <c r="E171" s="289"/>
      <c r="F171" s="289"/>
      <c r="G171" s="289"/>
      <c r="H171" s="289"/>
      <c r="I171" s="289"/>
      <c r="J171" s="289"/>
      <c r="K171" s="289"/>
      <c r="L171" s="305"/>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c r="AQ171" s="289"/>
      <c r="AR171" s="289"/>
      <c r="AS171" s="289"/>
      <c r="AT171" s="289"/>
      <c r="AU171" s="289"/>
      <c r="AV171" s="289"/>
      <c r="AW171" s="289"/>
      <c r="AX171" s="289"/>
      <c r="AY171" s="289"/>
      <c r="AZ171" s="289"/>
    </row>
    <row r="172" spans="1:52" x14ac:dyDescent="0.5">
      <c r="A172" s="289"/>
      <c r="B172" s="289"/>
      <c r="C172" s="289"/>
      <c r="D172" s="289"/>
      <c r="E172" s="289"/>
      <c r="F172" s="289"/>
      <c r="G172" s="289"/>
      <c r="H172" s="289"/>
      <c r="I172" s="289"/>
      <c r="J172" s="289"/>
      <c r="K172" s="289"/>
      <c r="L172" s="305"/>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row>
    <row r="173" spans="1:52" x14ac:dyDescent="0.5">
      <c r="A173" s="289"/>
      <c r="B173" s="289"/>
      <c r="C173" s="289"/>
      <c r="D173" s="289"/>
      <c r="E173" s="289"/>
      <c r="F173" s="289"/>
      <c r="G173" s="289"/>
      <c r="H173" s="289"/>
      <c r="I173" s="289"/>
      <c r="J173" s="289"/>
      <c r="K173" s="289"/>
      <c r="L173" s="305"/>
      <c r="M173" s="289"/>
      <c r="N173" s="289"/>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row>
    <row r="174" spans="1:52" x14ac:dyDescent="0.5">
      <c r="A174" s="289"/>
      <c r="B174" s="289"/>
      <c r="C174" s="289"/>
      <c r="D174" s="289"/>
      <c r="E174" s="289"/>
      <c r="F174" s="289"/>
      <c r="G174" s="289"/>
      <c r="H174" s="289"/>
      <c r="I174" s="289"/>
      <c r="J174" s="289"/>
      <c r="K174" s="289"/>
      <c r="L174" s="305"/>
      <c r="M174" s="289"/>
      <c r="N174" s="289"/>
      <c r="O174" s="289"/>
      <c r="P174" s="289"/>
      <c r="Q174" s="289"/>
      <c r="R174" s="289"/>
      <c r="S174" s="289"/>
      <c r="T174" s="289"/>
      <c r="U174" s="289"/>
      <c r="V174" s="289"/>
      <c r="W174" s="289"/>
      <c r="X174" s="289"/>
      <c r="Y174" s="289"/>
      <c r="Z174" s="289"/>
      <c r="AA174" s="289"/>
      <c r="AB174" s="289"/>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row>
    <row r="175" spans="1:52" x14ac:dyDescent="0.5">
      <c r="A175" s="289"/>
      <c r="B175" s="289"/>
      <c r="C175" s="289"/>
      <c r="D175" s="289"/>
      <c r="E175" s="289"/>
      <c r="F175" s="289"/>
      <c r="G175" s="289"/>
      <c r="H175" s="289"/>
      <c r="I175" s="289"/>
      <c r="J175" s="289"/>
      <c r="K175" s="289"/>
      <c r="L175" s="305"/>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row>
    <row r="176" spans="1:52" x14ac:dyDescent="0.5">
      <c r="A176" s="289"/>
      <c r="B176" s="289"/>
      <c r="C176" s="289"/>
      <c r="D176" s="289"/>
      <c r="E176" s="289"/>
      <c r="F176" s="289"/>
      <c r="G176" s="289"/>
      <c r="H176" s="289"/>
      <c r="I176" s="289"/>
      <c r="J176" s="289"/>
      <c r="K176" s="289"/>
      <c r="L176" s="305"/>
      <c r="M176" s="289"/>
      <c r="N176" s="289"/>
      <c r="O176" s="289"/>
      <c r="P176" s="289"/>
      <c r="Q176" s="289"/>
      <c r="R176" s="289"/>
      <c r="S176" s="289"/>
      <c r="T176" s="289"/>
      <c r="U176" s="289"/>
      <c r="V176" s="289"/>
      <c r="W176" s="289"/>
      <c r="X176" s="289"/>
      <c r="Y176" s="289"/>
      <c r="Z176" s="289"/>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row>
    <row r="177" spans="1:52" x14ac:dyDescent="0.5">
      <c r="A177" s="289"/>
      <c r="B177" s="289"/>
      <c r="C177" s="289"/>
      <c r="D177" s="289"/>
      <c r="E177" s="289"/>
      <c r="F177" s="289"/>
      <c r="G177" s="289"/>
      <c r="H177" s="289"/>
      <c r="I177" s="289"/>
      <c r="J177" s="289"/>
      <c r="K177" s="289"/>
      <c r="L177" s="305"/>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row>
    <row r="178" spans="1:52" x14ac:dyDescent="0.5">
      <c r="A178" s="289"/>
      <c r="B178" s="289"/>
      <c r="C178" s="289"/>
      <c r="D178" s="289"/>
      <c r="E178" s="289"/>
      <c r="F178" s="289"/>
      <c r="G178" s="289"/>
      <c r="H178" s="289"/>
      <c r="I178" s="289"/>
      <c r="J178" s="289"/>
      <c r="K178" s="289"/>
      <c r="L178" s="305"/>
      <c r="M178" s="289"/>
      <c r="N178" s="289"/>
      <c r="O178" s="289"/>
      <c r="P178" s="289"/>
      <c r="Q178" s="289"/>
      <c r="R178" s="289"/>
      <c r="S178" s="289"/>
      <c r="T178" s="289"/>
      <c r="U178" s="289"/>
      <c r="V178" s="289"/>
      <c r="W178" s="289"/>
      <c r="X178" s="289"/>
      <c r="Y178" s="289"/>
      <c r="Z178" s="289"/>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row>
    <row r="179" spans="1:52" x14ac:dyDescent="0.5">
      <c r="A179" s="289"/>
      <c r="B179" s="289"/>
      <c r="C179" s="289"/>
      <c r="D179" s="289"/>
      <c r="E179" s="289"/>
      <c r="F179" s="289"/>
      <c r="G179" s="289"/>
      <c r="H179" s="289"/>
      <c r="I179" s="289"/>
      <c r="J179" s="289"/>
      <c r="K179" s="289"/>
      <c r="L179" s="305"/>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row>
    <row r="180" spans="1:52" x14ac:dyDescent="0.5">
      <c r="A180" s="289"/>
      <c r="B180" s="289"/>
      <c r="C180" s="289"/>
      <c r="D180" s="289"/>
      <c r="E180" s="289"/>
      <c r="F180" s="289"/>
      <c r="G180" s="289"/>
      <c r="H180" s="289"/>
      <c r="I180" s="289"/>
      <c r="J180" s="289"/>
      <c r="K180" s="289"/>
      <c r="L180" s="305"/>
      <c r="M180" s="289"/>
      <c r="N180" s="289"/>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row>
    <row r="181" spans="1:52" x14ac:dyDescent="0.5">
      <c r="A181" s="289"/>
      <c r="B181" s="289"/>
      <c r="C181" s="289"/>
      <c r="D181" s="289"/>
      <c r="E181" s="289"/>
      <c r="F181" s="289"/>
      <c r="G181" s="289"/>
      <c r="H181" s="289"/>
      <c r="I181" s="289"/>
      <c r="J181" s="289"/>
      <c r="K181" s="289"/>
      <c r="L181" s="305"/>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row>
    <row r="182" spans="1:52" x14ac:dyDescent="0.5">
      <c r="A182" s="289"/>
      <c r="B182" s="289"/>
      <c r="C182" s="289"/>
      <c r="D182" s="289"/>
      <c r="E182" s="289"/>
      <c r="F182" s="289"/>
      <c r="G182" s="289"/>
      <c r="H182" s="289"/>
      <c r="I182" s="289"/>
      <c r="J182" s="289"/>
      <c r="K182" s="289"/>
      <c r="L182" s="305"/>
      <c r="M182" s="289"/>
      <c r="N182" s="289"/>
      <c r="O182" s="289"/>
      <c r="P182" s="289"/>
      <c r="Q182" s="289"/>
      <c r="R182" s="289"/>
      <c r="S182" s="289"/>
      <c r="T182" s="289"/>
      <c r="U182" s="289"/>
      <c r="V182" s="289"/>
      <c r="W182" s="289"/>
      <c r="X182" s="289"/>
      <c r="Y182" s="289"/>
      <c r="Z182" s="289"/>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row>
    <row r="183" spans="1:52" x14ac:dyDescent="0.5">
      <c r="A183" s="289"/>
      <c r="B183" s="289"/>
      <c r="C183" s="289"/>
      <c r="D183" s="289"/>
      <c r="E183" s="289"/>
      <c r="F183" s="289"/>
      <c r="G183" s="289"/>
      <c r="H183" s="289"/>
      <c r="I183" s="289"/>
      <c r="J183" s="289"/>
      <c r="K183" s="289"/>
      <c r="L183" s="305"/>
      <c r="M183" s="289"/>
      <c r="N183" s="289"/>
      <c r="O183" s="289"/>
      <c r="P183" s="289"/>
      <c r="Q183" s="289"/>
      <c r="R183" s="289"/>
      <c r="S183" s="289"/>
      <c r="T183" s="289"/>
      <c r="U183" s="289"/>
      <c r="V183" s="289"/>
      <c r="W183" s="289"/>
      <c r="X183" s="289"/>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row>
    <row r="184" spans="1:52" x14ac:dyDescent="0.5">
      <c r="A184" s="289"/>
      <c r="B184" s="289"/>
      <c r="C184" s="289"/>
      <c r="D184" s="289"/>
      <c r="E184" s="289"/>
      <c r="F184" s="289"/>
      <c r="G184" s="289"/>
      <c r="H184" s="289"/>
      <c r="I184" s="289"/>
      <c r="J184" s="289"/>
      <c r="K184" s="289"/>
      <c r="L184" s="305"/>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row>
    <row r="185" spans="1:52" x14ac:dyDescent="0.5">
      <c r="A185" s="289"/>
      <c r="B185" s="289"/>
      <c r="C185" s="289"/>
      <c r="D185" s="289"/>
      <c r="E185" s="289"/>
      <c r="F185" s="289"/>
      <c r="G185" s="289"/>
      <c r="H185" s="289"/>
      <c r="I185" s="289"/>
      <c r="J185" s="289"/>
      <c r="K185" s="289"/>
      <c r="L185" s="305"/>
      <c r="M185" s="289"/>
      <c r="N185" s="289"/>
      <c r="O185" s="289"/>
      <c r="P185" s="289"/>
      <c r="Q185" s="289"/>
      <c r="R185" s="289"/>
      <c r="S185" s="289"/>
      <c r="T185" s="289"/>
      <c r="U185" s="289"/>
      <c r="V185" s="289"/>
      <c r="W185" s="289"/>
      <c r="X185" s="289"/>
      <c r="Y185" s="289"/>
      <c r="Z185" s="289"/>
      <c r="AA185" s="289"/>
      <c r="AB185" s="289"/>
      <c r="AC185" s="289"/>
      <c r="AD185" s="289"/>
      <c r="AE185" s="289"/>
      <c r="AF185" s="289"/>
      <c r="AG185" s="289"/>
      <c r="AH185" s="289"/>
      <c r="AI185" s="289"/>
      <c r="AJ185" s="289"/>
      <c r="AK185" s="289"/>
      <c r="AL185" s="289"/>
      <c r="AM185" s="289"/>
      <c r="AN185" s="289"/>
      <c r="AO185" s="289"/>
      <c r="AP185" s="289"/>
      <c r="AQ185" s="289"/>
      <c r="AR185" s="289"/>
      <c r="AS185" s="289"/>
      <c r="AT185" s="289"/>
      <c r="AU185" s="289"/>
      <c r="AV185" s="289"/>
      <c r="AW185" s="289"/>
      <c r="AX185" s="289"/>
      <c r="AY185" s="289"/>
      <c r="AZ185" s="289"/>
    </row>
    <row r="186" spans="1:52" x14ac:dyDescent="0.5">
      <c r="A186" s="289"/>
      <c r="B186" s="289"/>
      <c r="C186" s="289"/>
      <c r="D186" s="289"/>
      <c r="E186" s="289"/>
      <c r="F186" s="289"/>
      <c r="G186" s="289"/>
      <c r="H186" s="289"/>
      <c r="I186" s="289"/>
      <c r="J186" s="289"/>
      <c r="K186" s="289"/>
      <c r="L186" s="305"/>
      <c r="M186" s="289"/>
      <c r="N186" s="289"/>
      <c r="O186" s="289"/>
      <c r="P186" s="289"/>
      <c r="Q186" s="289"/>
      <c r="R186" s="289"/>
      <c r="S186" s="289"/>
      <c r="T186" s="289"/>
      <c r="U186" s="289"/>
      <c r="V186" s="289"/>
      <c r="W186" s="289"/>
      <c r="X186" s="289"/>
      <c r="Y186" s="289"/>
      <c r="Z186" s="289"/>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row>
    <row r="187" spans="1:52" x14ac:dyDescent="0.5">
      <c r="A187" s="289"/>
      <c r="B187" s="289"/>
      <c r="C187" s="289"/>
      <c r="D187" s="289"/>
      <c r="E187" s="289"/>
      <c r="F187" s="289"/>
      <c r="G187" s="289"/>
      <c r="H187" s="289"/>
      <c r="I187" s="289"/>
      <c r="J187" s="289"/>
      <c r="K187" s="289"/>
      <c r="L187" s="305"/>
      <c r="M187" s="289"/>
      <c r="N187" s="289"/>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row>
    <row r="188" spans="1:52" x14ac:dyDescent="0.5">
      <c r="A188" s="289"/>
      <c r="B188" s="289"/>
      <c r="C188" s="289"/>
      <c r="D188" s="289"/>
      <c r="E188" s="289"/>
      <c r="F188" s="289"/>
      <c r="G188" s="289"/>
      <c r="H188" s="289"/>
      <c r="I188" s="289"/>
      <c r="J188" s="289"/>
      <c r="K188" s="289"/>
      <c r="L188" s="305"/>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row>
    <row r="189" spans="1:52" x14ac:dyDescent="0.5">
      <c r="A189" s="289"/>
      <c r="B189" s="289"/>
      <c r="C189" s="289"/>
      <c r="D189" s="289"/>
      <c r="E189" s="289"/>
      <c r="F189" s="289"/>
      <c r="G189" s="289"/>
      <c r="H189" s="289"/>
      <c r="I189" s="289"/>
      <c r="J189" s="289"/>
      <c r="K189" s="289"/>
      <c r="L189" s="305"/>
      <c r="M189" s="289"/>
      <c r="N189" s="289"/>
      <c r="O189" s="289"/>
      <c r="P189" s="289"/>
      <c r="Q189" s="289"/>
      <c r="R189" s="289"/>
      <c r="S189" s="289"/>
      <c r="T189" s="289"/>
      <c r="U189" s="289"/>
      <c r="V189" s="289"/>
      <c r="W189" s="289"/>
      <c r="X189" s="289"/>
      <c r="Y189" s="289"/>
      <c r="Z189" s="289"/>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row>
    <row r="190" spans="1:52" x14ac:dyDescent="0.5">
      <c r="A190" s="289"/>
      <c r="B190" s="289"/>
      <c r="C190" s="289"/>
      <c r="D190" s="289"/>
      <c r="E190" s="289"/>
      <c r="F190" s="289"/>
      <c r="G190" s="289"/>
      <c r="H190" s="289"/>
      <c r="I190" s="289"/>
      <c r="J190" s="289"/>
      <c r="K190" s="289"/>
      <c r="L190" s="305"/>
      <c r="M190" s="289"/>
      <c r="N190" s="289"/>
      <c r="O190" s="289"/>
      <c r="P190" s="289"/>
      <c r="Q190" s="289"/>
      <c r="R190" s="289"/>
      <c r="S190" s="289"/>
      <c r="T190" s="289"/>
      <c r="U190" s="289"/>
      <c r="V190" s="289"/>
      <c r="W190" s="289"/>
      <c r="X190" s="289"/>
      <c r="Y190" s="289"/>
      <c r="Z190" s="289"/>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row>
    <row r="191" spans="1:52" x14ac:dyDescent="0.5">
      <c r="A191" s="289"/>
      <c r="B191" s="289"/>
      <c r="C191" s="289"/>
      <c r="D191" s="289"/>
      <c r="E191" s="289"/>
      <c r="F191" s="289"/>
      <c r="G191" s="289"/>
      <c r="H191" s="289"/>
      <c r="I191" s="289"/>
      <c r="J191" s="289"/>
      <c r="K191" s="289"/>
      <c r="L191" s="305"/>
      <c r="M191" s="289"/>
      <c r="N191" s="289"/>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row>
    <row r="192" spans="1:52" x14ac:dyDescent="0.5">
      <c r="A192" s="289"/>
      <c r="B192" s="289"/>
      <c r="C192" s="289"/>
      <c r="D192" s="289"/>
      <c r="E192" s="289"/>
      <c r="F192" s="289"/>
      <c r="G192" s="289"/>
      <c r="H192" s="289"/>
      <c r="I192" s="289"/>
      <c r="J192" s="289"/>
      <c r="K192" s="289"/>
      <c r="L192" s="305"/>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row>
    <row r="193" spans="1:52" x14ac:dyDescent="0.5">
      <c r="A193" s="289"/>
      <c r="B193" s="289"/>
      <c r="C193" s="289"/>
      <c r="D193" s="289"/>
      <c r="E193" s="289"/>
      <c r="F193" s="289"/>
      <c r="G193" s="289"/>
      <c r="H193" s="289"/>
      <c r="I193" s="289"/>
      <c r="J193" s="289"/>
      <c r="K193" s="289"/>
      <c r="L193" s="305"/>
      <c r="M193" s="289"/>
      <c r="N193" s="289"/>
      <c r="O193" s="289"/>
      <c r="P193" s="289"/>
      <c r="Q193" s="289"/>
      <c r="R193" s="289"/>
      <c r="S193" s="289"/>
      <c r="T193" s="289"/>
      <c r="U193" s="289"/>
      <c r="V193" s="289"/>
      <c r="W193" s="289"/>
      <c r="X193" s="289"/>
      <c r="Y193" s="289"/>
      <c r="Z193" s="289"/>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row>
    <row r="194" spans="1:52" x14ac:dyDescent="0.5">
      <c r="A194" s="289"/>
      <c r="B194" s="289"/>
      <c r="C194" s="289"/>
      <c r="D194" s="289"/>
      <c r="E194" s="289"/>
      <c r="F194" s="289"/>
      <c r="G194" s="289"/>
      <c r="H194" s="289"/>
      <c r="I194" s="289"/>
      <c r="J194" s="289"/>
      <c r="K194" s="289"/>
      <c r="L194" s="305"/>
      <c r="M194" s="289"/>
      <c r="N194" s="289"/>
      <c r="O194" s="289"/>
      <c r="P194" s="289"/>
      <c r="Q194" s="289"/>
      <c r="R194" s="289"/>
      <c r="S194" s="289"/>
      <c r="T194" s="289"/>
      <c r="U194" s="289"/>
      <c r="V194" s="289"/>
      <c r="W194" s="289"/>
      <c r="X194" s="289"/>
      <c r="Y194" s="289"/>
      <c r="Z194" s="289"/>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row>
    <row r="195" spans="1:52" x14ac:dyDescent="0.5">
      <c r="A195" s="289"/>
      <c r="B195" s="289"/>
      <c r="C195" s="289"/>
      <c r="D195" s="289"/>
      <c r="E195" s="289"/>
      <c r="F195" s="289"/>
      <c r="G195" s="289"/>
      <c r="H195" s="289"/>
      <c r="I195" s="289"/>
      <c r="J195" s="289"/>
      <c r="K195" s="289"/>
      <c r="L195" s="305"/>
      <c r="M195" s="289"/>
      <c r="N195" s="289"/>
      <c r="O195" s="289"/>
      <c r="P195" s="289"/>
      <c r="Q195" s="289"/>
      <c r="R195" s="289"/>
      <c r="S195" s="289"/>
      <c r="T195" s="289"/>
      <c r="U195" s="289"/>
      <c r="V195" s="289"/>
      <c r="W195" s="289"/>
      <c r="X195" s="289"/>
      <c r="Y195" s="289"/>
      <c r="Z195" s="289"/>
      <c r="AA195" s="289"/>
      <c r="AB195" s="289"/>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row>
    <row r="196" spans="1:52" x14ac:dyDescent="0.5">
      <c r="A196" s="289"/>
      <c r="B196" s="289"/>
      <c r="C196" s="289"/>
      <c r="D196" s="289"/>
      <c r="E196" s="289"/>
      <c r="F196" s="289"/>
      <c r="G196" s="289"/>
      <c r="H196" s="289"/>
      <c r="I196" s="289"/>
      <c r="J196" s="289"/>
      <c r="K196" s="289"/>
      <c r="L196" s="305"/>
      <c r="M196" s="289"/>
      <c r="N196" s="289"/>
      <c r="O196" s="289"/>
      <c r="P196" s="289"/>
      <c r="Q196" s="289"/>
      <c r="R196" s="289"/>
      <c r="S196" s="289"/>
      <c r="T196" s="289"/>
      <c r="U196" s="289"/>
      <c r="V196" s="289"/>
      <c r="W196" s="289"/>
      <c r="X196" s="289"/>
      <c r="Y196" s="289"/>
      <c r="Z196" s="289"/>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row>
    <row r="197" spans="1:52" x14ac:dyDescent="0.5">
      <c r="A197" s="289"/>
      <c r="B197" s="289"/>
      <c r="C197" s="289"/>
      <c r="D197" s="289"/>
      <c r="E197" s="289"/>
      <c r="F197" s="289"/>
      <c r="G197" s="289"/>
      <c r="H197" s="289"/>
      <c r="I197" s="289"/>
      <c r="J197" s="289"/>
      <c r="K197" s="289"/>
      <c r="L197" s="305"/>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row>
    <row r="198" spans="1:52" x14ac:dyDescent="0.5">
      <c r="A198" s="289"/>
      <c r="B198" s="289"/>
      <c r="C198" s="289"/>
      <c r="D198" s="289"/>
      <c r="E198" s="289"/>
      <c r="F198" s="289"/>
      <c r="G198" s="289"/>
      <c r="H198" s="289"/>
      <c r="I198" s="289"/>
      <c r="J198" s="289"/>
      <c r="K198" s="289"/>
      <c r="L198" s="305"/>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row>
    <row r="199" spans="1:52" x14ac:dyDescent="0.5">
      <c r="A199" s="289"/>
      <c r="B199" s="289"/>
      <c r="C199" s="289"/>
      <c r="D199" s="289"/>
      <c r="E199" s="289"/>
      <c r="F199" s="289"/>
      <c r="G199" s="289"/>
      <c r="H199" s="289"/>
      <c r="I199" s="289"/>
      <c r="J199" s="289"/>
      <c r="K199" s="289"/>
      <c r="L199" s="305"/>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row>
    <row r="200" spans="1:52" x14ac:dyDescent="0.5">
      <c r="A200" s="289"/>
      <c r="B200" s="289"/>
      <c r="C200" s="289"/>
      <c r="D200" s="289"/>
      <c r="E200" s="289"/>
      <c r="F200" s="289"/>
      <c r="G200" s="289"/>
      <c r="H200" s="289"/>
      <c r="I200" s="289"/>
      <c r="J200" s="289"/>
      <c r="K200" s="289"/>
      <c r="L200" s="305"/>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row>
  </sheetData>
  <sheetProtection algorithmName="SHA-512" hashValue="B7GMhMgzT6qjfRoObvUkEJvxdDav7U3rDFZxj5d8u47jl7T4YQzYq2GsB9t/mUvVR3PYEkDTUlZ7TgCYM5XqBQ==" saltValue="s2yIvp6XIuRuHHUfMlWqkA==" spinCount="100000" sheet="1" objects="1" scenarios="1"/>
  <mergeCells count="19">
    <mergeCell ref="N8:O8"/>
    <mergeCell ref="N29:O29"/>
    <mergeCell ref="M4:S5"/>
    <mergeCell ref="M13:S14"/>
    <mergeCell ref="N15:O15"/>
    <mergeCell ref="P8:Q8"/>
    <mergeCell ref="R8:S8"/>
    <mergeCell ref="N6:O6"/>
    <mergeCell ref="P6:Q6"/>
    <mergeCell ref="R6:S6"/>
    <mergeCell ref="R29:S29"/>
    <mergeCell ref="R15:S15"/>
    <mergeCell ref="P15:Q15"/>
    <mergeCell ref="P29:Q29"/>
    <mergeCell ref="J1:J3"/>
    <mergeCell ref="K1:K3"/>
    <mergeCell ref="B4:C5"/>
    <mergeCell ref="E4:F5"/>
    <mergeCell ref="H4:K5"/>
  </mergeCells>
  <conditionalFormatting sqref="N25:N26">
    <cfRule type="expression" dxfId="215" priority="17">
      <formula>N25&lt;&gt;""</formula>
    </cfRule>
  </conditionalFormatting>
  <conditionalFormatting sqref="N29">
    <cfRule type="expression" dxfId="214" priority="21">
      <formula>#REF!="Ambulant"</formula>
    </cfRule>
  </conditionalFormatting>
  <conditionalFormatting sqref="N8:S8">
    <cfRule type="expression" dxfId="213" priority="5">
      <formula>N5="Ambulant"</formula>
    </cfRule>
  </conditionalFormatting>
  <conditionalFormatting sqref="O16:O23 O28">
    <cfRule type="expression" dxfId="212" priority="18">
      <formula>O16&lt;&gt;""</formula>
    </cfRule>
  </conditionalFormatting>
  <conditionalFormatting sqref="O24">
    <cfRule type="expression" dxfId="211" priority="20">
      <formula>O24&lt;&gt;""</formula>
    </cfRule>
  </conditionalFormatting>
  <conditionalFormatting sqref="O27">
    <cfRule type="expression" dxfId="210" priority="19">
      <formula>O27&lt;&gt;""</formula>
    </cfRule>
  </conditionalFormatting>
  <conditionalFormatting sqref="P25:P26">
    <cfRule type="expression" dxfId="209" priority="12">
      <formula>P25&lt;&gt;""</formula>
    </cfRule>
  </conditionalFormatting>
  <conditionalFormatting sqref="P29">
    <cfRule type="expression" dxfId="208" priority="16">
      <formula>#REF!="Ambulant"</formula>
    </cfRule>
  </conditionalFormatting>
  <conditionalFormatting sqref="Q16:Q23 Q28">
    <cfRule type="expression" dxfId="207" priority="13">
      <formula>Q16&lt;&gt;""</formula>
    </cfRule>
  </conditionalFormatting>
  <conditionalFormatting sqref="Q24">
    <cfRule type="expression" dxfId="206" priority="15">
      <formula>Q24&lt;&gt;""</formula>
    </cfRule>
  </conditionalFormatting>
  <conditionalFormatting sqref="Q27">
    <cfRule type="expression" dxfId="205" priority="14">
      <formula>Q27&lt;&gt;""</formula>
    </cfRule>
  </conditionalFormatting>
  <conditionalFormatting sqref="R25:R26">
    <cfRule type="expression" dxfId="204" priority="7">
      <formula>R25&lt;&gt;""</formula>
    </cfRule>
  </conditionalFormatting>
  <conditionalFormatting sqref="R29">
    <cfRule type="expression" dxfId="203" priority="11">
      <formula>#REF!="Ambulant"</formula>
    </cfRule>
  </conditionalFormatting>
  <conditionalFormatting sqref="S16:S23 S28">
    <cfRule type="expression" dxfId="202" priority="8">
      <formula>S16&lt;&gt;""</formula>
    </cfRule>
  </conditionalFormatting>
  <conditionalFormatting sqref="S24">
    <cfRule type="expression" dxfId="201" priority="10">
      <formula>S24&lt;&gt;""</formula>
    </cfRule>
  </conditionalFormatting>
  <conditionalFormatting sqref="S27">
    <cfRule type="expression" dxfId="200" priority="9">
      <formula>S27&lt;&gt;""</formula>
    </cfRule>
  </conditionalFormatting>
  <dataValidations count="1">
    <dataValidation type="list" allowBlank="1" showInputMessage="1" showErrorMessage="1" sqref="C8" xr:uid="{00000000-0002-0000-0900-000000000000}">
      <formula1>"GGZ, GHZ, Jeugdzorg, Sociaal Werk"</formula1>
    </dataValidation>
  </dataValidations>
  <pageMargins left="0.7" right="0.7" top="0.75" bottom="0.75" header="0.3" footer="0.3"/>
  <pageSetup paperSize="9" orientation="portrait" r:id="rId1"/>
  <ignoredErrors>
    <ignoredError sqref="O25:Q26 R25:R2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6275" r:id="rId4" name="Check Box 19">
              <controlPr defaultSize="0" autoFill="0" autoLine="0" autoPict="0">
                <anchor moveWithCells="1">
                  <from>
                    <xdr:col>3</xdr:col>
                    <xdr:colOff>876300</xdr:colOff>
                    <xdr:row>6</xdr:row>
                    <xdr:rowOff>0</xdr:rowOff>
                  </from>
                  <to>
                    <xdr:col>3</xdr:col>
                    <xdr:colOff>1081088</xdr:colOff>
                    <xdr:row>7</xdr:row>
                    <xdr:rowOff>38100</xdr:rowOff>
                  </to>
                </anchor>
              </controlPr>
            </control>
          </mc:Choice>
        </mc:AlternateContent>
        <mc:AlternateContent xmlns:mc="http://schemas.openxmlformats.org/markup-compatibility/2006">
          <mc:Choice Requires="x14">
            <control shapeId="96276" r:id="rId5" name="Check Box 20">
              <controlPr defaultSize="0" autoFill="0" autoLine="0" autoPict="0">
                <anchor moveWithCells="1">
                  <from>
                    <xdr:col>3</xdr:col>
                    <xdr:colOff>876300</xdr:colOff>
                    <xdr:row>6</xdr:row>
                    <xdr:rowOff>171450</xdr:rowOff>
                  </from>
                  <to>
                    <xdr:col>3</xdr:col>
                    <xdr:colOff>1081088</xdr:colOff>
                    <xdr:row>8</xdr:row>
                    <xdr:rowOff>23813</xdr:rowOff>
                  </to>
                </anchor>
              </controlPr>
            </control>
          </mc:Choice>
        </mc:AlternateContent>
        <mc:AlternateContent xmlns:mc="http://schemas.openxmlformats.org/markup-compatibility/2006">
          <mc:Choice Requires="x14">
            <control shapeId="96277" r:id="rId6" name="Check Box 21">
              <controlPr defaultSize="0" autoFill="0" autoLine="0" autoPict="0">
                <anchor moveWithCells="1">
                  <from>
                    <xdr:col>3</xdr:col>
                    <xdr:colOff>876300</xdr:colOff>
                    <xdr:row>7</xdr:row>
                    <xdr:rowOff>171450</xdr:rowOff>
                  </from>
                  <to>
                    <xdr:col>4</xdr:col>
                    <xdr:colOff>4763</xdr:colOff>
                    <xdr:row>9</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E446EC41-47B6-4C4F-86AF-1344ADBD41E8}">
            <xm:f>'Hulp (control forms)'!$F$6&lt;&gt;TRUE</xm:f>
            <x14:dxf>
              <font>
                <color theme="6" tint="0.59996337778862885"/>
              </font>
              <fill>
                <patternFill>
                  <bgColor theme="6" tint="0.59996337778862885"/>
                </patternFill>
              </fill>
            </x14:dxf>
          </x14:cfRule>
          <xm:sqref>I8:I9 I11:I12 I14:I16 I18:I20 I22:I25 I27:I28 I30:I32</xm:sqref>
        </x14:conditionalFormatting>
        <x14:conditionalFormatting xmlns:xm="http://schemas.microsoft.com/office/excel/2006/main">
          <x14:cfRule type="expression" priority="2" id="{98348A9F-69BA-4C5F-BF4A-BB8F3709438D}">
            <xm:f>AND(     IF('Hulp (control forms)'!$F$6,        SUMPRODUCT((ROW(I8:I32)&lt;&gt;10)*(ROW(I8:I32)&lt;&gt;13)*(ROW(I8:I32)&lt;&gt;17)*(ROW(I8:I32)&lt;&gt;21)*(ROW(I8:I32)&lt;&gt;26)*(ROW(I8:I32)&lt;&gt;29)*(I8:I32=""))=0,        TRUE),     IF('Hulp (control forms)'!$F$7,        SUMPRODUCT((ROW(J8:J32)&lt;&gt;10)*(ROW(J8:J32)&lt;&gt;13)*(ROW(J8:J32)&lt;&gt;17)*(ROW(J8:J32)&lt;&gt;21)*(ROW(J8:J32)&lt;&gt;26)*(ROW(J8:J32)&lt;&gt;29)*(J8:J32=""))=0,        TRUE),     IF('Hulp (control forms)'!$F$8,        SUMPRODUCT((ROW(K8:K32)&lt;&gt;10)*(ROW(K8:K32)&lt;&gt;13)*(ROW(K8:K32)&lt;&gt;17)*(ROW(K8:K32)&lt;&gt;21)*(ROW(K8:K32)&lt;&gt;26)*(ROW(K8:K32)&lt;&gt;29)*(K8:K32=""))=0,        TRUE) )</xm:f>
            <x14:dxf>
              <font>
                <color theme="0"/>
              </font>
            </x14:dxf>
          </x14:cfRule>
          <xm:sqref>J1:J3</xm:sqref>
        </x14:conditionalFormatting>
        <x14:conditionalFormatting xmlns:xm="http://schemas.microsoft.com/office/excel/2006/main">
          <x14:cfRule type="expression" priority="24" id="{A09EB730-8E05-4585-8B3D-6D78789EAB06}">
            <xm:f>'Hulp (control forms)'!$F$7&lt;&gt;TRUE</xm:f>
            <x14:dxf>
              <font>
                <color theme="6" tint="0.59996337778862885"/>
              </font>
              <fill>
                <patternFill>
                  <bgColor theme="6" tint="0.59996337778862885"/>
                </patternFill>
              </fill>
            </x14:dxf>
          </x14:cfRule>
          <xm:sqref>J8:J9 J11:J12 J14:J16 J18:J20 J22:J25 J27:J28 J30:J32</xm:sqref>
        </x14:conditionalFormatting>
        <x14:conditionalFormatting xmlns:xm="http://schemas.microsoft.com/office/excel/2006/main">
          <x14:cfRule type="expression" priority="1" id="{A8106E84-8ACF-4300-A623-D13E8941CDBD}">
            <xm:f>AND(     IF('Hulp (control forms)'!$F$6,        SUMPRODUCT((ROW(I8:I32)&lt;&gt;10)*(ROW(I8:I32)&lt;&gt;13)*(ROW(I8:I32)&lt;&gt;17)*(ROW(I8:I32)&lt;&gt;21)*(ROW(I8:I32)&lt;&gt;26)*(ROW(I8:I32)&lt;&gt;29)*(I8:I32=""))=0,        TRUE),     IF('Hulp (control forms)'!$F$7,        SUMPRODUCT((ROW(J8:J32)&lt;&gt;10)*(ROW(J8:J32)&lt;&gt;13)*(ROW(J8:J32)&lt;&gt;17)*(ROW(J8:J32)&lt;&gt;21)*(ROW(J8:J32)&lt;&gt;26)*(ROW(J8:J32)&lt;&gt;29)*(J8:J32=""))=0,        TRUE),     IF('Hulp (control forms)'!$F$8,        SUMPRODUCT((ROW(K8:K32)&lt;&gt;10)*(ROW(K8:K32)&lt;&gt;13)*(ROW(K8:K32)&lt;&gt;17)*(ROW(K8:K32)&lt;&gt;21)*(ROW(K8:K32)&lt;&gt;26)*(ROW(K8:K32)&lt;&gt;29)*(K8:K32=""))=0,        TRUE) )</xm:f>
            <x14:dxf>
              <font>
                <color theme="0"/>
              </font>
            </x14:dxf>
          </x14:cfRule>
          <xm:sqref>K1:K3</xm:sqref>
        </x14:conditionalFormatting>
        <x14:conditionalFormatting xmlns:xm="http://schemas.microsoft.com/office/excel/2006/main">
          <x14:cfRule type="expression" priority="23" id="{9D121E36-6970-4EA4-BD2C-9821956785B3}">
            <xm:f>'Hulp (control forms)'!$F$8&lt;&gt;TRUE</xm:f>
            <x14:dxf>
              <font>
                <color theme="6" tint="0.59996337778862885"/>
              </font>
              <fill>
                <patternFill>
                  <bgColor theme="6" tint="0.59996337778862885"/>
                </patternFill>
              </fill>
            </x14:dxf>
          </x14:cfRule>
          <xm:sqref>K8:K9 K11:K12 K14:K16 K18:K20 K22:K25 K27:K28 K30:K32</xm:sqref>
        </x14:conditionalFormatting>
        <x14:conditionalFormatting xmlns:xm="http://schemas.microsoft.com/office/excel/2006/main">
          <x14:cfRule type="expression" priority="26" id="{A4E4E227-A9F6-41EC-81B4-C703C3216F4A}">
            <xm:f>NOT(OR(     AND('Hulp (control forms)'!$F$6=TRUE, I8=""),     AND('Hulp (control forms)'!$F$7=TRUE, J8=""),     AND('Hulp (control forms)'!$F$8=TRUE, K8="")  ) )</xm:f>
            <x14:dxf>
              <font>
                <color theme="0"/>
              </font>
            </x14:dxf>
          </x14:cfRule>
          <xm:sqref>L8:L9 L11:L12 L14:L16 L18:L20 L22:L25 L27:L28 L30:L32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249977111117893"/>
  </sheetPr>
  <dimension ref="B3:BD44"/>
  <sheetViews>
    <sheetView zoomScale="70" zoomScaleNormal="70" workbookViewId="0">
      <selection activeCell="C26" sqref="C26:D26"/>
    </sheetView>
  </sheetViews>
  <sheetFormatPr defaultColWidth="8.796875" defaultRowHeight="14.25" x14ac:dyDescent="0.45"/>
  <cols>
    <col min="2" max="2" width="42.33203125" customWidth="1"/>
    <col min="3" max="3" width="8.53125" customWidth="1"/>
    <col min="4" max="4" width="16.53125" customWidth="1"/>
    <col min="5" max="5" width="8.53125" customWidth="1"/>
    <col min="6" max="6" width="16.53125" customWidth="1"/>
    <col min="7" max="7" width="8.53125" customWidth="1"/>
    <col min="8" max="8" width="16.53125" customWidth="1"/>
    <col min="9" max="9" width="8.53125" customWidth="1"/>
    <col min="10" max="10" width="16.53125" customWidth="1"/>
    <col min="11" max="11" width="8.53125" customWidth="1"/>
    <col min="12" max="12" width="16.53125" customWidth="1"/>
    <col min="13" max="13" width="8.53125" customWidth="1"/>
    <col min="14" max="14" width="16.53125" customWidth="1"/>
    <col min="15" max="15" width="8.53125" customWidth="1"/>
    <col min="16" max="16" width="16.53125" customWidth="1"/>
    <col min="17" max="17" width="8.53125" customWidth="1"/>
    <col min="18" max="18" width="16.53125" customWidth="1"/>
    <col min="19" max="19" width="8.53125" customWidth="1"/>
    <col min="20" max="20" width="16.53125" customWidth="1"/>
    <col min="21" max="21" width="8.53125" customWidth="1"/>
    <col min="22" max="22" width="16.53125" customWidth="1"/>
    <col min="23" max="23" width="8.53125" customWidth="1"/>
    <col min="24" max="24" width="16.53125" customWidth="1"/>
    <col min="25" max="25" width="8.53125" customWidth="1"/>
    <col min="26" max="26" width="16.53125" customWidth="1"/>
    <col min="27" max="33" width="20.53125" customWidth="1"/>
  </cols>
  <sheetData>
    <row r="3" spans="2:56" ht="18" x14ac:dyDescent="0.55000000000000004">
      <c r="B3" s="46" t="s">
        <v>773</v>
      </c>
    </row>
    <row r="4" spans="2:56" ht="14.65" thickBot="1" x14ac:dyDescent="0.5"/>
    <row r="5" spans="2:56" ht="23.55" customHeight="1" x14ac:dyDescent="0.45">
      <c r="B5" s="125" t="s">
        <v>822</v>
      </c>
      <c r="C5" s="819" t="str">
        <f>C12</f>
        <v/>
      </c>
      <c r="D5" s="820"/>
      <c r="E5" s="819" t="str">
        <f>E12</f>
        <v/>
      </c>
      <c r="F5" s="820"/>
      <c r="G5" s="819" t="str">
        <f>G12</f>
        <v/>
      </c>
      <c r="H5" s="829"/>
    </row>
    <row r="6" spans="2:56" ht="25.05" customHeight="1" x14ac:dyDescent="0.45">
      <c r="B6" s="256" t="s">
        <v>945</v>
      </c>
      <c r="C6" s="257"/>
      <c r="D6" s="258" t="str">
        <f>IF(C12="","",
IFERROR(
    '2g. Output gezinshuis'!D15*7 /
        ( INDEX('3. Gezinshuis producten'!$I$14:$Z$14,1,1+INT((COLUMN()-COLUMN($D$1))/2)) / (365/7) )
    +
        INDEX('3. Gezinshuis producten'!$I$20:$Z$20,1,1+INT((COLUMN()-COLUMN($D$1))/2)) /
        INDEX('3. Gezinshuis producten'!$I$19:$Z$19,1,1+INT((COLUMN()-COLUMN($D$1))/2)) * 1878/36
    +
        1 /
        (
            INDEX('3. Gezinshuis producten'!$I$8:$Z$8,1,1+INT((COLUMN()-COLUMN($D$1))/2)) /
            INDEX('3. Gezinshuis producten'!$I$11:$Z$11,1,1+INT((COLUMN()-COLUMN($D$1))/2))
        ),
""))</f>
        <v/>
      </c>
      <c r="E6" s="257"/>
      <c r="F6" s="258" t="str">
        <f>IF(E12="","",
IFERROR(
    '2g. Output gezinshuis'!F15*7 /
        ( INDEX('3. Gezinshuis producten'!$I$14:$Z$14,1,1+INT((COLUMN()-COLUMN($D$1))/2)) / (365/7) )
    +
        INDEX('3. Gezinshuis producten'!$I$20:$Z$20,1,1+INT((COLUMN()-COLUMN($D$1))/2)) /
        INDEX('3. Gezinshuis producten'!$I$19:$Z$19,1,1+INT((COLUMN()-COLUMN($D$1))/2)) * 1878/36
    +
        1 /
        (
            INDEX('3. Gezinshuis producten'!$I$8:$Z$8,1,1+INT((COLUMN()-COLUMN($D$1))/2)) /
            INDEX('3. Gezinshuis producten'!$I$11:$Z$11,1,1+INT((COLUMN()-COLUMN($D$1))/2))
        ),
""))</f>
        <v/>
      </c>
      <c r="G6" s="257"/>
      <c r="H6" s="259" t="str">
        <f>IF(G12="","",
IFERROR(
    '2g. Output gezinshuis'!H15*7 /
        ( INDEX('3. Gezinshuis producten'!$I$14:$Z$14,1,1+INT((COLUMN()-COLUMN($D$1))/2)) / (365/7) )
    +
        INDEX('3. Gezinshuis producten'!$I$20:$Z$20,1,1+INT((COLUMN()-COLUMN($D$1))/2)) /
        INDEX('3. Gezinshuis producten'!$I$19:$Z$19,1,1+INT((COLUMN()-COLUMN($D$1))/2)) * 1878/36
    +
        1 /
        (
            INDEX('3. Gezinshuis producten'!$I$8:$Z$8,1,1+INT((COLUMN()-COLUMN($D$1))/2)) /
            INDEX('3. Gezinshuis producten'!$I$11:$Z$11,1,1+INT((COLUMN()-COLUMN($D$1))/2))
        ),
""))</f>
        <v/>
      </c>
    </row>
    <row r="7" spans="2:56" ht="25.05" customHeight="1" thickBot="1" x14ac:dyDescent="0.6">
      <c r="B7" s="183" t="str">
        <f>IF(
  OR(
    INDEX('3. Gezinshuis producten'!$AB:$AB, 7 + (COLUMN(A13) - 1)*0.5) = "",
    INDEX('3. Gezinshuis producten'!$AB:$AB, 7 + (COLUMN(A13) - 1)*0.5) = 0
  ),
  "",
  "Kostprijs " &amp; LOWER(INDEX('3. Gezinshuis producten'!$AB:$AB, 7 + (COLUMN(A13) - 1)*0.5)) &amp; ", per cliënt"
)</f>
        <v/>
      </c>
      <c r="C7" s="830" t="str">
        <f>C26</f>
        <v/>
      </c>
      <c r="D7" s="831"/>
      <c r="E7" s="830" t="str">
        <f>E26</f>
        <v/>
      </c>
      <c r="F7" s="831"/>
      <c r="G7" s="830" t="str">
        <f>G26</f>
        <v/>
      </c>
      <c r="H7" s="832"/>
    </row>
    <row r="8" spans="2:56" ht="31.05" customHeight="1" x14ac:dyDescent="0.45">
      <c r="B8" s="5"/>
      <c r="C8" s="823" t="str">
        <f>HYPERLINK("#'2t. Toelichting output'!B17", "Geef toelichting(en)")</f>
        <v>Geef toelichting(en)</v>
      </c>
      <c r="D8" s="824"/>
    </row>
    <row r="9" spans="2:56" ht="15.75" x14ac:dyDescent="0.5">
      <c r="B9" s="5"/>
      <c r="C9" s="177"/>
      <c r="D9" s="177"/>
      <c r="E9" s="177"/>
      <c r="F9" s="177"/>
      <c r="G9" s="177"/>
      <c r="H9" s="177"/>
    </row>
    <row r="10" spans="2:56" ht="18" x14ac:dyDescent="0.55000000000000004">
      <c r="B10" s="46" t="s">
        <v>851</v>
      </c>
    </row>
    <row r="11" spans="2:56" ht="14.65" thickBot="1" x14ac:dyDescent="0.5"/>
    <row r="12" spans="2:56" ht="23.55" customHeight="1" x14ac:dyDescent="0.45">
      <c r="B12" s="125" t="s">
        <v>822</v>
      </c>
      <c r="C12" s="816" t="str">
        <f>IF('Hulp (control forms)'!F6&lt;&gt;TRUE,"",'3. Gezinshuis producten'!I6)</f>
        <v/>
      </c>
      <c r="D12" s="828"/>
      <c r="E12" s="816" t="str">
        <f>IF('Hulp (control forms)'!F7&lt;&gt;TRUE,"",'3. Gezinshuis producten'!J6)</f>
        <v/>
      </c>
      <c r="F12" s="828"/>
      <c r="G12" s="816" t="str">
        <f>IF('Hulp (control forms)'!F8&lt;&gt;TRUE,"",'3. Gezinshuis producten'!K6)</f>
        <v/>
      </c>
      <c r="H12" s="822"/>
    </row>
    <row r="13" spans="2:56" s="5" customFormat="1" ht="14.55" customHeight="1" x14ac:dyDescent="0.45">
      <c r="B13" s="131" t="s">
        <v>831</v>
      </c>
      <c r="C13" s="128"/>
      <c r="D13" s="126" t="str">
        <f>IF(C12="","",
IFERROR(
    INDEX('3. Gezinshuis producten'!$I$12:$Z$12,1,1+INT((COLUMN()-COLUMN($D$1))/2)) *
    INDEX('3. Gezinshuis producten'!$I$11:$Z$11,1,1+INT((COLUMN()-COLUMN($D$1))/2)) /
    INDEX('3. Gezinshuis producten'!$I$8:$Z$8,1,1+INT((COLUMN()-COLUMN($D$1))/2)) / 365,
""))</f>
        <v/>
      </c>
      <c r="E13" s="28"/>
      <c r="F13" s="126" t="str">
        <f>IF(E12="","",
IFERROR(
    INDEX('3. Gezinshuis producten'!$I$12:$Z$12,1,1+INT((COLUMN()-COLUMN($D$1))/2)) *
    INDEX('3. Gezinshuis producten'!$I$11:$Z$11,1,1+INT((COLUMN()-COLUMN($D$1))/2)) /
    INDEX('3. Gezinshuis producten'!$I$8:$Z$8,1,1+INT((COLUMN()-COLUMN($D$1))/2)) / 365,
""))</f>
        <v/>
      </c>
      <c r="G13" s="28"/>
      <c r="H13" s="137" t="str">
        <f>IF(G12="","",
IFERROR(
    INDEX('3. Gezinshuis producten'!$I$12:$Z$12,1,1+INT((COLUMN()-COLUMN($D$1))/2)) *
    INDEX('3. Gezinshuis producten'!$I$11:$Z$11,1,1+INT((COLUMN()-COLUMN($D$1))/2)) /
    INDEX('3. Gezinshuis producten'!$I$8:$Z$8,1,1+INT((COLUMN()-COLUMN($D$1))/2)) / 365,
""))</f>
        <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row>
    <row r="14" spans="2:56" x14ac:dyDescent="0.45">
      <c r="B14" s="132" t="s">
        <v>830</v>
      </c>
      <c r="D14" s="127" t="str">
        <f>IF(C12="","",
IFERROR(
    INDEX('3. Gezinshuis producten'!$I$18:$Z$18,1,1+INT((COLUMN()-COLUMN($D$1))/2)) /
    INDEX('3. Gezinshuis producten'!$I$19:$Z$19,1,1+INT((COLUMN()-COLUMN($D$1))/2)) *
    INDEX('3. Gezinshuis producten'!$I$20:$Z$20,1,1+INT((COLUMN()-COLUMN($D$1))/2)) / 7,
""))</f>
        <v/>
      </c>
      <c r="E14" s="26"/>
      <c r="F14" s="127" t="str">
        <f>IF(E12="","",
IFERROR(
    INDEX('3. Gezinshuis producten'!$I$18:$Z$18,1,1+INT((COLUMN()-COLUMN($D$1))/2)) /
    INDEX('3. Gezinshuis producten'!$I$19:$Z$19,1,1+INT((COLUMN()-COLUMN($D$1))/2)) *
    INDEX('3. Gezinshuis producten'!$I$20:$Z$20,1,1+INT((COLUMN()-COLUMN($D$1))/2)) / 7,
""))</f>
        <v/>
      </c>
      <c r="G14" s="26"/>
      <c r="H14" s="138" t="str">
        <f>IF(G12="","",
IFERROR(
    INDEX('3. Gezinshuis producten'!$I$18:$Z$18,1,1+INT((COLUMN()-COLUMN($D$1))/2)) /
    INDEX('3. Gezinshuis producten'!$I$19:$Z$19,1,1+INT((COLUMN()-COLUMN($D$1))/2)) *
    INDEX('3. Gezinshuis producten'!$I$20:$Z$20,1,1+INT((COLUMN()-COLUMN($D$1))/2)) / 7,
""))</f>
        <v/>
      </c>
    </row>
    <row r="15" spans="2:56" x14ac:dyDescent="0.45">
      <c r="B15" s="132" t="s">
        <v>827</v>
      </c>
      <c r="D15" s="127" t="str">
        <f>IF(C12="","",
IFERROR(
(
    INDEX('3. Gezinshuis producten'!$I$16:$Z$16,1,1+INT((COLUMN()-COLUMN($D$1))/2)) /
    INDEX('3. Gezinshuis producten'!$I$15:$Z$15,1,1+INT((COLUMN()-COLUMN($D$1))/2))
) * 1878/36 *
(
    INDEX('3. Gezinshuis producten'!$I$14:$Z$14,1,1+INT((COLUMN()-COLUMN($D$1))/2))
) /365
+
IF(
(
    1/
    (INDEX('3. Gezinshuis producten'!$I$8:$Z$8,1,1+INT((COLUMN()-COLUMN($D$1))/2)) /
     INDEX('3. Gezinshuis producten'!$I$11:$Z$11,1,1+INT((COLUMN()-COLUMN($D$1))/2))
    )
    +
    INDEX('3. Gezinshuis producten'!$I$20:$Z$20,1,1+INT((COLUMN()-COLUMN($D$1))/2)) /
    INDEX('3. Gezinshuis producten'!$I$19:$Z$19,1,1+INT((COLUMN()-COLUMN($D$1))/2)) * 1878/36
    +
    INDEX('3. Gezinshuis producten'!$I$16:$Z$16,1,1+INT((COLUMN()-COLUMN($D$1))/2)) /
    INDEX('3. Gezinshuis producten'!$I$15:$Z$15,1,1+INT((COLUMN()-COLUMN($D$1))/2)) * 1878/36
) &lt;
INDEX('3. Gezinshuis producten'!$I$9:$Z$9,1,1+INT((COLUMN()-COLUMN($D$1))/2)),
(
    INDEX('3. Gezinshuis producten'!$I$9:$Z$9,1,1+INT((COLUMN()-COLUMN($D$1))/2))
    -
    (
        1/
        (INDEX('3. Gezinshuis producten'!$I$8:$Z$8,1,1+INT((COLUMN()-COLUMN($D$1))/2)) /
         INDEX('3. Gezinshuis producten'!$I$11:$Z$11,1,1+INT((COLUMN()-COLUMN($D$1))/2))
        )
        +
        INDEX('3. Gezinshuis producten'!$I$20:$Z$20,1,1+INT((COLUMN()-COLUMN($D$1))/2)) /
        (INDEX('3. Gezinshuis producten'!$I$8:$Z$8,1,1+INT((COLUMN()-COLUMN($D$1))/2)) /
         INDEX('3. Gezinshuis producten'!$I$11:$Z$11,1,1+INT((COLUMN()-COLUMN($D$1))/2))
        ) * 1878/36
        +
        INDEX('3. Gezinshuis producten'!$I$16:$Z$16,1,1+INT((COLUMN()-COLUMN($D$1))/2)) /
        INDEX('3. Gezinshuis producten'!$I$15:$Z$15,1,1+INT((COLUMN()-COLUMN($D$1))/2)) * 1878/36
    )
) *
INDEX('3. Gezinshuis producten'!$I$14:$Z$14,1,1+INT((COLUMN()-COLUMN($D$1))/2)) /365,
0),
""))</f>
        <v/>
      </c>
      <c r="E15" s="26"/>
      <c r="F15" s="127" t="str">
        <f>IF(E12="","",
IFERROR(
(
    INDEX('3. Gezinshuis producten'!$I$16:$Z$16,1,1+INT((COLUMN()-COLUMN($D$1))/2)) /
    INDEX('3. Gezinshuis producten'!$I$15:$Z$15,1,1+INT((COLUMN()-COLUMN($D$1))/2))
) * 1878/36 *
(
    INDEX('3. Gezinshuis producten'!$I$14:$Z$14,1,1+INT((COLUMN()-COLUMN($D$1))/2))
) /365
+
IF(
(
    1/
    (INDEX('3. Gezinshuis producten'!$I$8:$Z$8,1,1+INT((COLUMN()-COLUMN($D$1))/2)) /
     INDEX('3. Gezinshuis producten'!$I$11:$Z$11,1,1+INT((COLUMN()-COLUMN($D$1))/2))
    )
    +
    INDEX('3. Gezinshuis producten'!$I$20:$Z$20,1,1+INT((COLUMN()-COLUMN($D$1))/2)) /
    INDEX('3. Gezinshuis producten'!$I$19:$Z$19,1,1+INT((COLUMN()-COLUMN($D$1))/2)) * 1878/36
    +
    INDEX('3. Gezinshuis producten'!$I$16:$Z$16,1,1+INT((COLUMN()-COLUMN($D$1))/2)) /
    INDEX('3. Gezinshuis producten'!$I$15:$Z$15,1,1+INT((COLUMN()-COLUMN($D$1))/2)) * 1878/36
) &lt;
INDEX('3. Gezinshuis producten'!$I$9:$Z$9,1,1+INT((COLUMN()-COLUMN($D$1))/2)),
(
    INDEX('3. Gezinshuis producten'!$I$9:$Z$9,1,1+INT((COLUMN()-COLUMN($D$1))/2))
    -
    (
        1/
        (INDEX('3. Gezinshuis producten'!$I$8:$Z$8,1,1+INT((COLUMN()-COLUMN($D$1))/2)) /
         INDEX('3. Gezinshuis producten'!$I$11:$Z$11,1,1+INT((COLUMN()-COLUMN($D$1))/2))
        )
        +
        INDEX('3. Gezinshuis producten'!$I$20:$Z$20,1,1+INT((COLUMN()-COLUMN($D$1))/2)) /
        (INDEX('3. Gezinshuis producten'!$I$8:$Z$8,1,1+INT((COLUMN()-COLUMN($D$1))/2)) /
         INDEX('3. Gezinshuis producten'!$I$11:$Z$11,1,1+INT((COLUMN()-COLUMN($D$1))/2))
        ) * 1878/36
        +
        INDEX('3. Gezinshuis producten'!$I$16:$Z$16,1,1+INT((COLUMN()-COLUMN($D$1))/2)) /
        INDEX('3. Gezinshuis producten'!$I$15:$Z$15,1,1+INT((COLUMN()-COLUMN($D$1))/2)) * 1878/36
    )
) *
INDEX('3. Gezinshuis producten'!$I$14:$Z$14,1,1+INT((COLUMN()-COLUMN($D$1))/2)) /365,
0),
""))</f>
        <v/>
      </c>
      <c r="G15" s="26"/>
      <c r="H15" s="138" t="str">
        <f>IF(G12="","",
IFERROR(
(
    INDEX('3. Gezinshuis producten'!$I$16:$Z$16,1,1+INT((COLUMN()-COLUMN($D$1))/2)) /
    INDEX('3. Gezinshuis producten'!$I$15:$Z$15,1,1+INT((COLUMN()-COLUMN($D$1))/2))
) * 1878/36 *
(
    INDEX('3. Gezinshuis producten'!$I$14:$Z$14,1,1+INT((COLUMN()-COLUMN($D$1))/2))
) /365
+
IF(
(
    1/
    (INDEX('3. Gezinshuis producten'!$I$8:$Z$8,1,1+INT((COLUMN()-COLUMN($D$1))/2)) /
     INDEX('3. Gezinshuis producten'!$I$11:$Z$11,1,1+INT((COLUMN()-COLUMN($D$1))/2))
    )
    +
    INDEX('3. Gezinshuis producten'!$I$20:$Z$20,1,1+INT((COLUMN()-COLUMN($D$1))/2)) /
    INDEX('3. Gezinshuis producten'!$I$19:$Z$19,1,1+INT((COLUMN()-COLUMN($D$1))/2)) * 1878/36
    +
    INDEX('3. Gezinshuis producten'!$I$16:$Z$16,1,1+INT((COLUMN()-COLUMN($D$1))/2)) /
    INDEX('3. Gezinshuis producten'!$I$15:$Z$15,1,1+INT((COLUMN()-COLUMN($D$1))/2)) * 1878/36
) &lt;
INDEX('3. Gezinshuis producten'!$I$9:$Z$9,1,1+INT((COLUMN()-COLUMN($D$1))/2)),
(
    INDEX('3. Gezinshuis producten'!$I$9:$Z$9,1,1+INT((COLUMN()-COLUMN($D$1))/2))
    -
    (
        1/
        (INDEX('3. Gezinshuis producten'!$I$8:$Z$8,1,1+INT((COLUMN()-COLUMN($D$1))/2)) /
         INDEX('3. Gezinshuis producten'!$I$11:$Z$11,1,1+INT((COLUMN()-COLUMN($D$1))/2))
        )
        +
        INDEX('3. Gezinshuis producten'!$I$20:$Z$20,1,1+INT((COLUMN()-COLUMN($D$1))/2)) /
        (INDEX('3. Gezinshuis producten'!$I$8:$Z$8,1,1+INT((COLUMN()-COLUMN($D$1))/2)) /
         INDEX('3. Gezinshuis producten'!$I$11:$Z$11,1,1+INT((COLUMN()-COLUMN($D$1))/2))
        ) * 1878/36
        +
        INDEX('3. Gezinshuis producten'!$I$16:$Z$16,1,1+INT((COLUMN()-COLUMN($D$1))/2)) /
        INDEX('3. Gezinshuis producten'!$I$15:$Z$15,1,1+INT((COLUMN()-COLUMN($D$1))/2)) * 1878/36
    )
) *
INDEX('3. Gezinshuis producten'!$I$14:$Z$14,1,1+INT((COLUMN()-COLUMN($D$1))/2)) /365,
0),
""))</f>
        <v/>
      </c>
    </row>
    <row r="16" spans="2:56" x14ac:dyDescent="0.45">
      <c r="B16" s="132" t="s">
        <v>829</v>
      </c>
      <c r="D16" s="127" t="str">
        <f>IF(C12="","",
INDEX('3. Gezinshuis producten'!$I$22:$Z$22,1,1+INT((COLUMN()-COLUMN($D$1))/2)))</f>
        <v/>
      </c>
      <c r="E16" s="26"/>
      <c r="F16" s="127" t="str">
        <f>IF(E12="","",
INDEX('3. Gezinshuis producten'!$I$22:$Z$22,1,1+INT((COLUMN()-COLUMN($D$1))/2)))</f>
        <v/>
      </c>
      <c r="G16" s="26"/>
      <c r="H16" s="138" t="str">
        <f>IF(G12="","",
INDEX('3. Gezinshuis producten'!$I$22:$Z$22,1,1+INT((COLUMN()-COLUMN($D$1))/2)))</f>
        <v/>
      </c>
    </row>
    <row r="17" spans="2:8" x14ac:dyDescent="0.45">
      <c r="B17" s="132" t="s">
        <v>828</v>
      </c>
      <c r="D17" s="127" t="str">
        <f>IF(C12="","",
INDEX('3. Gezinshuis producten'!$I$23:$Z$23,1,1+INT((COLUMN()-COLUMN($D$1))/2)))</f>
        <v/>
      </c>
      <c r="E17" s="26"/>
      <c r="F17" s="127" t="str">
        <f>IF(E12="","",
INDEX('3. Gezinshuis producten'!$I$23:$Z$23,1,1+INT((COLUMN()-COLUMN($D$1))/2)))</f>
        <v/>
      </c>
      <c r="G17" s="26"/>
      <c r="H17" s="138" t="str">
        <f>IF(G12="","",
INDEX('3. Gezinshuis producten'!$I$23:$Z$23,1,1+INT((COLUMN()-COLUMN($D$1))/2)))</f>
        <v/>
      </c>
    </row>
    <row r="18" spans="2:8" x14ac:dyDescent="0.45">
      <c r="B18" s="132" t="s">
        <v>832</v>
      </c>
      <c r="C18" s="129"/>
      <c r="D18" s="127" t="str">
        <f>IF(C12="","",
INDEX('3. Gezinshuis producten'!$I$24:$Z$24,1,1+INT((COLUMN()-COLUMN($D$1))/2)))</f>
        <v/>
      </c>
      <c r="E18" s="260"/>
      <c r="F18" s="127" t="str">
        <f>IF(E12="","",
INDEX('3. Gezinshuis producten'!$I$24:$Z$24,1,1+INT((COLUMN()-COLUMN($D$1))/2)))</f>
        <v/>
      </c>
      <c r="G18" s="260"/>
      <c r="H18" s="138" t="str">
        <f>IF(G12="","",
INDEX('3. Gezinshuis producten'!$I$24:$Z$24,1,1+INT((COLUMN()-COLUMN($D$1))/2)))</f>
        <v/>
      </c>
    </row>
    <row r="19" spans="2:8" x14ac:dyDescent="0.45">
      <c r="B19" s="132" t="s">
        <v>833</v>
      </c>
      <c r="D19" s="127" t="str">
        <f>IF(C12="","",
IFERROR(
   (INDEX('3. Gezinshuis producten'!$I$27:$Z$27,1,1+INT((COLUMN()-COLUMN($D$1))/2)) *
    INDEX('3. Gezinshuis producten'!$I$11:$Z$11,1,1+INT((COLUMN()-COLUMN($D$1))/2))
    +
    INDEX('3. Gezinshuis producten'!$I$28:$Z$28,1,1+INT((COLUMN()-COLUMN($D$1))/2))
   ) /
   INDEX('3. Gezinshuis producten'!$I$8:$Z$8,1,1+INT((COLUMN()-COLUMN($D$1))/2)) / 365,
""))</f>
        <v/>
      </c>
      <c r="E19" s="26"/>
      <c r="F19" s="127" t="str">
        <f>IF(E12="","",
IFERROR(
   (INDEX('3. Gezinshuis producten'!$I$27:$Z$27,1,1+INT((COLUMN()-COLUMN($D$1))/2)) *
    INDEX('3. Gezinshuis producten'!$I$11:$Z$11,1,1+INT((COLUMN()-COLUMN($D$1))/2))
    +
    INDEX('3. Gezinshuis producten'!$I$28:$Z$28,1,1+INT((COLUMN()-COLUMN($D$1))/2))
   ) /
   INDEX('3. Gezinshuis producten'!$I$8:$Z$8,1,1+INT((COLUMN()-COLUMN($D$1))/2)) / 365,
""))</f>
        <v/>
      </c>
      <c r="G19" s="26"/>
      <c r="H19" s="138" t="str">
        <f>IF(G12="","",
IFERROR(
   (INDEX('3. Gezinshuis producten'!$I$27:$Z$27,1,1+INT((COLUMN()-COLUMN($D$1))/2)) *
    INDEX('3. Gezinshuis producten'!$I$11:$Z$11,1,1+INT((COLUMN()-COLUMN($D$1))/2))
    +
    INDEX('3. Gezinshuis producten'!$I$28:$Z$28,1,1+INT((COLUMN()-COLUMN($D$1))/2))
   ) /
   INDEX('3. Gezinshuis producten'!$I$8:$Z$8,1,1+INT((COLUMN()-COLUMN($D$1))/2)) / 365,
""))</f>
        <v/>
      </c>
    </row>
    <row r="20" spans="2:8" x14ac:dyDescent="0.45">
      <c r="B20" s="132" t="s">
        <v>834</v>
      </c>
      <c r="D20" s="127" t="str">
        <f>IF(C12="","",
INDEX('3. Gezinshuis producten'!$I$25:$Z$25,1,1+INT((COLUMN()-COLUMN($D$1))/2)))</f>
        <v/>
      </c>
      <c r="E20" s="26"/>
      <c r="F20" s="127" t="str">
        <f>IF(E12="","",
INDEX('3. Gezinshuis producten'!$I$25:$Z$25,1,1+INT((COLUMN()-COLUMN($D$1))/2)))</f>
        <v/>
      </c>
      <c r="G20" s="26"/>
      <c r="H20" s="138" t="str">
        <f>IF(G12="","",
INDEX('3. Gezinshuis producten'!$I$25:$Z$25,1,1+INT((COLUMN()-COLUMN($D$1))/2)))</f>
        <v/>
      </c>
    </row>
    <row r="21" spans="2:8" x14ac:dyDescent="0.45">
      <c r="B21" s="124" t="s">
        <v>838</v>
      </c>
      <c r="C21" s="130"/>
      <c r="D21" s="89" t="str">
        <f>IF(C12="","",SUM(D13:D20))</f>
        <v/>
      </c>
      <c r="E21" s="261"/>
      <c r="F21" s="89" t="str">
        <f>IF(E12="","",SUM(F13:F20))</f>
        <v/>
      </c>
      <c r="G21" s="261"/>
      <c r="H21" s="176" t="str">
        <f>IF(G12="","",SUM(H13:H20))</f>
        <v/>
      </c>
    </row>
    <row r="22" spans="2:8" x14ac:dyDescent="0.45">
      <c r="B22" s="132" t="s">
        <v>835</v>
      </c>
      <c r="C22" s="133" t="str">
        <f>IF(C12="","",
INDEX('3. Gezinshuis producten'!$I$30:$Z$30,1,1+INT((COLUMN()-COLUMN($C$1))/2)))</f>
        <v/>
      </c>
      <c r="D22" s="127" t="str">
        <f>IF(C12="","",SUM(D21*C22))</f>
        <v/>
      </c>
      <c r="E22" s="211" t="str">
        <f>IF(E12="","",
INDEX('3. Gezinshuis producten'!$I$30:$Z$30,1,1+INT((COLUMN()-COLUMN($C$1))/2)))</f>
        <v/>
      </c>
      <c r="F22" s="127" t="str">
        <f>IF(E12="","",SUM(F21*E22))</f>
        <v/>
      </c>
      <c r="G22" s="211" t="str">
        <f>IF(G12="","",
INDEX('3. Gezinshuis producten'!$I$30:$Z$30,1,1+INT((COLUMN()-COLUMN($C$1))/2)))</f>
        <v/>
      </c>
      <c r="H22" s="138" t="str">
        <f>IF(G12="","",SUM(H21*G22))</f>
        <v/>
      </c>
    </row>
    <row r="23" spans="2:8" x14ac:dyDescent="0.45">
      <c r="B23" s="132" t="s">
        <v>836</v>
      </c>
      <c r="C23" s="133" t="str">
        <f>IF(C12="","",
INDEX('3. Gezinshuis producten'!$I$31:$Z$31,1,1+INT((COLUMN()-COLUMN($C$1))/2)))</f>
        <v/>
      </c>
      <c r="D23" s="127" t="str">
        <f>IF(C12="","",SUM(D21*C23))</f>
        <v/>
      </c>
      <c r="E23" s="211" t="str">
        <f>IF(E12="","",
INDEX('3. Gezinshuis producten'!$I$31:$Z$31,1,1+INT((COLUMN()-COLUMN($C$1))/2)))</f>
        <v/>
      </c>
      <c r="F23" s="127" t="str">
        <f>IF(E12="","",SUM(F21*E23))</f>
        <v/>
      </c>
      <c r="G23" s="211" t="str">
        <f>IF(G12="","",
INDEX('3. Gezinshuis producten'!$I$31:$Z$31,1,1+INT((COLUMN()-COLUMN($C$1))/2)))</f>
        <v/>
      </c>
      <c r="H23" s="138" t="str">
        <f>IF(G12="","",SUM(H21*G23))</f>
        <v/>
      </c>
    </row>
    <row r="24" spans="2:8" ht="14.55" customHeight="1" x14ac:dyDescent="0.45">
      <c r="B24" s="124" t="s">
        <v>839</v>
      </c>
      <c r="C24" s="130"/>
      <c r="D24" s="89" t="str">
        <f>IF(C12="","",SUM(D22:D23))</f>
        <v/>
      </c>
      <c r="E24" s="261"/>
      <c r="F24" s="89" t="str">
        <f>IF(E12="","",SUM(F22:F23))</f>
        <v/>
      </c>
      <c r="G24" s="261"/>
      <c r="H24" s="176" t="str">
        <f>IF(G12="","",SUM(H22:H23))</f>
        <v/>
      </c>
    </row>
    <row r="25" spans="2:8" ht="14.55" customHeight="1" x14ac:dyDescent="0.45">
      <c r="B25" s="132" t="s">
        <v>837</v>
      </c>
      <c r="D25" s="127" t="str">
        <f>IF(C12="","",
INDEX('3. Gezinshuis producten'!$I$32:$Z$32,1,1+INT((COLUMN()-COLUMN($D$1))/2)))</f>
        <v/>
      </c>
      <c r="E25" s="26"/>
      <c r="F25" s="127" t="str">
        <f>IF(E12="","",
INDEX('3. Gezinshuis producten'!$I$32:$Z$32,1,1+INT((COLUMN()-COLUMN($D$1))/2)))</f>
        <v/>
      </c>
      <c r="G25" s="26"/>
      <c r="H25" s="138" t="str">
        <f>IF(G12="","",
INDEX('3. Gezinshuis producten'!$I$32:$Z$32,1,1+INT((COLUMN()-COLUMN($D$1))/2)))</f>
        <v/>
      </c>
    </row>
    <row r="26" spans="2:8" ht="23.55" customHeight="1" thickBot="1" x14ac:dyDescent="0.6">
      <c r="B26" s="250" t="str">
        <f>IF(
  OR(
    INDEX('3. Gezinshuis producten'!$AB:$AB, 7 + (COLUMN(A13) - 1)*0.5) = "",
    INDEX('3. Gezinshuis producten'!$AB:$AB, 7 + (COLUMN(A13) - 1)*0.5) = 0
  ),
  "",
  "Kostprijs " &amp; LOWER(INDEX('3. Gezinshuis producten'!$AB:$AB, 7 + (COLUMN(A13) - 1)*0.5)) &amp; ", per cliënt"
)</f>
        <v/>
      </c>
      <c r="C26" s="825" t="str">
        <f>IF(C12="","",SUM(D21,D24,D25))</f>
        <v/>
      </c>
      <c r="D26" s="826"/>
      <c r="E26" s="825" t="str">
        <f>IF(E12="","",SUM(F21,F24,F25))</f>
        <v/>
      </c>
      <c r="F26" s="826"/>
      <c r="G26" s="825" t="str">
        <f>IF(G12="","",SUM(H21,H24,H25))</f>
        <v/>
      </c>
      <c r="H26" s="827"/>
    </row>
    <row r="44" ht="15.5" customHeight="1" x14ac:dyDescent="0.45"/>
  </sheetData>
  <mergeCells count="13">
    <mergeCell ref="C5:D5"/>
    <mergeCell ref="E5:F5"/>
    <mergeCell ref="G5:H5"/>
    <mergeCell ref="C7:D7"/>
    <mergeCell ref="E7:F7"/>
    <mergeCell ref="G7:H7"/>
    <mergeCell ref="C8:D8"/>
    <mergeCell ref="C26:D26"/>
    <mergeCell ref="E26:F26"/>
    <mergeCell ref="G26:H26"/>
    <mergeCell ref="C12:D12"/>
    <mergeCell ref="E12:F12"/>
    <mergeCell ref="G12:H12"/>
  </mergeCells>
  <conditionalFormatting sqref="C22:C23">
    <cfRule type="expression" dxfId="199" priority="25">
      <formula>C22&lt;&gt;""</formula>
    </cfRule>
  </conditionalFormatting>
  <conditionalFormatting sqref="C7:H7">
    <cfRule type="expression" dxfId="198" priority="10">
      <formula>C4="Ambulant"</formula>
    </cfRule>
  </conditionalFormatting>
  <conditionalFormatting sqref="C26:H26">
    <cfRule type="expression" dxfId="197" priority="16">
      <formula>#REF!="Ambulant"</formula>
    </cfRule>
  </conditionalFormatting>
  <conditionalFormatting sqref="D13:D20 D25">
    <cfRule type="expression" dxfId="196" priority="26">
      <formula>D13&lt;&gt;""</formula>
    </cfRule>
  </conditionalFormatting>
  <conditionalFormatting sqref="D21">
    <cfRule type="expression" dxfId="195" priority="29">
      <formula>D21&lt;&gt;""</formula>
    </cfRule>
  </conditionalFormatting>
  <conditionalFormatting sqref="D24">
    <cfRule type="expression" dxfId="194" priority="28">
      <formula>D24&lt;&gt;""</formula>
    </cfRule>
  </conditionalFormatting>
  <conditionalFormatting sqref="E22:E23">
    <cfRule type="expression" dxfId="193" priority="17">
      <formula>E22&lt;&gt;""</formula>
    </cfRule>
  </conditionalFormatting>
  <conditionalFormatting sqref="F13:F20 F25">
    <cfRule type="expression" dxfId="192" priority="18">
      <formula>F13&lt;&gt;""</formula>
    </cfRule>
  </conditionalFormatting>
  <conditionalFormatting sqref="F21">
    <cfRule type="expression" dxfId="191" priority="20">
      <formula>F21&lt;&gt;""</formula>
    </cfRule>
  </conditionalFormatting>
  <conditionalFormatting sqref="F24">
    <cfRule type="expression" dxfId="190" priority="19">
      <formula>F24&lt;&gt;""</formula>
    </cfRule>
  </conditionalFormatting>
  <conditionalFormatting sqref="G22:G23">
    <cfRule type="expression" dxfId="189" priority="12">
      <formula>G22&lt;&gt;""</formula>
    </cfRule>
  </conditionalFormatting>
  <conditionalFormatting sqref="H13:H20 H25">
    <cfRule type="expression" dxfId="188" priority="13">
      <formula>H13&lt;&gt;""</formula>
    </cfRule>
  </conditionalFormatting>
  <conditionalFormatting sqref="H21">
    <cfRule type="expression" dxfId="187" priority="15">
      <formula>H21&lt;&gt;""</formula>
    </cfRule>
  </conditionalFormatting>
  <conditionalFormatting sqref="H24">
    <cfRule type="expression" dxfId="186" priority="14">
      <formula>H24&lt;&gt;""</formula>
    </cfRule>
  </conditionalFormatting>
  <pageMargins left="0.7" right="0.7" top="0.75" bottom="0.75" header="0.3" footer="0.3"/>
  <pageSetup paperSize="9" orientation="portrait" r:id="rId1"/>
  <ignoredErrors>
    <ignoredError sqref="D22:H23"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326a664-2372-4c93-96b1-75e012282970" xsi:nil="true"/>
    <lcf76f155ced4ddcb4097134ff3c332f xmlns="e250c9e9-d5bb-4360-b606-548097e09e8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79B33BD0CC0724ABF6308BD383A022A" ma:contentTypeVersion="18" ma:contentTypeDescription="Een nieuw document maken." ma:contentTypeScope="" ma:versionID="cbbb6b485802bfcce281956d8febbe83">
  <xsd:schema xmlns:xsd="http://www.w3.org/2001/XMLSchema" xmlns:xs="http://www.w3.org/2001/XMLSchema" xmlns:p="http://schemas.microsoft.com/office/2006/metadata/properties" xmlns:ns2="e250c9e9-d5bb-4360-b606-548097e09e86" xmlns:ns3="4326a664-2372-4c93-96b1-75e012282970" targetNamespace="http://schemas.microsoft.com/office/2006/metadata/properties" ma:root="true" ma:fieldsID="1fb3bf309ea4483abc4c915777ca8b6f" ns2:_="" ns3:_="">
    <xsd:import namespace="e250c9e9-d5bb-4360-b606-548097e09e86"/>
    <xsd:import namespace="4326a664-2372-4c93-96b1-75e01228297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50c9e9-d5bb-4360-b606-548097e09e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551976dd-f1de-4885-9ab9-c62688711c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26a664-2372-4c93-96b1-75e012282970"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28032124-b3f1-4794-8d0e-23d537e39d0f}" ma:internalName="TaxCatchAll" ma:showField="CatchAllData" ma:web="4326a664-2372-4c93-96b1-75e0122829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AA3F77-8B10-4823-BACD-C92744E1D1B0}">
  <ds:schemaRefs>
    <ds:schemaRef ds:uri="http://schemas.microsoft.com/sharepoint/v3/contenttype/forms"/>
  </ds:schemaRefs>
</ds:datastoreItem>
</file>

<file path=customXml/itemProps2.xml><?xml version="1.0" encoding="utf-8"?>
<ds:datastoreItem xmlns:ds="http://schemas.openxmlformats.org/officeDocument/2006/customXml" ds:itemID="{623BA6F8-F791-4E90-9D37-98A0F88553CF}">
  <ds:schemaRefs>
    <ds:schemaRef ds:uri="http://purl.org/dc/dcmitype/"/>
    <ds:schemaRef ds:uri="http://schemas.openxmlformats.org/package/2006/metadata/core-properties"/>
    <ds:schemaRef ds:uri="http://purl.org/dc/terms/"/>
    <ds:schemaRef ds:uri="http://www.w3.org/XML/1998/namespace"/>
    <ds:schemaRef ds:uri="http://purl.org/dc/elements/1.1/"/>
    <ds:schemaRef ds:uri="http://schemas.microsoft.com/office/2006/documentManagement/types"/>
    <ds:schemaRef ds:uri="e250c9e9-d5bb-4360-b606-548097e09e86"/>
    <ds:schemaRef ds:uri="http://schemas.microsoft.com/office/infopath/2007/PartnerControls"/>
    <ds:schemaRef ds:uri="4326a664-2372-4c93-96b1-75e012282970"/>
    <ds:schemaRef ds:uri="http://schemas.microsoft.com/office/2006/metadata/properties"/>
  </ds:schemaRefs>
</ds:datastoreItem>
</file>

<file path=customXml/itemProps3.xml><?xml version="1.0" encoding="utf-8"?>
<ds:datastoreItem xmlns:ds="http://schemas.openxmlformats.org/officeDocument/2006/customXml" ds:itemID="{2AB6F9BF-9CB1-4BC6-9BA2-EEF4C6E090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50c9e9-d5bb-4360-b606-548097e09e86"/>
    <ds:schemaRef ds:uri="4326a664-2372-4c93-96b1-75e0122829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50</vt:i4>
      </vt:variant>
    </vt:vector>
  </HeadingPairs>
  <TitlesOfParts>
    <vt:vector size="50" baseType="lpstr">
      <vt:lpstr>0. Introductie input</vt:lpstr>
      <vt:lpstr>1a. Input organisatieniveau</vt:lpstr>
      <vt:lpstr>1b. Input productniveau</vt:lpstr>
      <vt:lpstr>1c. Input functiemix</vt:lpstr>
      <vt:lpstr>1c. Input functiemix oud4</vt:lpstr>
      <vt:lpstr>1p. Input pleegzorg oud</vt:lpstr>
      <vt:lpstr>2. Output kostprijs</vt:lpstr>
      <vt:lpstr>3. Gezinshuis producten</vt:lpstr>
      <vt:lpstr>2g. Output gezinshuis</vt:lpstr>
      <vt:lpstr>1a. Input organisatieniveau oud</vt:lpstr>
      <vt:lpstr>1c. Input functiemix oud</vt:lpstr>
      <vt:lpstr>1c. Input functiemix oud2</vt:lpstr>
      <vt:lpstr>1c. Input functiemix oud3</vt:lpstr>
      <vt:lpstr>2p. Output pleegzorg oud</vt:lpstr>
      <vt:lpstr>2p. Output pleegzorg</vt:lpstr>
      <vt:lpstr>4. Pleegzorg producten</vt:lpstr>
      <vt:lpstr>1t. Toelichting input</vt:lpstr>
      <vt:lpstr>2t. Toelichting output</vt:lpstr>
      <vt:lpstr>4. Toelichtingen</vt:lpstr>
      <vt:lpstr>5. Data export</vt:lpstr>
      <vt:lpstr>6. Definities</vt:lpstr>
      <vt:lpstr>Introductie initialisatie</vt:lpstr>
      <vt:lpstr>Initialisatie</vt:lpstr>
      <vt:lpstr>Hulp (definities)</vt:lpstr>
      <vt:lpstr>Hulp (data export)</vt:lpstr>
      <vt:lpstr>Hulp (overig)</vt:lpstr>
      <vt:lpstr>Hulp (bronnen)</vt:lpstr>
      <vt:lpstr>6. Overzicht oud</vt:lpstr>
      <vt:lpstr>Hulp (CAO's)</vt:lpstr>
      <vt:lpstr>Hulp (control forms)</vt:lpstr>
      <vt:lpstr>COA (Jeugdzorg)</vt:lpstr>
      <vt:lpstr>CAO (Jeugdzorg) oud</vt:lpstr>
      <vt:lpstr>CAO (Jeugdzorg), gewogen oud</vt:lpstr>
      <vt:lpstr>CAO (GGZ)</vt:lpstr>
      <vt:lpstr>CAO (Jeugdzorg), gewogen</vt:lpstr>
      <vt:lpstr>CAO (GGZ) oud</vt:lpstr>
      <vt:lpstr>CAO (GGZ), gewogen oud</vt:lpstr>
      <vt:lpstr>CAO (GGZ), gewogen</vt:lpstr>
      <vt:lpstr>CAO (Sociaal Werk)</vt:lpstr>
      <vt:lpstr>CAO (Sociaal Werk), gewogen</vt:lpstr>
      <vt:lpstr>CAO (Sociaal Werk) oud</vt:lpstr>
      <vt:lpstr>CAO (Sociaal Werk), gewogen oud</vt:lpstr>
      <vt:lpstr>CAO (GHZ)</vt:lpstr>
      <vt:lpstr>CAO (GHZ), gewogen</vt:lpstr>
      <vt:lpstr>CAO (GHZ) oud</vt:lpstr>
      <vt:lpstr>CAO (GHZ), gewogen oud</vt:lpstr>
      <vt:lpstr>CAO (VVT, HBH)</vt:lpstr>
      <vt:lpstr>CAO (VVT, HBH), gewogen</vt:lpstr>
      <vt:lpstr>CAO (VVT)</vt:lpstr>
      <vt:lpstr>CAO (VVT), gewogen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Niels Uenk</dc:creator>
  <cp:lastModifiedBy>Niels Uenk</cp:lastModifiedBy>
  <dcterms:created xsi:type="dcterms:W3CDTF">2015-06-05T18:19:34Z</dcterms:created>
  <dcterms:modified xsi:type="dcterms:W3CDTF">2026-04-16T08:01:32Z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0x010100679B33BD0CC0724ABF6308BD383A022A</vt:lpwstr>
  </property>
  <property fmtid="{D5CDD505-2E9C-101B-9397-08002B2CF9AE}" pid="3" name="MediaServiceImageTags">
    <vt:lpwstr/>
  </property>
</Properties>
</file>